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19320" windowHeight="9360" activeTab="2"/>
  </bookViews>
  <sheets>
    <sheet name="Инф. о МДК (прил. 1)" sheetId="1" r:id="rId1"/>
    <sheet name="ТЭ (прил. 2.1) испр" sheetId="6" r:id="rId2"/>
    <sheet name="ЭЭ (прил. 2.2)" sheetId="3" r:id="rId3"/>
    <sheet name="Примечания 1" sheetId="4" r:id="rId4"/>
  </sheets>
  <externalReferences>
    <externalReference r:id="rId5"/>
  </externalReferences>
  <definedNames>
    <definedName name="_xlnm._FilterDatabase" localSheetId="0" hidden="1">'Инф. о МДК (прил. 1)'!$A$7:$AK$1453</definedName>
    <definedName name="_xlnm._FilterDatabase" localSheetId="1" hidden="1">'ТЭ (прил. 2.1) испр'!$A$10:$BG$1456</definedName>
    <definedName name="_xlnm._FilterDatabase" localSheetId="2" hidden="1">'ЭЭ (прил. 2.2)'!$A$10:$AM$2319</definedName>
    <definedName name="_xlnm.Print_Titles" localSheetId="0">'Инф. о МДК (прил. 1)'!$A:$J</definedName>
    <definedName name="_xlnm.Print_Titles" localSheetId="3">'Примечания 1'!$A:$J</definedName>
    <definedName name="_xlnm.Print_Titles" localSheetId="1">'ТЭ (прил. 2.1) испр'!$A:$B</definedName>
    <definedName name="_xlnm.Print_Titles" localSheetId="2">'ЭЭ (прил. 2.2)'!$A:$B</definedName>
    <definedName name="_xlnm.Print_Area" localSheetId="0">'Инф. о МДК (прил. 1)'!$A$1:$AK$1453</definedName>
    <definedName name="_xlnm.Print_Area" localSheetId="3">'Примечания 1'!$A$1:$Q$41</definedName>
    <definedName name="_xlnm.Print_Area" localSheetId="1">'ТЭ (прил. 2.1) испр'!$A$1:$BC$1456</definedName>
    <definedName name="_xlnm.Print_Area" localSheetId="2">'ЭЭ (прил. 2.2)'!$A$1:$AM$775</definedName>
  </definedNames>
  <calcPr calcId="124519"/>
</workbook>
</file>

<file path=xl/calcChain.xml><?xml version="1.0" encoding="utf-8"?>
<calcChain xmlns="http://schemas.openxmlformats.org/spreadsheetml/2006/main">
  <c r="AY1191" i="6"/>
  <c r="AX1191"/>
  <c r="AY1193"/>
  <c r="AX1193"/>
  <c r="AX1276"/>
  <c r="AX1275"/>
  <c r="AH1274"/>
  <c r="AF1274"/>
  <c r="AD1274"/>
  <c r="AB1274"/>
  <c r="AX1274" s="1"/>
  <c r="Z1274"/>
  <c r="AX1307"/>
  <c r="AX1349"/>
  <c r="AV1456"/>
  <c r="AT1456"/>
  <c r="AR1456"/>
  <c r="AV1455"/>
  <c r="AT1455"/>
  <c r="AR1455"/>
  <c r="AV1454"/>
  <c r="AT1454"/>
  <c r="AR1454"/>
  <c r="AV1453"/>
  <c r="AT1453"/>
  <c r="AR1453"/>
  <c r="AY1415"/>
  <c r="AX1415"/>
  <c r="AY1411"/>
  <c r="AX1411"/>
  <c r="AY1408"/>
  <c r="AX1408"/>
  <c r="AH1454"/>
  <c r="AF1454"/>
  <c r="AD1454"/>
  <c r="AB1454"/>
  <c r="Z1454"/>
  <c r="AH1453"/>
  <c r="AF1453"/>
  <c r="AD1453"/>
  <c r="AB1453"/>
  <c r="Z1453"/>
  <c r="AH1452"/>
  <c r="AF1452"/>
  <c r="AD1452"/>
  <c r="AB1452"/>
  <c r="Z1452"/>
  <c r="AH1449"/>
  <c r="AF1449"/>
  <c r="AD1449"/>
  <c r="AB1449"/>
  <c r="Z1449"/>
  <c r="AV1452"/>
  <c r="AT1452"/>
  <c r="AR1452"/>
  <c r="AV1451"/>
  <c r="AT1451"/>
  <c r="AR1451"/>
  <c r="AX1451" s="1"/>
  <c r="AX1450"/>
  <c r="AX1448"/>
  <c r="AV1447"/>
  <c r="AT1447"/>
  <c r="AR1447"/>
  <c r="AV1446"/>
  <c r="AT1446"/>
  <c r="AR1446"/>
  <c r="AV1445"/>
  <c r="AT1445"/>
  <c r="AR1445"/>
  <c r="AV1443"/>
  <c r="AT1443"/>
  <c r="AR1443"/>
  <c r="AV1442"/>
  <c r="AT1442"/>
  <c r="AR1442"/>
  <c r="AV1441"/>
  <c r="AT1441"/>
  <c r="AR1441"/>
  <c r="AV1439"/>
  <c r="AT1439"/>
  <c r="AR1439"/>
  <c r="AV1438"/>
  <c r="AT1438"/>
  <c r="AR1438"/>
  <c r="AV1437"/>
  <c r="AT1437"/>
  <c r="AR1437"/>
  <c r="AH1445"/>
  <c r="AF1445"/>
  <c r="AD1445"/>
  <c r="AB1445"/>
  <c r="Z1445"/>
  <c r="AH1444"/>
  <c r="AF1444"/>
  <c r="AD1444"/>
  <c r="AB1444"/>
  <c r="Z1444"/>
  <c r="AH1443"/>
  <c r="AF1443"/>
  <c r="AD1443"/>
  <c r="AB1443"/>
  <c r="Z1443"/>
  <c r="AH1441"/>
  <c r="AF1441"/>
  <c r="AD1441"/>
  <c r="AB1441"/>
  <c r="Z1441"/>
  <c r="AH1440"/>
  <c r="AF1440"/>
  <c r="AD1440"/>
  <c r="AB1440"/>
  <c r="Z1440"/>
  <c r="AH1439"/>
  <c r="AF1439"/>
  <c r="AD1439"/>
  <c r="AB1439"/>
  <c r="Z1439"/>
  <c r="AH1437"/>
  <c r="AF1437"/>
  <c r="AD1437"/>
  <c r="AB1437"/>
  <c r="Z1437"/>
  <c r="AH1436"/>
  <c r="AF1436"/>
  <c r="AD1436"/>
  <c r="AB1436"/>
  <c r="Z1436"/>
  <c r="AH1435"/>
  <c r="AF1435"/>
  <c r="AD1435"/>
  <c r="AB1435"/>
  <c r="Z1435"/>
  <c r="AX1434"/>
  <c r="Y1434"/>
  <c r="AX1433"/>
  <c r="AX1432"/>
  <c r="AX1431"/>
  <c r="AX1430"/>
  <c r="AV1429"/>
  <c r="AT1429"/>
  <c r="AR1429"/>
  <c r="AH1429"/>
  <c r="AF1429"/>
  <c r="AD1429"/>
  <c r="AB1429"/>
  <c r="Z1429"/>
  <c r="AV1428"/>
  <c r="AT1428"/>
  <c r="AR1428"/>
  <c r="AH1428"/>
  <c r="AF1428"/>
  <c r="AD1428"/>
  <c r="AB1428"/>
  <c r="Z1428"/>
  <c r="AV1427"/>
  <c r="AT1427"/>
  <c r="AR1427"/>
  <c r="AH1427"/>
  <c r="AF1427"/>
  <c r="AD1427"/>
  <c r="AB1427"/>
  <c r="Z1427"/>
  <c r="AX1426"/>
  <c r="AX1425"/>
  <c r="AV1424"/>
  <c r="AT1424"/>
  <c r="AR1424"/>
  <c r="AH1424"/>
  <c r="AF1424"/>
  <c r="AD1424"/>
  <c r="AB1424"/>
  <c r="Z1424"/>
  <c r="AX1423"/>
  <c r="AX1422"/>
  <c r="AX1421"/>
  <c r="AX1420"/>
  <c r="AV1419"/>
  <c r="AT1419"/>
  <c r="AR1419"/>
  <c r="AH1419"/>
  <c r="AF1419"/>
  <c r="AD1419"/>
  <c r="AB1419"/>
  <c r="Z1419"/>
  <c r="AX1418"/>
  <c r="AX1417"/>
  <c r="AX1416"/>
  <c r="AX1414"/>
  <c r="AX1413"/>
  <c r="AX1412"/>
  <c r="AX1410"/>
  <c r="AX1409"/>
  <c r="AX1407"/>
  <c r="AX1406"/>
  <c r="AX1405"/>
  <c r="AX1404"/>
  <c r="AX1403"/>
  <c r="AX1402"/>
  <c r="AX1401"/>
  <c r="AX1400"/>
  <c r="AX1399"/>
  <c r="AV1398"/>
  <c r="AT1398"/>
  <c r="AR1398"/>
  <c r="AH1398"/>
  <c r="AF1398"/>
  <c r="AD1398"/>
  <c r="AB1398"/>
  <c r="Z1398"/>
  <c r="AV1397"/>
  <c r="AT1397"/>
  <c r="AR1397"/>
  <c r="AH1397"/>
  <c r="AF1397"/>
  <c r="AD1397"/>
  <c r="AB1397"/>
  <c r="Z1397"/>
  <c r="AV1396"/>
  <c r="AT1396"/>
  <c r="AR1396"/>
  <c r="AH1396"/>
  <c r="AF1396"/>
  <c r="AD1396"/>
  <c r="AB1396"/>
  <c r="Z1396"/>
  <c r="AX1395"/>
  <c r="AV1394"/>
  <c r="AT1394"/>
  <c r="AR1394"/>
  <c r="AH1394"/>
  <c r="AF1394"/>
  <c r="AD1394"/>
  <c r="AB1394"/>
  <c r="Z1394"/>
  <c r="AV1393"/>
  <c r="AT1393"/>
  <c r="AR1393"/>
  <c r="AH1393"/>
  <c r="AF1393"/>
  <c r="AD1393"/>
  <c r="AB1393"/>
  <c r="Z1393"/>
  <c r="AV1392"/>
  <c r="AT1392"/>
  <c r="AR1392"/>
  <c r="AH1392"/>
  <c r="AF1392"/>
  <c r="AD1392"/>
  <c r="AB1392"/>
  <c r="Z1392"/>
  <c r="AX1391"/>
  <c r="AV1390"/>
  <c r="AT1390"/>
  <c r="AR1390"/>
  <c r="AH1390"/>
  <c r="AF1390"/>
  <c r="AD1390"/>
  <c r="AB1390"/>
  <c r="Z1390"/>
  <c r="AV1389"/>
  <c r="AT1389"/>
  <c r="AR1389"/>
  <c r="AH1389"/>
  <c r="AF1389"/>
  <c r="AD1389"/>
  <c r="AB1389"/>
  <c r="Z1389"/>
  <c r="AV1388"/>
  <c r="AT1388"/>
  <c r="AR1388"/>
  <c r="AH1388"/>
  <c r="AF1388"/>
  <c r="AD1388"/>
  <c r="AB1388"/>
  <c r="Z1388"/>
  <c r="AV1387"/>
  <c r="AT1387"/>
  <c r="AR1387"/>
  <c r="AH1387"/>
  <c r="AF1387"/>
  <c r="AD1387"/>
  <c r="AB1387"/>
  <c r="Z1387"/>
  <c r="AV1386"/>
  <c r="AT1386"/>
  <c r="AR1386"/>
  <c r="AH1386"/>
  <c r="AF1386"/>
  <c r="AD1386"/>
  <c r="AB1386"/>
  <c r="Z1386"/>
  <c r="AX1385"/>
  <c r="X1385"/>
  <c r="AX1384"/>
  <c r="AX1383"/>
  <c r="AX1382"/>
  <c r="AX1381"/>
  <c r="AX1380"/>
  <c r="AX1379"/>
  <c r="AX1378"/>
  <c r="AX1377"/>
  <c r="AV1376"/>
  <c r="AT1376"/>
  <c r="AR1376"/>
  <c r="AP1376"/>
  <c r="AH1376"/>
  <c r="AF1376"/>
  <c r="AD1376"/>
  <c r="AB1376"/>
  <c r="Z1376"/>
  <c r="AX1375"/>
  <c r="AV1374"/>
  <c r="AT1374"/>
  <c r="AR1374"/>
  <c r="AP1374"/>
  <c r="AH1374"/>
  <c r="AF1374"/>
  <c r="AD1374"/>
  <c r="AB1374"/>
  <c r="Z1374"/>
  <c r="AX1373"/>
  <c r="AV1372"/>
  <c r="AT1372"/>
  <c r="AR1372"/>
  <c r="AP1372"/>
  <c r="AH1372"/>
  <c r="AF1372"/>
  <c r="AD1372"/>
  <c r="AB1372"/>
  <c r="Z1372"/>
  <c r="AX1371"/>
  <c r="AX1370"/>
  <c r="AX1369"/>
  <c r="AX1368"/>
  <c r="AX1367"/>
  <c r="AX1366"/>
  <c r="AX1365"/>
  <c r="AX1364"/>
  <c r="AX1363"/>
  <c r="AX1362"/>
  <c r="AX1361"/>
  <c r="AX1360"/>
  <c r="AX1359"/>
  <c r="AX1358"/>
  <c r="AX1357"/>
  <c r="AX1356"/>
  <c r="AX1355"/>
  <c r="AX1354"/>
  <c r="AX1353"/>
  <c r="AX1352"/>
  <c r="AX1351"/>
  <c r="AX1350"/>
  <c r="AX1348"/>
  <c r="AX1347"/>
  <c r="AX1346"/>
  <c r="AX1345"/>
  <c r="AX1344"/>
  <c r="AX1343"/>
  <c r="AX1342"/>
  <c r="AX1341"/>
  <c r="AX1340"/>
  <c r="X1340"/>
  <c r="AX1339"/>
  <c r="AX1338"/>
  <c r="AX1337"/>
  <c r="AX1336"/>
  <c r="AX1335"/>
  <c r="AX1334"/>
  <c r="AX1333"/>
  <c r="AX1332"/>
  <c r="AX1331"/>
  <c r="AX1330"/>
  <c r="AX1329"/>
  <c r="AX1328"/>
  <c r="AX1327"/>
  <c r="AX1326"/>
  <c r="AX1325"/>
  <c r="AX1324"/>
  <c r="AX1323"/>
  <c r="AX1322"/>
  <c r="AX1321"/>
  <c r="AX1320"/>
  <c r="AX1319"/>
  <c r="AX1318"/>
  <c r="AX1317"/>
  <c r="AX1316"/>
  <c r="AX1315"/>
  <c r="AX1314"/>
  <c r="AX1313"/>
  <c r="AX1312"/>
  <c r="AX1311"/>
  <c r="AX1310"/>
  <c r="AX1309"/>
  <c r="AX1308"/>
  <c r="AX1306"/>
  <c r="AX1305"/>
  <c r="AX1304"/>
  <c r="AX1303"/>
  <c r="AX1302"/>
  <c r="AX1301"/>
  <c r="AX1300"/>
  <c r="AX1299"/>
  <c r="AX1298"/>
  <c r="AV1297"/>
  <c r="AT1297"/>
  <c r="AR1297"/>
  <c r="AH1297"/>
  <c r="AF1297"/>
  <c r="AD1297"/>
  <c r="AB1297"/>
  <c r="Z1297"/>
  <c r="AX1296"/>
  <c r="AX1295"/>
  <c r="AX1294"/>
  <c r="AX1293"/>
  <c r="AX1292"/>
  <c r="AX1291"/>
  <c r="AX1290"/>
  <c r="AX1289"/>
  <c r="AV1288"/>
  <c r="AT1288"/>
  <c r="AR1288"/>
  <c r="AP1288"/>
  <c r="AH1288"/>
  <c r="AF1288"/>
  <c r="AD1288"/>
  <c r="AB1288"/>
  <c r="Z1288"/>
  <c r="AX1287"/>
  <c r="AV1286"/>
  <c r="AT1286"/>
  <c r="AR1286"/>
  <c r="AP1286"/>
  <c r="AH1286"/>
  <c r="AF1286"/>
  <c r="AD1286"/>
  <c r="AB1286"/>
  <c r="Z1286"/>
  <c r="AX1285"/>
  <c r="AX1284"/>
  <c r="AV1283"/>
  <c r="AT1283"/>
  <c r="AR1283"/>
  <c r="AP1283"/>
  <c r="AH1283"/>
  <c r="AF1283"/>
  <c r="AD1283"/>
  <c r="AB1283"/>
  <c r="Z1283"/>
  <c r="AX1282"/>
  <c r="AX1281"/>
  <c r="AX1280"/>
  <c r="AV1279"/>
  <c r="AT1279"/>
  <c r="AR1279"/>
  <c r="AH1279"/>
  <c r="AF1279"/>
  <c r="AD1279"/>
  <c r="AB1279"/>
  <c r="Z1279"/>
  <c r="AV1278"/>
  <c r="AT1278"/>
  <c r="AR1278"/>
  <c r="AH1278"/>
  <c r="AF1278"/>
  <c r="AD1278"/>
  <c r="AB1278"/>
  <c r="Z1278"/>
  <c r="AX1277"/>
  <c r="AX1273"/>
  <c r="AX1272"/>
  <c r="AX1271"/>
  <c r="AX1270"/>
  <c r="AX1269"/>
  <c r="AX1268"/>
  <c r="AV1267"/>
  <c r="AT1267"/>
  <c r="AR1267"/>
  <c r="AP1267"/>
  <c r="AH1267"/>
  <c r="AF1267"/>
  <c r="AD1267"/>
  <c r="AB1267"/>
  <c r="Z1267"/>
  <c r="AX1266"/>
  <c r="AV1265"/>
  <c r="AT1265"/>
  <c r="AR1265"/>
  <c r="AP1265"/>
  <c r="AH1265"/>
  <c r="AF1265"/>
  <c r="AD1265"/>
  <c r="AB1265"/>
  <c r="Z1265"/>
  <c r="AX1264"/>
  <c r="AV1263"/>
  <c r="AT1263"/>
  <c r="AR1263"/>
  <c r="AP1263"/>
  <c r="AH1263"/>
  <c r="AF1263"/>
  <c r="AD1263"/>
  <c r="AB1263"/>
  <c r="Z1263"/>
  <c r="AX1262"/>
  <c r="AX1261"/>
  <c r="AX1260"/>
  <c r="AX1259"/>
  <c r="AX1258"/>
  <c r="AX1257"/>
  <c r="AX1256"/>
  <c r="AX1255"/>
  <c r="AX1254"/>
  <c r="AX1253"/>
  <c r="AX1252"/>
  <c r="AX1251"/>
  <c r="AX1250"/>
  <c r="AX1249"/>
  <c r="AV1248"/>
  <c r="AT1248"/>
  <c r="AR1248"/>
  <c r="AP1248"/>
  <c r="AH1248"/>
  <c r="AF1248"/>
  <c r="AD1248"/>
  <c r="AB1248"/>
  <c r="Z1248"/>
  <c r="AX1247"/>
  <c r="AV1246"/>
  <c r="AT1246"/>
  <c r="AR1246"/>
  <c r="AP1246"/>
  <c r="AH1246"/>
  <c r="AF1246"/>
  <c r="AD1246"/>
  <c r="AB1246"/>
  <c r="Z1246"/>
  <c r="AX1245"/>
  <c r="AX1244"/>
  <c r="AX1243"/>
  <c r="AX1242"/>
  <c r="AV1241"/>
  <c r="AT1241"/>
  <c r="AR1241"/>
  <c r="AH1241"/>
  <c r="AF1241"/>
  <c r="AD1241"/>
  <c r="AB1241"/>
  <c r="Z1241"/>
  <c r="AV1240"/>
  <c r="AT1240"/>
  <c r="AR1240"/>
  <c r="AH1240"/>
  <c r="AF1240"/>
  <c r="AD1240"/>
  <c r="AB1240"/>
  <c r="Z1240"/>
  <c r="AX1239"/>
  <c r="AX1238"/>
  <c r="AX1237"/>
  <c r="AX1236"/>
  <c r="AX1235"/>
  <c r="AX1234"/>
  <c r="AX1233"/>
  <c r="AX1232"/>
  <c r="AX1231"/>
  <c r="AX1230"/>
  <c r="AX1229"/>
  <c r="AX1228"/>
  <c r="AX1227"/>
  <c r="AX1226"/>
  <c r="AX1225"/>
  <c r="AX1224"/>
  <c r="AX1223"/>
  <c r="AX1222"/>
  <c r="AX1221"/>
  <c r="AX1220"/>
  <c r="AX1219"/>
  <c r="AX1218"/>
  <c r="AX1217"/>
  <c r="AX1216"/>
  <c r="AX1215"/>
  <c r="AX1214"/>
  <c r="AX1213"/>
  <c r="AX1212"/>
  <c r="AX1211"/>
  <c r="AV1210"/>
  <c r="AT1210"/>
  <c r="AR1210"/>
  <c r="AH1210"/>
  <c r="AF1210"/>
  <c r="AB1210"/>
  <c r="Z1210"/>
  <c r="AX1209"/>
  <c r="AV1208"/>
  <c r="AT1208"/>
  <c r="AR1208"/>
  <c r="AP1208"/>
  <c r="AH1208"/>
  <c r="AF1208"/>
  <c r="AB1208"/>
  <c r="Z1208"/>
  <c r="AX1207"/>
  <c r="AV1206"/>
  <c r="AT1206"/>
  <c r="AR1206"/>
  <c r="AH1206"/>
  <c r="AF1206"/>
  <c r="AD1206"/>
  <c r="AB1206"/>
  <c r="Z1206"/>
  <c r="AV1205"/>
  <c r="AT1205"/>
  <c r="AR1205"/>
  <c r="AH1205"/>
  <c r="AF1205"/>
  <c r="AB1205"/>
  <c r="Z1205"/>
  <c r="AX1204"/>
  <c r="AV1203"/>
  <c r="AT1203"/>
  <c r="AR1203"/>
  <c r="AH1203"/>
  <c r="AF1203"/>
  <c r="AB1203"/>
  <c r="Z1203"/>
  <c r="AV1202"/>
  <c r="AT1202"/>
  <c r="AR1202"/>
  <c r="AH1202"/>
  <c r="AF1202"/>
  <c r="AD1202"/>
  <c r="AB1202"/>
  <c r="Z1202"/>
  <c r="AX1201"/>
  <c r="AX1200"/>
  <c r="AX1199"/>
  <c r="AX1198"/>
  <c r="AX1197"/>
  <c r="AX1196"/>
  <c r="AX1195"/>
  <c r="AX1194"/>
  <c r="AX1192"/>
  <c r="AX1190"/>
  <c r="AX1189"/>
  <c r="AX1188"/>
  <c r="AX1187"/>
  <c r="AX1186"/>
  <c r="AX1185"/>
  <c r="AX1184"/>
  <c r="AX1183"/>
  <c r="AV1182"/>
  <c r="AT1182"/>
  <c r="AR1182"/>
  <c r="AH1182"/>
  <c r="AF1182"/>
  <c r="AD1182"/>
  <c r="AB1182"/>
  <c r="Z1182"/>
  <c r="AX1181"/>
  <c r="AX1180"/>
  <c r="AX1179"/>
  <c r="AX1178"/>
  <c r="AX1177"/>
  <c r="AX1176"/>
  <c r="AX1175"/>
  <c r="AX1174"/>
  <c r="AX1173"/>
  <c r="AX1172"/>
  <c r="AX1171"/>
  <c r="AX1170"/>
  <c r="AX1169"/>
  <c r="AX1168"/>
  <c r="AX1167"/>
  <c r="AV1166"/>
  <c r="AT1166"/>
  <c r="AR1166"/>
  <c r="AP1166"/>
  <c r="AH1166"/>
  <c r="AF1166"/>
  <c r="AB1166"/>
  <c r="Z1166"/>
  <c r="AX1165"/>
  <c r="AV1164"/>
  <c r="AT1164"/>
  <c r="AR1164"/>
  <c r="AP1164"/>
  <c r="AH1164"/>
  <c r="AF1164"/>
  <c r="AB1164"/>
  <c r="Z1164"/>
  <c r="AX1163"/>
  <c r="AX1162"/>
  <c r="AX1161"/>
  <c r="AX1160"/>
  <c r="AX1159"/>
  <c r="AX1158"/>
  <c r="AX1157"/>
  <c r="AX1156"/>
  <c r="AX1155"/>
  <c r="AX1154"/>
  <c r="AX1153"/>
  <c r="Z1152"/>
  <c r="AX1152" s="1"/>
  <c r="AX1151"/>
  <c r="AX1150"/>
  <c r="AX1149"/>
  <c r="AV1148"/>
  <c r="AT1148"/>
  <c r="AR1148"/>
  <c r="AP1148"/>
  <c r="AH1148"/>
  <c r="AF1148"/>
  <c r="AB1148"/>
  <c r="Z1148"/>
  <c r="AV1147"/>
  <c r="AT1147"/>
  <c r="AR1147"/>
  <c r="AP1147"/>
  <c r="AH1147"/>
  <c r="AF1147"/>
  <c r="AB1147"/>
  <c r="Z1147"/>
  <c r="AX1146"/>
  <c r="AV1145"/>
  <c r="AT1145"/>
  <c r="AR1145"/>
  <c r="AP1145"/>
  <c r="AH1145"/>
  <c r="AF1145"/>
  <c r="AB1145"/>
  <c r="Z1145"/>
  <c r="AV1144"/>
  <c r="AT1144"/>
  <c r="AR1144"/>
  <c r="AH1144"/>
  <c r="AF1144"/>
  <c r="AB1144"/>
  <c r="Z1144"/>
  <c r="AX1143"/>
  <c r="AX1142"/>
  <c r="AV1141"/>
  <c r="AT1141"/>
  <c r="AR1141"/>
  <c r="AH1141"/>
  <c r="AF1141"/>
  <c r="AB1141"/>
  <c r="Z1141"/>
  <c r="AV1140"/>
  <c r="AT1140"/>
  <c r="AR1140"/>
  <c r="AH1140"/>
  <c r="AF1140"/>
  <c r="AB1140"/>
  <c r="Z1140"/>
  <c r="AV1139"/>
  <c r="AT1139"/>
  <c r="AR1139"/>
  <c r="AH1139"/>
  <c r="AF1139"/>
  <c r="AB1139"/>
  <c r="Z1139"/>
  <c r="AX1138"/>
  <c r="AX1137"/>
  <c r="Y1137"/>
  <c r="X1137"/>
  <c r="AV1136"/>
  <c r="AT1136"/>
  <c r="AR1136"/>
  <c r="AH1136"/>
  <c r="AF1136"/>
  <c r="AB1136"/>
  <c r="Z1136"/>
  <c r="AV1135"/>
  <c r="AT1135"/>
  <c r="AR1135"/>
  <c r="AH1135"/>
  <c r="AF1135"/>
  <c r="AB1135"/>
  <c r="Z1135"/>
  <c r="AV1134"/>
  <c r="AT1134"/>
  <c r="AR1134"/>
  <c r="AH1134"/>
  <c r="AF1134"/>
  <c r="AB1134"/>
  <c r="Z1134"/>
  <c r="AV1133"/>
  <c r="AT1133"/>
  <c r="AR1133"/>
  <c r="AH1133"/>
  <c r="AF1133"/>
  <c r="AB1133"/>
  <c r="Z1133"/>
  <c r="AV1132"/>
  <c r="AT1132"/>
  <c r="AR1132"/>
  <c r="AH1132"/>
  <c r="AF1132"/>
  <c r="AB1132"/>
  <c r="Z1132"/>
  <c r="AV1131"/>
  <c r="AT1131"/>
  <c r="AR1131"/>
  <c r="AH1131"/>
  <c r="AF1131"/>
  <c r="AB1131"/>
  <c r="Z1131"/>
  <c r="AX1130"/>
  <c r="AV1129"/>
  <c r="AT1129"/>
  <c r="AR1129"/>
  <c r="AH1129"/>
  <c r="AF1129"/>
  <c r="AB1129"/>
  <c r="Z1129"/>
  <c r="AX1128"/>
  <c r="AV1127"/>
  <c r="AT1127"/>
  <c r="AR1127"/>
  <c r="AH1127"/>
  <c r="AF1127"/>
  <c r="AB1127"/>
  <c r="Z1127"/>
  <c r="AX1126"/>
  <c r="AX1125"/>
  <c r="AX1124"/>
  <c r="AX1123"/>
  <c r="AX1122"/>
  <c r="AX1121"/>
  <c r="AX1120"/>
  <c r="AX1119"/>
  <c r="AX1118"/>
  <c r="AX1117"/>
  <c r="AX1116"/>
  <c r="AX1115"/>
  <c r="AX1114"/>
  <c r="AX1113"/>
  <c r="AX1112"/>
  <c r="AX1111"/>
  <c r="AX1110"/>
  <c r="AX1109"/>
  <c r="AX1108"/>
  <c r="X1108"/>
  <c r="AX1107"/>
  <c r="AX1106"/>
  <c r="AX1105"/>
  <c r="AX1104"/>
  <c r="AX1103"/>
  <c r="AX1102"/>
  <c r="AX1101"/>
  <c r="AX1100"/>
  <c r="AX1099"/>
  <c r="AX1098"/>
  <c r="AX1097"/>
  <c r="AV1096"/>
  <c r="AT1096"/>
  <c r="AR1096"/>
  <c r="AP1096"/>
  <c r="AH1096"/>
  <c r="AF1096"/>
  <c r="AB1096"/>
  <c r="Z1096"/>
  <c r="AX1093"/>
  <c r="AX1091"/>
  <c r="AX1090"/>
  <c r="AV1089"/>
  <c r="AT1089"/>
  <c r="AR1089"/>
  <c r="AP1089"/>
  <c r="AH1089"/>
  <c r="AF1089"/>
  <c r="AD1089"/>
  <c r="AB1089"/>
  <c r="Z1089"/>
  <c r="AX1087"/>
  <c r="AM2734" i="3"/>
  <c r="AM2733"/>
  <c r="AM2732"/>
  <c r="AM2731"/>
  <c r="AM2730"/>
  <c r="AM2729"/>
  <c r="AM2725"/>
  <c r="AM2724"/>
  <c r="AM2721"/>
  <c r="AM2719"/>
  <c r="AM2717"/>
  <c r="AM2716"/>
  <c r="AM2715"/>
  <c r="AM2714"/>
  <c r="AM2713"/>
  <c r="AM2712"/>
  <c r="AM2711"/>
  <c r="AM2710"/>
  <c r="AM2709"/>
  <c r="AM2708"/>
  <c r="AM2706"/>
  <c r="AM2705"/>
  <c r="AM2704"/>
  <c r="AM2703"/>
  <c r="AM2702"/>
  <c r="AM2701"/>
  <c r="AM2700"/>
  <c r="AM2699"/>
  <c r="AM2698"/>
  <c r="AM2697"/>
  <c r="AM2696"/>
  <c r="AM2695"/>
  <c r="AM2694"/>
  <c r="AM2693"/>
  <c r="AM2692"/>
  <c r="AM2691"/>
  <c r="AM2690"/>
  <c r="AM2689"/>
  <c r="AM2688"/>
  <c r="AM2687"/>
  <c r="AM2686"/>
  <c r="AM2685"/>
  <c r="AM2684"/>
  <c r="AM2682"/>
  <c r="AM2681"/>
  <c r="AM2680"/>
  <c r="AM2678"/>
  <c r="AM2676"/>
  <c r="AM2675"/>
  <c r="AM2674"/>
  <c r="AM2673"/>
  <c r="AM2672"/>
  <c r="AM2671"/>
  <c r="AM2670"/>
  <c r="AM2669"/>
  <c r="AM2668"/>
  <c r="AM2667"/>
  <c r="AM2666"/>
  <c r="AM2664"/>
  <c r="AM2663"/>
  <c r="AM2662"/>
  <c r="AM2661"/>
  <c r="AM2660"/>
  <c r="AM2659"/>
  <c r="AM2658"/>
  <c r="AM2657"/>
  <c r="AM2656"/>
  <c r="AM2655"/>
  <c r="AM2654"/>
  <c r="AM2653"/>
  <c r="AM2652"/>
  <c r="AM2651"/>
  <c r="AM2650"/>
  <c r="AM2649"/>
  <c r="AM2648"/>
  <c r="AM2647"/>
  <c r="AM2646"/>
  <c r="AM2645"/>
  <c r="AM2643"/>
  <c r="AM2641"/>
  <c r="AM2639"/>
  <c r="AM2638"/>
  <c r="AM2636"/>
  <c r="AM2635"/>
  <c r="AM2634"/>
  <c r="AM2633"/>
  <c r="AM2632"/>
  <c r="AM2630"/>
  <c r="AM2629"/>
  <c r="AM2628"/>
  <c r="AM2627"/>
  <c r="AM2626"/>
  <c r="AM2625"/>
  <c r="AM2624"/>
  <c r="AM2623"/>
  <c r="AM2622"/>
  <c r="AM2620"/>
  <c r="AM2619"/>
  <c r="AM2618"/>
  <c r="AM2617"/>
  <c r="AM2616"/>
  <c r="AM2615"/>
  <c r="AM2614"/>
  <c r="AM2613"/>
  <c r="AM2612"/>
  <c r="AM2610"/>
  <c r="AM2608"/>
  <c r="AM2607"/>
  <c r="AM2605"/>
  <c r="AM2604"/>
  <c r="AM2603"/>
  <c r="AM2602"/>
  <c r="AM2601"/>
  <c r="AM2600"/>
  <c r="AM2599"/>
  <c r="AM2597"/>
  <c r="AM2595"/>
  <c r="AM2594"/>
  <c r="AM2593"/>
  <c r="AM2592"/>
  <c r="AM2590"/>
  <c r="AM2588"/>
  <c r="AM2587"/>
  <c r="AM2585"/>
  <c r="AM2583"/>
  <c r="AM2581"/>
  <c r="AM2580"/>
  <c r="AM2579"/>
  <c r="AM2578"/>
  <c r="AM2577"/>
  <c r="AM2572"/>
  <c r="AM2571"/>
  <c r="AM2570"/>
  <c r="AM2569"/>
  <c r="AM2568"/>
  <c r="AM2567"/>
  <c r="AM2566"/>
  <c r="AM2565"/>
  <c r="AM2564"/>
  <c r="AM2562"/>
  <c r="AM2559"/>
  <c r="AM2556"/>
  <c r="AM2554"/>
  <c r="AM2553"/>
  <c r="AM2552"/>
  <c r="AM2551"/>
  <c r="AM2550"/>
  <c r="AM2549"/>
  <c r="AM2548"/>
  <c r="AM2545"/>
  <c r="AM2544"/>
  <c r="AM2543"/>
  <c r="AM2542"/>
  <c r="AM2541"/>
  <c r="AG2540"/>
  <c r="AE2540"/>
  <c r="AC2540"/>
  <c r="AA2540"/>
  <c r="U2540"/>
  <c r="S2540"/>
  <c r="Q2540"/>
  <c r="O2540"/>
  <c r="AM2539"/>
  <c r="AM2538"/>
  <c r="AM2537"/>
  <c r="AM2534"/>
  <c r="AM2533"/>
  <c r="AM2532"/>
  <c r="AM2531"/>
  <c r="AM2530"/>
  <c r="AM2529"/>
  <c r="AM2528"/>
  <c r="AM2527"/>
  <c r="AM2526"/>
  <c r="AM2525"/>
  <c r="AM2524"/>
  <c r="AM2522"/>
  <c r="AM2521"/>
  <c r="AM2520"/>
  <c r="AM2519"/>
  <c r="AM2518"/>
  <c r="AM2517"/>
  <c r="AM2516"/>
  <c r="AM2515"/>
  <c r="AM2514"/>
  <c r="AM2511"/>
  <c r="AM2510"/>
  <c r="AM2509"/>
  <c r="AM2508"/>
  <c r="AM2507"/>
  <c r="AM2506"/>
  <c r="AM2505"/>
  <c r="AM2504"/>
  <c r="AM2503"/>
  <c r="AM2502"/>
  <c r="AM2501"/>
  <c r="AM2500"/>
  <c r="AM2499"/>
  <c r="AM2498"/>
  <c r="AM2497"/>
  <c r="AM2496"/>
  <c r="AM2495"/>
  <c r="AM2494"/>
  <c r="AM2493"/>
  <c r="AM2492"/>
  <c r="AM2491"/>
  <c r="AM2490"/>
  <c r="AM2489"/>
  <c r="AM2488"/>
  <c r="AM2487"/>
  <c r="AM2486"/>
  <c r="AM2485"/>
  <c r="AM2483"/>
  <c r="AM2481"/>
  <c r="AM2480"/>
  <c r="AM2479"/>
  <c r="AM2478"/>
  <c r="AM2477"/>
  <c r="AM2476"/>
  <c r="AM2475"/>
  <c r="AM2474"/>
  <c r="AM2473"/>
  <c r="AM2472"/>
  <c r="AM2471"/>
  <c r="AM2470"/>
  <c r="AM2469"/>
  <c r="AM2468"/>
  <c r="AM2467"/>
  <c r="AM2465"/>
  <c r="AM2463"/>
  <c r="AM2462"/>
  <c r="AM2461"/>
  <c r="AM2460"/>
  <c r="AM2459"/>
  <c r="AM2458"/>
  <c r="AM2457"/>
  <c r="AM2456"/>
  <c r="AM2455"/>
  <c r="AM2454"/>
  <c r="AM2453"/>
  <c r="AM2452"/>
  <c r="AM2451"/>
  <c r="AM2450"/>
  <c r="AM2449"/>
  <c r="AM2448"/>
  <c r="AM2447"/>
  <c r="AM2446"/>
  <c r="AM2445"/>
  <c r="AM2444"/>
  <c r="AM2443"/>
  <c r="AM2442"/>
  <c r="AM2441"/>
  <c r="AM2438"/>
  <c r="AM2435"/>
  <c r="AM2434"/>
  <c r="AM2433"/>
  <c r="AM2432"/>
  <c r="AM2431"/>
  <c r="AM2430"/>
  <c r="AM2429"/>
  <c r="AM2428"/>
  <c r="AM2427"/>
  <c r="AM2426"/>
  <c r="AM2425"/>
  <c r="AM2424"/>
  <c r="AM2423"/>
  <c r="AM2422"/>
  <c r="AM2421"/>
  <c r="AM2420"/>
  <c r="AM2419"/>
  <c r="AM2417"/>
  <c r="AM2415"/>
  <c r="AM2414"/>
  <c r="AM2413"/>
  <c r="AM2412"/>
  <c r="AM2411"/>
  <c r="AM2410"/>
  <c r="AM2409"/>
  <c r="AM2408"/>
  <c r="AM2407"/>
  <c r="AM2406"/>
  <c r="AM2405"/>
  <c r="AM2404"/>
  <c r="AM2403"/>
  <c r="AM2402"/>
  <c r="AM2401"/>
  <c r="AM2400"/>
  <c r="AM2399"/>
  <c r="AM2398"/>
  <c r="AM2397"/>
  <c r="AM2396"/>
  <c r="AM2395"/>
  <c r="AM2394"/>
  <c r="AM2393"/>
  <c r="AM2392"/>
  <c r="AM2391"/>
  <c r="AM2390"/>
  <c r="AM2389"/>
  <c r="AM2388"/>
  <c r="AM2387"/>
  <c r="AM2386"/>
  <c r="AM2385"/>
  <c r="AM2384"/>
  <c r="AM2383"/>
  <c r="AM2380"/>
  <c r="AM2379"/>
  <c r="AM2378"/>
  <c r="AM2377"/>
  <c r="AM2376"/>
  <c r="AM2375"/>
  <c r="AM2374"/>
  <c r="AM2373"/>
  <c r="AM2372"/>
  <c r="AM2371"/>
  <c r="AM2370"/>
  <c r="AM2369"/>
  <c r="AM2362"/>
  <c r="AM2361"/>
  <c r="AM2360"/>
  <c r="AM2359"/>
  <c r="AM2358"/>
  <c r="AM2357"/>
  <c r="AM2356"/>
  <c r="AM2355"/>
  <c r="AM2354"/>
  <c r="AM2353"/>
  <c r="AM2352"/>
  <c r="AM2351"/>
  <c r="AM2350"/>
  <c r="AM2349"/>
  <c r="AM2348"/>
  <c r="AM2347"/>
  <c r="AM2346"/>
  <c r="AM2345"/>
  <c r="AM2344"/>
  <c r="AM2343"/>
  <c r="AM2341"/>
  <c r="AM2339"/>
  <c r="AM2338"/>
  <c r="AM2337"/>
  <c r="AM2336"/>
  <c r="AM2335"/>
  <c r="AM2334"/>
  <c r="AM2333"/>
  <c r="AM2332"/>
  <c r="AM2331"/>
  <c r="AM2330"/>
  <c r="AM2328"/>
  <c r="AM2326"/>
  <c r="AM2325"/>
  <c r="AM2324"/>
  <c r="AM2322"/>
  <c r="AM2320"/>
  <c r="AX1437" i="6" l="1"/>
  <c r="AX1439"/>
  <c r="AX1444"/>
  <c r="AX1456"/>
  <c r="AX1453"/>
  <c r="AX1449"/>
  <c r="AX1454"/>
  <c r="AX1455"/>
  <c r="AX1134"/>
  <c r="AX1202"/>
  <c r="AX1203"/>
  <c r="AX1210"/>
  <c r="AX1248"/>
  <c r="AX1265"/>
  <c r="AX1283"/>
  <c r="AX1386"/>
  <c r="AX1387"/>
  <c r="AX1388"/>
  <c r="AX1389"/>
  <c r="AX1390"/>
  <c r="AX1419"/>
  <c r="AX1424"/>
  <c r="AX1440"/>
  <c r="AX1438"/>
  <c r="AX1446"/>
  <c r="AX1452"/>
  <c r="AX1127"/>
  <c r="AX1129"/>
  <c r="AX1133"/>
  <c r="AX1139"/>
  <c r="AX1141"/>
  <c r="AX1145"/>
  <c r="AX1205"/>
  <c r="AX1206"/>
  <c r="AX1240"/>
  <c r="AX1241"/>
  <c r="AX1278"/>
  <c r="AX1279"/>
  <c r="AX1372"/>
  <c r="AX1392"/>
  <c r="AX1393"/>
  <c r="AX1394"/>
  <c r="AX1442"/>
  <c r="AX1443"/>
  <c r="AX1445"/>
  <c r="AX1131"/>
  <c r="AX1135"/>
  <c r="AX1166"/>
  <c r="AX1208"/>
  <c r="AX1263"/>
  <c r="AX1267"/>
  <c r="AX1286"/>
  <c r="AX1374"/>
  <c r="AX1089"/>
  <c r="AX1096"/>
  <c r="AX1132"/>
  <c r="AX1136"/>
  <c r="AX1140"/>
  <c r="AX1144"/>
  <c r="AX1147"/>
  <c r="AX1148"/>
  <c r="AX1164"/>
  <c r="AX1182"/>
  <c r="AX1246"/>
  <c r="AX1288"/>
  <c r="AX1297"/>
  <c r="AX1376"/>
  <c r="AX1396"/>
  <c r="AX1397"/>
  <c r="AX1398"/>
  <c r="AX1427"/>
  <c r="AX1428"/>
  <c r="AX1429"/>
  <c r="AX1441"/>
  <c r="AX1447"/>
  <c r="AM2540" i="3"/>
  <c r="AY423" i="6" l="1"/>
  <c r="AY1087"/>
  <c r="AY1090"/>
  <c r="AY1091"/>
  <c r="AY1093"/>
  <c r="AY1097"/>
  <c r="AY1098"/>
  <c r="AY1099"/>
  <c r="AY1100"/>
  <c r="AY1101"/>
  <c r="AY1102"/>
  <c r="AY1103"/>
  <c r="AY1105"/>
  <c r="AY1107"/>
  <c r="AY1108"/>
  <c r="AY1109"/>
  <c r="AY1110"/>
  <c r="AY1111"/>
  <c r="AY1112"/>
  <c r="AY1114"/>
  <c r="AY1115"/>
  <c r="AY1118"/>
  <c r="AY1119"/>
  <c r="AY1120"/>
  <c r="AY1121"/>
  <c r="AY1122"/>
  <c r="AY1136"/>
  <c r="AY1146"/>
  <c r="AY1149"/>
  <c r="AY1151"/>
  <c r="AY1152"/>
  <c r="AY1153"/>
  <c r="AY1154"/>
  <c r="AY1156"/>
  <c r="AY1157"/>
  <c r="AY1158"/>
  <c r="AY1159"/>
  <c r="AY1160"/>
  <c r="AY1161"/>
  <c r="AY1163"/>
  <c r="AY1165"/>
  <c r="AY1167"/>
  <c r="AY1168"/>
  <c r="AY1170"/>
  <c r="AY1171"/>
  <c r="AY1172"/>
  <c r="AY1173"/>
  <c r="AY1175"/>
  <c r="AY1176"/>
  <c r="AY1177"/>
  <c r="AY1178"/>
  <c r="AY1179"/>
  <c r="AY1180"/>
  <c r="AY1181"/>
  <c r="AY1184"/>
  <c r="AY1187"/>
  <c r="AY1188"/>
  <c r="AY1192"/>
  <c r="AY1194"/>
  <c r="AY1196"/>
  <c r="AY1197"/>
  <c r="AY1198"/>
  <c r="AY1199"/>
  <c r="AY1200"/>
  <c r="AY1201"/>
  <c r="AY1206"/>
  <c r="AY1210"/>
  <c r="AY1211"/>
  <c r="AY1212"/>
  <c r="AY1215"/>
  <c r="AY1216"/>
  <c r="AY1217"/>
  <c r="AY1218"/>
  <c r="AY1219"/>
  <c r="AY1221"/>
  <c r="AY1222"/>
  <c r="AY1223"/>
  <c r="AY1224"/>
  <c r="AY1226"/>
  <c r="AY1227"/>
  <c r="AY1228"/>
  <c r="AY1229"/>
  <c r="AY1230"/>
  <c r="AY1232"/>
  <c r="AY1233"/>
  <c r="AY1234"/>
  <c r="AY1235"/>
  <c r="AY1236"/>
  <c r="AY1237"/>
  <c r="AY1238"/>
  <c r="AY1239"/>
  <c r="AY1242"/>
  <c r="AY1243"/>
  <c r="AY1244"/>
  <c r="AY1245"/>
  <c r="AY1248"/>
  <c r="AY1250"/>
  <c r="AY1253"/>
  <c r="AY1254"/>
  <c r="AY1255"/>
  <c r="AY1256"/>
  <c r="AY1257"/>
  <c r="AY1258"/>
  <c r="AY1259"/>
  <c r="AY1260"/>
  <c r="AY1261"/>
  <c r="AY1263"/>
  <c r="AY1265"/>
  <c r="AY1267"/>
  <c r="AY1269"/>
  <c r="AY1270"/>
  <c r="AY1277"/>
  <c r="AY1278"/>
  <c r="AY1280"/>
  <c r="AY1281"/>
  <c r="AY1285"/>
  <c r="AY1286"/>
  <c r="AY1292"/>
  <c r="AY1293"/>
  <c r="AY1295"/>
  <c r="AY1296"/>
  <c r="AY1297"/>
  <c r="AY1299"/>
  <c r="AY1300"/>
  <c r="AY1301"/>
  <c r="AY1306"/>
  <c r="AY1307"/>
  <c r="AY1309"/>
  <c r="AY1310"/>
  <c r="AY1311"/>
  <c r="AY1313"/>
  <c r="AY1315"/>
  <c r="AY1316"/>
  <c r="AY1318"/>
  <c r="AY1320"/>
  <c r="AY1321"/>
  <c r="AY1322"/>
  <c r="AY1323"/>
  <c r="AY1325"/>
  <c r="AY1326"/>
  <c r="AY1327"/>
  <c r="AY1329"/>
  <c r="AY1330"/>
  <c r="AY1331"/>
  <c r="AY1333"/>
  <c r="AY1334"/>
  <c r="AY1338"/>
  <c r="AY1339"/>
  <c r="AY1341"/>
  <c r="AY1342"/>
  <c r="AY1343"/>
  <c r="AY1344"/>
  <c r="AY1347"/>
  <c r="AY1348"/>
  <c r="AY1349"/>
  <c r="AY1351"/>
  <c r="AY1352"/>
  <c r="AY1353"/>
  <c r="AY1356"/>
  <c r="AY1357"/>
  <c r="AY1360"/>
  <c r="AY1362"/>
  <c r="AY1364"/>
  <c r="AY1366"/>
  <c r="AY1367"/>
  <c r="AY1368"/>
  <c r="AY1369"/>
  <c r="AY1370"/>
  <c r="AY1371"/>
  <c r="AY1372"/>
  <c r="AY1373"/>
  <c r="AY1376"/>
  <c r="AY1378"/>
  <c r="AY1380"/>
  <c r="AY1383"/>
  <c r="AY1384"/>
  <c r="AY1386"/>
  <c r="AY1387"/>
  <c r="AY1388"/>
  <c r="AY1395"/>
  <c r="AY1402"/>
  <c r="AY1403"/>
  <c r="AY1404"/>
  <c r="AY1405"/>
  <c r="AY1406"/>
  <c r="AY1407"/>
  <c r="AY1409"/>
  <c r="AY1412"/>
  <c r="AY1413"/>
  <c r="AY1416"/>
  <c r="AY1417"/>
  <c r="AY1422"/>
  <c r="AY1425"/>
  <c r="AY1426"/>
  <c r="AY1432"/>
  <c r="AY1452"/>
  <c r="AY1454"/>
  <c r="AY1456"/>
  <c r="U9" i="1" l="1"/>
  <c r="T9" s="1"/>
  <c r="U10"/>
  <c r="T10" s="1"/>
  <c r="U12"/>
  <c r="T12" s="1"/>
  <c r="U13"/>
  <c r="T13" s="1"/>
  <c r="U14"/>
  <c r="T14" s="1"/>
  <c r="U15"/>
  <c r="T15" s="1"/>
  <c r="U16"/>
  <c r="T16" s="1"/>
  <c r="U17"/>
  <c r="T17" s="1"/>
  <c r="U18"/>
  <c r="T18" s="1"/>
  <c r="U19"/>
  <c r="T19" s="1"/>
  <c r="U20"/>
  <c r="T20" s="1"/>
  <c r="U21"/>
  <c r="T21" s="1"/>
  <c r="U22"/>
  <c r="T22" s="1"/>
  <c r="U23"/>
  <c r="T23" s="1"/>
  <c r="U24"/>
  <c r="T24" s="1"/>
  <c r="U25"/>
  <c r="T25" s="1"/>
  <c r="U26"/>
  <c r="T26" s="1"/>
  <c r="U27"/>
  <c r="T27" s="1"/>
  <c r="U28"/>
  <c r="T28" s="1"/>
  <c r="U29"/>
  <c r="T29" s="1"/>
  <c r="U30"/>
  <c r="T30" s="1"/>
  <c r="U31"/>
  <c r="T31" s="1"/>
  <c r="U32"/>
  <c r="T32" s="1"/>
  <c r="U33"/>
  <c r="T33" s="1"/>
  <c r="U34"/>
  <c r="T34" s="1"/>
  <c r="U35"/>
  <c r="T35" s="1"/>
  <c r="U36"/>
  <c r="T36" s="1"/>
  <c r="U37"/>
  <c r="T37" s="1"/>
  <c r="U38"/>
  <c r="T38" s="1"/>
  <c r="U39"/>
  <c r="T39" s="1"/>
  <c r="U40"/>
  <c r="T40" s="1"/>
  <c r="U41"/>
  <c r="T41" s="1"/>
  <c r="U42"/>
  <c r="T42" s="1"/>
  <c r="U43"/>
  <c r="T43" s="1"/>
  <c r="U44"/>
  <c r="T44" s="1"/>
  <c r="U45"/>
  <c r="T45" s="1"/>
  <c r="U46"/>
  <c r="T46" s="1"/>
  <c r="U47"/>
  <c r="T47" s="1"/>
  <c r="U48"/>
  <c r="T48" s="1"/>
  <c r="U49"/>
  <c r="T49" s="1"/>
  <c r="U50"/>
  <c r="T50" s="1"/>
  <c r="U51"/>
  <c r="T51" s="1"/>
  <c r="U52"/>
  <c r="T52" s="1"/>
  <c r="U53"/>
  <c r="T53" s="1"/>
  <c r="U54"/>
  <c r="T54" s="1"/>
  <c r="U55"/>
  <c r="T55" s="1"/>
  <c r="U56"/>
  <c r="T56" s="1"/>
  <c r="U57"/>
  <c r="T57" s="1"/>
  <c r="U58"/>
  <c r="T58" s="1"/>
  <c r="U59"/>
  <c r="T59" s="1"/>
  <c r="U60"/>
  <c r="T60" s="1"/>
  <c r="U61"/>
  <c r="T61" s="1"/>
  <c r="U62"/>
  <c r="T62" s="1"/>
  <c r="U63"/>
  <c r="T63" s="1"/>
  <c r="U64"/>
  <c r="T64" s="1"/>
  <c r="U65"/>
  <c r="T65" s="1"/>
  <c r="U66"/>
  <c r="T66" s="1"/>
  <c r="U67"/>
  <c r="T67" s="1"/>
  <c r="U68"/>
  <c r="T68" s="1"/>
  <c r="U69"/>
  <c r="T69" s="1"/>
  <c r="U70"/>
  <c r="T70" s="1"/>
  <c r="U71"/>
  <c r="T71" s="1"/>
  <c r="U72"/>
  <c r="T72" s="1"/>
  <c r="U73"/>
  <c r="T73" s="1"/>
  <c r="U74"/>
  <c r="T74" s="1"/>
  <c r="U75"/>
  <c r="T75" s="1"/>
  <c r="U76"/>
  <c r="T76" s="1"/>
  <c r="U77"/>
  <c r="T77" s="1"/>
  <c r="U78"/>
  <c r="T78" s="1"/>
  <c r="U79"/>
  <c r="T79" s="1"/>
  <c r="U80"/>
  <c r="T80" s="1"/>
  <c r="U81"/>
  <c r="T81" s="1"/>
  <c r="U82"/>
  <c r="T82" s="1"/>
  <c r="U83"/>
  <c r="T83" s="1"/>
  <c r="U84"/>
  <c r="T84" s="1"/>
  <c r="U85"/>
  <c r="T85" s="1"/>
  <c r="U86"/>
  <c r="T86" s="1"/>
  <c r="U87"/>
  <c r="T87" s="1"/>
  <c r="U88"/>
  <c r="T88" s="1"/>
  <c r="U89"/>
  <c r="T89" s="1"/>
  <c r="U90"/>
  <c r="T90" s="1"/>
  <c r="U91"/>
  <c r="T91" s="1"/>
  <c r="U92"/>
  <c r="T92" s="1"/>
  <c r="U93"/>
  <c r="T93" s="1"/>
  <c r="U94"/>
  <c r="T94" s="1"/>
  <c r="U95"/>
  <c r="T95" s="1"/>
  <c r="U96"/>
  <c r="T96" s="1"/>
  <c r="U97"/>
  <c r="T97" s="1"/>
  <c r="U98"/>
  <c r="T98" s="1"/>
  <c r="U99"/>
  <c r="T99" s="1"/>
  <c r="U100"/>
  <c r="T100" s="1"/>
  <c r="U101"/>
  <c r="T101" s="1"/>
  <c r="U102"/>
  <c r="T102" s="1"/>
  <c r="U103"/>
  <c r="T103" s="1"/>
  <c r="U104"/>
  <c r="T104" s="1"/>
  <c r="U105"/>
  <c r="T105" s="1"/>
  <c r="U106"/>
  <c r="T106" s="1"/>
  <c r="U107"/>
  <c r="T107" s="1"/>
  <c r="U108"/>
  <c r="T108" s="1"/>
  <c r="U109"/>
  <c r="T109" s="1"/>
  <c r="U110"/>
  <c r="T110" s="1"/>
  <c r="U111"/>
  <c r="T111" s="1"/>
  <c r="U112"/>
  <c r="T112" s="1"/>
  <c r="U113"/>
  <c r="T113" s="1"/>
  <c r="U114"/>
  <c r="T114" s="1"/>
  <c r="U115"/>
  <c r="T115" s="1"/>
  <c r="U116"/>
  <c r="T116" s="1"/>
  <c r="U117"/>
  <c r="T117" s="1"/>
  <c r="U118"/>
  <c r="T118" s="1"/>
  <c r="U119"/>
  <c r="T119" s="1"/>
  <c r="U120"/>
  <c r="T120" s="1"/>
  <c r="U121"/>
  <c r="T121" s="1"/>
  <c r="U122"/>
  <c r="T122" s="1"/>
  <c r="U123"/>
  <c r="T123" s="1"/>
  <c r="U124"/>
  <c r="T124" s="1"/>
  <c r="U125"/>
  <c r="T125" s="1"/>
  <c r="U126"/>
  <c r="T126" s="1"/>
  <c r="U127"/>
  <c r="T127" s="1"/>
  <c r="U128"/>
  <c r="T128" s="1"/>
  <c r="U129"/>
  <c r="T129" s="1"/>
  <c r="U130"/>
  <c r="T130" s="1"/>
  <c r="U131"/>
  <c r="T131" s="1"/>
  <c r="U132"/>
  <c r="T132" s="1"/>
  <c r="U133"/>
  <c r="T133" s="1"/>
  <c r="U134"/>
  <c r="T134" s="1"/>
  <c r="U135"/>
  <c r="T135" s="1"/>
  <c r="U136"/>
  <c r="T136" s="1"/>
  <c r="U137"/>
  <c r="T137" s="1"/>
  <c r="U138"/>
  <c r="T138" s="1"/>
  <c r="U139"/>
  <c r="T139" s="1"/>
  <c r="U140"/>
  <c r="T140" s="1"/>
  <c r="U141"/>
  <c r="T141" s="1"/>
  <c r="U142"/>
  <c r="T142" s="1"/>
  <c r="U143"/>
  <c r="T143" s="1"/>
  <c r="U144"/>
  <c r="T144" s="1"/>
  <c r="U145"/>
  <c r="T145" s="1"/>
  <c r="U146"/>
  <c r="T146" s="1"/>
  <c r="U147"/>
  <c r="T147" s="1"/>
  <c r="U148"/>
  <c r="T148" s="1"/>
  <c r="U149"/>
  <c r="T149" s="1"/>
  <c r="U150"/>
  <c r="T150" s="1"/>
  <c r="U151"/>
  <c r="T151" s="1"/>
  <c r="U152"/>
  <c r="T152" s="1"/>
  <c r="U153"/>
  <c r="T153" s="1"/>
  <c r="U154"/>
  <c r="T154" s="1"/>
  <c r="U155"/>
  <c r="T155" s="1"/>
  <c r="U156"/>
  <c r="T156" s="1"/>
  <c r="U157"/>
  <c r="T157" s="1"/>
  <c r="U158"/>
  <c r="T158" s="1"/>
  <c r="U159"/>
  <c r="T159" s="1"/>
  <c r="U160"/>
  <c r="T160" s="1"/>
  <c r="U161"/>
  <c r="T161" s="1"/>
  <c r="U162"/>
  <c r="T162" s="1"/>
  <c r="U163"/>
  <c r="T163" s="1"/>
  <c r="U164"/>
  <c r="T164" s="1"/>
  <c r="U165"/>
  <c r="T165" s="1"/>
  <c r="U166"/>
  <c r="T166" s="1"/>
  <c r="U167"/>
  <c r="T167" s="1"/>
  <c r="U168"/>
  <c r="T168" s="1"/>
  <c r="U169"/>
  <c r="T169" s="1"/>
  <c r="U170"/>
  <c r="T170" s="1"/>
  <c r="U171"/>
  <c r="T171" s="1"/>
  <c r="U172"/>
  <c r="T172" s="1"/>
  <c r="U173"/>
  <c r="T173" s="1"/>
  <c r="U174"/>
  <c r="T174" s="1"/>
  <c r="U175"/>
  <c r="T175" s="1"/>
  <c r="U176"/>
  <c r="T176" s="1"/>
  <c r="U177"/>
  <c r="T177" s="1"/>
  <c r="U178"/>
  <c r="T178" s="1"/>
  <c r="U179"/>
  <c r="T179" s="1"/>
  <c r="U180"/>
  <c r="T180" s="1"/>
  <c r="U181"/>
  <c r="T181" s="1"/>
  <c r="U182"/>
  <c r="T182" s="1"/>
  <c r="U183"/>
  <c r="T183" s="1"/>
  <c r="U184"/>
  <c r="T184" s="1"/>
  <c r="U185"/>
  <c r="T185" s="1"/>
  <c r="U186"/>
  <c r="T186" s="1"/>
  <c r="U187"/>
  <c r="T187" s="1"/>
  <c r="U188"/>
  <c r="T188" s="1"/>
  <c r="U189"/>
  <c r="T189" s="1"/>
  <c r="U190"/>
  <c r="T190" s="1"/>
  <c r="U191"/>
  <c r="T191" s="1"/>
  <c r="U192"/>
  <c r="T192" s="1"/>
  <c r="U193"/>
  <c r="T193" s="1"/>
  <c r="U194"/>
  <c r="T194" s="1"/>
  <c r="U195"/>
  <c r="T195" s="1"/>
  <c r="U196"/>
  <c r="T196" s="1"/>
  <c r="U197"/>
  <c r="T197" s="1"/>
  <c r="U198"/>
  <c r="T198" s="1"/>
  <c r="U199"/>
  <c r="T199" s="1"/>
  <c r="U200"/>
  <c r="T200" s="1"/>
  <c r="U201"/>
  <c r="T201" s="1"/>
  <c r="U202"/>
  <c r="T202" s="1"/>
  <c r="U203"/>
  <c r="T203" s="1"/>
  <c r="U204"/>
  <c r="T204" s="1"/>
  <c r="U205"/>
  <c r="T205" s="1"/>
  <c r="U206"/>
  <c r="T206" s="1"/>
  <c r="U207"/>
  <c r="T207" s="1"/>
  <c r="U208"/>
  <c r="T208" s="1"/>
  <c r="U209"/>
  <c r="T209" s="1"/>
  <c r="U210"/>
  <c r="T210" s="1"/>
  <c r="U211"/>
  <c r="T211" s="1"/>
  <c r="U212"/>
  <c r="T212" s="1"/>
  <c r="U213"/>
  <c r="T213" s="1"/>
  <c r="U214"/>
  <c r="T214" s="1"/>
  <c r="U215"/>
  <c r="T215" s="1"/>
  <c r="U216"/>
  <c r="T216" s="1"/>
  <c r="U217"/>
  <c r="T217" s="1"/>
  <c r="U218"/>
  <c r="T218" s="1"/>
  <c r="U219"/>
  <c r="T219" s="1"/>
  <c r="U220"/>
  <c r="T220" s="1"/>
  <c r="U221"/>
  <c r="T221" s="1"/>
  <c r="U222"/>
  <c r="T222" s="1"/>
  <c r="U223"/>
  <c r="T223" s="1"/>
  <c r="U224"/>
  <c r="T224" s="1"/>
  <c r="U225"/>
  <c r="T225" s="1"/>
  <c r="U226"/>
  <c r="T226" s="1"/>
  <c r="U227"/>
  <c r="T227" s="1"/>
  <c r="U228"/>
  <c r="T228" s="1"/>
  <c r="U229"/>
  <c r="T229" s="1"/>
  <c r="U230"/>
  <c r="T230" s="1"/>
  <c r="U231"/>
  <c r="T231" s="1"/>
  <c r="U232"/>
  <c r="T232" s="1"/>
  <c r="U233"/>
  <c r="T233" s="1"/>
  <c r="U234"/>
  <c r="T234" s="1"/>
  <c r="U235"/>
  <c r="T235" s="1"/>
  <c r="U236"/>
  <c r="T236" s="1"/>
  <c r="U237"/>
  <c r="T237" s="1"/>
  <c r="U238"/>
  <c r="T238" s="1"/>
  <c r="U239"/>
  <c r="T239" s="1"/>
  <c r="U240"/>
  <c r="T240" s="1"/>
  <c r="U241"/>
  <c r="T241" s="1"/>
  <c r="U242"/>
  <c r="T242" s="1"/>
  <c r="U243"/>
  <c r="T243" s="1"/>
  <c r="U244"/>
  <c r="T244" s="1"/>
  <c r="U245"/>
  <c r="T245" s="1"/>
  <c r="U246"/>
  <c r="T246" s="1"/>
  <c r="U247"/>
  <c r="T247" s="1"/>
  <c r="U248"/>
  <c r="T248" s="1"/>
  <c r="U249"/>
  <c r="T249" s="1"/>
  <c r="U250"/>
  <c r="T250" s="1"/>
  <c r="U251"/>
  <c r="T251" s="1"/>
  <c r="U252"/>
  <c r="T252" s="1"/>
  <c r="U253"/>
  <c r="T253" s="1"/>
  <c r="U254"/>
  <c r="T254" s="1"/>
  <c r="U255"/>
  <c r="T255" s="1"/>
  <c r="U256"/>
  <c r="T256" s="1"/>
  <c r="U257"/>
  <c r="T257" s="1"/>
  <c r="U258"/>
  <c r="T258" s="1"/>
  <c r="U259"/>
  <c r="T259" s="1"/>
  <c r="U260"/>
  <c r="T260" s="1"/>
  <c r="U261"/>
  <c r="T261" s="1"/>
  <c r="U262"/>
  <c r="T262" s="1"/>
  <c r="U263"/>
  <c r="T263" s="1"/>
  <c r="U264"/>
  <c r="T264" s="1"/>
  <c r="U265"/>
  <c r="T265" s="1"/>
  <c r="U266"/>
  <c r="T266" s="1"/>
  <c r="U267"/>
  <c r="T267" s="1"/>
  <c r="U268"/>
  <c r="T268" s="1"/>
  <c r="U269"/>
  <c r="T269" s="1"/>
  <c r="U270"/>
  <c r="T270" s="1"/>
  <c r="U271"/>
  <c r="T271" s="1"/>
  <c r="U272"/>
  <c r="T272" s="1"/>
  <c r="U273"/>
  <c r="T273" s="1"/>
  <c r="U274"/>
  <c r="T274" s="1"/>
  <c r="U275"/>
  <c r="T275" s="1"/>
  <c r="U276"/>
  <c r="T276" s="1"/>
  <c r="U277"/>
  <c r="T277" s="1"/>
  <c r="U278"/>
  <c r="T278" s="1"/>
  <c r="U279"/>
  <c r="T279" s="1"/>
  <c r="U280"/>
  <c r="T280" s="1"/>
  <c r="U281"/>
  <c r="T281" s="1"/>
  <c r="U282"/>
  <c r="T282" s="1"/>
  <c r="U283"/>
  <c r="T283" s="1"/>
  <c r="U284"/>
  <c r="T284" s="1"/>
  <c r="U285"/>
  <c r="T285" s="1"/>
  <c r="U286"/>
  <c r="T286" s="1"/>
  <c r="U287"/>
  <c r="T287" s="1"/>
  <c r="U288"/>
  <c r="T288" s="1"/>
  <c r="U289"/>
  <c r="T289" s="1"/>
  <c r="U290"/>
  <c r="T290" s="1"/>
  <c r="U291"/>
  <c r="T291" s="1"/>
  <c r="U292"/>
  <c r="T292" s="1"/>
  <c r="U293"/>
  <c r="T293" s="1"/>
  <c r="U294"/>
  <c r="T294" s="1"/>
  <c r="U295"/>
  <c r="T295" s="1"/>
  <c r="U296"/>
  <c r="T296" s="1"/>
  <c r="U297"/>
  <c r="T297" s="1"/>
  <c r="U298"/>
  <c r="T298" s="1"/>
  <c r="U299"/>
  <c r="T299" s="1"/>
  <c r="U300"/>
  <c r="T300" s="1"/>
  <c r="U301"/>
  <c r="T301" s="1"/>
  <c r="U302"/>
  <c r="T302" s="1"/>
  <c r="U303"/>
  <c r="T303" s="1"/>
  <c r="U304"/>
  <c r="T304" s="1"/>
  <c r="U305"/>
  <c r="T305" s="1"/>
  <c r="U306"/>
  <c r="T306" s="1"/>
  <c r="U307"/>
  <c r="T307" s="1"/>
  <c r="U308"/>
  <c r="T308" s="1"/>
  <c r="U309"/>
  <c r="T309" s="1"/>
  <c r="U310"/>
  <c r="T310" s="1"/>
  <c r="U311"/>
  <c r="T311" s="1"/>
  <c r="U312"/>
  <c r="T312" s="1"/>
  <c r="U313"/>
  <c r="T313" s="1"/>
  <c r="U314"/>
  <c r="T314" s="1"/>
  <c r="U315"/>
  <c r="T315" s="1"/>
  <c r="U316"/>
  <c r="T316" s="1"/>
  <c r="U317"/>
  <c r="T317" s="1"/>
  <c r="U318"/>
  <c r="T318" s="1"/>
  <c r="U319"/>
  <c r="T319" s="1"/>
  <c r="U320"/>
  <c r="T320" s="1"/>
  <c r="U321"/>
  <c r="T321" s="1"/>
  <c r="U322"/>
  <c r="T322" s="1"/>
  <c r="U323"/>
  <c r="T323" s="1"/>
  <c r="U324"/>
  <c r="T324" s="1"/>
  <c r="U325"/>
  <c r="T325" s="1"/>
  <c r="U326"/>
  <c r="T326" s="1"/>
  <c r="U327"/>
  <c r="T327" s="1"/>
  <c r="U328"/>
  <c r="T328" s="1"/>
  <c r="U329"/>
  <c r="T329" s="1"/>
  <c r="U330"/>
  <c r="T330" s="1"/>
  <c r="U331"/>
  <c r="T331" s="1"/>
  <c r="U332"/>
  <c r="T332" s="1"/>
  <c r="U333"/>
  <c r="T333" s="1"/>
  <c r="U334"/>
  <c r="T334" s="1"/>
  <c r="U335"/>
  <c r="T335" s="1"/>
  <c r="U336"/>
  <c r="T336" s="1"/>
  <c r="U337"/>
  <c r="T337" s="1"/>
  <c r="U338"/>
  <c r="T338" s="1"/>
  <c r="U339"/>
  <c r="T339" s="1"/>
  <c r="U340"/>
  <c r="T340" s="1"/>
  <c r="U341"/>
  <c r="T341" s="1"/>
  <c r="U342"/>
  <c r="T342" s="1"/>
  <c r="U343"/>
  <c r="T343" s="1"/>
  <c r="U344"/>
  <c r="T344" s="1"/>
  <c r="U345"/>
  <c r="T345" s="1"/>
  <c r="U346"/>
  <c r="T346" s="1"/>
  <c r="U347"/>
  <c r="T347" s="1"/>
  <c r="U348"/>
  <c r="T348" s="1"/>
  <c r="U349"/>
  <c r="T349" s="1"/>
  <c r="U350"/>
  <c r="T350" s="1"/>
  <c r="U351"/>
  <c r="T351" s="1"/>
  <c r="U352"/>
  <c r="T352" s="1"/>
  <c r="U353"/>
  <c r="T353" s="1"/>
  <c r="U354"/>
  <c r="T354" s="1"/>
  <c r="U355"/>
  <c r="T355" s="1"/>
  <c r="U356"/>
  <c r="T356" s="1"/>
  <c r="U357"/>
  <c r="T357" s="1"/>
  <c r="U358"/>
  <c r="T358" s="1"/>
  <c r="U359"/>
  <c r="T359" s="1"/>
  <c r="U360"/>
  <c r="T360" s="1"/>
  <c r="U361"/>
  <c r="T361" s="1"/>
  <c r="U362"/>
  <c r="T362" s="1"/>
  <c r="U363"/>
  <c r="T363" s="1"/>
  <c r="U364"/>
  <c r="T364" s="1"/>
  <c r="U365"/>
  <c r="T365" s="1"/>
  <c r="U366"/>
  <c r="T366" s="1"/>
  <c r="U367"/>
  <c r="T367" s="1"/>
  <c r="U368"/>
  <c r="T368" s="1"/>
  <c r="U369"/>
  <c r="T369" s="1"/>
  <c r="U370"/>
  <c r="T370" s="1"/>
  <c r="U371"/>
  <c r="T371" s="1"/>
  <c r="U372"/>
  <c r="T372" s="1"/>
  <c r="U373"/>
  <c r="T373" s="1"/>
  <c r="U374"/>
  <c r="T374" s="1"/>
  <c r="U375"/>
  <c r="T375" s="1"/>
  <c r="U376"/>
  <c r="T376" s="1"/>
  <c r="U377"/>
  <c r="T377" s="1"/>
  <c r="U378"/>
  <c r="T378" s="1"/>
  <c r="U379"/>
  <c r="T379" s="1"/>
  <c r="U380"/>
  <c r="T380" s="1"/>
  <c r="U381"/>
  <c r="T381" s="1"/>
  <c r="U382"/>
  <c r="T382" s="1"/>
  <c r="U383"/>
  <c r="T383" s="1"/>
  <c r="U384"/>
  <c r="T384" s="1"/>
  <c r="U385"/>
  <c r="T385" s="1"/>
  <c r="U386"/>
  <c r="T386" s="1"/>
  <c r="U387"/>
  <c r="T387" s="1"/>
  <c r="U388"/>
  <c r="T388" s="1"/>
  <c r="U389"/>
  <c r="T389" s="1"/>
  <c r="U390"/>
  <c r="T390" s="1"/>
  <c r="U391"/>
  <c r="T391" s="1"/>
  <c r="U392"/>
  <c r="T392" s="1"/>
  <c r="U393"/>
  <c r="T393" s="1"/>
  <c r="U394"/>
  <c r="T394" s="1"/>
  <c r="U395"/>
  <c r="T395" s="1"/>
  <c r="U396"/>
  <c r="T396" s="1"/>
  <c r="U397"/>
  <c r="T397" s="1"/>
  <c r="U398"/>
  <c r="T398" s="1"/>
  <c r="U399"/>
  <c r="T399" s="1"/>
  <c r="U400"/>
  <c r="T400" s="1"/>
  <c r="U401"/>
  <c r="T401" s="1"/>
  <c r="U402"/>
  <c r="T402" s="1"/>
  <c r="U403"/>
  <c r="T403" s="1"/>
  <c r="U404"/>
  <c r="T404" s="1"/>
  <c r="U405"/>
  <c r="T405" s="1"/>
  <c r="U406"/>
  <c r="T406" s="1"/>
  <c r="U407"/>
  <c r="T407" s="1"/>
  <c r="U408"/>
  <c r="T408" s="1"/>
  <c r="U409"/>
  <c r="T409" s="1"/>
  <c r="U410"/>
  <c r="T410" s="1"/>
  <c r="U411"/>
  <c r="T411" s="1"/>
  <c r="U412"/>
  <c r="T412" s="1"/>
  <c r="U413"/>
  <c r="T413" s="1"/>
  <c r="U414"/>
  <c r="T414" s="1"/>
  <c r="U415"/>
  <c r="T415" s="1"/>
  <c r="U416"/>
  <c r="T416" s="1"/>
  <c r="U417"/>
  <c r="T417" s="1"/>
  <c r="U418"/>
  <c r="T418" s="1"/>
  <c r="U419"/>
  <c r="T419" s="1"/>
  <c r="U420"/>
  <c r="T420" s="1"/>
  <c r="U421"/>
  <c r="T421" s="1"/>
  <c r="U422"/>
  <c r="T422" s="1"/>
  <c r="U423"/>
  <c r="T423" s="1"/>
  <c r="U424"/>
  <c r="T424" s="1"/>
  <c r="U425"/>
  <c r="T425" s="1"/>
  <c r="U426"/>
  <c r="T426" s="1"/>
  <c r="U427"/>
  <c r="T427" s="1"/>
  <c r="U428"/>
  <c r="T428" s="1"/>
  <c r="U429"/>
  <c r="T429" s="1"/>
  <c r="U430"/>
  <c r="T430" s="1"/>
  <c r="U431"/>
  <c r="T431" s="1"/>
  <c r="U432"/>
  <c r="T432" s="1"/>
  <c r="U433"/>
  <c r="T433" s="1"/>
  <c r="U434"/>
  <c r="T434" s="1"/>
  <c r="U435"/>
  <c r="T435" s="1"/>
  <c r="U436"/>
  <c r="T436" s="1"/>
  <c r="U437"/>
  <c r="T437" s="1"/>
  <c r="U438"/>
  <c r="T438" s="1"/>
  <c r="U439"/>
  <c r="T439" s="1"/>
  <c r="U440"/>
  <c r="T440" s="1"/>
  <c r="U441"/>
  <c r="T441" s="1"/>
  <c r="U442"/>
  <c r="T442" s="1"/>
  <c r="U443"/>
  <c r="T443" s="1"/>
  <c r="U444"/>
  <c r="T444" s="1"/>
  <c r="U445"/>
  <c r="T445" s="1"/>
  <c r="U446"/>
  <c r="T446" s="1"/>
  <c r="U447"/>
  <c r="T447" s="1"/>
  <c r="U448"/>
  <c r="T448" s="1"/>
  <c r="U449"/>
  <c r="T449" s="1"/>
  <c r="U450"/>
  <c r="T450" s="1"/>
  <c r="U451"/>
  <c r="T451" s="1"/>
  <c r="U452"/>
  <c r="T452" s="1"/>
  <c r="U453"/>
  <c r="T453" s="1"/>
  <c r="U454"/>
  <c r="T454" s="1"/>
  <c r="U455"/>
  <c r="T455" s="1"/>
  <c r="U456"/>
  <c r="T456" s="1"/>
  <c r="U457"/>
  <c r="T457" s="1"/>
  <c r="U458"/>
  <c r="T458" s="1"/>
  <c r="U459"/>
  <c r="T459" s="1"/>
  <c r="U460"/>
  <c r="T460" s="1"/>
  <c r="U461"/>
  <c r="T461" s="1"/>
  <c r="U462"/>
  <c r="T462" s="1"/>
  <c r="U463"/>
  <c r="T463" s="1"/>
  <c r="U464"/>
  <c r="T464" s="1"/>
  <c r="U465"/>
  <c r="T465" s="1"/>
  <c r="U466"/>
  <c r="T466" s="1"/>
  <c r="U467"/>
  <c r="T467" s="1"/>
  <c r="U468"/>
  <c r="T468" s="1"/>
  <c r="U469"/>
  <c r="T469" s="1"/>
  <c r="U470"/>
  <c r="T470" s="1"/>
  <c r="U471"/>
  <c r="T471" s="1"/>
  <c r="U472"/>
  <c r="T472" s="1"/>
  <c r="U473"/>
  <c r="T473" s="1"/>
  <c r="U474"/>
  <c r="T474" s="1"/>
  <c r="U475"/>
  <c r="T475" s="1"/>
  <c r="U476"/>
  <c r="T476" s="1"/>
  <c r="U477"/>
  <c r="T477" s="1"/>
  <c r="U478"/>
  <c r="T478" s="1"/>
  <c r="U479"/>
  <c r="T479" s="1"/>
  <c r="U480"/>
  <c r="T480" s="1"/>
  <c r="U481"/>
  <c r="T481" s="1"/>
  <c r="U482"/>
  <c r="T482" s="1"/>
  <c r="U483"/>
  <c r="T483" s="1"/>
  <c r="U484"/>
  <c r="T484" s="1"/>
  <c r="U485"/>
  <c r="T485" s="1"/>
  <c r="U486"/>
  <c r="T486" s="1"/>
  <c r="U487"/>
  <c r="T487" s="1"/>
  <c r="U488"/>
  <c r="T488" s="1"/>
  <c r="U489"/>
  <c r="T489" s="1"/>
  <c r="U490"/>
  <c r="T490" s="1"/>
  <c r="U491"/>
  <c r="T491" s="1"/>
  <c r="U492"/>
  <c r="T492" s="1"/>
  <c r="U493"/>
  <c r="T493" s="1"/>
  <c r="U494"/>
  <c r="T494" s="1"/>
  <c r="U495"/>
  <c r="T495" s="1"/>
  <c r="U496"/>
  <c r="T496" s="1"/>
  <c r="U497"/>
  <c r="T497" s="1"/>
  <c r="U498"/>
  <c r="T498" s="1"/>
  <c r="U499"/>
  <c r="T499" s="1"/>
  <c r="U500"/>
  <c r="T500" s="1"/>
  <c r="U501"/>
  <c r="T501" s="1"/>
  <c r="U502"/>
  <c r="T502" s="1"/>
  <c r="U503"/>
  <c r="T503" s="1"/>
  <c r="U504"/>
  <c r="T504" s="1"/>
  <c r="U505"/>
  <c r="T505" s="1"/>
  <c r="U506"/>
  <c r="T506" s="1"/>
  <c r="U507"/>
  <c r="T507" s="1"/>
  <c r="U508"/>
  <c r="T508" s="1"/>
  <c r="U509"/>
  <c r="T509" s="1"/>
  <c r="U510"/>
  <c r="T510" s="1"/>
  <c r="U511"/>
  <c r="T511" s="1"/>
  <c r="U512"/>
  <c r="T512" s="1"/>
  <c r="U513"/>
  <c r="T513" s="1"/>
  <c r="U514"/>
  <c r="T514" s="1"/>
  <c r="U515"/>
  <c r="T515" s="1"/>
  <c r="U516"/>
  <c r="T516" s="1"/>
  <c r="U517"/>
  <c r="T517" s="1"/>
  <c r="U518"/>
  <c r="T518" s="1"/>
  <c r="U519"/>
  <c r="T519" s="1"/>
  <c r="U520"/>
  <c r="T520" s="1"/>
  <c r="U521"/>
  <c r="T521" s="1"/>
  <c r="U522"/>
  <c r="T522" s="1"/>
  <c r="U523"/>
  <c r="T523" s="1"/>
  <c r="U524"/>
  <c r="T524" s="1"/>
  <c r="U525"/>
  <c r="T525" s="1"/>
  <c r="U526"/>
  <c r="T526" s="1"/>
  <c r="U527"/>
  <c r="T527" s="1"/>
  <c r="U528"/>
  <c r="T528" s="1"/>
  <c r="U529"/>
  <c r="T529" s="1"/>
  <c r="U530"/>
  <c r="T530" s="1"/>
  <c r="U531"/>
  <c r="T531" s="1"/>
  <c r="U532"/>
  <c r="T532" s="1"/>
  <c r="U533"/>
  <c r="T533" s="1"/>
  <c r="U534"/>
  <c r="T534" s="1"/>
  <c r="U535"/>
  <c r="T535" s="1"/>
  <c r="U536"/>
  <c r="T536" s="1"/>
  <c r="U537"/>
  <c r="T537" s="1"/>
  <c r="U538"/>
  <c r="T538" s="1"/>
  <c r="U539"/>
  <c r="T539" s="1"/>
  <c r="U540"/>
  <c r="T540" s="1"/>
  <c r="U541"/>
  <c r="T541" s="1"/>
  <c r="U542"/>
  <c r="T542" s="1"/>
  <c r="U543"/>
  <c r="T543" s="1"/>
  <c r="U544"/>
  <c r="T544" s="1"/>
  <c r="U545"/>
  <c r="T545" s="1"/>
  <c r="U546"/>
  <c r="T546" s="1"/>
  <c r="U547"/>
  <c r="T547" s="1"/>
  <c r="U548"/>
  <c r="T548" s="1"/>
  <c r="U549"/>
  <c r="T549" s="1"/>
  <c r="U550"/>
  <c r="T550" s="1"/>
  <c r="U551"/>
  <c r="T551" s="1"/>
  <c r="U552"/>
  <c r="T552" s="1"/>
  <c r="U553"/>
  <c r="T553" s="1"/>
  <c r="U554"/>
  <c r="T554" s="1"/>
  <c r="U555"/>
  <c r="T555" s="1"/>
  <c r="U556"/>
  <c r="T556" s="1"/>
  <c r="U557"/>
  <c r="T557" s="1"/>
  <c r="U558"/>
  <c r="T558" s="1"/>
  <c r="U559"/>
  <c r="T559" s="1"/>
  <c r="U560"/>
  <c r="T560" s="1"/>
  <c r="U561"/>
  <c r="T561" s="1"/>
  <c r="U562"/>
  <c r="T562" s="1"/>
  <c r="U563"/>
  <c r="T563" s="1"/>
  <c r="U564"/>
  <c r="T564" s="1"/>
  <c r="U565"/>
  <c r="T565" s="1"/>
  <c r="U566"/>
  <c r="T566" s="1"/>
  <c r="U567"/>
  <c r="T567" s="1"/>
  <c r="U568"/>
  <c r="T568" s="1"/>
  <c r="U569"/>
  <c r="T569" s="1"/>
  <c r="U570"/>
  <c r="T570" s="1"/>
  <c r="U571"/>
  <c r="T571" s="1"/>
  <c r="U572"/>
  <c r="T572" s="1"/>
  <c r="U573"/>
  <c r="T573" s="1"/>
  <c r="U574"/>
  <c r="T574" s="1"/>
  <c r="U575"/>
  <c r="T575" s="1"/>
  <c r="U576"/>
  <c r="T576" s="1"/>
  <c r="U577"/>
  <c r="T577" s="1"/>
  <c r="U578"/>
  <c r="T578" s="1"/>
  <c r="U579"/>
  <c r="T579" s="1"/>
  <c r="U580"/>
  <c r="T580" s="1"/>
  <c r="U581"/>
  <c r="T581" s="1"/>
  <c r="U582"/>
  <c r="T582" s="1"/>
  <c r="U583"/>
  <c r="T583" s="1"/>
  <c r="U584"/>
  <c r="T584" s="1"/>
  <c r="U585"/>
  <c r="T585" s="1"/>
  <c r="U586"/>
  <c r="T586" s="1"/>
  <c r="U587"/>
  <c r="T587" s="1"/>
  <c r="U588"/>
  <c r="T588" s="1"/>
  <c r="U589"/>
  <c r="T589" s="1"/>
  <c r="U590"/>
  <c r="T590" s="1"/>
  <c r="U591"/>
  <c r="T591" s="1"/>
  <c r="U592"/>
  <c r="T592" s="1"/>
  <c r="U593"/>
  <c r="T593" s="1"/>
  <c r="U594"/>
  <c r="T594" s="1"/>
  <c r="U595"/>
  <c r="T595" s="1"/>
  <c r="U596"/>
  <c r="T596" s="1"/>
  <c r="U597"/>
  <c r="T597" s="1"/>
  <c r="U598"/>
  <c r="T598" s="1"/>
  <c r="U599"/>
  <c r="T599" s="1"/>
  <c r="U600"/>
  <c r="T600" s="1"/>
  <c r="U601"/>
  <c r="T601" s="1"/>
  <c r="U602"/>
  <c r="T602" s="1"/>
  <c r="U603"/>
  <c r="T603" s="1"/>
  <c r="U604"/>
  <c r="T604" s="1"/>
  <c r="U605"/>
  <c r="T605" s="1"/>
  <c r="U606"/>
  <c r="T606" s="1"/>
  <c r="U607"/>
  <c r="T607" s="1"/>
  <c r="U608"/>
  <c r="T608" s="1"/>
  <c r="U609"/>
  <c r="T609" s="1"/>
  <c r="U610"/>
  <c r="T610" s="1"/>
  <c r="U611"/>
  <c r="T611" s="1"/>
  <c r="U612"/>
  <c r="T612" s="1"/>
  <c r="U613"/>
  <c r="T613" s="1"/>
  <c r="U614"/>
  <c r="T614" s="1"/>
  <c r="U615"/>
  <c r="T615" s="1"/>
  <c r="U616"/>
  <c r="T616" s="1"/>
  <c r="U617"/>
  <c r="T617" s="1"/>
  <c r="U618"/>
  <c r="T618" s="1"/>
  <c r="U619"/>
  <c r="T619" s="1"/>
  <c r="U620"/>
  <c r="T620" s="1"/>
  <c r="U621"/>
  <c r="T621" s="1"/>
  <c r="U622"/>
  <c r="T622" s="1"/>
  <c r="U623"/>
  <c r="T623" s="1"/>
  <c r="U624"/>
  <c r="T624" s="1"/>
  <c r="U625"/>
  <c r="T625" s="1"/>
  <c r="U626"/>
  <c r="T626" s="1"/>
  <c r="U627"/>
  <c r="T627" s="1"/>
  <c r="U628"/>
  <c r="T628" s="1"/>
  <c r="U629"/>
  <c r="T629" s="1"/>
  <c r="U630"/>
  <c r="T630" s="1"/>
  <c r="U631"/>
  <c r="T631" s="1"/>
  <c r="U632"/>
  <c r="T632" s="1"/>
  <c r="U633"/>
  <c r="T633" s="1"/>
  <c r="U634"/>
  <c r="T634" s="1"/>
  <c r="U635"/>
  <c r="T635" s="1"/>
  <c r="U636"/>
  <c r="T636" s="1"/>
  <c r="U637"/>
  <c r="T637" s="1"/>
  <c r="U638"/>
  <c r="T638" s="1"/>
  <c r="U639"/>
  <c r="T639" s="1"/>
  <c r="U640"/>
  <c r="T640" s="1"/>
  <c r="U641"/>
  <c r="T641" s="1"/>
  <c r="U642"/>
  <c r="T642" s="1"/>
  <c r="U643"/>
  <c r="T643" s="1"/>
  <c r="U644"/>
  <c r="T644" s="1"/>
  <c r="U645"/>
  <c r="T645" s="1"/>
  <c r="U646"/>
  <c r="T646" s="1"/>
  <c r="U647"/>
  <c r="T647" s="1"/>
  <c r="U648"/>
  <c r="T648" s="1"/>
  <c r="U649"/>
  <c r="T649" s="1"/>
  <c r="U650"/>
  <c r="T650" s="1"/>
  <c r="U651"/>
  <c r="T651" s="1"/>
  <c r="U652"/>
  <c r="T652" s="1"/>
  <c r="U653"/>
  <c r="T653" s="1"/>
  <c r="U654"/>
  <c r="T654" s="1"/>
  <c r="U655"/>
  <c r="T655" s="1"/>
  <c r="U656"/>
  <c r="T656" s="1"/>
  <c r="U657"/>
  <c r="T657" s="1"/>
  <c r="U658"/>
  <c r="T658" s="1"/>
  <c r="U659"/>
  <c r="T659" s="1"/>
  <c r="U660"/>
  <c r="T660" s="1"/>
  <c r="U661"/>
  <c r="T661" s="1"/>
  <c r="U662"/>
  <c r="T662" s="1"/>
  <c r="U663"/>
  <c r="T663" s="1"/>
  <c r="U664"/>
  <c r="T664" s="1"/>
  <c r="U665"/>
  <c r="T665" s="1"/>
  <c r="U666"/>
  <c r="T666" s="1"/>
  <c r="U667"/>
  <c r="T667" s="1"/>
  <c r="U668"/>
  <c r="T668" s="1"/>
  <c r="U669"/>
  <c r="T669" s="1"/>
  <c r="U670"/>
  <c r="T670" s="1"/>
  <c r="U671"/>
  <c r="T671" s="1"/>
  <c r="U672"/>
  <c r="T672" s="1"/>
  <c r="U673"/>
  <c r="T673" s="1"/>
  <c r="U674"/>
  <c r="T674" s="1"/>
  <c r="U675"/>
  <c r="T675" s="1"/>
  <c r="U676"/>
  <c r="T676" s="1"/>
  <c r="U677"/>
  <c r="T677" s="1"/>
  <c r="U678"/>
  <c r="T678" s="1"/>
  <c r="U679"/>
  <c r="T679" s="1"/>
  <c r="U680"/>
  <c r="T680" s="1"/>
  <c r="U681"/>
  <c r="T681" s="1"/>
  <c r="U682"/>
  <c r="T682" s="1"/>
  <c r="U683"/>
  <c r="T683" s="1"/>
  <c r="U684"/>
  <c r="T684" s="1"/>
  <c r="U685"/>
  <c r="T685" s="1"/>
  <c r="U686"/>
  <c r="T686" s="1"/>
  <c r="U687"/>
  <c r="T687" s="1"/>
  <c r="U688"/>
  <c r="T688" s="1"/>
  <c r="U689"/>
  <c r="T689" s="1"/>
  <c r="U690"/>
  <c r="T690" s="1"/>
  <c r="U691"/>
  <c r="T691" s="1"/>
  <c r="U692"/>
  <c r="T692" s="1"/>
  <c r="U693"/>
  <c r="T693" s="1"/>
  <c r="U694"/>
  <c r="T694" s="1"/>
  <c r="U695"/>
  <c r="T695" s="1"/>
  <c r="U696"/>
  <c r="T696" s="1"/>
  <c r="U697"/>
  <c r="T697" s="1"/>
  <c r="U698"/>
  <c r="T698" s="1"/>
  <c r="U699"/>
  <c r="T699" s="1"/>
  <c r="U700"/>
  <c r="T700" s="1"/>
  <c r="U701"/>
  <c r="T701" s="1"/>
  <c r="U702"/>
  <c r="T702" s="1"/>
  <c r="U703"/>
  <c r="T703" s="1"/>
  <c r="U704"/>
  <c r="T704" s="1"/>
  <c r="U705"/>
  <c r="T705" s="1"/>
  <c r="U706"/>
  <c r="T706" s="1"/>
  <c r="U707"/>
  <c r="T707" s="1"/>
  <c r="U708"/>
  <c r="T708" s="1"/>
  <c r="U709"/>
  <c r="T709" s="1"/>
  <c r="U710"/>
  <c r="T710" s="1"/>
  <c r="U711"/>
  <c r="T711" s="1"/>
  <c r="U712"/>
  <c r="T712" s="1"/>
  <c r="U713"/>
  <c r="T713" s="1"/>
  <c r="U714"/>
  <c r="T714" s="1"/>
  <c r="U715"/>
  <c r="T715" s="1"/>
  <c r="U716"/>
  <c r="T716" s="1"/>
  <c r="U717"/>
  <c r="T717" s="1"/>
  <c r="U718"/>
  <c r="T718" s="1"/>
  <c r="U719"/>
  <c r="T719" s="1"/>
  <c r="U720"/>
  <c r="T720" s="1"/>
  <c r="U721"/>
  <c r="T721" s="1"/>
  <c r="U722"/>
  <c r="T722" s="1"/>
  <c r="U723"/>
  <c r="T723" s="1"/>
  <c r="U724"/>
  <c r="T724" s="1"/>
  <c r="U725"/>
  <c r="T725" s="1"/>
  <c r="U726"/>
  <c r="T726" s="1"/>
  <c r="U727"/>
  <c r="T727" s="1"/>
  <c r="U728"/>
  <c r="T728" s="1"/>
  <c r="U729"/>
  <c r="T729" s="1"/>
  <c r="U730"/>
  <c r="T730" s="1"/>
  <c r="U731"/>
  <c r="T731" s="1"/>
  <c r="U732"/>
  <c r="T732" s="1"/>
  <c r="U733"/>
  <c r="T733" s="1"/>
  <c r="U734"/>
  <c r="T734" s="1"/>
  <c r="U735"/>
  <c r="T735" s="1"/>
  <c r="U736"/>
  <c r="T736" s="1"/>
  <c r="U737"/>
  <c r="T737" s="1"/>
  <c r="U738"/>
  <c r="T738" s="1"/>
  <c r="U739"/>
  <c r="T739" s="1"/>
  <c r="U740"/>
  <c r="T740" s="1"/>
  <c r="U741"/>
  <c r="T741" s="1"/>
  <c r="U742"/>
  <c r="T742" s="1"/>
  <c r="U743"/>
  <c r="T743" s="1"/>
  <c r="U744"/>
  <c r="T744" s="1"/>
  <c r="U745"/>
  <c r="T745" s="1"/>
  <c r="U746"/>
  <c r="T746" s="1"/>
  <c r="U747"/>
  <c r="T747" s="1"/>
  <c r="U748"/>
  <c r="T748" s="1"/>
  <c r="U749"/>
  <c r="T749" s="1"/>
  <c r="U750"/>
  <c r="T750" s="1"/>
  <c r="U751"/>
  <c r="T751" s="1"/>
  <c r="U752"/>
  <c r="T752" s="1"/>
  <c r="U753"/>
  <c r="T753" s="1"/>
  <c r="U754"/>
  <c r="T754" s="1"/>
  <c r="U755"/>
  <c r="T755" s="1"/>
  <c r="U756"/>
  <c r="T756" s="1"/>
  <c r="U757"/>
  <c r="T757" s="1"/>
  <c r="U758"/>
  <c r="T758" s="1"/>
  <c r="U759"/>
  <c r="T759" s="1"/>
  <c r="U760"/>
  <c r="T760" s="1"/>
  <c r="U761"/>
  <c r="T761" s="1"/>
  <c r="U762"/>
  <c r="T762" s="1"/>
  <c r="U763"/>
  <c r="T763" s="1"/>
  <c r="U764"/>
  <c r="T764" s="1"/>
  <c r="U765"/>
  <c r="T765" s="1"/>
  <c r="U766"/>
  <c r="T766" s="1"/>
  <c r="U767"/>
  <c r="T767" s="1"/>
  <c r="U768"/>
  <c r="T768" s="1"/>
  <c r="U769"/>
  <c r="T769" s="1"/>
  <c r="U770"/>
  <c r="T770" s="1"/>
  <c r="U771"/>
  <c r="T771" s="1"/>
  <c r="U772"/>
  <c r="T772" s="1"/>
  <c r="U773"/>
  <c r="T773" s="1"/>
  <c r="U774"/>
  <c r="T774" s="1"/>
  <c r="U775"/>
  <c r="T775" s="1"/>
  <c r="U776"/>
  <c r="T776" s="1"/>
  <c r="U777"/>
  <c r="T777" s="1"/>
  <c r="U778"/>
  <c r="T778" s="1"/>
  <c r="U779"/>
  <c r="T779" s="1"/>
  <c r="U780"/>
  <c r="T780" s="1"/>
  <c r="U781"/>
  <c r="T781" s="1"/>
  <c r="U782"/>
  <c r="T782" s="1"/>
  <c r="U783"/>
  <c r="T783" s="1"/>
  <c r="U784"/>
  <c r="T784" s="1"/>
  <c r="U785"/>
  <c r="T785" s="1"/>
  <c r="U786"/>
  <c r="T786" s="1"/>
  <c r="U787"/>
  <c r="T787" s="1"/>
  <c r="U788"/>
  <c r="T788" s="1"/>
  <c r="U789"/>
  <c r="T789" s="1"/>
  <c r="U790"/>
  <c r="T790" s="1"/>
  <c r="U791"/>
  <c r="T791" s="1"/>
  <c r="U792"/>
  <c r="T792" s="1"/>
  <c r="U793"/>
  <c r="T793" s="1"/>
  <c r="U794"/>
  <c r="T794" s="1"/>
  <c r="U795"/>
  <c r="T795" s="1"/>
  <c r="U796"/>
  <c r="T796" s="1"/>
  <c r="U797"/>
  <c r="T797" s="1"/>
  <c r="U798"/>
  <c r="T798" s="1"/>
  <c r="U799"/>
  <c r="T799" s="1"/>
  <c r="U800"/>
  <c r="T800" s="1"/>
  <c r="U801"/>
  <c r="T801" s="1"/>
  <c r="U8"/>
  <c r="T8" s="1"/>
  <c r="AM2317" i="3" l="1"/>
  <c r="AM2316"/>
  <c r="AM2315"/>
  <c r="AM2314"/>
  <c r="AM2313"/>
  <c r="AM2312"/>
  <c r="AM2308"/>
  <c r="AM2307"/>
  <c r="AM2304"/>
  <c r="AM2302"/>
  <c r="AM2300"/>
  <c r="AM2299"/>
  <c r="AM2298"/>
  <c r="AM2297"/>
  <c r="AM2296"/>
  <c r="AM2295"/>
  <c r="AM2294"/>
  <c r="AM2293"/>
  <c r="AM2292"/>
  <c r="AM2291"/>
  <c r="AM2289"/>
  <c r="AM2288"/>
  <c r="AM2287"/>
  <c r="AM2286"/>
  <c r="AM2285"/>
  <c r="AM2284"/>
  <c r="AM2283"/>
  <c r="AM2282"/>
  <c r="AM2281"/>
  <c r="AM2280"/>
  <c r="AM2279"/>
  <c r="AM2278"/>
  <c r="AM2277"/>
  <c r="AM2276"/>
  <c r="AM2275"/>
  <c r="AM2274"/>
  <c r="AM2273"/>
  <c r="AM2272"/>
  <c r="AM2271"/>
  <c r="AM2270"/>
  <c r="AM2269"/>
  <c r="AM2268"/>
  <c r="AM2267"/>
  <c r="AM2265"/>
  <c r="AM2264"/>
  <c r="AM2263"/>
  <c r="AM2261"/>
  <c r="AM2259"/>
  <c r="AM2257"/>
  <c r="AM2256"/>
  <c r="AM2255"/>
  <c r="AM2254"/>
  <c r="AM2253"/>
  <c r="AM2252"/>
  <c r="AM2251"/>
  <c r="AM2250"/>
  <c r="AM2249"/>
  <c r="AM2248"/>
  <c r="AM2247"/>
  <c r="AM2246"/>
  <c r="AM2245"/>
  <c r="AM2243"/>
  <c r="AM2242"/>
  <c r="AM2241"/>
  <c r="AM2240"/>
  <c r="AM2239"/>
  <c r="AM2238"/>
  <c r="AM2237"/>
  <c r="AM2236"/>
  <c r="AM2235"/>
  <c r="AM2234"/>
  <c r="AM2233"/>
  <c r="AM2232"/>
  <c r="AM2231"/>
  <c r="AM2230"/>
  <c r="AM2229"/>
  <c r="AM2228"/>
  <c r="AM2227"/>
  <c r="AM2226"/>
  <c r="AM2225"/>
  <c r="AM2224"/>
  <c r="AM2223"/>
  <c r="AM2222"/>
  <c r="AM2221"/>
  <c r="AM2220"/>
  <c r="AM2219"/>
  <c r="AM2218"/>
  <c r="AM2216"/>
  <c r="AM2214"/>
  <c r="AM2212"/>
  <c r="AM2211"/>
  <c r="AM2210"/>
  <c r="AM2208"/>
  <c r="AM2207"/>
  <c r="AM2206"/>
  <c r="AM2205"/>
  <c r="AM2204"/>
  <c r="AM2202"/>
  <c r="AM2201"/>
  <c r="AM2200"/>
  <c r="AM2199"/>
  <c r="AM2198"/>
  <c r="AM2197"/>
  <c r="AM2196"/>
  <c r="AM2195"/>
  <c r="AM2194"/>
  <c r="AM2192"/>
  <c r="AM2191"/>
  <c r="AM2190"/>
  <c r="AM2189"/>
  <c r="AM2188"/>
  <c r="AM2187"/>
  <c r="AM2186"/>
  <c r="AM2185"/>
  <c r="AM2184"/>
  <c r="AM2183"/>
  <c r="AM2181"/>
  <c r="AM2179"/>
  <c r="AM2178"/>
  <c r="AM2176"/>
  <c r="AM2175"/>
  <c r="AM2174"/>
  <c r="AM2173"/>
  <c r="AM2172"/>
  <c r="AM2171"/>
  <c r="AM2170"/>
  <c r="AM2168"/>
  <c r="AM2166"/>
  <c r="AM2165"/>
  <c r="AM2164"/>
  <c r="AM2163"/>
  <c r="AM2161"/>
  <c r="AM2159"/>
  <c r="AM2158"/>
  <c r="AM2156"/>
  <c r="AM2154"/>
  <c r="AM2152"/>
  <c r="AM2151"/>
  <c r="AM2150"/>
  <c r="AM2149"/>
  <c r="AM2148"/>
  <c r="AM2147"/>
  <c r="AM2143"/>
  <c r="AM2142"/>
  <c r="AM2141"/>
  <c r="AM2140"/>
  <c r="AM2139"/>
  <c r="AM2138"/>
  <c r="AM2137"/>
  <c r="AM2136"/>
  <c r="AM2135"/>
  <c r="AM2134"/>
  <c r="AM2132"/>
  <c r="AM2129"/>
  <c r="AM2126"/>
  <c r="AM2124"/>
  <c r="AM2123"/>
  <c r="AM2122"/>
  <c r="AM2121"/>
  <c r="AM2120"/>
  <c r="AM2119"/>
  <c r="AM2118"/>
  <c r="AM2115"/>
  <c r="AM2114"/>
  <c r="AM2113"/>
  <c r="AM2112"/>
  <c r="AM2111"/>
  <c r="AG2110"/>
  <c r="AE2110"/>
  <c r="AC2110"/>
  <c r="AA2110"/>
  <c r="U2110"/>
  <c r="S2110"/>
  <c r="Q2110"/>
  <c r="O2110"/>
  <c r="AM2110" s="1"/>
  <c r="AM2109"/>
  <c r="AM2108"/>
  <c r="AM2107"/>
  <c r="AM2106"/>
  <c r="AM2105"/>
  <c r="AM2102"/>
  <c r="AM2101"/>
  <c r="AM2100"/>
  <c r="AM2099"/>
  <c r="AM2098"/>
  <c r="AM2097"/>
  <c r="AM2096"/>
  <c r="AM2095"/>
  <c r="AM2094"/>
  <c r="AM2093"/>
  <c r="AM2092"/>
  <c r="AM2090"/>
  <c r="AM2089"/>
  <c r="AM2088"/>
  <c r="AM2087"/>
  <c r="AM2086"/>
  <c r="AM2085"/>
  <c r="AM2084"/>
  <c r="AM2083"/>
  <c r="AM2082"/>
  <c r="AM2079"/>
  <c r="AM2078"/>
  <c r="AM2077"/>
  <c r="AM2076"/>
  <c r="AM2075"/>
  <c r="AM2074"/>
  <c r="AM2073"/>
  <c r="AM2072"/>
  <c r="AM2071"/>
  <c r="AM2070"/>
  <c r="AM2069"/>
  <c r="AM2068"/>
  <c r="AM2067"/>
  <c r="AM2066"/>
  <c r="AM2065"/>
  <c r="AM2064"/>
  <c r="AM2063"/>
  <c r="AM2062"/>
  <c r="AM2061"/>
  <c r="AM2060"/>
  <c r="AM2059"/>
  <c r="AM2058"/>
  <c r="AM2057"/>
  <c r="AM2056"/>
  <c r="AM2055"/>
  <c r="AM2054"/>
  <c r="AM2053"/>
  <c r="AM2052"/>
  <c r="AM2050"/>
  <c r="AM2048"/>
  <c r="AM2047"/>
  <c r="AM2046"/>
  <c r="AM2045"/>
  <c r="AM2044"/>
  <c r="AM2043"/>
  <c r="AM2042"/>
  <c r="AM2041"/>
  <c r="AM2040"/>
  <c r="AM2039"/>
  <c r="AM2038"/>
  <c r="AM2037"/>
  <c r="AM2036"/>
  <c r="AM2035"/>
  <c r="AM2034"/>
  <c r="AM2033"/>
  <c r="AM2031"/>
  <c r="AM2029"/>
  <c r="AM2028"/>
  <c r="AM2027"/>
  <c r="AM2026"/>
  <c r="AM2025"/>
  <c r="AM2024"/>
  <c r="AM2023"/>
  <c r="AM2022"/>
  <c r="AM2021"/>
  <c r="AM2020"/>
  <c r="AM2019"/>
  <c r="AM2018"/>
  <c r="AM2017"/>
  <c r="AM2016"/>
  <c r="AM2015"/>
  <c r="AM2014"/>
  <c r="AM2013"/>
  <c r="AM2012"/>
  <c r="AM2011"/>
  <c r="AM2010"/>
  <c r="AM2009"/>
  <c r="AM2008"/>
  <c r="AM2007"/>
  <c r="AM2004"/>
  <c r="AM2001"/>
  <c r="AM2000"/>
  <c r="AM1999"/>
  <c r="AM1998"/>
  <c r="AM1997"/>
  <c r="AM1996"/>
  <c r="AM1995"/>
  <c r="AM1994"/>
  <c r="AM1993"/>
  <c r="AM1992"/>
  <c r="AM1991"/>
  <c r="AM1990"/>
  <c r="AM1989"/>
  <c r="AM1988"/>
  <c r="AM1987"/>
  <c r="AM1986"/>
  <c r="AM1985"/>
  <c r="AM1984"/>
  <c r="AM1982"/>
  <c r="AM1980"/>
  <c r="AM1979"/>
  <c r="AM1978"/>
  <c r="AM1977"/>
  <c r="AM1976"/>
  <c r="AM1975"/>
  <c r="AM1974"/>
  <c r="AM1973"/>
  <c r="AM1972"/>
  <c r="AM1971"/>
  <c r="AM1970"/>
  <c r="AM1969"/>
  <c r="AM1968"/>
  <c r="AM1967"/>
  <c r="AM1966"/>
  <c r="AM1965"/>
  <c r="AM1964"/>
  <c r="AM1963"/>
  <c r="AM1962"/>
  <c r="AM1961"/>
  <c r="AM1960"/>
  <c r="AM1959"/>
  <c r="AM1958"/>
  <c r="AM1957"/>
  <c r="AM1956"/>
  <c r="AM1955"/>
  <c r="AM1954"/>
  <c r="AM1953"/>
  <c r="AM1952"/>
  <c r="AM1951"/>
  <c r="AM1950"/>
  <c r="AM1949"/>
  <c r="AM1948"/>
  <c r="AM1945"/>
  <c r="AM1944"/>
  <c r="AM1943"/>
  <c r="AM1940"/>
  <c r="AM1939"/>
  <c r="AM1938"/>
  <c r="AM1937"/>
  <c r="AM1936"/>
  <c r="AM1935"/>
  <c r="AM1934"/>
  <c r="AM1933"/>
  <c r="AM1932"/>
  <c r="AM1924"/>
  <c r="AM1923"/>
  <c r="AM1922"/>
  <c r="AM1921"/>
  <c r="AM1920"/>
  <c r="AM1919"/>
  <c r="AM1918"/>
  <c r="AM1917"/>
  <c r="AM1916"/>
  <c r="AM1915"/>
  <c r="AM1914"/>
  <c r="AM1913"/>
  <c r="AM1912"/>
  <c r="AM1911"/>
  <c r="AM1910"/>
  <c r="AM1909"/>
  <c r="AM1908"/>
  <c r="AM1907"/>
  <c r="AM1906"/>
  <c r="AM1905"/>
  <c r="AM1903"/>
  <c r="AM1901"/>
  <c r="AM1900"/>
  <c r="AM1899"/>
  <c r="AM1898"/>
  <c r="AM1897"/>
  <c r="AM1896"/>
  <c r="AM1895"/>
  <c r="AM1894"/>
  <c r="AM1893"/>
  <c r="AM1892"/>
  <c r="AM1890"/>
  <c r="AM1888"/>
  <c r="AM1887"/>
  <c r="AM1885"/>
  <c r="AM1883"/>
  <c r="AM1881"/>
  <c r="D643" i="1" l="1"/>
  <c r="E643"/>
  <c r="E122" l="1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8"/>
  <c r="F249"/>
  <c r="F250"/>
  <c r="F251"/>
  <c r="F252"/>
  <c r="F253"/>
  <c r="F254"/>
  <c r="F255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30"/>
  <c r="E31"/>
  <c r="E32"/>
  <c r="E33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3"/>
  <c r="E94"/>
  <c r="E95"/>
  <c r="E96"/>
  <c r="E97"/>
  <c r="E99"/>
  <c r="E101"/>
  <c r="E102"/>
  <c r="E103"/>
  <c r="E105"/>
  <c r="E106"/>
  <c r="E107"/>
  <c r="E108"/>
  <c r="E109"/>
  <c r="E110"/>
  <c r="E111"/>
  <c r="E113"/>
  <c r="E114"/>
  <c r="E115"/>
  <c r="E116"/>
  <c r="E117"/>
  <c r="E118"/>
  <c r="E119"/>
  <c r="E123"/>
  <c r="E124"/>
  <c r="E125"/>
  <c r="E127"/>
  <c r="E129"/>
  <c r="E130"/>
  <c r="E131"/>
  <c r="E132"/>
  <c r="E133"/>
  <c r="E134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7"/>
  <c r="E198"/>
  <c r="E201"/>
  <c r="E202"/>
  <c r="E203"/>
  <c r="E204"/>
  <c r="E205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6"/>
  <c r="E257"/>
  <c r="E258"/>
  <c r="E259"/>
  <c r="E260"/>
  <c r="E261"/>
  <c r="E262"/>
  <c r="E263"/>
  <c r="E264"/>
  <c r="E265"/>
  <c r="E266"/>
  <c r="E267"/>
  <c r="E268"/>
  <c r="E269"/>
  <c r="E270"/>
  <c r="E271"/>
  <c r="E274"/>
  <c r="E275"/>
  <c r="E276"/>
  <c r="E277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7"/>
  <c r="E418"/>
  <c r="E419"/>
  <c r="E420"/>
  <c r="E421"/>
  <c r="E422"/>
  <c r="E423"/>
  <c r="E424"/>
  <c r="E425"/>
  <c r="E426"/>
  <c r="E427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2"/>
  <c r="E473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5"/>
  <c r="E506"/>
  <c r="E508"/>
  <c r="E509"/>
  <c r="E514"/>
  <c r="E515"/>
  <c r="E516"/>
  <c r="E517"/>
  <c r="E518"/>
  <c r="E519"/>
  <c r="E520"/>
  <c r="E521"/>
  <c r="E522"/>
  <c r="E523"/>
  <c r="E524"/>
  <c r="E525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2"/>
  <c r="E593"/>
  <c r="E594"/>
  <c r="E595"/>
  <c r="E596"/>
  <c r="E597"/>
  <c r="E598"/>
  <c r="E599"/>
  <c r="E600"/>
  <c r="E601"/>
  <c r="E602"/>
  <c r="E603"/>
  <c r="E604"/>
  <c r="E606"/>
  <c r="E607"/>
  <c r="E608"/>
  <c r="E609"/>
  <c r="E610"/>
  <c r="E611"/>
  <c r="E612"/>
  <c r="E613"/>
  <c r="E614"/>
  <c r="E615"/>
  <c r="E616"/>
  <c r="E617"/>
  <c r="E621"/>
  <c r="E622"/>
  <c r="E623"/>
  <c r="E624"/>
  <c r="E625"/>
  <c r="E626"/>
  <c r="E627"/>
  <c r="E628"/>
  <c r="E629"/>
  <c r="E630"/>
  <c r="E632"/>
  <c r="E633"/>
  <c r="E634"/>
  <c r="E635"/>
  <c r="E636"/>
  <c r="E637"/>
  <c r="E638"/>
  <c r="E639"/>
  <c r="E640"/>
  <c r="E641"/>
  <c r="E642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2"/>
  <c r="E733"/>
  <c r="E734"/>
  <c r="E735"/>
  <c r="E736"/>
  <c r="E737"/>
  <c r="E738"/>
  <c r="E739"/>
  <c r="E740"/>
  <c r="E741"/>
  <c r="E742"/>
  <c r="E743"/>
  <c r="E744"/>
  <c r="E745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</calcChain>
</file>

<file path=xl/comments1.xml><?xml version="1.0" encoding="utf-8"?>
<comments xmlns="http://schemas.openxmlformats.org/spreadsheetml/2006/main">
  <authors>
    <author>Денис</author>
  </authors>
  <commentList>
    <comment ref="AH1322" authorId="0">
      <text>
        <r>
          <rPr>
            <b/>
            <sz val="9"/>
            <color indexed="81"/>
            <rFont val="Tahoma"/>
            <charset val="1"/>
          </rPr>
          <t>Денис:</t>
        </r>
        <r>
          <rPr>
            <sz val="9"/>
            <color indexed="81"/>
            <rFont val="Tahoma"/>
            <charset val="1"/>
          </rPr>
          <t xml:space="preserve">
не принят в комм учет</t>
        </r>
      </text>
    </comment>
  </commentList>
</comments>
</file>

<file path=xl/sharedStrings.xml><?xml version="1.0" encoding="utf-8"?>
<sst xmlns="http://schemas.openxmlformats.org/spreadsheetml/2006/main" count="105974" uniqueCount="1491">
  <si>
    <t>Район</t>
  </si>
  <si>
    <t>Улица</t>
  </si>
  <si>
    <t>Код дома БТИ</t>
  </si>
  <si>
    <t>Ед. изм.</t>
  </si>
  <si>
    <t>Итого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</si>
  <si>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</si>
  <si>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</si>
  <si>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</si>
  <si>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</si>
  <si>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</si>
  <si>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</si>
  <si>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</si>
  <si>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</si>
  <si>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</si>
  <si>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</si>
  <si>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</si>
  <si>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</si>
  <si>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Тип стен</t>
  </si>
  <si>
    <t>Площадь жилых помещений</t>
  </si>
  <si>
    <t>Номер строения</t>
  </si>
  <si>
    <t>Тип дома</t>
  </si>
  <si>
    <t>Серия дома</t>
  </si>
  <si>
    <t>№ п/п</t>
  </si>
  <si>
    <t>Общая площадь дома</t>
  </si>
  <si>
    <t>Поставщик ресурсов</t>
  </si>
  <si>
    <t>Отопление (да/нет)</t>
  </si>
  <si>
    <t>Приложение № 1</t>
  </si>
  <si>
    <t>ХВС
(да/нет)</t>
  </si>
  <si>
    <t>ГВС
(да/нет)</t>
  </si>
  <si>
    <t>Графа "1" - номер по прорядку</t>
  </si>
  <si>
    <t>Водоотведение (да/нет)</t>
  </si>
  <si>
    <t>Газоснабжение (да/нет)</t>
  </si>
  <si>
    <t>Оснащение электроплитами
(да/нет)</t>
  </si>
  <si>
    <t>объем ТЭР</t>
  </si>
  <si>
    <t>Электоэнергия (да/нет)</t>
  </si>
  <si>
    <t>Кол-во лифтов дома, шт.</t>
  </si>
  <si>
    <t>Общая отапливаемая площадь дома</t>
  </si>
  <si>
    <t>Форма управления МКД</t>
  </si>
  <si>
    <t>МР*</t>
  </si>
  <si>
    <t>2013 год</t>
  </si>
  <si>
    <t>Суммарное фактическое потребление МКД по всем вводам</t>
  </si>
  <si>
    <t>2011 год</t>
  </si>
  <si>
    <t xml:space="preserve">2012 год </t>
  </si>
  <si>
    <t>Электроэнергия МОП</t>
  </si>
  <si>
    <t>Освещение МОП</t>
  </si>
  <si>
    <t>кВт.ч.</t>
  </si>
  <si>
    <t>Суммарный объем</t>
  </si>
  <si>
    <t>Вид ресурса (тепловая энергия для нужд отопления)</t>
  </si>
  <si>
    <t>Приложение № 2.1.</t>
  </si>
  <si>
    <t>Приложение № 2.2.</t>
  </si>
  <si>
    <t>Суммарный объем ТЭР</t>
  </si>
  <si>
    <t>Площадь  нежилых помещений (за искл. мест общего пользования)</t>
  </si>
  <si>
    <t>Оснащение газ. колонками (да/нет)</t>
  </si>
  <si>
    <t xml:space="preserve"> Технические характеристики МКД</t>
  </si>
  <si>
    <t>Адрес МКД</t>
  </si>
  <si>
    <t>Номер</t>
  </si>
  <si>
    <t>ХВС</t>
  </si>
  <si>
    <t>ГВС</t>
  </si>
  <si>
    <t>Газ</t>
  </si>
  <si>
    <t>Графа "11" - указывается тип дома (Блочный, Брежневка, Индивидуальный, Кирпично-Монолитный, Монолит, Панельные дома, Сталинка, Хрущевка, и т.д.)</t>
  </si>
  <si>
    <t>Графа "12" - указывается серия дома</t>
  </si>
  <si>
    <t>Графа "13" - указывается год сдачи дома в эксплуатацию</t>
  </si>
  <si>
    <t>Графа "14" - указывается тип стен</t>
  </si>
  <si>
    <t>Графа "16" - указывается количество подземных этажей</t>
  </si>
  <si>
    <t>Графа "18" - указывается количество квартир</t>
  </si>
  <si>
    <t>Графа "19" - указывается общая площадь дома, согласно паспорта БТИ</t>
  </si>
  <si>
    <t>Графа "21" - указывается общая площадь жилых помещений, согласно паспорта БТИ</t>
  </si>
  <si>
    <t>Графа "22" - указывается площадь нежилых помещений, за исключением мест общего пользования</t>
  </si>
  <si>
    <t>Графа "23" - указывается наличие централизованного подключения к электросетям (да/нет)</t>
  </si>
  <si>
    <t>Графа "24" - указывается наличие централизованного подключения к сетям холодного водоснабжения (да/нет)</t>
  </si>
  <si>
    <t>Графа "25" - указывается наличие централизованного подключения к сетям горячего водоснабжения  (да/нет)</t>
  </si>
  <si>
    <t>Графа "26" - указывается наличие централизованного водоотведения  (да/нет)</t>
  </si>
  <si>
    <t>Графа "27" - указывается наличие централизованного теплоснабжения  (да/нет)</t>
  </si>
  <si>
    <t>Графа "28" - указывается наличие централизованного газоснабжения  (да/нет)</t>
  </si>
  <si>
    <t>Графа "29" - указывается оснащение помещений газовыми колонками (да/нет)</t>
  </si>
  <si>
    <t>Графа "30" - указывается оснащение помещений газовыми плитами  (да/нет)</t>
  </si>
  <si>
    <t>Графа "31" - указывается оснащение помещений электрическими плитами  (да/нет)</t>
  </si>
  <si>
    <t>Количество общедомовых приборов учета энергоресурсов на вводах, шт.</t>
  </si>
  <si>
    <t>Тип подключения дома (ЦТП, ИТП)</t>
  </si>
  <si>
    <t>Потребитель ресурса (с кем у РСО заключен договор)</t>
  </si>
  <si>
    <t>Кол-во приборов учета тепловой энергии</t>
  </si>
  <si>
    <t>Наличие прибора электроэнергии (да/нет)</t>
  </si>
  <si>
    <t>Использование для расчетов приборов учета электроэнергии  (да/нет)</t>
  </si>
  <si>
    <t>Вид схемы теплоснабжения (закрытая, открытая)</t>
  </si>
  <si>
    <t>Графа "20" - указывается общая отапливаемая площадь дома, согласно паспорта БТИ (полезная)</t>
  </si>
  <si>
    <t>Количество элеваторных узлов (при их наличии)</t>
  </si>
  <si>
    <t>тип светильника</t>
  </si>
  <si>
    <t>количество светильников</t>
  </si>
  <si>
    <t>тип системы</t>
  </si>
  <si>
    <t>диаметр ввода</t>
  </si>
  <si>
    <t>давление на вводе</t>
  </si>
  <si>
    <t>температурный график тепловой сети</t>
  </si>
  <si>
    <t>наличие ГВС (да/нет)</t>
  </si>
  <si>
    <t>необходимость резерва ГВС</t>
  </si>
  <si>
    <t>наличие систем учета</t>
  </si>
  <si>
    <t>необходимость диспетчеризации</t>
  </si>
  <si>
    <t>схема присоеденения к тепловой сети</t>
  </si>
  <si>
    <t>резервирование насосов ГВС</t>
  </si>
  <si>
    <t>примечание</t>
  </si>
  <si>
    <t>Внутридомовое освещение</t>
  </si>
  <si>
    <t>Наружнее освещение</t>
  </si>
  <si>
    <t>Графа "32" - указывается общее количество лифтов в доме</t>
  </si>
  <si>
    <t>Графа "33" - указывается количество приборов учета электрической энергии установленных на вводах в дом</t>
  </si>
  <si>
    <t>Графа "34" - указывается количество приборов учета холодного водоснабжения установленных на вводах в дом</t>
  </si>
  <si>
    <t>Графа "35" - указывается количество приборов учета горячего водоснабжения установленных на вводах в дом</t>
  </si>
  <si>
    <t>Графа "36" - указывается количество приборов учета тепловой энергии установленных на вводах в дом</t>
  </si>
  <si>
    <t>Графа "37" - указывается количество приборов учета газа установленных на вводах в дом</t>
  </si>
  <si>
    <t>Оснащение газ.плитами
(да/нет)</t>
  </si>
  <si>
    <t>Общие характеристики многоквартирных домов (МКД) на территории</t>
  </si>
  <si>
    <t>___________________________________ района</t>
  </si>
  <si>
    <t>муниципальное образование</t>
  </si>
  <si>
    <t>Графа "2" - указывается полное наименование района</t>
  </si>
  <si>
    <t>Графа "3" - указывается полное наименование муниципального образования в районе</t>
  </si>
  <si>
    <t>примеча ние</t>
  </si>
  <si>
    <t>тел. +7 921 320 03 48</t>
  </si>
  <si>
    <t>Контактные данные:</t>
  </si>
  <si>
    <t>СПбГБУ "Центр энергосбережения"</t>
  </si>
  <si>
    <t>Бычков Дмитрий Леонидович</t>
  </si>
  <si>
    <t>Приложение № 1 - Примечания</t>
  </si>
  <si>
    <t>Фактическое потребление тепловой энергии для нужд отопления</t>
  </si>
  <si>
    <t>в многоквартирных домах (МКД)</t>
  </si>
  <si>
    <t>Фактическое потребление электрической энергии</t>
  </si>
  <si>
    <t>Графы "2"-"10" заполнять по всем многоквартирным домам района</t>
  </si>
  <si>
    <t>Кол-во парадных</t>
  </si>
  <si>
    <t>Кол-во квартир</t>
  </si>
  <si>
    <t>Год по стройки</t>
  </si>
  <si>
    <t>ЭЭ</t>
  </si>
  <si>
    <t>ТЭ</t>
  </si>
  <si>
    <t>Кол-во подземных этажей (при разной этажности указать через "/", начиная с 1-ой парадной)</t>
  </si>
  <si>
    <t>Количество этажей (при разной этажности указать через "/", начиная с 1-ой парадной)</t>
  </si>
  <si>
    <t>Графа "15" - указывается количество этажей (цокольный этаж, 1-й этаж и т.п.) (при разной этажности указать через "/", начиная с 1-ой парадной)</t>
  </si>
  <si>
    <t>Графа "17" - указывается количество пардных</t>
  </si>
  <si>
    <t>в местах общего пользования (МОП) многоквартирных домов (МКД)</t>
  </si>
  <si>
    <t>Сумм. объем</t>
  </si>
  <si>
    <t>Норматив ный температур ный график**</t>
  </si>
  <si>
    <t>Договор ная нагрузка</t>
  </si>
  <si>
    <t>Схема присоединения системы отопления (зависимая/ независимая)</t>
  </si>
  <si>
    <t>Наличие транзита на отопление (разгружен/ не разгружен)</t>
  </si>
  <si>
    <t>Силовая нагрузка</t>
  </si>
  <si>
    <t>Отопление</t>
  </si>
  <si>
    <t>Гкал</t>
  </si>
  <si>
    <t xml:space="preserve"> непосредственное управление.</t>
  </si>
  <si>
    <t>типов - столбец не заполняется.</t>
  </si>
  <si>
    <t>Графа "38" - комментарии</t>
  </si>
  <si>
    <t>Графа "5, 6, 7" - указывается номер дома, номер корпуса, номер строения</t>
  </si>
  <si>
    <t>Графа "4" - указывается полное наименование улицы</t>
  </si>
  <si>
    <t>Графа "9" - указывается форма управления домом: организацией с гос. участием (в т.ч. опосредованным); частная управляющая организация; ТСЖ, ЖК, ЖСК;</t>
  </si>
  <si>
    <t>Категория дома: ведомственный / общежитие / гостиничного типа / на сцепке / аварийный / культ. наследия</t>
  </si>
  <si>
    <t>Номер корпуса (литера)</t>
  </si>
  <si>
    <t>Графа "8" - указывается уникальный номер здания (УНОМ), начинающийся с цифрового значения района (справочник прилагается). 00_00000</t>
  </si>
  <si>
    <t>Графа "10" - указывается тип жилищного фонда: ведомственный дом, общежитие, дом гостиничного типа, дом на сцепке, дом аварийный, дом кутльтурного наследия.</t>
  </si>
  <si>
    <t xml:space="preserve">Если указан один из перечисленных признаков - остальные столбцы таблицы для такого МКД не заполняются. Если МКД не относится ни к отдному из перечисленных </t>
  </si>
  <si>
    <t>Перечень районов:</t>
  </si>
  <si>
    <t>Уникаль ный код дома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</si>
  <si>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</si>
  <si>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</si>
  <si>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</si>
  <si>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</si>
  <si>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</si>
  <si>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</si>
  <si>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</si>
  <si>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</si>
  <si>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</si>
  <si>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</si>
  <si>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</si>
  <si>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</si>
  <si>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</si>
  <si>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</si>
  <si>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</si>
  <si>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</si>
  <si>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</si>
  <si>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</si>
  <si>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Адмиралтейский район</t>
  </si>
  <si>
    <t>Василеостровский район</t>
  </si>
  <si>
    <t>Выборгский район</t>
  </si>
  <si>
    <t>Калининский район</t>
  </si>
  <si>
    <t>Кировский район</t>
  </si>
  <si>
    <t>Колпинский район</t>
  </si>
  <si>
    <t>Красногвардейский район</t>
  </si>
  <si>
    <t>Красносельский район</t>
  </si>
  <si>
    <t>Кронштадтcкий район</t>
  </si>
  <si>
    <t>Курортный район</t>
  </si>
  <si>
    <t>Московский район</t>
  </si>
  <si>
    <t>Невский район</t>
  </si>
  <si>
    <t>Петроградский район</t>
  </si>
  <si>
    <t>Петродворцовый район</t>
  </si>
  <si>
    <t>Приморский район</t>
  </si>
  <si>
    <t>Пушкинский район</t>
  </si>
  <si>
    <t>Фрунзенский район</t>
  </si>
  <si>
    <t>Центральный район</t>
  </si>
  <si>
    <t>Адмиралтейский</t>
  </si>
  <si>
    <t>А</t>
  </si>
  <si>
    <t>5/13</t>
  </si>
  <si>
    <t>1/21</t>
  </si>
  <si>
    <t>8-10</t>
  </si>
  <si>
    <t>2/27</t>
  </si>
  <si>
    <t>7/4</t>
  </si>
  <si>
    <t>2/31</t>
  </si>
  <si>
    <t>12/11</t>
  </si>
  <si>
    <t>2/35</t>
  </si>
  <si>
    <t>20/8</t>
  </si>
  <si>
    <t>9/9</t>
  </si>
  <si>
    <t>11/13</t>
  </si>
  <si>
    <t>2/39</t>
  </si>
  <si>
    <t>2-4</t>
  </si>
  <si>
    <t>4/5</t>
  </si>
  <si>
    <t>9-11</t>
  </si>
  <si>
    <t>3/7</t>
  </si>
  <si>
    <t>7/2</t>
  </si>
  <si>
    <t>2/7</t>
  </si>
  <si>
    <t>5/6</t>
  </si>
  <si>
    <t>аренда</t>
  </si>
  <si>
    <t>9/79</t>
  </si>
  <si>
    <t>11/8</t>
  </si>
  <si>
    <t>7-9</t>
  </si>
  <si>
    <t>1/6</t>
  </si>
  <si>
    <t>4/2</t>
  </si>
  <si>
    <t>10/53</t>
  </si>
  <si>
    <t>5/11</t>
  </si>
  <si>
    <t>7/12</t>
  </si>
  <si>
    <t>9/55</t>
  </si>
  <si>
    <t>9/7</t>
  </si>
  <si>
    <t>1/3</t>
  </si>
  <si>
    <t>2/5</t>
  </si>
  <si>
    <t>6-8</t>
  </si>
  <si>
    <t>10-12</t>
  </si>
  <si>
    <t>1/13</t>
  </si>
  <si>
    <t>11/22</t>
  </si>
  <si>
    <t>4/8</t>
  </si>
  <si>
    <t>21/8</t>
  </si>
  <si>
    <t>9/6</t>
  </si>
  <si>
    <t>Б</t>
  </si>
  <si>
    <t>Индивидуальный</t>
  </si>
  <si>
    <t>да</t>
  </si>
  <si>
    <t>ЧУО</t>
  </si>
  <si>
    <t>МО Измайловское</t>
  </si>
  <si>
    <t>МО Адмиралтейский округ</t>
  </si>
  <si>
    <t>МО Коломна</t>
  </si>
  <si>
    <t>МО Екатерингофский</t>
  </si>
  <si>
    <t>д</t>
  </si>
  <si>
    <t>нет</t>
  </si>
  <si>
    <t xml:space="preserve">да </t>
  </si>
  <si>
    <t>аварийный</t>
  </si>
  <si>
    <t>1838/</t>
  </si>
  <si>
    <t xml:space="preserve"> </t>
  </si>
  <si>
    <t>10-я КРАСНОАРМЕЙСКАЯ  ул.</t>
  </si>
  <si>
    <t>ОАО "Теплосеть Санкт-Петербург"</t>
  </si>
  <si>
    <t>ИТП</t>
  </si>
  <si>
    <t>открытая</t>
  </si>
  <si>
    <t>ООО"ЖКС №1 Адмиралтейского района"</t>
  </si>
  <si>
    <t>местная</t>
  </si>
  <si>
    <t>130/70</t>
  </si>
  <si>
    <t>Д</t>
  </si>
  <si>
    <t>95/70</t>
  </si>
  <si>
    <t>зависимая</t>
  </si>
  <si>
    <t>отсутствует</t>
  </si>
  <si>
    <t>11-я КРАСНОАРМЕЙСКАЯ ул.</t>
  </si>
  <si>
    <t>2б</t>
  </si>
  <si>
    <t>12-я КРАСНОАРМЕЙСКАЯ  ул.</t>
  </si>
  <si>
    <t>Р</t>
  </si>
  <si>
    <t>В</t>
  </si>
  <si>
    <t>Г</t>
  </si>
  <si>
    <t>Н</t>
  </si>
  <si>
    <t>12-я КРАСНОАРМЕЙСКАЯ ул.</t>
  </si>
  <si>
    <t>13-я КРАСНОАРМЕЙСКАЯ ул.</t>
  </si>
  <si>
    <t>17б</t>
  </si>
  <si>
    <t>1-я КРАСНОАРМЕЙСКАЯ ул.</t>
  </si>
  <si>
    <t>2-я КРАСНОАРМЕЙСКАЯ ул.</t>
  </si>
  <si>
    <t>3-я КРАСНОАРМЕЙСКАЯ ул.</t>
  </si>
  <si>
    <t>4-я КРАСНОАРМЕЙСКАЯ ул.</t>
  </si>
  <si>
    <t>Ж</t>
  </si>
  <si>
    <t>18б</t>
  </si>
  <si>
    <t>5-я КРАСНОАРМЕЙСКАЯ ул.</t>
  </si>
  <si>
    <t>6-я КРАСНОАРМЕЙСКАЯ ул.</t>
  </si>
  <si>
    <t>7-я КРАСНОАРМЕЙСКАЯ ул.</t>
  </si>
  <si>
    <t>22-24</t>
  </si>
  <si>
    <t>8-я КРАСНОАРМЕЙСКАЯ ул.</t>
  </si>
  <si>
    <t>15-17</t>
  </si>
  <si>
    <t>20а</t>
  </si>
  <si>
    <t>9-я КРАСНОАРМЕЙСКАЯ ул.</t>
  </si>
  <si>
    <t>АДМИРАЛТЕЙСКАЯ наб.</t>
  </si>
  <si>
    <t>ЦТП</t>
  </si>
  <si>
    <t>АДМИРАЛТЕЙСКИЙ кан.</t>
  </si>
  <si>
    <t>АЛЕКСАНДРА БЛОКА ул.</t>
  </si>
  <si>
    <t>АНГЛИЙСКАЯ наб.</t>
  </si>
  <si>
    <t>АНГЛИЙСКИЙ пр.</t>
  </si>
  <si>
    <t>17-19</t>
  </si>
  <si>
    <t>С</t>
  </si>
  <si>
    <t>Т</t>
  </si>
  <si>
    <t>54/24</t>
  </si>
  <si>
    <t>контора</t>
  </si>
  <si>
    <t>Б.МОРСКАЯ ул.</t>
  </si>
  <si>
    <t>53/8</t>
  </si>
  <si>
    <t>ВИТЕБСКАЯ ул.</t>
  </si>
  <si>
    <t>ВОЛОДИ ЕРМАКА ул.</t>
  </si>
  <si>
    <t>ГАЛЕРНАЯ ул.</t>
  </si>
  <si>
    <t>ГОРОХОВАЯ ул.</t>
  </si>
  <si>
    <t>ГРИБОЕДОВА наб.канала</t>
  </si>
  <si>
    <t>ДЕКАБРИСТОВ ул.</t>
  </si>
  <si>
    <t>36/1</t>
  </si>
  <si>
    <t>43-45</t>
  </si>
  <si>
    <t>62-64</t>
  </si>
  <si>
    <t>ДЕРПТСКИЙ пер.</t>
  </si>
  <si>
    <t>ДРОВЯНАЯ ул.</t>
  </si>
  <si>
    <t>ДРОВЯНОЙ пер.</t>
  </si>
  <si>
    <t>ЕГОРОВА ул.</t>
  </si>
  <si>
    <t>ИЗМАЙЛОВСКИЙ пр.</t>
  </si>
  <si>
    <t>А1</t>
  </si>
  <si>
    <t>Е</t>
  </si>
  <si>
    <t>М</t>
  </si>
  <si>
    <t>Ш</t>
  </si>
  <si>
    <t>Э</t>
  </si>
  <si>
    <t>Дср</t>
  </si>
  <si>
    <t>З</t>
  </si>
  <si>
    <t>КАЛИНКИН пер.</t>
  </si>
  <si>
    <t>КАНОНЕРСКАЯ ул.</t>
  </si>
  <si>
    <t>19-21</t>
  </si>
  <si>
    <t>КЛИМОВ пер.</t>
  </si>
  <si>
    <t>КОННОГВАРДЕЙСКИЙ бульвар</t>
  </si>
  <si>
    <t>КОННОГВАРДЕЙСКИЙ пер.</t>
  </si>
  <si>
    <t>КРАСУЦКОГО ул.</t>
  </si>
  <si>
    <t>КРЮКОВА наб.канала</t>
  </si>
  <si>
    <t>КУРЛЯНДСКАЯ ул.</t>
  </si>
  <si>
    <t>ЛАБУТИНА ул.</t>
  </si>
  <si>
    <t>20-22</t>
  </si>
  <si>
    <t>ЛЕРМОНТОВСКИЙ пр.</t>
  </si>
  <si>
    <t>40-42</t>
  </si>
  <si>
    <t>8/10а</t>
  </si>
  <si>
    <t>ЛОДЫГИНА пер.</t>
  </si>
  <si>
    <t>ЛЮБЛИНСКИЙ пер.</t>
  </si>
  <si>
    <t>М.МОРСКАЯ ул.</t>
  </si>
  <si>
    <t>МАКАРЕНКО пер.</t>
  </si>
  <si>
    <t>15/147</t>
  </si>
  <si>
    <t>МАСТЕРСКАЯ ул.</t>
  </si>
  <si>
    <t>МОЙКИ наб.реки</t>
  </si>
  <si>
    <t>а</t>
  </si>
  <si>
    <t>МОСКОВСКИЙ пр.</t>
  </si>
  <si>
    <t>37/1</t>
  </si>
  <si>
    <t>Л</t>
  </si>
  <si>
    <t>И</t>
  </si>
  <si>
    <t>МЯСНАЯ ул.</t>
  </si>
  <si>
    <t>ОБВОДНОГО канала наб.</t>
  </si>
  <si>
    <t>118б</t>
  </si>
  <si>
    <t>147-149</t>
  </si>
  <si>
    <t>Z</t>
  </si>
  <si>
    <t>К</t>
  </si>
  <si>
    <t>151-153</t>
  </si>
  <si>
    <t>157-159</t>
  </si>
  <si>
    <t>О</t>
  </si>
  <si>
    <t>ПАСТОРОВА ул.</t>
  </si>
  <si>
    <t>ПИСАРЕВА ул.</t>
  </si>
  <si>
    <t>1/118</t>
  </si>
  <si>
    <t>ПОЧТАМТСКАЯ ул.</t>
  </si>
  <si>
    <t>ПОЧТАМТСКИЙ пер.</t>
  </si>
  <si>
    <t>ПРЯДИЛЬНЫЙ пер.</t>
  </si>
  <si>
    <t>7/165</t>
  </si>
  <si>
    <t>ПРЯЖКИ наб.реки</t>
  </si>
  <si>
    <t>18-20</t>
  </si>
  <si>
    <t>ПСКОВСКАЯ ул.</t>
  </si>
  <si>
    <t>РАБОЧИЙ пер.</t>
  </si>
  <si>
    <t>РИЖСКИЙ пр.</t>
  </si>
  <si>
    <t>РИМСКОГО-КОРСАКОВА пр.</t>
  </si>
  <si>
    <t>65/11</t>
  </si>
  <si>
    <t>89-91</t>
  </si>
  <si>
    <t>САДОВАЯ ул.</t>
  </si>
  <si>
    <t>111-113</t>
  </si>
  <si>
    <t>112-114</t>
  </si>
  <si>
    <t>122/193</t>
  </si>
  <si>
    <t>64/21</t>
  </si>
  <si>
    <t>СОЮЗА ПЕЧАТНИКОВ ул.</t>
  </si>
  <si>
    <t>13-15</t>
  </si>
  <si>
    <t>ТРОИЦКИЙ пр.</t>
  </si>
  <si>
    <t>20/36</t>
  </si>
  <si>
    <t>Я</t>
  </si>
  <si>
    <t>УГЛОВОЙ пер.</t>
  </si>
  <si>
    <t>ФОНТАНКИ наб.реки</t>
  </si>
  <si>
    <t>134б</t>
  </si>
  <si>
    <t>181/6</t>
  </si>
  <si>
    <t>ЯКУБОВИЧА ул.</t>
  </si>
  <si>
    <t xml:space="preserve">Адмиралтейский </t>
  </si>
  <si>
    <t>МС МО  МО"Семеновское"</t>
  </si>
  <si>
    <t>Большой Казачий  пер.</t>
  </si>
  <si>
    <t>01-0001</t>
  </si>
  <si>
    <t>Частная управляющая организация</t>
  </si>
  <si>
    <t xml:space="preserve">Индивидуальный </t>
  </si>
  <si>
    <t>кирпичные</t>
  </si>
  <si>
    <t>01-0002</t>
  </si>
  <si>
    <t>01-0003</t>
  </si>
  <si>
    <t>01-0004</t>
  </si>
  <si>
    <t>01-0005</t>
  </si>
  <si>
    <t>01-0006</t>
  </si>
  <si>
    <t>Батайский пер.</t>
  </si>
  <si>
    <t>01-0007</t>
  </si>
  <si>
    <t>01-0008</t>
  </si>
  <si>
    <t>Бородинская ул.</t>
  </si>
  <si>
    <t>1/88</t>
  </si>
  <si>
    <t>01-0009</t>
  </si>
  <si>
    <t>01-0010</t>
  </si>
  <si>
    <t>01-0011</t>
  </si>
  <si>
    <t>01-0012</t>
  </si>
  <si>
    <t>Бронницкая ул.</t>
  </si>
  <si>
    <t>2/70</t>
  </si>
  <si>
    <t>01-0013</t>
  </si>
  <si>
    <t>01-0014</t>
  </si>
  <si>
    <t>01-0015</t>
  </si>
  <si>
    <t>01-0016</t>
  </si>
  <si>
    <t>01-0017</t>
  </si>
  <si>
    <t>01-0018</t>
  </si>
  <si>
    <t>13/19</t>
  </si>
  <si>
    <t>01-0019</t>
  </si>
  <si>
    <t>01-0020</t>
  </si>
  <si>
    <t>14б</t>
  </si>
  <si>
    <t>01-0021</t>
  </si>
  <si>
    <t>15/24</t>
  </si>
  <si>
    <t>01-0022</t>
  </si>
  <si>
    <t>01-0023</t>
  </si>
  <si>
    <t>01-0024</t>
  </si>
  <si>
    <t>01-0025</t>
  </si>
  <si>
    <t>18/22</t>
  </si>
  <si>
    <t>01-0026</t>
  </si>
  <si>
    <t>01-0027</t>
  </si>
  <si>
    <t>01-0028</t>
  </si>
  <si>
    <t>01-0029</t>
  </si>
  <si>
    <t>01-0030</t>
  </si>
  <si>
    <t>01-0031</t>
  </si>
  <si>
    <t>01-0032</t>
  </si>
  <si>
    <t>01-0033</t>
  </si>
  <si>
    <t>27/21</t>
  </si>
  <si>
    <t>01-0034</t>
  </si>
  <si>
    <t>01-0035</t>
  </si>
  <si>
    <t>01-0036</t>
  </si>
  <si>
    <t>01-0037</t>
  </si>
  <si>
    <t>01-0038</t>
  </si>
  <si>
    <t>01-0039</t>
  </si>
  <si>
    <t>36/37</t>
  </si>
  <si>
    <t>01-0040</t>
  </si>
  <si>
    <t>37/119</t>
  </si>
  <si>
    <t>01-0041</t>
  </si>
  <si>
    <t>01-0042</t>
  </si>
  <si>
    <t>01-0043</t>
  </si>
  <si>
    <t>Верейская ул.</t>
  </si>
  <si>
    <t>2/60</t>
  </si>
  <si>
    <t>01-0044</t>
  </si>
  <si>
    <t>01-0045</t>
  </si>
  <si>
    <t>01-0046</t>
  </si>
  <si>
    <t>01-0047</t>
  </si>
  <si>
    <t>01-0048</t>
  </si>
  <si>
    <t>01-0049</t>
  </si>
  <si>
    <t>9</t>
  </si>
  <si>
    <t>01-0050</t>
  </si>
  <si>
    <t>01-0051</t>
  </si>
  <si>
    <t>01-0052</t>
  </si>
  <si>
    <t>01-0053</t>
  </si>
  <si>
    <t>13б</t>
  </si>
  <si>
    <t>01-0054</t>
  </si>
  <si>
    <t>01-0055</t>
  </si>
  <si>
    <t>01-0056</t>
  </si>
  <si>
    <t>01-0057</t>
  </si>
  <si>
    <t>01-0058</t>
  </si>
  <si>
    <t>01-0059</t>
  </si>
  <si>
    <t>01-0060</t>
  </si>
  <si>
    <t>19</t>
  </si>
  <si>
    <t>01-0061</t>
  </si>
  <si>
    <t>01-0062</t>
  </si>
  <si>
    <t>01-0063</t>
  </si>
  <si>
    <t>23</t>
  </si>
  <si>
    <t>01-0064</t>
  </si>
  <si>
    <t>01-0065</t>
  </si>
  <si>
    <t>01-0066</t>
  </si>
  <si>
    <t>26</t>
  </si>
  <si>
    <t>01-0067</t>
  </si>
  <si>
    <t>27</t>
  </si>
  <si>
    <t>01-0068</t>
  </si>
  <si>
    <t>01-0069</t>
  </si>
  <si>
    <t>01-0070</t>
  </si>
  <si>
    <t>29</t>
  </si>
  <si>
    <t>01-0071</t>
  </si>
  <si>
    <t>01-0072</t>
  </si>
  <si>
    <t>01-0073</t>
  </si>
  <si>
    <t>33</t>
  </si>
  <si>
    <t>01-0074</t>
  </si>
  <si>
    <t>35</t>
  </si>
  <si>
    <t>01-0075</t>
  </si>
  <si>
    <t>37-39</t>
  </si>
  <si>
    <t>01-0076</t>
  </si>
  <si>
    <t>40</t>
  </si>
  <si>
    <t>01-0077</t>
  </si>
  <si>
    <t>42</t>
  </si>
  <si>
    <t>01-0078</t>
  </si>
  <si>
    <t>44</t>
  </si>
  <si>
    <t>01-0079</t>
  </si>
  <si>
    <t>45</t>
  </si>
  <si>
    <t>01-0080</t>
  </si>
  <si>
    <t>46</t>
  </si>
  <si>
    <t>01-0081</t>
  </si>
  <si>
    <t>47/107</t>
  </si>
  <si>
    <t>01-0082</t>
  </si>
  <si>
    <t>54/105</t>
  </si>
  <si>
    <t>01-0083</t>
  </si>
  <si>
    <t>Гороховая ул.</t>
  </si>
  <si>
    <t>01-0084</t>
  </si>
  <si>
    <t>01-0085</t>
  </si>
  <si>
    <t>01-0086</t>
  </si>
  <si>
    <t>01-0087</t>
  </si>
  <si>
    <t>01-0088</t>
  </si>
  <si>
    <t>01-0089</t>
  </si>
  <si>
    <t>01-0090</t>
  </si>
  <si>
    <t>01-0091</t>
  </si>
  <si>
    <t>01-0092</t>
  </si>
  <si>
    <t>61/1</t>
  </si>
  <si>
    <t>01-0093</t>
  </si>
  <si>
    <t>01-0094</t>
  </si>
  <si>
    <t>01-0095</t>
  </si>
  <si>
    <t>01-0096</t>
  </si>
  <si>
    <t>01-0097</t>
  </si>
  <si>
    <t>01-0098</t>
  </si>
  <si>
    <t>01-0099</t>
  </si>
  <si>
    <t>01-0100</t>
  </si>
  <si>
    <t>01-0101</t>
  </si>
  <si>
    <t>01-0102</t>
  </si>
  <si>
    <t>01-0103</t>
  </si>
  <si>
    <t>01-0104</t>
  </si>
  <si>
    <t>01-0105</t>
  </si>
  <si>
    <t>01-0106</t>
  </si>
  <si>
    <t>01-0107</t>
  </si>
  <si>
    <t>01-0108</t>
  </si>
  <si>
    <t>01-0109</t>
  </si>
  <si>
    <t>Дойникоа пер.</t>
  </si>
  <si>
    <t>4-6</t>
  </si>
  <si>
    <t>01-0110</t>
  </si>
  <si>
    <t>5/7</t>
  </si>
  <si>
    <t>01-0111</t>
  </si>
  <si>
    <t>01-0112</t>
  </si>
  <si>
    <t>Загородный пр.</t>
  </si>
  <si>
    <t>01-0113</t>
  </si>
  <si>
    <t>01-0114</t>
  </si>
  <si>
    <t>Клинский пр.</t>
  </si>
  <si>
    <t>01-0115</t>
  </si>
  <si>
    <t>01-0116</t>
  </si>
  <si>
    <t>01-0117</t>
  </si>
  <si>
    <t>26/2</t>
  </si>
  <si>
    <t>01-0118</t>
  </si>
  <si>
    <t>Малодетскосельский пр.</t>
  </si>
  <si>
    <t>22/29</t>
  </si>
  <si>
    <t>01-0119</t>
  </si>
  <si>
    <t>01-0120</t>
  </si>
  <si>
    <t>01-0121</t>
  </si>
  <si>
    <t>01-0122</t>
  </si>
  <si>
    <t>01-0123</t>
  </si>
  <si>
    <t>01-0124</t>
  </si>
  <si>
    <t>01-0125</t>
  </si>
  <si>
    <t>01-0126</t>
  </si>
  <si>
    <t>01-0127</t>
  </si>
  <si>
    <t>01-0128</t>
  </si>
  <si>
    <t>01-0129</t>
  </si>
  <si>
    <t>01-0130</t>
  </si>
  <si>
    <t>01-0131</t>
  </si>
  <si>
    <t>Можайская ул.</t>
  </si>
  <si>
    <t>01-0132</t>
  </si>
  <si>
    <t>3/5</t>
  </si>
  <si>
    <t>01-0133</t>
  </si>
  <si>
    <t>01-0134</t>
  </si>
  <si>
    <t>01-0135</t>
  </si>
  <si>
    <t>01-0136</t>
  </si>
  <si>
    <t>01-0137</t>
  </si>
  <si>
    <t>01-0138</t>
  </si>
  <si>
    <t>01-0139</t>
  </si>
  <si>
    <t>01-0140</t>
  </si>
  <si>
    <t>01-0141</t>
  </si>
  <si>
    <t>01-0142</t>
  </si>
  <si>
    <t>01-0143</t>
  </si>
  <si>
    <t>01-0144</t>
  </si>
  <si>
    <t>01-0145</t>
  </si>
  <si>
    <t>01-0146</t>
  </si>
  <si>
    <t>01-0147</t>
  </si>
  <si>
    <t>01-0148</t>
  </si>
  <si>
    <t>01-0149</t>
  </si>
  <si>
    <t>01-0150</t>
  </si>
  <si>
    <t>01-0151</t>
  </si>
  <si>
    <t>01-0152</t>
  </si>
  <si>
    <t>01-0153</t>
  </si>
  <si>
    <t>01-0154</t>
  </si>
  <si>
    <t>01-0155</t>
  </si>
  <si>
    <t>01-0156</t>
  </si>
  <si>
    <t>01-0157</t>
  </si>
  <si>
    <t>01-0158</t>
  </si>
  <si>
    <t>01-0159</t>
  </si>
  <si>
    <t>01-0160</t>
  </si>
  <si>
    <t>01-0161</t>
  </si>
  <si>
    <t>01-0162</t>
  </si>
  <si>
    <t>Московский пр.</t>
  </si>
  <si>
    <t>01-0163</t>
  </si>
  <si>
    <t>01-0164</t>
  </si>
  <si>
    <t>01-0165</t>
  </si>
  <si>
    <t>01-0166</t>
  </si>
  <si>
    <t>01-0167</t>
  </si>
  <si>
    <t>01-0168</t>
  </si>
  <si>
    <t>01-0169</t>
  </si>
  <si>
    <t>01-0170</t>
  </si>
  <si>
    <t>01-0171</t>
  </si>
  <si>
    <t>42/27</t>
  </si>
  <si>
    <t>01-0172</t>
  </si>
  <si>
    <t>01-0173</t>
  </si>
  <si>
    <t>48/33</t>
  </si>
  <si>
    <t>01-0174</t>
  </si>
  <si>
    <t>50/42</t>
  </si>
  <si>
    <t>01-0175</t>
  </si>
  <si>
    <t>01-0176</t>
  </si>
  <si>
    <t>наб. Обводного канала</t>
  </si>
  <si>
    <t>01-0177</t>
  </si>
  <si>
    <t>01-0178</t>
  </si>
  <si>
    <t>01-0179</t>
  </si>
  <si>
    <t>01-0180</t>
  </si>
  <si>
    <t>01-0181</t>
  </si>
  <si>
    <t>Подольская ул.</t>
  </si>
  <si>
    <t>1-3-5</t>
  </si>
  <si>
    <t>01-0182</t>
  </si>
  <si>
    <t>4/3</t>
  </si>
  <si>
    <t>01-0183</t>
  </si>
  <si>
    <t>01-0184</t>
  </si>
  <si>
    <t>01-0185</t>
  </si>
  <si>
    <t>01-0186</t>
  </si>
  <si>
    <t>01-0187</t>
  </si>
  <si>
    <t>01-0188</t>
  </si>
  <si>
    <t>01-0189</t>
  </si>
  <si>
    <t>01-0190</t>
  </si>
  <si>
    <t>01-0191</t>
  </si>
  <si>
    <t>01-0192</t>
  </si>
  <si>
    <t>01-0193</t>
  </si>
  <si>
    <t>01-0194</t>
  </si>
  <si>
    <t>01-0195</t>
  </si>
  <si>
    <t>23/16</t>
  </si>
  <si>
    <t>01-0196</t>
  </si>
  <si>
    <t>01-0197</t>
  </si>
  <si>
    <t>01-0198</t>
  </si>
  <si>
    <t>01-0199</t>
  </si>
  <si>
    <t>01-0200</t>
  </si>
  <si>
    <t>01-0201</t>
  </si>
  <si>
    <t>01-0202</t>
  </si>
  <si>
    <t>37/13</t>
  </si>
  <si>
    <t>01-0203</t>
  </si>
  <si>
    <t>01-0204</t>
  </si>
  <si>
    <t>39/14</t>
  </si>
  <si>
    <t>01-0205</t>
  </si>
  <si>
    <t>01-0206</t>
  </si>
  <si>
    <t>01-0207</t>
  </si>
  <si>
    <t>01-0208</t>
  </si>
  <si>
    <t>01-0209</t>
  </si>
  <si>
    <t>01-0210</t>
  </si>
  <si>
    <t>44-48</t>
  </si>
  <si>
    <t>01-0211</t>
  </si>
  <si>
    <t>01-0212</t>
  </si>
  <si>
    <t>01-0213</t>
  </si>
  <si>
    <t>01-0214</t>
  </si>
  <si>
    <t>Подъездной пер.</t>
  </si>
  <si>
    <t>01-0215</t>
  </si>
  <si>
    <t>01-0216</t>
  </si>
  <si>
    <t>01-0217</t>
  </si>
  <si>
    <t>01-0218</t>
  </si>
  <si>
    <t>01-0219</t>
  </si>
  <si>
    <t>01-0220</t>
  </si>
  <si>
    <t>01-0221</t>
  </si>
  <si>
    <t>01-0222</t>
  </si>
  <si>
    <t>01-0223</t>
  </si>
  <si>
    <t>01-0224</t>
  </si>
  <si>
    <t>Рузовская ул.</t>
  </si>
  <si>
    <t>01-0225</t>
  </si>
  <si>
    <t>01-0226</t>
  </si>
  <si>
    <t>01-0227</t>
  </si>
  <si>
    <t>01-0228</t>
  </si>
  <si>
    <t>01-0229</t>
  </si>
  <si>
    <t>01-0230</t>
  </si>
  <si>
    <t>01-0231</t>
  </si>
  <si>
    <t>01-0232</t>
  </si>
  <si>
    <t>01-0233</t>
  </si>
  <si>
    <t>01-0234</t>
  </si>
  <si>
    <t>01-0235</t>
  </si>
  <si>
    <t>01-0236</t>
  </si>
  <si>
    <t>01-0237</t>
  </si>
  <si>
    <t>01-0238</t>
  </si>
  <si>
    <t>Серпуховская ул.</t>
  </si>
  <si>
    <t>2/68</t>
  </si>
  <si>
    <t>01-0239</t>
  </si>
  <si>
    <t>01-0240</t>
  </si>
  <si>
    <t>01-0241</t>
  </si>
  <si>
    <t>01-0242</t>
  </si>
  <si>
    <t>01-0243</t>
  </si>
  <si>
    <t>01-0244</t>
  </si>
  <si>
    <t>01-0245</t>
  </si>
  <si>
    <t>01-0246</t>
  </si>
  <si>
    <t>01-0247</t>
  </si>
  <si>
    <t>01-0248</t>
  </si>
  <si>
    <t>01-0249</t>
  </si>
  <si>
    <t>01-0250</t>
  </si>
  <si>
    <t>01-0251</t>
  </si>
  <si>
    <t>01-0252</t>
  </si>
  <si>
    <t>21/20</t>
  </si>
  <si>
    <t>01-0253</t>
  </si>
  <si>
    <t>01-0254</t>
  </si>
  <si>
    <t>01-0255</t>
  </si>
  <si>
    <t>01-0256</t>
  </si>
  <si>
    <t>01-0257</t>
  </si>
  <si>
    <t>01-0258</t>
  </si>
  <si>
    <t>01-0259</t>
  </si>
  <si>
    <t>30/29</t>
  </si>
  <si>
    <t>01-0260</t>
  </si>
  <si>
    <t>01-0261</t>
  </si>
  <si>
    <t>01-0262</t>
  </si>
  <si>
    <t>01-0263</t>
  </si>
  <si>
    <t>01-0264</t>
  </si>
  <si>
    <t>01-0265</t>
  </si>
  <si>
    <t>44-46</t>
  </si>
  <si>
    <t>01-0266</t>
  </si>
  <si>
    <t>48/113</t>
  </si>
  <si>
    <t>01-0267</t>
  </si>
  <si>
    <t>наб. реки Фонтанки</t>
  </si>
  <si>
    <t>01-0268</t>
  </si>
  <si>
    <t>01-0269</t>
  </si>
  <si>
    <t>01-0270</t>
  </si>
  <si>
    <t>01-0271</t>
  </si>
  <si>
    <t>01-0272</t>
  </si>
  <si>
    <t>01-0273</t>
  </si>
  <si>
    <t>01-0274</t>
  </si>
  <si>
    <t>01-0275</t>
  </si>
  <si>
    <t>01-0276</t>
  </si>
  <si>
    <t>01-0277</t>
  </si>
  <si>
    <t>01-0278</t>
  </si>
  <si>
    <t>01-0279</t>
  </si>
  <si>
    <t>01-0280</t>
  </si>
  <si>
    <t>110/16</t>
  </si>
  <si>
    <t>01-0281</t>
  </si>
  <si>
    <t>01-0282</t>
  </si>
  <si>
    <t>АНГЛИЙСКИЙ ПР.</t>
  </si>
  <si>
    <t>21/60</t>
  </si>
  <si>
    <t>лит А</t>
  </si>
  <si>
    <t>01_000001</t>
  </si>
  <si>
    <t>УПО</t>
  </si>
  <si>
    <t>лит Б</t>
  </si>
  <si>
    <t>01_000002</t>
  </si>
  <si>
    <t>АНТОНЕНКО ПЕР,</t>
  </si>
  <si>
    <t>01_000003</t>
  </si>
  <si>
    <t>01_000004</t>
  </si>
  <si>
    <t>01_000005</t>
  </si>
  <si>
    <t>БОЙЦОВА ПЕР,</t>
  </si>
  <si>
    <t>01_000006</t>
  </si>
  <si>
    <t>лит В</t>
  </si>
  <si>
    <t>01_000007</t>
  </si>
  <si>
    <t>01_000008</t>
  </si>
  <si>
    <t>БРИНЬКО ПЕР,</t>
  </si>
  <si>
    <t>01_000009</t>
  </si>
  <si>
    <t>ВОЗНЕСЕНСКИЙ ПР,</t>
  </si>
  <si>
    <t>01_000010</t>
  </si>
  <si>
    <t>01_000011</t>
  </si>
  <si>
    <t>01_000012</t>
  </si>
  <si>
    <t>01_000013</t>
  </si>
  <si>
    <t>01_000014</t>
  </si>
  <si>
    <t>01_000015</t>
  </si>
  <si>
    <t>01_000016</t>
  </si>
  <si>
    <t>01_000017</t>
  </si>
  <si>
    <t>01_000018</t>
  </si>
  <si>
    <t>лит Г</t>
  </si>
  <si>
    <t>01_000019</t>
  </si>
  <si>
    <t>01_000020</t>
  </si>
  <si>
    <t>3-5</t>
  </si>
  <si>
    <t>01_000021</t>
  </si>
  <si>
    <t>01_000022</t>
  </si>
  <si>
    <t>37/6</t>
  </si>
  <si>
    <t xml:space="preserve"> лит А</t>
  </si>
  <si>
    <t>01_000023</t>
  </si>
  <si>
    <t>01_000024</t>
  </si>
  <si>
    <t>01_000025</t>
  </si>
  <si>
    <t>01_000026</t>
  </si>
  <si>
    <t>01_000027</t>
  </si>
  <si>
    <t>01_000028</t>
  </si>
  <si>
    <t>01_000029</t>
  </si>
  <si>
    <t>01_000030</t>
  </si>
  <si>
    <t>01_000031</t>
  </si>
  <si>
    <t>01_000032</t>
  </si>
  <si>
    <t>ГЛИНКИ УЛ,</t>
  </si>
  <si>
    <t>01_000033</t>
  </si>
  <si>
    <t>01_000034</t>
  </si>
  <si>
    <t>3-5-7</t>
  </si>
  <si>
    <t>01_000035</t>
  </si>
  <si>
    <t>01_000036</t>
  </si>
  <si>
    <t>01_000037</t>
  </si>
  <si>
    <t>01_000038</t>
  </si>
  <si>
    <t>01_000039</t>
  </si>
  <si>
    <t>лит Д</t>
  </si>
  <si>
    <t>01_000040</t>
  </si>
  <si>
    <t>ГОРОХОВАЯ УЛ,</t>
  </si>
  <si>
    <t>17/56</t>
  </si>
  <si>
    <t>01_000041</t>
  </si>
  <si>
    <t>ТСЖ</t>
  </si>
  <si>
    <t>на технич обслуживании</t>
  </si>
  <si>
    <t>01_000042</t>
  </si>
  <si>
    <t>01_000043</t>
  </si>
  <si>
    <t>01_000044</t>
  </si>
  <si>
    <t>01_000045</t>
  </si>
  <si>
    <t>01_000046</t>
  </si>
  <si>
    <t>01_000047</t>
  </si>
  <si>
    <t>01_000048</t>
  </si>
  <si>
    <t>01_000049</t>
  </si>
  <si>
    <t>35-37</t>
  </si>
  <si>
    <t>01_000050</t>
  </si>
  <si>
    <t>01_000051</t>
  </si>
  <si>
    <t>01_000052</t>
  </si>
  <si>
    <t>01_000053</t>
  </si>
  <si>
    <t>01_000054</t>
  </si>
  <si>
    <t>01_000055</t>
  </si>
  <si>
    <t>01_000056</t>
  </si>
  <si>
    <t>01_000057</t>
  </si>
  <si>
    <t>01_000058</t>
  </si>
  <si>
    <t>лит У</t>
  </si>
  <si>
    <t>01_000059</t>
  </si>
  <si>
    <t>01_000060</t>
  </si>
  <si>
    <t>ГРАЖДАНСКАЯ УЛ,</t>
  </si>
  <si>
    <t>01_000061</t>
  </si>
  <si>
    <t>01_000062</t>
  </si>
  <si>
    <t>01_000063</t>
  </si>
  <si>
    <t>01_000064</t>
  </si>
  <si>
    <t>17/8</t>
  </si>
  <si>
    <t>01_000065</t>
  </si>
  <si>
    <t>18/7</t>
  </si>
  <si>
    <t>01_000066</t>
  </si>
  <si>
    <t>01_000067</t>
  </si>
  <si>
    <t>01_000068</t>
  </si>
  <si>
    <t>01_000069</t>
  </si>
  <si>
    <t>01_000070</t>
  </si>
  <si>
    <t>01_000072</t>
  </si>
  <si>
    <t>01_000071</t>
  </si>
  <si>
    <t>01_000073</t>
  </si>
  <si>
    <t>01_000074</t>
  </si>
  <si>
    <t>01_000075</t>
  </si>
  <si>
    <t>01_000076</t>
  </si>
  <si>
    <t>01_000077</t>
  </si>
  <si>
    <t>01_000078</t>
  </si>
  <si>
    <t>01_000079</t>
  </si>
  <si>
    <t>01_000080</t>
  </si>
  <si>
    <t>01_000081</t>
  </si>
  <si>
    <t>01_000082</t>
  </si>
  <si>
    <t>01_000083</t>
  </si>
  <si>
    <t>ГРИБОЕДОВА КАН,</t>
  </si>
  <si>
    <t>01_000084</t>
  </si>
  <si>
    <t>01_000085</t>
  </si>
  <si>
    <t>01_000086</t>
  </si>
  <si>
    <t>01_000087</t>
  </si>
  <si>
    <t>107/6</t>
  </si>
  <si>
    <t>01_000088</t>
  </si>
  <si>
    <t>109/8</t>
  </si>
  <si>
    <t>01_000089</t>
  </si>
  <si>
    <t>01_000090</t>
  </si>
  <si>
    <t>01_000091</t>
  </si>
  <si>
    <t>01_000092</t>
  </si>
  <si>
    <t>01_000093</t>
  </si>
  <si>
    <t>01_000094</t>
  </si>
  <si>
    <t>119-121</t>
  </si>
  <si>
    <t>01_000095</t>
  </si>
  <si>
    <t>01_000096</t>
  </si>
  <si>
    <t>01_000097</t>
  </si>
  <si>
    <t xml:space="preserve">ГРИБОЕДОВА КАН, </t>
  </si>
  <si>
    <t>148-150</t>
  </si>
  <si>
    <t>01_000098</t>
  </si>
  <si>
    <t>01_000099</t>
  </si>
  <si>
    <t>01_000100</t>
  </si>
  <si>
    <t>65-67</t>
  </si>
  <si>
    <t>01_000101</t>
  </si>
  <si>
    <t>01_000102</t>
  </si>
  <si>
    <t>01_000103</t>
  </si>
  <si>
    <t>01_000104</t>
  </si>
  <si>
    <t>01_000105</t>
  </si>
  <si>
    <t>01_000106</t>
  </si>
  <si>
    <t>лит Л</t>
  </si>
  <si>
    <t>01_000107</t>
  </si>
  <si>
    <t>01_000108</t>
  </si>
  <si>
    <t>01_000109</t>
  </si>
  <si>
    <t>01_000110</t>
  </si>
  <si>
    <t>01_000111</t>
  </si>
  <si>
    <t>01_000112</t>
  </si>
  <si>
    <t>01_000113</t>
  </si>
  <si>
    <t>01_000114</t>
  </si>
  <si>
    <t>01_000115</t>
  </si>
  <si>
    <t>01_000116</t>
  </si>
  <si>
    <t>01_000117</t>
  </si>
  <si>
    <t>01_000118</t>
  </si>
  <si>
    <t>ГРИВЦОВА ПЕР,</t>
  </si>
  <si>
    <t>01_000119</t>
  </si>
  <si>
    <t>01_000120</t>
  </si>
  <si>
    <t>01_000121</t>
  </si>
  <si>
    <t>01_000122</t>
  </si>
  <si>
    <t>01_000123</t>
  </si>
  <si>
    <t>01_000124</t>
  </si>
  <si>
    <t>01_000125</t>
  </si>
  <si>
    <t>01_000126</t>
  </si>
  <si>
    <t>01_000127</t>
  </si>
  <si>
    <t>01_000128</t>
  </si>
  <si>
    <t>01_000129</t>
  </si>
  <si>
    <t>01_000130</t>
  </si>
  <si>
    <t>01_000131</t>
  </si>
  <si>
    <t>ГРИВЦОВА ПЕР,д.</t>
  </si>
  <si>
    <t>13/11</t>
  </si>
  <si>
    <t>01_000132</t>
  </si>
  <si>
    <t>ДЕКАБРИСТОВ УЛ,</t>
  </si>
  <si>
    <t>01_000133</t>
  </si>
  <si>
    <t>01_000134</t>
  </si>
  <si>
    <t>01_000135</t>
  </si>
  <si>
    <t>01_000136</t>
  </si>
  <si>
    <t>14/7</t>
  </si>
  <si>
    <t>01_000137</t>
  </si>
  <si>
    <t>01_000138</t>
  </si>
  <si>
    <t>01_000139</t>
  </si>
  <si>
    <t>01_000140</t>
  </si>
  <si>
    <t>01_000141</t>
  </si>
  <si>
    <t>01_000142</t>
  </si>
  <si>
    <t>01_000143</t>
  </si>
  <si>
    <t>01_000144</t>
  </si>
  <si>
    <t xml:space="preserve">ДЕКАБРИСТОВ УЛ,  </t>
  </si>
  <si>
    <t>2</t>
  </si>
  <si>
    <t>01_000145</t>
  </si>
  <si>
    <t>01_000146</t>
  </si>
  <si>
    <t>01_000147</t>
  </si>
  <si>
    <t>01_000148</t>
  </si>
  <si>
    <t>01_000149</t>
  </si>
  <si>
    <t>01_000150</t>
  </si>
  <si>
    <t>01_000151</t>
  </si>
  <si>
    <t>01_000152</t>
  </si>
  <si>
    <t>01_000153</t>
  </si>
  <si>
    <t>01_000154</t>
  </si>
  <si>
    <t>01_000155</t>
  </si>
  <si>
    <t>01_000156</t>
  </si>
  <si>
    <t>ЕФИМОВА УЛ,</t>
  </si>
  <si>
    <t>01_000157</t>
  </si>
  <si>
    <t>01_000158</t>
  </si>
  <si>
    <t xml:space="preserve">КАЗАНСКАЯ УЛ, </t>
  </si>
  <si>
    <t>01_000159</t>
  </si>
  <si>
    <t>КАЗАНСКАЯ УЛ,</t>
  </si>
  <si>
    <t>26/27</t>
  </si>
  <si>
    <t>01_000160</t>
  </si>
  <si>
    <t>33/5</t>
  </si>
  <si>
    <t>01_000161</t>
  </si>
  <si>
    <t>01_000162</t>
  </si>
  <si>
    <t>01_000163</t>
  </si>
  <si>
    <t>лит.А</t>
  </si>
  <si>
    <t>01_000164</t>
  </si>
  <si>
    <t>01_000165</t>
  </si>
  <si>
    <t>01_000166</t>
  </si>
  <si>
    <t>01_000167</t>
  </si>
  <si>
    <t>01_000168</t>
  </si>
  <si>
    <t>01_000169</t>
  </si>
  <si>
    <t>01_000170</t>
  </si>
  <si>
    <t>01_000171</t>
  </si>
  <si>
    <t>01_000172</t>
  </si>
  <si>
    <t>01_000173</t>
  </si>
  <si>
    <t>01_000174</t>
  </si>
  <si>
    <t>01_000175</t>
  </si>
  <si>
    <t>52/24</t>
  </si>
  <si>
    <t>01_000176</t>
  </si>
  <si>
    <t xml:space="preserve">КАЗАНСКАЯ УЛ,  </t>
  </si>
  <si>
    <t>56</t>
  </si>
  <si>
    <t>01_000177</t>
  </si>
  <si>
    <t xml:space="preserve">КАЗНАЧЕЙСКАЯ УЛ,  </t>
  </si>
  <si>
    <t>1/61</t>
  </si>
  <si>
    <t>01_000178</t>
  </si>
  <si>
    <t>КАЗНАЧЕЙСКАЯ УЛ,</t>
  </si>
  <si>
    <t>01_000179</t>
  </si>
  <si>
    <t>01_000180</t>
  </si>
  <si>
    <t>01_000181</t>
  </si>
  <si>
    <t>01_000182</t>
  </si>
  <si>
    <t xml:space="preserve">КАЗНАЧЕЙСКАЯ УЛ, </t>
  </si>
  <si>
    <t>4/16</t>
  </si>
  <si>
    <t>01_000183</t>
  </si>
  <si>
    <t>5</t>
  </si>
  <si>
    <t>01_000184</t>
  </si>
  <si>
    <t xml:space="preserve">КАЗНАЧЕЙСКАЯ УЛ,    </t>
  </si>
  <si>
    <t>6/13</t>
  </si>
  <si>
    <t>01_000185</t>
  </si>
  <si>
    <t xml:space="preserve">КАЗНАЧЕЙСКАЯ УЛ,   </t>
  </si>
  <si>
    <t>7</t>
  </si>
  <si>
    <t>01_000186</t>
  </si>
  <si>
    <t>9/11</t>
  </si>
  <si>
    <t>01_000187</t>
  </si>
  <si>
    <t>КРЮКОВА КАН,</t>
  </si>
  <si>
    <t>01_000188</t>
  </si>
  <si>
    <t>01_000189</t>
  </si>
  <si>
    <t>01_000190</t>
  </si>
  <si>
    <t>01_000191</t>
  </si>
  <si>
    <t>КУСТАРНЫЙ ПЕР,</t>
  </si>
  <si>
    <t>01_000192</t>
  </si>
  <si>
    <t>01_000193</t>
  </si>
  <si>
    <t xml:space="preserve">КУСТАРНЫЙ ПЕР,      </t>
  </si>
  <si>
    <t>4</t>
  </si>
  <si>
    <t>01_000194</t>
  </si>
  <si>
    <t xml:space="preserve">М.МОРСКАЯ УЛ., </t>
  </si>
  <si>
    <t>21</t>
  </si>
  <si>
    <t>01_000195</t>
  </si>
  <si>
    <t xml:space="preserve">МОЖАЙСКАЯ УЛ, </t>
  </si>
  <si>
    <t>38</t>
  </si>
  <si>
    <t>01_000196</t>
  </si>
  <si>
    <t xml:space="preserve">МОЙКИ РЕКИ НАБ,  </t>
  </si>
  <si>
    <t>60</t>
  </si>
  <si>
    <t>01_000197</t>
  </si>
  <si>
    <t xml:space="preserve">МОЙКИ РЕКИ НАБ,     </t>
  </si>
  <si>
    <t>62/2</t>
  </si>
  <si>
    <t>01_000198</t>
  </si>
  <si>
    <t xml:space="preserve">МОЙКИ РЕКИ НАБ, </t>
  </si>
  <si>
    <t>82</t>
  </si>
  <si>
    <t>01_000199</t>
  </si>
  <si>
    <t>84/15</t>
  </si>
  <si>
    <t>01_000200</t>
  </si>
  <si>
    <t>МОЙКИ РЕКИ НАБ,</t>
  </si>
  <si>
    <t>01_000201</t>
  </si>
  <si>
    <t>01_000202</t>
  </si>
  <si>
    <t>01_000203</t>
  </si>
  <si>
    <t>МОСКОВСКИЙ ПР,</t>
  </si>
  <si>
    <t>1/2</t>
  </si>
  <si>
    <t>01_000204</t>
  </si>
  <si>
    <t>2/6</t>
  </si>
  <si>
    <t>01-001077</t>
  </si>
  <si>
    <t>01-001078</t>
  </si>
  <si>
    <t>01-001079</t>
  </si>
  <si>
    <t>01-001080</t>
  </si>
  <si>
    <t>01-001081</t>
  </si>
  <si>
    <t>общежитие</t>
  </si>
  <si>
    <t>01-001082</t>
  </si>
  <si>
    <t>01-001083</t>
  </si>
  <si>
    <t>НИКОЛЬСКАЯ ПЛ,</t>
  </si>
  <si>
    <t>01-001084</t>
  </si>
  <si>
    <t>НИКОЛЬСКИЙ ПЕР</t>
  </si>
  <si>
    <t>01-001085</t>
  </si>
  <si>
    <t xml:space="preserve">НИКОЛЬСКИЙ ПЕР,      </t>
  </si>
  <si>
    <t>01-001086</t>
  </si>
  <si>
    <t>ПИРОГОВА ПЕР,</t>
  </si>
  <si>
    <t>01-001087</t>
  </si>
  <si>
    <t>01-001088</t>
  </si>
  <si>
    <t>01-001089</t>
  </si>
  <si>
    <t>01-001090</t>
  </si>
  <si>
    <t>01-001091</t>
  </si>
  <si>
    <t>01-001092</t>
  </si>
  <si>
    <t>01-001093</t>
  </si>
  <si>
    <t>01-001094</t>
  </si>
  <si>
    <t>01-001095</t>
  </si>
  <si>
    <t>01-001096</t>
  </si>
  <si>
    <t>01-001097</t>
  </si>
  <si>
    <t>01-001098</t>
  </si>
  <si>
    <t>01-001099</t>
  </si>
  <si>
    <t>01-001100</t>
  </si>
  <si>
    <t>01-001101</t>
  </si>
  <si>
    <t>01-001102</t>
  </si>
  <si>
    <t>01-001103</t>
  </si>
  <si>
    <t>ПОДЪЯЧЕСКАЯ Б.УЛ,</t>
  </si>
  <si>
    <t>01-001104</t>
  </si>
  <si>
    <t>01-001105</t>
  </si>
  <si>
    <t>01-001106</t>
  </si>
  <si>
    <t>01-001107</t>
  </si>
  <si>
    <t>1-3</t>
  </si>
  <si>
    <t>01-001108</t>
  </si>
  <si>
    <t>01-001109</t>
  </si>
  <si>
    <t>01-001110</t>
  </si>
  <si>
    <t>01-001111</t>
  </si>
  <si>
    <t>01-001112</t>
  </si>
  <si>
    <t>01-001113</t>
  </si>
  <si>
    <t>01-001114</t>
  </si>
  <si>
    <t>01-001115</t>
  </si>
  <si>
    <t>01-001116</t>
  </si>
  <si>
    <t>01-001117</t>
  </si>
  <si>
    <t>01-001118</t>
  </si>
  <si>
    <t>01-001119</t>
  </si>
  <si>
    <t>01-001120</t>
  </si>
  <si>
    <t>01-001121</t>
  </si>
  <si>
    <t>01-001122</t>
  </si>
  <si>
    <t>01-001123</t>
  </si>
  <si>
    <t>01-001124</t>
  </si>
  <si>
    <t>01-001125</t>
  </si>
  <si>
    <t>01-001126</t>
  </si>
  <si>
    <t>01-001127</t>
  </si>
  <si>
    <t>01-001128</t>
  </si>
  <si>
    <t>01-001129</t>
  </si>
  <si>
    <t>01-001130</t>
  </si>
  <si>
    <t>01-001131</t>
  </si>
  <si>
    <t>01-001132</t>
  </si>
  <si>
    <t>ПОДЪЯЧЕСКАЯ Б.УЛ.</t>
  </si>
  <si>
    <t>01-001133</t>
  </si>
  <si>
    <t>ПОДЪЯЧЕСКАЯ М.УЛ,</t>
  </si>
  <si>
    <t>01-001134</t>
  </si>
  <si>
    <t xml:space="preserve">ПОДЪЯЧЕСКАЯ М.УЛ, </t>
  </si>
  <si>
    <t>12-14</t>
  </si>
  <si>
    <t>01-001135</t>
  </si>
  <si>
    <t>01-001136</t>
  </si>
  <si>
    <t>01-001137</t>
  </si>
  <si>
    <t>01-001138</t>
  </si>
  <si>
    <t>01-001139</t>
  </si>
  <si>
    <t>01-001140</t>
  </si>
  <si>
    <t xml:space="preserve">ПОДЪЯЧЕСКАЯ СР.УЛ, </t>
  </si>
  <si>
    <t>1</t>
  </si>
  <si>
    <t>01-001141</t>
  </si>
  <si>
    <t>ПОДЪЯЧЕСКАЯ СР.УЛ,</t>
  </si>
  <si>
    <t>01-001142</t>
  </si>
  <si>
    <t>01-001143</t>
  </si>
  <si>
    <t>01-001144</t>
  </si>
  <si>
    <t>01-001145</t>
  </si>
  <si>
    <t>01-001146</t>
  </si>
  <si>
    <t>01-001147</t>
  </si>
  <si>
    <t>01-001148</t>
  </si>
  <si>
    <t>01-001149</t>
  </si>
  <si>
    <t>01-001150</t>
  </si>
  <si>
    <t>01-001151</t>
  </si>
  <si>
    <t>01-001152</t>
  </si>
  <si>
    <t>01-001153</t>
  </si>
  <si>
    <t>01-001154</t>
  </si>
  <si>
    <t>ПОЧТАМСКАЯ УЛ.,</t>
  </si>
  <si>
    <t>8</t>
  </si>
  <si>
    <t>01-001155</t>
  </si>
  <si>
    <t>ПРАЧЕЧНЫЙ ПЕР,</t>
  </si>
  <si>
    <t>01-001156</t>
  </si>
  <si>
    <t>01-001157</t>
  </si>
  <si>
    <t>РИМСКОГО-КОРСАКОВА ПР,</t>
  </si>
  <si>
    <t>01-001158</t>
  </si>
  <si>
    <t>01-001159</t>
  </si>
  <si>
    <t xml:space="preserve">РИМСКОГО-КОРСАКОВА ПР,   </t>
  </si>
  <si>
    <t>01-001160</t>
  </si>
  <si>
    <t>16/2</t>
  </si>
  <si>
    <t>01-001161</t>
  </si>
  <si>
    <t>01-001162</t>
  </si>
  <si>
    <t>01-001163</t>
  </si>
  <si>
    <t>01-001164</t>
  </si>
  <si>
    <t>01-001165</t>
  </si>
  <si>
    <t>01-001166</t>
  </si>
  <si>
    <t xml:space="preserve">РИМСКОГО-КОРСАКОВА ПР,     </t>
  </si>
  <si>
    <t>3</t>
  </si>
  <si>
    <t>01-001167</t>
  </si>
  <si>
    <t>01-001168</t>
  </si>
  <si>
    <t>01-001169</t>
  </si>
  <si>
    <t>01-001170</t>
  </si>
  <si>
    <t xml:space="preserve">РИМСКОГО-КОРСАКОВА ПР,    </t>
  </si>
  <si>
    <t>8/18</t>
  </si>
  <si>
    <t>01-001171</t>
  </si>
  <si>
    <t xml:space="preserve">САДОВАЯ УЛ,    </t>
  </si>
  <si>
    <t>128</t>
  </si>
  <si>
    <t>01-001172</t>
  </si>
  <si>
    <t>САДОВАЯ УЛ,</t>
  </si>
  <si>
    <t>01-001173</t>
  </si>
  <si>
    <t>01-001174</t>
  </si>
  <si>
    <t xml:space="preserve">САДОВАЯ УЛ, </t>
  </si>
  <si>
    <t>45/62</t>
  </si>
  <si>
    <t>01-001175</t>
  </si>
  <si>
    <t>01-001176</t>
  </si>
  <si>
    <t>01-001177</t>
  </si>
  <si>
    <t>01-001178</t>
  </si>
  <si>
    <t>01-001179</t>
  </si>
  <si>
    <t>01-001180</t>
  </si>
  <si>
    <t>01-001181</t>
  </si>
  <si>
    <t>01-001182</t>
  </si>
  <si>
    <t>01-001183</t>
  </si>
  <si>
    <t>01-001184</t>
  </si>
  <si>
    <t>01-001185</t>
  </si>
  <si>
    <t>01-001186</t>
  </si>
  <si>
    <t>01-001187</t>
  </si>
  <si>
    <t>01-001188</t>
  </si>
  <si>
    <t>СЕННАЯ УЛ,</t>
  </si>
  <si>
    <t>01-001189</t>
  </si>
  <si>
    <t>01-001190</t>
  </si>
  <si>
    <t>01-001191</t>
  </si>
  <si>
    <t>01-001192</t>
  </si>
  <si>
    <t xml:space="preserve">СПАССКИЙ ПЕР, </t>
  </si>
  <si>
    <t>1/46</t>
  </si>
  <si>
    <t>01-001193</t>
  </si>
  <si>
    <t>2/44</t>
  </si>
  <si>
    <t>01-001194</t>
  </si>
  <si>
    <t xml:space="preserve">СПАССКИЙ ПЕР., </t>
  </si>
  <si>
    <t>11/1</t>
  </si>
  <si>
    <t>01-001195</t>
  </si>
  <si>
    <t>01-001196</t>
  </si>
  <si>
    <t>СПАССКИЙ ПЕР.,</t>
  </si>
  <si>
    <t>01-001197</t>
  </si>
  <si>
    <t>01-001198</t>
  </si>
  <si>
    <t>01-001199</t>
  </si>
  <si>
    <t>01-001200</t>
  </si>
  <si>
    <t>6/8</t>
  </si>
  <si>
    <t>01-001201</t>
  </si>
  <si>
    <t>лит Н</t>
  </si>
  <si>
    <t>01-001202</t>
  </si>
  <si>
    <t xml:space="preserve">СПАССКИЙ ПЕР.,     </t>
  </si>
  <si>
    <t>01-001203</t>
  </si>
  <si>
    <t>9/24</t>
  </si>
  <si>
    <t>01-001204</t>
  </si>
  <si>
    <t xml:space="preserve">СПАССКИЙ ПЕР.,   </t>
  </si>
  <si>
    <t>01-001205</t>
  </si>
  <si>
    <t xml:space="preserve">СТОЛЯРНЫЙ ПЕР, </t>
  </si>
  <si>
    <t>01-001206</t>
  </si>
  <si>
    <t xml:space="preserve">СТОЛЯРНЫЙ ПЕР,     </t>
  </si>
  <si>
    <t>01-001207</t>
  </si>
  <si>
    <t xml:space="preserve">СТОЛЯРНЫЙ ПЕР,    </t>
  </si>
  <si>
    <t>01-001208</t>
  </si>
  <si>
    <t xml:space="preserve">ТЕАТРАЛЬНАЯ ПЛ,     </t>
  </si>
  <si>
    <t>01-001209</t>
  </si>
  <si>
    <t xml:space="preserve">ТЕАТРАЛЬНАЯ ПЛ,  </t>
  </si>
  <si>
    <t>16/11</t>
  </si>
  <si>
    <t>01-001210</t>
  </si>
  <si>
    <t xml:space="preserve">ФОНАРНЫЙ ПЕР,     </t>
  </si>
  <si>
    <t>01-001211</t>
  </si>
  <si>
    <t xml:space="preserve">ФОНАРНЫЙ ПЕР,    </t>
  </si>
  <si>
    <t>01-001212</t>
  </si>
  <si>
    <t xml:space="preserve">ФОНАРНЫЙ ПЕР,  </t>
  </si>
  <si>
    <t>01-001213</t>
  </si>
  <si>
    <t>ФОНТАНКИ РЕКИ НАБ,</t>
  </si>
  <si>
    <t>01-001214</t>
  </si>
  <si>
    <t>01-001215</t>
  </si>
  <si>
    <t>01-001216</t>
  </si>
  <si>
    <t>01-001217</t>
  </si>
  <si>
    <t>01-001218</t>
  </si>
  <si>
    <t>01-001219</t>
  </si>
  <si>
    <t>01-001220</t>
  </si>
  <si>
    <t>01-001221</t>
  </si>
  <si>
    <t>01-001222</t>
  </si>
  <si>
    <t>01-001223</t>
  </si>
  <si>
    <t>01-001224</t>
  </si>
  <si>
    <t>01-001225</t>
  </si>
  <si>
    <t>01-001226</t>
  </si>
  <si>
    <t>01-001227</t>
  </si>
  <si>
    <t>01-001228</t>
  </si>
  <si>
    <t>01-001229</t>
  </si>
  <si>
    <t>01-001230</t>
  </si>
  <si>
    <t>01-001231</t>
  </si>
  <si>
    <t>01-001232</t>
  </si>
  <si>
    <t>01-001233</t>
  </si>
  <si>
    <t>01-001234</t>
  </si>
  <si>
    <t>лит Е</t>
  </si>
  <si>
    <t>01-001235</t>
  </si>
  <si>
    <t>01-001236</t>
  </si>
  <si>
    <t>01-001237</t>
  </si>
  <si>
    <t>01-001238</t>
  </si>
  <si>
    <t>01-001239</t>
  </si>
  <si>
    <t>01-001240</t>
  </si>
  <si>
    <t>01-001241</t>
  </si>
  <si>
    <t>01-001242</t>
  </si>
  <si>
    <t>ООО "Петербургтеплоэнерго"</t>
  </si>
  <si>
    <t>01_000347</t>
  </si>
  <si>
    <t>01_000348</t>
  </si>
  <si>
    <t>Д/Р</t>
  </si>
  <si>
    <t>01_000205</t>
  </si>
  <si>
    <t>01_000206</t>
  </si>
  <si>
    <t>01_000207</t>
  </si>
  <si>
    <t>01_000208</t>
  </si>
  <si>
    <t>01_000209</t>
  </si>
  <si>
    <t>01_000210</t>
  </si>
  <si>
    <t>01_000211</t>
  </si>
  <si>
    <t>01_000212</t>
  </si>
  <si>
    <t>01_000213</t>
  </si>
  <si>
    <t>01_000214</t>
  </si>
  <si>
    <t>01_000215</t>
  </si>
  <si>
    <t>01_000216</t>
  </si>
  <si>
    <t>01_000218</t>
  </si>
  <si>
    <t>01_000219</t>
  </si>
  <si>
    <t>01_000220</t>
  </si>
  <si>
    <t>01_000221</t>
  </si>
  <si>
    <t>01_000222</t>
  </si>
  <si>
    <t>01_000223</t>
  </si>
  <si>
    <t>01_000224</t>
  </si>
  <si>
    <t>01_000225</t>
  </si>
  <si>
    <t>01_000226</t>
  </si>
  <si>
    <t>01_000227</t>
  </si>
  <si>
    <t>01_000228</t>
  </si>
  <si>
    <t>01_000229</t>
  </si>
  <si>
    <t>01_000230</t>
  </si>
  <si>
    <t>01_000231</t>
  </si>
  <si>
    <t>01_000232</t>
  </si>
  <si>
    <t>01_000233</t>
  </si>
  <si>
    <t>01_000234</t>
  </si>
  <si>
    <t>01_000235</t>
  </si>
  <si>
    <t>01_000236</t>
  </si>
  <si>
    <t>01_000237</t>
  </si>
  <si>
    <t>01_000238</t>
  </si>
  <si>
    <t>01_000239</t>
  </si>
  <si>
    <t>01_000240</t>
  </si>
  <si>
    <t>01_000241</t>
  </si>
  <si>
    <t>01_000242</t>
  </si>
  <si>
    <t>01_000243</t>
  </si>
  <si>
    <t>01_000244</t>
  </si>
  <si>
    <t>01_000245</t>
  </si>
  <si>
    <t>01_000246</t>
  </si>
  <si>
    <t>01_000247</t>
  </si>
  <si>
    <t>01_000248</t>
  </si>
  <si>
    <t>01_000249</t>
  </si>
  <si>
    <t>01_000250</t>
  </si>
  <si>
    <t>01_000251</t>
  </si>
  <si>
    <t>01_000252</t>
  </si>
  <si>
    <t>01_000253</t>
  </si>
  <si>
    <t>01_000254</t>
  </si>
  <si>
    <t>01_000255</t>
  </si>
  <si>
    <t>01_000256</t>
  </si>
  <si>
    <t>01_000257</t>
  </si>
  <si>
    <t>01_000258</t>
  </si>
  <si>
    <t>01_000259</t>
  </si>
  <si>
    <t>01_000260</t>
  </si>
  <si>
    <t>01_000262</t>
  </si>
  <si>
    <t>01_000263</t>
  </si>
  <si>
    <t>01_000264</t>
  </si>
  <si>
    <t>01_000265</t>
  </si>
  <si>
    <t>01_000266</t>
  </si>
  <si>
    <t>01_000267</t>
  </si>
  <si>
    <t>01_000268</t>
  </si>
  <si>
    <t>01_000269</t>
  </si>
  <si>
    <t>01_000270</t>
  </si>
  <si>
    <t>01_000271</t>
  </si>
  <si>
    <t>01_000272</t>
  </si>
  <si>
    <t>01_000273</t>
  </si>
  <si>
    <t>01_000274</t>
  </si>
  <si>
    <t>01_000275</t>
  </si>
  <si>
    <t>01_000276</t>
  </si>
  <si>
    <t>01_000277</t>
  </si>
  <si>
    <t>01_000278</t>
  </si>
  <si>
    <t>01_000279</t>
  </si>
  <si>
    <t>01_000280</t>
  </si>
  <si>
    <t>01_000281</t>
  </si>
  <si>
    <t>01_000282</t>
  </si>
  <si>
    <t>01_000283</t>
  </si>
  <si>
    <t>01_000284</t>
  </si>
  <si>
    <t>01_000285</t>
  </si>
  <si>
    <t>01_000286</t>
  </si>
  <si>
    <t>01_000287</t>
  </si>
  <si>
    <t>01_000288</t>
  </si>
  <si>
    <t>01_000293</t>
  </si>
  <si>
    <t>01_000294</t>
  </si>
  <si>
    <t>01_000295</t>
  </si>
  <si>
    <t>01_000296</t>
  </si>
  <si>
    <t>01_000297</t>
  </si>
  <si>
    <t>01_000298</t>
  </si>
  <si>
    <t>01_000299</t>
  </si>
  <si>
    <t>01_000301</t>
  </si>
  <si>
    <t>01_000302</t>
  </si>
  <si>
    <t>01_000303</t>
  </si>
  <si>
    <t>01_000304</t>
  </si>
  <si>
    <t>01_000305</t>
  </si>
  <si>
    <t>01_000306</t>
  </si>
  <si>
    <t>01_000307</t>
  </si>
  <si>
    <t>01_000308</t>
  </si>
  <si>
    <t>01_000309</t>
  </si>
  <si>
    <t>01_000310</t>
  </si>
  <si>
    <t>01_000311</t>
  </si>
  <si>
    <t>01_000312</t>
  </si>
  <si>
    <t>01_000315</t>
  </si>
  <si>
    <t>01_000316</t>
  </si>
  <si>
    <t>01_000317</t>
  </si>
  <si>
    <t>01_000318</t>
  </si>
  <si>
    <t>01_000319</t>
  </si>
  <si>
    <t>01_000321</t>
  </si>
  <si>
    <t>01_000322</t>
  </si>
  <si>
    <t>01_000325</t>
  </si>
  <si>
    <t>01_000326</t>
  </si>
  <si>
    <t>01_000327</t>
  </si>
  <si>
    <t>01_000328</t>
  </si>
  <si>
    <t>01_000329</t>
  </si>
  <si>
    <t>01_000330</t>
  </si>
  <si>
    <t>01_000331</t>
  </si>
  <si>
    <t>01_000332</t>
  </si>
  <si>
    <t>01_000333</t>
  </si>
  <si>
    <t>01_000334</t>
  </si>
  <si>
    <t>01_000335</t>
  </si>
  <si>
    <t>01_000336</t>
  </si>
  <si>
    <t>01_000337</t>
  </si>
  <si>
    <t>01_000338</t>
  </si>
  <si>
    <t>01_000339</t>
  </si>
  <si>
    <t>01_000340</t>
  </si>
  <si>
    <t>01_000341</t>
  </si>
  <si>
    <t>01_000342</t>
  </si>
  <si>
    <t>01_000343</t>
  </si>
  <si>
    <t>01_000344</t>
  </si>
  <si>
    <t>01_000345</t>
  </si>
  <si>
    <t>01_000346</t>
  </si>
  <si>
    <t>01_000349</t>
  </si>
  <si>
    <t>01_000350</t>
  </si>
  <si>
    <t>01_000351</t>
  </si>
  <si>
    <t>01_000352</t>
  </si>
  <si>
    <t>01_000353</t>
  </si>
  <si>
    <t>01_000354</t>
  </si>
  <si>
    <t>01_000355</t>
  </si>
  <si>
    <t>01_000356</t>
  </si>
  <si>
    <t>01_000357</t>
  </si>
  <si>
    <t>01_000358</t>
  </si>
  <si>
    <t>01_000359</t>
  </si>
  <si>
    <t>01_000360</t>
  </si>
  <si>
    <t>01_000361</t>
  </si>
  <si>
    <t>01_000362</t>
  </si>
  <si>
    <t>01_000363</t>
  </si>
  <si>
    <t>01_000364</t>
  </si>
  <si>
    <t>01_000365</t>
  </si>
  <si>
    <t>01_000366</t>
  </si>
  <si>
    <t>01_000367</t>
  </si>
  <si>
    <t>01_000368</t>
  </si>
  <si>
    <t>01_000369</t>
  </si>
  <si>
    <t>01_000370</t>
  </si>
  <si>
    <t>01_000217</t>
  </si>
  <si>
    <t>01_000289</t>
  </si>
  <si>
    <t>01_000290</t>
  </si>
  <si>
    <t>01_000291</t>
  </si>
  <si>
    <t>01_000292</t>
  </si>
  <si>
    <t>01_000300</t>
  </si>
  <si>
    <t>01_000320</t>
  </si>
  <si>
    <t>01_000323</t>
  </si>
  <si>
    <t>01_000324</t>
  </si>
  <si>
    <t>01_000261</t>
  </si>
  <si>
    <t>01_000313</t>
  </si>
  <si>
    <t>01_000314</t>
  </si>
  <si>
    <t>ОАО"ПСК"</t>
  </si>
  <si>
    <t>ООО "Жилкомсервис №2 Адмиралтейского района"</t>
  </si>
  <si>
    <t>расселен</t>
  </si>
  <si>
    <t>техобслуж</t>
  </si>
  <si>
    <t>ТСЖ"Гороховая,41"</t>
  </si>
  <si>
    <t>ТСЖ"Гражданская 3"</t>
  </si>
  <si>
    <t>ТСЖ"Гражданская 20-22"</t>
  </si>
  <si>
    <t>ТСЖ"Грибоедова,79"</t>
  </si>
  <si>
    <t>ТСЖ"Грибоедова,81"</t>
  </si>
  <si>
    <t>техобслуживание</t>
  </si>
  <si>
    <t>расселенный</t>
  </si>
  <si>
    <t>ТСЖ"МалаяМорская,д.21"</t>
  </si>
  <si>
    <t xml:space="preserve">нет </t>
  </si>
  <si>
    <t>сведений</t>
  </si>
  <si>
    <t>свой дог.с пск</t>
  </si>
  <si>
    <t>ТСЖ"Римского-Корсакова,1"</t>
  </si>
  <si>
    <t>нет сведений</t>
  </si>
  <si>
    <t>дом не на управлении</t>
  </si>
  <si>
    <t>ТСЖ"Сенная площадь,1"</t>
  </si>
  <si>
    <t xml:space="preserve">ТСЖ"Фонтанка,131-136" </t>
  </si>
  <si>
    <t>нежилой</t>
  </si>
  <si>
    <t>разгружен</t>
  </si>
  <si>
    <t>закрытая</t>
  </si>
  <si>
    <t>ОАО "Территориальная генерирующая компания №1"</t>
  </si>
  <si>
    <t>ООО "ЖКС №2 Адмиралтейского района"</t>
  </si>
  <si>
    <t>элеватор</t>
  </si>
  <si>
    <t>безэлеватор</t>
  </si>
  <si>
    <t>150/70</t>
  </si>
  <si>
    <t>АУУ</t>
  </si>
  <si>
    <t>100 80.</t>
  </si>
  <si>
    <t>нбб</t>
  </si>
  <si>
    <t>нбб/рку</t>
  </si>
  <si>
    <t>10/5</t>
  </si>
  <si>
    <t>7/6</t>
  </si>
  <si>
    <t>6/3</t>
  </si>
  <si>
    <t>4/4</t>
  </si>
  <si>
    <t>нсп/нбб</t>
  </si>
  <si>
    <t>25/40</t>
  </si>
  <si>
    <t>6/5</t>
  </si>
  <si>
    <t>7/5</t>
  </si>
  <si>
    <t>3/2</t>
  </si>
  <si>
    <t>8/2</t>
  </si>
  <si>
    <t>7/1</t>
  </si>
  <si>
    <t>8/4</t>
  </si>
  <si>
    <t>8/3</t>
  </si>
  <si>
    <t>3/1</t>
  </si>
  <si>
    <t>17/4</t>
  </si>
  <si>
    <t>10/2</t>
  </si>
  <si>
    <t>2/2</t>
  </si>
  <si>
    <t>12/5</t>
  </si>
  <si>
    <t>16/6</t>
  </si>
  <si>
    <t>6/2</t>
  </si>
  <si>
    <t>8/9</t>
  </si>
  <si>
    <t>9/3</t>
  </si>
  <si>
    <t>12/6</t>
  </si>
  <si>
    <t>5/3</t>
  </si>
  <si>
    <t>7/9</t>
  </si>
  <si>
    <t>9/2</t>
  </si>
  <si>
    <t>5/4</t>
  </si>
  <si>
    <t>5/2</t>
  </si>
  <si>
    <t>8/6</t>
  </si>
  <si>
    <t>8/5</t>
  </si>
  <si>
    <t>6/4</t>
  </si>
  <si>
    <t>9/5</t>
  </si>
  <si>
    <t>12/4</t>
  </si>
  <si>
    <t>7/3</t>
  </si>
  <si>
    <t>2/3</t>
  </si>
  <si>
    <t>4/1</t>
  </si>
  <si>
    <t>3/4</t>
  </si>
  <si>
    <t>2/1</t>
  </si>
  <si>
    <t>1/4</t>
  </si>
  <si>
    <t>12/7</t>
  </si>
  <si>
    <t>3/3</t>
  </si>
  <si>
    <t>10/6</t>
  </si>
  <si>
    <t>"Пирогова 3"</t>
  </si>
  <si>
    <t>5/5</t>
  </si>
  <si>
    <t>7/8</t>
  </si>
  <si>
    <t>10/9</t>
  </si>
  <si>
    <t>13/8</t>
  </si>
  <si>
    <t>5/9</t>
  </si>
  <si>
    <t>9/4</t>
  </si>
  <si>
    <t>9/8</t>
  </si>
  <si>
    <t>12/10</t>
  </si>
  <si>
    <t>У</t>
  </si>
  <si>
    <t>Другое</t>
  </si>
  <si>
    <t>Хрущевка</t>
  </si>
  <si>
    <t>МО "Сенной округ"</t>
  </si>
  <si>
    <t>ОАО "Петербургская сбытовая компания"</t>
  </si>
  <si>
    <t>ООО "ЖКС №1 Адмиралтейского района"</t>
  </si>
</sst>
</file>

<file path=xl/styles.xml><?xml version="1.0" encoding="utf-8"?>
<styleSheet xmlns="http://schemas.openxmlformats.org/spreadsheetml/2006/main">
  <numFmts count="7">
    <numFmt numFmtId="164" formatCode="0.000"/>
    <numFmt numFmtId="165" formatCode="0.00;[Red]0.00"/>
    <numFmt numFmtId="166" formatCode="0;[Red]0"/>
    <numFmt numFmtId="167" formatCode="0.0;[Red]0.0"/>
    <numFmt numFmtId="168" formatCode="0.000;[Red]0.000"/>
    <numFmt numFmtId="169" formatCode="0.0000"/>
    <numFmt numFmtId="170" formatCode="#,##0.0000"/>
  </numFmts>
  <fonts count="19"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2"/>
      <color rgb="FF00B050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0"/>
      <name val="Times New Roman"/>
      <family val="1"/>
      <charset val="204"/>
    </font>
    <font>
      <sz val="1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1"/>
      <color indexed="8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sz val="16"/>
      <color indexed="8"/>
      <name val="Times New Roman"/>
      <family val="1"/>
      <charset val="204"/>
    </font>
    <font>
      <sz val="16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99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FFE9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-0.249977111117893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444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0" xfId="0" applyFont="1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3" fillId="0" borderId="0" xfId="0" applyFont="1" applyAlignment="1">
      <alignment wrapText="1"/>
    </xf>
    <xf numFmtId="164" fontId="3" fillId="5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/>
    <xf numFmtId="0" fontId="5" fillId="0" borderId="0" xfId="0" applyFont="1" applyAlignment="1">
      <alignment wrapText="1"/>
    </xf>
    <xf numFmtId="0" fontId="1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0" xfId="0" applyFont="1"/>
    <xf numFmtId="0" fontId="7" fillId="0" borderId="0" xfId="0" applyFont="1"/>
    <xf numFmtId="0" fontId="4" fillId="0" borderId="0" xfId="0" applyFont="1" applyFill="1"/>
    <xf numFmtId="0" fontId="2" fillId="5" borderId="1" xfId="0" applyFont="1" applyFill="1" applyBorder="1" applyAlignment="1">
      <alignment horizontal="center" vertical="center" wrapText="1"/>
    </xf>
    <xf numFmtId="0" fontId="1" fillId="0" borderId="1" xfId="0" applyFont="1" applyFill="1" applyBorder="1"/>
    <xf numFmtId="0" fontId="5" fillId="0" borderId="1" xfId="0" applyFont="1" applyFill="1" applyBorder="1" applyAlignment="1">
      <alignment wrapText="1"/>
    </xf>
    <xf numFmtId="0" fontId="4" fillId="0" borderId="1" xfId="0" applyFont="1" applyFill="1" applyBorder="1"/>
    <xf numFmtId="0" fontId="3" fillId="7" borderId="1" xfId="0" applyFont="1" applyFill="1" applyBorder="1" applyAlignment="1">
      <alignment horizontal="center" vertical="center" wrapText="1"/>
    </xf>
    <xf numFmtId="0" fontId="8" fillId="0" borderId="0" xfId="0" applyFont="1" applyAlignment="1"/>
    <xf numFmtId="0" fontId="8" fillId="0" borderId="0" xfId="0" applyFont="1"/>
    <xf numFmtId="0" fontId="4" fillId="0" borderId="1" xfId="0" applyFont="1" applyBorder="1"/>
    <xf numFmtId="0" fontId="1" fillId="0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2" fillId="0" borderId="0" xfId="0" applyFont="1"/>
    <xf numFmtId="0" fontId="4" fillId="2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3" fontId="1" fillId="0" borderId="0" xfId="0" applyNumberFormat="1" applyFont="1" applyAlignment="1">
      <alignment horizontal="left"/>
    </xf>
    <xf numFmtId="0" fontId="1" fillId="2" borderId="1" xfId="0" applyFont="1" applyFill="1" applyBorder="1"/>
    <xf numFmtId="0" fontId="1" fillId="8" borderId="1" xfId="0" applyFont="1" applyFill="1" applyBorder="1"/>
    <xf numFmtId="0" fontId="1" fillId="9" borderId="1" xfId="0" applyFont="1" applyFill="1" applyBorder="1"/>
    <xf numFmtId="0" fontId="1" fillId="5" borderId="1" xfId="0" applyFont="1" applyFill="1" applyBorder="1"/>
    <xf numFmtId="0" fontId="7" fillId="5" borderId="1" xfId="0" applyFont="1" applyFill="1" applyBorder="1"/>
    <xf numFmtId="0" fontId="4" fillId="5" borderId="1" xfId="0" applyFont="1" applyFill="1" applyBorder="1"/>
    <xf numFmtId="0" fontId="1" fillId="10" borderId="1" xfId="0" applyFont="1" applyFill="1" applyBorder="1"/>
    <xf numFmtId="0" fontId="4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6" fillId="0" borderId="0" xfId="0" applyFont="1"/>
    <xf numFmtId="0" fontId="4" fillId="12" borderId="0" xfId="0" applyFont="1" applyFill="1"/>
    <xf numFmtId="0" fontId="3" fillId="12" borderId="0" xfId="0" applyFont="1" applyFill="1"/>
    <xf numFmtId="49" fontId="4" fillId="12" borderId="0" xfId="0" applyNumberFormat="1" applyFont="1" applyFill="1" applyAlignment="1">
      <alignment horizontal="center"/>
    </xf>
    <xf numFmtId="0" fontId="1" fillId="13" borderId="1" xfId="0" applyFont="1" applyFill="1" applyBorder="1" applyAlignment="1">
      <alignment horizontal="center" vertical="center"/>
    </xf>
    <xf numFmtId="0" fontId="1" fillId="13" borderId="1" xfId="0" applyFont="1" applyFill="1" applyBorder="1"/>
    <xf numFmtId="0" fontId="1" fillId="13" borderId="0" xfId="0" applyFont="1" applyFill="1"/>
    <xf numFmtId="0" fontId="1" fillId="14" borderId="0" xfId="0" applyFont="1" applyFill="1"/>
    <xf numFmtId="0" fontId="1" fillId="13" borderId="1" xfId="0" applyFont="1" applyFill="1" applyBorder="1" applyAlignment="1">
      <alignment horizontal="right"/>
    </xf>
    <xf numFmtId="0" fontId="1" fillId="13" borderId="1" xfId="0" applyNumberFormat="1" applyFont="1" applyFill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9" fontId="1" fillId="13" borderId="1" xfId="0" applyNumberFormat="1" applyFont="1" applyFill="1" applyBorder="1" applyAlignment="1">
      <alignment horizontal="left"/>
    </xf>
    <xf numFmtId="1" fontId="9" fillId="13" borderId="1" xfId="0" applyNumberFormat="1" applyFont="1" applyFill="1" applyBorder="1" applyProtection="1">
      <protection locked="0"/>
    </xf>
    <xf numFmtId="1" fontId="9" fillId="13" borderId="1" xfId="0" applyNumberFormat="1" applyFont="1" applyFill="1" applyBorder="1" applyAlignment="1" applyProtection="1">
      <alignment horizontal="center"/>
      <protection locked="0"/>
    </xf>
    <xf numFmtId="3" fontId="9" fillId="13" borderId="1" xfId="0" applyNumberFormat="1" applyFont="1" applyFill="1" applyBorder="1"/>
    <xf numFmtId="2" fontId="1" fillId="13" borderId="1" xfId="0" applyNumberFormat="1" applyFont="1" applyFill="1" applyBorder="1"/>
    <xf numFmtId="2" fontId="1" fillId="0" borderId="1" xfId="0" applyNumberFormat="1" applyFont="1" applyBorder="1"/>
    <xf numFmtId="165" fontId="1" fillId="13" borderId="1" xfId="0" applyNumberFormat="1" applyFont="1" applyFill="1" applyBorder="1"/>
    <xf numFmtId="165" fontId="1" fillId="0" borderId="1" xfId="0" applyNumberFormat="1" applyFont="1" applyBorder="1"/>
    <xf numFmtId="165" fontId="4" fillId="13" borderId="1" xfId="0" applyNumberFormat="1" applyFont="1" applyFill="1" applyBorder="1" applyAlignment="1">
      <alignment wrapText="1"/>
    </xf>
    <xf numFmtId="0" fontId="4" fillId="13" borderId="1" xfId="0" applyFont="1" applyFill="1" applyBorder="1" applyAlignment="1">
      <alignment wrapText="1"/>
    </xf>
    <xf numFmtId="0" fontId="4" fillId="13" borderId="1" xfId="0" applyFont="1" applyFill="1" applyBorder="1"/>
    <xf numFmtId="165" fontId="4" fillId="13" borderId="1" xfId="0" applyNumberFormat="1" applyFont="1" applyFill="1" applyBorder="1"/>
    <xf numFmtId="0" fontId="2" fillId="2" borderId="4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1" fillId="13" borderId="1" xfId="0" applyFont="1" applyFill="1" applyBorder="1" applyAlignment="1">
      <alignment wrapText="1"/>
    </xf>
    <xf numFmtId="49" fontId="1" fillId="0" borderId="1" xfId="0" applyNumberFormat="1" applyFont="1" applyBorder="1" applyAlignment="1">
      <alignment horizontal="center" vertical="center" wrapText="1"/>
    </xf>
    <xf numFmtId="169" fontId="10" fillId="13" borderId="1" xfId="0" applyNumberFormat="1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wrapText="1"/>
    </xf>
    <xf numFmtId="0" fontId="1" fillId="13" borderId="1" xfId="0" applyFont="1" applyFill="1" applyBorder="1" applyAlignment="1">
      <alignment vertical="top" wrapText="1"/>
    </xf>
    <xf numFmtId="0" fontId="1" fillId="0" borderId="1" xfId="0" applyFont="1" applyFill="1" applyBorder="1" applyAlignment="1">
      <alignment vertical="top" wrapText="1"/>
    </xf>
    <xf numFmtId="0" fontId="11" fillId="0" borderId="1" xfId="0" applyFont="1" applyFill="1" applyBorder="1" applyAlignment="1">
      <alignment horizontal="center" vertical="center"/>
    </xf>
    <xf numFmtId="0" fontId="11" fillId="0" borderId="1" xfId="0" applyFont="1" applyFill="1" applyBorder="1"/>
    <xf numFmtId="0" fontId="4" fillId="0" borderId="1" xfId="0" applyNumberFormat="1" applyFont="1" applyFill="1" applyBorder="1" applyAlignment="1" applyProtection="1">
      <alignment wrapText="1"/>
      <protection locked="0"/>
    </xf>
    <xf numFmtId="49" fontId="11" fillId="0" borderId="1" xfId="0" applyNumberFormat="1" applyFont="1" applyFill="1" applyBorder="1"/>
    <xf numFmtId="0" fontId="11" fillId="0" borderId="1" xfId="0" applyFont="1" applyFill="1" applyBorder="1" applyAlignment="1">
      <alignment horizontal="right"/>
    </xf>
    <xf numFmtId="1" fontId="9" fillId="0" borderId="1" xfId="0" applyNumberFormat="1" applyFont="1" applyFill="1" applyBorder="1" applyProtection="1">
      <protection locked="0"/>
    </xf>
    <xf numFmtId="0" fontId="4" fillId="0" borderId="1" xfId="0" applyFont="1" applyFill="1" applyBorder="1" applyAlignment="1">
      <alignment wrapText="1"/>
    </xf>
    <xf numFmtId="0" fontId="11" fillId="0" borderId="1" xfId="0" applyFont="1" applyFill="1" applyBorder="1" applyAlignment="1">
      <alignment horizontal="center"/>
    </xf>
    <xf numFmtId="0" fontId="11" fillId="0" borderId="0" xfId="0" applyFont="1"/>
    <xf numFmtId="49" fontId="4" fillId="0" borderId="1" xfId="0" applyNumberFormat="1" applyFont="1" applyFill="1" applyBorder="1" applyAlignment="1" applyProtection="1">
      <alignment wrapText="1"/>
      <protection locked="0"/>
    </xf>
    <xf numFmtId="49" fontId="11" fillId="0" borderId="1" xfId="0" applyNumberFormat="1" applyFont="1" applyFill="1" applyBorder="1" applyAlignment="1">
      <alignment horizontal="right"/>
    </xf>
    <xf numFmtId="3" fontId="4" fillId="0" borderId="1" xfId="0" applyNumberFormat="1" applyFont="1" applyFill="1" applyBorder="1"/>
    <xf numFmtId="0" fontId="11" fillId="0" borderId="0" xfId="0" applyFont="1" applyFill="1"/>
    <xf numFmtId="49" fontId="4" fillId="0" borderId="1" xfId="0" applyNumberFormat="1" applyFont="1" applyFill="1" applyBorder="1" applyAlignment="1" applyProtection="1">
      <alignment horizontal="center" wrapText="1"/>
      <protection locked="0"/>
    </xf>
    <xf numFmtId="1" fontId="4" fillId="0" borderId="1" xfId="0" applyNumberFormat="1" applyFont="1" applyFill="1" applyBorder="1" applyAlignment="1" applyProtection="1">
      <alignment horizontal="center"/>
      <protection locked="0"/>
    </xf>
    <xf numFmtId="3" fontId="4" fillId="0" borderId="1" xfId="0" applyNumberFormat="1" applyFont="1" applyFill="1" applyBorder="1" applyAlignment="1">
      <alignment horizontal="center"/>
    </xf>
    <xf numFmtId="4" fontId="4" fillId="0" borderId="1" xfId="0" applyNumberFormat="1" applyFont="1" applyFill="1" applyBorder="1" applyAlignment="1">
      <alignment horizontal="center"/>
    </xf>
    <xf numFmtId="4" fontId="4" fillId="0" borderId="1" xfId="0" applyNumberFormat="1" applyFont="1" applyFill="1" applyBorder="1" applyAlignment="1" applyProtection="1">
      <alignment horizontal="center"/>
      <protection locked="0"/>
    </xf>
    <xf numFmtId="4" fontId="4" fillId="0" borderId="4" xfId="0" applyNumberFormat="1" applyFont="1" applyFill="1" applyBorder="1" applyAlignment="1" applyProtection="1">
      <alignment horizontal="center"/>
      <protection locked="0"/>
    </xf>
    <xf numFmtId="1" fontId="11" fillId="0" borderId="1" xfId="0" applyNumberFormat="1" applyFont="1" applyFill="1" applyBorder="1" applyAlignment="1" applyProtection="1">
      <alignment horizontal="center"/>
      <protection locked="0"/>
    </xf>
    <xf numFmtId="0" fontId="11" fillId="0" borderId="1" xfId="0" applyNumberFormat="1" applyFont="1" applyFill="1" applyBorder="1" applyAlignment="1" applyProtection="1">
      <alignment wrapText="1"/>
      <protection locked="0"/>
    </xf>
    <xf numFmtId="49" fontId="11" fillId="0" borderId="1" xfId="0" applyNumberFormat="1" applyFont="1" applyFill="1" applyBorder="1" applyAlignment="1" applyProtection="1">
      <alignment horizontal="center" wrapText="1"/>
      <protection locked="0"/>
    </xf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wrapText="1"/>
    </xf>
    <xf numFmtId="0" fontId="5" fillId="13" borderId="0" xfId="0" applyFont="1" applyFill="1" applyBorder="1" applyAlignment="1">
      <alignment wrapText="1"/>
    </xf>
    <xf numFmtId="0" fontId="5" fillId="0" borderId="0" xfId="0" applyFont="1" applyBorder="1" applyAlignment="1">
      <alignment wrapText="1"/>
    </xf>
    <xf numFmtId="49" fontId="1" fillId="0" borderId="0" xfId="0" applyNumberFormat="1" applyFont="1" applyBorder="1" applyAlignment="1">
      <alignment horizontal="center" vertical="center" wrapText="1"/>
    </xf>
    <xf numFmtId="0" fontId="4" fillId="0" borderId="0" xfId="0" applyFont="1" applyFill="1" applyBorder="1"/>
    <xf numFmtId="0" fontId="1" fillId="0" borderId="0" xfId="0" applyFont="1" applyFill="1" applyBorder="1"/>
    <xf numFmtId="0" fontId="1" fillId="13" borderId="1" xfId="0" applyFont="1" applyFill="1" applyBorder="1" applyAlignment="1">
      <alignment horizontal="right" vertical="center"/>
    </xf>
    <xf numFmtId="0" fontId="10" fillId="0" borderId="1" xfId="0" applyNumberFormat="1" applyFont="1" applyFill="1" applyBorder="1" applyAlignment="1" applyProtection="1">
      <alignment horizontal="left" wrapText="1"/>
      <protection locked="0"/>
    </xf>
    <xf numFmtId="0" fontId="14" fillId="0" borderId="1" xfId="0" applyFont="1" applyFill="1" applyBorder="1" applyAlignment="1">
      <alignment horizontal="center"/>
    </xf>
    <xf numFmtId="0" fontId="14" fillId="0" borderId="1" xfId="0" applyFont="1" applyFill="1" applyBorder="1" applyAlignment="1">
      <alignment horizontal="left"/>
    </xf>
    <xf numFmtId="0" fontId="14" fillId="0" borderId="1" xfId="0" applyFont="1" applyFill="1" applyBorder="1" applyAlignment="1">
      <alignment horizontal="right" wrapText="1"/>
    </xf>
    <xf numFmtId="0" fontId="14" fillId="0" borderId="2" xfId="0" applyFont="1" applyFill="1" applyBorder="1" applyAlignment="1">
      <alignment horizontal="right" wrapText="1"/>
    </xf>
    <xf numFmtId="4" fontId="14" fillId="0" borderId="1" xfId="0" applyNumberFormat="1" applyFont="1" applyFill="1" applyBorder="1" applyAlignment="1">
      <alignment horizontal="right" wrapText="1"/>
    </xf>
    <xf numFmtId="0" fontId="14" fillId="0" borderId="14" xfId="0" applyFont="1" applyFill="1" applyBorder="1" applyAlignment="1">
      <alignment horizontal="right" wrapText="1"/>
    </xf>
    <xf numFmtId="0" fontId="10" fillId="0" borderId="7" xfId="0" applyFont="1" applyFill="1" applyBorder="1" applyAlignment="1">
      <alignment horizontal="right" wrapText="1"/>
    </xf>
    <xf numFmtId="0" fontId="14" fillId="0" borderId="1" xfId="0" applyFont="1" applyFill="1" applyBorder="1" applyAlignment="1">
      <alignment wrapText="1"/>
    </xf>
    <xf numFmtId="4" fontId="10" fillId="0" borderId="1" xfId="0" applyNumberFormat="1" applyFont="1" applyFill="1" applyBorder="1" applyAlignment="1">
      <alignment horizontal="right" wrapText="1"/>
    </xf>
    <xf numFmtId="0" fontId="10" fillId="0" borderId="1" xfId="0" applyFont="1" applyFill="1" applyBorder="1" applyAlignment="1">
      <alignment horizontal="right" wrapText="1"/>
    </xf>
    <xf numFmtId="0" fontId="14" fillId="0" borderId="1" xfId="0" applyFont="1" applyFill="1" applyBorder="1" applyAlignment="1"/>
    <xf numFmtId="0" fontId="14" fillId="0" borderId="1" xfId="0" applyFont="1" applyFill="1" applyBorder="1" applyAlignment="1">
      <alignment horizontal="left" wrapText="1"/>
    </xf>
    <xf numFmtId="0" fontId="16" fillId="0" borderId="1" xfId="0" applyFont="1" applyBorder="1" applyAlignment="1">
      <alignment horizontal="right" wrapText="1"/>
    </xf>
    <xf numFmtId="0" fontId="16" fillId="0" borderId="1" xfId="0" applyFont="1" applyBorder="1" applyAlignment="1">
      <alignment wrapText="1"/>
    </xf>
    <xf numFmtId="0" fontId="17" fillId="0" borderId="1" xfId="0" applyFont="1" applyBorder="1"/>
    <xf numFmtId="0" fontId="16" fillId="0" borderId="1" xfId="0" applyFont="1" applyFill="1" applyBorder="1"/>
    <xf numFmtId="0" fontId="16" fillId="0" borderId="1" xfId="0" applyFont="1" applyFill="1" applyBorder="1" applyAlignment="1">
      <alignment wrapText="1"/>
    </xf>
    <xf numFmtId="0" fontId="16" fillId="0" borderId="1" xfId="0" applyFont="1" applyFill="1" applyBorder="1" applyAlignment="1">
      <alignment horizontal="right" wrapText="1"/>
    </xf>
    <xf numFmtId="0" fontId="17" fillId="0" borderId="1" xfId="0" applyFont="1" applyFill="1" applyBorder="1" applyAlignment="1">
      <alignment wrapText="1"/>
    </xf>
    <xf numFmtId="0" fontId="16" fillId="15" borderId="1" xfId="0" applyFont="1" applyFill="1" applyBorder="1" applyAlignment="1">
      <alignment wrapText="1"/>
    </xf>
    <xf numFmtId="0" fontId="17" fillId="0" borderId="4" xfId="0" applyFont="1" applyBorder="1" applyAlignment="1"/>
    <xf numFmtId="0" fontId="16" fillId="0" borderId="4" xfId="0" applyFont="1" applyFill="1" applyBorder="1" applyAlignment="1"/>
    <xf numFmtId="0" fontId="16" fillId="15" borderId="1" xfId="0" applyFont="1" applyFill="1" applyBorder="1" applyAlignment="1">
      <alignment horizontal="right" wrapText="1"/>
    </xf>
    <xf numFmtId="0" fontId="14" fillId="0" borderId="0" xfId="0" applyFont="1" applyAlignment="1">
      <alignment wrapText="1"/>
    </xf>
    <xf numFmtId="0" fontId="16" fillId="15" borderId="4" xfId="0" applyFont="1" applyFill="1" applyBorder="1" applyAlignment="1">
      <alignment wrapText="1"/>
    </xf>
    <xf numFmtId="0" fontId="16" fillId="0" borderId="1" xfId="0" applyFont="1" applyFill="1" applyBorder="1" applyAlignment="1"/>
    <xf numFmtId="0" fontId="16" fillId="0" borderId="1" xfId="0" applyFont="1" applyFill="1" applyBorder="1" applyAlignment="1">
      <alignment horizontal="left"/>
    </xf>
    <xf numFmtId="0" fontId="16" fillId="0" borderId="4" xfId="0" applyFont="1" applyFill="1" applyBorder="1" applyAlignment="1">
      <alignment horizontal="left"/>
    </xf>
    <xf numFmtId="0" fontId="16" fillId="0" borderId="3" xfId="0" applyFont="1" applyFill="1" applyBorder="1" applyAlignment="1">
      <alignment horizontal="left"/>
    </xf>
    <xf numFmtId="0" fontId="16" fillId="0" borderId="1" xfId="0" applyFont="1" applyBorder="1" applyAlignment="1"/>
    <xf numFmtId="0" fontId="4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4" fillId="2" borderId="1" xfId="0" applyFont="1" applyFill="1" applyBorder="1" applyAlignment="1">
      <alignment horizontal="right" vertical="center" wrapText="1"/>
    </xf>
    <xf numFmtId="0" fontId="1" fillId="0" borderId="1" xfId="0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1" fillId="0" borderId="1" xfId="0" applyFont="1" applyFill="1" applyBorder="1" applyAlignment="1">
      <alignment horizontal="right" vertical="top" wrapText="1"/>
    </xf>
    <xf numFmtId="0" fontId="1" fillId="0" borderId="0" xfId="0" applyFont="1" applyBorder="1" applyAlignment="1">
      <alignment horizontal="right" vertical="center" wrapText="1"/>
    </xf>
    <xf numFmtId="0" fontId="5" fillId="0" borderId="0" xfId="0" applyFont="1" applyBorder="1" applyAlignment="1">
      <alignment horizontal="right" wrapText="1"/>
    </xf>
    <xf numFmtId="49" fontId="10" fillId="0" borderId="1" xfId="0" applyNumberFormat="1" applyFont="1" applyFill="1" applyBorder="1" applyAlignment="1" applyProtection="1">
      <alignment horizontal="right" wrapText="1"/>
      <protection locked="0"/>
    </xf>
    <xf numFmtId="0" fontId="2" fillId="2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wrapText="1"/>
    </xf>
    <xf numFmtId="0" fontId="14" fillId="0" borderId="3" xfId="0" applyFont="1" applyFill="1" applyBorder="1" applyAlignment="1">
      <alignment wrapText="1"/>
    </xf>
    <xf numFmtId="0" fontId="14" fillId="0" borderId="4" xfId="0" applyFont="1" applyFill="1" applyBorder="1" applyAlignment="1">
      <alignment horizontal="left" wrapText="1"/>
    </xf>
    <xf numFmtId="0" fontId="14" fillId="0" borderId="5" xfId="0" applyFont="1" applyFill="1" applyBorder="1" applyAlignment="1">
      <alignment horizontal="left" wrapText="1"/>
    </xf>
    <xf numFmtId="0" fontId="14" fillId="0" borderId="5" xfId="0" applyFont="1" applyFill="1" applyBorder="1" applyAlignment="1">
      <alignment wrapText="1"/>
    </xf>
    <xf numFmtId="0" fontId="1" fillId="0" borderId="0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wrapText="1"/>
    </xf>
    <xf numFmtId="0" fontId="5" fillId="16" borderId="0" xfId="0" applyFont="1" applyFill="1" applyBorder="1" applyAlignment="1">
      <alignment wrapText="1"/>
    </xf>
    <xf numFmtId="0" fontId="11" fillId="0" borderId="1" xfId="0" applyFont="1" applyFill="1" applyBorder="1" applyAlignment="1">
      <alignment horizontal="left" wrapText="1"/>
    </xf>
    <xf numFmtId="0" fontId="14" fillId="0" borderId="1" xfId="0" applyFont="1" applyFill="1" applyBorder="1" applyAlignment="1">
      <alignment horizontal="left" wrapText="1"/>
    </xf>
    <xf numFmtId="0" fontId="14" fillId="0" borderId="1" xfId="0" applyNumberFormat="1" applyFont="1" applyFill="1" applyBorder="1" applyAlignment="1" applyProtection="1">
      <alignment horizontal="left" wrapText="1"/>
      <protection locked="0"/>
    </xf>
    <xf numFmtId="49" fontId="14" fillId="0" borderId="1" xfId="0" applyNumberFormat="1" applyFont="1" applyFill="1" applyBorder="1" applyAlignment="1" applyProtection="1">
      <alignment horizontal="right" wrapText="1"/>
      <protection locked="0"/>
    </xf>
    <xf numFmtId="0" fontId="10" fillId="0" borderId="1" xfId="0" applyFont="1" applyFill="1" applyBorder="1" applyAlignment="1">
      <alignment horizontal="left"/>
    </xf>
    <xf numFmtId="0" fontId="11" fillId="0" borderId="1" xfId="0" applyFont="1" applyFill="1" applyBorder="1" applyAlignment="1">
      <alignment horizontal="left"/>
    </xf>
    <xf numFmtId="0" fontId="11" fillId="0" borderId="1" xfId="0" applyFont="1" applyFill="1" applyBorder="1" applyAlignment="1">
      <alignment horizontal="right" wrapText="1"/>
    </xf>
    <xf numFmtId="0" fontId="11" fillId="0" borderId="18" xfId="0" applyFont="1" applyFill="1" applyBorder="1" applyAlignment="1">
      <alignment horizontal="right" wrapText="1"/>
    </xf>
    <xf numFmtId="0" fontId="14" fillId="0" borderId="18" xfId="0" applyFont="1" applyFill="1" applyBorder="1" applyAlignment="1">
      <alignment horizontal="right" wrapText="1"/>
    </xf>
    <xf numFmtId="0" fontId="11" fillId="0" borderId="1" xfId="0" applyFont="1" applyFill="1" applyBorder="1" applyAlignment="1">
      <alignment wrapText="1"/>
    </xf>
    <xf numFmtId="0" fontId="11" fillId="0" borderId="18" xfId="0" applyFont="1" applyFill="1" applyBorder="1" applyAlignment="1">
      <alignment horizontal="left" wrapText="1"/>
    </xf>
    <xf numFmtId="0" fontId="14" fillId="0" borderId="18" xfId="0" applyFont="1" applyFill="1" applyBorder="1" applyAlignment="1">
      <alignment horizontal="left" wrapText="1"/>
    </xf>
    <xf numFmtId="0" fontId="14" fillId="0" borderId="18" xfId="0" applyFont="1" applyFill="1" applyBorder="1" applyAlignment="1">
      <alignment horizontal="left" wrapText="1"/>
    </xf>
    <xf numFmtId="0" fontId="10" fillId="0" borderId="2" xfId="0" applyFont="1" applyFill="1" applyBorder="1" applyAlignment="1">
      <alignment horizontal="right" wrapText="1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horizontal="left" wrapText="1"/>
    </xf>
    <xf numFmtId="0" fontId="11" fillId="0" borderId="4" xfId="0" applyFont="1" applyFill="1" applyBorder="1" applyAlignment="1">
      <alignment wrapText="1"/>
    </xf>
    <xf numFmtId="0" fontId="11" fillId="0" borderId="3" xfId="0" applyFont="1" applyFill="1" applyBorder="1" applyAlignment="1">
      <alignment wrapText="1"/>
    </xf>
    <xf numFmtId="49" fontId="1" fillId="0" borderId="1" xfId="0" applyNumberFormat="1" applyFont="1" applyBorder="1" applyAlignment="1">
      <alignment wrapText="1"/>
    </xf>
    <xf numFmtId="49" fontId="5" fillId="0" borderId="1" xfId="0" applyNumberFormat="1" applyFont="1" applyBorder="1" applyAlignment="1">
      <alignment wrapText="1"/>
    </xf>
    <xf numFmtId="49" fontId="14" fillId="0" borderId="1" xfId="0" applyNumberFormat="1" applyFont="1" applyBorder="1" applyAlignment="1">
      <alignment horizontal="left" wrapText="1"/>
    </xf>
    <xf numFmtId="0" fontId="11" fillId="0" borderId="1" xfId="0" applyFont="1" applyBorder="1" applyAlignment="1">
      <alignment horizontal="right" wrapText="1"/>
    </xf>
    <xf numFmtId="0" fontId="1" fillId="0" borderId="0" xfId="0" applyFont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right"/>
    </xf>
    <xf numFmtId="1" fontId="4" fillId="0" borderId="1" xfId="0" applyNumberFormat="1" applyFont="1" applyFill="1" applyBorder="1" applyAlignment="1" applyProtection="1">
      <alignment horizontal="right"/>
      <protection locked="0"/>
    </xf>
    <xf numFmtId="1" fontId="11" fillId="0" borderId="1" xfId="0" applyNumberFormat="1" applyFont="1" applyFill="1" applyBorder="1" applyAlignment="1" applyProtection="1">
      <alignment horizontal="right"/>
      <protection locked="0"/>
    </xf>
    <xf numFmtId="1" fontId="9" fillId="0" borderId="1" xfId="0" applyNumberFormat="1" applyFont="1" applyFill="1" applyBorder="1" applyAlignment="1" applyProtection="1">
      <alignment horizontal="center"/>
      <protection locked="0"/>
    </xf>
    <xf numFmtId="3" fontId="9" fillId="13" borderId="1" xfId="0" applyNumberFormat="1" applyFont="1" applyFill="1" applyBorder="1" applyAlignment="1">
      <alignment horizontal="right"/>
    </xf>
    <xf numFmtId="3" fontId="4" fillId="0" borderId="1" xfId="0" applyNumberFormat="1" applyFont="1" applyFill="1" applyBorder="1" applyAlignment="1">
      <alignment horizontal="right"/>
    </xf>
    <xf numFmtId="0" fontId="4" fillId="0" borderId="1" xfId="0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left"/>
    </xf>
    <xf numFmtId="0" fontId="1" fillId="0" borderId="0" xfId="0" applyFont="1" applyFill="1" applyAlignment="1">
      <alignment horizontal="right"/>
    </xf>
    <xf numFmtId="1" fontId="9" fillId="13" borderId="1" xfId="0" applyNumberFormat="1" applyFont="1" applyFill="1" applyBorder="1" applyAlignment="1" applyProtection="1">
      <alignment horizontal="right"/>
      <protection locked="0"/>
    </xf>
    <xf numFmtId="3" fontId="9" fillId="13" borderId="1" xfId="0" applyNumberFormat="1" applyFont="1" applyFill="1" applyBorder="1" applyAlignment="1" applyProtection="1">
      <alignment horizontal="right"/>
      <protection locked="0"/>
    </xf>
    <xf numFmtId="1" fontId="9" fillId="13" borderId="4" xfId="0" applyNumberFormat="1" applyFont="1" applyFill="1" applyBorder="1" applyAlignment="1" applyProtection="1">
      <alignment horizontal="right"/>
      <protection locked="0"/>
    </xf>
    <xf numFmtId="3" fontId="9" fillId="13" borderId="4" xfId="0" applyNumberFormat="1" applyFont="1" applyFill="1" applyBorder="1" applyAlignment="1" applyProtection="1">
      <alignment horizontal="right"/>
      <protection locked="0"/>
    </xf>
    <xf numFmtId="0" fontId="4" fillId="0" borderId="1" xfId="0" applyFont="1" applyFill="1" applyBorder="1" applyAlignment="1">
      <alignment horizontal="right"/>
    </xf>
    <xf numFmtId="0" fontId="11" fillId="0" borderId="10" xfId="0" applyFont="1" applyFill="1" applyBorder="1" applyAlignment="1">
      <alignment wrapText="1"/>
    </xf>
    <xf numFmtId="0" fontId="11" fillId="0" borderId="17" xfId="0" applyFont="1" applyFill="1" applyBorder="1" applyAlignment="1">
      <alignment wrapText="1"/>
    </xf>
    <xf numFmtId="0" fontId="11" fillId="0" borderId="13" xfId="0" applyFont="1" applyFill="1" applyBorder="1" applyAlignment="1">
      <alignment wrapText="1"/>
    </xf>
    <xf numFmtId="0" fontId="14" fillId="0" borderId="1" xfId="0" applyFont="1" applyFill="1" applyBorder="1" applyAlignment="1">
      <alignment horizontal="right"/>
    </xf>
    <xf numFmtId="0" fontId="14" fillId="0" borderId="2" xfId="0" applyFont="1" applyFill="1" applyBorder="1" applyAlignment="1">
      <alignment horizontal="right"/>
    </xf>
    <xf numFmtId="0" fontId="1" fillId="0" borderId="1" xfId="0" applyFont="1" applyBorder="1" applyAlignment="1"/>
    <xf numFmtId="0" fontId="11" fillId="0" borderId="1" xfId="0" applyFont="1" applyBorder="1" applyAlignment="1"/>
    <xf numFmtId="49" fontId="11" fillId="0" borderId="1" xfId="0" applyNumberFormat="1" applyFont="1" applyBorder="1" applyAlignment="1">
      <alignment horizontal="left" wrapText="1"/>
    </xf>
    <xf numFmtId="0" fontId="4" fillId="0" borderId="4" xfId="0" applyFont="1" applyBorder="1" applyAlignment="1"/>
    <xf numFmtId="0" fontId="11" fillId="0" borderId="4" xfId="0" applyFont="1" applyFill="1" applyBorder="1" applyAlignment="1"/>
    <xf numFmtId="0" fontId="11" fillId="0" borderId="4" xfId="0" applyFont="1" applyFill="1" applyBorder="1" applyAlignment="1">
      <alignment horizontal="left"/>
    </xf>
    <xf numFmtId="0" fontId="11" fillId="15" borderId="1" xfId="0" applyFont="1" applyFill="1" applyBorder="1" applyAlignment="1">
      <alignment horizontal="right" wrapText="1"/>
    </xf>
    <xf numFmtId="0" fontId="11" fillId="0" borderId="4" xfId="0" applyFont="1" applyBorder="1" applyAlignment="1">
      <alignment horizontal="right" wrapText="1"/>
    </xf>
    <xf numFmtId="49" fontId="11" fillId="0" borderId="4" xfId="0" applyNumberFormat="1" applyFont="1" applyBorder="1" applyAlignment="1">
      <alignment horizontal="left" wrapText="1"/>
    </xf>
    <xf numFmtId="0" fontId="11" fillId="0" borderId="1" xfId="0" applyFont="1" applyFill="1" applyBorder="1" applyAlignment="1"/>
    <xf numFmtId="0" fontId="1" fillId="0" borderId="1" xfId="0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right"/>
    </xf>
    <xf numFmtId="0" fontId="1" fillId="0" borderId="1" xfId="0" applyFont="1" applyFill="1" applyBorder="1" applyAlignment="1">
      <alignment horizontal="right" wrapText="1"/>
    </xf>
    <xf numFmtId="0" fontId="5" fillId="0" borderId="1" xfId="0" applyFont="1" applyFill="1" applyBorder="1" applyAlignment="1">
      <alignment horizontal="right" wrapText="1"/>
    </xf>
    <xf numFmtId="166" fontId="5" fillId="0" borderId="1" xfId="0" applyNumberFormat="1" applyFont="1" applyFill="1" applyBorder="1" applyAlignment="1">
      <alignment horizontal="right" wrapText="1"/>
    </xf>
    <xf numFmtId="167" fontId="5" fillId="0" borderId="1" xfId="0" applyNumberFormat="1" applyFont="1" applyFill="1" applyBorder="1" applyAlignment="1">
      <alignment horizontal="right" wrapText="1"/>
    </xf>
    <xf numFmtId="165" fontId="5" fillId="0" borderId="1" xfId="0" applyNumberFormat="1" applyFont="1" applyFill="1" applyBorder="1" applyAlignment="1">
      <alignment horizontal="right" wrapText="1"/>
    </xf>
    <xf numFmtId="168" fontId="5" fillId="0" borderId="1" xfId="0" applyNumberFormat="1" applyFont="1" applyFill="1" applyBorder="1" applyAlignment="1">
      <alignment horizontal="right" wrapText="1"/>
    </xf>
    <xf numFmtId="0" fontId="4" fillId="0" borderId="1" xfId="0" applyFont="1" applyFill="1" applyBorder="1" applyAlignment="1">
      <alignment horizontal="right" wrapText="1"/>
    </xf>
    <xf numFmtId="0" fontId="11" fillId="15" borderId="4" xfId="0" applyFont="1" applyFill="1" applyBorder="1" applyAlignment="1">
      <alignment horizontal="right" wrapText="1"/>
    </xf>
    <xf numFmtId="164" fontId="1" fillId="0" borderId="1" xfId="0" applyNumberFormat="1" applyFont="1" applyFill="1" applyBorder="1" applyAlignment="1">
      <alignment horizontal="right"/>
    </xf>
    <xf numFmtId="164" fontId="1" fillId="0" borderId="1" xfId="0" applyNumberFormat="1" applyFont="1" applyBorder="1" applyAlignment="1">
      <alignment horizontal="right" wrapText="1"/>
    </xf>
    <xf numFmtId="169" fontId="10" fillId="13" borderId="1" xfId="0" applyNumberFormat="1" applyFont="1" applyFill="1" applyBorder="1" applyAlignment="1">
      <alignment horizontal="right" vertical="center"/>
    </xf>
    <xf numFmtId="164" fontId="5" fillId="0" borderId="1" xfId="0" applyNumberFormat="1" applyFont="1" applyFill="1" applyBorder="1" applyAlignment="1">
      <alignment horizontal="right" wrapText="1"/>
    </xf>
    <xf numFmtId="164" fontId="5" fillId="0" borderId="1" xfId="0" applyNumberFormat="1" applyFont="1" applyBorder="1" applyAlignment="1">
      <alignment horizontal="right" wrapText="1"/>
    </xf>
    <xf numFmtId="169" fontId="5" fillId="13" borderId="1" xfId="0" applyNumberFormat="1" applyFont="1" applyFill="1" applyBorder="1" applyAlignment="1">
      <alignment horizontal="right" vertical="center" wrapText="1"/>
    </xf>
    <xf numFmtId="164" fontId="5" fillId="13" borderId="1" xfId="0" applyNumberFormat="1" applyFont="1" applyFill="1" applyBorder="1" applyAlignment="1">
      <alignment horizontal="right" wrapText="1"/>
    </xf>
    <xf numFmtId="170" fontId="0" fillId="0" borderId="0" xfId="0" applyNumberFormat="1" applyAlignment="1">
      <alignment horizontal="right" vertical="center"/>
    </xf>
    <xf numFmtId="164" fontId="5" fillId="0" borderId="0" xfId="0" applyNumberFormat="1" applyFont="1" applyBorder="1" applyAlignment="1">
      <alignment horizontal="right" wrapText="1"/>
    </xf>
    <xf numFmtId="169" fontId="10" fillId="13" borderId="0" xfId="0" applyNumberFormat="1" applyFont="1" applyFill="1" applyBorder="1" applyAlignment="1">
      <alignment horizontal="right" vertical="center"/>
    </xf>
    <xf numFmtId="0" fontId="1" fillId="0" borderId="0" xfId="0" applyFont="1" applyBorder="1" applyAlignment="1">
      <alignment horizontal="right" wrapText="1"/>
    </xf>
    <xf numFmtId="0" fontId="11" fillId="0" borderId="18" xfId="0" applyFont="1" applyFill="1" applyBorder="1" applyAlignment="1">
      <alignment horizontal="right"/>
    </xf>
    <xf numFmtId="0" fontId="14" fillId="0" borderId="22" xfId="0" applyFont="1" applyFill="1" applyBorder="1" applyAlignment="1">
      <alignment horizontal="right" wrapText="1"/>
    </xf>
    <xf numFmtId="0" fontId="14" fillId="0" borderId="21" xfId="0" applyFont="1" applyFill="1" applyBorder="1" applyAlignment="1">
      <alignment horizontal="right" wrapText="1"/>
    </xf>
    <xf numFmtId="0" fontId="1" fillId="0" borderId="1" xfId="0" applyFont="1" applyBorder="1" applyAlignment="1">
      <alignment horizontal="center" wrapText="1"/>
    </xf>
    <xf numFmtId="0" fontId="15" fillId="0" borderId="7" xfId="0" applyFont="1" applyFill="1" applyBorder="1" applyAlignment="1">
      <alignment horizontal="right" wrapText="1"/>
    </xf>
    <xf numFmtId="0" fontId="5" fillId="0" borderId="0" xfId="0" applyFont="1" applyAlignment="1">
      <alignment horizontal="left" wrapText="1"/>
    </xf>
    <xf numFmtId="0" fontId="4" fillId="7" borderId="1" xfId="0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/>
    </xf>
    <xf numFmtId="2" fontId="1" fillId="0" borderId="1" xfId="0" applyNumberFormat="1" applyFont="1" applyBorder="1" applyAlignment="1">
      <alignment horizontal="left"/>
    </xf>
    <xf numFmtId="0" fontId="5" fillId="0" borderId="1" xfId="0" applyFont="1" applyFill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0" fontId="1" fillId="0" borderId="0" xfId="0" applyFont="1" applyFill="1" applyBorder="1" applyAlignment="1">
      <alignment horizontal="left"/>
    </xf>
    <xf numFmtId="0" fontId="1" fillId="0" borderId="0" xfId="0" applyFont="1" applyBorder="1" applyAlignment="1">
      <alignment horizontal="left"/>
    </xf>
    <xf numFmtId="0" fontId="5" fillId="0" borderId="0" xfId="0" applyFont="1" applyBorder="1" applyAlignment="1">
      <alignment horizontal="left" wrapText="1"/>
    </xf>
    <xf numFmtId="2" fontId="1" fillId="0" borderId="0" xfId="0" applyNumberFormat="1" applyFont="1" applyBorder="1" applyAlignment="1">
      <alignment horizontal="left"/>
    </xf>
    <xf numFmtId="0" fontId="11" fillId="0" borderId="18" xfId="0" applyFont="1" applyFill="1" applyBorder="1" applyAlignment="1">
      <alignment horizontal="left"/>
    </xf>
    <xf numFmtId="0" fontId="11" fillId="0" borderId="1" xfId="0" applyFont="1" applyFill="1" applyBorder="1" applyAlignment="1">
      <alignment horizontal="left" vertical="center"/>
    </xf>
    <xf numFmtId="0" fontId="14" fillId="0" borderId="19" xfId="0" applyFont="1" applyFill="1" applyBorder="1" applyAlignment="1">
      <alignment horizontal="left" wrapText="1"/>
    </xf>
    <xf numFmtId="0" fontId="14" fillId="0" borderId="23" xfId="0" applyFont="1" applyFill="1" applyBorder="1" applyAlignment="1">
      <alignment horizontal="left" wrapText="1"/>
    </xf>
    <xf numFmtId="0" fontId="14" fillId="0" borderId="15" xfId="0" applyFont="1" applyFill="1" applyBorder="1" applyAlignment="1">
      <alignment horizontal="left" wrapText="1"/>
    </xf>
    <xf numFmtId="0" fontId="14" fillId="0" borderId="11" xfId="0" applyFont="1" applyFill="1" applyBorder="1" applyAlignment="1">
      <alignment horizontal="left" wrapText="1"/>
    </xf>
    <xf numFmtId="0" fontId="14" fillId="0" borderId="5" xfId="0" applyFont="1" applyFill="1" applyBorder="1" applyAlignment="1">
      <alignment horizontal="right" wrapText="1"/>
    </xf>
    <xf numFmtId="0" fontId="14" fillId="0" borderId="3" xfId="0" applyFont="1" applyFill="1" applyBorder="1" applyAlignment="1">
      <alignment horizontal="right" wrapText="1"/>
    </xf>
    <xf numFmtId="0" fontId="14" fillId="0" borderId="18" xfId="0" applyFont="1" applyFill="1" applyBorder="1" applyAlignment="1">
      <alignment horizontal="right" wrapText="1"/>
    </xf>
    <xf numFmtId="0" fontId="14" fillId="0" borderId="1" xfId="0" applyFont="1" applyFill="1" applyBorder="1" applyAlignment="1">
      <alignment horizontal="right" wrapText="1"/>
    </xf>
    <xf numFmtId="0" fontId="11" fillId="0" borderId="18" xfId="0" applyFont="1" applyFill="1" applyBorder="1" applyAlignment="1">
      <alignment horizontal="center"/>
    </xf>
    <xf numFmtId="0" fontId="14" fillId="0" borderId="18" xfId="0" applyFont="1" applyFill="1" applyBorder="1" applyAlignment="1">
      <alignment horizontal="center" wrapText="1"/>
    </xf>
    <xf numFmtId="0" fontId="11" fillId="0" borderId="18" xfId="0" applyFont="1" applyFill="1" applyBorder="1" applyAlignment="1">
      <alignment horizontal="center" wrapText="1"/>
    </xf>
    <xf numFmtId="0" fontId="10" fillId="0" borderId="18" xfId="0" applyFont="1" applyFill="1" applyBorder="1" applyAlignment="1">
      <alignment horizontal="center" wrapText="1"/>
    </xf>
    <xf numFmtId="0" fontId="11" fillId="0" borderId="18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left"/>
    </xf>
    <xf numFmtId="0" fontId="10" fillId="0" borderId="14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right" wrapText="1"/>
    </xf>
    <xf numFmtId="0" fontId="14" fillId="0" borderId="5" xfId="0" applyFont="1" applyFill="1" applyBorder="1" applyAlignment="1">
      <alignment horizontal="right" wrapText="1"/>
    </xf>
    <xf numFmtId="0" fontId="14" fillId="0" borderId="3" xfId="0" applyFont="1" applyFill="1" applyBorder="1" applyAlignment="1">
      <alignment horizontal="right" wrapText="1"/>
    </xf>
    <xf numFmtId="0" fontId="14" fillId="0" borderId="8" xfId="0" applyFont="1" applyFill="1" applyBorder="1" applyAlignment="1">
      <alignment horizontal="right" wrapText="1"/>
    </xf>
    <xf numFmtId="0" fontId="14" fillId="0" borderId="11" xfId="0" applyFont="1" applyFill="1" applyBorder="1" applyAlignment="1">
      <alignment horizontal="right" wrapText="1"/>
    </xf>
    <xf numFmtId="4" fontId="14" fillId="0" borderId="4" xfId="0" applyNumberFormat="1" applyFont="1" applyFill="1" applyBorder="1" applyAlignment="1">
      <alignment horizontal="right" wrapText="1"/>
    </xf>
    <xf numFmtId="4" fontId="14" fillId="0" borderId="3" xfId="0" applyNumberFormat="1" applyFont="1" applyFill="1" applyBorder="1" applyAlignment="1">
      <alignment horizontal="right" wrapText="1"/>
    </xf>
    <xf numFmtId="0" fontId="14" fillId="0" borderId="9" xfId="0" applyFont="1" applyFill="1" applyBorder="1" applyAlignment="1">
      <alignment horizontal="right" wrapText="1"/>
    </xf>
    <xf numFmtId="0" fontId="14" fillId="0" borderId="12" xfId="0" applyFont="1" applyFill="1" applyBorder="1" applyAlignment="1">
      <alignment horizontal="right" wrapText="1"/>
    </xf>
    <xf numFmtId="0" fontId="10" fillId="0" borderId="10" xfId="0" applyFont="1" applyFill="1" applyBorder="1" applyAlignment="1">
      <alignment horizontal="right" wrapText="1"/>
    </xf>
    <xf numFmtId="0" fontId="10" fillId="0" borderId="13" xfId="0" applyFont="1" applyFill="1" applyBorder="1" applyAlignment="1">
      <alignment horizontal="right" wrapText="1"/>
    </xf>
    <xf numFmtId="0" fontId="14" fillId="0" borderId="1" xfId="0" applyFont="1" applyFill="1" applyBorder="1" applyAlignment="1">
      <alignment horizontal="right" wrapText="1"/>
    </xf>
    <xf numFmtId="0" fontId="14" fillId="0" borderId="2" xfId="0" applyFont="1" applyFill="1" applyBorder="1" applyAlignment="1">
      <alignment horizontal="right" wrapText="1"/>
    </xf>
    <xf numFmtId="4" fontId="14" fillId="0" borderId="1" xfId="0" applyNumberFormat="1" applyFont="1" applyFill="1" applyBorder="1" applyAlignment="1">
      <alignment horizontal="right" wrapText="1"/>
    </xf>
    <xf numFmtId="0" fontId="14" fillId="0" borderId="14" xfId="0" applyFont="1" applyFill="1" applyBorder="1" applyAlignment="1">
      <alignment horizontal="right" wrapText="1"/>
    </xf>
    <xf numFmtId="0" fontId="10" fillId="0" borderId="7" xfId="0" applyFont="1" applyFill="1" applyBorder="1" applyAlignment="1">
      <alignment horizontal="right" wrapText="1"/>
    </xf>
    <xf numFmtId="0" fontId="14" fillId="0" borderId="15" xfId="0" applyFont="1" applyFill="1" applyBorder="1" applyAlignment="1">
      <alignment horizontal="right" wrapText="1"/>
    </xf>
    <xf numFmtId="4" fontId="14" fillId="0" borderId="5" xfId="0" applyNumberFormat="1" applyFont="1" applyFill="1" applyBorder="1" applyAlignment="1">
      <alignment horizontal="right" wrapText="1"/>
    </xf>
    <xf numFmtId="0" fontId="14" fillId="0" borderId="16" xfId="0" applyFont="1" applyFill="1" applyBorder="1" applyAlignment="1">
      <alignment horizontal="right" wrapText="1"/>
    </xf>
    <xf numFmtId="0" fontId="10" fillId="0" borderId="17" xfId="0" applyFont="1" applyFill="1" applyBorder="1" applyAlignment="1">
      <alignment horizontal="right" wrapText="1"/>
    </xf>
    <xf numFmtId="0" fontId="11" fillId="0" borderId="18" xfId="0" applyFont="1" applyFill="1" applyBorder="1" applyAlignment="1">
      <alignment horizontal="right" wrapText="1"/>
    </xf>
    <xf numFmtId="0" fontId="14" fillId="0" borderId="18" xfId="0" applyFont="1" applyFill="1" applyBorder="1" applyAlignment="1">
      <alignment horizontal="right" wrapText="1"/>
    </xf>
    <xf numFmtId="0" fontId="14" fillId="0" borderId="18" xfId="0" applyFont="1" applyFill="1" applyBorder="1" applyAlignment="1">
      <alignment horizontal="left" wrapText="1"/>
    </xf>
    <xf numFmtId="0" fontId="11" fillId="0" borderId="18" xfId="0" applyFont="1" applyFill="1" applyBorder="1" applyAlignment="1">
      <alignment horizontal="left" wrapText="1"/>
    </xf>
    <xf numFmtId="0" fontId="14" fillId="0" borderId="1" xfId="0" applyFont="1" applyFill="1" applyBorder="1" applyAlignment="1">
      <alignment horizontal="left" wrapText="1"/>
    </xf>
    <xf numFmtId="0" fontId="14" fillId="0" borderId="4" xfId="0" applyFont="1" applyFill="1" applyBorder="1" applyAlignment="1">
      <alignment horizontal="left" wrapText="1"/>
    </xf>
    <xf numFmtId="0" fontId="14" fillId="0" borderId="5" xfId="0" applyFont="1" applyFill="1" applyBorder="1" applyAlignment="1">
      <alignment horizontal="left" wrapText="1"/>
    </xf>
    <xf numFmtId="0" fontId="14" fillId="0" borderId="3" xfId="0" applyFont="1" applyFill="1" applyBorder="1" applyAlignment="1">
      <alignment horizontal="left" wrapText="1"/>
    </xf>
    <xf numFmtId="0" fontId="11" fillId="0" borderId="18" xfId="0" applyFont="1" applyFill="1" applyBorder="1" applyAlignment="1">
      <alignment horizontal="center" wrapText="1"/>
    </xf>
    <xf numFmtId="0" fontId="14" fillId="0" borderId="18" xfId="0" applyFont="1" applyFill="1" applyBorder="1" applyAlignment="1">
      <alignment horizont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left" vertical="center" wrapText="1"/>
    </xf>
    <xf numFmtId="0" fontId="3" fillId="7" borderId="5" xfId="0" applyFont="1" applyFill="1" applyBorder="1" applyAlignment="1">
      <alignment horizontal="left" vertical="center" wrapText="1"/>
    </xf>
    <xf numFmtId="0" fontId="3" fillId="7" borderId="3" xfId="0" applyFont="1" applyFill="1" applyBorder="1" applyAlignment="1">
      <alignment horizontal="left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wrapText="1"/>
    </xf>
    <xf numFmtId="0" fontId="3" fillId="5" borderId="6" xfId="0" applyFont="1" applyFill="1" applyBorder="1" applyAlignment="1">
      <alignment horizontal="center" wrapText="1"/>
    </xf>
    <xf numFmtId="0" fontId="3" fillId="5" borderId="7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11" fillId="0" borderId="4" xfId="0" applyFont="1" applyFill="1" applyBorder="1" applyAlignment="1">
      <alignment horizontal="left" wrapText="1"/>
    </xf>
    <xf numFmtId="0" fontId="11" fillId="0" borderId="3" xfId="0" applyFont="1" applyFill="1" applyBorder="1" applyAlignment="1">
      <alignment horizontal="left" wrapText="1"/>
    </xf>
    <xf numFmtId="0" fontId="11" fillId="0" borderId="4" xfId="0" applyFont="1" applyFill="1" applyBorder="1" applyAlignment="1">
      <alignment horizontal="right" wrapText="1"/>
    </xf>
    <xf numFmtId="0" fontId="11" fillId="0" borderId="3" xfId="0" applyFont="1" applyFill="1" applyBorder="1" applyAlignment="1">
      <alignment horizontal="right" wrapText="1"/>
    </xf>
    <xf numFmtId="0" fontId="14" fillId="0" borderId="20" xfId="0" applyFont="1" applyFill="1" applyBorder="1" applyAlignment="1">
      <alignment horizontal="right" wrapText="1"/>
    </xf>
    <xf numFmtId="0" fontId="0" fillId="0" borderId="21" xfId="0" applyFill="1" applyBorder="1"/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wrapText="1"/>
    </xf>
    <xf numFmtId="0" fontId="2" fillId="7" borderId="4" xfId="0" applyFont="1" applyFill="1" applyBorder="1" applyAlignment="1">
      <alignment horizontal="left" vertical="center" wrapText="1"/>
    </xf>
    <xf numFmtId="0" fontId="2" fillId="7" borderId="5" xfId="0" applyFont="1" applyFill="1" applyBorder="1" applyAlignment="1">
      <alignment horizontal="left" vertical="center" wrapText="1"/>
    </xf>
    <xf numFmtId="0" fontId="2" fillId="7" borderId="3" xfId="0" applyFont="1" applyFill="1" applyBorder="1" applyAlignment="1">
      <alignment horizontal="left" vertical="center" wrapText="1"/>
    </xf>
    <xf numFmtId="0" fontId="14" fillId="0" borderId="20" xfId="0" applyFont="1" applyFill="1" applyBorder="1" applyAlignment="1">
      <alignment horizontal="center" wrapText="1"/>
    </xf>
    <xf numFmtId="0" fontId="14" fillId="0" borderId="24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2" fillId="8" borderId="5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left"/>
    </xf>
    <xf numFmtId="0" fontId="14" fillId="0" borderId="5" xfId="0" applyFont="1" applyFill="1" applyBorder="1" applyAlignment="1">
      <alignment horizontal="left"/>
    </xf>
    <xf numFmtId="0" fontId="14" fillId="0" borderId="3" xfId="0" applyFont="1" applyFill="1" applyBorder="1" applyAlignment="1">
      <alignment horizontal="left"/>
    </xf>
    <xf numFmtId="0" fontId="14" fillId="0" borderId="4" xfId="0" applyFont="1" applyFill="1" applyBorder="1" applyAlignment="1">
      <alignment horizontal="center" wrapText="1"/>
    </xf>
    <xf numFmtId="0" fontId="14" fillId="0" borderId="3" xfId="0" applyFont="1" applyFill="1" applyBorder="1" applyAlignment="1">
      <alignment horizontal="center" wrapText="1"/>
    </xf>
    <xf numFmtId="0" fontId="14" fillId="0" borderId="5" xfId="0" applyFont="1" applyFill="1" applyBorder="1" applyAlignment="1">
      <alignment horizontal="center" wrapText="1"/>
    </xf>
    <xf numFmtId="0" fontId="0" fillId="0" borderId="22" xfId="0" applyFill="1" applyBorder="1"/>
    <xf numFmtId="4" fontId="14" fillId="0" borderId="4" xfId="0" applyNumberFormat="1" applyFont="1" applyFill="1" applyBorder="1" applyAlignment="1">
      <alignment horizontal="center" wrapText="1"/>
    </xf>
    <xf numFmtId="0" fontId="0" fillId="0" borderId="21" xfId="0" applyBorder="1"/>
    <xf numFmtId="0" fontId="10" fillId="0" borderId="4" xfId="0" applyFont="1" applyFill="1" applyBorder="1" applyAlignment="1">
      <alignment horizontal="right" wrapText="1"/>
    </xf>
    <xf numFmtId="0" fontId="10" fillId="0" borderId="5" xfId="0" applyFont="1" applyFill="1" applyBorder="1" applyAlignment="1">
      <alignment horizontal="right" wrapText="1"/>
    </xf>
    <xf numFmtId="0" fontId="10" fillId="0" borderId="3" xfId="0" applyFont="1" applyFill="1" applyBorder="1" applyAlignment="1">
      <alignment horizontal="right" wrapText="1"/>
    </xf>
    <xf numFmtId="0" fontId="11" fillId="0" borderId="4" xfId="0" applyFont="1" applyFill="1" applyBorder="1" applyAlignment="1">
      <alignment horizontal="center" wrapText="1"/>
    </xf>
    <xf numFmtId="0" fontId="11" fillId="0" borderId="3" xfId="0" applyFont="1" applyFill="1" applyBorder="1" applyAlignment="1">
      <alignment horizontal="center" wrapText="1"/>
    </xf>
    <xf numFmtId="49" fontId="14" fillId="0" borderId="4" xfId="0" applyNumberFormat="1" applyFont="1" applyBorder="1" applyAlignment="1">
      <alignment horizontal="left" wrapText="1"/>
    </xf>
    <xf numFmtId="49" fontId="14" fillId="0" borderId="3" xfId="0" applyNumberFormat="1" applyFont="1" applyBorder="1" applyAlignment="1">
      <alignment horizontal="left" wrapText="1"/>
    </xf>
    <xf numFmtId="0" fontId="11" fillId="0" borderId="4" xfId="0" applyFont="1" applyBorder="1" applyAlignment="1">
      <alignment horizontal="right" wrapText="1"/>
    </xf>
    <xf numFmtId="0" fontId="11" fillId="0" borderId="5" xfId="0" applyFont="1" applyBorder="1" applyAlignment="1">
      <alignment horizontal="right" wrapText="1"/>
    </xf>
    <xf numFmtId="0" fontId="11" fillId="0" borderId="3" xfId="0" applyFont="1" applyBorder="1" applyAlignment="1">
      <alignment horizontal="right" wrapText="1"/>
    </xf>
    <xf numFmtId="49" fontId="11" fillId="0" borderId="4" xfId="0" applyNumberFormat="1" applyFont="1" applyBorder="1" applyAlignment="1">
      <alignment horizontal="left" wrapText="1"/>
    </xf>
    <xf numFmtId="49" fontId="11" fillId="0" borderId="3" xfId="0" applyNumberFormat="1" applyFont="1" applyBorder="1" applyAlignment="1">
      <alignment horizontal="left" wrapText="1"/>
    </xf>
    <xf numFmtId="49" fontId="11" fillId="0" borderId="5" xfId="0" applyNumberFormat="1" applyFont="1" applyBorder="1" applyAlignment="1">
      <alignment horizontal="left" wrapText="1"/>
    </xf>
    <xf numFmtId="0" fontId="4" fillId="0" borderId="4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11" fillId="0" borderId="4" xfId="0" applyFont="1" applyFill="1" applyBorder="1" applyAlignment="1">
      <alignment horizontal="center"/>
    </xf>
    <xf numFmtId="0" fontId="11" fillId="0" borderId="3" xfId="0" applyFont="1" applyFill="1" applyBorder="1" applyAlignment="1">
      <alignment horizontal="center"/>
    </xf>
    <xf numFmtId="0" fontId="11" fillId="15" borderId="4" xfId="0" applyFont="1" applyFill="1" applyBorder="1" applyAlignment="1">
      <alignment horizontal="right" wrapText="1"/>
    </xf>
    <xf numFmtId="0" fontId="11" fillId="15" borderId="3" xfId="0" applyFont="1" applyFill="1" applyBorder="1" applyAlignment="1">
      <alignment horizontal="right" wrapText="1"/>
    </xf>
    <xf numFmtId="0" fontId="11" fillId="0" borderId="5" xfId="0" applyFont="1" applyFill="1" applyBorder="1" applyAlignment="1">
      <alignment horizontal="right" wrapText="1"/>
    </xf>
    <xf numFmtId="0" fontId="4" fillId="0" borderId="5" xfId="0" applyFont="1" applyBorder="1" applyAlignment="1">
      <alignment horizontal="center"/>
    </xf>
    <xf numFmtId="0" fontId="11" fillId="0" borderId="5" xfId="0" applyFont="1" applyFill="1" applyBorder="1" applyAlignment="1">
      <alignment horizontal="center"/>
    </xf>
    <xf numFmtId="0" fontId="18" fillId="0" borderId="5" xfId="0" applyFont="1" applyBorder="1" applyAlignment="1">
      <alignment horizontal="right"/>
    </xf>
    <xf numFmtId="0" fontId="18" fillId="0" borderId="3" xfId="0" applyFont="1" applyBorder="1" applyAlignment="1">
      <alignment horizontal="right"/>
    </xf>
    <xf numFmtId="0" fontId="11" fillId="0" borderId="4" xfId="0" applyFont="1" applyBorder="1" applyAlignment="1">
      <alignment horizontal="left" wrapText="1"/>
    </xf>
    <xf numFmtId="0" fontId="11" fillId="0" borderId="3" xfId="0" applyFont="1" applyBorder="1" applyAlignment="1">
      <alignment horizontal="left" wrapText="1"/>
    </xf>
    <xf numFmtId="49" fontId="11" fillId="0" borderId="4" xfId="0" applyNumberFormat="1" applyFont="1" applyFill="1" applyBorder="1" applyAlignment="1">
      <alignment horizontal="left" wrapText="1"/>
    </xf>
    <xf numFmtId="49" fontId="11" fillId="0" borderId="3" xfId="0" applyNumberFormat="1" applyFont="1" applyFill="1" applyBorder="1" applyAlignment="1">
      <alignment horizontal="left" wrapText="1"/>
    </xf>
    <xf numFmtId="0" fontId="4" fillId="0" borderId="4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11" fillId="0" borderId="4" xfId="0" applyFont="1" applyFill="1" applyBorder="1" applyAlignment="1">
      <alignment horizontal="right"/>
    </xf>
    <xf numFmtId="0" fontId="11" fillId="0" borderId="3" xfId="0" applyFont="1" applyFill="1" applyBorder="1" applyAlignment="1">
      <alignment horizontal="right"/>
    </xf>
    <xf numFmtId="49" fontId="11" fillId="0" borderId="4" xfId="0" applyNumberFormat="1" applyFont="1" applyFill="1" applyBorder="1" applyAlignment="1">
      <alignment horizontal="left"/>
    </xf>
    <xf numFmtId="49" fontId="11" fillId="0" borderId="3" xfId="0" applyNumberFormat="1" applyFont="1" applyFill="1" applyBorder="1" applyAlignment="1">
      <alignment horizontal="left"/>
    </xf>
    <xf numFmtId="0" fontId="11" fillId="0" borderId="4" xfId="0" applyFont="1" applyFill="1" applyBorder="1" applyAlignment="1">
      <alignment horizontal="left"/>
    </xf>
    <xf numFmtId="0" fontId="11" fillId="0" borderId="3" xfId="0" applyFont="1" applyFill="1" applyBorder="1" applyAlignment="1">
      <alignment horizontal="left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16" fillId="0" borderId="4" xfId="0" applyFont="1" applyFill="1" applyBorder="1" applyAlignment="1">
      <alignment horizontal="right" wrapText="1"/>
    </xf>
    <xf numFmtId="0" fontId="16" fillId="0" borderId="3" xfId="0" applyFont="1" applyFill="1" applyBorder="1" applyAlignment="1">
      <alignment horizontal="right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left"/>
    </xf>
    <xf numFmtId="0" fontId="17" fillId="0" borderId="3" xfId="0" applyFont="1" applyBorder="1" applyAlignment="1">
      <alignment horizontal="left"/>
    </xf>
    <xf numFmtId="0" fontId="16" fillId="0" borderId="4" xfId="0" applyFont="1" applyFill="1" applyBorder="1" applyAlignment="1">
      <alignment horizontal="left"/>
    </xf>
    <xf numFmtId="0" fontId="16" fillId="0" borderId="3" xfId="0" applyFont="1" applyFill="1" applyBorder="1" applyAlignment="1">
      <alignment horizontal="left"/>
    </xf>
    <xf numFmtId="0" fontId="16" fillId="0" borderId="4" xfId="0" applyFont="1" applyBorder="1" applyAlignment="1">
      <alignment horizontal="center" wrapText="1"/>
    </xf>
    <xf numFmtId="0" fontId="16" fillId="0" borderId="3" xfId="0" applyFont="1" applyBorder="1" applyAlignment="1">
      <alignment horizontal="center" wrapText="1"/>
    </xf>
    <xf numFmtId="0" fontId="16" fillId="0" borderId="4" xfId="0" applyFont="1" applyBorder="1" applyAlignment="1">
      <alignment horizontal="right" wrapText="1"/>
    </xf>
    <xf numFmtId="0" fontId="16" fillId="0" borderId="3" xfId="0" applyFont="1" applyBorder="1" applyAlignment="1">
      <alignment horizontal="right" wrapText="1"/>
    </xf>
    <xf numFmtId="0" fontId="16" fillId="0" borderId="4" xfId="0" applyFont="1" applyFill="1" applyBorder="1" applyAlignment="1">
      <alignment horizontal="right"/>
    </xf>
    <xf numFmtId="0" fontId="16" fillId="0" borderId="3" xfId="0" applyFont="1" applyFill="1" applyBorder="1" applyAlignment="1">
      <alignment horizontal="right"/>
    </xf>
    <xf numFmtId="0" fontId="16" fillId="0" borderId="4" xfId="0" applyFont="1" applyFill="1" applyBorder="1" applyAlignment="1"/>
    <xf numFmtId="0" fontId="16" fillId="0" borderId="3" xfId="0" applyFont="1" applyFill="1" applyBorder="1" applyAlignment="1"/>
    <xf numFmtId="0" fontId="16" fillId="0" borderId="4" xfId="0" applyFont="1" applyFill="1" applyBorder="1" applyAlignment="1">
      <alignment horizontal="center"/>
    </xf>
    <xf numFmtId="0" fontId="16" fillId="0" borderId="3" xfId="0" applyFont="1" applyFill="1" applyBorder="1" applyAlignment="1">
      <alignment horizontal="center"/>
    </xf>
    <xf numFmtId="0" fontId="16" fillId="0" borderId="4" xfId="0" applyFont="1" applyFill="1" applyBorder="1" applyAlignment="1">
      <alignment wrapText="1"/>
    </xf>
    <xf numFmtId="0" fontId="16" fillId="0" borderId="3" xfId="0" applyFont="1" applyFill="1" applyBorder="1" applyAlignment="1">
      <alignment wrapText="1"/>
    </xf>
    <xf numFmtId="0" fontId="16" fillId="0" borderId="4" xfId="0" applyFont="1" applyFill="1" applyBorder="1" applyAlignment="1">
      <alignment horizontal="center" wrapText="1"/>
    </xf>
    <xf numFmtId="0" fontId="16" fillId="0" borderId="3" xfId="0" applyFont="1" applyFill="1" applyBorder="1" applyAlignment="1">
      <alignment horizontal="center" wrapText="1"/>
    </xf>
    <xf numFmtId="0" fontId="16" fillId="0" borderId="5" xfId="0" applyFont="1" applyBorder="1" applyAlignment="1">
      <alignment horizontal="right" wrapText="1"/>
    </xf>
    <xf numFmtId="0" fontId="16" fillId="0" borderId="5" xfId="0" applyFont="1" applyBorder="1" applyAlignment="1">
      <alignment horizontal="center" wrapText="1"/>
    </xf>
    <xf numFmtId="0" fontId="17" fillId="0" borderId="4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6" fillId="0" borderId="5" xfId="0" applyFont="1" applyFill="1" applyBorder="1" applyAlignment="1">
      <alignment horizontal="center"/>
    </xf>
    <xf numFmtId="0" fontId="16" fillId="15" borderId="4" xfId="0" applyFont="1" applyFill="1" applyBorder="1" applyAlignment="1">
      <alignment horizontal="right" wrapText="1"/>
    </xf>
    <xf numFmtId="0" fontId="16" fillId="15" borderId="3" xfId="0" applyFont="1" applyFill="1" applyBorder="1" applyAlignment="1">
      <alignment horizontal="right" wrapText="1"/>
    </xf>
    <xf numFmtId="0" fontId="0" fillId="0" borderId="5" xfId="0" applyBorder="1"/>
    <xf numFmtId="0" fontId="0" fillId="0" borderId="3" xfId="0" applyBorder="1"/>
    <xf numFmtId="0" fontId="16" fillId="0" borderId="5" xfId="0" applyFont="1" applyFill="1" applyBorder="1" applyAlignment="1">
      <alignment horizontal="center" wrapText="1"/>
    </xf>
    <xf numFmtId="0" fontId="16" fillId="0" borderId="4" xfId="0" applyFont="1" applyBorder="1" applyAlignment="1">
      <alignment wrapText="1"/>
    </xf>
    <xf numFmtId="0" fontId="16" fillId="0" borderId="3" xfId="0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99FF99"/>
      <color rgb="FFEFFE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Microsoft/Windows/Temporary%20Internet%20Files/Content.Outlook/5TUP1OHV/&#1051;&#1080;&#1089;&#1090;%20Microsoft%20Exce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</sheetNames>
    <sheetDataSet>
      <sheetData sheetId="0" refreshError="1"/>
      <sheetData sheetId="1" refreshError="1">
        <row r="1">
          <cell r="B1" t="str">
            <v>10-я КРАСНОАРМЕЙСКАЯ  ул.</v>
          </cell>
        </row>
        <row r="2">
          <cell r="B2" t="str">
            <v>10-я КРАСНОАРМЕЙСКАЯ  ул.</v>
          </cell>
        </row>
        <row r="3">
          <cell r="B3" t="str">
            <v>10-я КРАСНОАРМЕЙСКАЯ  ул.</v>
          </cell>
          <cell r="C3">
            <v>14</v>
          </cell>
          <cell r="D3" t="str">
            <v>А</v>
          </cell>
        </row>
        <row r="4">
          <cell r="B4" t="str">
            <v>10-я КРАСНОАРМЕЙСКАЯ  ул.</v>
          </cell>
          <cell r="C4">
            <v>19</v>
          </cell>
          <cell r="D4" t="str">
            <v>А</v>
          </cell>
        </row>
        <row r="5">
          <cell r="B5" t="str">
            <v>10-я КРАСНОАРМЕЙСКАЯ  ул.</v>
          </cell>
          <cell r="C5">
            <v>21</v>
          </cell>
          <cell r="D5" t="str">
            <v>А</v>
          </cell>
        </row>
        <row r="6">
          <cell r="B6" t="str">
            <v>10-я КРАСНОАРМЕЙСКАЯ  ул.</v>
          </cell>
          <cell r="C6">
            <v>23</v>
          </cell>
          <cell r="D6" t="str">
            <v>А</v>
          </cell>
        </row>
        <row r="7">
          <cell r="B7" t="str">
            <v>10-я КРАСНОАРМЕЙСКАЯ  ул.</v>
          </cell>
          <cell r="C7">
            <v>24</v>
          </cell>
          <cell r="D7" t="str">
            <v>А</v>
          </cell>
        </row>
        <row r="8">
          <cell r="B8" t="str">
            <v>10-я КРАСНОАРМЕЙСКАЯ  ул.</v>
          </cell>
          <cell r="C8">
            <v>3</v>
          </cell>
          <cell r="D8" t="str">
            <v>А</v>
          </cell>
        </row>
        <row r="9">
          <cell r="B9" t="str">
            <v>10-я КРАСНОАРМЕЙСКАЯ  ул.</v>
          </cell>
          <cell r="C9">
            <v>4</v>
          </cell>
          <cell r="D9" t="str">
            <v>А</v>
          </cell>
        </row>
        <row r="10">
          <cell r="B10" t="str">
            <v>10-я КРАСНОАРМЕЙСКАЯ  ул.</v>
          </cell>
          <cell r="C10">
            <v>6</v>
          </cell>
          <cell r="D10" t="str">
            <v>А</v>
          </cell>
        </row>
        <row r="11">
          <cell r="B11" t="str">
            <v>10-я КРАСНОАРМЕЙСКАЯ  ул.</v>
          </cell>
          <cell r="C11">
            <v>8</v>
          </cell>
          <cell r="D11" t="str">
            <v>А</v>
          </cell>
        </row>
        <row r="12">
          <cell r="B12" t="str">
            <v>10-я КРАСНОАРМЕЙСКАЯ  ул.</v>
          </cell>
          <cell r="C12">
            <v>9</v>
          </cell>
          <cell r="D12" t="str">
            <v>А</v>
          </cell>
        </row>
        <row r="13">
          <cell r="B13" t="str">
            <v>10-я КРАСНОАРМЕЙСКАЯ  ул.</v>
          </cell>
          <cell r="C13">
            <v>9</v>
          </cell>
          <cell r="D13" t="str">
            <v>Б</v>
          </cell>
        </row>
        <row r="14">
          <cell r="B14" t="str">
            <v>11-я КРАСНОАРМЕЙСКАЯ ул.</v>
          </cell>
          <cell r="C14">
            <v>12</v>
          </cell>
          <cell r="D14" t="str">
            <v>А</v>
          </cell>
        </row>
        <row r="15">
          <cell r="B15" t="str">
            <v>11-я КРАСНОАРМЕЙСКАЯ ул.</v>
          </cell>
          <cell r="C15">
            <v>13</v>
          </cell>
          <cell r="D15" t="str">
            <v>А</v>
          </cell>
        </row>
        <row r="16">
          <cell r="B16" t="str">
            <v>11-я КРАСНОАРМЕЙСКАЯ ул.</v>
          </cell>
          <cell r="C16">
            <v>14</v>
          </cell>
          <cell r="D16" t="str">
            <v>А</v>
          </cell>
        </row>
        <row r="17">
          <cell r="B17" t="str">
            <v>11-я КРАСНОАРМЕЙСКАЯ ул.</v>
          </cell>
          <cell r="C17">
            <v>16</v>
          </cell>
          <cell r="D17" t="str">
            <v>А</v>
          </cell>
        </row>
        <row r="18">
          <cell r="B18" t="str">
            <v>11-я КРАСНОАРМЕЙСКАЯ ул.</v>
          </cell>
          <cell r="C18">
            <v>22</v>
          </cell>
          <cell r="D18" t="str">
            <v>А</v>
          </cell>
        </row>
        <row r="19">
          <cell r="B19" t="str">
            <v>11-я КРАСНОАРМЕЙСКАЯ ул.</v>
          </cell>
          <cell r="C19">
            <v>22</v>
          </cell>
          <cell r="D19" t="str">
            <v>Б</v>
          </cell>
        </row>
        <row r="20">
          <cell r="B20" t="str">
            <v>11-я КРАСНОАРМЕЙСКАЯ ул.</v>
          </cell>
          <cell r="C20" t="str">
            <v>2б</v>
          </cell>
          <cell r="D20" t="str">
            <v>А</v>
          </cell>
        </row>
        <row r="21">
          <cell r="B21" t="str">
            <v>11-я КРАСНОАРМЕЙСКАЯ ул.</v>
          </cell>
          <cell r="C21">
            <v>4</v>
          </cell>
          <cell r="D21" t="str">
            <v>А</v>
          </cell>
        </row>
        <row r="22">
          <cell r="B22" t="str">
            <v>11-я КРАСНОАРМЕЙСКАЯ ул.</v>
          </cell>
          <cell r="D22" t="str">
            <v>А</v>
          </cell>
        </row>
        <row r="23">
          <cell r="B23" t="str">
            <v>11-я КРАСНОАРМЕЙСКАЯ ул.</v>
          </cell>
          <cell r="C23">
            <v>6</v>
          </cell>
          <cell r="D23" t="str">
            <v>А</v>
          </cell>
        </row>
        <row r="24">
          <cell r="B24" t="str">
            <v>11-я КРАСНОАРМЕЙСКАЯ ул.</v>
          </cell>
          <cell r="C24">
            <v>7</v>
          </cell>
          <cell r="D24" t="str">
            <v>А</v>
          </cell>
        </row>
        <row r="25">
          <cell r="B25" t="str">
            <v>11-я КРАСНОАРМЕЙСКАЯ ул.</v>
          </cell>
          <cell r="C25">
            <v>8</v>
          </cell>
          <cell r="D25" t="str">
            <v>А</v>
          </cell>
        </row>
        <row r="26">
          <cell r="B26" t="str">
            <v>11-я КРАСНОАРМЕЙСКАЯ ул.</v>
          </cell>
          <cell r="C26">
            <v>8</v>
          </cell>
          <cell r="D26" t="str">
            <v>Б</v>
          </cell>
        </row>
        <row r="27">
          <cell r="B27" t="str">
            <v>12-я КРАСНОАРМЕЙСКАЯ  ул.</v>
          </cell>
          <cell r="D27" t="str">
            <v>А</v>
          </cell>
        </row>
        <row r="28">
          <cell r="B28" t="str">
            <v>12-я КРАСНОАРМЕЙСКАЯ  ул.</v>
          </cell>
          <cell r="C28">
            <v>10</v>
          </cell>
          <cell r="D28" t="str">
            <v>А</v>
          </cell>
        </row>
        <row r="29">
          <cell r="B29" t="str">
            <v>12-я КРАСНОАРМЕЙСКАЯ  ул.</v>
          </cell>
          <cell r="C29">
            <v>11</v>
          </cell>
          <cell r="D29" t="str">
            <v>А</v>
          </cell>
        </row>
        <row r="30">
          <cell r="B30" t="str">
            <v>12-я КРАСНОАРМЕЙСКАЯ  ул.</v>
          </cell>
          <cell r="C30">
            <v>12</v>
          </cell>
          <cell r="D30" t="str">
            <v>А</v>
          </cell>
        </row>
        <row r="31">
          <cell r="B31" t="str">
            <v>12-я КРАСНОАРМЕЙСКАЯ  ул.</v>
          </cell>
          <cell r="C31">
            <v>12</v>
          </cell>
          <cell r="D31" t="str">
            <v>Б</v>
          </cell>
        </row>
        <row r="32">
          <cell r="B32" t="str">
            <v>12-я КРАСНОАРМЕЙСКАЯ  ул.</v>
          </cell>
          <cell r="C32">
            <v>13</v>
          </cell>
          <cell r="D32" t="str">
            <v>А</v>
          </cell>
        </row>
        <row r="33">
          <cell r="B33" t="str">
            <v>12-я КРАСНОАРМЕЙСКАЯ  ул.</v>
          </cell>
          <cell r="C33">
            <v>13</v>
          </cell>
          <cell r="D33" t="str">
            <v>Б</v>
          </cell>
        </row>
        <row r="34">
          <cell r="B34" t="str">
            <v>12-я КРАСНОАРМЕЙСКАЯ  ул.</v>
          </cell>
          <cell r="C34">
            <v>14</v>
          </cell>
          <cell r="D34" t="str">
            <v>В</v>
          </cell>
        </row>
        <row r="35">
          <cell r="B35" t="str">
            <v>12-я КРАСНОАРМЕЙСКАЯ  ул.</v>
          </cell>
          <cell r="C35">
            <v>15</v>
          </cell>
          <cell r="D35" t="str">
            <v>А</v>
          </cell>
        </row>
        <row r="36">
          <cell r="B36" t="str">
            <v>12-я КРАСНОАРМЕЙСКАЯ  ул.</v>
          </cell>
          <cell r="C36">
            <v>15</v>
          </cell>
          <cell r="D36" t="str">
            <v>В</v>
          </cell>
        </row>
        <row r="37">
          <cell r="B37" t="str">
            <v>12-я КРАСНОАРМЕЙСКАЯ  ул.</v>
          </cell>
          <cell r="C37">
            <v>16</v>
          </cell>
          <cell r="D37" t="str">
            <v>Г</v>
          </cell>
        </row>
        <row r="38">
          <cell r="B38" t="str">
            <v>12-я КРАСНОАРМЕЙСКАЯ  ул.</v>
          </cell>
          <cell r="C38">
            <v>16</v>
          </cell>
          <cell r="D38" t="str">
            <v>Н</v>
          </cell>
        </row>
        <row r="39">
          <cell r="B39" t="str">
            <v>12-я КРАСНОАРМЕЙСКАЯ  ул.</v>
          </cell>
          <cell r="C39">
            <v>19</v>
          </cell>
          <cell r="D39" t="str">
            <v>А</v>
          </cell>
        </row>
        <row r="40">
          <cell r="B40" t="str">
            <v>12-я КРАСНОАРМЕЙСКАЯ  ул.</v>
          </cell>
          <cell r="C40">
            <v>21</v>
          </cell>
          <cell r="D40" t="str">
            <v>А</v>
          </cell>
        </row>
        <row r="41">
          <cell r="B41" t="str">
            <v>12-я КРАСНОАРМЕЙСКАЯ  ул.</v>
          </cell>
          <cell r="C41">
            <v>21</v>
          </cell>
          <cell r="D41" t="str">
            <v>Б</v>
          </cell>
        </row>
        <row r="42">
          <cell r="B42" t="str">
            <v>12-я КРАСНОАРМЕЙСКАЯ  ул.</v>
          </cell>
          <cell r="C42">
            <v>21</v>
          </cell>
          <cell r="D42" t="str">
            <v>В</v>
          </cell>
        </row>
        <row r="43">
          <cell r="B43" t="str">
            <v>12-я КРАСНОАРМЕЙСКАЯ  ул.</v>
          </cell>
          <cell r="C43">
            <v>23</v>
          </cell>
          <cell r="D43" t="str">
            <v>А</v>
          </cell>
        </row>
        <row r="44">
          <cell r="B44" t="str">
            <v>12-я КРАСНОАРМЕЙСКАЯ  ул.</v>
          </cell>
          <cell r="C44">
            <v>24</v>
          </cell>
          <cell r="D44" t="str">
            <v>А</v>
          </cell>
        </row>
        <row r="45">
          <cell r="B45" t="str">
            <v>12-я КРАСНОАРМЕЙСКАЯ  ул.</v>
          </cell>
          <cell r="C45">
            <v>3</v>
          </cell>
          <cell r="D45" t="str">
            <v>А</v>
          </cell>
        </row>
        <row r="46">
          <cell r="B46" t="str">
            <v>12-я КРАСНОАРМЕЙСКАЯ  ул.</v>
          </cell>
          <cell r="C46">
            <v>32</v>
          </cell>
          <cell r="D46" t="str">
            <v>А</v>
          </cell>
        </row>
        <row r="47">
          <cell r="B47" t="str">
            <v>12-я КРАСНОАРМЕЙСКАЯ  ул.</v>
          </cell>
          <cell r="C47">
            <v>34</v>
          </cell>
          <cell r="D47" t="str">
            <v>А</v>
          </cell>
        </row>
        <row r="48">
          <cell r="B48" t="str">
            <v>12-я КРАСНОАРМЕЙСКАЯ  ул.</v>
          </cell>
          <cell r="C48">
            <v>6</v>
          </cell>
          <cell r="D48" t="str">
            <v>А</v>
          </cell>
        </row>
        <row r="49">
          <cell r="B49" t="str">
            <v>12-я КРАСНОАРМЕЙСКАЯ  ул.</v>
          </cell>
          <cell r="C49">
            <v>6</v>
          </cell>
          <cell r="D49" t="str">
            <v>Б</v>
          </cell>
        </row>
        <row r="50">
          <cell r="B50" t="str">
            <v>12-я КРАСНОАРМЕЙСКАЯ  ул.</v>
          </cell>
          <cell r="C50">
            <v>6</v>
          </cell>
          <cell r="D50" t="str">
            <v>Г</v>
          </cell>
        </row>
        <row r="51">
          <cell r="B51" t="str">
            <v>12-я КРАСНОАРМЕЙСКАЯ  ул.</v>
          </cell>
          <cell r="C51">
            <v>7</v>
          </cell>
          <cell r="D51" t="str">
            <v>А</v>
          </cell>
        </row>
        <row r="52">
          <cell r="B52" t="str">
            <v>12-я КРАСНОАРМЕЙСКАЯ  ул.</v>
          </cell>
          <cell r="C52">
            <v>8</v>
          </cell>
          <cell r="D52" t="str">
            <v>А</v>
          </cell>
        </row>
        <row r="53">
          <cell r="B53" t="str">
            <v>12-я КРАСНОАРМЕЙСКАЯ  ул.</v>
          </cell>
          <cell r="C53">
            <v>8</v>
          </cell>
          <cell r="D53" t="str">
            <v>Б</v>
          </cell>
        </row>
        <row r="54">
          <cell r="B54" t="str">
            <v>12-я КРАСНОАРМЕЙСКАЯ ул.</v>
          </cell>
          <cell r="C54">
            <v>29</v>
          </cell>
          <cell r="D54" t="str">
            <v>А</v>
          </cell>
        </row>
        <row r="55">
          <cell r="B55" t="str">
            <v>13-я КРАСНОАРМЕЙСКАЯ ул.</v>
          </cell>
          <cell r="C55">
            <v>13</v>
          </cell>
          <cell r="D55" t="str">
            <v>А</v>
          </cell>
        </row>
        <row r="56">
          <cell r="B56" t="str">
            <v>13-я КРАСНОАРМЕЙСКАЯ ул.</v>
          </cell>
          <cell r="C56">
            <v>14</v>
          </cell>
          <cell r="D56" t="str">
            <v>А</v>
          </cell>
        </row>
        <row r="57">
          <cell r="B57" t="str">
            <v>13-я КРАСНОАРМЕЙСКАЯ ул.</v>
          </cell>
          <cell r="C57">
            <v>15</v>
          </cell>
          <cell r="D57" t="str">
            <v>А</v>
          </cell>
        </row>
        <row r="58">
          <cell r="B58" t="str">
            <v>13-я КРАСНОАРМЕЙСКАЯ ул.</v>
          </cell>
          <cell r="C58">
            <v>15</v>
          </cell>
          <cell r="D58" t="str">
            <v>Б</v>
          </cell>
        </row>
        <row r="59">
          <cell r="B59" t="str">
            <v>13-я КРАСНОАРМЕЙСКАЯ ул.</v>
          </cell>
          <cell r="C59">
            <v>16</v>
          </cell>
          <cell r="D59" t="str">
            <v>А</v>
          </cell>
        </row>
        <row r="60">
          <cell r="B60" t="str">
            <v>13-я КРАСНОАРМЕЙСКАЯ ул.</v>
          </cell>
          <cell r="C60">
            <v>17</v>
          </cell>
          <cell r="D60" t="str">
            <v>А</v>
          </cell>
        </row>
        <row r="61">
          <cell r="B61" t="str">
            <v>13-я КРАСНОАРМЕЙСКАЯ ул.</v>
          </cell>
          <cell r="C61" t="str">
            <v>17б</v>
          </cell>
          <cell r="D61" t="str">
            <v>А</v>
          </cell>
        </row>
        <row r="62">
          <cell r="B62" t="str">
            <v>13-я КРАСНОАРМЕЙСКАЯ ул.</v>
          </cell>
          <cell r="C62">
            <v>19</v>
          </cell>
          <cell r="D62" t="str">
            <v>А</v>
          </cell>
        </row>
        <row r="63">
          <cell r="B63" t="str">
            <v>13-я КРАСНОАРМЕЙСКАЯ ул.</v>
          </cell>
          <cell r="C63">
            <v>20</v>
          </cell>
          <cell r="D63" t="str">
            <v>А</v>
          </cell>
        </row>
        <row r="64">
          <cell r="B64" t="str">
            <v>13-я КРАСНОАРМЕЙСКАЯ ул.</v>
          </cell>
          <cell r="C64">
            <v>21</v>
          </cell>
          <cell r="D64" t="str">
            <v>А</v>
          </cell>
        </row>
        <row r="65">
          <cell r="B65" t="str">
            <v>13-я КРАСНОАРМЕЙСКАЯ ул.</v>
          </cell>
          <cell r="C65">
            <v>21</v>
          </cell>
          <cell r="D65" t="str">
            <v>Б</v>
          </cell>
        </row>
        <row r="66">
          <cell r="B66" t="str">
            <v>13-я КРАСНОАРМЕЙСКАЯ ул.</v>
          </cell>
          <cell r="C66">
            <v>22</v>
          </cell>
          <cell r="D66" t="str">
            <v>А</v>
          </cell>
        </row>
        <row r="67">
          <cell r="B67" t="str">
            <v>13-я КРАСНОАРМЕЙСКАЯ ул.</v>
          </cell>
          <cell r="C67">
            <v>23</v>
          </cell>
          <cell r="D67" t="str">
            <v>А</v>
          </cell>
        </row>
        <row r="68">
          <cell r="B68" t="str">
            <v>13-я КРАСНОАРМЕЙСКАЯ ул.</v>
          </cell>
          <cell r="C68">
            <v>24</v>
          </cell>
          <cell r="D68" t="str">
            <v>А</v>
          </cell>
        </row>
        <row r="69">
          <cell r="B69" t="str">
            <v>13-я КРАСНОАРМЕЙСКАЯ ул.</v>
          </cell>
          <cell r="C69">
            <v>26</v>
          </cell>
          <cell r="D69" t="str">
            <v>А</v>
          </cell>
        </row>
        <row r="70">
          <cell r="B70" t="str">
            <v>13-я КРАСНОАРМЕЙСКАЯ ул.</v>
          </cell>
          <cell r="C70">
            <v>26</v>
          </cell>
          <cell r="D70" t="str">
            <v>Б</v>
          </cell>
        </row>
        <row r="71">
          <cell r="B71" t="str">
            <v>13-я КРАСНОАРМЕЙСКАЯ ул.</v>
          </cell>
          <cell r="C71">
            <v>28</v>
          </cell>
          <cell r="D71" t="str">
            <v>А</v>
          </cell>
        </row>
        <row r="72">
          <cell r="B72" t="str">
            <v>13-я КРАСНОАРМЕЙСКАЯ ул.</v>
          </cell>
          <cell r="C72">
            <v>6</v>
          </cell>
          <cell r="D72" t="str">
            <v>А</v>
          </cell>
        </row>
        <row r="73">
          <cell r="B73" t="str">
            <v>1-я КРАСНОАРМЕЙСКАЯ ул.</v>
          </cell>
          <cell r="C73">
            <v>12</v>
          </cell>
          <cell r="D73" t="str">
            <v>А</v>
          </cell>
        </row>
        <row r="74">
          <cell r="B74" t="str">
            <v>1-я КРАСНОАРМЕЙСКАЯ ул.</v>
          </cell>
          <cell r="C74">
            <v>14</v>
          </cell>
          <cell r="D74" t="str">
            <v>А</v>
          </cell>
        </row>
        <row r="75">
          <cell r="B75" t="str">
            <v>1-я КРАСНОАРМЕЙСКАЯ ул.</v>
          </cell>
          <cell r="C75">
            <v>16</v>
          </cell>
          <cell r="D75" t="str">
            <v>А</v>
          </cell>
        </row>
        <row r="76">
          <cell r="B76" t="str">
            <v>1-я КРАСНОАРМЕЙСКАЯ ул.</v>
          </cell>
          <cell r="C76">
            <v>18</v>
          </cell>
          <cell r="D76" t="str">
            <v>А</v>
          </cell>
        </row>
        <row r="77">
          <cell r="B77" t="str">
            <v>1-я КРАСНОАРМЕЙСКАЯ ул.</v>
          </cell>
          <cell r="C77">
            <v>18</v>
          </cell>
          <cell r="D77" t="str">
            <v>Б</v>
          </cell>
        </row>
        <row r="78">
          <cell r="B78" t="str">
            <v>1-я КРАСНОАРМЕЙСКАЯ ул.</v>
          </cell>
          <cell r="C78">
            <v>2</v>
          </cell>
          <cell r="D78" t="str">
            <v>А</v>
          </cell>
        </row>
        <row r="79">
          <cell r="B79" t="str">
            <v>1-я КРАСНОАРМЕЙСКАЯ ул.</v>
          </cell>
          <cell r="C79">
            <v>20</v>
          </cell>
          <cell r="D79" t="str">
            <v>А</v>
          </cell>
        </row>
        <row r="80">
          <cell r="B80" t="str">
            <v>1-я КРАСНОАРМЕЙСКАЯ ул.</v>
          </cell>
          <cell r="C80">
            <v>22</v>
          </cell>
          <cell r="D80" t="str">
            <v>А</v>
          </cell>
        </row>
        <row r="81">
          <cell r="B81" t="str">
            <v>1-я КРАСНОАРМЕЙСКАЯ ул.</v>
          </cell>
          <cell r="C81">
            <v>24</v>
          </cell>
          <cell r="D81" t="str">
            <v>А</v>
          </cell>
        </row>
        <row r="82">
          <cell r="B82" t="str">
            <v>1-я КРАСНОАРМЕЙСКАЯ ул.</v>
          </cell>
          <cell r="C82">
            <v>24</v>
          </cell>
          <cell r="D82" t="str">
            <v>Б</v>
          </cell>
        </row>
        <row r="83">
          <cell r="B83" t="str">
            <v>1-я КРАСНОАРМЕЙСКАЯ ул.</v>
          </cell>
          <cell r="C83">
            <v>4</v>
          </cell>
          <cell r="D83" t="str">
            <v>А</v>
          </cell>
        </row>
        <row r="84">
          <cell r="B84" t="str">
            <v>1-я КРАСНОАРМЕЙСКАЯ ул.</v>
          </cell>
          <cell r="D84" t="str">
            <v>А</v>
          </cell>
        </row>
        <row r="85">
          <cell r="B85" t="str">
            <v>1-я КРАСНОАРМЕЙСКАЯ ул.</v>
          </cell>
          <cell r="D85" t="str">
            <v>Б</v>
          </cell>
        </row>
        <row r="86">
          <cell r="B86" t="str">
            <v>2-я КРАСНОАРМЕЙСКАЯ ул.</v>
          </cell>
          <cell r="C86">
            <v>10</v>
          </cell>
          <cell r="D86" t="str">
            <v>А</v>
          </cell>
        </row>
        <row r="87">
          <cell r="B87" t="str">
            <v>2-я КРАСНОАРМЕЙСКАЯ ул.</v>
          </cell>
          <cell r="C87">
            <v>14</v>
          </cell>
          <cell r="D87" t="str">
            <v>А</v>
          </cell>
        </row>
        <row r="88">
          <cell r="B88" t="str">
            <v>2-я КРАСНОАРМЕЙСКАЯ ул.</v>
          </cell>
          <cell r="C88">
            <v>14</v>
          </cell>
          <cell r="D88" t="str">
            <v>Б</v>
          </cell>
        </row>
        <row r="89">
          <cell r="B89" t="str">
            <v>2-я КРАСНОАРМЕЙСКАЯ ул.</v>
          </cell>
          <cell r="C89">
            <v>16</v>
          </cell>
          <cell r="D89" t="str">
            <v>А</v>
          </cell>
        </row>
        <row r="90">
          <cell r="B90" t="str">
            <v>2-я КРАСНОАРМЕЙСКАЯ ул.</v>
          </cell>
          <cell r="C90">
            <v>19</v>
          </cell>
          <cell r="D90" t="str">
            <v>А</v>
          </cell>
        </row>
        <row r="91">
          <cell r="B91" t="str">
            <v>2-я КРАСНОАРМЕЙСКАЯ ул.</v>
          </cell>
          <cell r="D91" t="str">
            <v>А</v>
          </cell>
        </row>
        <row r="92">
          <cell r="B92" t="str">
            <v>2-я КРАСНОАРМЕЙСКАЯ ул.</v>
          </cell>
          <cell r="C92">
            <v>3</v>
          </cell>
          <cell r="D92" t="str">
            <v>А</v>
          </cell>
        </row>
        <row r="93">
          <cell r="B93" t="str">
            <v>2-я КРАСНОАРМЕЙСКАЯ ул.</v>
          </cell>
          <cell r="D93" t="str">
            <v>А</v>
          </cell>
        </row>
        <row r="94">
          <cell r="B94" t="str">
            <v>3-я КРАСНОАРМЕЙСКАЯ ул.</v>
          </cell>
          <cell r="C94">
            <v>10</v>
          </cell>
          <cell r="D94" t="str">
            <v>А</v>
          </cell>
        </row>
        <row r="95">
          <cell r="B95" t="str">
            <v>3-я КРАСНОАРМЕЙСКАЯ ул.</v>
          </cell>
          <cell r="C95">
            <v>12</v>
          </cell>
          <cell r="D95" t="str">
            <v>А</v>
          </cell>
        </row>
        <row r="96">
          <cell r="B96" t="str">
            <v>3-я КРАСНОАРМЕЙСКАЯ ул.</v>
          </cell>
          <cell r="C96">
            <v>14</v>
          </cell>
          <cell r="D96" t="str">
            <v>А</v>
          </cell>
        </row>
        <row r="97">
          <cell r="B97" t="str">
            <v>3-я КРАСНОАРМЕЙСКАЯ ул.</v>
          </cell>
          <cell r="D97" t="str">
            <v>А</v>
          </cell>
        </row>
        <row r="98">
          <cell r="B98" t="str">
            <v>3-я КРАСНОАРМЕЙСКАЯ ул.</v>
          </cell>
          <cell r="C98">
            <v>4</v>
          </cell>
          <cell r="D98" t="str">
            <v>А</v>
          </cell>
        </row>
        <row r="99">
          <cell r="B99" t="str">
            <v>3-я КРАСНОАРМЕЙСКАЯ ул.</v>
          </cell>
          <cell r="C99">
            <v>6</v>
          </cell>
          <cell r="D99" t="str">
            <v>А</v>
          </cell>
        </row>
        <row r="100">
          <cell r="B100" t="str">
            <v>3-я КРАСНОАРМЕЙСКАЯ ул.</v>
          </cell>
          <cell r="C100">
            <v>8</v>
          </cell>
          <cell r="D100" t="str">
            <v>А</v>
          </cell>
        </row>
        <row r="101">
          <cell r="B101" t="str">
            <v>3-я КРАСНОАРМЕЙСКАЯ ул.</v>
          </cell>
          <cell r="C101">
            <v>8</v>
          </cell>
          <cell r="D101" t="str">
            <v>Б</v>
          </cell>
        </row>
        <row r="102">
          <cell r="B102" t="str">
            <v>3-я КРАСНОАРМЕЙСКАЯ ул.</v>
          </cell>
          <cell r="C102">
            <v>8</v>
          </cell>
          <cell r="D102" t="str">
            <v>В</v>
          </cell>
        </row>
        <row r="103">
          <cell r="B103" t="str">
            <v>3-я КРАСНОАРМЕЙСКАЯ ул.</v>
          </cell>
          <cell r="C103">
            <v>9</v>
          </cell>
          <cell r="D103" t="str">
            <v>А</v>
          </cell>
        </row>
        <row r="104">
          <cell r="B104" t="str">
            <v>4-я КРАСНОАРМЕЙСКАЯ ул.</v>
          </cell>
          <cell r="C104">
            <v>11</v>
          </cell>
          <cell r="D104" t="str">
            <v>А</v>
          </cell>
        </row>
        <row r="105">
          <cell r="B105" t="str">
            <v>4-я КРАСНОАРМЕЙСКАЯ ул.</v>
          </cell>
          <cell r="D105" t="str">
            <v>А</v>
          </cell>
        </row>
        <row r="106">
          <cell r="B106" t="str">
            <v>4-я КРАСНОАРМЕЙСКАЯ ул.</v>
          </cell>
          <cell r="C106">
            <v>13</v>
          </cell>
          <cell r="D106" t="str">
            <v>А</v>
          </cell>
        </row>
        <row r="107">
          <cell r="B107" t="str">
            <v>4-я КРАСНОАРМЕЙСКАЯ ул.</v>
          </cell>
          <cell r="C107">
            <v>13</v>
          </cell>
          <cell r="D107" t="str">
            <v>Ж</v>
          </cell>
        </row>
        <row r="108">
          <cell r="B108" t="str">
            <v>4-я КРАСНОАРМЕЙСКАЯ ул.</v>
          </cell>
          <cell r="C108">
            <v>14</v>
          </cell>
          <cell r="D108" t="str">
            <v>А</v>
          </cell>
        </row>
        <row r="109">
          <cell r="B109" t="str">
            <v>4-я КРАСНОАРМЕЙСКАЯ ул.</v>
          </cell>
          <cell r="C109">
            <v>15</v>
          </cell>
          <cell r="D109" t="str">
            <v>А</v>
          </cell>
        </row>
        <row r="110">
          <cell r="B110" t="str">
            <v>4-я КРАСНОАРМЕЙСКАЯ ул.</v>
          </cell>
          <cell r="C110">
            <v>16</v>
          </cell>
          <cell r="D110" t="str">
            <v>А</v>
          </cell>
        </row>
        <row r="111">
          <cell r="B111" t="str">
            <v>4-я КРАСНОАРМЕЙСКАЯ ул.</v>
          </cell>
          <cell r="C111">
            <v>17</v>
          </cell>
          <cell r="D111" t="str">
            <v>А</v>
          </cell>
        </row>
        <row r="112">
          <cell r="B112" t="str">
            <v>4-я КРАСНОАРМЕЙСКАЯ ул.</v>
          </cell>
          <cell r="C112" t="str">
            <v>18б</v>
          </cell>
          <cell r="D112" t="str">
            <v>А</v>
          </cell>
        </row>
        <row r="113">
          <cell r="B113" t="str">
            <v>4-я КРАСНОАРМЕЙСКАЯ ул.</v>
          </cell>
          <cell r="D113" t="str">
            <v>А</v>
          </cell>
        </row>
        <row r="114">
          <cell r="B114" t="str">
            <v>4-я КРАСНОАРМЕЙСКАЯ ул.</v>
          </cell>
          <cell r="D114" t="str">
            <v>А</v>
          </cell>
        </row>
        <row r="115">
          <cell r="B115" t="str">
            <v>4-я КРАСНОАРМЕЙСКАЯ ул.</v>
          </cell>
          <cell r="C115">
            <v>3</v>
          </cell>
          <cell r="D115" t="str">
            <v>А</v>
          </cell>
        </row>
        <row r="116">
          <cell r="B116" t="str">
            <v>4-я КРАСНОАРМЕЙСКАЯ ул.</v>
          </cell>
          <cell r="C116">
            <v>4</v>
          </cell>
          <cell r="D116" t="str">
            <v>А</v>
          </cell>
        </row>
        <row r="117">
          <cell r="B117" t="str">
            <v>4-я КРАСНОАРМЕЙСКАЯ ул.</v>
          </cell>
          <cell r="C117">
            <v>5</v>
          </cell>
          <cell r="D117" t="str">
            <v>А</v>
          </cell>
        </row>
        <row r="118">
          <cell r="B118" t="str">
            <v>4-я КРАСНОАРМЕЙСКАЯ ул.</v>
          </cell>
          <cell r="C118">
            <v>8</v>
          </cell>
          <cell r="D118" t="str">
            <v>А</v>
          </cell>
        </row>
        <row r="119">
          <cell r="B119" t="str">
            <v>4-я КРАСНОАРМЕЙСКАЯ ул.</v>
          </cell>
          <cell r="D119" t="str">
            <v>А</v>
          </cell>
        </row>
        <row r="120">
          <cell r="B120" t="str">
            <v>5-я КРАСНОАРМЕЙСКАЯ ул.</v>
          </cell>
          <cell r="C120">
            <v>10</v>
          </cell>
          <cell r="D120" t="str">
            <v>А</v>
          </cell>
        </row>
        <row r="121">
          <cell r="B121" t="str">
            <v>5-я КРАСНОАРМЕЙСКАЯ ул.</v>
          </cell>
          <cell r="D121" t="str">
            <v>А</v>
          </cell>
        </row>
        <row r="122">
          <cell r="B122" t="str">
            <v>5-я КРАСНОАРМЕЙСКАЯ ул.</v>
          </cell>
          <cell r="C122">
            <v>13</v>
          </cell>
          <cell r="D122" t="str">
            <v>А</v>
          </cell>
        </row>
        <row r="123">
          <cell r="B123" t="str">
            <v>5-я КРАСНОАРМЕЙСКАЯ ул.</v>
          </cell>
          <cell r="C123">
            <v>16</v>
          </cell>
          <cell r="D123" t="str">
            <v>А</v>
          </cell>
        </row>
        <row r="124">
          <cell r="B124" t="str">
            <v>5-я КРАСНОАРМЕЙСКАЯ ул.</v>
          </cell>
          <cell r="C124">
            <v>17</v>
          </cell>
          <cell r="D124" t="str">
            <v>А</v>
          </cell>
        </row>
        <row r="125">
          <cell r="B125" t="str">
            <v>5-я КРАСНОАРМЕЙСКАЯ ул.</v>
          </cell>
          <cell r="C125">
            <v>18</v>
          </cell>
          <cell r="D125" t="str">
            <v>А</v>
          </cell>
        </row>
        <row r="126">
          <cell r="B126" t="str">
            <v>5-я КРАСНОАРМЕЙСКАЯ ул.</v>
          </cell>
          <cell r="C126">
            <v>19</v>
          </cell>
          <cell r="D126" t="str">
            <v>А</v>
          </cell>
        </row>
        <row r="127">
          <cell r="B127" t="str">
            <v>5-я КРАСНОАРМЕЙСКАЯ ул.</v>
          </cell>
          <cell r="C127">
            <v>19</v>
          </cell>
          <cell r="D127" t="str">
            <v>Б</v>
          </cell>
        </row>
        <row r="128">
          <cell r="B128" t="str">
            <v>5-я КРАСНОАРМЕЙСКАЯ ул.</v>
          </cell>
          <cell r="D128" t="str">
            <v>А</v>
          </cell>
        </row>
        <row r="129">
          <cell r="B129" t="str">
            <v>5-я КРАСНОАРМЕЙСКАЯ ул.</v>
          </cell>
          <cell r="C129">
            <v>21</v>
          </cell>
          <cell r="D129" t="str">
            <v>А</v>
          </cell>
        </row>
        <row r="130">
          <cell r="B130" t="str">
            <v>5-я КРАСНОАРМЕЙСКАЯ ул.</v>
          </cell>
          <cell r="C130">
            <v>24</v>
          </cell>
          <cell r="D130" t="str">
            <v>А</v>
          </cell>
        </row>
        <row r="131">
          <cell r="B131" t="str">
            <v>5-я КРАСНОАРМЕЙСКАЯ ул.</v>
          </cell>
          <cell r="C131">
            <v>26</v>
          </cell>
          <cell r="D131" t="str">
            <v>А</v>
          </cell>
        </row>
        <row r="132">
          <cell r="B132" t="str">
            <v>5-я КРАСНОАРМЕЙСКАЯ ул.</v>
          </cell>
          <cell r="C132">
            <v>28</v>
          </cell>
          <cell r="D132" t="str">
            <v>А</v>
          </cell>
        </row>
        <row r="133">
          <cell r="B133" t="str">
            <v>5-я КРАСНОАРМЕЙСКАЯ ул.</v>
          </cell>
          <cell r="C133">
            <v>3</v>
          </cell>
          <cell r="D133" t="str">
            <v>А</v>
          </cell>
        </row>
        <row r="134">
          <cell r="B134" t="str">
            <v>5-я КРАСНОАРМЕЙСКАЯ ул.</v>
          </cell>
          <cell r="C134">
            <v>30</v>
          </cell>
          <cell r="D134" t="str">
            <v>А</v>
          </cell>
        </row>
        <row r="135">
          <cell r="B135" t="str">
            <v>5-я КРАСНОАРМЕЙСКАЯ ул.</v>
          </cell>
          <cell r="C135">
            <v>4</v>
          </cell>
          <cell r="D135" t="str">
            <v>А</v>
          </cell>
        </row>
        <row r="136">
          <cell r="B136" t="str">
            <v>5-я КРАСНОАРМЕЙСКАЯ ул.</v>
          </cell>
          <cell r="C136">
            <v>6</v>
          </cell>
          <cell r="D136" t="str">
            <v>А</v>
          </cell>
        </row>
        <row r="137">
          <cell r="B137" t="str">
            <v>5-я КРАСНОАРМЕЙСКАЯ ул.</v>
          </cell>
          <cell r="C137">
            <v>7</v>
          </cell>
          <cell r="D137" t="str">
            <v>А</v>
          </cell>
        </row>
        <row r="138">
          <cell r="B138" t="str">
            <v>5-я КРАСНОАРМЕЙСКАЯ ул.</v>
          </cell>
          <cell r="C138">
            <v>8</v>
          </cell>
          <cell r="D138" t="str">
            <v>А</v>
          </cell>
        </row>
        <row r="139">
          <cell r="B139" t="str">
            <v>6-я КРАСНОАРМЕЙСКАЯ ул.</v>
          </cell>
          <cell r="C139">
            <v>1</v>
          </cell>
          <cell r="D139" t="str">
            <v>А</v>
          </cell>
        </row>
        <row r="140">
          <cell r="B140" t="str">
            <v>6-я КРАСНОАРМЕЙСКАЯ ул.</v>
          </cell>
          <cell r="C140">
            <v>12</v>
          </cell>
          <cell r="D140" t="str">
            <v>А</v>
          </cell>
        </row>
        <row r="141">
          <cell r="B141" t="str">
            <v>6-я КРАСНОАРМЕЙСКАЯ ул.</v>
          </cell>
          <cell r="C141">
            <v>14</v>
          </cell>
          <cell r="D141" t="str">
            <v>А</v>
          </cell>
        </row>
        <row r="142">
          <cell r="B142" t="str">
            <v>6-я КРАСНОАРМЕЙСКАЯ ул.</v>
          </cell>
          <cell r="C142">
            <v>15</v>
          </cell>
          <cell r="D142" t="str">
            <v>А</v>
          </cell>
        </row>
        <row r="143">
          <cell r="B143" t="str">
            <v>6-я КРАСНОАРМЕЙСКАЯ ул.</v>
          </cell>
          <cell r="C143">
            <v>16</v>
          </cell>
          <cell r="D143" t="str">
            <v>А</v>
          </cell>
        </row>
        <row r="144">
          <cell r="B144" t="str">
            <v>6-я КРАСНОАРМЕЙСКАЯ ул.</v>
          </cell>
          <cell r="C144">
            <v>17</v>
          </cell>
          <cell r="D144" t="str">
            <v>А</v>
          </cell>
        </row>
        <row r="145">
          <cell r="B145" t="str">
            <v>6-я КРАСНОАРМЕЙСКАЯ ул.</v>
          </cell>
          <cell r="C145">
            <v>18</v>
          </cell>
          <cell r="D145" t="str">
            <v>А</v>
          </cell>
        </row>
        <row r="146">
          <cell r="B146" t="str">
            <v>6-я КРАСНОАРМЕЙСКАЯ ул.</v>
          </cell>
          <cell r="C146">
            <v>21</v>
          </cell>
          <cell r="D146" t="str">
            <v>А</v>
          </cell>
        </row>
        <row r="147">
          <cell r="B147" t="str">
            <v>6-я КРАСНОАРМЕЙСКАЯ ул.</v>
          </cell>
          <cell r="C147">
            <v>22</v>
          </cell>
          <cell r="D147" t="str">
            <v>А</v>
          </cell>
        </row>
        <row r="148">
          <cell r="B148" t="str">
            <v>6-я КРАСНОАРМЕЙСКАЯ ул.</v>
          </cell>
          <cell r="C148">
            <v>23</v>
          </cell>
          <cell r="D148" t="str">
            <v>А</v>
          </cell>
        </row>
        <row r="149">
          <cell r="B149" t="str">
            <v>6-я КРАСНОАРМЕЙСКАЯ ул.</v>
          </cell>
          <cell r="C149">
            <v>23</v>
          </cell>
          <cell r="D149" t="str">
            <v>Б</v>
          </cell>
        </row>
        <row r="150">
          <cell r="B150" t="str">
            <v>6-я КРАСНОАРМЕЙСКАЯ ул.</v>
          </cell>
          <cell r="D150" t="str">
            <v>А</v>
          </cell>
        </row>
        <row r="151">
          <cell r="B151" t="str">
            <v>6-я КРАСНОАРМЕЙСКАЯ ул.</v>
          </cell>
          <cell r="D151" t="str">
            <v>Б</v>
          </cell>
        </row>
        <row r="152">
          <cell r="B152" t="str">
            <v>6-я КРАСНОАРМЕЙСКАЯ ул.</v>
          </cell>
          <cell r="D152" t="str">
            <v>В</v>
          </cell>
        </row>
        <row r="153">
          <cell r="B153" t="str">
            <v>6-я КРАСНОАРМЕЙСКАЯ ул.</v>
          </cell>
          <cell r="C153">
            <v>25</v>
          </cell>
          <cell r="D153" t="str">
            <v>А</v>
          </cell>
        </row>
        <row r="154">
          <cell r="B154" t="str">
            <v>6-я КРАСНОАРМЕЙСКАЯ ул.</v>
          </cell>
          <cell r="C154">
            <v>27</v>
          </cell>
          <cell r="D154" t="str">
            <v>А</v>
          </cell>
        </row>
        <row r="155">
          <cell r="B155" t="str">
            <v>6-я КРАСНОАРМЕЙСКАЯ ул.</v>
          </cell>
          <cell r="C155">
            <v>3</v>
          </cell>
          <cell r="D155" t="str">
            <v>А</v>
          </cell>
        </row>
        <row r="156">
          <cell r="B156" t="str">
            <v>6-я КРАСНОАРМЕЙСКАЯ ул.</v>
          </cell>
          <cell r="C156">
            <v>6</v>
          </cell>
          <cell r="D156" t="str">
            <v>А</v>
          </cell>
        </row>
        <row r="157">
          <cell r="B157" t="str">
            <v>6-я КРАСНОАРМЕЙСКАЯ ул.</v>
          </cell>
          <cell r="C157">
            <v>8</v>
          </cell>
          <cell r="D157" t="str">
            <v>А</v>
          </cell>
        </row>
        <row r="158">
          <cell r="B158" t="str">
            <v>7-я КРАСНОАРМЕЙСКАЯ ул.</v>
          </cell>
          <cell r="C158">
            <v>10</v>
          </cell>
          <cell r="D158" t="str">
            <v>А</v>
          </cell>
        </row>
        <row r="159">
          <cell r="B159" t="str">
            <v>7-я КРАСНОАРМЕЙСКАЯ ул.</v>
          </cell>
          <cell r="C159">
            <v>11</v>
          </cell>
          <cell r="D159" t="str">
            <v>А</v>
          </cell>
        </row>
        <row r="160">
          <cell r="B160" t="str">
            <v>7-я КРАСНОАРМЕЙСКАЯ ул.</v>
          </cell>
          <cell r="C160">
            <v>11</v>
          </cell>
          <cell r="D160" t="str">
            <v>Б</v>
          </cell>
        </row>
        <row r="161">
          <cell r="B161" t="str">
            <v>7-я КРАСНОАРМЕЙСКАЯ ул.</v>
          </cell>
          <cell r="C161">
            <v>13</v>
          </cell>
          <cell r="D161" t="str">
            <v>А</v>
          </cell>
        </row>
        <row r="162">
          <cell r="B162" t="str">
            <v>7-я КРАСНОАРМЕЙСКАЯ ул.</v>
          </cell>
          <cell r="C162">
            <v>15</v>
          </cell>
          <cell r="D162" t="str">
            <v>А</v>
          </cell>
        </row>
        <row r="163">
          <cell r="B163" t="str">
            <v>7-я КРАСНОАРМЕЙСКАЯ ул.</v>
          </cell>
          <cell r="C163">
            <v>15</v>
          </cell>
          <cell r="D163" t="str">
            <v>Б</v>
          </cell>
        </row>
        <row r="164">
          <cell r="B164" t="str">
            <v>7-я КРАСНОАРМЕЙСКАЯ ул.</v>
          </cell>
          <cell r="C164">
            <v>16</v>
          </cell>
          <cell r="D164" t="str">
            <v>А</v>
          </cell>
        </row>
        <row r="165">
          <cell r="B165" t="str">
            <v>7-я КРАСНОАРМЕЙСКАЯ ул.</v>
          </cell>
          <cell r="C165">
            <v>17</v>
          </cell>
          <cell r="D165" t="str">
            <v>А</v>
          </cell>
        </row>
        <row r="166">
          <cell r="B166" t="str">
            <v>7-я КРАСНОАРМЕЙСКАЯ ул.</v>
          </cell>
          <cell r="C166">
            <v>19</v>
          </cell>
          <cell r="D166" t="str">
            <v>А</v>
          </cell>
        </row>
        <row r="167">
          <cell r="B167" t="str">
            <v>7-я КРАСНОАРМЕЙСКАЯ ул.</v>
          </cell>
          <cell r="C167">
            <v>20</v>
          </cell>
          <cell r="D167" t="str">
            <v>А</v>
          </cell>
        </row>
        <row r="168">
          <cell r="B168" t="str">
            <v>7-я КРАСНОАРМЕЙСКАЯ ул.</v>
          </cell>
          <cell r="C168">
            <v>20</v>
          </cell>
          <cell r="D168" t="str">
            <v>Б</v>
          </cell>
        </row>
        <row r="169">
          <cell r="B169" t="str">
            <v>7-я КРАСНОАРМЕЙСКАЯ ул.</v>
          </cell>
          <cell r="C169">
            <v>21</v>
          </cell>
          <cell r="D169" t="str">
            <v>А</v>
          </cell>
        </row>
        <row r="170">
          <cell r="B170" t="str">
            <v>7-я КРАСНОАРМЕЙСКАЯ ул.</v>
          </cell>
          <cell r="C170" t="str">
            <v>22-24</v>
          </cell>
          <cell r="D170" t="str">
            <v>А</v>
          </cell>
        </row>
        <row r="171">
          <cell r="B171" t="str">
            <v>7-я КРАСНОАРМЕЙСКАЯ ул.</v>
          </cell>
          <cell r="C171" t="str">
            <v>22-24</v>
          </cell>
          <cell r="D171" t="str">
            <v>Б</v>
          </cell>
        </row>
        <row r="172">
          <cell r="B172" t="str">
            <v>7-я КРАСНОАРМЕЙСКАЯ ул.</v>
          </cell>
          <cell r="C172">
            <v>23</v>
          </cell>
          <cell r="D172" t="str">
            <v>А</v>
          </cell>
        </row>
        <row r="173">
          <cell r="B173" t="str">
            <v>7-я КРАСНОАРМЕЙСКАЯ ул.</v>
          </cell>
          <cell r="C173">
            <v>3</v>
          </cell>
          <cell r="D173" t="str">
            <v>А</v>
          </cell>
        </row>
        <row r="174">
          <cell r="B174" t="str">
            <v>7-я КРАСНОАРМЕЙСКАЯ ул.</v>
          </cell>
          <cell r="C174">
            <v>3</v>
          </cell>
          <cell r="D174" t="str">
            <v>Б</v>
          </cell>
        </row>
        <row r="175">
          <cell r="B175" t="str">
            <v>7-я КРАСНОАРМЕЙСКАЯ ул.</v>
          </cell>
          <cell r="C175">
            <v>5</v>
          </cell>
          <cell r="D175" t="str">
            <v>А</v>
          </cell>
        </row>
        <row r="176">
          <cell r="B176" t="str">
            <v>7-я КРАСНОАРМЕЙСКАЯ ул.</v>
          </cell>
          <cell r="C176">
            <v>7</v>
          </cell>
          <cell r="D176" t="str">
            <v>А</v>
          </cell>
        </row>
        <row r="177">
          <cell r="B177" t="str">
            <v>7-я КРАСНОАРМЕЙСКАЯ ул.</v>
          </cell>
          <cell r="C177">
            <v>9</v>
          </cell>
          <cell r="D177" t="str">
            <v>А</v>
          </cell>
        </row>
        <row r="178">
          <cell r="B178" t="str">
            <v>8-я КРАСНОАРМЕЙСКАЯ ул.</v>
          </cell>
          <cell r="C178">
            <v>12</v>
          </cell>
          <cell r="D178" t="str">
            <v>А</v>
          </cell>
        </row>
        <row r="179">
          <cell r="B179" t="str">
            <v>8-я КРАСНОАРМЕЙСКАЯ ул.</v>
          </cell>
          <cell r="C179">
            <v>14</v>
          </cell>
          <cell r="D179" t="str">
            <v>А</v>
          </cell>
        </row>
        <row r="180">
          <cell r="B180" t="str">
            <v>8-я КРАСНОАРМЕЙСКАЯ ул.</v>
          </cell>
          <cell r="C180" t="str">
            <v>15-17</v>
          </cell>
          <cell r="D180" t="str">
            <v>А</v>
          </cell>
        </row>
        <row r="181">
          <cell r="B181" t="str">
            <v>8-я КРАСНОАРМЕЙСКАЯ ул.</v>
          </cell>
          <cell r="C181" t="str">
            <v>15-17</v>
          </cell>
          <cell r="D181" t="str">
            <v>Б</v>
          </cell>
        </row>
        <row r="182">
          <cell r="B182" t="str">
            <v>8-я КРАСНОАРМЕЙСКАЯ ул.</v>
          </cell>
          <cell r="C182">
            <v>18</v>
          </cell>
          <cell r="D182" t="str">
            <v>А</v>
          </cell>
        </row>
        <row r="183">
          <cell r="B183" t="str">
            <v>8-я КРАСНОАРМЕЙСКАЯ ул.</v>
          </cell>
          <cell r="C183">
            <v>19</v>
          </cell>
          <cell r="D183" t="str">
            <v>А</v>
          </cell>
        </row>
        <row r="184">
          <cell r="B184" t="str">
            <v>8-я КРАСНОАРМЕЙСКАЯ ул.</v>
          </cell>
          <cell r="C184" t="str">
            <v>20а</v>
          </cell>
          <cell r="D184" t="str">
            <v>А</v>
          </cell>
        </row>
        <row r="185">
          <cell r="B185" t="str">
            <v>8-я КРАСНОАРМЕЙСКАЯ ул.</v>
          </cell>
          <cell r="C185" t="str">
            <v>20а</v>
          </cell>
          <cell r="D185" t="str">
            <v>Б</v>
          </cell>
        </row>
        <row r="186">
          <cell r="B186" t="str">
            <v>8-я КРАСНОАРМЕЙСКАЯ ул.</v>
          </cell>
          <cell r="C186">
            <v>21</v>
          </cell>
          <cell r="D186" t="str">
            <v>А</v>
          </cell>
        </row>
        <row r="187">
          <cell r="B187" t="str">
            <v>8-я КРАСНОАРМЕЙСКАЯ ул.</v>
          </cell>
          <cell r="C187">
            <v>21</v>
          </cell>
          <cell r="D187" t="str">
            <v>Б</v>
          </cell>
        </row>
        <row r="188">
          <cell r="B188" t="str">
            <v>8-я КРАСНОАРМЕЙСКАЯ ул.</v>
          </cell>
          <cell r="C188">
            <v>23</v>
          </cell>
          <cell r="D188" t="str">
            <v>А</v>
          </cell>
        </row>
        <row r="189">
          <cell r="B189" t="str">
            <v>8-я КРАСНОАРМЕЙСКАЯ ул.</v>
          </cell>
          <cell r="D189" t="str">
            <v>А</v>
          </cell>
        </row>
        <row r="190">
          <cell r="B190" t="str">
            <v>8-я КРАСНОАРМЕЙСКАЯ ул.</v>
          </cell>
          <cell r="C190">
            <v>5</v>
          </cell>
          <cell r="D190" t="str">
            <v>А</v>
          </cell>
        </row>
        <row r="191">
          <cell r="B191" t="str">
            <v>8-я КРАСНОАРМЕЙСКАЯ ул.</v>
          </cell>
          <cell r="C191">
            <v>5</v>
          </cell>
          <cell r="D191" t="str">
            <v>Б</v>
          </cell>
        </row>
        <row r="192">
          <cell r="B192" t="str">
            <v>8-я КРАСНОАРМЕЙСКАЯ ул.</v>
          </cell>
          <cell r="D192" t="str">
            <v>А</v>
          </cell>
        </row>
        <row r="193">
          <cell r="B193" t="str">
            <v>8-я КРАСНОАРМЕЙСКАЯ ул.</v>
          </cell>
          <cell r="D193" t="str">
            <v>Б</v>
          </cell>
        </row>
        <row r="194">
          <cell r="B194" t="str">
            <v>9-я КРАСНОАРМЕЙСКАЯ ул.</v>
          </cell>
          <cell r="C194">
            <v>13</v>
          </cell>
          <cell r="D194" t="str">
            <v>А</v>
          </cell>
        </row>
        <row r="195">
          <cell r="B195" t="str">
            <v>9-я КРАСНОАРМЕЙСКАЯ ул.</v>
          </cell>
          <cell r="C195">
            <v>15</v>
          </cell>
          <cell r="D195" t="str">
            <v>А</v>
          </cell>
        </row>
        <row r="196">
          <cell r="B196" t="str">
            <v>9-я КРАСНОАРМЕЙСКАЯ ул.</v>
          </cell>
          <cell r="C196">
            <v>19</v>
          </cell>
          <cell r="D196" t="str">
            <v>А</v>
          </cell>
        </row>
        <row r="197">
          <cell r="B197" t="str">
            <v>9-я КРАСНОАРМЕЙСКАЯ ул.</v>
          </cell>
          <cell r="C197">
            <v>19</v>
          </cell>
          <cell r="D197" t="str">
            <v>Б</v>
          </cell>
        </row>
        <row r="198">
          <cell r="B198" t="str">
            <v>9-я КРАСНОАРМЕЙСКАЯ ул.</v>
          </cell>
          <cell r="C198">
            <v>21</v>
          </cell>
          <cell r="D198" t="str">
            <v>А</v>
          </cell>
        </row>
        <row r="199">
          <cell r="B199" t="str">
            <v>9-я КРАСНОАРМЕЙСКАЯ ул.</v>
          </cell>
          <cell r="D199" t="str">
            <v>А</v>
          </cell>
        </row>
        <row r="200">
          <cell r="B200" t="str">
            <v>9-я КРАСНОАРМЕЙСКАЯ ул.</v>
          </cell>
          <cell r="C200">
            <v>8</v>
          </cell>
          <cell r="D200" t="str">
            <v>А</v>
          </cell>
        </row>
        <row r="201">
          <cell r="B201" t="str">
            <v>9-я КРАСНОАРМЕЙСКАЯ ул.</v>
          </cell>
          <cell r="C201">
            <v>9</v>
          </cell>
          <cell r="D201" t="str">
            <v>А</v>
          </cell>
        </row>
        <row r="202">
          <cell r="B202" t="str">
            <v>АДМИРАЛТЕЙСКАЯ наб.</v>
          </cell>
          <cell r="C202">
            <v>10</v>
          </cell>
          <cell r="D202" t="str">
            <v>А</v>
          </cell>
        </row>
        <row r="203">
          <cell r="B203" t="str">
            <v>АДМИРАЛТЕЙСКАЯ наб.</v>
          </cell>
          <cell r="C203">
            <v>12</v>
          </cell>
          <cell r="D203" t="str">
            <v>А</v>
          </cell>
        </row>
        <row r="204">
          <cell r="B204" t="str">
            <v>АДМИРАЛТЕЙСКАЯ наб.</v>
          </cell>
          <cell r="C204">
            <v>6</v>
          </cell>
          <cell r="D204" t="str">
            <v>А</v>
          </cell>
        </row>
        <row r="205">
          <cell r="B205" t="str">
            <v>АДМИРАЛТЕЙСКИЙ кан.</v>
          </cell>
          <cell r="C205">
            <v>5</v>
          </cell>
          <cell r="D205" t="str">
            <v>А</v>
          </cell>
        </row>
        <row r="206">
          <cell r="B206" t="str">
            <v>АДМИРАЛТЕЙСКИЙ кан.</v>
          </cell>
          <cell r="C206">
            <v>7</v>
          </cell>
          <cell r="D206" t="str">
            <v>А</v>
          </cell>
        </row>
        <row r="207">
          <cell r="B207" t="str">
            <v>АДМИРАЛТЕЙСКИЙ кан.</v>
          </cell>
          <cell r="C207">
            <v>9</v>
          </cell>
          <cell r="D207" t="str">
            <v>А</v>
          </cell>
        </row>
        <row r="208">
          <cell r="B208" t="str">
            <v>АЛЕКСАНДРА БЛОКА ул.</v>
          </cell>
          <cell r="C208">
            <v>6</v>
          </cell>
          <cell r="D208" t="str">
            <v>А</v>
          </cell>
        </row>
        <row r="209">
          <cell r="B209" t="str">
            <v>АНГЛИЙСКАЯ наб.</v>
          </cell>
          <cell r="C209">
            <v>22</v>
          </cell>
          <cell r="D209" t="str">
            <v>А</v>
          </cell>
        </row>
        <row r="210">
          <cell r="B210" t="str">
            <v>АНГЛИЙСКАЯ наб.</v>
          </cell>
          <cell r="C210">
            <v>48</v>
          </cell>
          <cell r="D210" t="str">
            <v>А</v>
          </cell>
        </row>
        <row r="211">
          <cell r="B211" t="str">
            <v>АНГЛИЙСКАЯ наб.</v>
          </cell>
          <cell r="C211">
            <v>48</v>
          </cell>
          <cell r="D211" t="str">
            <v>Б</v>
          </cell>
        </row>
        <row r="212">
          <cell r="B212" t="str">
            <v>АНГЛИЙСКАЯ наб.</v>
          </cell>
          <cell r="C212">
            <v>74</v>
          </cell>
          <cell r="D212" t="str">
            <v>А</v>
          </cell>
        </row>
        <row r="213">
          <cell r="B213" t="str">
            <v>АНГЛИЙСКИЙ пр.</v>
          </cell>
          <cell r="C213">
            <v>12</v>
          </cell>
          <cell r="D213" t="str">
            <v>А</v>
          </cell>
        </row>
        <row r="214">
          <cell r="B214" t="str">
            <v>АНГЛИЙСКИЙ пр.</v>
          </cell>
          <cell r="C214">
            <v>13</v>
          </cell>
          <cell r="D214" t="str">
            <v>А</v>
          </cell>
        </row>
        <row r="215">
          <cell r="B215" t="str">
            <v>АНГЛИЙСКИЙ пр.</v>
          </cell>
          <cell r="C215">
            <v>13</v>
          </cell>
          <cell r="D215" t="str">
            <v>Б</v>
          </cell>
        </row>
        <row r="216">
          <cell r="B216" t="str">
            <v>АНГЛИЙСКИЙ пр.</v>
          </cell>
          <cell r="C216">
            <v>15</v>
          </cell>
          <cell r="D216" t="str">
            <v>А</v>
          </cell>
        </row>
        <row r="217">
          <cell r="B217" t="str">
            <v>АНГЛИЙСКИЙ пр.</v>
          </cell>
          <cell r="C217" t="str">
            <v>17-19</v>
          </cell>
          <cell r="D217" t="str">
            <v>А</v>
          </cell>
        </row>
        <row r="218">
          <cell r="B218" t="str">
            <v>АНГЛИЙСКИЙ пр.</v>
          </cell>
          <cell r="C218" t="str">
            <v>17-19</v>
          </cell>
          <cell r="D218" t="str">
            <v>Б</v>
          </cell>
        </row>
        <row r="219">
          <cell r="B219" t="str">
            <v>АНГЛИЙСКИЙ пр.</v>
          </cell>
          <cell r="C219" t="str">
            <v>17-19</v>
          </cell>
          <cell r="D219" t="str">
            <v>Г</v>
          </cell>
        </row>
        <row r="220">
          <cell r="B220" t="str">
            <v>АНГЛИЙСКИЙ пр.</v>
          </cell>
          <cell r="C220" t="str">
            <v>17-19</v>
          </cell>
          <cell r="D220" t="str">
            <v>С</v>
          </cell>
        </row>
        <row r="221">
          <cell r="B221" t="str">
            <v>АНГЛИЙСКИЙ пр.</v>
          </cell>
          <cell r="C221" t="str">
            <v>17-19</v>
          </cell>
          <cell r="D221" t="str">
            <v>Т</v>
          </cell>
        </row>
        <row r="222">
          <cell r="B222" t="str">
            <v>АНГЛИЙСКИЙ пр.</v>
          </cell>
          <cell r="C222">
            <v>2</v>
          </cell>
          <cell r="D222" t="str">
            <v>А</v>
          </cell>
        </row>
        <row r="223">
          <cell r="B223" t="str">
            <v>АНГЛИЙСКИЙ пр.</v>
          </cell>
          <cell r="C223">
            <v>20</v>
          </cell>
          <cell r="D223" t="str">
            <v>А</v>
          </cell>
        </row>
        <row r="224">
          <cell r="B224" t="str">
            <v>АНГЛИЙСКИЙ пр.</v>
          </cell>
          <cell r="C224">
            <v>22</v>
          </cell>
          <cell r="D224" t="str">
            <v>А</v>
          </cell>
        </row>
        <row r="225">
          <cell r="B225" t="str">
            <v>АНГЛИЙСКИЙ пр.</v>
          </cell>
          <cell r="C225">
            <v>22</v>
          </cell>
          <cell r="D225" t="str">
            <v>Б</v>
          </cell>
        </row>
        <row r="226">
          <cell r="B226" t="str">
            <v>АНГЛИЙСКИЙ пр.</v>
          </cell>
          <cell r="C226">
            <v>22</v>
          </cell>
          <cell r="D226" t="str">
            <v>В</v>
          </cell>
        </row>
        <row r="227">
          <cell r="B227" t="str">
            <v>АНГЛИЙСКИЙ пр.</v>
          </cell>
          <cell r="C227">
            <v>25</v>
          </cell>
          <cell r="D227" t="str">
            <v>А</v>
          </cell>
        </row>
        <row r="228">
          <cell r="B228" t="str">
            <v>АНГЛИЙСКИЙ пр.</v>
          </cell>
          <cell r="C228">
            <v>26</v>
          </cell>
          <cell r="D228" t="str">
            <v>А</v>
          </cell>
        </row>
        <row r="229">
          <cell r="B229" t="str">
            <v>АНГЛИЙСКИЙ пр.</v>
          </cell>
          <cell r="C229">
            <v>30</v>
          </cell>
          <cell r="D229" t="str">
            <v>А</v>
          </cell>
        </row>
        <row r="230">
          <cell r="B230" t="str">
            <v>АНГЛИЙСКИЙ пр.</v>
          </cell>
          <cell r="C230">
            <v>30</v>
          </cell>
          <cell r="D230" t="str">
            <v>Б</v>
          </cell>
        </row>
        <row r="231">
          <cell r="B231" t="str">
            <v>АНГЛИЙСКИЙ пр.</v>
          </cell>
          <cell r="C231">
            <v>31</v>
          </cell>
          <cell r="D231" t="str">
            <v>А</v>
          </cell>
        </row>
        <row r="232">
          <cell r="B232" t="str">
            <v>АНГЛИЙСКИЙ пр.</v>
          </cell>
          <cell r="C232">
            <v>38</v>
          </cell>
          <cell r="D232" t="str">
            <v>А</v>
          </cell>
        </row>
        <row r="233">
          <cell r="B233" t="str">
            <v>АНГЛИЙСКИЙ пр.</v>
          </cell>
          <cell r="C233">
            <v>40</v>
          </cell>
          <cell r="D233" t="str">
            <v>А</v>
          </cell>
        </row>
        <row r="234">
          <cell r="B234" t="str">
            <v>АНГЛИЙСКИЙ пр.</v>
          </cell>
          <cell r="C234">
            <v>43</v>
          </cell>
          <cell r="D234" t="str">
            <v>А</v>
          </cell>
        </row>
        <row r="235">
          <cell r="B235" t="str">
            <v>АНГЛИЙСКИЙ пр.</v>
          </cell>
          <cell r="C235">
            <v>43</v>
          </cell>
          <cell r="D235" t="str">
            <v>Б</v>
          </cell>
        </row>
        <row r="236">
          <cell r="B236" t="str">
            <v>АНГЛИЙСКИЙ пр.</v>
          </cell>
          <cell r="C236">
            <v>45</v>
          </cell>
          <cell r="D236" t="str">
            <v>А</v>
          </cell>
        </row>
        <row r="237">
          <cell r="B237" t="str">
            <v>АНГЛИЙСКИЙ пр.</v>
          </cell>
          <cell r="C237">
            <v>5</v>
          </cell>
          <cell r="D237" t="str">
            <v>А</v>
          </cell>
        </row>
        <row r="238">
          <cell r="B238" t="str">
            <v>АНГЛИЙСКИЙ пр.</v>
          </cell>
          <cell r="C238">
            <v>51</v>
          </cell>
          <cell r="D238" t="str">
            <v>А</v>
          </cell>
        </row>
        <row r="239">
          <cell r="B239" t="str">
            <v>АНГЛИЙСКИЙ пр.</v>
          </cell>
          <cell r="C239">
            <v>52</v>
          </cell>
          <cell r="D239" t="str">
            <v>А</v>
          </cell>
        </row>
        <row r="240">
          <cell r="B240" t="str">
            <v>АНГЛИЙСКИЙ пр.</v>
          </cell>
          <cell r="C240" t="str">
            <v>54/24</v>
          </cell>
        </row>
        <row r="241">
          <cell r="B241" t="str">
            <v>АНГЛИЙСКИЙ пр.</v>
          </cell>
          <cell r="C241">
            <v>56</v>
          </cell>
          <cell r="D241" t="str">
            <v>А</v>
          </cell>
        </row>
        <row r="242">
          <cell r="B242" t="str">
            <v>АНГЛИЙСКИЙ пр.</v>
          </cell>
          <cell r="C242">
            <v>58</v>
          </cell>
          <cell r="D242" t="str">
            <v>А</v>
          </cell>
        </row>
        <row r="243">
          <cell r="B243" t="str">
            <v>АНГЛИЙСКИЙ пр.</v>
          </cell>
          <cell r="C243">
            <v>60</v>
          </cell>
          <cell r="D243" t="str">
            <v>А</v>
          </cell>
        </row>
        <row r="244">
          <cell r="B244" t="str">
            <v>АНГЛИЙСКИЙ пр.</v>
          </cell>
          <cell r="C244">
            <v>62</v>
          </cell>
          <cell r="D244" t="str">
            <v>А</v>
          </cell>
        </row>
        <row r="245">
          <cell r="B245" t="str">
            <v>АНГЛИЙСКИЙ пр.</v>
          </cell>
          <cell r="D245" t="str">
            <v>А</v>
          </cell>
        </row>
        <row r="246">
          <cell r="B246" t="str">
            <v>АНГЛИЙСКИЙ пр.</v>
          </cell>
          <cell r="D246" t="str">
            <v>Б</v>
          </cell>
        </row>
        <row r="247">
          <cell r="B247" t="str">
            <v>АНГЛИЙСКИЙ пр.</v>
          </cell>
          <cell r="D247" t="str">
            <v>А</v>
          </cell>
        </row>
        <row r="248">
          <cell r="B248" t="str">
            <v>АНГЛИЙСКИЙ пр.</v>
          </cell>
          <cell r="D248" t="str">
            <v>Б</v>
          </cell>
        </row>
        <row r="249">
          <cell r="B249" t="str">
            <v>Б.МОРСКАЯ ул.</v>
          </cell>
          <cell r="C249">
            <v>35</v>
          </cell>
        </row>
        <row r="250">
          <cell r="B250" t="str">
            <v>Б.МОРСКАЯ ул.</v>
          </cell>
          <cell r="C250">
            <v>46</v>
          </cell>
          <cell r="D250" t="str">
            <v>А</v>
          </cell>
        </row>
        <row r="251">
          <cell r="B251" t="str">
            <v>Б.МОРСКАЯ ул.</v>
          </cell>
          <cell r="C251">
            <v>47</v>
          </cell>
          <cell r="D251" t="str">
            <v>А</v>
          </cell>
        </row>
        <row r="252">
          <cell r="B252" t="str">
            <v>Б.МОРСКАЯ ул.</v>
          </cell>
          <cell r="C252">
            <v>49</v>
          </cell>
          <cell r="D252" t="str">
            <v>А</v>
          </cell>
        </row>
        <row r="253">
          <cell r="B253" t="str">
            <v>Б.МОРСКАЯ ул.</v>
          </cell>
          <cell r="C253">
            <v>50</v>
          </cell>
          <cell r="D253" t="str">
            <v>А</v>
          </cell>
        </row>
        <row r="254">
          <cell r="B254" t="str">
            <v>Б.МОРСКАЯ ул.</v>
          </cell>
          <cell r="C254">
            <v>52</v>
          </cell>
          <cell r="D254" t="str">
            <v>А</v>
          </cell>
        </row>
        <row r="255">
          <cell r="B255" t="str">
            <v>Б.МОРСКАЯ ул.</v>
          </cell>
          <cell r="C255" t="str">
            <v>53/8</v>
          </cell>
          <cell r="D255" t="str">
            <v>А</v>
          </cell>
        </row>
        <row r="256">
          <cell r="B256" t="str">
            <v>Б.МОРСКАЯ ул.</v>
          </cell>
          <cell r="C256">
            <v>55</v>
          </cell>
          <cell r="D256" t="str">
            <v>А</v>
          </cell>
        </row>
        <row r="257">
          <cell r="B257" t="str">
            <v>Б.МОРСКАЯ ул.</v>
          </cell>
          <cell r="C257">
            <v>56</v>
          </cell>
          <cell r="D257" t="str">
            <v>А</v>
          </cell>
        </row>
        <row r="258">
          <cell r="B258" t="str">
            <v>Б.МОРСКАЯ ул.</v>
          </cell>
          <cell r="C258">
            <v>56</v>
          </cell>
          <cell r="D258" t="str">
            <v>Б</v>
          </cell>
        </row>
        <row r="259">
          <cell r="B259" t="str">
            <v>Б.МОРСКАЯ ул.</v>
          </cell>
          <cell r="C259">
            <v>57</v>
          </cell>
          <cell r="D259" t="str">
            <v>А</v>
          </cell>
        </row>
        <row r="260">
          <cell r="B260" t="str">
            <v>Б.МОРСКАЯ ул.</v>
          </cell>
          <cell r="C260">
            <v>63</v>
          </cell>
          <cell r="D260" t="str">
            <v>А</v>
          </cell>
        </row>
        <row r="261">
          <cell r="B261" t="str">
            <v>ВИТЕБСКАЯ ул.</v>
          </cell>
          <cell r="C261">
            <v>10</v>
          </cell>
          <cell r="D261" t="str">
            <v>А</v>
          </cell>
        </row>
        <row r="262">
          <cell r="B262" t="str">
            <v>ВИТЕБСКАЯ ул.</v>
          </cell>
          <cell r="C262">
            <v>12</v>
          </cell>
          <cell r="D262" t="str">
            <v>А</v>
          </cell>
        </row>
        <row r="263">
          <cell r="B263" t="str">
            <v>ВИТЕБСКАЯ ул.</v>
          </cell>
          <cell r="C263">
            <v>12</v>
          </cell>
          <cell r="D263" t="str">
            <v>Б</v>
          </cell>
        </row>
        <row r="264">
          <cell r="B264" t="str">
            <v>ВИТЕБСКАЯ ул.</v>
          </cell>
          <cell r="C264">
            <v>15</v>
          </cell>
          <cell r="D264" t="str">
            <v>А</v>
          </cell>
        </row>
        <row r="265">
          <cell r="B265" t="str">
            <v>ВИТЕБСКАЯ ул.</v>
          </cell>
          <cell r="D265" t="str">
            <v>А</v>
          </cell>
        </row>
        <row r="266">
          <cell r="B266" t="str">
            <v>ВИТЕБСКАЯ ул.</v>
          </cell>
          <cell r="D266" t="str">
            <v>Б</v>
          </cell>
        </row>
        <row r="267">
          <cell r="B267" t="str">
            <v>ВИТЕБСКАЯ ул.</v>
          </cell>
          <cell r="C267">
            <v>27</v>
          </cell>
          <cell r="D267" t="str">
            <v>А</v>
          </cell>
        </row>
        <row r="268">
          <cell r="B268" t="str">
            <v>ВИТЕБСКАЯ ул.</v>
          </cell>
          <cell r="C268">
            <v>3</v>
          </cell>
          <cell r="D268" t="str">
            <v>А</v>
          </cell>
        </row>
        <row r="269">
          <cell r="B269" t="str">
            <v>ВИТЕБСКАЯ ул.</v>
          </cell>
          <cell r="C269">
            <v>4</v>
          </cell>
          <cell r="D269" t="str">
            <v>А</v>
          </cell>
        </row>
        <row r="270">
          <cell r="B270" t="str">
            <v>ВИТЕБСКАЯ ул.</v>
          </cell>
          <cell r="C270">
            <v>4</v>
          </cell>
          <cell r="D270" t="str">
            <v>Б</v>
          </cell>
        </row>
        <row r="271">
          <cell r="B271" t="str">
            <v>ВИТЕБСКАЯ ул.</v>
          </cell>
          <cell r="D271" t="str">
            <v>А</v>
          </cell>
        </row>
        <row r="272">
          <cell r="B272" t="str">
            <v>ВИТЕБСКАЯ ул.</v>
          </cell>
          <cell r="C272">
            <v>9</v>
          </cell>
          <cell r="D272" t="str">
            <v>А</v>
          </cell>
        </row>
        <row r="273">
          <cell r="B273" t="str">
            <v>ВИТЕБСКАЯ ул.</v>
          </cell>
          <cell r="C273">
            <v>9</v>
          </cell>
          <cell r="D273" t="str">
            <v>Б</v>
          </cell>
        </row>
        <row r="274">
          <cell r="B274" t="str">
            <v>ВОЛОДИ ЕРМАКА ул.</v>
          </cell>
          <cell r="C274">
            <v>17</v>
          </cell>
          <cell r="D274" t="str">
            <v>А</v>
          </cell>
        </row>
        <row r="275">
          <cell r="B275" t="str">
            <v>ВОЛОДИ ЕРМАКА ул.</v>
          </cell>
          <cell r="C275">
            <v>19</v>
          </cell>
          <cell r="D275" t="str">
            <v>А</v>
          </cell>
        </row>
        <row r="276">
          <cell r="B276" t="str">
            <v>ВОЛОДИ ЕРМАКА ул.</v>
          </cell>
          <cell r="C276">
            <v>2</v>
          </cell>
          <cell r="D276" t="str">
            <v>А</v>
          </cell>
        </row>
        <row r="277">
          <cell r="B277" t="str">
            <v>ГАЛЕРНАЯ ул.</v>
          </cell>
          <cell r="C277">
            <v>11</v>
          </cell>
          <cell r="D277" t="str">
            <v>А</v>
          </cell>
        </row>
        <row r="278">
          <cell r="B278" t="str">
            <v>ГАЛЕРНАЯ ул.</v>
          </cell>
          <cell r="C278">
            <v>16</v>
          </cell>
          <cell r="D278" t="str">
            <v>А</v>
          </cell>
        </row>
        <row r="279">
          <cell r="B279" t="str">
            <v>ГАЛЕРНАЯ ул.</v>
          </cell>
          <cell r="C279">
            <v>17</v>
          </cell>
          <cell r="D279" t="str">
            <v>А</v>
          </cell>
        </row>
        <row r="280">
          <cell r="B280" t="str">
            <v>ГАЛЕРНАЯ ул.</v>
          </cell>
          <cell r="C280">
            <v>18</v>
          </cell>
          <cell r="D280" t="str">
            <v>А</v>
          </cell>
        </row>
        <row r="281">
          <cell r="B281" t="str">
            <v>ГАЛЕРНАЯ ул.</v>
          </cell>
          <cell r="C281">
            <v>19</v>
          </cell>
          <cell r="D281" t="str">
            <v>А</v>
          </cell>
        </row>
        <row r="282">
          <cell r="B282" t="str">
            <v>ГАЛЕРНАЯ ул.</v>
          </cell>
          <cell r="C282">
            <v>21</v>
          </cell>
          <cell r="D282" t="str">
            <v>А</v>
          </cell>
        </row>
        <row r="283">
          <cell r="B283" t="str">
            <v>ГАЛЕРНАЯ ул.</v>
          </cell>
          <cell r="C283">
            <v>23</v>
          </cell>
          <cell r="D283" t="str">
            <v>А</v>
          </cell>
        </row>
        <row r="284">
          <cell r="B284" t="str">
            <v>ГАЛЕРНАЯ ул.</v>
          </cell>
          <cell r="C284">
            <v>25</v>
          </cell>
          <cell r="D284" t="str">
            <v>А</v>
          </cell>
        </row>
        <row r="285">
          <cell r="B285" t="str">
            <v>ГАЛЕРНАЯ ул.</v>
          </cell>
          <cell r="C285">
            <v>26</v>
          </cell>
          <cell r="D285" t="str">
            <v>А</v>
          </cell>
        </row>
        <row r="286">
          <cell r="B286" t="str">
            <v>ГАЛЕРНАЯ ул.</v>
          </cell>
          <cell r="C286">
            <v>28</v>
          </cell>
          <cell r="D286" t="str">
            <v>А</v>
          </cell>
        </row>
        <row r="287">
          <cell r="B287" t="str">
            <v>ГАЛЕРНАЯ ул.</v>
          </cell>
          <cell r="C287">
            <v>28</v>
          </cell>
          <cell r="D287" t="str">
            <v>Б</v>
          </cell>
        </row>
        <row r="288">
          <cell r="B288" t="str">
            <v>ГАЛЕРНАЯ ул.</v>
          </cell>
          <cell r="C288">
            <v>28</v>
          </cell>
          <cell r="D288" t="str">
            <v>В</v>
          </cell>
        </row>
        <row r="289">
          <cell r="B289" t="str">
            <v>ГАЛЕРНАЯ ул.</v>
          </cell>
          <cell r="C289">
            <v>29</v>
          </cell>
          <cell r="D289" t="str">
            <v>А</v>
          </cell>
        </row>
        <row r="290">
          <cell r="B290" t="str">
            <v>ГАЛЕРНАЯ ул.</v>
          </cell>
          <cell r="C290">
            <v>30</v>
          </cell>
          <cell r="D290" t="str">
            <v>А</v>
          </cell>
        </row>
        <row r="291">
          <cell r="B291" t="str">
            <v>ГАЛЕРНАЯ ул.</v>
          </cell>
          <cell r="C291">
            <v>32</v>
          </cell>
          <cell r="D291" t="str">
            <v>А</v>
          </cell>
        </row>
        <row r="292">
          <cell r="B292" t="str">
            <v>ГАЛЕРНАЯ ул.</v>
          </cell>
          <cell r="C292">
            <v>32</v>
          </cell>
          <cell r="D292" t="str">
            <v>Б</v>
          </cell>
        </row>
        <row r="293">
          <cell r="B293" t="str">
            <v>ГАЛЕРНАЯ ул.</v>
          </cell>
          <cell r="C293">
            <v>4</v>
          </cell>
          <cell r="D293" t="str">
            <v>А</v>
          </cell>
        </row>
        <row r="294">
          <cell r="B294" t="str">
            <v>ГАЛЕРНАЯ ул.</v>
          </cell>
          <cell r="C294">
            <v>41</v>
          </cell>
          <cell r="D294" t="str">
            <v>А</v>
          </cell>
        </row>
        <row r="295">
          <cell r="B295" t="str">
            <v>ГАЛЕРНАЯ ул.</v>
          </cell>
          <cell r="C295">
            <v>42</v>
          </cell>
          <cell r="D295" t="str">
            <v>А</v>
          </cell>
        </row>
        <row r="296">
          <cell r="B296" t="str">
            <v>ГАЛЕРНАЯ ул.</v>
          </cell>
          <cell r="C296">
            <v>43</v>
          </cell>
          <cell r="D296" t="str">
            <v>А</v>
          </cell>
        </row>
        <row r="297">
          <cell r="B297" t="str">
            <v>ГАЛЕРНАЯ ул.</v>
          </cell>
          <cell r="C297">
            <v>43</v>
          </cell>
          <cell r="D297" t="str">
            <v>Б</v>
          </cell>
        </row>
        <row r="298">
          <cell r="B298" t="str">
            <v>ГАЛЕРНАЯ ул.</v>
          </cell>
          <cell r="C298">
            <v>44</v>
          </cell>
          <cell r="D298" t="str">
            <v>А</v>
          </cell>
        </row>
        <row r="299">
          <cell r="B299" t="str">
            <v>ГАЛЕРНАЯ ул.</v>
          </cell>
          <cell r="C299">
            <v>44</v>
          </cell>
          <cell r="D299" t="str">
            <v>Б</v>
          </cell>
        </row>
        <row r="300">
          <cell r="B300" t="str">
            <v>ГАЛЕРНАЯ ул.</v>
          </cell>
          <cell r="C300">
            <v>46</v>
          </cell>
          <cell r="D300" t="str">
            <v>А</v>
          </cell>
        </row>
        <row r="301">
          <cell r="B301" t="str">
            <v>ГАЛЕРНАЯ ул.</v>
          </cell>
          <cell r="C301">
            <v>47</v>
          </cell>
          <cell r="D301" t="str">
            <v>А</v>
          </cell>
        </row>
        <row r="302">
          <cell r="B302" t="str">
            <v>ГАЛЕРНАЯ ул.</v>
          </cell>
          <cell r="C302">
            <v>48</v>
          </cell>
          <cell r="D302" t="str">
            <v>А</v>
          </cell>
        </row>
        <row r="303">
          <cell r="B303" t="str">
            <v>ГАЛЕРНАЯ ул.</v>
          </cell>
          <cell r="C303">
            <v>49</v>
          </cell>
          <cell r="D303" t="str">
            <v>А</v>
          </cell>
        </row>
        <row r="304">
          <cell r="B304" t="str">
            <v>ГАЛЕРНАЯ ул.</v>
          </cell>
          <cell r="C304">
            <v>49</v>
          </cell>
          <cell r="D304" t="str">
            <v>Б</v>
          </cell>
        </row>
        <row r="305">
          <cell r="B305" t="str">
            <v>ГАЛЕРНАЯ ул.</v>
          </cell>
          <cell r="C305">
            <v>52</v>
          </cell>
          <cell r="D305" t="str">
            <v>А</v>
          </cell>
        </row>
        <row r="306">
          <cell r="B306" t="str">
            <v>ГАЛЕРНАЯ ул.</v>
          </cell>
          <cell r="C306">
            <v>52</v>
          </cell>
          <cell r="D306" t="str">
            <v>Б</v>
          </cell>
        </row>
        <row r="307">
          <cell r="B307" t="str">
            <v>ГАЛЕРНАЯ ул.</v>
          </cell>
          <cell r="C307">
            <v>54</v>
          </cell>
          <cell r="D307" t="str">
            <v>А</v>
          </cell>
        </row>
        <row r="308">
          <cell r="B308" t="str">
            <v>ГАЛЕРНАЯ ул.</v>
          </cell>
          <cell r="C308">
            <v>54</v>
          </cell>
          <cell r="D308" t="str">
            <v>Б</v>
          </cell>
        </row>
        <row r="309">
          <cell r="B309" t="str">
            <v>ГАЛЕРНАЯ ул.</v>
          </cell>
          <cell r="C309">
            <v>56</v>
          </cell>
          <cell r="D309" t="str">
            <v>А</v>
          </cell>
        </row>
        <row r="310">
          <cell r="B310" t="str">
            <v>ГАЛЕРНАЯ ул.</v>
          </cell>
          <cell r="C310">
            <v>56</v>
          </cell>
          <cell r="D310" t="str">
            <v>Б</v>
          </cell>
        </row>
        <row r="311">
          <cell r="B311" t="str">
            <v>ГАЛЕРНАЯ ул.</v>
          </cell>
          <cell r="C311">
            <v>59</v>
          </cell>
          <cell r="D311" t="str">
            <v>А</v>
          </cell>
        </row>
        <row r="312">
          <cell r="B312" t="str">
            <v>ГАЛЕРНАЯ ул.</v>
          </cell>
          <cell r="C312">
            <v>61</v>
          </cell>
          <cell r="D312" t="str">
            <v>А</v>
          </cell>
        </row>
        <row r="313">
          <cell r="B313" t="str">
            <v>ГАЛЕРНАЯ ул.</v>
          </cell>
          <cell r="C313">
            <v>61</v>
          </cell>
          <cell r="D313" t="str">
            <v>Б</v>
          </cell>
        </row>
        <row r="314">
          <cell r="B314" t="str">
            <v>ГАЛЕРНАЯ ул.</v>
          </cell>
          <cell r="C314">
            <v>67</v>
          </cell>
          <cell r="D314" t="str">
            <v>А</v>
          </cell>
        </row>
        <row r="315">
          <cell r="B315" t="str">
            <v>ГАЛЕРНАЯ ул.</v>
          </cell>
          <cell r="C315">
            <v>77</v>
          </cell>
          <cell r="D315" t="str">
            <v>А</v>
          </cell>
        </row>
        <row r="316">
          <cell r="B316" t="str">
            <v>ГАЛЕРНАЯ ул.</v>
          </cell>
          <cell r="C316">
            <v>77</v>
          </cell>
          <cell r="D316" t="str">
            <v>Б</v>
          </cell>
        </row>
        <row r="317">
          <cell r="B317" t="str">
            <v>ГАЛЕРНАЯ ул.</v>
          </cell>
          <cell r="C317">
            <v>8</v>
          </cell>
          <cell r="D317" t="str">
            <v>А</v>
          </cell>
        </row>
        <row r="318">
          <cell r="B318" t="str">
            <v>ГОРОХОВАЯ ул.</v>
          </cell>
          <cell r="C318">
            <v>3</v>
          </cell>
          <cell r="D318" t="str">
            <v>А</v>
          </cell>
        </row>
        <row r="319">
          <cell r="B319" t="str">
            <v>ГРИБОЕДОВА наб.канала</v>
          </cell>
          <cell r="C319">
            <v>124</v>
          </cell>
          <cell r="D319" t="str">
            <v>Б</v>
          </cell>
        </row>
        <row r="320">
          <cell r="B320" t="str">
            <v>ГРИБОЕДОВА наб.канала</v>
          </cell>
          <cell r="C320">
            <v>130</v>
          </cell>
          <cell r="D320" t="str">
            <v>А</v>
          </cell>
        </row>
        <row r="321">
          <cell r="B321" t="str">
            <v>ГРИБОЕДОВА наб.канала</v>
          </cell>
          <cell r="C321">
            <v>136</v>
          </cell>
          <cell r="D321" t="str">
            <v>А</v>
          </cell>
        </row>
        <row r="322">
          <cell r="B322" t="str">
            <v>ГРИБОЕДОВА наб.канала</v>
          </cell>
          <cell r="C322">
            <v>138</v>
          </cell>
          <cell r="D322" t="str">
            <v>А</v>
          </cell>
        </row>
        <row r="323">
          <cell r="B323" t="str">
            <v>ГРИБОЕДОВА наб.канала</v>
          </cell>
          <cell r="C323">
            <v>140</v>
          </cell>
          <cell r="D323" t="str">
            <v>А</v>
          </cell>
        </row>
        <row r="324">
          <cell r="B324" t="str">
            <v>ГРИБОЕДОВА наб.канала</v>
          </cell>
          <cell r="C324">
            <v>142</v>
          </cell>
          <cell r="D324" t="str">
            <v>А</v>
          </cell>
        </row>
        <row r="325">
          <cell r="B325" t="str">
            <v>ГРИБОЕДОВА наб.канала</v>
          </cell>
          <cell r="C325">
            <v>142</v>
          </cell>
          <cell r="D325" t="str">
            <v>Б</v>
          </cell>
        </row>
        <row r="326">
          <cell r="B326" t="str">
            <v>ГРИБОЕДОВА наб.канала</v>
          </cell>
          <cell r="C326">
            <v>152</v>
          </cell>
          <cell r="D326" t="str">
            <v>А</v>
          </cell>
        </row>
        <row r="327">
          <cell r="B327" t="str">
            <v>ГРИБОЕДОВА наб.канала</v>
          </cell>
          <cell r="C327">
            <v>154</v>
          </cell>
          <cell r="D327" t="str">
            <v>А</v>
          </cell>
        </row>
        <row r="328">
          <cell r="B328" t="str">
            <v>ГРИБОЕДОВА наб.канала</v>
          </cell>
          <cell r="C328">
            <v>156</v>
          </cell>
          <cell r="D328" t="str">
            <v>А</v>
          </cell>
        </row>
        <row r="329">
          <cell r="B329" t="str">
            <v>ГРИБОЕДОВА наб.канала</v>
          </cell>
          <cell r="C329">
            <v>158</v>
          </cell>
          <cell r="D329" t="str">
            <v>А</v>
          </cell>
        </row>
        <row r="330">
          <cell r="B330" t="str">
            <v>ГРИБОЕДОВА наб.канала</v>
          </cell>
          <cell r="C330">
            <v>162</v>
          </cell>
          <cell r="D330" t="str">
            <v>А</v>
          </cell>
        </row>
        <row r="331">
          <cell r="B331" t="str">
            <v>ГРИБОЕДОВА наб.канала</v>
          </cell>
          <cell r="C331">
            <v>164</v>
          </cell>
          <cell r="D331" t="str">
            <v>А</v>
          </cell>
        </row>
        <row r="332">
          <cell r="B332" t="str">
            <v>ГРИБОЕДОВА наб.канала</v>
          </cell>
          <cell r="C332">
            <v>168</v>
          </cell>
          <cell r="D332" t="str">
            <v>А</v>
          </cell>
        </row>
        <row r="333">
          <cell r="B333" t="str">
            <v>ГРИБОЕДОВА наб.канала</v>
          </cell>
          <cell r="C333">
            <v>170</v>
          </cell>
          <cell r="D333" t="str">
            <v>А</v>
          </cell>
        </row>
        <row r="334">
          <cell r="B334" t="str">
            <v>ГРИБОЕДОВА наб.канала</v>
          </cell>
          <cell r="C334">
            <v>170</v>
          </cell>
          <cell r="D334" t="str">
            <v>Б</v>
          </cell>
        </row>
        <row r="335">
          <cell r="B335" t="str">
            <v>ГРИБОЕДОВА наб.канала</v>
          </cell>
          <cell r="C335">
            <v>170</v>
          </cell>
          <cell r="D335" t="str">
            <v>В</v>
          </cell>
        </row>
        <row r="336">
          <cell r="B336" t="str">
            <v>ГРИБОЕДОВА наб.канала</v>
          </cell>
          <cell r="C336">
            <v>174</v>
          </cell>
        </row>
        <row r="337">
          <cell r="B337" t="str">
            <v>ДЕКАБРИСТОВ ул.</v>
          </cell>
          <cell r="C337">
            <v>29</v>
          </cell>
          <cell r="D337" t="str">
            <v>А</v>
          </cell>
        </row>
        <row r="338">
          <cell r="B338" t="str">
            <v>ДЕКАБРИСТОВ ул.</v>
          </cell>
          <cell r="C338">
            <v>29</v>
          </cell>
          <cell r="D338" t="str">
            <v>Б</v>
          </cell>
        </row>
        <row r="339">
          <cell r="B339" t="str">
            <v>ДЕКАБРИСТОВ ул.</v>
          </cell>
          <cell r="C339">
            <v>29</v>
          </cell>
          <cell r="D339" t="str">
            <v>Г</v>
          </cell>
        </row>
        <row r="340">
          <cell r="B340" t="str">
            <v>ДЕКАБРИСТОВ ул.</v>
          </cell>
          <cell r="C340">
            <v>31</v>
          </cell>
          <cell r="D340" t="str">
            <v>А</v>
          </cell>
        </row>
        <row r="341">
          <cell r="B341" t="str">
            <v>ДЕКАБРИСТОВ ул.</v>
          </cell>
          <cell r="C341">
            <v>33</v>
          </cell>
          <cell r="D341" t="str">
            <v>А</v>
          </cell>
        </row>
        <row r="342">
          <cell r="B342" t="str">
            <v>ДЕКАБРИСТОВ ул.</v>
          </cell>
          <cell r="C342">
            <v>33</v>
          </cell>
          <cell r="D342" t="str">
            <v>Б</v>
          </cell>
        </row>
        <row r="343">
          <cell r="B343" t="str">
            <v>ДЕКАБРИСТОВ ул.</v>
          </cell>
          <cell r="C343" t="str">
            <v>36/1</v>
          </cell>
          <cell r="D343" t="str">
            <v>А</v>
          </cell>
        </row>
        <row r="344">
          <cell r="B344" t="str">
            <v>ДЕКАБРИСТОВ ул.</v>
          </cell>
          <cell r="C344">
            <v>37</v>
          </cell>
          <cell r="D344" t="str">
            <v>А</v>
          </cell>
        </row>
        <row r="345">
          <cell r="B345" t="str">
            <v>ДЕКАБРИСТОВ ул.</v>
          </cell>
          <cell r="C345">
            <v>37</v>
          </cell>
          <cell r="D345" t="str">
            <v>Б</v>
          </cell>
        </row>
        <row r="346">
          <cell r="B346" t="str">
            <v>ДЕКАБРИСТОВ ул.</v>
          </cell>
          <cell r="C346">
            <v>39</v>
          </cell>
          <cell r="D346" t="str">
            <v>А</v>
          </cell>
        </row>
        <row r="347">
          <cell r="B347" t="str">
            <v>ДЕКАБРИСТОВ ул.</v>
          </cell>
          <cell r="C347">
            <v>41</v>
          </cell>
          <cell r="D347" t="str">
            <v>А</v>
          </cell>
        </row>
        <row r="348">
          <cell r="B348" t="str">
            <v>ДЕКАБРИСТОВ ул.</v>
          </cell>
          <cell r="C348" t="str">
            <v>43-45</v>
          </cell>
          <cell r="D348" t="str">
            <v>А</v>
          </cell>
        </row>
        <row r="349">
          <cell r="B349" t="str">
            <v>ДЕКАБРИСТОВ ул.</v>
          </cell>
          <cell r="C349" t="str">
            <v>43-45</v>
          </cell>
          <cell r="D349" t="str">
            <v>Б</v>
          </cell>
        </row>
        <row r="350">
          <cell r="B350" t="str">
            <v>ДЕКАБРИСТОВ ул.</v>
          </cell>
          <cell r="C350">
            <v>46</v>
          </cell>
          <cell r="D350" t="str">
            <v>А</v>
          </cell>
        </row>
        <row r="351">
          <cell r="B351" t="str">
            <v>ДЕКАБРИСТОВ ул.</v>
          </cell>
          <cell r="C351">
            <v>48</v>
          </cell>
          <cell r="D351" t="str">
            <v>А</v>
          </cell>
        </row>
        <row r="352">
          <cell r="B352" t="str">
            <v>ДЕКАБРИСТОВ ул.</v>
          </cell>
          <cell r="C352">
            <v>50</v>
          </cell>
          <cell r="D352" t="str">
            <v>А</v>
          </cell>
        </row>
        <row r="353">
          <cell r="B353" t="str">
            <v>ДЕКАБРИСТОВ ул.</v>
          </cell>
          <cell r="C353">
            <v>51</v>
          </cell>
          <cell r="D353" t="str">
            <v>А</v>
          </cell>
        </row>
        <row r="354">
          <cell r="B354" t="str">
            <v>ДЕКАБРИСТОВ ул.</v>
          </cell>
          <cell r="C354">
            <v>51</v>
          </cell>
          <cell r="D354" t="str">
            <v>В</v>
          </cell>
        </row>
        <row r="355">
          <cell r="B355" t="str">
            <v>ДЕКАБРИСТОВ ул.</v>
          </cell>
          <cell r="C355">
            <v>52</v>
          </cell>
          <cell r="D355" t="str">
            <v>А</v>
          </cell>
        </row>
        <row r="356">
          <cell r="B356" t="str">
            <v>ДЕКАБРИСТОВ ул.</v>
          </cell>
          <cell r="C356">
            <v>54</v>
          </cell>
          <cell r="D356" t="str">
            <v>Б</v>
          </cell>
        </row>
        <row r="357">
          <cell r="B357" t="str">
            <v>ДЕКАБРИСТОВ ул.</v>
          </cell>
          <cell r="C357">
            <v>54</v>
          </cell>
          <cell r="D357" t="str">
            <v>В</v>
          </cell>
        </row>
        <row r="358">
          <cell r="B358" t="str">
            <v>ДЕКАБРИСТОВ ул.</v>
          </cell>
          <cell r="C358">
            <v>56</v>
          </cell>
          <cell r="D358" t="str">
            <v>А</v>
          </cell>
        </row>
        <row r="359">
          <cell r="B359" t="str">
            <v>ДЕКАБРИСТОВ ул.</v>
          </cell>
          <cell r="C359">
            <v>56</v>
          </cell>
          <cell r="D359" t="str">
            <v>В</v>
          </cell>
        </row>
        <row r="360">
          <cell r="B360" t="str">
            <v>ДЕКАБРИСТОВ ул.</v>
          </cell>
          <cell r="C360">
            <v>57</v>
          </cell>
          <cell r="D360" t="str">
            <v>А</v>
          </cell>
        </row>
        <row r="361">
          <cell r="B361" t="str">
            <v>ДЕКАБРИСТОВ ул.</v>
          </cell>
          <cell r="C361">
            <v>58</v>
          </cell>
          <cell r="D361" t="str">
            <v>А</v>
          </cell>
        </row>
        <row r="362">
          <cell r="B362" t="str">
            <v>ДЕКАБРИСТОВ ул.</v>
          </cell>
          <cell r="C362" t="str">
            <v>62-64</v>
          </cell>
          <cell r="D362" t="str">
            <v>А</v>
          </cell>
        </row>
        <row r="363">
          <cell r="B363" t="str">
            <v>ДЕРПТСКИЙ пер.</v>
          </cell>
          <cell r="C363">
            <v>10</v>
          </cell>
          <cell r="D363" t="str">
            <v>А</v>
          </cell>
        </row>
        <row r="364">
          <cell r="B364" t="str">
            <v>ДЕРПТСКИЙ пер.</v>
          </cell>
          <cell r="C364">
            <v>14</v>
          </cell>
          <cell r="D364" t="str">
            <v>А</v>
          </cell>
        </row>
        <row r="365">
          <cell r="B365" t="str">
            <v>ДЕРПТСКИЙ пер.</v>
          </cell>
          <cell r="C365">
            <v>15</v>
          </cell>
          <cell r="D365" t="str">
            <v>А</v>
          </cell>
        </row>
        <row r="366">
          <cell r="B366" t="str">
            <v>ДРОВЯНАЯ ул.</v>
          </cell>
          <cell r="C366">
            <v>6</v>
          </cell>
          <cell r="D366" t="str">
            <v>А</v>
          </cell>
        </row>
        <row r="367">
          <cell r="B367" t="str">
            <v>ДРОВЯНАЯ ул.</v>
          </cell>
          <cell r="C367">
            <v>8</v>
          </cell>
          <cell r="D367" t="str">
            <v>А</v>
          </cell>
        </row>
        <row r="368">
          <cell r="B368" t="str">
            <v>ДРОВЯНОЙ пер.</v>
          </cell>
          <cell r="C368">
            <v>10</v>
          </cell>
          <cell r="D368" t="str">
            <v>А</v>
          </cell>
        </row>
        <row r="369">
          <cell r="B369" t="str">
            <v>ДРОВЯНОЙ пер.</v>
          </cell>
          <cell r="C369">
            <v>12</v>
          </cell>
          <cell r="D369" t="str">
            <v>А</v>
          </cell>
        </row>
        <row r="370">
          <cell r="B370" t="str">
            <v>ДРОВЯНОЙ пер.</v>
          </cell>
          <cell r="C370">
            <v>14</v>
          </cell>
          <cell r="D370" t="str">
            <v>А</v>
          </cell>
        </row>
        <row r="371">
          <cell r="B371" t="str">
            <v>ДРОВЯНОЙ пер.</v>
          </cell>
          <cell r="C371">
            <v>14</v>
          </cell>
          <cell r="D371" t="str">
            <v>Б</v>
          </cell>
        </row>
        <row r="372">
          <cell r="B372" t="str">
            <v>ДРОВЯНОЙ пер.</v>
          </cell>
          <cell r="C372">
            <v>20</v>
          </cell>
          <cell r="D372" t="str">
            <v>А</v>
          </cell>
        </row>
        <row r="373">
          <cell r="B373" t="str">
            <v>ДРОВЯНОЙ пер.</v>
          </cell>
          <cell r="C373">
            <v>20</v>
          </cell>
          <cell r="D373" t="str">
            <v>Б</v>
          </cell>
        </row>
        <row r="374">
          <cell r="B374" t="str">
            <v>ДРОВЯНОЙ пер.</v>
          </cell>
          <cell r="C374">
            <v>22</v>
          </cell>
          <cell r="D374" t="str">
            <v>А</v>
          </cell>
        </row>
        <row r="375">
          <cell r="B375" t="str">
            <v>ДРОВЯНОЙ пер.</v>
          </cell>
          <cell r="C375">
            <v>3</v>
          </cell>
          <cell r="D375" t="str">
            <v>А</v>
          </cell>
        </row>
        <row r="376">
          <cell r="B376" t="str">
            <v>ДРОВЯНОЙ пер.</v>
          </cell>
          <cell r="C376">
            <v>3</v>
          </cell>
          <cell r="D376" t="str">
            <v>Б</v>
          </cell>
        </row>
        <row r="377">
          <cell r="B377" t="str">
            <v>ДРОВЯНОЙ пер.</v>
          </cell>
          <cell r="C377">
            <v>4</v>
          </cell>
          <cell r="D377" t="str">
            <v>А</v>
          </cell>
        </row>
        <row r="378">
          <cell r="B378" t="str">
            <v>ДРОВЯНОЙ пер.</v>
          </cell>
          <cell r="C378">
            <v>7</v>
          </cell>
          <cell r="D378" t="str">
            <v>А</v>
          </cell>
        </row>
        <row r="379">
          <cell r="B379" t="str">
            <v>ДРОВЯНОЙ пер.</v>
          </cell>
          <cell r="C379">
            <v>8</v>
          </cell>
          <cell r="D379" t="str">
            <v>А</v>
          </cell>
        </row>
        <row r="380">
          <cell r="B380" t="str">
            <v>ДРОВЯНОЙ пер.</v>
          </cell>
          <cell r="C380">
            <v>8</v>
          </cell>
          <cell r="D380" t="str">
            <v>В</v>
          </cell>
        </row>
        <row r="381">
          <cell r="B381" t="str">
            <v>ДРОВЯНОЙ пер.</v>
          </cell>
          <cell r="D381" t="str">
            <v>А</v>
          </cell>
        </row>
        <row r="382">
          <cell r="B382" t="str">
            <v>ЕГОРОВА ул.</v>
          </cell>
        </row>
        <row r="383">
          <cell r="B383" t="str">
            <v>ЕГОРОВА ул.</v>
          </cell>
          <cell r="C383">
            <v>28</v>
          </cell>
          <cell r="D383" t="str">
            <v>А</v>
          </cell>
        </row>
        <row r="384">
          <cell r="B384" t="str">
            <v>ЕГОРОВА ул.</v>
          </cell>
          <cell r="C384">
            <v>28</v>
          </cell>
          <cell r="D384" t="str">
            <v>Г</v>
          </cell>
        </row>
        <row r="385">
          <cell r="B385" t="str">
            <v>ИЗМАЙЛОВСКИЙ пр.</v>
          </cell>
          <cell r="C385">
            <v>1</v>
          </cell>
          <cell r="D385" t="str">
            <v>А</v>
          </cell>
        </row>
        <row r="386">
          <cell r="B386" t="str">
            <v>ИЗМАЙЛОВСКИЙ пр.</v>
          </cell>
          <cell r="C386">
            <v>11</v>
          </cell>
          <cell r="D386" t="str">
            <v>А</v>
          </cell>
        </row>
        <row r="387">
          <cell r="B387" t="str">
            <v>ИЗМАЙЛОВСКИЙ пр.</v>
          </cell>
          <cell r="C387">
            <v>18</v>
          </cell>
          <cell r="D387" t="str">
            <v>А</v>
          </cell>
        </row>
        <row r="388">
          <cell r="B388" t="str">
            <v>ИЗМАЙЛОВСКИЙ пр.</v>
          </cell>
          <cell r="C388">
            <v>18</v>
          </cell>
          <cell r="D388" t="str">
            <v>А1</v>
          </cell>
        </row>
        <row r="389">
          <cell r="B389" t="str">
            <v>ИЗМАЙЛОВСКИЙ пр.</v>
          </cell>
          <cell r="C389">
            <v>18</v>
          </cell>
          <cell r="D389" t="str">
            <v>Б</v>
          </cell>
        </row>
        <row r="390">
          <cell r="B390" t="str">
            <v>ИЗМАЙЛОВСКИЙ пр.</v>
          </cell>
          <cell r="C390">
            <v>18</v>
          </cell>
          <cell r="D390" t="str">
            <v>Д</v>
          </cell>
        </row>
        <row r="391">
          <cell r="B391" t="str">
            <v>ИЗМАЙЛОВСКИЙ пр.</v>
          </cell>
          <cell r="C391">
            <v>18</v>
          </cell>
          <cell r="D391" t="str">
            <v>Е</v>
          </cell>
        </row>
        <row r="392">
          <cell r="B392" t="str">
            <v>ИЗМАЙЛОВСКИЙ пр.</v>
          </cell>
          <cell r="C392">
            <v>18</v>
          </cell>
          <cell r="D392" t="str">
            <v>М</v>
          </cell>
        </row>
        <row r="393">
          <cell r="B393" t="str">
            <v>ИЗМАЙЛОВСКИЙ пр.</v>
          </cell>
          <cell r="C393">
            <v>19</v>
          </cell>
          <cell r="D393" t="str">
            <v>А</v>
          </cell>
        </row>
        <row r="394">
          <cell r="B394" t="str">
            <v>ИЗМАЙЛОВСКИЙ пр.</v>
          </cell>
          <cell r="C394">
            <v>2</v>
          </cell>
          <cell r="D394" t="str">
            <v>А</v>
          </cell>
        </row>
        <row r="395">
          <cell r="B395" t="str">
            <v>ИЗМАЙЛОВСКИЙ пр.</v>
          </cell>
          <cell r="C395">
            <v>20</v>
          </cell>
          <cell r="D395" t="str">
            <v>А</v>
          </cell>
        </row>
        <row r="396">
          <cell r="B396" t="str">
            <v>ИЗМАЙЛОВСКИЙ пр.</v>
          </cell>
          <cell r="C396">
            <v>20</v>
          </cell>
          <cell r="D396" t="str">
            <v>Ш</v>
          </cell>
        </row>
        <row r="397">
          <cell r="B397" t="str">
            <v>ИЗМАЙЛОВСКИЙ пр.</v>
          </cell>
          <cell r="C397">
            <v>20</v>
          </cell>
          <cell r="D397" t="str">
            <v>Э</v>
          </cell>
        </row>
        <row r="398">
          <cell r="B398" t="str">
            <v>ИЗМАЙЛОВСКИЙ пр.</v>
          </cell>
          <cell r="C398">
            <v>22</v>
          </cell>
          <cell r="D398" t="str">
            <v>М</v>
          </cell>
        </row>
        <row r="399">
          <cell r="B399" t="str">
            <v>ИЗМАЙЛОВСКИЙ пр.</v>
          </cell>
          <cell r="C399">
            <v>22</v>
          </cell>
          <cell r="D399" t="str">
            <v>Н</v>
          </cell>
        </row>
        <row r="400">
          <cell r="B400" t="str">
            <v>ИЗМАЙЛОВСКИЙ пр.</v>
          </cell>
          <cell r="C400">
            <v>23</v>
          </cell>
          <cell r="D400" t="str">
            <v>А</v>
          </cell>
        </row>
        <row r="401">
          <cell r="B401" t="str">
            <v>ИЗМАЙЛОВСКИЙ пр.</v>
          </cell>
          <cell r="C401">
            <v>25</v>
          </cell>
          <cell r="D401" t="str">
            <v>А</v>
          </cell>
        </row>
        <row r="402">
          <cell r="B402" t="str">
            <v>ИЗМАЙЛОВСКИЙ пр.</v>
          </cell>
          <cell r="C402">
            <v>3</v>
          </cell>
          <cell r="D402" t="str">
            <v>А</v>
          </cell>
        </row>
        <row r="403">
          <cell r="B403" t="str">
            <v>ИЗМАЙЛОВСКИЙ пр.</v>
          </cell>
          <cell r="C403">
            <v>31</v>
          </cell>
          <cell r="D403" t="str">
            <v>А</v>
          </cell>
        </row>
        <row r="404">
          <cell r="B404" t="str">
            <v>ИЗМАЙЛОВСКИЙ пр.</v>
          </cell>
          <cell r="C404">
            <v>31</v>
          </cell>
          <cell r="D404" t="str">
            <v>Д</v>
          </cell>
        </row>
        <row r="405">
          <cell r="B405" t="str">
            <v>ИЗМАЙЛОВСКИЙ пр.</v>
          </cell>
          <cell r="C405">
            <v>5</v>
          </cell>
          <cell r="D405" t="str">
            <v>А</v>
          </cell>
        </row>
        <row r="406">
          <cell r="B406" t="str">
            <v>ИЗМАЙЛОВСКИЙ пр.</v>
          </cell>
          <cell r="C406">
            <v>7</v>
          </cell>
          <cell r="D406" t="str">
            <v>А</v>
          </cell>
        </row>
        <row r="407">
          <cell r="B407" t="str">
            <v>ИЗМАЙЛОВСКИЙ пр.</v>
          </cell>
          <cell r="C407">
            <v>7</v>
          </cell>
          <cell r="D407" t="str">
            <v>З</v>
          </cell>
        </row>
        <row r="408">
          <cell r="B408" t="str">
            <v>КАЛИНКИН пер.</v>
          </cell>
          <cell r="C408">
            <v>4</v>
          </cell>
          <cell r="D408" t="str">
            <v>А</v>
          </cell>
        </row>
        <row r="409">
          <cell r="B409" t="str">
            <v>КАНОНЕРСКАЯ ул.</v>
          </cell>
        </row>
        <row r="410">
          <cell r="B410" t="str">
            <v>КАНОНЕРСКАЯ ул.</v>
          </cell>
          <cell r="C410">
            <v>14</v>
          </cell>
          <cell r="D410" t="str">
            <v>А</v>
          </cell>
        </row>
        <row r="411">
          <cell r="B411" t="str">
            <v>КАНОНЕРСКАЯ ул.</v>
          </cell>
          <cell r="C411">
            <v>17</v>
          </cell>
          <cell r="D411" t="str">
            <v>А</v>
          </cell>
        </row>
        <row r="412">
          <cell r="B412" t="str">
            <v>КАНОНЕРСКАЯ ул.</v>
          </cell>
          <cell r="C412" t="str">
            <v>19-21</v>
          </cell>
          <cell r="D412" t="str">
            <v>А</v>
          </cell>
        </row>
        <row r="413">
          <cell r="B413" t="str">
            <v>КАНОНЕРСКАЯ ул.</v>
          </cell>
          <cell r="C413">
            <v>27</v>
          </cell>
          <cell r="D413" t="str">
            <v>А</v>
          </cell>
        </row>
        <row r="414">
          <cell r="B414" t="str">
            <v>КАНОНЕРСКАЯ ул.</v>
          </cell>
          <cell r="C414">
            <v>29</v>
          </cell>
          <cell r="D414" t="str">
            <v>А</v>
          </cell>
        </row>
        <row r="415">
          <cell r="B415" t="str">
            <v>КАНОНЕРСКАЯ ул.</v>
          </cell>
          <cell r="C415">
            <v>29</v>
          </cell>
          <cell r="D415" t="str">
            <v>В</v>
          </cell>
        </row>
        <row r="416">
          <cell r="B416" t="str">
            <v>КАНОНЕРСКАЯ ул.</v>
          </cell>
          <cell r="C416">
            <v>3</v>
          </cell>
          <cell r="D416" t="str">
            <v>А</v>
          </cell>
        </row>
        <row r="417">
          <cell r="B417" t="str">
            <v>КАНОНЕРСКАЯ ул.</v>
          </cell>
          <cell r="C417">
            <v>31</v>
          </cell>
          <cell r="D417" t="str">
            <v>А</v>
          </cell>
        </row>
        <row r="418">
          <cell r="B418" t="str">
            <v>КАНОНЕРСКАЯ ул.</v>
          </cell>
          <cell r="C418">
            <v>4</v>
          </cell>
          <cell r="D418" t="str">
            <v>А</v>
          </cell>
        </row>
        <row r="419">
          <cell r="B419" t="str">
            <v>КАНОНЕРСКАЯ ул.</v>
          </cell>
          <cell r="C419">
            <v>4</v>
          </cell>
          <cell r="D419" t="str">
            <v>Б</v>
          </cell>
        </row>
        <row r="420">
          <cell r="B420" t="str">
            <v>КАНОНЕРСКАЯ ул.</v>
          </cell>
          <cell r="C420">
            <v>5</v>
          </cell>
          <cell r="D420" t="str">
            <v>А</v>
          </cell>
        </row>
        <row r="421">
          <cell r="B421" t="str">
            <v>КАНОНЕРСКАЯ ул.</v>
          </cell>
          <cell r="D421" t="str">
            <v>А</v>
          </cell>
        </row>
        <row r="422">
          <cell r="B422" t="str">
            <v>КАНОНЕРСКАЯ ул.</v>
          </cell>
          <cell r="D422" t="str">
            <v>Б</v>
          </cell>
        </row>
        <row r="423">
          <cell r="B423" t="str">
            <v>КЛИМОВ пер.</v>
          </cell>
          <cell r="D423" t="str">
            <v>А</v>
          </cell>
        </row>
        <row r="424">
          <cell r="B424" t="str">
            <v>КЛИМОВ пер.</v>
          </cell>
          <cell r="C424">
            <v>3</v>
          </cell>
          <cell r="D424" t="str">
            <v>А</v>
          </cell>
        </row>
        <row r="425">
          <cell r="B425" t="str">
            <v>КЛИМОВ пер.</v>
          </cell>
          <cell r="C425">
            <v>4</v>
          </cell>
          <cell r="D425" t="str">
            <v>А</v>
          </cell>
        </row>
        <row r="426">
          <cell r="B426" t="str">
            <v>КЛИМОВ пер.</v>
          </cell>
          <cell r="C426">
            <v>5</v>
          </cell>
          <cell r="D426" t="str">
            <v>А</v>
          </cell>
        </row>
        <row r="427">
          <cell r="B427" t="str">
            <v>КЛИМОВ пер.</v>
          </cell>
          <cell r="C427">
            <v>7</v>
          </cell>
          <cell r="D427" t="str">
            <v>А</v>
          </cell>
        </row>
        <row r="428">
          <cell r="B428" t="str">
            <v>КЛИМОВ пер.</v>
          </cell>
          <cell r="C428">
            <v>7</v>
          </cell>
          <cell r="D428" t="str">
            <v>Б</v>
          </cell>
        </row>
        <row r="429">
          <cell r="B429" t="str">
            <v>КЛИМОВ пер.</v>
          </cell>
          <cell r="C429">
            <v>8</v>
          </cell>
          <cell r="D429" t="str">
            <v>А</v>
          </cell>
        </row>
        <row r="430">
          <cell r="B430" t="str">
            <v>КЛИМОВ пер.</v>
          </cell>
          <cell r="C430">
            <v>9</v>
          </cell>
          <cell r="D430" t="str">
            <v>А</v>
          </cell>
        </row>
        <row r="431">
          <cell r="B431" t="str">
            <v>КОННОГВАРДЕЙСКИЙ бульвар</v>
          </cell>
          <cell r="C431">
            <v>11</v>
          </cell>
          <cell r="D431" t="str">
            <v>А</v>
          </cell>
        </row>
        <row r="432">
          <cell r="B432" t="str">
            <v>КОННОГВАРДЕЙСКИЙ бульвар</v>
          </cell>
          <cell r="C432">
            <v>9</v>
          </cell>
          <cell r="D432" t="str">
            <v>А</v>
          </cell>
        </row>
        <row r="433">
          <cell r="B433" t="str">
            <v>КОННОГВАРДЕЙСКИЙ бульвар</v>
          </cell>
          <cell r="C433">
            <v>9</v>
          </cell>
          <cell r="D433" t="str">
            <v>Б</v>
          </cell>
        </row>
        <row r="434">
          <cell r="B434" t="str">
            <v>КОННОГВАРДЕЙСКИЙ пер.</v>
          </cell>
          <cell r="C434">
            <v>6</v>
          </cell>
          <cell r="D434" t="str">
            <v>А</v>
          </cell>
        </row>
        <row r="435">
          <cell r="B435" t="str">
            <v>КРАСУЦКОГО ул.</v>
          </cell>
          <cell r="C435">
            <v>2</v>
          </cell>
          <cell r="D435" t="str">
            <v>А</v>
          </cell>
        </row>
        <row r="436">
          <cell r="B436" t="str">
            <v>КРЮКОВА наб.канала</v>
          </cell>
          <cell r="C436">
            <v>15</v>
          </cell>
          <cell r="D436" t="str">
            <v>А</v>
          </cell>
        </row>
        <row r="437">
          <cell r="B437" t="str">
            <v>КРЮКОВА наб.канала</v>
          </cell>
          <cell r="C437">
            <v>17</v>
          </cell>
          <cell r="D437" t="str">
            <v>А</v>
          </cell>
        </row>
        <row r="438">
          <cell r="B438" t="str">
            <v>КРЮКОВА наб.канала</v>
          </cell>
          <cell r="C438">
            <v>19</v>
          </cell>
          <cell r="D438" t="str">
            <v>А</v>
          </cell>
        </row>
        <row r="439">
          <cell r="B439" t="str">
            <v>КРЮКОВА наб.канала</v>
          </cell>
          <cell r="C439">
            <v>23</v>
          </cell>
          <cell r="D439" t="str">
            <v>А</v>
          </cell>
        </row>
        <row r="440">
          <cell r="B440" t="str">
            <v>КРЮКОВА наб.канала</v>
          </cell>
          <cell r="C440">
            <v>23</v>
          </cell>
          <cell r="D440" t="str">
            <v>Н</v>
          </cell>
        </row>
        <row r="441">
          <cell r="B441" t="str">
            <v>КРЮКОВА наб.канала</v>
          </cell>
          <cell r="C441">
            <v>31</v>
          </cell>
          <cell r="D441" t="str">
            <v>А</v>
          </cell>
        </row>
        <row r="442">
          <cell r="B442" t="str">
            <v>КРЮКОВА наб.канала</v>
          </cell>
          <cell r="D442" t="str">
            <v>А</v>
          </cell>
        </row>
        <row r="443">
          <cell r="B443" t="str">
            <v>КРЮКОВА наб.канала</v>
          </cell>
          <cell r="C443">
            <v>9</v>
          </cell>
          <cell r="D443" t="str">
            <v>А</v>
          </cell>
        </row>
        <row r="444">
          <cell r="B444" t="str">
            <v>КУРЛЯНДСКАЯ ул.</v>
          </cell>
          <cell r="C444">
            <v>4</v>
          </cell>
          <cell r="D444" t="str">
            <v>Б</v>
          </cell>
        </row>
        <row r="445">
          <cell r="B445" t="str">
            <v>КУРЛЯНДСКАЯ ул.</v>
          </cell>
          <cell r="C445">
            <v>8</v>
          </cell>
          <cell r="D445" t="str">
            <v>А</v>
          </cell>
        </row>
        <row r="446">
          <cell r="B446" t="str">
            <v>КУРЛЯНДСКАЯ ул.</v>
          </cell>
          <cell r="C446">
            <v>8</v>
          </cell>
          <cell r="D446" t="str">
            <v>М</v>
          </cell>
        </row>
        <row r="447">
          <cell r="B447" t="str">
            <v>ЛАБУТИНА ул.</v>
          </cell>
          <cell r="C447">
            <v>10</v>
          </cell>
          <cell r="D447" t="str">
            <v>А</v>
          </cell>
        </row>
        <row r="448">
          <cell r="B448" t="str">
            <v>ЛАБУТИНА ул.</v>
          </cell>
          <cell r="C448">
            <v>10</v>
          </cell>
          <cell r="D448" t="str">
            <v>Б</v>
          </cell>
        </row>
        <row r="449">
          <cell r="B449" t="str">
            <v>ЛАБУТИНА ул.</v>
          </cell>
          <cell r="C449">
            <v>12</v>
          </cell>
          <cell r="D449" t="str">
            <v>А</v>
          </cell>
        </row>
        <row r="450">
          <cell r="B450" t="str">
            <v>ЛАБУТИНА ул.</v>
          </cell>
          <cell r="C450">
            <v>13</v>
          </cell>
          <cell r="D450" t="str">
            <v>А</v>
          </cell>
        </row>
        <row r="451">
          <cell r="B451" t="str">
            <v>ЛАБУТИНА ул.</v>
          </cell>
          <cell r="C451">
            <v>13</v>
          </cell>
          <cell r="D451" t="str">
            <v>Б</v>
          </cell>
        </row>
        <row r="452">
          <cell r="B452" t="str">
            <v>ЛАБУТИНА ул.</v>
          </cell>
          <cell r="C452">
            <v>15</v>
          </cell>
          <cell r="D452" t="str">
            <v>А</v>
          </cell>
        </row>
        <row r="453">
          <cell r="B453" t="str">
            <v>ЛАБУТИНА ул.</v>
          </cell>
          <cell r="C453">
            <v>15</v>
          </cell>
          <cell r="D453" t="str">
            <v>Б</v>
          </cell>
        </row>
        <row r="454">
          <cell r="B454" t="str">
            <v>ЛАБУТИНА ул.</v>
          </cell>
          <cell r="C454">
            <v>16</v>
          </cell>
          <cell r="D454" t="str">
            <v>А</v>
          </cell>
        </row>
        <row r="455">
          <cell r="B455" t="str">
            <v>ЛАБУТИНА ул.</v>
          </cell>
          <cell r="C455">
            <v>16</v>
          </cell>
          <cell r="D455" t="str">
            <v>Б</v>
          </cell>
        </row>
        <row r="456">
          <cell r="B456" t="str">
            <v>ЛАБУТИНА ул.</v>
          </cell>
          <cell r="C456">
            <v>17</v>
          </cell>
          <cell r="D456" t="str">
            <v>А</v>
          </cell>
        </row>
        <row r="457">
          <cell r="B457" t="str">
            <v>ЛАБУТИНА ул.</v>
          </cell>
          <cell r="C457" t="str">
            <v>20-22</v>
          </cell>
          <cell r="D457" t="str">
            <v>А</v>
          </cell>
        </row>
        <row r="458">
          <cell r="B458" t="str">
            <v>ЛАБУТИНА ул.</v>
          </cell>
          <cell r="C458" t="str">
            <v>20-22</v>
          </cell>
          <cell r="D458" t="str">
            <v>Б</v>
          </cell>
        </row>
        <row r="459">
          <cell r="B459" t="str">
            <v>ЛАБУТИНА ул.</v>
          </cell>
          <cell r="C459">
            <v>3</v>
          </cell>
          <cell r="D459" t="str">
            <v>Г</v>
          </cell>
        </row>
        <row r="460">
          <cell r="B460" t="str">
            <v>ЛАБУТИНА ул.</v>
          </cell>
          <cell r="C460">
            <v>30</v>
          </cell>
          <cell r="D460" t="str">
            <v>А</v>
          </cell>
        </row>
        <row r="461">
          <cell r="B461" t="str">
            <v>ЛАБУТИНА ул.</v>
          </cell>
          <cell r="C461">
            <v>30</v>
          </cell>
          <cell r="D461" t="str">
            <v>Б</v>
          </cell>
        </row>
        <row r="462">
          <cell r="B462" t="str">
            <v>ЛАБУТИНА ул.</v>
          </cell>
          <cell r="C462">
            <v>36</v>
          </cell>
          <cell r="D462" t="str">
            <v>А</v>
          </cell>
        </row>
        <row r="463">
          <cell r="B463" t="str">
            <v>ЛАБУТИНА ул.</v>
          </cell>
          <cell r="C463">
            <v>36</v>
          </cell>
          <cell r="D463" t="str">
            <v>Б</v>
          </cell>
        </row>
        <row r="464">
          <cell r="B464" t="str">
            <v>ЛАБУТИНА ул.</v>
          </cell>
          <cell r="D464" t="str">
            <v>А</v>
          </cell>
        </row>
        <row r="465">
          <cell r="B465" t="str">
            <v>ЛАБУТИНА ул.</v>
          </cell>
          <cell r="C465">
            <v>7</v>
          </cell>
          <cell r="D465" t="str">
            <v>А</v>
          </cell>
        </row>
        <row r="466">
          <cell r="B466" t="str">
            <v>ЛАБУТИНА ул.</v>
          </cell>
          <cell r="C466">
            <v>8</v>
          </cell>
          <cell r="D466" t="str">
            <v>А</v>
          </cell>
        </row>
        <row r="467">
          <cell r="B467" t="str">
            <v>ЛЕРМОНТОВСКИЙ пр.</v>
          </cell>
          <cell r="D467" t="str">
            <v>А</v>
          </cell>
        </row>
        <row r="468">
          <cell r="B468" t="str">
            <v>ЛЕРМОНТОВСКИЙ пр.</v>
          </cell>
          <cell r="C468">
            <v>12</v>
          </cell>
          <cell r="D468" t="str">
            <v>А</v>
          </cell>
        </row>
        <row r="469">
          <cell r="B469" t="str">
            <v>ЛЕРМОНТОВСКИЙ пр.</v>
          </cell>
          <cell r="C469">
            <v>14</v>
          </cell>
          <cell r="D469" t="str">
            <v>А</v>
          </cell>
        </row>
        <row r="470">
          <cell r="B470" t="str">
            <v>ЛЕРМОНТОВСКИЙ пр.</v>
          </cell>
          <cell r="C470">
            <v>15</v>
          </cell>
          <cell r="D470" t="str">
            <v>А</v>
          </cell>
        </row>
        <row r="471">
          <cell r="B471" t="str">
            <v>ЛЕРМОНТОВСКИЙ пр.</v>
          </cell>
          <cell r="C471">
            <v>17</v>
          </cell>
          <cell r="D471" t="str">
            <v>А</v>
          </cell>
        </row>
        <row r="472">
          <cell r="B472" t="str">
            <v>ЛЕРМОНТОВСКИЙ пр.</v>
          </cell>
          <cell r="C472">
            <v>18</v>
          </cell>
          <cell r="D472" t="str">
            <v>А</v>
          </cell>
        </row>
        <row r="473">
          <cell r="B473" t="str">
            <v>ЛЕРМОНТОВСКИЙ пр.</v>
          </cell>
          <cell r="C473">
            <v>20</v>
          </cell>
          <cell r="D473" t="str">
            <v>А</v>
          </cell>
        </row>
        <row r="474">
          <cell r="B474" t="str">
            <v>ЛЕРМОНТОВСКИЙ пр.</v>
          </cell>
          <cell r="C474">
            <v>22</v>
          </cell>
          <cell r="D474" t="str">
            <v>А</v>
          </cell>
        </row>
        <row r="475">
          <cell r="B475" t="str">
            <v>ЛЕРМОНТОВСКИЙ пр.</v>
          </cell>
          <cell r="C475">
            <v>23</v>
          </cell>
          <cell r="D475" t="str">
            <v>А</v>
          </cell>
        </row>
        <row r="476">
          <cell r="B476" t="str">
            <v>ЛЕРМОНТОВСКИЙ пр.</v>
          </cell>
          <cell r="C476">
            <v>23</v>
          </cell>
          <cell r="D476" t="str">
            <v>Б</v>
          </cell>
        </row>
        <row r="477">
          <cell r="B477" t="str">
            <v>ЛЕРМОНТОВСКИЙ пр.</v>
          </cell>
          <cell r="C477">
            <v>24</v>
          </cell>
          <cell r="D477" t="str">
            <v>А</v>
          </cell>
        </row>
        <row r="478">
          <cell r="B478" t="str">
            <v>ЛЕРМОНТОВСКИЙ пр.</v>
          </cell>
          <cell r="C478">
            <v>26</v>
          </cell>
          <cell r="D478" t="str">
            <v>А</v>
          </cell>
        </row>
        <row r="479">
          <cell r="B479" t="str">
            <v>ЛЕРМОНТОВСКИЙ пр.</v>
          </cell>
          <cell r="C479">
            <v>27</v>
          </cell>
          <cell r="D479" t="str">
            <v>А</v>
          </cell>
        </row>
        <row r="480">
          <cell r="B480" t="str">
            <v>ЛЕРМОНТОВСКИЙ пр.</v>
          </cell>
          <cell r="C480">
            <v>28</v>
          </cell>
          <cell r="D480" t="str">
            <v>А</v>
          </cell>
        </row>
        <row r="481">
          <cell r="B481" t="str">
            <v>ЛЕРМОНТОВСКИЙ пр.</v>
          </cell>
          <cell r="C481">
            <v>29</v>
          </cell>
          <cell r="D481" t="str">
            <v>А</v>
          </cell>
        </row>
        <row r="482">
          <cell r="B482" t="str">
            <v>ЛЕРМОНТОВСКИЙ пр.</v>
          </cell>
          <cell r="C482">
            <v>3</v>
          </cell>
          <cell r="D482" t="str">
            <v>А</v>
          </cell>
        </row>
        <row r="483">
          <cell r="B483" t="str">
            <v>ЛЕРМОНТОВСКИЙ пр.</v>
          </cell>
          <cell r="C483">
            <v>3</v>
          </cell>
          <cell r="D483" t="str">
            <v>Б</v>
          </cell>
        </row>
        <row r="484">
          <cell r="B484" t="str">
            <v>ЛЕРМОНТОВСКИЙ пр.</v>
          </cell>
          <cell r="C484">
            <v>3</v>
          </cell>
          <cell r="D484" t="str">
            <v>В</v>
          </cell>
        </row>
        <row r="485">
          <cell r="B485" t="str">
            <v>ЛЕРМОНТОВСКИЙ пр.</v>
          </cell>
          <cell r="C485">
            <v>30</v>
          </cell>
          <cell r="D485" t="str">
            <v>А</v>
          </cell>
        </row>
        <row r="486">
          <cell r="B486" t="str">
            <v>ЛЕРМОНТОВСКИЙ пр.</v>
          </cell>
          <cell r="C486">
            <v>31</v>
          </cell>
          <cell r="D486" t="str">
            <v>А</v>
          </cell>
        </row>
        <row r="487">
          <cell r="B487" t="str">
            <v>ЛЕРМОНТОВСКИЙ пр.</v>
          </cell>
          <cell r="C487">
            <v>33</v>
          </cell>
          <cell r="D487" t="str">
            <v>А</v>
          </cell>
        </row>
        <row r="488">
          <cell r="B488" t="str">
            <v>ЛЕРМОНТОВСКИЙ пр.</v>
          </cell>
          <cell r="C488">
            <v>35</v>
          </cell>
          <cell r="D488" t="str">
            <v>А</v>
          </cell>
        </row>
        <row r="489">
          <cell r="B489" t="str">
            <v>ЛЕРМОНТОВСКИЙ пр.</v>
          </cell>
          <cell r="C489">
            <v>37</v>
          </cell>
          <cell r="D489" t="str">
            <v>А</v>
          </cell>
        </row>
        <row r="490">
          <cell r="B490" t="str">
            <v>ЛЕРМОНТОВСКИЙ пр.</v>
          </cell>
          <cell r="C490">
            <v>4</v>
          </cell>
          <cell r="D490" t="str">
            <v>А</v>
          </cell>
        </row>
        <row r="491">
          <cell r="B491" t="str">
            <v>ЛЕРМОНТОВСКИЙ пр.</v>
          </cell>
          <cell r="C491" t="str">
            <v>40-42</v>
          </cell>
          <cell r="D491" t="str">
            <v>А</v>
          </cell>
        </row>
        <row r="492">
          <cell r="B492" t="str">
            <v>ЛЕРМОНТОВСКИЙ пр.</v>
          </cell>
          <cell r="C492" t="str">
            <v>40-42</v>
          </cell>
          <cell r="D492" t="str">
            <v>Б</v>
          </cell>
        </row>
        <row r="493">
          <cell r="B493" t="str">
            <v>ЛЕРМОНТОВСКИЙ пр.</v>
          </cell>
          <cell r="C493" t="str">
            <v>40-42</v>
          </cell>
          <cell r="D493" t="str">
            <v>В</v>
          </cell>
        </row>
        <row r="494">
          <cell r="B494" t="str">
            <v>ЛЕРМОНТОВСКИЙ пр.</v>
          </cell>
          <cell r="C494" t="str">
            <v>40-42</v>
          </cell>
          <cell r="D494" t="str">
            <v>Е</v>
          </cell>
        </row>
        <row r="495">
          <cell r="B495" t="str">
            <v>ЛЕРМОНТОВСКИЙ пр.</v>
          </cell>
          <cell r="C495">
            <v>48</v>
          </cell>
          <cell r="D495" t="str">
            <v>А</v>
          </cell>
        </row>
        <row r="496">
          <cell r="B496" t="str">
            <v>ЛЕРМОНТОВСКИЙ пр.</v>
          </cell>
          <cell r="C496">
            <v>49</v>
          </cell>
          <cell r="D496" t="str">
            <v>А</v>
          </cell>
        </row>
        <row r="497">
          <cell r="B497" t="str">
            <v>ЛЕРМОНТОВСКИЙ пр.</v>
          </cell>
          <cell r="D497" t="str">
            <v>А</v>
          </cell>
        </row>
        <row r="498">
          <cell r="B498" t="str">
            <v>ЛЕРМОНТОВСКИЙ пр.</v>
          </cell>
          <cell r="C498">
            <v>50</v>
          </cell>
          <cell r="D498" t="str">
            <v>А</v>
          </cell>
        </row>
        <row r="499">
          <cell r="B499" t="str">
            <v>ЛЕРМОНТОВСКИЙ пр.</v>
          </cell>
          <cell r="C499">
            <v>55</v>
          </cell>
          <cell r="D499" t="str">
            <v>А</v>
          </cell>
        </row>
        <row r="500">
          <cell r="B500" t="str">
            <v>ЛЕРМОНТОВСКИЙ пр.</v>
          </cell>
          <cell r="D500" t="str">
            <v>А</v>
          </cell>
        </row>
        <row r="501">
          <cell r="B501" t="str">
            <v>ЛЕРМОНТОВСКИЙ пр.</v>
          </cell>
          <cell r="C501">
            <v>8</v>
          </cell>
          <cell r="D501" t="str">
            <v>А</v>
          </cell>
        </row>
        <row r="502">
          <cell r="B502" t="str">
            <v>ЛЕРМОНТОВСКИЙ пр.</v>
          </cell>
          <cell r="C502" t="str">
            <v>8/10а</v>
          </cell>
          <cell r="D502" t="str">
            <v>А</v>
          </cell>
        </row>
        <row r="503">
          <cell r="B503" t="str">
            <v>ЛЕРМОНТОВСКИЙ пр.</v>
          </cell>
          <cell r="D503" t="str">
            <v>А</v>
          </cell>
        </row>
        <row r="504">
          <cell r="B504" t="str">
            <v>ЛОДЫГИНА пер.</v>
          </cell>
          <cell r="D504" t="str">
            <v>А</v>
          </cell>
        </row>
        <row r="505">
          <cell r="B505" t="str">
            <v>ЛЮБЛИНСКИЙ пер.</v>
          </cell>
          <cell r="D505" t="str">
            <v>А</v>
          </cell>
        </row>
        <row r="506">
          <cell r="B506" t="str">
            <v>ЛЮБЛИНСКИЙ пер.</v>
          </cell>
          <cell r="D506" t="str">
            <v>А</v>
          </cell>
        </row>
        <row r="507">
          <cell r="B507" t="str">
            <v>ЛЮБЛИНСКИЙ пер.</v>
          </cell>
          <cell r="C507">
            <v>3</v>
          </cell>
          <cell r="D507" t="str">
            <v>А</v>
          </cell>
        </row>
        <row r="508">
          <cell r="B508" t="str">
            <v>ЛЮБЛИНСКИЙ пер.</v>
          </cell>
          <cell r="C508">
            <v>3</v>
          </cell>
          <cell r="D508" t="str">
            <v>Б</v>
          </cell>
        </row>
        <row r="509">
          <cell r="B509" t="str">
            <v>ЛЮБЛИНСКИЙ пер.</v>
          </cell>
          <cell r="C509">
            <v>4</v>
          </cell>
          <cell r="D509" t="str">
            <v>А</v>
          </cell>
        </row>
        <row r="510">
          <cell r="B510" t="str">
            <v>ЛЮБЛИНСКИЙ пер.</v>
          </cell>
          <cell r="C510">
            <v>7</v>
          </cell>
          <cell r="D510" t="str">
            <v>А</v>
          </cell>
        </row>
        <row r="511">
          <cell r="B511" t="str">
            <v>ЛЮБЛИНСКИЙ пер.</v>
          </cell>
          <cell r="C511">
            <v>7</v>
          </cell>
          <cell r="D511" t="str">
            <v>Б</v>
          </cell>
        </row>
        <row r="512">
          <cell r="B512" t="str">
            <v>М.МОРСКАЯ ул.</v>
          </cell>
          <cell r="C512">
            <v>19</v>
          </cell>
          <cell r="D512" t="str">
            <v>А</v>
          </cell>
        </row>
        <row r="513">
          <cell r="B513" t="str">
            <v>МАКАРЕНКО пер.</v>
          </cell>
          <cell r="C513">
            <v>10</v>
          </cell>
          <cell r="D513" t="str">
            <v>А</v>
          </cell>
        </row>
        <row r="514">
          <cell r="B514" t="str">
            <v>МАКАРЕНКО пер.</v>
          </cell>
          <cell r="C514">
            <v>11</v>
          </cell>
          <cell r="D514" t="str">
            <v>А</v>
          </cell>
        </row>
        <row r="515">
          <cell r="B515" t="str">
            <v>МАКАРЕНКО пер.</v>
          </cell>
          <cell r="C515">
            <v>13</v>
          </cell>
          <cell r="D515" t="str">
            <v>А</v>
          </cell>
        </row>
        <row r="516">
          <cell r="B516" t="str">
            <v>МАКАРЕНКО пер.</v>
          </cell>
          <cell r="C516" t="str">
            <v>15/147</v>
          </cell>
          <cell r="D516" t="str">
            <v>А</v>
          </cell>
        </row>
        <row r="517">
          <cell r="B517" t="str">
            <v>МАКАРЕНКО пер.</v>
          </cell>
          <cell r="C517">
            <v>3</v>
          </cell>
          <cell r="D517" t="str">
            <v>А</v>
          </cell>
        </row>
        <row r="518">
          <cell r="B518" t="str">
            <v>МАКАРЕНКО пер.</v>
          </cell>
          <cell r="C518">
            <v>5</v>
          </cell>
          <cell r="D518" t="str">
            <v>А</v>
          </cell>
        </row>
        <row r="519">
          <cell r="B519" t="str">
            <v>МАКАРЕНКО пер.</v>
          </cell>
          <cell r="D519" t="str">
            <v>А</v>
          </cell>
        </row>
        <row r="520">
          <cell r="B520" t="str">
            <v>МАКАРЕНКО пер.</v>
          </cell>
          <cell r="C520">
            <v>7</v>
          </cell>
          <cell r="D520" t="str">
            <v>А</v>
          </cell>
        </row>
        <row r="521">
          <cell r="B521" t="str">
            <v>МАКАРЕНКО пер.</v>
          </cell>
          <cell r="C521">
            <v>9</v>
          </cell>
          <cell r="D521" t="str">
            <v>А</v>
          </cell>
        </row>
        <row r="522">
          <cell r="B522" t="str">
            <v>МАСТЕРСКАЯ ул.</v>
          </cell>
          <cell r="C522">
            <v>3</v>
          </cell>
          <cell r="D522" t="str">
            <v>А</v>
          </cell>
        </row>
        <row r="523">
          <cell r="B523" t="str">
            <v>МАСТЕРСКАЯ ул.</v>
          </cell>
          <cell r="C523">
            <v>5</v>
          </cell>
          <cell r="D523" t="str">
            <v>А</v>
          </cell>
        </row>
        <row r="524">
          <cell r="B524" t="str">
            <v>МОЙКИ наб.реки</v>
          </cell>
          <cell r="C524">
            <v>104</v>
          </cell>
          <cell r="D524" t="str">
            <v>А</v>
          </cell>
        </row>
        <row r="525">
          <cell r="B525" t="str">
            <v>МОЙКИ наб.реки</v>
          </cell>
          <cell r="C525">
            <v>110</v>
          </cell>
          <cell r="D525" t="str">
            <v>А</v>
          </cell>
        </row>
        <row r="526">
          <cell r="B526" t="str">
            <v>МОЙКИ наб.реки</v>
          </cell>
          <cell r="C526">
            <v>112</v>
          </cell>
          <cell r="D526" t="str">
            <v>а</v>
          </cell>
        </row>
        <row r="527">
          <cell r="B527" t="str">
            <v>МОЙКИ наб.реки</v>
          </cell>
          <cell r="C527">
            <v>112</v>
          </cell>
          <cell r="D527" t="str">
            <v>А</v>
          </cell>
        </row>
        <row r="528">
          <cell r="B528" t="str">
            <v>МОСКОВСКИЙ пр.</v>
          </cell>
          <cell r="C528" t="str">
            <v>37/1</v>
          </cell>
          <cell r="D528" t="str">
            <v>А</v>
          </cell>
        </row>
        <row r="529">
          <cell r="B529" t="str">
            <v>МОСКОВСКИЙ пр.</v>
          </cell>
          <cell r="C529">
            <v>45</v>
          </cell>
          <cell r="D529" t="str">
            <v>А</v>
          </cell>
        </row>
        <row r="530">
          <cell r="B530" t="str">
            <v>МОСКОВСКИЙ пр.</v>
          </cell>
          <cell r="C530">
            <v>45</v>
          </cell>
          <cell r="D530" t="str">
            <v>Б</v>
          </cell>
        </row>
        <row r="531">
          <cell r="B531" t="str">
            <v>МОСКОВСКИЙ пр.</v>
          </cell>
          <cell r="C531">
            <v>45</v>
          </cell>
          <cell r="D531" t="str">
            <v>В</v>
          </cell>
        </row>
        <row r="532">
          <cell r="B532" t="str">
            <v>МОСКОВСКИЙ пр.</v>
          </cell>
          <cell r="C532">
            <v>47</v>
          </cell>
          <cell r="D532" t="str">
            <v>А</v>
          </cell>
        </row>
        <row r="533">
          <cell r="B533" t="str">
            <v>МОСКОВСКИЙ пр.</v>
          </cell>
          <cell r="C533">
            <v>49</v>
          </cell>
          <cell r="D533" t="str">
            <v>А</v>
          </cell>
        </row>
        <row r="534">
          <cell r="B534" t="str">
            <v>МОСКОВСКИЙ пр.</v>
          </cell>
          <cell r="C534">
            <v>49</v>
          </cell>
          <cell r="D534" t="str">
            <v>Е</v>
          </cell>
        </row>
        <row r="535">
          <cell r="B535" t="str">
            <v>МОСКОВСКИЙ пр.</v>
          </cell>
          <cell r="C535">
            <v>49</v>
          </cell>
          <cell r="D535" t="str">
            <v>Л</v>
          </cell>
        </row>
        <row r="536">
          <cell r="B536" t="str">
            <v>МОСКОВСКИЙ пр.</v>
          </cell>
          <cell r="C536">
            <v>51</v>
          </cell>
          <cell r="D536" t="str">
            <v>А</v>
          </cell>
        </row>
        <row r="537">
          <cell r="B537" t="str">
            <v>МОСКОВСКИЙ пр.</v>
          </cell>
          <cell r="C537">
            <v>53</v>
          </cell>
          <cell r="D537" t="str">
            <v>А</v>
          </cell>
        </row>
        <row r="538">
          <cell r="B538" t="str">
            <v>МОСКОВСКИЙ пр.</v>
          </cell>
          <cell r="C538">
            <v>57</v>
          </cell>
          <cell r="D538" t="str">
            <v>А</v>
          </cell>
        </row>
        <row r="539">
          <cell r="B539" t="str">
            <v>МОСКОВСКИЙ пр.</v>
          </cell>
          <cell r="C539">
            <v>57</v>
          </cell>
          <cell r="D539" t="str">
            <v>И</v>
          </cell>
        </row>
        <row r="540">
          <cell r="B540" t="str">
            <v>МОСКОВСКИЙ пр.</v>
          </cell>
          <cell r="C540">
            <v>59</v>
          </cell>
          <cell r="D540" t="str">
            <v>А</v>
          </cell>
        </row>
        <row r="541">
          <cell r="B541" t="str">
            <v>МОСКОВСКИЙ пр.</v>
          </cell>
          <cell r="C541">
            <v>61</v>
          </cell>
          <cell r="D541" t="str">
            <v>А</v>
          </cell>
        </row>
        <row r="542">
          <cell r="B542" t="str">
            <v>МОСКОВСКИЙ пр.</v>
          </cell>
          <cell r="C542">
            <v>63</v>
          </cell>
          <cell r="D542" t="str">
            <v>А</v>
          </cell>
        </row>
        <row r="543">
          <cell r="B543" t="str">
            <v>МОСКОВСКИЙ пр.</v>
          </cell>
          <cell r="C543">
            <v>75</v>
          </cell>
          <cell r="D543" t="str">
            <v>А</v>
          </cell>
        </row>
        <row r="544">
          <cell r="B544" t="str">
            <v>МОСКОВСКИЙ пр.</v>
          </cell>
          <cell r="C544">
            <v>79</v>
          </cell>
          <cell r="D544" t="str">
            <v>А</v>
          </cell>
        </row>
        <row r="545">
          <cell r="B545" t="str">
            <v>МОСКОВСКИЙ пр.</v>
          </cell>
          <cell r="C545">
            <v>79</v>
          </cell>
          <cell r="D545" t="str">
            <v>Б</v>
          </cell>
        </row>
        <row r="546">
          <cell r="B546" t="str">
            <v>МЯСНАЯ ул.</v>
          </cell>
          <cell r="C546">
            <v>10</v>
          </cell>
          <cell r="D546" t="str">
            <v>А</v>
          </cell>
        </row>
        <row r="547">
          <cell r="B547" t="str">
            <v>МЯСНАЯ ул.</v>
          </cell>
          <cell r="C547">
            <v>18</v>
          </cell>
          <cell r="D547" t="str">
            <v>А</v>
          </cell>
        </row>
        <row r="548">
          <cell r="B548" t="str">
            <v>МЯСНАЯ ул.</v>
          </cell>
          <cell r="C548">
            <v>20</v>
          </cell>
          <cell r="D548" t="str">
            <v>А</v>
          </cell>
        </row>
        <row r="549">
          <cell r="B549" t="str">
            <v>МЯСНАЯ ул.</v>
          </cell>
          <cell r="C549">
            <v>3</v>
          </cell>
          <cell r="D549" t="str">
            <v>А</v>
          </cell>
        </row>
        <row r="550">
          <cell r="B550" t="str">
            <v>МЯСНАЯ ул.</v>
          </cell>
          <cell r="C550">
            <v>3</v>
          </cell>
          <cell r="D550" t="str">
            <v>В</v>
          </cell>
        </row>
        <row r="551">
          <cell r="B551" t="str">
            <v>ОБВОДНОГО канала наб.</v>
          </cell>
          <cell r="C551">
            <v>114</v>
          </cell>
        </row>
        <row r="552">
          <cell r="B552" t="str">
            <v>ОБВОДНОГО канала наб.</v>
          </cell>
          <cell r="C552">
            <v>116</v>
          </cell>
        </row>
        <row r="553">
          <cell r="B553" t="str">
            <v>ОБВОДНОГО канала наб.</v>
          </cell>
          <cell r="C553" t="str">
            <v>118б</v>
          </cell>
          <cell r="D553" t="str">
            <v>А</v>
          </cell>
        </row>
        <row r="554">
          <cell r="B554" t="str">
            <v>ОБВОДНОГО канала наб.</v>
          </cell>
          <cell r="C554">
            <v>135</v>
          </cell>
          <cell r="D554" t="str">
            <v>А</v>
          </cell>
        </row>
        <row r="555">
          <cell r="B555" t="str">
            <v>ОБВОДНОГО канала наб.</v>
          </cell>
          <cell r="C555">
            <v>141</v>
          </cell>
          <cell r="D555" t="str">
            <v>А</v>
          </cell>
        </row>
        <row r="556">
          <cell r="B556" t="str">
            <v>ОБВОДНОГО канала наб.</v>
          </cell>
          <cell r="C556">
            <v>141</v>
          </cell>
          <cell r="D556" t="str">
            <v>Б</v>
          </cell>
        </row>
        <row r="557">
          <cell r="B557" t="str">
            <v>ОБВОДНОГО канала наб.</v>
          </cell>
          <cell r="C557">
            <v>145</v>
          </cell>
          <cell r="D557" t="str">
            <v>А</v>
          </cell>
        </row>
        <row r="558">
          <cell r="B558" t="str">
            <v>ОБВОДНОГО канала наб.</v>
          </cell>
          <cell r="C558">
            <v>145</v>
          </cell>
          <cell r="D558" t="str">
            <v>Г</v>
          </cell>
        </row>
        <row r="559">
          <cell r="B559" t="str">
            <v>ОБВОДНОГО канала наб.</v>
          </cell>
          <cell r="C559" t="str">
            <v>147-149</v>
          </cell>
          <cell r="D559" t="str">
            <v>Z</v>
          </cell>
        </row>
        <row r="560">
          <cell r="B560" t="str">
            <v>ОБВОДНОГО канала наб.</v>
          </cell>
          <cell r="C560" t="str">
            <v>147-149</v>
          </cell>
          <cell r="D560" t="str">
            <v>А</v>
          </cell>
        </row>
        <row r="561">
          <cell r="B561" t="str">
            <v>ОБВОДНОГО канала наб.</v>
          </cell>
          <cell r="C561" t="str">
            <v>147-149</v>
          </cell>
          <cell r="D561" t="str">
            <v>Б</v>
          </cell>
        </row>
        <row r="562">
          <cell r="B562" t="str">
            <v>ОБВОДНОГО канала наб.</v>
          </cell>
          <cell r="C562" t="str">
            <v>147-149</v>
          </cell>
          <cell r="D562" t="str">
            <v>К</v>
          </cell>
        </row>
        <row r="563">
          <cell r="B563" t="str">
            <v>ОБВОДНОГО канала наб.</v>
          </cell>
          <cell r="C563" t="str">
            <v>147-149</v>
          </cell>
          <cell r="D563" t="str">
            <v>Н</v>
          </cell>
        </row>
        <row r="564">
          <cell r="B564" t="str">
            <v>ОБВОДНОГО канала наб.</v>
          </cell>
          <cell r="C564" t="str">
            <v>151-153</v>
          </cell>
          <cell r="D564" t="str">
            <v>А</v>
          </cell>
        </row>
        <row r="565">
          <cell r="B565" t="str">
            <v>ОБВОДНОГО канала наб.</v>
          </cell>
          <cell r="C565">
            <v>155</v>
          </cell>
          <cell r="D565" t="str">
            <v>А</v>
          </cell>
        </row>
        <row r="566">
          <cell r="B566" t="str">
            <v>ОБВОДНОГО канала наб.</v>
          </cell>
          <cell r="C566">
            <v>155</v>
          </cell>
          <cell r="D566" t="str">
            <v>Б</v>
          </cell>
        </row>
        <row r="567">
          <cell r="B567" t="str">
            <v>ОБВОДНОГО канала наб.</v>
          </cell>
          <cell r="C567" t="str">
            <v>157-159</v>
          </cell>
          <cell r="D567" t="str">
            <v>А</v>
          </cell>
        </row>
        <row r="568">
          <cell r="B568" t="str">
            <v>ОБВОДНОГО канала наб.</v>
          </cell>
          <cell r="C568" t="str">
            <v>157-159</v>
          </cell>
          <cell r="D568" t="str">
            <v>Г</v>
          </cell>
        </row>
        <row r="569">
          <cell r="B569" t="str">
            <v>ОБВОДНОГО канала наб.</v>
          </cell>
          <cell r="C569" t="str">
            <v>157-159</v>
          </cell>
          <cell r="D569" t="str">
            <v>Е</v>
          </cell>
        </row>
        <row r="570">
          <cell r="B570" t="str">
            <v>ОБВОДНОГО канала наб.</v>
          </cell>
          <cell r="C570" t="str">
            <v>157-159</v>
          </cell>
          <cell r="D570" t="str">
            <v>О</v>
          </cell>
        </row>
        <row r="571">
          <cell r="B571" t="str">
            <v>ОБВОДНОГО канала наб.</v>
          </cell>
          <cell r="C571">
            <v>165</v>
          </cell>
          <cell r="D571" t="str">
            <v>Б</v>
          </cell>
        </row>
        <row r="572">
          <cell r="B572" t="str">
            <v>ОБВОДНОГО канала наб.</v>
          </cell>
          <cell r="C572">
            <v>183</v>
          </cell>
          <cell r="D572" t="str">
            <v>А</v>
          </cell>
        </row>
        <row r="573">
          <cell r="B573" t="str">
            <v>ПАСТОРОВА ул.</v>
          </cell>
          <cell r="C573">
            <v>3</v>
          </cell>
          <cell r="D573" t="str">
            <v>А</v>
          </cell>
        </row>
        <row r="574">
          <cell r="B574" t="str">
            <v>ПАСТОРОВА ул.</v>
          </cell>
          <cell r="C574">
            <v>4</v>
          </cell>
          <cell r="D574" t="str">
            <v>А</v>
          </cell>
        </row>
        <row r="575">
          <cell r="B575" t="str">
            <v>ПАСТОРОВА ул.</v>
          </cell>
          <cell r="C575">
            <v>5</v>
          </cell>
          <cell r="D575" t="str">
            <v>А</v>
          </cell>
        </row>
        <row r="576">
          <cell r="B576" t="str">
            <v>ПАСТОРОВА ул.</v>
          </cell>
          <cell r="C576">
            <v>6</v>
          </cell>
          <cell r="D576" t="str">
            <v>А</v>
          </cell>
        </row>
        <row r="577">
          <cell r="B577" t="str">
            <v>ПАСТОРОВА ул.</v>
          </cell>
          <cell r="C577">
            <v>7</v>
          </cell>
          <cell r="D577" t="str">
            <v>А</v>
          </cell>
        </row>
        <row r="578">
          <cell r="B578" t="str">
            <v>ПИСАРЕВА ул.</v>
          </cell>
          <cell r="C578" t="str">
            <v>1/118</v>
          </cell>
          <cell r="D578" t="str">
            <v>А</v>
          </cell>
        </row>
        <row r="579">
          <cell r="B579" t="str">
            <v>ПИСАРЕВА ул.</v>
          </cell>
          <cell r="C579">
            <v>10</v>
          </cell>
          <cell r="D579" t="str">
            <v>В</v>
          </cell>
        </row>
        <row r="580">
          <cell r="B580" t="str">
            <v>ПИСАРЕВА ул.</v>
          </cell>
          <cell r="C580">
            <v>14</v>
          </cell>
          <cell r="D580" t="str">
            <v>А</v>
          </cell>
        </row>
        <row r="581">
          <cell r="B581" t="str">
            <v>ПИСАРЕВА ул.</v>
          </cell>
          <cell r="C581">
            <v>5</v>
          </cell>
          <cell r="D581" t="str">
            <v>А</v>
          </cell>
        </row>
        <row r="582">
          <cell r="B582" t="str">
            <v>ПИСАРЕВА ул.</v>
          </cell>
          <cell r="C582">
            <v>5</v>
          </cell>
          <cell r="D582" t="str">
            <v>Б</v>
          </cell>
        </row>
        <row r="583">
          <cell r="B583" t="str">
            <v>ПИСАРЕВА ул.</v>
          </cell>
          <cell r="D583" t="str">
            <v>А</v>
          </cell>
        </row>
        <row r="584">
          <cell r="B584" t="str">
            <v>ПИСАРЕВА ул.</v>
          </cell>
          <cell r="D584" t="str">
            <v>В</v>
          </cell>
        </row>
        <row r="585">
          <cell r="B585" t="str">
            <v>ПОЧТАМТСКАЯ ул.</v>
          </cell>
          <cell r="C585">
            <v>10</v>
          </cell>
          <cell r="D585" t="str">
            <v>А</v>
          </cell>
        </row>
        <row r="586">
          <cell r="B586" t="str">
            <v>ПОЧТАМТСКАЯ ул.</v>
          </cell>
          <cell r="C586">
            <v>11</v>
          </cell>
          <cell r="D586" t="str">
            <v>А</v>
          </cell>
        </row>
        <row r="587">
          <cell r="B587" t="str">
            <v>ПОЧТАМТСКАЯ ул.</v>
          </cell>
          <cell r="C587">
            <v>12</v>
          </cell>
          <cell r="D587" t="str">
            <v>А</v>
          </cell>
        </row>
        <row r="588">
          <cell r="B588" t="str">
            <v>ПОЧТАМТСКАЯ ул.</v>
          </cell>
          <cell r="C588">
            <v>13</v>
          </cell>
          <cell r="D588" t="str">
            <v>А</v>
          </cell>
        </row>
        <row r="589">
          <cell r="B589" t="str">
            <v>ПОЧТАМТСКАЯ ул.</v>
          </cell>
          <cell r="C589">
            <v>2</v>
          </cell>
          <cell r="D589" t="str">
            <v>А</v>
          </cell>
        </row>
        <row r="590">
          <cell r="B590" t="str">
            <v>ПОЧТАМТСКАЯ ул.</v>
          </cell>
          <cell r="C590">
            <v>2</v>
          </cell>
          <cell r="D590" t="str">
            <v>Б</v>
          </cell>
        </row>
        <row r="591">
          <cell r="B591" t="str">
            <v>ПОЧТАМТСКАЯ ул.</v>
          </cell>
          <cell r="C591">
            <v>20</v>
          </cell>
          <cell r="D591" t="str">
            <v>А</v>
          </cell>
        </row>
        <row r="592">
          <cell r="B592" t="str">
            <v>ПОЧТАМТСКАЯ ул.</v>
          </cell>
          <cell r="C592">
            <v>6</v>
          </cell>
          <cell r="D592" t="str">
            <v>А</v>
          </cell>
        </row>
        <row r="593">
          <cell r="B593" t="str">
            <v>ПОЧТАМТСКИЙ пер.</v>
          </cell>
          <cell r="C593">
            <v>2</v>
          </cell>
          <cell r="D593" t="str">
            <v>А</v>
          </cell>
        </row>
        <row r="594">
          <cell r="B594" t="str">
            <v>ПРЯДИЛЬНЫЙ пер.</v>
          </cell>
          <cell r="C594">
            <v>12</v>
          </cell>
          <cell r="D594" t="str">
            <v>А</v>
          </cell>
        </row>
        <row r="595">
          <cell r="B595" t="str">
            <v>ПРЯДИЛЬНЫЙ пер.</v>
          </cell>
          <cell r="C595">
            <v>4</v>
          </cell>
          <cell r="D595" t="str">
            <v>А</v>
          </cell>
        </row>
        <row r="596">
          <cell r="B596" t="str">
            <v>ПРЯДИЛЬНЫЙ пер.</v>
          </cell>
          <cell r="C596">
            <v>4</v>
          </cell>
          <cell r="D596" t="str">
            <v>Б</v>
          </cell>
        </row>
        <row r="597">
          <cell r="B597" t="str">
            <v>ПРЯДИЛЬНЫЙ пер.</v>
          </cell>
          <cell r="C597" t="str">
            <v>7/165</v>
          </cell>
          <cell r="D597" t="str">
            <v>А</v>
          </cell>
        </row>
        <row r="598">
          <cell r="B598" t="str">
            <v>ПРЯДИЛЬНЫЙ пер.</v>
          </cell>
          <cell r="D598" t="str">
            <v>А</v>
          </cell>
        </row>
        <row r="599">
          <cell r="B599" t="str">
            <v>ПРЯЖКИ наб.реки</v>
          </cell>
          <cell r="C599" t="str">
            <v>18-20</v>
          </cell>
          <cell r="D599" t="str">
            <v>А</v>
          </cell>
        </row>
        <row r="600">
          <cell r="B600" t="str">
            <v>ПРЯЖКИ наб.реки</v>
          </cell>
          <cell r="C600">
            <v>28</v>
          </cell>
          <cell r="D600" t="str">
            <v>Б</v>
          </cell>
        </row>
        <row r="601">
          <cell r="B601" t="str">
            <v>ПРЯЖКИ наб.реки</v>
          </cell>
          <cell r="C601">
            <v>28</v>
          </cell>
          <cell r="D601" t="str">
            <v>В</v>
          </cell>
        </row>
        <row r="602">
          <cell r="B602" t="str">
            <v>ПРЯЖКИ наб.реки</v>
          </cell>
          <cell r="C602">
            <v>34</v>
          </cell>
          <cell r="D602" t="str">
            <v>А</v>
          </cell>
        </row>
        <row r="603">
          <cell r="B603" t="str">
            <v>ПРЯЖКИ наб.реки</v>
          </cell>
          <cell r="C603">
            <v>36</v>
          </cell>
          <cell r="D603" t="str">
            <v>А</v>
          </cell>
        </row>
        <row r="604">
          <cell r="B604" t="str">
            <v>ПРЯЖКИ наб.реки</v>
          </cell>
          <cell r="C604">
            <v>38</v>
          </cell>
          <cell r="D604" t="str">
            <v>А</v>
          </cell>
        </row>
        <row r="605">
          <cell r="B605" t="str">
            <v>ПРЯЖКИ наб.реки</v>
          </cell>
          <cell r="C605">
            <v>38</v>
          </cell>
          <cell r="D605" t="str">
            <v>Б</v>
          </cell>
        </row>
        <row r="606">
          <cell r="B606" t="str">
            <v>ПРЯЖКИ наб.реки</v>
          </cell>
          <cell r="C606">
            <v>40</v>
          </cell>
          <cell r="D606" t="str">
            <v>А</v>
          </cell>
        </row>
        <row r="607">
          <cell r="B607" t="str">
            <v>ПРЯЖКИ наб.реки</v>
          </cell>
          <cell r="C607">
            <v>40</v>
          </cell>
          <cell r="D607" t="str">
            <v>Б</v>
          </cell>
        </row>
        <row r="608">
          <cell r="B608" t="str">
            <v>ПРЯЖКИ наб.реки</v>
          </cell>
          <cell r="C608">
            <v>40</v>
          </cell>
          <cell r="D608" t="str">
            <v>В</v>
          </cell>
        </row>
        <row r="609">
          <cell r="B609" t="str">
            <v>ПРЯЖКИ наб.реки</v>
          </cell>
          <cell r="C609">
            <v>46</v>
          </cell>
          <cell r="D609" t="str">
            <v>А</v>
          </cell>
        </row>
        <row r="610">
          <cell r="B610" t="str">
            <v>ПРЯЖКИ наб.реки</v>
          </cell>
          <cell r="C610">
            <v>50</v>
          </cell>
          <cell r="D610" t="str">
            <v>А</v>
          </cell>
        </row>
        <row r="611">
          <cell r="B611" t="str">
            <v>ПСКОВСКАЯ ул.</v>
          </cell>
          <cell r="D611" t="str">
            <v>А</v>
          </cell>
        </row>
        <row r="612">
          <cell r="B612" t="str">
            <v>ПСКОВСКАЯ ул.</v>
          </cell>
          <cell r="D612" t="str">
            <v>А</v>
          </cell>
        </row>
        <row r="613">
          <cell r="B613" t="str">
            <v>ПСКОВСКАЯ ул.</v>
          </cell>
          <cell r="D613" t="str">
            <v>А</v>
          </cell>
        </row>
        <row r="614">
          <cell r="B614" t="str">
            <v>ПСКОВСКАЯ ул.</v>
          </cell>
          <cell r="C614">
            <v>16</v>
          </cell>
          <cell r="D614" t="str">
            <v>А</v>
          </cell>
        </row>
        <row r="615">
          <cell r="B615" t="str">
            <v>ПСКОВСКАЯ ул.</v>
          </cell>
          <cell r="C615">
            <v>16</v>
          </cell>
          <cell r="D615" t="str">
            <v>Б</v>
          </cell>
        </row>
        <row r="616">
          <cell r="B616" t="str">
            <v>ПСКОВСКАЯ ул.</v>
          </cell>
          <cell r="C616">
            <v>20</v>
          </cell>
          <cell r="D616" t="str">
            <v>А</v>
          </cell>
        </row>
        <row r="617">
          <cell r="B617" t="str">
            <v>ПСКОВСКАЯ ул.</v>
          </cell>
          <cell r="C617">
            <v>22</v>
          </cell>
          <cell r="D617" t="str">
            <v>А</v>
          </cell>
        </row>
        <row r="618">
          <cell r="B618" t="str">
            <v>ПСКОВСКАЯ ул.</v>
          </cell>
          <cell r="C618">
            <v>3</v>
          </cell>
          <cell r="D618" t="str">
            <v>А</v>
          </cell>
        </row>
        <row r="619">
          <cell r="B619" t="str">
            <v>ПСКОВСКАЯ ул.</v>
          </cell>
          <cell r="C619">
            <v>3</v>
          </cell>
          <cell r="D619" t="str">
            <v>Б</v>
          </cell>
        </row>
        <row r="620">
          <cell r="B620" t="str">
            <v>ПСКОВСКАЯ ул.</v>
          </cell>
          <cell r="C620">
            <v>5</v>
          </cell>
          <cell r="D620" t="str">
            <v>А</v>
          </cell>
        </row>
        <row r="621">
          <cell r="B621" t="str">
            <v>ПСКОВСКАЯ ул.</v>
          </cell>
          <cell r="C621">
            <v>6</v>
          </cell>
          <cell r="D621" t="str">
            <v>А</v>
          </cell>
        </row>
        <row r="622">
          <cell r="B622" t="str">
            <v>ПСКОВСКАЯ ул.</v>
          </cell>
          <cell r="C622">
            <v>7</v>
          </cell>
          <cell r="D622" t="str">
            <v>А</v>
          </cell>
        </row>
        <row r="623">
          <cell r="B623" t="str">
            <v>ПСКОВСКАЯ ул.</v>
          </cell>
          <cell r="C623">
            <v>8</v>
          </cell>
          <cell r="D623" t="str">
            <v>А</v>
          </cell>
        </row>
        <row r="624">
          <cell r="B624" t="str">
            <v>РАБОЧИЙ пер.</v>
          </cell>
          <cell r="D624" t="str">
            <v>А</v>
          </cell>
        </row>
        <row r="625">
          <cell r="B625" t="str">
            <v>РИЖСКИЙ пр.</v>
          </cell>
          <cell r="C625">
            <v>10</v>
          </cell>
          <cell r="D625" t="str">
            <v>А</v>
          </cell>
        </row>
        <row r="626">
          <cell r="B626" t="str">
            <v>РИЖСКИЙ пр.</v>
          </cell>
          <cell r="C626">
            <v>12</v>
          </cell>
          <cell r="D626" t="str">
            <v>А</v>
          </cell>
        </row>
        <row r="627">
          <cell r="B627" t="str">
            <v>РИЖСКИЙ пр.</v>
          </cell>
          <cell r="C627">
            <v>14</v>
          </cell>
          <cell r="D627" t="str">
            <v>А</v>
          </cell>
        </row>
        <row r="628">
          <cell r="B628" t="str">
            <v>РИЖСКИЙ пр.</v>
          </cell>
          <cell r="C628">
            <v>18</v>
          </cell>
          <cell r="D628" t="str">
            <v>К</v>
          </cell>
        </row>
        <row r="629">
          <cell r="B629" t="str">
            <v>РИЖСКИЙ пр.</v>
          </cell>
          <cell r="C629">
            <v>19</v>
          </cell>
          <cell r="D629" t="str">
            <v>А</v>
          </cell>
        </row>
        <row r="630">
          <cell r="B630" t="str">
            <v>РИЖСКИЙ пр.</v>
          </cell>
          <cell r="C630">
            <v>19</v>
          </cell>
          <cell r="D630" t="str">
            <v>Б</v>
          </cell>
        </row>
        <row r="631">
          <cell r="B631" t="str">
            <v>РИЖСКИЙ пр.</v>
          </cell>
          <cell r="C631">
            <v>19</v>
          </cell>
          <cell r="D631" t="str">
            <v>В</v>
          </cell>
        </row>
        <row r="632">
          <cell r="B632" t="str">
            <v>РИЖСКИЙ пр.</v>
          </cell>
          <cell r="C632">
            <v>19</v>
          </cell>
          <cell r="D632" t="str">
            <v>Г</v>
          </cell>
        </row>
        <row r="633">
          <cell r="B633" t="str">
            <v>РИЖСКИЙ пр.</v>
          </cell>
          <cell r="C633">
            <v>20</v>
          </cell>
          <cell r="D633" t="str">
            <v>И</v>
          </cell>
        </row>
        <row r="634">
          <cell r="B634" t="str">
            <v>РИЖСКИЙ пр.</v>
          </cell>
          <cell r="C634">
            <v>22</v>
          </cell>
          <cell r="D634" t="str">
            <v>А</v>
          </cell>
        </row>
        <row r="635">
          <cell r="B635" t="str">
            <v>РИЖСКИЙ пр.</v>
          </cell>
          <cell r="C635">
            <v>36</v>
          </cell>
          <cell r="D635" t="str">
            <v>А</v>
          </cell>
        </row>
        <row r="636">
          <cell r="B636" t="str">
            <v>РИЖСКИЙ пр.</v>
          </cell>
          <cell r="C636">
            <v>8</v>
          </cell>
        </row>
        <row r="637">
          <cell r="B637" t="str">
            <v>РИМСКОГО-КОРСАКОВА пр.</v>
          </cell>
          <cell r="C637">
            <v>103</v>
          </cell>
          <cell r="D637" t="str">
            <v>А</v>
          </cell>
        </row>
        <row r="638">
          <cell r="B638" t="str">
            <v>РИМСКОГО-КОРСАКОВА пр.</v>
          </cell>
          <cell r="C638">
            <v>20</v>
          </cell>
          <cell r="D638" t="str">
            <v>А</v>
          </cell>
        </row>
        <row r="639">
          <cell r="B639" t="str">
            <v>РИМСКОГО-КОРСАКОВА пр.</v>
          </cell>
          <cell r="C639">
            <v>24</v>
          </cell>
          <cell r="D639" t="str">
            <v>А</v>
          </cell>
        </row>
        <row r="640">
          <cell r="B640" t="str">
            <v>РИМСКОГО-КОРСАКОВА пр.</v>
          </cell>
          <cell r="C640">
            <v>49</v>
          </cell>
          <cell r="D640" t="str">
            <v>А</v>
          </cell>
        </row>
        <row r="641">
          <cell r="B641" t="str">
            <v>РИМСКОГО-КОРСАКОВА пр.</v>
          </cell>
          <cell r="C641">
            <v>51</v>
          </cell>
          <cell r="D641" t="str">
            <v>А</v>
          </cell>
        </row>
        <row r="642">
          <cell r="B642" t="str">
            <v>РИМСКОГО-КОРСАКОВА пр.</v>
          </cell>
          <cell r="C642">
            <v>57</v>
          </cell>
          <cell r="D642" t="str">
            <v>А</v>
          </cell>
        </row>
        <row r="643">
          <cell r="B643" t="str">
            <v>РИМСКОГО-КОРСАКОВА пр.</v>
          </cell>
          <cell r="C643">
            <v>59</v>
          </cell>
          <cell r="D643" t="str">
            <v>А</v>
          </cell>
        </row>
        <row r="644">
          <cell r="B644" t="str">
            <v>РИМСКОГО-КОРСАКОВА пр.</v>
          </cell>
          <cell r="C644">
            <v>59</v>
          </cell>
          <cell r="D644" t="str">
            <v>Б</v>
          </cell>
        </row>
        <row r="645">
          <cell r="B645" t="str">
            <v>РИМСКОГО-КОРСАКОВА пр.</v>
          </cell>
          <cell r="C645">
            <v>61</v>
          </cell>
          <cell r="D645" t="str">
            <v>А</v>
          </cell>
        </row>
        <row r="646">
          <cell r="B646" t="str">
            <v>РИМСКОГО-КОРСАКОВА пр.</v>
          </cell>
          <cell r="C646">
            <v>61</v>
          </cell>
          <cell r="D646" t="str">
            <v>Б</v>
          </cell>
        </row>
        <row r="647">
          <cell r="B647" t="str">
            <v>РИМСКОГО-КОРСАКОВА пр.</v>
          </cell>
          <cell r="C647">
            <v>63</v>
          </cell>
          <cell r="D647" t="str">
            <v>А</v>
          </cell>
        </row>
        <row r="648">
          <cell r="B648" t="str">
            <v>РИМСКОГО-КОРСАКОВА пр.</v>
          </cell>
          <cell r="C648">
            <v>63</v>
          </cell>
          <cell r="D648" t="str">
            <v>Б</v>
          </cell>
        </row>
        <row r="649">
          <cell r="B649" t="str">
            <v>РИМСКОГО-КОРСАКОВА пр.</v>
          </cell>
          <cell r="C649" t="str">
            <v>65/11</v>
          </cell>
          <cell r="D649" t="str">
            <v>А</v>
          </cell>
        </row>
        <row r="650">
          <cell r="B650" t="str">
            <v>РИМСКОГО-КОРСАКОВА пр.</v>
          </cell>
          <cell r="C650">
            <v>75</v>
          </cell>
          <cell r="D650" t="str">
            <v>А</v>
          </cell>
        </row>
        <row r="651">
          <cell r="B651" t="str">
            <v>РИМСКОГО-КОРСАКОВА пр.</v>
          </cell>
          <cell r="C651">
            <v>81</v>
          </cell>
          <cell r="D651" t="str">
            <v>А</v>
          </cell>
        </row>
        <row r="652">
          <cell r="B652" t="str">
            <v>РИМСКОГО-КОРСАКОВА пр.</v>
          </cell>
          <cell r="C652" t="str">
            <v>89-91</v>
          </cell>
          <cell r="D652" t="str">
            <v>В</v>
          </cell>
        </row>
        <row r="653">
          <cell r="B653" t="str">
            <v>РИМСКОГО-КОРСАКОВА пр.</v>
          </cell>
          <cell r="C653">
            <v>93</v>
          </cell>
          <cell r="D653" t="str">
            <v>А</v>
          </cell>
        </row>
        <row r="654">
          <cell r="B654" t="str">
            <v>РИМСКОГО-КОРСАКОВА пр.</v>
          </cell>
          <cell r="C654">
            <v>95</v>
          </cell>
          <cell r="D654" t="str">
            <v>А</v>
          </cell>
        </row>
        <row r="655">
          <cell r="B655" t="str">
            <v>РИМСКОГО-КОРСАКОВА пр.</v>
          </cell>
          <cell r="C655">
            <v>97</v>
          </cell>
          <cell r="D655" t="str">
            <v>А</v>
          </cell>
        </row>
        <row r="656">
          <cell r="B656" t="str">
            <v>РИМСКОГО-КОРСАКОВА пр.</v>
          </cell>
          <cell r="C656">
            <v>99</v>
          </cell>
          <cell r="D656" t="str">
            <v>А</v>
          </cell>
        </row>
        <row r="657">
          <cell r="B657" t="str">
            <v>САДОВАЯ ул.</v>
          </cell>
          <cell r="C657">
            <v>101</v>
          </cell>
          <cell r="D657" t="str">
            <v>А</v>
          </cell>
        </row>
        <row r="658">
          <cell r="B658" t="str">
            <v>САДОВАЯ ул.</v>
          </cell>
          <cell r="C658">
            <v>102</v>
          </cell>
          <cell r="D658" t="str">
            <v>А</v>
          </cell>
        </row>
        <row r="659">
          <cell r="B659" t="str">
            <v>САДОВАЯ ул.</v>
          </cell>
          <cell r="C659">
            <v>103</v>
          </cell>
          <cell r="D659" t="str">
            <v>А</v>
          </cell>
        </row>
        <row r="660">
          <cell r="B660" t="str">
            <v>САДОВАЯ ул.</v>
          </cell>
          <cell r="C660">
            <v>105</v>
          </cell>
          <cell r="D660" t="str">
            <v>А</v>
          </cell>
        </row>
        <row r="661">
          <cell r="B661" t="str">
            <v>САДОВАЯ ул.</v>
          </cell>
          <cell r="C661">
            <v>106</v>
          </cell>
          <cell r="D661" t="str">
            <v>А</v>
          </cell>
        </row>
        <row r="662">
          <cell r="B662" t="str">
            <v>САДОВАЯ ул.</v>
          </cell>
          <cell r="C662">
            <v>107</v>
          </cell>
          <cell r="D662" t="str">
            <v>А</v>
          </cell>
        </row>
        <row r="663">
          <cell r="B663" t="str">
            <v>САДОВАЯ ул.</v>
          </cell>
          <cell r="C663">
            <v>109</v>
          </cell>
          <cell r="D663" t="str">
            <v>А</v>
          </cell>
        </row>
        <row r="664">
          <cell r="B664" t="str">
            <v>САДОВАЯ ул.</v>
          </cell>
          <cell r="C664" t="str">
            <v>111-113</v>
          </cell>
          <cell r="D664" t="str">
            <v>А</v>
          </cell>
        </row>
        <row r="665">
          <cell r="B665" t="str">
            <v>САДОВАЯ ул.</v>
          </cell>
          <cell r="C665" t="str">
            <v>112-114</v>
          </cell>
          <cell r="D665" t="str">
            <v>А</v>
          </cell>
        </row>
        <row r="666">
          <cell r="B666" t="str">
            <v>САДОВАЯ ул.</v>
          </cell>
          <cell r="C666" t="str">
            <v>112-114</v>
          </cell>
          <cell r="D666" t="str">
            <v>Б</v>
          </cell>
        </row>
        <row r="667">
          <cell r="B667" t="str">
            <v>САДОВАЯ ул.</v>
          </cell>
          <cell r="C667">
            <v>115</v>
          </cell>
          <cell r="D667" t="str">
            <v>А</v>
          </cell>
        </row>
        <row r="668">
          <cell r="B668" t="str">
            <v>САДОВАЯ ул.</v>
          </cell>
          <cell r="C668">
            <v>116</v>
          </cell>
          <cell r="D668" t="str">
            <v>А</v>
          </cell>
        </row>
        <row r="669">
          <cell r="B669" t="str">
            <v>САДОВАЯ ул.</v>
          </cell>
          <cell r="C669">
            <v>117</v>
          </cell>
          <cell r="D669" t="str">
            <v>А</v>
          </cell>
        </row>
        <row r="670">
          <cell r="B670" t="str">
            <v>САДОВАЯ ул.</v>
          </cell>
          <cell r="C670">
            <v>117</v>
          </cell>
          <cell r="D670" t="str">
            <v>Б</v>
          </cell>
        </row>
        <row r="671">
          <cell r="B671" t="str">
            <v>САДОВАЯ ул.</v>
          </cell>
          <cell r="C671">
            <v>118</v>
          </cell>
          <cell r="D671" t="str">
            <v>А</v>
          </cell>
        </row>
        <row r="672">
          <cell r="B672" t="str">
            <v>САДОВАЯ ул.</v>
          </cell>
          <cell r="C672">
            <v>119</v>
          </cell>
          <cell r="D672" t="str">
            <v>А</v>
          </cell>
        </row>
        <row r="673">
          <cell r="B673" t="str">
            <v>САДОВАЯ ул.</v>
          </cell>
          <cell r="C673">
            <v>119</v>
          </cell>
          <cell r="D673" t="str">
            <v>Б</v>
          </cell>
        </row>
        <row r="674">
          <cell r="B674" t="str">
            <v>САДОВАЯ ул.</v>
          </cell>
          <cell r="C674">
            <v>120</v>
          </cell>
          <cell r="D674" t="str">
            <v>А</v>
          </cell>
        </row>
        <row r="675">
          <cell r="B675" t="str">
            <v>САДОВАЯ ул.</v>
          </cell>
          <cell r="C675" t="str">
            <v>122/193</v>
          </cell>
          <cell r="D675" t="str">
            <v>Б</v>
          </cell>
        </row>
        <row r="676">
          <cell r="B676" t="str">
            <v>САДОВАЯ ул.</v>
          </cell>
          <cell r="C676">
            <v>123</v>
          </cell>
          <cell r="D676" t="str">
            <v>А</v>
          </cell>
        </row>
        <row r="677">
          <cell r="B677" t="str">
            <v>САДОВАЯ ул.</v>
          </cell>
          <cell r="C677">
            <v>123</v>
          </cell>
          <cell r="D677" t="str">
            <v>Б</v>
          </cell>
        </row>
        <row r="678">
          <cell r="B678" t="str">
            <v>САДОВАЯ ул.</v>
          </cell>
          <cell r="C678">
            <v>124</v>
          </cell>
          <cell r="D678" t="str">
            <v>А</v>
          </cell>
        </row>
        <row r="679">
          <cell r="B679" t="str">
            <v>САДОВАЯ ул.</v>
          </cell>
          <cell r="C679">
            <v>125</v>
          </cell>
          <cell r="D679" t="str">
            <v>А</v>
          </cell>
        </row>
        <row r="680">
          <cell r="B680" t="str">
            <v>САДОВАЯ ул.</v>
          </cell>
          <cell r="C680">
            <v>125</v>
          </cell>
          <cell r="D680" t="str">
            <v>Б</v>
          </cell>
        </row>
        <row r="681">
          <cell r="B681" t="str">
            <v>САДОВАЯ ул.</v>
          </cell>
          <cell r="C681">
            <v>125</v>
          </cell>
          <cell r="D681" t="str">
            <v>К</v>
          </cell>
        </row>
        <row r="682">
          <cell r="B682" t="str">
            <v>САДОВАЯ ул.</v>
          </cell>
          <cell r="C682">
            <v>127</v>
          </cell>
          <cell r="D682" t="str">
            <v>А</v>
          </cell>
        </row>
        <row r="683">
          <cell r="B683" t="str">
            <v>САДОВАЯ ул.</v>
          </cell>
          <cell r="C683">
            <v>127</v>
          </cell>
          <cell r="D683" t="str">
            <v>Б</v>
          </cell>
        </row>
        <row r="684">
          <cell r="B684" t="str">
            <v>САДОВАЯ ул.</v>
          </cell>
          <cell r="C684">
            <v>129</v>
          </cell>
          <cell r="D684" t="str">
            <v>А</v>
          </cell>
        </row>
        <row r="685">
          <cell r="B685" t="str">
            <v>САДОВАЯ ул.</v>
          </cell>
          <cell r="C685" t="str">
            <v>64/21</v>
          </cell>
        </row>
        <row r="686">
          <cell r="B686" t="str">
            <v>САДОВАЯ ул.</v>
          </cell>
          <cell r="C686">
            <v>66</v>
          </cell>
          <cell r="D686" t="str">
            <v>А</v>
          </cell>
        </row>
        <row r="687">
          <cell r="B687" t="str">
            <v>САДОВАЯ ул.</v>
          </cell>
          <cell r="C687">
            <v>68</v>
          </cell>
          <cell r="D687" t="str">
            <v>А</v>
          </cell>
        </row>
        <row r="688">
          <cell r="B688" t="str">
            <v>САДОВАЯ ул.</v>
          </cell>
          <cell r="C688">
            <v>69</v>
          </cell>
          <cell r="D688" t="str">
            <v>А</v>
          </cell>
        </row>
        <row r="689">
          <cell r="B689" t="str">
            <v>САДОВАЯ ул.</v>
          </cell>
          <cell r="C689">
            <v>70</v>
          </cell>
          <cell r="D689" t="str">
            <v>А</v>
          </cell>
        </row>
        <row r="690">
          <cell r="B690" t="str">
            <v>САДОВАЯ ул.</v>
          </cell>
          <cell r="C690">
            <v>71</v>
          </cell>
          <cell r="D690" t="str">
            <v>А</v>
          </cell>
        </row>
        <row r="691">
          <cell r="B691" t="str">
            <v>САДОВАЯ ул.</v>
          </cell>
          <cell r="C691">
            <v>73</v>
          </cell>
          <cell r="D691" t="str">
            <v>А</v>
          </cell>
        </row>
        <row r="692">
          <cell r="B692" t="str">
            <v>САДОВАЯ ул.</v>
          </cell>
          <cell r="C692">
            <v>76</v>
          </cell>
          <cell r="D692" t="str">
            <v>А</v>
          </cell>
        </row>
        <row r="693">
          <cell r="B693" t="str">
            <v>САДОВАЯ ул.</v>
          </cell>
          <cell r="C693">
            <v>77</v>
          </cell>
          <cell r="D693" t="str">
            <v>А</v>
          </cell>
        </row>
        <row r="694">
          <cell r="B694" t="str">
            <v>САДОВАЯ ул.</v>
          </cell>
          <cell r="C694">
            <v>78</v>
          </cell>
          <cell r="D694" t="str">
            <v>А</v>
          </cell>
        </row>
        <row r="695">
          <cell r="B695" t="str">
            <v>САДОВАЯ ул.</v>
          </cell>
          <cell r="C695">
            <v>80</v>
          </cell>
          <cell r="D695" t="str">
            <v>А</v>
          </cell>
        </row>
        <row r="696">
          <cell r="B696" t="str">
            <v>САДОВАЯ ул.</v>
          </cell>
          <cell r="C696">
            <v>81</v>
          </cell>
          <cell r="D696" t="str">
            <v>А</v>
          </cell>
        </row>
        <row r="697">
          <cell r="B697" t="str">
            <v>САДОВАЯ ул.</v>
          </cell>
          <cell r="C697">
            <v>82</v>
          </cell>
          <cell r="D697" t="str">
            <v>А</v>
          </cell>
        </row>
        <row r="698">
          <cell r="B698" t="str">
            <v>САДОВАЯ ул.</v>
          </cell>
          <cell r="C698">
            <v>82</v>
          </cell>
          <cell r="D698" t="str">
            <v>Б</v>
          </cell>
        </row>
        <row r="699">
          <cell r="B699" t="str">
            <v>САДОВАЯ ул.</v>
          </cell>
          <cell r="C699">
            <v>83</v>
          </cell>
          <cell r="D699" t="str">
            <v>А</v>
          </cell>
        </row>
        <row r="700">
          <cell r="B700" t="str">
            <v>САДОВАЯ ул.</v>
          </cell>
          <cell r="C700">
            <v>83</v>
          </cell>
          <cell r="D700" t="str">
            <v>Б</v>
          </cell>
        </row>
        <row r="701">
          <cell r="B701" t="str">
            <v>САДОВАЯ ул.</v>
          </cell>
          <cell r="C701">
            <v>84</v>
          </cell>
          <cell r="D701" t="str">
            <v>А</v>
          </cell>
        </row>
        <row r="702">
          <cell r="B702" t="str">
            <v>САДОВАЯ ул.</v>
          </cell>
          <cell r="C702">
            <v>84</v>
          </cell>
          <cell r="D702" t="str">
            <v>Б</v>
          </cell>
        </row>
        <row r="703">
          <cell r="B703" t="str">
            <v>САДОВАЯ ул.</v>
          </cell>
          <cell r="C703">
            <v>85</v>
          </cell>
          <cell r="D703" t="str">
            <v>А</v>
          </cell>
        </row>
        <row r="704">
          <cell r="B704" t="str">
            <v>САДОВАЯ ул.</v>
          </cell>
          <cell r="C704">
            <v>86</v>
          </cell>
          <cell r="D704" t="str">
            <v>А</v>
          </cell>
        </row>
        <row r="705">
          <cell r="B705" t="str">
            <v>САДОВАЯ ул.</v>
          </cell>
          <cell r="C705">
            <v>89</v>
          </cell>
          <cell r="D705" t="str">
            <v>А</v>
          </cell>
        </row>
        <row r="706">
          <cell r="B706" t="str">
            <v>САДОВАЯ ул.</v>
          </cell>
          <cell r="C706">
            <v>90</v>
          </cell>
          <cell r="D706" t="str">
            <v>А</v>
          </cell>
        </row>
        <row r="707">
          <cell r="B707" t="str">
            <v>САДОВАЯ ул.</v>
          </cell>
          <cell r="C707">
            <v>91</v>
          </cell>
          <cell r="D707" t="str">
            <v>А</v>
          </cell>
        </row>
        <row r="708">
          <cell r="B708" t="str">
            <v>САДОВАЯ ул.</v>
          </cell>
          <cell r="C708">
            <v>92</v>
          </cell>
          <cell r="D708" t="str">
            <v>А</v>
          </cell>
        </row>
        <row r="709">
          <cell r="B709" t="str">
            <v>САДОВАЯ ул.</v>
          </cell>
          <cell r="C709">
            <v>94</v>
          </cell>
          <cell r="D709" t="str">
            <v>А</v>
          </cell>
        </row>
        <row r="710">
          <cell r="B710" t="str">
            <v>САДОВАЯ ул.</v>
          </cell>
          <cell r="C710">
            <v>94</v>
          </cell>
          <cell r="D710" t="str">
            <v>Ж</v>
          </cell>
        </row>
        <row r="711">
          <cell r="B711" t="str">
            <v>САДОВАЯ ул.</v>
          </cell>
          <cell r="C711">
            <v>95</v>
          </cell>
          <cell r="D711" t="str">
            <v>А</v>
          </cell>
        </row>
        <row r="712">
          <cell r="B712" t="str">
            <v>САДОВАЯ ул.</v>
          </cell>
          <cell r="C712">
            <v>96</v>
          </cell>
          <cell r="D712" t="str">
            <v>А</v>
          </cell>
        </row>
        <row r="713">
          <cell r="B713" t="str">
            <v>САДОВАЯ ул.</v>
          </cell>
          <cell r="C713">
            <v>97</v>
          </cell>
          <cell r="D713" t="str">
            <v>А</v>
          </cell>
        </row>
        <row r="714">
          <cell r="B714" t="str">
            <v>САДОВАЯ ул.</v>
          </cell>
          <cell r="C714">
            <v>99</v>
          </cell>
          <cell r="D714" t="str">
            <v>А</v>
          </cell>
        </row>
        <row r="715">
          <cell r="B715" t="str">
            <v>САДОВАЯ ул.</v>
          </cell>
          <cell r="C715">
            <v>99</v>
          </cell>
          <cell r="D715" t="str">
            <v>Б</v>
          </cell>
        </row>
        <row r="716">
          <cell r="B716" t="str">
            <v>СОЮЗА ПЕЧАТНИКОВ ул.</v>
          </cell>
          <cell r="C716">
            <v>10</v>
          </cell>
          <cell r="D716" t="str">
            <v>А</v>
          </cell>
        </row>
        <row r="717">
          <cell r="B717" t="str">
            <v>СОЮЗА ПЕЧАТНИКОВ ул.</v>
          </cell>
          <cell r="C717" t="str">
            <v>13-15</v>
          </cell>
          <cell r="D717" t="str">
            <v>А</v>
          </cell>
        </row>
        <row r="718">
          <cell r="B718" t="str">
            <v>СОЮЗА ПЕЧАТНИКОВ ул.</v>
          </cell>
          <cell r="C718">
            <v>17</v>
          </cell>
          <cell r="D718" t="str">
            <v>А</v>
          </cell>
        </row>
        <row r="719">
          <cell r="B719" t="str">
            <v>СОЮЗА ПЕЧАТНИКОВ ул.</v>
          </cell>
          <cell r="C719">
            <v>17</v>
          </cell>
          <cell r="D719" t="str">
            <v>Г</v>
          </cell>
        </row>
        <row r="720">
          <cell r="B720" t="str">
            <v>СОЮЗА ПЕЧАТНИКОВ ул.</v>
          </cell>
          <cell r="C720" t="str">
            <v>18-20</v>
          </cell>
          <cell r="D720" t="str">
            <v>А</v>
          </cell>
        </row>
        <row r="721">
          <cell r="B721" t="str">
            <v>СОЮЗА ПЕЧАТНИКОВ ул.</v>
          </cell>
          <cell r="C721" t="str">
            <v>18-20</v>
          </cell>
          <cell r="D721" t="str">
            <v>Б</v>
          </cell>
        </row>
        <row r="722">
          <cell r="B722" t="str">
            <v>СОЮЗА ПЕЧАТНИКОВ ул.</v>
          </cell>
          <cell r="C722">
            <v>19</v>
          </cell>
          <cell r="D722" t="str">
            <v>А</v>
          </cell>
        </row>
        <row r="723">
          <cell r="B723" t="str">
            <v>СОЮЗА ПЕЧАТНИКОВ ул.</v>
          </cell>
          <cell r="D723" t="str">
            <v>А</v>
          </cell>
        </row>
        <row r="724">
          <cell r="B724" t="str">
            <v>СОЮЗА ПЕЧАТНИКОВ ул.</v>
          </cell>
          <cell r="D724" t="str">
            <v>Б</v>
          </cell>
        </row>
        <row r="725">
          <cell r="B725" t="str">
            <v>СОЮЗА ПЕЧАТНИКОВ ул.</v>
          </cell>
          <cell r="C725">
            <v>23</v>
          </cell>
          <cell r="D725" t="str">
            <v>А</v>
          </cell>
        </row>
        <row r="726">
          <cell r="B726" t="str">
            <v>СОЮЗА ПЕЧАТНИКОВ ул.</v>
          </cell>
          <cell r="C726">
            <v>26</v>
          </cell>
          <cell r="D726" t="str">
            <v>А</v>
          </cell>
        </row>
        <row r="727">
          <cell r="B727" t="str">
            <v>СОЮЗА ПЕЧАТНИКОВ ул.</v>
          </cell>
          <cell r="C727">
            <v>27</v>
          </cell>
          <cell r="D727" t="str">
            <v>А</v>
          </cell>
        </row>
        <row r="728">
          <cell r="B728" t="str">
            <v>СОЮЗА ПЕЧАТНИКОВ ул.</v>
          </cell>
          <cell r="C728">
            <v>29</v>
          </cell>
          <cell r="D728" t="str">
            <v>А</v>
          </cell>
        </row>
        <row r="729">
          <cell r="B729" t="str">
            <v>СОЮЗА ПЕЧАТНИКОВ ул.</v>
          </cell>
          <cell r="C729">
            <v>3</v>
          </cell>
          <cell r="D729" t="str">
            <v>А</v>
          </cell>
        </row>
        <row r="730">
          <cell r="B730" t="str">
            <v>СОЮЗА ПЕЧАТНИКОВ ул.</v>
          </cell>
          <cell r="C730">
            <v>30</v>
          </cell>
          <cell r="D730" t="str">
            <v>А</v>
          </cell>
        </row>
        <row r="731">
          <cell r="B731" t="str">
            <v>СОЮЗА ПЕЧАТНИКОВ ул.</v>
          </cell>
          <cell r="C731">
            <v>4</v>
          </cell>
          <cell r="D731" t="str">
            <v>А</v>
          </cell>
        </row>
        <row r="732">
          <cell r="B732" t="str">
            <v>СОЮЗА ПЕЧАТНИКОВ ул.</v>
          </cell>
          <cell r="C732">
            <v>5</v>
          </cell>
          <cell r="D732" t="str">
            <v>А</v>
          </cell>
        </row>
        <row r="733">
          <cell r="B733" t="str">
            <v>СОЮЗА ПЕЧАТНИКОВ ул.</v>
          </cell>
          <cell r="C733">
            <v>6</v>
          </cell>
          <cell r="D733" t="str">
            <v>А</v>
          </cell>
        </row>
        <row r="734">
          <cell r="B734" t="str">
            <v>СОЮЗА ПЕЧАТНИКОВ ул.</v>
          </cell>
          <cell r="C734">
            <v>7</v>
          </cell>
          <cell r="D734" t="str">
            <v>А</v>
          </cell>
        </row>
        <row r="735">
          <cell r="B735" t="str">
            <v>СОЮЗА ПЕЧАТНИКОВ ул.</v>
          </cell>
          <cell r="C735">
            <v>7</v>
          </cell>
          <cell r="D735" t="str">
            <v>Б</v>
          </cell>
        </row>
        <row r="736">
          <cell r="B736" t="str">
            <v>СОЮЗА ПЕЧАТНИКОВ ул.</v>
          </cell>
          <cell r="C736">
            <v>7</v>
          </cell>
          <cell r="D736" t="str">
            <v>Г</v>
          </cell>
        </row>
        <row r="737">
          <cell r="B737" t="str">
            <v>СОЮЗА ПЕЧАТНИКОВ ул.</v>
          </cell>
          <cell r="C737">
            <v>8</v>
          </cell>
          <cell r="D737" t="str">
            <v>А</v>
          </cell>
        </row>
        <row r="738">
          <cell r="B738" t="str">
            <v>СОЮЗА ПЕЧАТНИКОВ ул.</v>
          </cell>
          <cell r="C738">
            <v>8</v>
          </cell>
          <cell r="D738" t="str">
            <v>В</v>
          </cell>
        </row>
        <row r="739">
          <cell r="B739" t="str">
            <v>СОЮЗА ПЕЧАТНИКОВ ул.</v>
          </cell>
          <cell r="D739" t="str">
            <v>А</v>
          </cell>
        </row>
        <row r="740">
          <cell r="B740" t="str">
            <v>ТРОИЦКИЙ пр.</v>
          </cell>
          <cell r="C740">
            <v>10</v>
          </cell>
          <cell r="D740" t="str">
            <v>А</v>
          </cell>
        </row>
        <row r="741">
          <cell r="B741" t="str">
            <v>ТРОИЦКИЙ пр.</v>
          </cell>
          <cell r="C741">
            <v>12</v>
          </cell>
          <cell r="D741" t="str">
            <v>А</v>
          </cell>
        </row>
        <row r="742">
          <cell r="B742" t="str">
            <v>ТРОИЦКИЙ пр.</v>
          </cell>
          <cell r="C742">
            <v>14</v>
          </cell>
          <cell r="D742" t="str">
            <v>А</v>
          </cell>
        </row>
        <row r="743">
          <cell r="B743" t="str">
            <v>ТРОИЦКИЙ пр.</v>
          </cell>
          <cell r="C743">
            <v>16</v>
          </cell>
          <cell r="D743" t="str">
            <v>А</v>
          </cell>
        </row>
        <row r="744">
          <cell r="B744" t="str">
            <v>ТРОИЦКИЙ пр.</v>
          </cell>
          <cell r="C744">
            <v>18</v>
          </cell>
          <cell r="D744" t="str">
            <v>А</v>
          </cell>
        </row>
        <row r="745">
          <cell r="B745" t="str">
            <v>ТРОИЦКИЙ пр.</v>
          </cell>
          <cell r="C745" t="str">
            <v>20/36</v>
          </cell>
          <cell r="D745" t="str">
            <v>А</v>
          </cell>
        </row>
        <row r="746">
          <cell r="B746" t="str">
            <v>ТРОИЦКИЙ пр.</v>
          </cell>
          <cell r="C746">
            <v>3</v>
          </cell>
          <cell r="D746" t="str">
            <v>А</v>
          </cell>
        </row>
        <row r="747">
          <cell r="B747" t="str">
            <v>ТРОИЦКИЙ пр.</v>
          </cell>
          <cell r="C747">
            <v>3</v>
          </cell>
          <cell r="D747" t="str">
            <v>Б</v>
          </cell>
        </row>
        <row r="748">
          <cell r="B748" t="str">
            <v>ТРОИЦКИЙ пр.</v>
          </cell>
          <cell r="C748">
            <v>4</v>
          </cell>
          <cell r="D748" t="str">
            <v>А</v>
          </cell>
        </row>
        <row r="749">
          <cell r="B749" t="str">
            <v>ТРОИЦКИЙ пр.</v>
          </cell>
          <cell r="C749">
            <v>4</v>
          </cell>
          <cell r="D749" t="str">
            <v>Б</v>
          </cell>
        </row>
        <row r="750">
          <cell r="B750" t="str">
            <v>ТРОИЦКИЙ пр.</v>
          </cell>
          <cell r="C750">
            <v>4</v>
          </cell>
          <cell r="D750" t="str">
            <v>В</v>
          </cell>
        </row>
        <row r="751">
          <cell r="B751" t="str">
            <v>ТРОИЦКИЙ пр.</v>
          </cell>
          <cell r="C751">
            <v>4</v>
          </cell>
          <cell r="D751" t="str">
            <v>Я</v>
          </cell>
        </row>
        <row r="752">
          <cell r="B752" t="str">
            <v>ТРОИЦКИЙ пр.</v>
          </cell>
          <cell r="C752">
            <v>5</v>
          </cell>
          <cell r="D752" t="str">
            <v>А</v>
          </cell>
        </row>
        <row r="753">
          <cell r="B753" t="str">
            <v>ТРОИЦКИЙ пр.</v>
          </cell>
          <cell r="C753">
            <v>7</v>
          </cell>
          <cell r="D753" t="str">
            <v>А</v>
          </cell>
        </row>
        <row r="754">
          <cell r="B754" t="str">
            <v>ТРОИЦКИЙ пр.</v>
          </cell>
          <cell r="C754">
            <v>8</v>
          </cell>
          <cell r="D754" t="str">
            <v>А</v>
          </cell>
        </row>
        <row r="755">
          <cell r="B755" t="str">
            <v>УГЛОВОЙ пер.</v>
          </cell>
          <cell r="C755">
            <v>11</v>
          </cell>
          <cell r="D755" t="str">
            <v>А</v>
          </cell>
        </row>
        <row r="756">
          <cell r="B756" t="str">
            <v>УГЛОВОЙ пер.</v>
          </cell>
          <cell r="C756">
            <v>3</v>
          </cell>
          <cell r="D756" t="str">
            <v>А</v>
          </cell>
        </row>
        <row r="757">
          <cell r="B757" t="str">
            <v>УГЛОВОЙ пер.</v>
          </cell>
          <cell r="C757">
            <v>4</v>
          </cell>
          <cell r="D757" t="str">
            <v>А</v>
          </cell>
        </row>
        <row r="758">
          <cell r="B758" t="str">
            <v>УГЛОВОЙ пер.</v>
          </cell>
          <cell r="C758">
            <v>5</v>
          </cell>
          <cell r="D758" t="str">
            <v>А</v>
          </cell>
        </row>
        <row r="759">
          <cell r="B759" t="str">
            <v>УГЛОВОЙ пер.</v>
          </cell>
          <cell r="C759">
            <v>7</v>
          </cell>
          <cell r="D759" t="str">
            <v>А</v>
          </cell>
        </row>
        <row r="760">
          <cell r="B760" t="str">
            <v>УГЛОВОЙ пер.</v>
          </cell>
          <cell r="C760">
            <v>9</v>
          </cell>
          <cell r="D760" t="str">
            <v>А</v>
          </cell>
        </row>
        <row r="761">
          <cell r="B761" t="str">
            <v>ФОНТАНКИ наб.реки</v>
          </cell>
          <cell r="C761">
            <v>116</v>
          </cell>
          <cell r="D761" t="str">
            <v>А</v>
          </cell>
        </row>
        <row r="762">
          <cell r="B762" t="str">
            <v>ФОНТАНКИ наб.реки</v>
          </cell>
          <cell r="C762">
            <v>116</v>
          </cell>
          <cell r="D762" t="str">
            <v>Б</v>
          </cell>
        </row>
        <row r="763">
          <cell r="B763" t="str">
            <v>ФОНТАНКИ наб.реки</v>
          </cell>
          <cell r="C763">
            <v>126</v>
          </cell>
          <cell r="D763" t="str">
            <v>А</v>
          </cell>
        </row>
        <row r="764">
          <cell r="B764" t="str">
            <v>ФОНТАНКИ наб.реки</v>
          </cell>
          <cell r="C764">
            <v>128</v>
          </cell>
          <cell r="D764" t="str">
            <v>А</v>
          </cell>
        </row>
        <row r="765">
          <cell r="B765" t="str">
            <v>ФОНТАНКИ наб.реки</v>
          </cell>
          <cell r="C765">
            <v>130</v>
          </cell>
          <cell r="D765" t="str">
            <v>А</v>
          </cell>
        </row>
        <row r="766">
          <cell r="B766" t="str">
            <v>ФОНТАНКИ наб.реки</v>
          </cell>
          <cell r="C766">
            <v>134</v>
          </cell>
          <cell r="D766" t="str">
            <v>А</v>
          </cell>
        </row>
        <row r="767">
          <cell r="B767" t="str">
            <v>ФОНТАНКИ наб.реки</v>
          </cell>
          <cell r="C767" t="str">
            <v>134б</v>
          </cell>
        </row>
        <row r="768">
          <cell r="B768" t="str">
            <v>ФОНТАНКИ наб.реки</v>
          </cell>
          <cell r="C768" t="str">
            <v>134б</v>
          </cell>
        </row>
        <row r="769">
          <cell r="B769" t="str">
            <v>ФОНТАНКИ наб.реки</v>
          </cell>
          <cell r="C769">
            <v>136</v>
          </cell>
          <cell r="D769" t="str">
            <v>А</v>
          </cell>
        </row>
        <row r="770">
          <cell r="B770" t="str">
            <v>ФОНТАНКИ наб.реки</v>
          </cell>
          <cell r="C770">
            <v>149</v>
          </cell>
          <cell r="D770" t="str">
            <v>А</v>
          </cell>
        </row>
        <row r="771">
          <cell r="B771" t="str">
            <v>ФОНТАНКИ наб.реки</v>
          </cell>
          <cell r="C771">
            <v>150</v>
          </cell>
          <cell r="D771" t="str">
            <v>А</v>
          </cell>
        </row>
        <row r="772">
          <cell r="B772" t="str">
            <v>ФОНТАНКИ наб.реки</v>
          </cell>
          <cell r="C772">
            <v>150</v>
          </cell>
          <cell r="D772" t="str">
            <v>Б</v>
          </cell>
        </row>
        <row r="773">
          <cell r="B773" t="str">
            <v>ФОНТАНКИ наб.реки</v>
          </cell>
          <cell r="C773">
            <v>150</v>
          </cell>
          <cell r="D773" t="str">
            <v>О</v>
          </cell>
        </row>
        <row r="774">
          <cell r="B774" t="str">
            <v>ФОНТАНКИ наб.реки</v>
          </cell>
          <cell r="C774">
            <v>167</v>
          </cell>
          <cell r="D774" t="str">
            <v>А</v>
          </cell>
        </row>
        <row r="775">
          <cell r="B775" t="str">
            <v>ФОНТАНКИ наб.реки</v>
          </cell>
          <cell r="C775">
            <v>167</v>
          </cell>
          <cell r="D775" t="str">
            <v>Б</v>
          </cell>
        </row>
        <row r="776">
          <cell r="B776" t="str">
            <v>ФОНТАНКИ наб.реки</v>
          </cell>
          <cell r="C776">
            <v>171</v>
          </cell>
          <cell r="D776" t="str">
            <v>А</v>
          </cell>
        </row>
        <row r="777">
          <cell r="B777" t="str">
            <v>ФОНТАНКИ наб.реки</v>
          </cell>
          <cell r="C777">
            <v>179</v>
          </cell>
          <cell r="D777" t="str">
            <v>А</v>
          </cell>
        </row>
        <row r="778">
          <cell r="B778" t="str">
            <v>ФОНТАНКИ наб.реки</v>
          </cell>
          <cell r="C778" t="str">
            <v>181/6</v>
          </cell>
          <cell r="D778" t="str">
            <v>А</v>
          </cell>
        </row>
        <row r="779">
          <cell r="B779" t="str">
            <v>ФОНТАНКИ наб.реки</v>
          </cell>
          <cell r="C779">
            <v>183</v>
          </cell>
          <cell r="D779" t="str">
            <v>А</v>
          </cell>
        </row>
        <row r="780">
          <cell r="B780" t="str">
            <v>ФОНТАНКИ наб.реки</v>
          </cell>
          <cell r="C780">
            <v>187</v>
          </cell>
          <cell r="D780" t="str">
            <v>А</v>
          </cell>
        </row>
        <row r="781">
          <cell r="B781" t="str">
            <v>ФОНТАНКИ наб.реки</v>
          </cell>
          <cell r="C781">
            <v>189</v>
          </cell>
          <cell r="D781" t="str">
            <v>А</v>
          </cell>
        </row>
        <row r="782">
          <cell r="B782" t="str">
            <v>ФОНТАНКИ наб.реки</v>
          </cell>
          <cell r="C782">
            <v>191</v>
          </cell>
          <cell r="D782" t="str">
            <v>А</v>
          </cell>
        </row>
        <row r="783">
          <cell r="B783" t="str">
            <v>ФОНТАНКИ наб.реки</v>
          </cell>
          <cell r="C783">
            <v>193</v>
          </cell>
          <cell r="D783" t="str">
            <v>А</v>
          </cell>
        </row>
        <row r="784">
          <cell r="B784" t="str">
            <v>ЯКУБОВИЧА ул.</v>
          </cell>
          <cell r="C784">
            <v>14</v>
          </cell>
          <cell r="D784" t="str">
            <v>А</v>
          </cell>
        </row>
        <row r="785">
          <cell r="B785" t="str">
            <v>ЯКУБОВИЧА ул.</v>
          </cell>
          <cell r="C785">
            <v>16</v>
          </cell>
          <cell r="D785" t="str">
            <v>А</v>
          </cell>
        </row>
        <row r="786">
          <cell r="B786" t="str">
            <v>ЯКУБОВИЧА ул.</v>
          </cell>
          <cell r="C786">
            <v>2</v>
          </cell>
          <cell r="D786" t="str">
            <v>А</v>
          </cell>
        </row>
        <row r="787">
          <cell r="B787" t="str">
            <v>ЯКУБОВИЧА ул.</v>
          </cell>
          <cell r="C787">
            <v>2</v>
          </cell>
          <cell r="D787" t="str">
            <v>Б</v>
          </cell>
        </row>
        <row r="788">
          <cell r="B788" t="str">
            <v>ЯКУБОВИЧА ул.</v>
          </cell>
          <cell r="C788">
            <v>20</v>
          </cell>
          <cell r="D788" t="str">
            <v>А</v>
          </cell>
        </row>
        <row r="789">
          <cell r="B789" t="str">
            <v>ЯКУБОВИЧА ул.</v>
          </cell>
          <cell r="C789">
            <v>20</v>
          </cell>
          <cell r="D789" t="str">
            <v>Б</v>
          </cell>
        </row>
        <row r="790">
          <cell r="B790" t="str">
            <v>ЯКУБОВИЧА ул.</v>
          </cell>
          <cell r="C790">
            <v>22</v>
          </cell>
          <cell r="D790" t="str">
            <v>А</v>
          </cell>
        </row>
        <row r="791">
          <cell r="B791" t="str">
            <v>ЯКУБОВИЧА ул.</v>
          </cell>
          <cell r="C791">
            <v>22</v>
          </cell>
          <cell r="D791" t="str">
            <v>Б</v>
          </cell>
        </row>
        <row r="792">
          <cell r="B792" t="str">
            <v>ЯКУБОВИЧА ул.</v>
          </cell>
          <cell r="C792">
            <v>22</v>
          </cell>
          <cell r="D792" t="str">
            <v>В</v>
          </cell>
        </row>
        <row r="793">
          <cell r="B793" t="str">
            <v>ЯКУБОВИЧА ул.</v>
          </cell>
          <cell r="C793">
            <v>24</v>
          </cell>
          <cell r="D793" t="str">
            <v>А</v>
          </cell>
        </row>
        <row r="794">
          <cell r="B794" t="str">
            <v>ЯКУБОВИЧА ул.</v>
          </cell>
          <cell r="C794">
            <v>8</v>
          </cell>
          <cell r="D794" t="str">
            <v>А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453"/>
  <sheetViews>
    <sheetView view="pageBreakPreview" zoomScale="51" zoomScaleNormal="60" zoomScaleSheetLayoutView="51" workbookViewId="0">
      <pane xSplit="6" ySplit="7" topLeftCell="G8" activePane="bottomRight" state="frozen"/>
      <selection pane="topRight" activeCell="G1" sqref="G1"/>
      <selection pane="bottomLeft" activeCell="A8" sqref="A8"/>
      <selection pane="bottomRight" activeCell="D34" sqref="D34"/>
    </sheetView>
  </sheetViews>
  <sheetFormatPr defaultColWidth="9.140625" defaultRowHeight="15.75" outlineLevelRow="1"/>
  <cols>
    <col min="1" max="1" width="5.42578125" style="1" customWidth="1"/>
    <col min="2" max="2" width="17.5703125" style="1" customWidth="1"/>
    <col min="3" max="3" width="28.42578125" style="1" customWidth="1"/>
    <col min="4" max="4" width="34.5703125" style="1" customWidth="1"/>
    <col min="5" max="5" width="9.7109375" style="1" customWidth="1"/>
    <col min="6" max="6" width="10.85546875" style="195" customWidth="1"/>
    <col min="7" max="7" width="10.85546875" style="1" customWidth="1"/>
    <col min="8" max="8" width="11.28515625" style="198" customWidth="1"/>
    <col min="9" max="9" width="9.7109375" style="1" customWidth="1"/>
    <col min="10" max="10" width="20.7109375" style="1" customWidth="1"/>
    <col min="11" max="11" width="18.28515625" style="1" customWidth="1"/>
    <col min="12" max="13" width="9.7109375" style="1" customWidth="1"/>
    <col min="14" max="14" width="9.28515625" style="1" customWidth="1"/>
    <col min="15" max="16" width="17.42578125" style="195" customWidth="1"/>
    <col min="17" max="17" width="11.42578125" style="195" customWidth="1"/>
    <col min="18" max="18" width="11.42578125" style="1" customWidth="1"/>
    <col min="19" max="19" width="11.140625" style="1" customWidth="1"/>
    <col min="20" max="20" width="12.140625" style="1" customWidth="1"/>
    <col min="21" max="21" width="13.28515625" style="1" customWidth="1"/>
    <col min="22" max="22" width="15.85546875" style="1" customWidth="1"/>
    <col min="23" max="23" width="9.7109375" style="1" customWidth="1"/>
    <col min="24" max="25" width="9.140625" style="1" customWidth="1"/>
    <col min="26" max="28" width="9.7109375" style="1" customWidth="1"/>
    <col min="29" max="30" width="8.7109375" style="1" customWidth="1"/>
    <col min="31" max="31" width="8.85546875" style="1" customWidth="1"/>
    <col min="32" max="32" width="8.85546875" style="198" customWidth="1"/>
    <col min="33" max="37" width="7.42578125" style="1" customWidth="1"/>
    <col min="38" max="16384" width="9.140625" style="1"/>
  </cols>
  <sheetData>
    <row r="1" spans="1:37">
      <c r="A1" s="1" t="s">
        <v>26</v>
      </c>
      <c r="AE1" s="2"/>
      <c r="AF1" s="207"/>
    </row>
    <row r="2" spans="1:37" ht="18.75">
      <c r="A2" s="22" t="s">
        <v>108</v>
      </c>
      <c r="C2" s="22"/>
      <c r="AE2" s="2"/>
      <c r="AF2" s="207"/>
    </row>
    <row r="3" spans="1:37" ht="18.75">
      <c r="A3" s="22" t="s">
        <v>109</v>
      </c>
      <c r="C3" s="22"/>
      <c r="AE3" s="2"/>
      <c r="AF3" s="207"/>
    </row>
    <row r="4" spans="1:37">
      <c r="A4" s="15"/>
      <c r="B4" s="15" t="s">
        <v>122</v>
      </c>
      <c r="AE4" s="2"/>
      <c r="AF4" s="207"/>
    </row>
    <row r="5" spans="1:37" s="27" customFormat="1" ht="58.15" customHeight="1">
      <c r="A5" s="282" t="s">
        <v>22</v>
      </c>
      <c r="B5" s="289" t="s">
        <v>54</v>
      </c>
      <c r="C5" s="290"/>
      <c r="D5" s="290"/>
      <c r="E5" s="290"/>
      <c r="F5" s="290"/>
      <c r="G5" s="290"/>
      <c r="H5" s="290"/>
      <c r="I5" s="290"/>
      <c r="J5" s="291"/>
      <c r="K5" s="286" t="s">
        <v>53</v>
      </c>
      <c r="L5" s="287"/>
      <c r="M5" s="287"/>
      <c r="N5" s="287"/>
      <c r="O5" s="287"/>
      <c r="P5" s="287"/>
      <c r="Q5" s="287"/>
      <c r="R5" s="287"/>
      <c r="S5" s="287"/>
      <c r="T5" s="287"/>
      <c r="U5" s="287"/>
      <c r="V5" s="287"/>
      <c r="W5" s="287"/>
      <c r="X5" s="287"/>
      <c r="Y5" s="287"/>
      <c r="Z5" s="287"/>
      <c r="AA5" s="287"/>
      <c r="AB5" s="287"/>
      <c r="AC5" s="287"/>
      <c r="AD5" s="287"/>
      <c r="AE5" s="287"/>
      <c r="AF5" s="288"/>
      <c r="AG5" s="283" t="s">
        <v>77</v>
      </c>
      <c r="AH5" s="284"/>
      <c r="AI5" s="284"/>
      <c r="AJ5" s="284"/>
      <c r="AK5" s="285"/>
    </row>
    <row r="6" spans="1:37" s="33" customFormat="1" ht="151.15" customHeight="1">
      <c r="A6" s="282"/>
      <c r="B6" s="34" t="s">
        <v>0</v>
      </c>
      <c r="C6" s="34" t="s">
        <v>110</v>
      </c>
      <c r="D6" s="25" t="s">
        <v>1</v>
      </c>
      <c r="E6" s="28" t="s">
        <v>55</v>
      </c>
      <c r="F6" s="162" t="s">
        <v>148</v>
      </c>
      <c r="G6" s="25" t="s">
        <v>19</v>
      </c>
      <c r="H6" s="162" t="s">
        <v>153</v>
      </c>
      <c r="I6" s="25" t="s">
        <v>37</v>
      </c>
      <c r="J6" s="26" t="s">
        <v>147</v>
      </c>
      <c r="K6" s="29" t="s">
        <v>20</v>
      </c>
      <c r="L6" s="29" t="s">
        <v>21</v>
      </c>
      <c r="M6" s="29" t="s">
        <v>125</v>
      </c>
      <c r="N6" s="29" t="s">
        <v>17</v>
      </c>
      <c r="O6" s="30" t="s">
        <v>129</v>
      </c>
      <c r="P6" s="30" t="s">
        <v>128</v>
      </c>
      <c r="Q6" s="164" t="s">
        <v>123</v>
      </c>
      <c r="R6" s="42" t="s">
        <v>124</v>
      </c>
      <c r="S6" s="20" t="s">
        <v>23</v>
      </c>
      <c r="T6" s="20" t="s">
        <v>36</v>
      </c>
      <c r="U6" s="20" t="s">
        <v>18</v>
      </c>
      <c r="V6" s="20" t="s">
        <v>51</v>
      </c>
      <c r="W6" s="31" t="s">
        <v>34</v>
      </c>
      <c r="X6" s="31" t="s">
        <v>27</v>
      </c>
      <c r="Y6" s="31" t="s">
        <v>28</v>
      </c>
      <c r="Z6" s="31" t="s">
        <v>30</v>
      </c>
      <c r="AA6" s="32" t="s">
        <v>25</v>
      </c>
      <c r="AB6" s="32" t="s">
        <v>31</v>
      </c>
      <c r="AC6" s="32" t="s">
        <v>52</v>
      </c>
      <c r="AD6" s="32" t="s">
        <v>107</v>
      </c>
      <c r="AE6" s="32" t="s">
        <v>32</v>
      </c>
      <c r="AF6" s="32" t="s">
        <v>35</v>
      </c>
      <c r="AG6" s="57" t="s">
        <v>126</v>
      </c>
      <c r="AH6" s="57" t="s">
        <v>56</v>
      </c>
      <c r="AI6" s="57" t="s">
        <v>57</v>
      </c>
      <c r="AJ6" s="57" t="s">
        <v>127</v>
      </c>
      <c r="AK6" s="57" t="s">
        <v>58</v>
      </c>
    </row>
    <row r="7" spans="1:37" s="24" customFormat="1">
      <c r="A7" s="52">
        <v>1</v>
      </c>
      <c r="B7" s="52">
        <v>2</v>
      </c>
      <c r="C7" s="52">
        <v>3</v>
      </c>
      <c r="D7" s="52">
        <v>4</v>
      </c>
      <c r="E7" s="52">
        <v>5</v>
      </c>
      <c r="F7" s="52">
        <v>6</v>
      </c>
      <c r="G7" s="52">
        <v>7</v>
      </c>
      <c r="H7" s="52">
        <v>8</v>
      </c>
      <c r="I7" s="52">
        <v>9</v>
      </c>
      <c r="J7" s="52">
        <v>10</v>
      </c>
      <c r="K7" s="53">
        <v>11</v>
      </c>
      <c r="L7" s="53">
        <v>12</v>
      </c>
      <c r="M7" s="53">
        <v>13</v>
      </c>
      <c r="N7" s="53">
        <v>14</v>
      </c>
      <c r="O7" s="53">
        <v>15</v>
      </c>
      <c r="P7" s="53">
        <v>16</v>
      </c>
      <c r="Q7" s="53">
        <v>17</v>
      </c>
      <c r="R7" s="53">
        <v>18</v>
      </c>
      <c r="S7" s="55">
        <v>19</v>
      </c>
      <c r="T7" s="55">
        <v>20</v>
      </c>
      <c r="U7" s="55">
        <v>21</v>
      </c>
      <c r="V7" s="55">
        <v>22</v>
      </c>
      <c r="W7" s="56">
        <v>23</v>
      </c>
      <c r="X7" s="56">
        <v>24</v>
      </c>
      <c r="Y7" s="56">
        <v>25</v>
      </c>
      <c r="Z7" s="56">
        <v>26</v>
      </c>
      <c r="AA7" s="56">
        <v>27</v>
      </c>
      <c r="AB7" s="56">
        <v>28</v>
      </c>
      <c r="AC7" s="56">
        <v>29</v>
      </c>
      <c r="AD7" s="56">
        <v>30</v>
      </c>
      <c r="AE7" s="56">
        <v>31</v>
      </c>
      <c r="AF7" s="31">
        <v>32</v>
      </c>
      <c r="AG7" s="54">
        <v>33</v>
      </c>
      <c r="AH7" s="54">
        <v>34</v>
      </c>
      <c r="AI7" s="54">
        <v>35</v>
      </c>
      <c r="AJ7" s="54">
        <v>36</v>
      </c>
      <c r="AK7" s="54">
        <v>37</v>
      </c>
    </row>
    <row r="8" spans="1:37" s="65" customFormat="1" outlineLevel="1">
      <c r="A8" s="63">
        <v>1</v>
      </c>
      <c r="B8" s="64" t="s">
        <v>190</v>
      </c>
      <c r="C8" s="64" t="s">
        <v>235</v>
      </c>
      <c r="D8" s="64" t="str">
        <f>[1]Лист2!B1</f>
        <v>10-я КРАСНОАРМЕЙСКАЯ  ул.</v>
      </c>
      <c r="E8" s="68">
        <v>11</v>
      </c>
      <c r="F8" s="196" t="s">
        <v>191</v>
      </c>
      <c r="G8" s="64"/>
      <c r="H8" s="67">
        <v>129001</v>
      </c>
      <c r="I8" s="64" t="s">
        <v>234</v>
      </c>
      <c r="J8" s="64"/>
      <c r="K8" s="64" t="s">
        <v>232</v>
      </c>
      <c r="L8" s="64" t="s">
        <v>232</v>
      </c>
      <c r="M8" s="72">
        <v>1873</v>
      </c>
      <c r="N8" s="64" t="s">
        <v>385</v>
      </c>
      <c r="O8" s="73">
        <v>3</v>
      </c>
      <c r="P8" s="196">
        <v>0</v>
      </c>
      <c r="Q8" s="73">
        <v>3</v>
      </c>
      <c r="R8" s="74">
        <v>20</v>
      </c>
      <c r="S8" s="75">
        <v>1654</v>
      </c>
      <c r="T8" s="82">
        <f>U8</f>
        <v>1483</v>
      </c>
      <c r="U8" s="77">
        <f>S8-V8</f>
        <v>1483</v>
      </c>
      <c r="V8" s="79">
        <v>171</v>
      </c>
      <c r="W8" s="80" t="s">
        <v>233</v>
      </c>
      <c r="X8" s="81" t="s">
        <v>233</v>
      </c>
      <c r="Y8" s="64" t="s">
        <v>233</v>
      </c>
      <c r="Z8" s="81" t="s">
        <v>233</v>
      </c>
      <c r="AA8" s="64" t="s">
        <v>233</v>
      </c>
      <c r="AB8" s="81" t="s">
        <v>233</v>
      </c>
      <c r="AC8" s="64" t="s">
        <v>240</v>
      </c>
      <c r="AD8" s="64" t="s">
        <v>233</v>
      </c>
      <c r="AE8" s="64" t="s">
        <v>240</v>
      </c>
      <c r="AF8" s="208">
        <v>0</v>
      </c>
      <c r="AG8" s="64">
        <v>1</v>
      </c>
      <c r="AH8" s="64">
        <v>1</v>
      </c>
      <c r="AI8" s="64">
        <v>0</v>
      </c>
      <c r="AJ8" s="64">
        <v>0</v>
      </c>
      <c r="AK8" s="64">
        <v>0</v>
      </c>
    </row>
    <row r="9" spans="1:37" s="65" customFormat="1" outlineLevel="1">
      <c r="A9" s="63">
        <v>2</v>
      </c>
      <c r="B9" s="64" t="s">
        <v>190</v>
      </c>
      <c r="C9" s="64" t="s">
        <v>235</v>
      </c>
      <c r="D9" s="64" t="str">
        <f>[1]Лист2!B2</f>
        <v>10-я КРАСНОАРМЕЙСКАЯ  ул.</v>
      </c>
      <c r="E9" s="68">
        <v>13</v>
      </c>
      <c r="F9" s="196" t="s">
        <v>191</v>
      </c>
      <c r="G9" s="64"/>
      <c r="H9" s="67">
        <v>129002</v>
      </c>
      <c r="I9" s="64" t="s">
        <v>234</v>
      </c>
      <c r="J9" s="64"/>
      <c r="K9" s="64" t="s">
        <v>232</v>
      </c>
      <c r="L9" s="64" t="s">
        <v>232</v>
      </c>
      <c r="M9" s="72">
        <v>1863</v>
      </c>
      <c r="N9" s="64" t="s">
        <v>385</v>
      </c>
      <c r="O9" s="73">
        <v>5</v>
      </c>
      <c r="P9" s="196">
        <v>0</v>
      </c>
      <c r="Q9" s="73">
        <v>3</v>
      </c>
      <c r="R9" s="74">
        <v>18</v>
      </c>
      <c r="S9" s="75">
        <v>1826.4</v>
      </c>
      <c r="T9" s="82">
        <f t="shared" ref="T9:T72" si="0">U9</f>
        <v>1544.6000000000001</v>
      </c>
      <c r="U9" s="77">
        <f t="shared" ref="U9:U72" si="1">S9-V9</f>
        <v>1544.6000000000001</v>
      </c>
      <c r="V9" s="77">
        <v>281.8</v>
      </c>
      <c r="W9" s="80" t="s">
        <v>233</v>
      </c>
      <c r="X9" s="81" t="s">
        <v>233</v>
      </c>
      <c r="Y9" s="64" t="s">
        <v>233</v>
      </c>
      <c r="Z9" s="81" t="s">
        <v>233</v>
      </c>
      <c r="AA9" s="64" t="s">
        <v>233</v>
      </c>
      <c r="AB9" s="81" t="s">
        <v>233</v>
      </c>
      <c r="AC9" s="64" t="s">
        <v>240</v>
      </c>
      <c r="AD9" s="64" t="s">
        <v>233</v>
      </c>
      <c r="AE9" s="64" t="s">
        <v>240</v>
      </c>
      <c r="AF9" s="208">
        <v>0</v>
      </c>
      <c r="AG9" s="64">
        <v>1</v>
      </c>
      <c r="AH9" s="64">
        <v>1</v>
      </c>
      <c r="AI9" s="64">
        <v>0</v>
      </c>
      <c r="AJ9" s="64">
        <v>0</v>
      </c>
      <c r="AK9" s="64">
        <v>0</v>
      </c>
    </row>
    <row r="10" spans="1:37" outlineLevel="1">
      <c r="A10" s="5">
        <v>3</v>
      </c>
      <c r="B10" s="64" t="s">
        <v>190</v>
      </c>
      <c r="C10" s="64" t="s">
        <v>235</v>
      </c>
      <c r="D10" s="4" t="str">
        <f>[1]Лист2!B3</f>
        <v>10-я КРАСНОАРМЕЙСКАЯ  ул.</v>
      </c>
      <c r="E10" s="69">
        <f>[1]Лист2!C3</f>
        <v>14</v>
      </c>
      <c r="F10" s="197" t="str">
        <f>[1]Лист2!D3</f>
        <v>А</v>
      </c>
      <c r="G10" s="4"/>
      <c r="H10" s="199">
        <v>129003</v>
      </c>
      <c r="I10" s="64" t="s">
        <v>234</v>
      </c>
      <c r="J10" s="4"/>
      <c r="K10" s="64" t="s">
        <v>232</v>
      </c>
      <c r="L10" s="64" t="s">
        <v>232</v>
      </c>
      <c r="M10" s="72">
        <v>1908</v>
      </c>
      <c r="N10" s="64" t="s">
        <v>385</v>
      </c>
      <c r="O10" s="73">
        <v>6</v>
      </c>
      <c r="P10" s="196">
        <v>0</v>
      </c>
      <c r="Q10" s="73">
        <v>2</v>
      </c>
      <c r="R10" s="74">
        <v>89</v>
      </c>
      <c r="S10" s="76">
        <v>3301.1600000000003</v>
      </c>
      <c r="T10" s="82">
        <f t="shared" si="0"/>
        <v>3103.36</v>
      </c>
      <c r="U10" s="77">
        <f t="shared" si="1"/>
        <v>3103.36</v>
      </c>
      <c r="V10" s="78">
        <v>197.8</v>
      </c>
      <c r="W10" s="80" t="s">
        <v>233</v>
      </c>
      <c r="X10" s="81" t="s">
        <v>233</v>
      </c>
      <c r="Y10" s="4" t="s">
        <v>233</v>
      </c>
      <c r="Z10" s="81" t="s">
        <v>233</v>
      </c>
      <c r="AA10" s="64" t="s">
        <v>233</v>
      </c>
      <c r="AB10" s="81" t="s">
        <v>233</v>
      </c>
      <c r="AC10" s="64" t="s">
        <v>240</v>
      </c>
      <c r="AD10" s="64" t="s">
        <v>233</v>
      </c>
      <c r="AE10" s="64" t="s">
        <v>240</v>
      </c>
      <c r="AF10" s="208">
        <v>0</v>
      </c>
      <c r="AG10" s="4">
        <v>1</v>
      </c>
      <c r="AH10" s="64">
        <v>1</v>
      </c>
      <c r="AI10" s="4">
        <v>1</v>
      </c>
      <c r="AJ10" s="4">
        <v>1</v>
      </c>
      <c r="AK10" s="4">
        <v>0</v>
      </c>
    </row>
    <row r="11" spans="1:37" outlineLevel="1">
      <c r="A11" s="5">
        <v>4</v>
      </c>
      <c r="B11" s="64" t="s">
        <v>190</v>
      </c>
      <c r="C11" s="64" t="s">
        <v>235</v>
      </c>
      <c r="D11" s="4" t="str">
        <f>[1]Лист2!B4</f>
        <v>10-я КРАСНОАРМЕЙСКАЯ  ул.</v>
      </c>
      <c r="E11" s="69">
        <f>[1]Лист2!C4</f>
        <v>19</v>
      </c>
      <c r="F11" s="197" t="str">
        <f>[1]Лист2!D4</f>
        <v>А</v>
      </c>
      <c r="G11" s="4"/>
      <c r="H11" s="199">
        <v>129004</v>
      </c>
      <c r="I11" s="64" t="s">
        <v>234</v>
      </c>
      <c r="J11" s="4" t="s">
        <v>1422</v>
      </c>
      <c r="K11" s="64" t="s">
        <v>232</v>
      </c>
      <c r="L11" s="64" t="s">
        <v>232</v>
      </c>
      <c r="M11" s="72">
        <v>1917</v>
      </c>
      <c r="N11" s="64" t="s">
        <v>385</v>
      </c>
      <c r="O11" s="73">
        <v>3</v>
      </c>
      <c r="P11" s="196">
        <v>0</v>
      </c>
      <c r="Q11" s="73">
        <v>1</v>
      </c>
      <c r="R11" s="74">
        <v>15</v>
      </c>
      <c r="S11" s="76">
        <v>967.9</v>
      </c>
      <c r="T11" s="82">
        <v>967.9</v>
      </c>
      <c r="U11" s="77"/>
      <c r="V11" s="78">
        <v>967.9</v>
      </c>
      <c r="W11" s="80" t="s">
        <v>233</v>
      </c>
      <c r="X11" s="81" t="s">
        <v>233</v>
      </c>
      <c r="Y11" s="4" t="s">
        <v>233</v>
      </c>
      <c r="Z11" s="81" t="s">
        <v>233</v>
      </c>
      <c r="AA11" s="64" t="s">
        <v>233</v>
      </c>
      <c r="AB11" s="81" t="s">
        <v>233</v>
      </c>
      <c r="AC11" s="64" t="s">
        <v>240</v>
      </c>
      <c r="AD11" s="64" t="s">
        <v>233</v>
      </c>
      <c r="AE11" s="64" t="s">
        <v>240</v>
      </c>
      <c r="AF11" s="208">
        <v>0</v>
      </c>
      <c r="AG11" s="4">
        <v>1</v>
      </c>
      <c r="AH11" s="64">
        <v>1</v>
      </c>
      <c r="AI11" s="4">
        <v>0</v>
      </c>
      <c r="AJ11" s="4">
        <v>0</v>
      </c>
      <c r="AK11" s="4">
        <v>0</v>
      </c>
    </row>
    <row r="12" spans="1:37" outlineLevel="1">
      <c r="A12" s="5">
        <v>5</v>
      </c>
      <c r="B12" s="64" t="s">
        <v>190</v>
      </c>
      <c r="C12" s="64" t="s">
        <v>235</v>
      </c>
      <c r="D12" s="4" t="str">
        <f>[1]Лист2!B5</f>
        <v>10-я КРАСНОАРМЕЙСКАЯ  ул.</v>
      </c>
      <c r="E12" s="69">
        <f>[1]Лист2!C5</f>
        <v>21</v>
      </c>
      <c r="F12" s="197" t="str">
        <f>[1]Лист2!D5</f>
        <v>А</v>
      </c>
      <c r="G12" s="64"/>
      <c r="H12" s="199">
        <v>129005</v>
      </c>
      <c r="I12" s="64" t="s">
        <v>234</v>
      </c>
      <c r="J12" s="4"/>
      <c r="K12" s="64" t="s">
        <v>232</v>
      </c>
      <c r="L12" s="4" t="s">
        <v>232</v>
      </c>
      <c r="M12" s="72">
        <v>1909</v>
      </c>
      <c r="N12" s="64" t="s">
        <v>385</v>
      </c>
      <c r="O12" s="73">
        <v>4</v>
      </c>
      <c r="P12" s="196">
        <v>0</v>
      </c>
      <c r="Q12" s="73">
        <v>2</v>
      </c>
      <c r="R12" s="74">
        <v>21</v>
      </c>
      <c r="S12" s="76">
        <v>1361.81</v>
      </c>
      <c r="T12" s="82">
        <f t="shared" si="0"/>
        <v>1133.81</v>
      </c>
      <c r="U12" s="77">
        <f t="shared" si="1"/>
        <v>1133.81</v>
      </c>
      <c r="V12" s="78">
        <v>228</v>
      </c>
      <c r="W12" s="80" t="s">
        <v>233</v>
      </c>
      <c r="X12" s="81" t="s">
        <v>233</v>
      </c>
      <c r="Y12" s="4" t="s">
        <v>233</v>
      </c>
      <c r="Z12" s="81" t="s">
        <v>233</v>
      </c>
      <c r="AA12" s="64" t="s">
        <v>233</v>
      </c>
      <c r="AB12" s="81" t="s">
        <v>233</v>
      </c>
      <c r="AC12" s="64" t="s">
        <v>240</v>
      </c>
      <c r="AD12" s="64" t="s">
        <v>233</v>
      </c>
      <c r="AE12" s="64" t="s">
        <v>240</v>
      </c>
      <c r="AF12" s="208">
        <v>0</v>
      </c>
      <c r="AG12" s="4">
        <v>2</v>
      </c>
      <c r="AH12" s="64">
        <v>1</v>
      </c>
      <c r="AI12" s="4">
        <v>1</v>
      </c>
      <c r="AJ12" s="4">
        <v>1</v>
      </c>
      <c r="AK12" s="4">
        <v>0</v>
      </c>
    </row>
    <row r="13" spans="1:37" outlineLevel="1">
      <c r="A13" s="5">
        <v>6</v>
      </c>
      <c r="B13" s="64" t="s">
        <v>190</v>
      </c>
      <c r="C13" s="64" t="s">
        <v>235</v>
      </c>
      <c r="D13" s="4" t="str">
        <f>[1]Лист2!B6</f>
        <v>10-я КРАСНОАРМЕЙСКАЯ  ул.</v>
      </c>
      <c r="E13" s="69">
        <f>[1]Лист2!C6</f>
        <v>23</v>
      </c>
      <c r="F13" s="197" t="str">
        <f>[1]Лист2!D6</f>
        <v>А</v>
      </c>
      <c r="G13" s="64"/>
      <c r="H13" s="199">
        <v>129006</v>
      </c>
      <c r="I13" s="64" t="s">
        <v>234</v>
      </c>
      <c r="J13" s="4"/>
      <c r="K13" s="64" t="s">
        <v>232</v>
      </c>
      <c r="L13" s="4" t="s">
        <v>232</v>
      </c>
      <c r="M13" s="72">
        <v>1875</v>
      </c>
      <c r="N13" s="64" t="s">
        <v>385</v>
      </c>
      <c r="O13" s="73">
        <v>4</v>
      </c>
      <c r="P13" s="196">
        <v>0</v>
      </c>
      <c r="Q13" s="73">
        <v>4</v>
      </c>
      <c r="R13" s="74">
        <v>64</v>
      </c>
      <c r="S13" s="76">
        <v>2420.0899999999997</v>
      </c>
      <c r="T13" s="82">
        <f t="shared" si="0"/>
        <v>2372.0899999999997</v>
      </c>
      <c r="U13" s="77">
        <f t="shared" si="1"/>
        <v>2372.0899999999997</v>
      </c>
      <c r="V13" s="78">
        <v>48</v>
      </c>
      <c r="W13" s="80" t="s">
        <v>233</v>
      </c>
      <c r="X13" s="81" t="s">
        <v>233</v>
      </c>
      <c r="Y13" s="4" t="s">
        <v>233</v>
      </c>
      <c r="Z13" s="81" t="s">
        <v>233</v>
      </c>
      <c r="AA13" s="64" t="s">
        <v>233</v>
      </c>
      <c r="AB13" s="81" t="s">
        <v>233</v>
      </c>
      <c r="AC13" s="64" t="s">
        <v>240</v>
      </c>
      <c r="AD13" s="64" t="s">
        <v>233</v>
      </c>
      <c r="AE13" s="64" t="s">
        <v>240</v>
      </c>
      <c r="AF13" s="208">
        <v>0</v>
      </c>
      <c r="AG13" s="4">
        <v>1</v>
      </c>
      <c r="AH13" s="64">
        <v>1</v>
      </c>
      <c r="AI13" s="4">
        <v>0</v>
      </c>
      <c r="AJ13" s="4">
        <v>0</v>
      </c>
      <c r="AK13" s="4">
        <v>0</v>
      </c>
    </row>
    <row r="14" spans="1:37" outlineLevel="1">
      <c r="A14" s="63">
        <v>7</v>
      </c>
      <c r="B14" s="64" t="s">
        <v>190</v>
      </c>
      <c r="C14" s="64" t="s">
        <v>235</v>
      </c>
      <c r="D14" s="4" t="str">
        <f>[1]Лист2!B7</f>
        <v>10-я КРАСНОАРМЕЙСКАЯ  ул.</v>
      </c>
      <c r="E14" s="69">
        <f>[1]Лист2!C7</f>
        <v>24</v>
      </c>
      <c r="F14" s="197" t="str">
        <f>[1]Лист2!D7</f>
        <v>А</v>
      </c>
      <c r="G14" s="4"/>
      <c r="H14" s="199">
        <v>129007</v>
      </c>
      <c r="I14" s="64" t="s">
        <v>234</v>
      </c>
      <c r="J14" s="4"/>
      <c r="K14" s="64" t="s">
        <v>232</v>
      </c>
      <c r="L14" s="4" t="s">
        <v>232</v>
      </c>
      <c r="M14" s="72">
        <v>1917</v>
      </c>
      <c r="N14" s="64" t="s">
        <v>385</v>
      </c>
      <c r="O14" s="73">
        <v>4</v>
      </c>
      <c r="P14" s="196">
        <v>0</v>
      </c>
      <c r="Q14" s="73">
        <v>2</v>
      </c>
      <c r="R14" s="74">
        <v>22</v>
      </c>
      <c r="S14" s="76">
        <v>1930.03</v>
      </c>
      <c r="T14" s="82">
        <f t="shared" si="0"/>
        <v>1519.53</v>
      </c>
      <c r="U14" s="77">
        <f t="shared" si="1"/>
        <v>1519.53</v>
      </c>
      <c r="V14" s="78">
        <v>410.5</v>
      </c>
      <c r="W14" s="80" t="s">
        <v>233</v>
      </c>
      <c r="X14" s="81" t="s">
        <v>233</v>
      </c>
      <c r="Y14" s="4" t="s">
        <v>233</v>
      </c>
      <c r="Z14" s="81" t="s">
        <v>233</v>
      </c>
      <c r="AA14" s="64" t="s">
        <v>233</v>
      </c>
      <c r="AB14" s="81" t="s">
        <v>233</v>
      </c>
      <c r="AC14" s="64" t="s">
        <v>240</v>
      </c>
      <c r="AD14" s="64" t="s">
        <v>233</v>
      </c>
      <c r="AE14" s="64" t="s">
        <v>240</v>
      </c>
      <c r="AF14" s="208">
        <v>0</v>
      </c>
      <c r="AG14" s="4">
        <v>2</v>
      </c>
      <c r="AH14" s="64">
        <v>1</v>
      </c>
      <c r="AI14" s="4">
        <v>0</v>
      </c>
      <c r="AJ14" s="4">
        <v>0</v>
      </c>
      <c r="AK14" s="4">
        <v>0</v>
      </c>
    </row>
    <row r="15" spans="1:37" outlineLevel="1">
      <c r="A15" s="63">
        <v>8</v>
      </c>
      <c r="B15" s="64" t="s">
        <v>190</v>
      </c>
      <c r="C15" s="64" t="s">
        <v>235</v>
      </c>
      <c r="D15" s="4" t="str">
        <f>[1]Лист2!B8</f>
        <v>10-я КРАСНОАРМЕЙСКАЯ  ул.</v>
      </c>
      <c r="E15" s="69">
        <f>[1]Лист2!C8</f>
        <v>3</v>
      </c>
      <c r="F15" s="197" t="str">
        <f>[1]Лист2!D8</f>
        <v>А</v>
      </c>
      <c r="G15" s="4"/>
      <c r="H15" s="199">
        <v>129008</v>
      </c>
      <c r="I15" s="64" t="s">
        <v>234</v>
      </c>
      <c r="J15" s="4"/>
      <c r="K15" s="64" t="s">
        <v>232</v>
      </c>
      <c r="L15" s="4" t="s">
        <v>232</v>
      </c>
      <c r="M15" s="72">
        <v>1917</v>
      </c>
      <c r="N15" s="64" t="s">
        <v>385</v>
      </c>
      <c r="O15" s="73">
        <v>3</v>
      </c>
      <c r="P15" s="196">
        <v>0</v>
      </c>
      <c r="Q15" s="73">
        <v>1</v>
      </c>
      <c r="R15" s="74">
        <v>21</v>
      </c>
      <c r="S15" s="76">
        <v>3025</v>
      </c>
      <c r="T15" s="82">
        <f t="shared" si="0"/>
        <v>1547</v>
      </c>
      <c r="U15" s="77">
        <f t="shared" si="1"/>
        <v>1547</v>
      </c>
      <c r="V15" s="78">
        <v>1478</v>
      </c>
      <c r="W15" s="80" t="s">
        <v>233</v>
      </c>
      <c r="X15" s="81" t="s">
        <v>233</v>
      </c>
      <c r="Y15" s="4" t="s">
        <v>233</v>
      </c>
      <c r="Z15" s="81" t="s">
        <v>233</v>
      </c>
      <c r="AA15" s="64" t="s">
        <v>233</v>
      </c>
      <c r="AB15" s="81" t="s">
        <v>233</v>
      </c>
      <c r="AC15" s="64" t="s">
        <v>240</v>
      </c>
      <c r="AD15" s="64" t="s">
        <v>233</v>
      </c>
      <c r="AE15" s="64" t="s">
        <v>240</v>
      </c>
      <c r="AF15" s="208">
        <v>0</v>
      </c>
      <c r="AG15" s="4">
        <v>1</v>
      </c>
      <c r="AH15" s="64">
        <v>1</v>
      </c>
      <c r="AI15" s="4">
        <v>1</v>
      </c>
      <c r="AJ15" s="4">
        <v>1</v>
      </c>
      <c r="AK15" s="4">
        <v>0</v>
      </c>
    </row>
    <row r="16" spans="1:37" outlineLevel="1">
      <c r="A16" s="5">
        <v>9</v>
      </c>
      <c r="B16" s="64" t="s">
        <v>190</v>
      </c>
      <c r="C16" s="64" t="s">
        <v>235</v>
      </c>
      <c r="D16" s="4" t="str">
        <f>[1]Лист2!B9</f>
        <v>10-я КРАСНОАРМЕЙСКАЯ  ул.</v>
      </c>
      <c r="E16" s="69">
        <f>[1]Лист2!C9</f>
        <v>4</v>
      </c>
      <c r="F16" s="197" t="str">
        <f>[1]Лист2!D9</f>
        <v>А</v>
      </c>
      <c r="G16" s="64"/>
      <c r="H16" s="199">
        <v>129009</v>
      </c>
      <c r="I16" s="64" t="s">
        <v>234</v>
      </c>
      <c r="J16" s="4"/>
      <c r="K16" s="64" t="s">
        <v>232</v>
      </c>
      <c r="L16" s="4" t="s">
        <v>232</v>
      </c>
      <c r="M16" s="72">
        <v>1905</v>
      </c>
      <c r="N16" s="64" t="s">
        <v>385</v>
      </c>
      <c r="O16" s="73">
        <v>4</v>
      </c>
      <c r="P16" s="196">
        <v>0</v>
      </c>
      <c r="Q16" s="73">
        <v>2</v>
      </c>
      <c r="R16" s="74">
        <v>45</v>
      </c>
      <c r="S16" s="76">
        <v>1701.2</v>
      </c>
      <c r="T16" s="82">
        <f t="shared" si="0"/>
        <v>1407.5</v>
      </c>
      <c r="U16" s="77">
        <f t="shared" si="1"/>
        <v>1407.5</v>
      </c>
      <c r="V16" s="78">
        <v>293.7</v>
      </c>
      <c r="W16" s="80" t="s">
        <v>233</v>
      </c>
      <c r="X16" s="81" t="s">
        <v>233</v>
      </c>
      <c r="Y16" s="4" t="s">
        <v>233</v>
      </c>
      <c r="Z16" s="81" t="s">
        <v>233</v>
      </c>
      <c r="AA16" s="64" t="s">
        <v>233</v>
      </c>
      <c r="AB16" s="81" t="s">
        <v>233</v>
      </c>
      <c r="AC16" s="64" t="s">
        <v>240</v>
      </c>
      <c r="AD16" s="64" t="s">
        <v>233</v>
      </c>
      <c r="AE16" s="64" t="s">
        <v>240</v>
      </c>
      <c r="AF16" s="208">
        <v>0</v>
      </c>
      <c r="AG16" s="4">
        <v>1</v>
      </c>
      <c r="AH16" s="64">
        <v>1</v>
      </c>
      <c r="AI16" s="4">
        <v>1</v>
      </c>
      <c r="AJ16" s="4">
        <v>1</v>
      </c>
      <c r="AK16" s="4">
        <v>0</v>
      </c>
    </row>
    <row r="17" spans="1:37" outlineLevel="1">
      <c r="A17" s="5">
        <v>10</v>
      </c>
      <c r="B17" s="64" t="s">
        <v>190</v>
      </c>
      <c r="C17" s="64" t="s">
        <v>235</v>
      </c>
      <c r="D17" s="4" t="str">
        <f>[1]Лист2!B10</f>
        <v>10-я КРАСНОАРМЕЙСКАЯ  ул.</v>
      </c>
      <c r="E17" s="69">
        <f>[1]Лист2!C10</f>
        <v>6</v>
      </c>
      <c r="F17" s="197" t="str">
        <f>[1]Лист2!D10</f>
        <v>А</v>
      </c>
      <c r="G17" s="64"/>
      <c r="H17" s="199">
        <v>129010</v>
      </c>
      <c r="I17" s="64" t="s">
        <v>234</v>
      </c>
      <c r="J17" s="4"/>
      <c r="K17" s="64" t="s">
        <v>232</v>
      </c>
      <c r="L17" s="4" t="s">
        <v>232</v>
      </c>
      <c r="M17" s="72">
        <v>1917</v>
      </c>
      <c r="N17" s="64" t="s">
        <v>385</v>
      </c>
      <c r="O17" s="73">
        <v>4</v>
      </c>
      <c r="P17" s="196">
        <v>0</v>
      </c>
      <c r="Q17" s="73">
        <v>1</v>
      </c>
      <c r="R17" s="74">
        <v>32</v>
      </c>
      <c r="S17" s="76">
        <v>1139.2</v>
      </c>
      <c r="T17" s="82">
        <f t="shared" si="0"/>
        <v>962.7</v>
      </c>
      <c r="U17" s="77">
        <f t="shared" si="1"/>
        <v>962.7</v>
      </c>
      <c r="V17" s="78">
        <v>176.5</v>
      </c>
      <c r="W17" s="80" t="s">
        <v>233</v>
      </c>
      <c r="X17" s="81" t="s">
        <v>233</v>
      </c>
      <c r="Y17" s="4" t="s">
        <v>233</v>
      </c>
      <c r="Z17" s="81" t="s">
        <v>233</v>
      </c>
      <c r="AA17" s="64" t="s">
        <v>233</v>
      </c>
      <c r="AB17" s="81" t="s">
        <v>233</v>
      </c>
      <c r="AC17" s="64" t="s">
        <v>240</v>
      </c>
      <c r="AD17" s="64" t="s">
        <v>233</v>
      </c>
      <c r="AE17" s="64" t="s">
        <v>240</v>
      </c>
      <c r="AF17" s="208">
        <v>0</v>
      </c>
      <c r="AG17" s="4">
        <v>1</v>
      </c>
      <c r="AH17" s="64">
        <v>1</v>
      </c>
      <c r="AI17" s="4">
        <v>0</v>
      </c>
      <c r="AJ17" s="4">
        <v>0</v>
      </c>
      <c r="AK17" s="4">
        <v>0</v>
      </c>
    </row>
    <row r="18" spans="1:37" outlineLevel="1">
      <c r="A18" s="5">
        <v>11</v>
      </c>
      <c r="B18" s="64" t="s">
        <v>190</v>
      </c>
      <c r="C18" s="64" t="s">
        <v>235</v>
      </c>
      <c r="D18" s="4" t="str">
        <f>[1]Лист2!B11</f>
        <v>10-я КРАСНОАРМЕЙСКАЯ  ул.</v>
      </c>
      <c r="E18" s="69">
        <f>[1]Лист2!C11</f>
        <v>8</v>
      </c>
      <c r="F18" s="197" t="str">
        <f>[1]Лист2!D11</f>
        <v>А</v>
      </c>
      <c r="G18" s="4"/>
      <c r="H18" s="199">
        <v>129011</v>
      </c>
      <c r="I18" s="64" t="s">
        <v>234</v>
      </c>
      <c r="J18" s="4"/>
      <c r="K18" s="64" t="s">
        <v>232</v>
      </c>
      <c r="L18" s="64" t="s">
        <v>232</v>
      </c>
      <c r="M18" s="72">
        <v>1879</v>
      </c>
      <c r="N18" s="64" t="s">
        <v>385</v>
      </c>
      <c r="O18" s="73">
        <v>4</v>
      </c>
      <c r="P18" s="196">
        <v>0</v>
      </c>
      <c r="Q18" s="73">
        <v>1</v>
      </c>
      <c r="R18" s="74">
        <v>41</v>
      </c>
      <c r="S18" s="76">
        <v>1814</v>
      </c>
      <c r="T18" s="82">
        <f t="shared" si="0"/>
        <v>1745</v>
      </c>
      <c r="U18" s="77">
        <f t="shared" si="1"/>
        <v>1745</v>
      </c>
      <c r="V18" s="78">
        <v>69</v>
      </c>
      <c r="W18" s="80" t="s">
        <v>233</v>
      </c>
      <c r="X18" s="81" t="s">
        <v>233</v>
      </c>
      <c r="Y18" s="4" t="s">
        <v>233</v>
      </c>
      <c r="Z18" s="81" t="s">
        <v>233</v>
      </c>
      <c r="AA18" s="64" t="s">
        <v>233</v>
      </c>
      <c r="AB18" s="81" t="s">
        <v>233</v>
      </c>
      <c r="AC18" s="64" t="s">
        <v>240</v>
      </c>
      <c r="AD18" s="64" t="s">
        <v>233</v>
      </c>
      <c r="AE18" s="64" t="s">
        <v>240</v>
      </c>
      <c r="AF18" s="208">
        <v>0</v>
      </c>
      <c r="AG18" s="4">
        <v>1</v>
      </c>
      <c r="AH18" s="64">
        <v>1</v>
      </c>
      <c r="AI18" s="4">
        <v>1</v>
      </c>
      <c r="AJ18" s="4">
        <v>1</v>
      </c>
      <c r="AK18" s="4">
        <v>0</v>
      </c>
    </row>
    <row r="19" spans="1:37" outlineLevel="1">
      <c r="A19" s="5">
        <v>12</v>
      </c>
      <c r="B19" s="64" t="s">
        <v>190</v>
      </c>
      <c r="C19" s="64" t="s">
        <v>235</v>
      </c>
      <c r="D19" s="4" t="str">
        <f>[1]Лист2!B12</f>
        <v>10-я КРАСНОАРМЕЙСКАЯ  ул.</v>
      </c>
      <c r="E19" s="69">
        <f>[1]Лист2!C12</f>
        <v>9</v>
      </c>
      <c r="F19" s="197" t="str">
        <f>[1]Лист2!D12</f>
        <v>А</v>
      </c>
      <c r="G19" s="4"/>
      <c r="H19" s="199">
        <v>129012</v>
      </c>
      <c r="I19" s="64" t="s">
        <v>234</v>
      </c>
      <c r="J19" s="4"/>
      <c r="K19" s="64" t="s">
        <v>232</v>
      </c>
      <c r="L19" s="64" t="s">
        <v>232</v>
      </c>
      <c r="M19" s="72">
        <v>1868</v>
      </c>
      <c r="N19" s="64" t="s">
        <v>385</v>
      </c>
      <c r="O19" s="73">
        <v>2</v>
      </c>
      <c r="P19" s="196">
        <v>0</v>
      </c>
      <c r="Q19" s="73">
        <v>4</v>
      </c>
      <c r="R19" s="74">
        <v>16</v>
      </c>
      <c r="S19" s="76">
        <v>679</v>
      </c>
      <c r="T19" s="82">
        <f t="shared" si="0"/>
        <v>497.3</v>
      </c>
      <c r="U19" s="77">
        <f t="shared" si="1"/>
        <v>497.3</v>
      </c>
      <c r="V19" s="78">
        <v>181.7</v>
      </c>
      <c r="W19" s="80" t="s">
        <v>233</v>
      </c>
      <c r="X19" s="81" t="s">
        <v>233</v>
      </c>
      <c r="Y19" s="4" t="s">
        <v>233</v>
      </c>
      <c r="Z19" s="81" t="s">
        <v>233</v>
      </c>
      <c r="AA19" s="64" t="s">
        <v>233</v>
      </c>
      <c r="AB19" s="81" t="s">
        <v>233</v>
      </c>
      <c r="AC19" s="64" t="s">
        <v>240</v>
      </c>
      <c r="AD19" s="64" t="s">
        <v>233</v>
      </c>
      <c r="AE19" s="64" t="s">
        <v>240</v>
      </c>
      <c r="AF19" s="208">
        <v>0</v>
      </c>
      <c r="AG19" s="4">
        <v>1</v>
      </c>
      <c r="AH19" s="64">
        <v>1</v>
      </c>
      <c r="AI19" s="4">
        <v>1</v>
      </c>
      <c r="AJ19" s="4">
        <v>1</v>
      </c>
      <c r="AK19" s="4">
        <v>0</v>
      </c>
    </row>
    <row r="20" spans="1:37" outlineLevel="1">
      <c r="A20" s="63">
        <v>13</v>
      </c>
      <c r="B20" s="64" t="s">
        <v>190</v>
      </c>
      <c r="C20" s="64" t="s">
        <v>235</v>
      </c>
      <c r="D20" s="4" t="str">
        <f>[1]Лист2!B13</f>
        <v>10-я КРАСНОАРМЕЙСКАЯ  ул.</v>
      </c>
      <c r="E20" s="69">
        <f>[1]Лист2!C13</f>
        <v>9</v>
      </c>
      <c r="F20" s="197" t="str">
        <f>[1]Лист2!D13</f>
        <v>Б</v>
      </c>
      <c r="G20" s="64"/>
      <c r="H20" s="199">
        <v>129013</v>
      </c>
      <c r="I20" s="64" t="s">
        <v>234</v>
      </c>
      <c r="J20" s="4"/>
      <c r="K20" s="64" t="s">
        <v>232</v>
      </c>
      <c r="L20" s="64" t="s">
        <v>232</v>
      </c>
      <c r="M20" s="72">
        <v>1868</v>
      </c>
      <c r="N20" s="64" t="s">
        <v>385</v>
      </c>
      <c r="O20" s="73">
        <v>2</v>
      </c>
      <c r="P20" s="196">
        <v>0</v>
      </c>
      <c r="Q20" s="73">
        <v>1</v>
      </c>
      <c r="R20" s="74">
        <v>13</v>
      </c>
      <c r="S20" s="76">
        <v>283</v>
      </c>
      <c r="T20" s="82">
        <f t="shared" si="0"/>
        <v>223.3</v>
      </c>
      <c r="U20" s="77">
        <f t="shared" si="1"/>
        <v>223.3</v>
      </c>
      <c r="V20" s="78">
        <v>59.7</v>
      </c>
      <c r="W20" s="80" t="s">
        <v>233</v>
      </c>
      <c r="X20" s="81" t="s">
        <v>233</v>
      </c>
      <c r="Y20" s="4" t="s">
        <v>233</v>
      </c>
      <c r="Z20" s="81" t="s">
        <v>233</v>
      </c>
      <c r="AA20" s="64" t="s">
        <v>233</v>
      </c>
      <c r="AB20" s="81" t="s">
        <v>233</v>
      </c>
      <c r="AC20" s="64" t="s">
        <v>240</v>
      </c>
      <c r="AD20" s="64" t="s">
        <v>233</v>
      </c>
      <c r="AE20" s="64" t="s">
        <v>240</v>
      </c>
      <c r="AF20" s="209">
        <v>0</v>
      </c>
      <c r="AG20" s="4">
        <v>1</v>
      </c>
      <c r="AH20" s="64">
        <v>1</v>
      </c>
      <c r="AI20" s="4">
        <v>0</v>
      </c>
      <c r="AJ20" s="4">
        <v>0</v>
      </c>
      <c r="AK20" s="4">
        <v>0</v>
      </c>
    </row>
    <row r="21" spans="1:37" outlineLevel="1">
      <c r="A21" s="63">
        <v>14</v>
      </c>
      <c r="B21" s="64" t="s">
        <v>190</v>
      </c>
      <c r="C21" s="64" t="s">
        <v>235</v>
      </c>
      <c r="D21" s="4" t="str">
        <f>[1]Лист2!B14</f>
        <v>11-я КРАСНОАРМЕЙСКАЯ ул.</v>
      </c>
      <c r="E21" s="69">
        <f>[1]Лист2!C14</f>
        <v>12</v>
      </c>
      <c r="F21" s="197" t="str">
        <f>[1]Лист2!D14</f>
        <v>А</v>
      </c>
      <c r="G21" s="64"/>
      <c r="H21" s="199">
        <v>129014</v>
      </c>
      <c r="I21" s="64" t="s">
        <v>234</v>
      </c>
      <c r="J21" s="4"/>
      <c r="K21" s="64" t="s">
        <v>232</v>
      </c>
      <c r="L21" s="64" t="s">
        <v>232</v>
      </c>
      <c r="M21" s="72">
        <v>1859</v>
      </c>
      <c r="N21" s="64" t="s">
        <v>385</v>
      </c>
      <c r="O21" s="73">
        <v>5</v>
      </c>
      <c r="P21" s="196">
        <v>0</v>
      </c>
      <c r="Q21" s="73">
        <v>5</v>
      </c>
      <c r="R21" s="74">
        <v>62</v>
      </c>
      <c r="S21" s="76">
        <v>2645.93</v>
      </c>
      <c r="T21" s="82">
        <f t="shared" si="0"/>
        <v>2548</v>
      </c>
      <c r="U21" s="77">
        <f t="shared" si="1"/>
        <v>2548</v>
      </c>
      <c r="V21" s="78">
        <v>97.93</v>
      </c>
      <c r="W21" s="80" t="s">
        <v>233</v>
      </c>
      <c r="X21" s="81" t="s">
        <v>233</v>
      </c>
      <c r="Y21" s="4" t="s">
        <v>233</v>
      </c>
      <c r="Z21" s="81" t="s">
        <v>233</v>
      </c>
      <c r="AA21" s="64" t="s">
        <v>233</v>
      </c>
      <c r="AB21" s="81" t="s">
        <v>233</v>
      </c>
      <c r="AC21" s="64" t="s">
        <v>240</v>
      </c>
      <c r="AD21" s="64" t="s">
        <v>233</v>
      </c>
      <c r="AE21" s="64" t="s">
        <v>240</v>
      </c>
      <c r="AF21" s="208">
        <v>0</v>
      </c>
      <c r="AG21" s="4">
        <v>1</v>
      </c>
      <c r="AH21" s="64">
        <v>1</v>
      </c>
      <c r="AI21" s="4">
        <v>0</v>
      </c>
      <c r="AJ21" s="4">
        <v>0</v>
      </c>
      <c r="AK21" s="4">
        <v>0</v>
      </c>
    </row>
    <row r="22" spans="1:37" outlineLevel="1">
      <c r="A22" s="5">
        <v>15</v>
      </c>
      <c r="B22" s="64" t="s">
        <v>190</v>
      </c>
      <c r="C22" s="64" t="s">
        <v>235</v>
      </c>
      <c r="D22" s="4" t="str">
        <f>[1]Лист2!B15</f>
        <v>11-я КРАСНОАРМЕЙСКАЯ ул.</v>
      </c>
      <c r="E22" s="69">
        <f>[1]Лист2!C15</f>
        <v>13</v>
      </c>
      <c r="F22" s="197" t="str">
        <f>[1]Лист2!D15</f>
        <v>А</v>
      </c>
      <c r="G22" s="4"/>
      <c r="H22" s="199">
        <v>129015</v>
      </c>
      <c r="I22" s="64" t="s">
        <v>234</v>
      </c>
      <c r="J22" s="4"/>
      <c r="K22" s="64" t="s">
        <v>232</v>
      </c>
      <c r="L22" s="4" t="s">
        <v>232</v>
      </c>
      <c r="M22" s="72">
        <v>1908</v>
      </c>
      <c r="N22" s="64" t="s">
        <v>385</v>
      </c>
      <c r="O22" s="73">
        <v>5</v>
      </c>
      <c r="P22" s="196">
        <v>0</v>
      </c>
      <c r="Q22" s="73">
        <v>7</v>
      </c>
      <c r="R22" s="74">
        <v>109</v>
      </c>
      <c r="S22" s="76">
        <v>3618.13</v>
      </c>
      <c r="T22" s="82">
        <f t="shared" si="0"/>
        <v>2875.63</v>
      </c>
      <c r="U22" s="77">
        <f t="shared" si="1"/>
        <v>2875.63</v>
      </c>
      <c r="V22" s="78">
        <v>742.5</v>
      </c>
      <c r="W22" s="80" t="s">
        <v>233</v>
      </c>
      <c r="X22" s="81" t="s">
        <v>233</v>
      </c>
      <c r="Y22" s="4" t="s">
        <v>233</v>
      </c>
      <c r="Z22" s="81" t="s">
        <v>233</v>
      </c>
      <c r="AA22" s="64" t="s">
        <v>233</v>
      </c>
      <c r="AB22" s="81" t="s">
        <v>233</v>
      </c>
      <c r="AC22" s="64" t="s">
        <v>240</v>
      </c>
      <c r="AD22" s="64" t="s">
        <v>233</v>
      </c>
      <c r="AE22" s="64" t="s">
        <v>240</v>
      </c>
      <c r="AF22" s="208">
        <v>0</v>
      </c>
      <c r="AG22" s="4">
        <v>1</v>
      </c>
      <c r="AH22" s="64">
        <v>1</v>
      </c>
      <c r="AI22" s="4">
        <v>0</v>
      </c>
      <c r="AJ22" s="4">
        <v>0</v>
      </c>
      <c r="AK22" s="4">
        <v>0</v>
      </c>
    </row>
    <row r="23" spans="1:37" outlineLevel="1">
      <c r="A23" s="5">
        <v>16</v>
      </c>
      <c r="B23" s="64" t="s">
        <v>190</v>
      </c>
      <c r="C23" s="64" t="s">
        <v>235</v>
      </c>
      <c r="D23" s="4" t="str">
        <f>[1]Лист2!B16</f>
        <v>11-я КРАСНОАРМЕЙСКАЯ ул.</v>
      </c>
      <c r="E23" s="69">
        <f>[1]Лист2!C16</f>
        <v>14</v>
      </c>
      <c r="F23" s="197" t="str">
        <f>[1]Лист2!D16</f>
        <v>А</v>
      </c>
      <c r="G23" s="4"/>
      <c r="H23" s="199">
        <v>129016</v>
      </c>
      <c r="I23" s="64" t="s">
        <v>234</v>
      </c>
      <c r="J23" s="4"/>
      <c r="K23" s="64" t="s">
        <v>232</v>
      </c>
      <c r="L23" s="4" t="s">
        <v>232</v>
      </c>
      <c r="M23" s="72">
        <v>1909</v>
      </c>
      <c r="N23" s="64" t="s">
        <v>385</v>
      </c>
      <c r="O23" s="73">
        <v>5</v>
      </c>
      <c r="P23" s="196">
        <v>0</v>
      </c>
      <c r="Q23" s="73">
        <v>3</v>
      </c>
      <c r="R23" s="74">
        <v>20</v>
      </c>
      <c r="S23" s="76">
        <v>1938.58</v>
      </c>
      <c r="T23" s="82">
        <f t="shared" si="0"/>
        <v>1738.98</v>
      </c>
      <c r="U23" s="77">
        <f t="shared" si="1"/>
        <v>1738.98</v>
      </c>
      <c r="V23" s="78">
        <v>199.6</v>
      </c>
      <c r="W23" s="80" t="s">
        <v>233</v>
      </c>
      <c r="X23" s="81" t="s">
        <v>233</v>
      </c>
      <c r="Y23" s="4" t="s">
        <v>233</v>
      </c>
      <c r="Z23" s="81" t="s">
        <v>233</v>
      </c>
      <c r="AA23" s="64" t="s">
        <v>233</v>
      </c>
      <c r="AB23" s="81" t="s">
        <v>233</v>
      </c>
      <c r="AC23" s="64" t="s">
        <v>240</v>
      </c>
      <c r="AD23" s="64" t="s">
        <v>233</v>
      </c>
      <c r="AE23" s="64" t="s">
        <v>240</v>
      </c>
      <c r="AF23" s="208">
        <v>0</v>
      </c>
      <c r="AG23" s="4">
        <v>1</v>
      </c>
      <c r="AH23" s="64">
        <v>1</v>
      </c>
      <c r="AI23" s="4">
        <v>1</v>
      </c>
      <c r="AJ23" s="4">
        <v>1</v>
      </c>
      <c r="AK23" s="4">
        <v>0</v>
      </c>
    </row>
    <row r="24" spans="1:37" outlineLevel="1">
      <c r="A24" s="5">
        <v>17</v>
      </c>
      <c r="B24" s="64" t="s">
        <v>190</v>
      </c>
      <c r="C24" s="64" t="s">
        <v>235</v>
      </c>
      <c r="D24" s="4" t="str">
        <f>[1]Лист2!B17</f>
        <v>11-я КРАСНОАРМЕЙСКАЯ ул.</v>
      </c>
      <c r="E24" s="69">
        <f>[1]Лист2!C17</f>
        <v>16</v>
      </c>
      <c r="F24" s="197" t="str">
        <f>[1]Лист2!D17</f>
        <v>А</v>
      </c>
      <c r="G24" s="64"/>
      <c r="H24" s="199">
        <v>129017</v>
      </c>
      <c r="I24" s="64" t="s">
        <v>234</v>
      </c>
      <c r="J24" s="4"/>
      <c r="K24" s="64" t="s">
        <v>232</v>
      </c>
      <c r="L24" s="4" t="s">
        <v>232</v>
      </c>
      <c r="M24" s="72">
        <v>1917</v>
      </c>
      <c r="N24" s="64" t="s">
        <v>385</v>
      </c>
      <c r="O24" s="73">
        <v>5</v>
      </c>
      <c r="P24" s="196">
        <v>0</v>
      </c>
      <c r="Q24" s="73">
        <v>1</v>
      </c>
      <c r="R24" s="74">
        <v>42</v>
      </c>
      <c r="S24" s="76">
        <v>1311</v>
      </c>
      <c r="T24" s="82">
        <f t="shared" si="0"/>
        <v>1106.2</v>
      </c>
      <c r="U24" s="77">
        <f t="shared" si="1"/>
        <v>1106.2</v>
      </c>
      <c r="V24" s="78">
        <v>204.8</v>
      </c>
      <c r="W24" s="80" t="s">
        <v>233</v>
      </c>
      <c r="X24" s="81" t="s">
        <v>233</v>
      </c>
      <c r="Y24" s="4" t="s">
        <v>233</v>
      </c>
      <c r="Z24" s="81" t="s">
        <v>233</v>
      </c>
      <c r="AA24" s="64" t="s">
        <v>233</v>
      </c>
      <c r="AB24" s="81" t="s">
        <v>233</v>
      </c>
      <c r="AC24" s="64" t="s">
        <v>240</v>
      </c>
      <c r="AD24" s="64" t="s">
        <v>233</v>
      </c>
      <c r="AE24" s="64" t="s">
        <v>240</v>
      </c>
      <c r="AF24" s="208">
        <v>0</v>
      </c>
      <c r="AG24" s="4">
        <v>1</v>
      </c>
      <c r="AH24" s="64">
        <v>1</v>
      </c>
      <c r="AI24" s="4">
        <v>0</v>
      </c>
      <c r="AJ24" s="4">
        <v>0</v>
      </c>
      <c r="AK24" s="4">
        <v>0</v>
      </c>
    </row>
    <row r="25" spans="1:37" outlineLevel="1">
      <c r="A25" s="5">
        <v>18</v>
      </c>
      <c r="B25" s="64" t="s">
        <v>190</v>
      </c>
      <c r="C25" s="64" t="s">
        <v>235</v>
      </c>
      <c r="D25" s="4" t="str">
        <f>[1]Лист2!B18</f>
        <v>11-я КРАСНОАРМЕЙСКАЯ ул.</v>
      </c>
      <c r="E25" s="69">
        <f>[1]Лист2!C18</f>
        <v>22</v>
      </c>
      <c r="F25" s="197" t="str">
        <f>[1]Лист2!D18</f>
        <v>А</v>
      </c>
      <c r="G25" s="64"/>
      <c r="H25" s="199">
        <v>129018</v>
      </c>
      <c r="I25" s="64" t="s">
        <v>234</v>
      </c>
      <c r="J25" s="4"/>
      <c r="K25" s="64" t="s">
        <v>232</v>
      </c>
      <c r="L25" s="4" t="s">
        <v>232</v>
      </c>
      <c r="M25" s="72">
        <v>1904</v>
      </c>
      <c r="N25" s="64" t="s">
        <v>385</v>
      </c>
      <c r="O25" s="73">
        <v>4</v>
      </c>
      <c r="P25" s="196">
        <v>0</v>
      </c>
      <c r="Q25" s="73">
        <v>1</v>
      </c>
      <c r="R25" s="74">
        <v>25</v>
      </c>
      <c r="S25" s="76">
        <v>808</v>
      </c>
      <c r="T25" s="82">
        <f t="shared" si="0"/>
        <v>734</v>
      </c>
      <c r="U25" s="77">
        <f t="shared" si="1"/>
        <v>734</v>
      </c>
      <c r="V25" s="78">
        <v>74</v>
      </c>
      <c r="W25" s="80" t="s">
        <v>233</v>
      </c>
      <c r="X25" s="81" t="s">
        <v>233</v>
      </c>
      <c r="Y25" s="4" t="s">
        <v>233</v>
      </c>
      <c r="Z25" s="81" t="s">
        <v>233</v>
      </c>
      <c r="AA25" s="64" t="s">
        <v>233</v>
      </c>
      <c r="AB25" s="81" t="s">
        <v>233</v>
      </c>
      <c r="AC25" s="64" t="s">
        <v>240</v>
      </c>
      <c r="AD25" s="64" t="s">
        <v>233</v>
      </c>
      <c r="AE25" s="64" t="s">
        <v>240</v>
      </c>
      <c r="AF25" s="208">
        <v>0</v>
      </c>
      <c r="AG25" s="4">
        <v>1</v>
      </c>
      <c r="AH25" s="64">
        <v>1</v>
      </c>
      <c r="AI25" s="4">
        <v>0</v>
      </c>
      <c r="AJ25" s="4">
        <v>0</v>
      </c>
      <c r="AK25" s="4">
        <v>0</v>
      </c>
    </row>
    <row r="26" spans="1:37" outlineLevel="1">
      <c r="A26" s="63">
        <v>19</v>
      </c>
      <c r="B26" s="64" t="s">
        <v>190</v>
      </c>
      <c r="C26" s="64" t="s">
        <v>235</v>
      </c>
      <c r="D26" s="4" t="str">
        <f>[1]Лист2!B19</f>
        <v>11-я КРАСНОАРМЕЙСКАЯ ул.</v>
      </c>
      <c r="E26" s="69">
        <f>[1]Лист2!C19</f>
        <v>22</v>
      </c>
      <c r="F26" s="197" t="str">
        <f>[1]Лист2!D19</f>
        <v>Б</v>
      </c>
      <c r="G26" s="4"/>
      <c r="H26" s="199">
        <v>129019</v>
      </c>
      <c r="I26" s="64" t="s">
        <v>234</v>
      </c>
      <c r="J26" s="4"/>
      <c r="K26" s="64" t="s">
        <v>232</v>
      </c>
      <c r="L26" s="4" t="s">
        <v>232</v>
      </c>
      <c r="M26" s="72">
        <v>1905</v>
      </c>
      <c r="N26" s="64" t="s">
        <v>385</v>
      </c>
      <c r="O26" s="73">
        <v>4</v>
      </c>
      <c r="P26" s="196">
        <v>0</v>
      </c>
      <c r="Q26" s="73">
        <v>1</v>
      </c>
      <c r="R26" s="74">
        <v>14</v>
      </c>
      <c r="S26" s="76">
        <v>366</v>
      </c>
      <c r="T26" s="82">
        <f t="shared" si="0"/>
        <v>296</v>
      </c>
      <c r="U26" s="77">
        <f t="shared" si="1"/>
        <v>296</v>
      </c>
      <c r="V26" s="78">
        <v>70</v>
      </c>
      <c r="W26" s="80" t="s">
        <v>233</v>
      </c>
      <c r="X26" s="81" t="s">
        <v>233</v>
      </c>
      <c r="Y26" s="4" t="s">
        <v>233</v>
      </c>
      <c r="Z26" s="81" t="s">
        <v>233</v>
      </c>
      <c r="AA26" s="64" t="s">
        <v>233</v>
      </c>
      <c r="AB26" s="81" t="s">
        <v>233</v>
      </c>
      <c r="AC26" s="64" t="s">
        <v>240</v>
      </c>
      <c r="AD26" s="64" t="s">
        <v>233</v>
      </c>
      <c r="AE26" s="64" t="s">
        <v>240</v>
      </c>
      <c r="AF26" s="209">
        <v>0</v>
      </c>
      <c r="AG26" s="4">
        <v>1</v>
      </c>
      <c r="AH26" s="64">
        <v>1</v>
      </c>
      <c r="AI26" s="4">
        <v>0</v>
      </c>
      <c r="AJ26" s="4">
        <v>0</v>
      </c>
      <c r="AK26" s="4">
        <v>0</v>
      </c>
    </row>
    <row r="27" spans="1:37" outlineLevel="1">
      <c r="A27" s="63">
        <v>20</v>
      </c>
      <c r="B27" s="64" t="s">
        <v>190</v>
      </c>
      <c r="C27" s="64" t="s">
        <v>235</v>
      </c>
      <c r="D27" s="4" t="str">
        <f>[1]Лист2!B20</f>
        <v>11-я КРАСНОАРМЕЙСКАЯ ул.</v>
      </c>
      <c r="E27" s="69" t="str">
        <f>[1]Лист2!C20</f>
        <v>2б</v>
      </c>
      <c r="F27" s="197" t="str">
        <f>[1]Лист2!D20</f>
        <v>А</v>
      </c>
      <c r="G27" s="4"/>
      <c r="H27" s="199">
        <v>129020</v>
      </c>
      <c r="I27" s="64" t="s">
        <v>234</v>
      </c>
      <c r="J27" s="4"/>
      <c r="K27" s="64" t="s">
        <v>232</v>
      </c>
      <c r="L27" s="4" t="s">
        <v>232</v>
      </c>
      <c r="M27" s="72">
        <v>1813</v>
      </c>
      <c r="N27" s="64" t="s">
        <v>385</v>
      </c>
      <c r="O27" s="73">
        <v>4</v>
      </c>
      <c r="P27" s="196">
        <v>0</v>
      </c>
      <c r="Q27" s="73">
        <v>2</v>
      </c>
      <c r="R27" s="74">
        <v>50</v>
      </c>
      <c r="S27" s="76">
        <v>1581.0000000000002</v>
      </c>
      <c r="T27" s="82">
        <f t="shared" si="0"/>
        <v>1497.1000000000001</v>
      </c>
      <c r="U27" s="77">
        <f t="shared" si="1"/>
        <v>1497.1000000000001</v>
      </c>
      <c r="V27" s="78">
        <v>83.9</v>
      </c>
      <c r="W27" s="80" t="s">
        <v>233</v>
      </c>
      <c r="X27" s="81" t="s">
        <v>233</v>
      </c>
      <c r="Y27" s="4" t="s">
        <v>233</v>
      </c>
      <c r="Z27" s="81" t="s">
        <v>233</v>
      </c>
      <c r="AA27" s="64" t="s">
        <v>233</v>
      </c>
      <c r="AB27" s="81" t="s">
        <v>233</v>
      </c>
      <c r="AC27" s="64" t="s">
        <v>240</v>
      </c>
      <c r="AD27" s="64" t="s">
        <v>233</v>
      </c>
      <c r="AE27" s="64" t="s">
        <v>240</v>
      </c>
      <c r="AF27" s="208">
        <v>0</v>
      </c>
      <c r="AG27" s="4">
        <v>1</v>
      </c>
      <c r="AH27" s="64">
        <v>1</v>
      </c>
      <c r="AI27" s="4">
        <v>0</v>
      </c>
      <c r="AJ27" s="4">
        <v>0</v>
      </c>
      <c r="AK27" s="4">
        <v>0</v>
      </c>
    </row>
    <row r="28" spans="1:37" outlineLevel="1">
      <c r="A28" s="5">
        <v>21</v>
      </c>
      <c r="B28" s="64" t="s">
        <v>190</v>
      </c>
      <c r="C28" s="64" t="s">
        <v>235</v>
      </c>
      <c r="D28" s="4" t="str">
        <f>[1]Лист2!B21</f>
        <v>11-я КРАСНОАРМЕЙСКАЯ ул.</v>
      </c>
      <c r="E28" s="69">
        <f>[1]Лист2!C21</f>
        <v>4</v>
      </c>
      <c r="F28" s="197" t="str">
        <f>[1]Лист2!D21</f>
        <v>А</v>
      </c>
      <c r="G28" s="64"/>
      <c r="H28" s="199">
        <v>129021</v>
      </c>
      <c r="I28" s="64" t="s">
        <v>234</v>
      </c>
      <c r="J28" s="4"/>
      <c r="K28" s="64" t="s">
        <v>232</v>
      </c>
      <c r="L28" s="4" t="s">
        <v>232</v>
      </c>
      <c r="M28" s="72">
        <v>1878</v>
      </c>
      <c r="N28" s="64" t="s">
        <v>385</v>
      </c>
      <c r="O28" s="73">
        <v>5</v>
      </c>
      <c r="P28" s="196">
        <v>0</v>
      </c>
      <c r="Q28" s="73">
        <v>5</v>
      </c>
      <c r="R28" s="74">
        <v>84</v>
      </c>
      <c r="S28" s="76">
        <v>3029</v>
      </c>
      <c r="T28" s="82">
        <f t="shared" si="0"/>
        <v>2582.3000000000002</v>
      </c>
      <c r="U28" s="77">
        <f t="shared" si="1"/>
        <v>2582.3000000000002</v>
      </c>
      <c r="V28" s="78">
        <v>446.7</v>
      </c>
      <c r="W28" s="80" t="s">
        <v>233</v>
      </c>
      <c r="X28" s="81" t="s">
        <v>233</v>
      </c>
      <c r="Y28" s="4" t="s">
        <v>233</v>
      </c>
      <c r="Z28" s="81" t="s">
        <v>233</v>
      </c>
      <c r="AA28" s="64" t="s">
        <v>233</v>
      </c>
      <c r="AB28" s="81" t="s">
        <v>233</v>
      </c>
      <c r="AC28" s="64" t="s">
        <v>240</v>
      </c>
      <c r="AD28" s="64" t="s">
        <v>233</v>
      </c>
      <c r="AE28" s="64" t="s">
        <v>240</v>
      </c>
      <c r="AF28" s="208">
        <v>0</v>
      </c>
      <c r="AG28" s="4">
        <v>1</v>
      </c>
      <c r="AH28" s="64">
        <v>1</v>
      </c>
      <c r="AI28" s="4">
        <v>1</v>
      </c>
      <c r="AJ28" s="4">
        <v>1</v>
      </c>
      <c r="AK28" s="4">
        <v>0</v>
      </c>
    </row>
    <row r="29" spans="1:37" s="65" customFormat="1" outlineLevel="1">
      <c r="A29" s="5">
        <v>22</v>
      </c>
      <c r="B29" s="64" t="s">
        <v>190</v>
      </c>
      <c r="C29" s="64" t="s">
        <v>235</v>
      </c>
      <c r="D29" s="64" t="str">
        <f>[1]Лист2!B22</f>
        <v>11-я КРАСНОАРМЕЙСКАЯ ул.</v>
      </c>
      <c r="E29" s="71" t="s">
        <v>192</v>
      </c>
      <c r="F29" s="196" t="str">
        <f>[1]Лист2!D22</f>
        <v>А</v>
      </c>
      <c r="G29" s="64"/>
      <c r="H29" s="67">
        <v>129022</v>
      </c>
      <c r="I29" s="64" t="s">
        <v>234</v>
      </c>
      <c r="J29" s="64"/>
      <c r="K29" s="64" t="s">
        <v>232</v>
      </c>
      <c r="L29" s="64" t="s">
        <v>232</v>
      </c>
      <c r="M29" s="72">
        <v>1879</v>
      </c>
      <c r="N29" s="64" t="s">
        <v>385</v>
      </c>
      <c r="O29" s="73">
        <v>4</v>
      </c>
      <c r="P29" s="196">
        <v>0</v>
      </c>
      <c r="Q29" s="73">
        <v>1</v>
      </c>
      <c r="R29" s="74">
        <v>33</v>
      </c>
      <c r="S29" s="75">
        <v>1457.76</v>
      </c>
      <c r="T29" s="82">
        <f t="shared" si="0"/>
        <v>1457.76</v>
      </c>
      <c r="U29" s="77">
        <f t="shared" si="1"/>
        <v>1457.76</v>
      </c>
      <c r="V29" s="77">
        <v>0</v>
      </c>
      <c r="W29" s="80" t="s">
        <v>233</v>
      </c>
      <c r="X29" s="81" t="s">
        <v>233</v>
      </c>
      <c r="Y29" s="64" t="s">
        <v>233</v>
      </c>
      <c r="Z29" s="81" t="s">
        <v>233</v>
      </c>
      <c r="AA29" s="64" t="s">
        <v>233</v>
      </c>
      <c r="AB29" s="81" t="s">
        <v>233</v>
      </c>
      <c r="AC29" s="64" t="s">
        <v>240</v>
      </c>
      <c r="AD29" s="64" t="s">
        <v>233</v>
      </c>
      <c r="AE29" s="64" t="s">
        <v>240</v>
      </c>
      <c r="AF29" s="208">
        <v>0</v>
      </c>
      <c r="AG29" s="64">
        <v>1</v>
      </c>
      <c r="AH29" s="64">
        <v>1</v>
      </c>
      <c r="AI29" s="64">
        <v>0</v>
      </c>
      <c r="AJ29" s="64">
        <v>0</v>
      </c>
      <c r="AK29" s="64">
        <v>0</v>
      </c>
    </row>
    <row r="30" spans="1:37" outlineLevel="1">
      <c r="A30" s="5">
        <v>23</v>
      </c>
      <c r="B30" s="64" t="s">
        <v>190</v>
      </c>
      <c r="C30" s="64" t="s">
        <v>235</v>
      </c>
      <c r="D30" s="4" t="str">
        <f>[1]Лист2!B23</f>
        <v>11-я КРАСНОАРМЕЙСКАЯ ул.</v>
      </c>
      <c r="E30" s="69">
        <f>[1]Лист2!C23</f>
        <v>6</v>
      </c>
      <c r="F30" s="197" t="str">
        <f>[1]Лист2!D23</f>
        <v>А</v>
      </c>
      <c r="G30" s="4"/>
      <c r="H30" s="199">
        <v>129023</v>
      </c>
      <c r="I30" s="64" t="s">
        <v>234</v>
      </c>
      <c r="J30" s="4"/>
      <c r="K30" s="64" t="s">
        <v>232</v>
      </c>
      <c r="L30" s="4" t="s">
        <v>232</v>
      </c>
      <c r="M30" s="72">
        <v>1828</v>
      </c>
      <c r="N30" s="64" t="s">
        <v>385</v>
      </c>
      <c r="O30" s="73">
        <v>4</v>
      </c>
      <c r="P30" s="196">
        <v>0</v>
      </c>
      <c r="Q30" s="73">
        <v>3</v>
      </c>
      <c r="R30" s="74">
        <v>49</v>
      </c>
      <c r="S30" s="76">
        <v>1898.1</v>
      </c>
      <c r="T30" s="82">
        <f t="shared" si="0"/>
        <v>1871.8999999999999</v>
      </c>
      <c r="U30" s="77">
        <f t="shared" si="1"/>
        <v>1871.8999999999999</v>
      </c>
      <c r="V30" s="78">
        <v>26.2</v>
      </c>
      <c r="W30" s="80" t="s">
        <v>233</v>
      </c>
      <c r="X30" s="81" t="s">
        <v>233</v>
      </c>
      <c r="Y30" s="4" t="s">
        <v>233</v>
      </c>
      <c r="Z30" s="81" t="s">
        <v>233</v>
      </c>
      <c r="AA30" s="64" t="s">
        <v>233</v>
      </c>
      <c r="AB30" s="81" t="s">
        <v>233</v>
      </c>
      <c r="AC30" s="64" t="s">
        <v>240</v>
      </c>
      <c r="AD30" s="64" t="s">
        <v>233</v>
      </c>
      <c r="AE30" s="64" t="s">
        <v>240</v>
      </c>
      <c r="AF30" s="208">
        <v>0</v>
      </c>
      <c r="AG30" s="4">
        <v>1</v>
      </c>
      <c r="AH30" s="64">
        <v>1</v>
      </c>
      <c r="AI30" s="4">
        <v>1</v>
      </c>
      <c r="AJ30" s="4">
        <v>1</v>
      </c>
      <c r="AK30" s="4">
        <v>0</v>
      </c>
    </row>
    <row r="31" spans="1:37" outlineLevel="1">
      <c r="A31" s="5">
        <v>24</v>
      </c>
      <c r="B31" s="64" t="s">
        <v>190</v>
      </c>
      <c r="C31" s="64" t="s">
        <v>235</v>
      </c>
      <c r="D31" s="4" t="str">
        <f>[1]Лист2!B24</f>
        <v>11-я КРАСНОАРМЕЙСКАЯ ул.</v>
      </c>
      <c r="E31" s="69">
        <f>[1]Лист2!C24</f>
        <v>7</v>
      </c>
      <c r="F31" s="197" t="str">
        <f>[1]Лист2!D24</f>
        <v>А</v>
      </c>
      <c r="G31" s="4"/>
      <c r="H31" s="199">
        <v>129024</v>
      </c>
      <c r="I31" s="64" t="s">
        <v>234</v>
      </c>
      <c r="J31" s="4" t="s">
        <v>242</v>
      </c>
      <c r="K31" s="64" t="s">
        <v>232</v>
      </c>
      <c r="L31" s="4" t="s">
        <v>232</v>
      </c>
      <c r="M31" s="72">
        <v>1877</v>
      </c>
      <c r="N31" s="64" t="s">
        <v>385</v>
      </c>
      <c r="O31" s="73">
        <v>5</v>
      </c>
      <c r="P31" s="196">
        <v>0</v>
      </c>
      <c r="Q31" s="73">
        <v>2</v>
      </c>
      <c r="R31" s="74">
        <v>20</v>
      </c>
      <c r="S31" s="76">
        <v>5402</v>
      </c>
      <c r="T31" s="82">
        <f t="shared" si="0"/>
        <v>0</v>
      </c>
      <c r="U31" s="77">
        <f t="shared" si="1"/>
        <v>0</v>
      </c>
      <c r="V31" s="78">
        <v>5402</v>
      </c>
      <c r="W31" s="80" t="s">
        <v>233</v>
      </c>
      <c r="X31" s="81" t="s">
        <v>233</v>
      </c>
      <c r="Y31" s="4" t="s">
        <v>233</v>
      </c>
      <c r="Z31" s="81" t="s">
        <v>233</v>
      </c>
      <c r="AA31" s="64" t="s">
        <v>233</v>
      </c>
      <c r="AB31" s="81" t="s">
        <v>233</v>
      </c>
      <c r="AC31" s="64" t="s">
        <v>240</v>
      </c>
      <c r="AD31" s="64" t="s">
        <v>233</v>
      </c>
      <c r="AE31" s="64" t="s">
        <v>240</v>
      </c>
      <c r="AF31" s="208">
        <v>0</v>
      </c>
      <c r="AG31" s="4">
        <v>1</v>
      </c>
      <c r="AH31" s="64">
        <v>1</v>
      </c>
      <c r="AI31" s="4">
        <v>0</v>
      </c>
      <c r="AJ31" s="4">
        <v>0</v>
      </c>
      <c r="AK31" s="4">
        <v>0</v>
      </c>
    </row>
    <row r="32" spans="1:37" outlineLevel="1">
      <c r="A32" s="63">
        <v>25</v>
      </c>
      <c r="B32" s="64" t="s">
        <v>190</v>
      </c>
      <c r="C32" s="64" t="s">
        <v>235</v>
      </c>
      <c r="D32" s="4" t="str">
        <f>[1]Лист2!B25</f>
        <v>11-я КРАСНОАРМЕЙСКАЯ ул.</v>
      </c>
      <c r="E32" s="69">
        <f>[1]Лист2!C25</f>
        <v>8</v>
      </c>
      <c r="F32" s="197" t="str">
        <f>[1]Лист2!D25</f>
        <v>А</v>
      </c>
      <c r="G32" s="64"/>
      <c r="H32" s="199">
        <v>129025</v>
      </c>
      <c r="I32" s="64" t="s">
        <v>234</v>
      </c>
      <c r="J32" s="4"/>
      <c r="K32" s="64" t="s">
        <v>232</v>
      </c>
      <c r="L32" s="4" t="s">
        <v>232</v>
      </c>
      <c r="M32" s="72">
        <v>1879</v>
      </c>
      <c r="N32" s="64" t="s">
        <v>385</v>
      </c>
      <c r="O32" s="73">
        <v>5</v>
      </c>
      <c r="P32" s="196">
        <v>0</v>
      </c>
      <c r="Q32" s="73">
        <v>1</v>
      </c>
      <c r="R32" s="74">
        <v>39</v>
      </c>
      <c r="S32" s="76">
        <v>941</v>
      </c>
      <c r="T32" s="82">
        <f t="shared" si="0"/>
        <v>941</v>
      </c>
      <c r="U32" s="77">
        <f t="shared" si="1"/>
        <v>941</v>
      </c>
      <c r="V32" s="78">
        <v>0</v>
      </c>
      <c r="W32" s="80" t="s">
        <v>233</v>
      </c>
      <c r="X32" s="81" t="s">
        <v>233</v>
      </c>
      <c r="Y32" s="4" t="s">
        <v>233</v>
      </c>
      <c r="Z32" s="81" t="s">
        <v>233</v>
      </c>
      <c r="AA32" s="64" t="s">
        <v>233</v>
      </c>
      <c r="AB32" s="81" t="s">
        <v>233</v>
      </c>
      <c r="AC32" s="64" t="s">
        <v>240</v>
      </c>
      <c r="AD32" s="64" t="s">
        <v>233</v>
      </c>
      <c r="AE32" s="64" t="s">
        <v>240</v>
      </c>
      <c r="AF32" s="208">
        <v>0</v>
      </c>
      <c r="AG32" s="4">
        <v>1</v>
      </c>
      <c r="AH32" s="64">
        <v>1</v>
      </c>
      <c r="AI32" s="4">
        <v>0</v>
      </c>
      <c r="AJ32" s="4">
        <v>0</v>
      </c>
      <c r="AK32" s="4">
        <v>0</v>
      </c>
    </row>
    <row r="33" spans="1:37" outlineLevel="1">
      <c r="A33" s="63">
        <v>26</v>
      </c>
      <c r="B33" s="64" t="s">
        <v>190</v>
      </c>
      <c r="C33" s="64" t="s">
        <v>235</v>
      </c>
      <c r="D33" s="4" t="str">
        <f>[1]Лист2!B26</f>
        <v>11-я КРАСНОАРМЕЙСКАЯ ул.</v>
      </c>
      <c r="E33" s="69">
        <f>[1]Лист2!C26</f>
        <v>8</v>
      </c>
      <c r="F33" s="197" t="str">
        <f>[1]Лист2!D26</f>
        <v>Б</v>
      </c>
      <c r="G33" s="64"/>
      <c r="H33" s="199">
        <v>129026</v>
      </c>
      <c r="I33" s="64" t="s">
        <v>234</v>
      </c>
      <c r="J33" s="4"/>
      <c r="K33" s="64" t="s">
        <v>232</v>
      </c>
      <c r="L33" s="4" t="s">
        <v>232</v>
      </c>
      <c r="M33" s="72">
        <v>1879</v>
      </c>
      <c r="N33" s="64" t="s">
        <v>385</v>
      </c>
      <c r="O33" s="73">
        <v>5</v>
      </c>
      <c r="P33" s="196">
        <v>0</v>
      </c>
      <c r="Q33" s="73">
        <v>1</v>
      </c>
      <c r="R33" s="74">
        <v>18</v>
      </c>
      <c r="S33" s="76">
        <v>481.9</v>
      </c>
      <c r="T33" s="82">
        <f t="shared" si="0"/>
        <v>481.9</v>
      </c>
      <c r="U33" s="77">
        <f t="shared" si="1"/>
        <v>481.9</v>
      </c>
      <c r="V33" s="78">
        <v>0</v>
      </c>
      <c r="W33" s="80" t="s">
        <v>233</v>
      </c>
      <c r="X33" s="81" t="s">
        <v>233</v>
      </c>
      <c r="Y33" s="4" t="s">
        <v>233</v>
      </c>
      <c r="Z33" s="81" t="s">
        <v>233</v>
      </c>
      <c r="AA33" s="64" t="s">
        <v>233</v>
      </c>
      <c r="AB33" s="81" t="s">
        <v>233</v>
      </c>
      <c r="AC33" s="64" t="s">
        <v>240</v>
      </c>
      <c r="AD33" s="64" t="s">
        <v>233</v>
      </c>
      <c r="AE33" s="64" t="s">
        <v>240</v>
      </c>
      <c r="AF33" s="209">
        <v>0</v>
      </c>
      <c r="AG33" s="4">
        <v>1</v>
      </c>
      <c r="AH33" s="64">
        <v>1</v>
      </c>
      <c r="AI33" s="4">
        <v>0</v>
      </c>
      <c r="AJ33" s="4">
        <v>0</v>
      </c>
      <c r="AK33" s="4">
        <v>0</v>
      </c>
    </row>
    <row r="34" spans="1:37" s="65" customFormat="1" outlineLevel="1">
      <c r="A34" s="5">
        <v>27</v>
      </c>
      <c r="B34" s="64" t="s">
        <v>190</v>
      </c>
      <c r="C34" s="64" t="s">
        <v>235</v>
      </c>
      <c r="D34" s="280" t="str">
        <f>[1]Лист2!B27</f>
        <v>12-я КРАСНОАРМЕЙСКАЯ  ул.</v>
      </c>
      <c r="E34" s="71" t="s">
        <v>193</v>
      </c>
      <c r="F34" s="196" t="str">
        <f>[1]Лист2!D27</f>
        <v>А</v>
      </c>
      <c r="G34" s="4"/>
      <c r="H34" s="67">
        <v>129027</v>
      </c>
      <c r="I34" s="64" t="s">
        <v>234</v>
      </c>
      <c r="J34" s="64"/>
      <c r="K34" s="64" t="s">
        <v>232</v>
      </c>
      <c r="L34" s="64" t="s">
        <v>232</v>
      </c>
      <c r="M34" s="72">
        <v>1846</v>
      </c>
      <c r="N34" s="64" t="s">
        <v>385</v>
      </c>
      <c r="O34" s="73">
        <v>6</v>
      </c>
      <c r="P34" s="196">
        <v>0</v>
      </c>
      <c r="Q34" s="73">
        <v>4</v>
      </c>
      <c r="R34" s="74">
        <v>27</v>
      </c>
      <c r="S34" s="75">
        <v>5533.6900000000005</v>
      </c>
      <c r="T34" s="82">
        <f t="shared" si="0"/>
        <v>4224.6900000000005</v>
      </c>
      <c r="U34" s="77">
        <f t="shared" si="1"/>
        <v>4224.6900000000005</v>
      </c>
      <c r="V34" s="77">
        <v>1309</v>
      </c>
      <c r="W34" s="80" t="s">
        <v>233</v>
      </c>
      <c r="X34" s="81" t="s">
        <v>233</v>
      </c>
      <c r="Y34" s="64" t="s">
        <v>233</v>
      </c>
      <c r="Z34" s="81" t="s">
        <v>233</v>
      </c>
      <c r="AA34" s="64" t="s">
        <v>233</v>
      </c>
      <c r="AB34" s="81" t="s">
        <v>233</v>
      </c>
      <c r="AC34" s="64" t="s">
        <v>240</v>
      </c>
      <c r="AD34" s="64" t="s">
        <v>233</v>
      </c>
      <c r="AE34" s="64" t="s">
        <v>240</v>
      </c>
      <c r="AF34" s="208">
        <v>3</v>
      </c>
      <c r="AG34" s="64">
        <v>1</v>
      </c>
      <c r="AH34" s="64">
        <v>1</v>
      </c>
      <c r="AI34" s="64">
        <v>1</v>
      </c>
      <c r="AJ34" s="64">
        <v>1</v>
      </c>
      <c r="AK34" s="64">
        <v>0</v>
      </c>
    </row>
    <row r="35" spans="1:37" outlineLevel="1">
      <c r="A35" s="5">
        <v>28</v>
      </c>
      <c r="B35" s="64" t="s">
        <v>190</v>
      </c>
      <c r="C35" s="64" t="s">
        <v>235</v>
      </c>
      <c r="D35" s="4" t="str">
        <f>[1]Лист2!B28</f>
        <v>12-я КРАСНОАРМЕЙСКАЯ  ул.</v>
      </c>
      <c r="E35" s="69">
        <f>[1]Лист2!C28</f>
        <v>10</v>
      </c>
      <c r="F35" s="197" t="str">
        <f>[1]Лист2!D28</f>
        <v>А</v>
      </c>
      <c r="G35" s="4"/>
      <c r="H35" s="199">
        <v>129028</v>
      </c>
      <c r="I35" s="64" t="s">
        <v>234</v>
      </c>
      <c r="J35" s="4"/>
      <c r="K35" s="64" t="s">
        <v>232</v>
      </c>
      <c r="L35" s="4" t="s">
        <v>232</v>
      </c>
      <c r="M35" s="72">
        <v>1893</v>
      </c>
      <c r="N35" s="64" t="s">
        <v>385</v>
      </c>
      <c r="O35" s="73">
        <v>5</v>
      </c>
      <c r="P35" s="196">
        <v>0</v>
      </c>
      <c r="Q35" s="73">
        <v>3</v>
      </c>
      <c r="R35" s="74">
        <v>42</v>
      </c>
      <c r="S35" s="76">
        <v>1678.4</v>
      </c>
      <c r="T35" s="82">
        <f t="shared" si="0"/>
        <v>1519.6000000000001</v>
      </c>
      <c r="U35" s="77">
        <f t="shared" si="1"/>
        <v>1519.6000000000001</v>
      </c>
      <c r="V35" s="78">
        <v>158.80000000000001</v>
      </c>
      <c r="W35" s="80" t="s">
        <v>233</v>
      </c>
      <c r="X35" s="81" t="s">
        <v>233</v>
      </c>
      <c r="Y35" s="4" t="s">
        <v>233</v>
      </c>
      <c r="Z35" s="81" t="s">
        <v>233</v>
      </c>
      <c r="AA35" s="64" t="s">
        <v>233</v>
      </c>
      <c r="AB35" s="81" t="s">
        <v>233</v>
      </c>
      <c r="AC35" s="64" t="s">
        <v>240</v>
      </c>
      <c r="AD35" s="64" t="s">
        <v>233</v>
      </c>
      <c r="AE35" s="64" t="s">
        <v>240</v>
      </c>
      <c r="AF35" s="208">
        <v>1</v>
      </c>
      <c r="AG35" s="4">
        <v>2</v>
      </c>
      <c r="AH35" s="64">
        <v>1</v>
      </c>
      <c r="AI35" s="4">
        <v>0</v>
      </c>
      <c r="AJ35" s="4">
        <v>0</v>
      </c>
      <c r="AK35" s="4">
        <v>0</v>
      </c>
    </row>
    <row r="36" spans="1:37" outlineLevel="1">
      <c r="A36" s="5">
        <v>29</v>
      </c>
      <c r="B36" s="64" t="s">
        <v>190</v>
      </c>
      <c r="C36" s="64" t="s">
        <v>235</v>
      </c>
      <c r="D36" s="4" t="str">
        <f>[1]Лист2!B29</f>
        <v>12-я КРАСНОАРМЕЙСКАЯ  ул.</v>
      </c>
      <c r="E36" s="69">
        <f>[1]Лист2!C29</f>
        <v>11</v>
      </c>
      <c r="F36" s="197" t="str">
        <f>[1]Лист2!D29</f>
        <v>А</v>
      </c>
      <c r="G36" s="64"/>
      <c r="H36" s="199">
        <v>129029</v>
      </c>
      <c r="I36" s="64" t="s">
        <v>234</v>
      </c>
      <c r="J36" s="4"/>
      <c r="K36" s="64" t="s">
        <v>232</v>
      </c>
      <c r="L36" s="4" t="s">
        <v>232</v>
      </c>
      <c r="M36" s="72">
        <v>1869</v>
      </c>
      <c r="N36" s="64" t="s">
        <v>385</v>
      </c>
      <c r="O36" s="73">
        <v>4</v>
      </c>
      <c r="P36" s="196">
        <v>0</v>
      </c>
      <c r="Q36" s="73">
        <v>4</v>
      </c>
      <c r="R36" s="74">
        <v>52</v>
      </c>
      <c r="S36" s="76">
        <v>2373</v>
      </c>
      <c r="T36" s="82">
        <f t="shared" si="0"/>
        <v>1987.7</v>
      </c>
      <c r="U36" s="77">
        <f t="shared" si="1"/>
        <v>1987.7</v>
      </c>
      <c r="V36" s="78">
        <v>385.3</v>
      </c>
      <c r="W36" s="80" t="s">
        <v>233</v>
      </c>
      <c r="X36" s="81" t="s">
        <v>233</v>
      </c>
      <c r="Y36" s="4" t="s">
        <v>233</v>
      </c>
      <c r="Z36" s="81" t="s">
        <v>233</v>
      </c>
      <c r="AA36" s="64" t="s">
        <v>233</v>
      </c>
      <c r="AB36" s="81" t="s">
        <v>233</v>
      </c>
      <c r="AC36" s="64" t="s">
        <v>240</v>
      </c>
      <c r="AD36" s="64" t="s">
        <v>233</v>
      </c>
      <c r="AE36" s="64" t="s">
        <v>240</v>
      </c>
      <c r="AF36" s="208">
        <v>0</v>
      </c>
      <c r="AG36" s="4">
        <v>1</v>
      </c>
      <c r="AH36" s="64">
        <v>1</v>
      </c>
      <c r="AI36" s="4">
        <v>1</v>
      </c>
      <c r="AJ36" s="4">
        <v>1</v>
      </c>
      <c r="AK36" s="4">
        <v>0</v>
      </c>
    </row>
    <row r="37" spans="1:37" outlineLevel="1">
      <c r="A37" s="5">
        <v>30</v>
      </c>
      <c r="B37" s="64" t="s">
        <v>190</v>
      </c>
      <c r="C37" s="64" t="s">
        <v>235</v>
      </c>
      <c r="D37" s="4" t="str">
        <f>[1]Лист2!B30</f>
        <v>12-я КРАСНОАРМЕЙСКАЯ  ул.</v>
      </c>
      <c r="E37" s="69">
        <f>[1]Лист2!C30</f>
        <v>12</v>
      </c>
      <c r="F37" s="197" t="str">
        <f>[1]Лист2!D30</f>
        <v>А</v>
      </c>
      <c r="G37" s="64"/>
      <c r="H37" s="199">
        <v>129030</v>
      </c>
      <c r="I37" s="64" t="s">
        <v>234</v>
      </c>
      <c r="J37" s="4"/>
      <c r="K37" s="64" t="s">
        <v>232</v>
      </c>
      <c r="L37" s="4" t="s">
        <v>232</v>
      </c>
      <c r="M37" s="72">
        <v>1877</v>
      </c>
      <c r="N37" s="64" t="s">
        <v>385</v>
      </c>
      <c r="O37" s="73">
        <v>5</v>
      </c>
      <c r="P37" s="196">
        <v>0</v>
      </c>
      <c r="Q37" s="73">
        <v>3</v>
      </c>
      <c r="R37" s="74">
        <v>90</v>
      </c>
      <c r="S37" s="76">
        <v>2788</v>
      </c>
      <c r="T37" s="82">
        <f t="shared" si="0"/>
        <v>2646</v>
      </c>
      <c r="U37" s="77">
        <f t="shared" si="1"/>
        <v>2646</v>
      </c>
      <c r="V37" s="78">
        <v>142</v>
      </c>
      <c r="W37" s="80" t="s">
        <v>233</v>
      </c>
      <c r="X37" s="81" t="s">
        <v>233</v>
      </c>
      <c r="Y37" s="4" t="s">
        <v>233</v>
      </c>
      <c r="Z37" s="81" t="s">
        <v>233</v>
      </c>
      <c r="AA37" s="64" t="s">
        <v>233</v>
      </c>
      <c r="AB37" s="81" t="s">
        <v>233</v>
      </c>
      <c r="AC37" s="64" t="s">
        <v>240</v>
      </c>
      <c r="AD37" s="64" t="s">
        <v>233</v>
      </c>
      <c r="AE37" s="64" t="s">
        <v>240</v>
      </c>
      <c r="AF37" s="208">
        <v>0</v>
      </c>
      <c r="AG37" s="4">
        <v>1</v>
      </c>
      <c r="AH37" s="64">
        <v>1</v>
      </c>
      <c r="AI37" s="4">
        <v>1</v>
      </c>
      <c r="AJ37" s="4">
        <v>1</v>
      </c>
      <c r="AK37" s="4">
        <v>0</v>
      </c>
    </row>
    <row r="38" spans="1:37" outlineLevel="1">
      <c r="A38" s="63">
        <v>31</v>
      </c>
      <c r="B38" s="64" t="s">
        <v>190</v>
      </c>
      <c r="C38" s="64" t="s">
        <v>235</v>
      </c>
      <c r="D38" s="4" t="str">
        <f>[1]Лист2!B31</f>
        <v>12-я КРАСНОАРМЕЙСКАЯ  ул.</v>
      </c>
      <c r="E38" s="69">
        <f>[1]Лист2!C31</f>
        <v>12</v>
      </c>
      <c r="F38" s="197" t="str">
        <f>[1]Лист2!D31</f>
        <v>Б</v>
      </c>
      <c r="G38" s="4"/>
      <c r="H38" s="199">
        <v>129031</v>
      </c>
      <c r="I38" s="64" t="s">
        <v>234</v>
      </c>
      <c r="J38" s="4"/>
      <c r="K38" s="64" t="s">
        <v>232</v>
      </c>
      <c r="L38" s="4" t="s">
        <v>232</v>
      </c>
      <c r="M38" s="72">
        <v>1877</v>
      </c>
      <c r="N38" s="64" t="s">
        <v>385</v>
      </c>
      <c r="O38" s="73">
        <v>4</v>
      </c>
      <c r="P38" s="196">
        <v>0</v>
      </c>
      <c r="Q38" s="73">
        <v>1</v>
      </c>
      <c r="R38" s="74">
        <v>41</v>
      </c>
      <c r="S38" s="76">
        <v>1262</v>
      </c>
      <c r="T38" s="82">
        <f t="shared" si="0"/>
        <v>1262</v>
      </c>
      <c r="U38" s="77">
        <f t="shared" si="1"/>
        <v>1262</v>
      </c>
      <c r="V38" s="78">
        <v>0</v>
      </c>
      <c r="W38" s="80" t="s">
        <v>233</v>
      </c>
      <c r="X38" s="81" t="s">
        <v>233</v>
      </c>
      <c r="Y38" s="4" t="s">
        <v>233</v>
      </c>
      <c r="Z38" s="81" t="s">
        <v>233</v>
      </c>
      <c r="AA38" s="64" t="s">
        <v>233</v>
      </c>
      <c r="AB38" s="81" t="s">
        <v>233</v>
      </c>
      <c r="AC38" s="64" t="s">
        <v>240</v>
      </c>
      <c r="AD38" s="64" t="s">
        <v>233</v>
      </c>
      <c r="AE38" s="64" t="s">
        <v>240</v>
      </c>
      <c r="AF38" s="209">
        <v>0</v>
      </c>
      <c r="AG38" s="4">
        <v>1</v>
      </c>
      <c r="AH38" s="64">
        <v>1</v>
      </c>
      <c r="AI38" s="4">
        <v>0</v>
      </c>
      <c r="AJ38" s="4">
        <v>0</v>
      </c>
      <c r="AK38" s="4">
        <v>0</v>
      </c>
    </row>
    <row r="39" spans="1:37" outlineLevel="1">
      <c r="A39" s="63">
        <v>32</v>
      </c>
      <c r="B39" s="64" t="s">
        <v>190</v>
      </c>
      <c r="C39" s="64" t="s">
        <v>235</v>
      </c>
      <c r="D39" s="4" t="str">
        <f>[1]Лист2!B32</f>
        <v>12-я КРАСНОАРМЕЙСКАЯ  ул.</v>
      </c>
      <c r="E39" s="69">
        <f>[1]Лист2!C32</f>
        <v>13</v>
      </c>
      <c r="F39" s="197" t="str">
        <f>[1]Лист2!D32</f>
        <v>А</v>
      </c>
      <c r="G39" s="4"/>
      <c r="H39" s="199">
        <v>129032</v>
      </c>
      <c r="I39" s="64" t="s">
        <v>234</v>
      </c>
      <c r="J39" s="4"/>
      <c r="K39" s="64" t="s">
        <v>232</v>
      </c>
      <c r="L39" s="4" t="s">
        <v>232</v>
      </c>
      <c r="M39" s="72">
        <v>1862</v>
      </c>
      <c r="N39" s="64" t="s">
        <v>385</v>
      </c>
      <c r="O39" s="73">
        <v>4</v>
      </c>
      <c r="P39" s="196">
        <v>0</v>
      </c>
      <c r="Q39" s="73">
        <v>3</v>
      </c>
      <c r="R39" s="74">
        <v>54</v>
      </c>
      <c r="S39" s="76">
        <v>1847.12</v>
      </c>
      <c r="T39" s="82">
        <f t="shared" si="0"/>
        <v>1847.12</v>
      </c>
      <c r="U39" s="77">
        <f t="shared" si="1"/>
        <v>1847.12</v>
      </c>
      <c r="V39" s="78">
        <v>0</v>
      </c>
      <c r="W39" s="80" t="s">
        <v>233</v>
      </c>
      <c r="X39" s="81" t="s">
        <v>233</v>
      </c>
      <c r="Y39" s="4" t="s">
        <v>233</v>
      </c>
      <c r="Z39" s="81" t="s">
        <v>233</v>
      </c>
      <c r="AA39" s="64" t="s">
        <v>233</v>
      </c>
      <c r="AB39" s="81" t="s">
        <v>233</v>
      </c>
      <c r="AC39" s="64" t="s">
        <v>240</v>
      </c>
      <c r="AD39" s="64" t="s">
        <v>233</v>
      </c>
      <c r="AE39" s="64" t="s">
        <v>240</v>
      </c>
      <c r="AF39" s="208">
        <v>0</v>
      </c>
      <c r="AG39" s="4">
        <v>1</v>
      </c>
      <c r="AH39" s="64">
        <v>1</v>
      </c>
      <c r="AI39" s="4">
        <v>1</v>
      </c>
      <c r="AJ39" s="4">
        <v>1</v>
      </c>
      <c r="AK39" s="4">
        <v>0</v>
      </c>
    </row>
    <row r="40" spans="1:37" outlineLevel="1">
      <c r="A40" s="5">
        <v>33</v>
      </c>
      <c r="B40" s="64" t="s">
        <v>190</v>
      </c>
      <c r="C40" s="64" t="s">
        <v>235</v>
      </c>
      <c r="D40" s="4" t="str">
        <f>[1]Лист2!B33</f>
        <v>12-я КРАСНОАРМЕЙСКАЯ  ул.</v>
      </c>
      <c r="E40" s="69">
        <f>[1]Лист2!C33</f>
        <v>13</v>
      </c>
      <c r="F40" s="197" t="str">
        <f>[1]Лист2!D33</f>
        <v>Б</v>
      </c>
      <c r="G40" s="64"/>
      <c r="H40" s="199">
        <v>129033</v>
      </c>
      <c r="I40" s="64" t="s">
        <v>234</v>
      </c>
      <c r="J40" s="4"/>
      <c r="K40" s="64" t="s">
        <v>232</v>
      </c>
      <c r="L40" s="4" t="s">
        <v>232</v>
      </c>
      <c r="M40" s="72">
        <v>1862</v>
      </c>
      <c r="N40" s="64" t="s">
        <v>385</v>
      </c>
      <c r="O40" s="73">
        <v>4</v>
      </c>
      <c r="P40" s="196">
        <v>0</v>
      </c>
      <c r="Q40" s="73">
        <v>3</v>
      </c>
      <c r="R40" s="74">
        <v>34</v>
      </c>
      <c r="S40" s="76">
        <v>1493.8</v>
      </c>
      <c r="T40" s="82">
        <f t="shared" si="0"/>
        <v>1493.8</v>
      </c>
      <c r="U40" s="77">
        <f t="shared" si="1"/>
        <v>1493.8</v>
      </c>
      <c r="V40" s="78">
        <v>0</v>
      </c>
      <c r="W40" s="80" t="s">
        <v>233</v>
      </c>
      <c r="X40" s="81" t="s">
        <v>233</v>
      </c>
      <c r="Y40" s="4" t="s">
        <v>233</v>
      </c>
      <c r="Z40" s="81" t="s">
        <v>233</v>
      </c>
      <c r="AA40" s="64" t="s">
        <v>233</v>
      </c>
      <c r="AB40" s="81" t="s">
        <v>233</v>
      </c>
      <c r="AC40" s="64" t="s">
        <v>240</v>
      </c>
      <c r="AD40" s="64" t="s">
        <v>233</v>
      </c>
      <c r="AE40" s="64" t="s">
        <v>240</v>
      </c>
      <c r="AF40" s="209">
        <v>0</v>
      </c>
      <c r="AG40" s="4">
        <v>1</v>
      </c>
      <c r="AH40" s="64">
        <v>1</v>
      </c>
      <c r="AI40" s="4">
        <v>0</v>
      </c>
      <c r="AJ40" s="4">
        <v>0</v>
      </c>
      <c r="AK40" s="4">
        <v>0</v>
      </c>
    </row>
    <row r="41" spans="1:37" outlineLevel="1">
      <c r="A41" s="5">
        <v>34</v>
      </c>
      <c r="B41" s="64" t="s">
        <v>190</v>
      </c>
      <c r="C41" s="64" t="s">
        <v>235</v>
      </c>
      <c r="D41" s="4" t="str">
        <f>[1]Лист2!B34</f>
        <v>12-я КРАСНОАРМЕЙСКАЯ  ул.</v>
      </c>
      <c r="E41" s="69">
        <f>[1]Лист2!C34</f>
        <v>14</v>
      </c>
      <c r="F41" s="197" t="str">
        <f>[1]Лист2!D34</f>
        <v>В</v>
      </c>
      <c r="G41" s="64"/>
      <c r="H41" s="199">
        <v>129034</v>
      </c>
      <c r="I41" s="64" t="s">
        <v>234</v>
      </c>
      <c r="J41" s="4"/>
      <c r="K41" s="64" t="s">
        <v>232</v>
      </c>
      <c r="L41" s="4" t="s">
        <v>232</v>
      </c>
      <c r="M41" s="72">
        <v>1875</v>
      </c>
      <c r="N41" s="64" t="s">
        <v>385</v>
      </c>
      <c r="O41" s="73">
        <v>4</v>
      </c>
      <c r="P41" s="196">
        <v>0</v>
      </c>
      <c r="Q41" s="73">
        <v>4</v>
      </c>
      <c r="R41" s="74">
        <v>61</v>
      </c>
      <c r="S41" s="76">
        <v>2111.4</v>
      </c>
      <c r="T41" s="82">
        <f t="shared" si="0"/>
        <v>818.40000000000009</v>
      </c>
      <c r="U41" s="77">
        <f t="shared" si="1"/>
        <v>818.40000000000009</v>
      </c>
      <c r="V41" s="78">
        <v>1293</v>
      </c>
      <c r="W41" s="80" t="s">
        <v>233</v>
      </c>
      <c r="X41" s="81" t="s">
        <v>233</v>
      </c>
      <c r="Y41" s="4" t="s">
        <v>233</v>
      </c>
      <c r="Z41" s="81" t="s">
        <v>233</v>
      </c>
      <c r="AA41" s="64" t="s">
        <v>233</v>
      </c>
      <c r="AB41" s="81" t="s">
        <v>233</v>
      </c>
      <c r="AC41" s="64" t="s">
        <v>240</v>
      </c>
      <c r="AD41" s="64" t="s">
        <v>233</v>
      </c>
      <c r="AE41" s="64" t="s">
        <v>240</v>
      </c>
      <c r="AF41" s="208">
        <v>0</v>
      </c>
      <c r="AG41" s="4">
        <v>1</v>
      </c>
      <c r="AH41" s="64">
        <v>1</v>
      </c>
      <c r="AI41" s="4">
        <v>1</v>
      </c>
      <c r="AJ41" s="4">
        <v>1</v>
      </c>
      <c r="AK41" s="4">
        <v>0</v>
      </c>
    </row>
    <row r="42" spans="1:37" outlineLevel="1">
      <c r="A42" s="5">
        <v>35</v>
      </c>
      <c r="B42" s="64" t="s">
        <v>190</v>
      </c>
      <c r="C42" s="64" t="s">
        <v>235</v>
      </c>
      <c r="D42" s="4" t="str">
        <f>[1]Лист2!B35</f>
        <v>12-я КРАСНОАРМЕЙСКАЯ  ул.</v>
      </c>
      <c r="E42" s="69">
        <f>[1]Лист2!C35</f>
        <v>15</v>
      </c>
      <c r="F42" s="197" t="str">
        <f>[1]Лист2!D35</f>
        <v>А</v>
      </c>
      <c r="G42" s="4"/>
      <c r="H42" s="199">
        <v>129035</v>
      </c>
      <c r="I42" s="64" t="s">
        <v>234</v>
      </c>
      <c r="J42" s="4"/>
      <c r="K42" s="64" t="s">
        <v>232</v>
      </c>
      <c r="L42" s="4" t="s">
        <v>232</v>
      </c>
      <c r="M42" s="72">
        <v>1903</v>
      </c>
      <c r="N42" s="64" t="s">
        <v>385</v>
      </c>
      <c r="O42" s="73">
        <v>4</v>
      </c>
      <c r="P42" s="196">
        <v>0</v>
      </c>
      <c r="Q42" s="73">
        <v>1</v>
      </c>
      <c r="R42" s="74">
        <v>49</v>
      </c>
      <c r="S42" s="76">
        <v>520.70000000000005</v>
      </c>
      <c r="T42" s="82">
        <f t="shared" si="0"/>
        <v>520.70000000000005</v>
      </c>
      <c r="U42" s="77">
        <f t="shared" si="1"/>
        <v>520.70000000000005</v>
      </c>
      <c r="V42" s="78">
        <v>0</v>
      </c>
      <c r="W42" s="80" t="s">
        <v>233</v>
      </c>
      <c r="X42" s="81" t="s">
        <v>233</v>
      </c>
      <c r="Y42" s="4" t="s">
        <v>233</v>
      </c>
      <c r="Z42" s="81" t="s">
        <v>233</v>
      </c>
      <c r="AA42" s="64" t="s">
        <v>233</v>
      </c>
      <c r="AB42" s="81" t="s">
        <v>233</v>
      </c>
      <c r="AC42" s="64" t="s">
        <v>240</v>
      </c>
      <c r="AD42" s="64" t="s">
        <v>233</v>
      </c>
      <c r="AE42" s="64" t="s">
        <v>240</v>
      </c>
      <c r="AF42" s="209">
        <v>0</v>
      </c>
      <c r="AG42" s="4">
        <v>1</v>
      </c>
      <c r="AH42" s="64">
        <v>1</v>
      </c>
      <c r="AI42" s="4">
        <v>0</v>
      </c>
      <c r="AJ42" s="4">
        <v>0</v>
      </c>
      <c r="AK42" s="4">
        <v>0</v>
      </c>
    </row>
    <row r="43" spans="1:37" outlineLevel="1">
      <c r="A43" s="5">
        <v>36</v>
      </c>
      <c r="B43" s="64" t="s">
        <v>190</v>
      </c>
      <c r="C43" s="64" t="s">
        <v>235</v>
      </c>
      <c r="D43" s="4" t="str">
        <f>[1]Лист2!B36</f>
        <v>12-я КРАСНОАРМЕЙСКАЯ  ул.</v>
      </c>
      <c r="E43" s="69">
        <f>[1]Лист2!C36</f>
        <v>15</v>
      </c>
      <c r="F43" s="197" t="str">
        <f>[1]Лист2!D36</f>
        <v>В</v>
      </c>
      <c r="G43" s="4"/>
      <c r="H43" s="199">
        <v>129036</v>
      </c>
      <c r="I43" s="64" t="s">
        <v>234</v>
      </c>
      <c r="J43" s="4"/>
      <c r="K43" s="64" t="s">
        <v>232</v>
      </c>
      <c r="L43" s="4" t="s">
        <v>232</v>
      </c>
      <c r="M43" s="72">
        <v>1903</v>
      </c>
      <c r="N43" s="64" t="s">
        <v>385</v>
      </c>
      <c r="O43" s="73">
        <v>4</v>
      </c>
      <c r="P43" s="196">
        <v>0</v>
      </c>
      <c r="Q43" s="73">
        <v>1</v>
      </c>
      <c r="R43" s="74">
        <v>36</v>
      </c>
      <c r="S43" s="76">
        <v>297</v>
      </c>
      <c r="T43" s="82">
        <f t="shared" si="0"/>
        <v>297</v>
      </c>
      <c r="U43" s="77">
        <f t="shared" si="1"/>
        <v>297</v>
      </c>
      <c r="V43" s="78">
        <v>0</v>
      </c>
      <c r="W43" s="80" t="s">
        <v>233</v>
      </c>
      <c r="X43" s="81" t="s">
        <v>233</v>
      </c>
      <c r="Y43" s="4" t="s">
        <v>233</v>
      </c>
      <c r="Z43" s="81" t="s">
        <v>233</v>
      </c>
      <c r="AA43" s="64" t="s">
        <v>233</v>
      </c>
      <c r="AB43" s="81" t="s">
        <v>233</v>
      </c>
      <c r="AC43" s="64" t="s">
        <v>240</v>
      </c>
      <c r="AD43" s="64" t="s">
        <v>233</v>
      </c>
      <c r="AE43" s="64" t="s">
        <v>240</v>
      </c>
      <c r="AF43" s="208">
        <v>0</v>
      </c>
      <c r="AG43" s="4">
        <v>1</v>
      </c>
      <c r="AH43" s="64">
        <v>1</v>
      </c>
      <c r="AI43" s="4">
        <v>0</v>
      </c>
      <c r="AJ43" s="4">
        <v>0</v>
      </c>
      <c r="AK43" s="4">
        <v>0</v>
      </c>
    </row>
    <row r="44" spans="1:37" outlineLevel="1">
      <c r="A44" s="63">
        <v>37</v>
      </c>
      <c r="B44" s="64" t="s">
        <v>190</v>
      </c>
      <c r="C44" s="64" t="s">
        <v>235</v>
      </c>
      <c r="D44" s="4" t="str">
        <f>[1]Лист2!B37</f>
        <v>12-я КРАСНОАРМЕЙСКАЯ  ул.</v>
      </c>
      <c r="E44" s="69">
        <f>[1]Лист2!C37</f>
        <v>16</v>
      </c>
      <c r="F44" s="197" t="str">
        <f>[1]Лист2!D37</f>
        <v>Г</v>
      </c>
      <c r="G44" s="64"/>
      <c r="H44" s="199">
        <v>129037</v>
      </c>
      <c r="I44" s="64" t="s">
        <v>234</v>
      </c>
      <c r="J44" s="4"/>
      <c r="K44" s="64" t="s">
        <v>232</v>
      </c>
      <c r="L44" s="4" t="s">
        <v>232</v>
      </c>
      <c r="M44" s="72">
        <v>1878</v>
      </c>
      <c r="N44" s="64" t="s">
        <v>385</v>
      </c>
      <c r="O44" s="73">
        <v>5</v>
      </c>
      <c r="P44" s="196">
        <v>0</v>
      </c>
      <c r="Q44" s="73">
        <v>1</v>
      </c>
      <c r="R44" s="74">
        <v>36</v>
      </c>
      <c r="S44" s="76">
        <v>1205.5999999999999</v>
      </c>
      <c r="T44" s="82">
        <f t="shared" si="0"/>
        <v>974.3</v>
      </c>
      <c r="U44" s="77">
        <f t="shared" si="1"/>
        <v>974.3</v>
      </c>
      <c r="V44" s="78">
        <v>231.3</v>
      </c>
      <c r="W44" s="80" t="s">
        <v>233</v>
      </c>
      <c r="X44" s="81" t="s">
        <v>233</v>
      </c>
      <c r="Y44" s="4" t="s">
        <v>233</v>
      </c>
      <c r="Z44" s="81" t="s">
        <v>233</v>
      </c>
      <c r="AA44" s="64" t="s">
        <v>233</v>
      </c>
      <c r="AB44" s="81" t="s">
        <v>233</v>
      </c>
      <c r="AC44" s="64" t="s">
        <v>240</v>
      </c>
      <c r="AD44" s="64" t="s">
        <v>233</v>
      </c>
      <c r="AE44" s="64" t="s">
        <v>240</v>
      </c>
      <c r="AF44" s="209">
        <v>0</v>
      </c>
      <c r="AG44" s="4">
        <v>1</v>
      </c>
      <c r="AH44" s="64">
        <v>1</v>
      </c>
      <c r="AI44" s="4">
        <v>0</v>
      </c>
      <c r="AJ44" s="4">
        <v>0</v>
      </c>
      <c r="AK44" s="4">
        <v>0</v>
      </c>
    </row>
    <row r="45" spans="1:37" outlineLevel="1">
      <c r="A45" s="63">
        <v>38</v>
      </c>
      <c r="B45" s="64" t="s">
        <v>190</v>
      </c>
      <c r="C45" s="64" t="s">
        <v>235</v>
      </c>
      <c r="D45" s="4" t="str">
        <f>[1]Лист2!B38</f>
        <v>12-я КРАСНОАРМЕЙСКАЯ  ул.</v>
      </c>
      <c r="E45" s="69">
        <f>[1]Лист2!C38</f>
        <v>16</v>
      </c>
      <c r="F45" s="197" t="str">
        <f>[1]Лист2!D38</f>
        <v>Н</v>
      </c>
      <c r="G45" s="64"/>
      <c r="H45" s="199">
        <v>129038</v>
      </c>
      <c r="I45" s="64" t="s">
        <v>234</v>
      </c>
      <c r="J45" s="4"/>
      <c r="K45" s="64" t="s">
        <v>232</v>
      </c>
      <c r="L45" s="4" t="s">
        <v>232</v>
      </c>
      <c r="M45" s="72">
        <v>1878</v>
      </c>
      <c r="N45" s="64" t="s">
        <v>385</v>
      </c>
      <c r="O45" s="73">
        <v>4</v>
      </c>
      <c r="P45" s="196">
        <v>0</v>
      </c>
      <c r="Q45" s="73">
        <v>1</v>
      </c>
      <c r="R45" s="74">
        <v>12</v>
      </c>
      <c r="S45" s="76">
        <v>513.4</v>
      </c>
      <c r="T45" s="82">
        <f t="shared" si="0"/>
        <v>380.7</v>
      </c>
      <c r="U45" s="77">
        <f t="shared" si="1"/>
        <v>380.7</v>
      </c>
      <c r="V45" s="78">
        <v>132.69999999999999</v>
      </c>
      <c r="W45" s="80" t="s">
        <v>233</v>
      </c>
      <c r="X45" s="81" t="s">
        <v>233</v>
      </c>
      <c r="Y45" s="4" t="s">
        <v>233</v>
      </c>
      <c r="Z45" s="81" t="s">
        <v>233</v>
      </c>
      <c r="AA45" s="64" t="s">
        <v>233</v>
      </c>
      <c r="AB45" s="81" t="s">
        <v>233</v>
      </c>
      <c r="AC45" s="64" t="s">
        <v>240</v>
      </c>
      <c r="AD45" s="64" t="s">
        <v>233</v>
      </c>
      <c r="AE45" s="64" t="s">
        <v>240</v>
      </c>
      <c r="AF45" s="209">
        <v>0</v>
      </c>
      <c r="AG45" s="4">
        <v>1</v>
      </c>
      <c r="AH45" s="64">
        <v>1</v>
      </c>
      <c r="AI45" s="4">
        <v>0</v>
      </c>
      <c r="AJ45" s="4">
        <v>0</v>
      </c>
      <c r="AK45" s="4">
        <v>0</v>
      </c>
    </row>
    <row r="46" spans="1:37" outlineLevel="1">
      <c r="A46" s="5">
        <v>39</v>
      </c>
      <c r="B46" s="64" t="s">
        <v>190</v>
      </c>
      <c r="C46" s="64" t="s">
        <v>235</v>
      </c>
      <c r="D46" s="4" t="str">
        <f>[1]Лист2!B39</f>
        <v>12-я КРАСНОАРМЕЙСКАЯ  ул.</v>
      </c>
      <c r="E46" s="69">
        <f>[1]Лист2!C39</f>
        <v>19</v>
      </c>
      <c r="F46" s="197" t="str">
        <f>[1]Лист2!D39</f>
        <v>А</v>
      </c>
      <c r="G46" s="4"/>
      <c r="H46" s="199">
        <v>129039</v>
      </c>
      <c r="I46" s="64" t="s">
        <v>234</v>
      </c>
      <c r="J46" s="4"/>
      <c r="K46" s="64" t="s">
        <v>232</v>
      </c>
      <c r="L46" s="4" t="s">
        <v>232</v>
      </c>
      <c r="M46" s="72">
        <v>1913</v>
      </c>
      <c r="N46" s="64" t="s">
        <v>385</v>
      </c>
      <c r="O46" s="73">
        <v>7</v>
      </c>
      <c r="P46" s="196">
        <v>0</v>
      </c>
      <c r="Q46" s="73">
        <v>4</v>
      </c>
      <c r="R46" s="74">
        <v>63</v>
      </c>
      <c r="S46" s="76">
        <v>4636.49</v>
      </c>
      <c r="T46" s="82">
        <f t="shared" si="0"/>
        <v>4113.09</v>
      </c>
      <c r="U46" s="77">
        <f t="shared" si="1"/>
        <v>4113.09</v>
      </c>
      <c r="V46" s="78">
        <v>523.4</v>
      </c>
      <c r="W46" s="80" t="s">
        <v>233</v>
      </c>
      <c r="X46" s="81" t="s">
        <v>233</v>
      </c>
      <c r="Y46" s="4" t="s">
        <v>233</v>
      </c>
      <c r="Z46" s="81" t="s">
        <v>233</v>
      </c>
      <c r="AA46" s="64" t="s">
        <v>233</v>
      </c>
      <c r="AB46" s="81" t="s">
        <v>233</v>
      </c>
      <c r="AC46" s="64" t="s">
        <v>240</v>
      </c>
      <c r="AD46" s="64" t="s">
        <v>233</v>
      </c>
      <c r="AE46" s="64" t="s">
        <v>240</v>
      </c>
      <c r="AF46" s="208">
        <v>1</v>
      </c>
      <c r="AG46" s="4">
        <v>2</v>
      </c>
      <c r="AH46" s="64">
        <v>1</v>
      </c>
      <c r="AI46" s="4">
        <v>1</v>
      </c>
      <c r="AJ46" s="4">
        <v>1</v>
      </c>
      <c r="AK46" s="4">
        <v>0</v>
      </c>
    </row>
    <row r="47" spans="1:37" outlineLevel="1">
      <c r="A47" s="5">
        <v>40</v>
      </c>
      <c r="B47" s="64" t="s">
        <v>190</v>
      </c>
      <c r="C47" s="64" t="s">
        <v>235</v>
      </c>
      <c r="D47" s="4" t="str">
        <f>[1]Лист2!B40</f>
        <v>12-я КРАСНОАРМЕЙСКАЯ  ул.</v>
      </c>
      <c r="E47" s="69">
        <f>[1]Лист2!C40</f>
        <v>21</v>
      </c>
      <c r="F47" s="197" t="str">
        <f>[1]Лист2!D40</f>
        <v>А</v>
      </c>
      <c r="G47" s="4"/>
      <c r="H47" s="199">
        <v>129040</v>
      </c>
      <c r="I47" s="64" t="s">
        <v>234</v>
      </c>
      <c r="J47" s="4"/>
      <c r="K47" s="64" t="s">
        <v>232</v>
      </c>
      <c r="L47" s="4" t="s">
        <v>232</v>
      </c>
      <c r="M47" s="72">
        <v>1876</v>
      </c>
      <c r="N47" s="64" t="s">
        <v>385</v>
      </c>
      <c r="O47" s="73">
        <v>4</v>
      </c>
      <c r="P47" s="196">
        <v>0</v>
      </c>
      <c r="Q47" s="73">
        <v>4</v>
      </c>
      <c r="R47" s="74">
        <v>65</v>
      </c>
      <c r="S47" s="76">
        <v>1811</v>
      </c>
      <c r="T47" s="82">
        <f t="shared" si="0"/>
        <v>1758</v>
      </c>
      <c r="U47" s="77">
        <f t="shared" si="1"/>
        <v>1758</v>
      </c>
      <c r="V47" s="78">
        <v>53</v>
      </c>
      <c r="W47" s="80" t="s">
        <v>233</v>
      </c>
      <c r="X47" s="81" t="s">
        <v>233</v>
      </c>
      <c r="Y47" s="4" t="s">
        <v>233</v>
      </c>
      <c r="Z47" s="81" t="s">
        <v>233</v>
      </c>
      <c r="AA47" s="64" t="s">
        <v>233</v>
      </c>
      <c r="AB47" s="81" t="s">
        <v>233</v>
      </c>
      <c r="AC47" s="64" t="s">
        <v>240</v>
      </c>
      <c r="AD47" s="64" t="s">
        <v>233</v>
      </c>
      <c r="AE47" s="64" t="s">
        <v>240</v>
      </c>
      <c r="AF47" s="208">
        <v>0</v>
      </c>
      <c r="AG47" s="4">
        <v>1</v>
      </c>
      <c r="AH47" s="64">
        <v>1</v>
      </c>
      <c r="AI47" s="4">
        <v>1</v>
      </c>
      <c r="AJ47" s="4">
        <v>1</v>
      </c>
      <c r="AK47" s="4">
        <v>0</v>
      </c>
    </row>
    <row r="48" spans="1:37" outlineLevel="1">
      <c r="A48" s="5">
        <v>41</v>
      </c>
      <c r="B48" s="64" t="s">
        <v>190</v>
      </c>
      <c r="C48" s="64" t="s">
        <v>235</v>
      </c>
      <c r="D48" s="4" t="str">
        <f>[1]Лист2!B41</f>
        <v>12-я КРАСНОАРМЕЙСКАЯ  ул.</v>
      </c>
      <c r="E48" s="69">
        <f>[1]Лист2!C41</f>
        <v>21</v>
      </c>
      <c r="F48" s="197" t="str">
        <f>[1]Лист2!D41</f>
        <v>Б</v>
      </c>
      <c r="G48" s="64"/>
      <c r="H48" s="199">
        <v>129041</v>
      </c>
      <c r="I48" s="64" t="s">
        <v>234</v>
      </c>
      <c r="J48" s="4"/>
      <c r="K48" s="64" t="s">
        <v>232</v>
      </c>
      <c r="L48" s="4" t="s">
        <v>232</v>
      </c>
      <c r="M48" s="72">
        <v>1876</v>
      </c>
      <c r="N48" s="64" t="s">
        <v>385</v>
      </c>
      <c r="O48" s="73">
        <v>3</v>
      </c>
      <c r="P48" s="196">
        <v>0</v>
      </c>
      <c r="Q48" s="73">
        <v>1</v>
      </c>
      <c r="R48" s="74">
        <v>37</v>
      </c>
      <c r="S48" s="76">
        <v>1014</v>
      </c>
      <c r="T48" s="82">
        <f t="shared" si="0"/>
        <v>1014</v>
      </c>
      <c r="U48" s="77">
        <f t="shared" si="1"/>
        <v>1014</v>
      </c>
      <c r="V48" s="78">
        <v>0</v>
      </c>
      <c r="W48" s="80" t="s">
        <v>233</v>
      </c>
      <c r="X48" s="81" t="s">
        <v>233</v>
      </c>
      <c r="Y48" s="4" t="s">
        <v>233</v>
      </c>
      <c r="Z48" s="81" t="s">
        <v>233</v>
      </c>
      <c r="AA48" s="64" t="s">
        <v>233</v>
      </c>
      <c r="AB48" s="81" t="s">
        <v>233</v>
      </c>
      <c r="AC48" s="64" t="s">
        <v>240</v>
      </c>
      <c r="AD48" s="64" t="s">
        <v>233</v>
      </c>
      <c r="AE48" s="64" t="s">
        <v>240</v>
      </c>
      <c r="AF48" s="209">
        <v>0</v>
      </c>
      <c r="AG48" s="4">
        <v>1</v>
      </c>
      <c r="AH48" s="64">
        <v>1</v>
      </c>
      <c r="AI48" s="4">
        <v>0</v>
      </c>
      <c r="AJ48" s="4">
        <v>0</v>
      </c>
      <c r="AK48" s="4">
        <v>0</v>
      </c>
    </row>
    <row r="49" spans="1:37" outlineLevel="1">
      <c r="A49" s="5">
        <v>42</v>
      </c>
      <c r="B49" s="64" t="s">
        <v>190</v>
      </c>
      <c r="C49" s="64" t="s">
        <v>235</v>
      </c>
      <c r="D49" s="4" t="str">
        <f>[1]Лист2!B42</f>
        <v>12-я КРАСНОАРМЕЙСКАЯ  ул.</v>
      </c>
      <c r="E49" s="69">
        <f>[1]Лист2!C42</f>
        <v>21</v>
      </c>
      <c r="F49" s="197" t="str">
        <f>[1]Лист2!D42</f>
        <v>В</v>
      </c>
      <c r="G49" s="64"/>
      <c r="H49" s="199">
        <v>129042</v>
      </c>
      <c r="I49" s="64" t="s">
        <v>234</v>
      </c>
      <c r="J49" s="4"/>
      <c r="K49" s="64" t="s">
        <v>232</v>
      </c>
      <c r="L49" s="4" t="s">
        <v>232</v>
      </c>
      <c r="M49" s="72">
        <v>1876</v>
      </c>
      <c r="N49" s="64" t="s">
        <v>385</v>
      </c>
      <c r="O49" s="73">
        <v>4</v>
      </c>
      <c r="P49" s="196">
        <v>0</v>
      </c>
      <c r="Q49" s="73">
        <v>1</v>
      </c>
      <c r="R49" s="74">
        <v>5</v>
      </c>
      <c r="S49" s="76">
        <v>179.5</v>
      </c>
      <c r="T49" s="82">
        <f t="shared" si="0"/>
        <v>179.5</v>
      </c>
      <c r="U49" s="77">
        <f t="shared" si="1"/>
        <v>179.5</v>
      </c>
      <c r="V49" s="78">
        <v>0</v>
      </c>
      <c r="W49" s="80" t="s">
        <v>233</v>
      </c>
      <c r="X49" s="81" t="s">
        <v>233</v>
      </c>
      <c r="Y49" s="4" t="s">
        <v>233</v>
      </c>
      <c r="Z49" s="81" t="s">
        <v>233</v>
      </c>
      <c r="AA49" s="64" t="s">
        <v>233</v>
      </c>
      <c r="AB49" s="81" t="s">
        <v>233</v>
      </c>
      <c r="AC49" s="64" t="s">
        <v>240</v>
      </c>
      <c r="AD49" s="64" t="s">
        <v>233</v>
      </c>
      <c r="AE49" s="64" t="s">
        <v>240</v>
      </c>
      <c r="AF49" s="209">
        <v>0</v>
      </c>
      <c r="AG49" s="4">
        <v>1</v>
      </c>
      <c r="AH49" s="64">
        <v>1</v>
      </c>
      <c r="AI49" s="4">
        <v>0</v>
      </c>
      <c r="AJ49" s="4">
        <v>0</v>
      </c>
      <c r="AK49" s="4">
        <v>0</v>
      </c>
    </row>
    <row r="50" spans="1:37" outlineLevel="1">
      <c r="A50" s="63">
        <v>43</v>
      </c>
      <c r="B50" s="64" t="s">
        <v>190</v>
      </c>
      <c r="C50" s="64" t="s">
        <v>235</v>
      </c>
      <c r="D50" s="4" t="str">
        <f>[1]Лист2!B43</f>
        <v>12-я КРАСНОАРМЕЙСКАЯ  ул.</v>
      </c>
      <c r="E50" s="69">
        <f>[1]Лист2!C43</f>
        <v>23</v>
      </c>
      <c r="F50" s="197" t="str">
        <f>[1]Лист2!D43</f>
        <v>А</v>
      </c>
      <c r="G50" s="4"/>
      <c r="H50" s="199">
        <v>129043</v>
      </c>
      <c r="I50" s="64" t="s">
        <v>234</v>
      </c>
      <c r="J50" s="4"/>
      <c r="K50" s="64" t="s">
        <v>232</v>
      </c>
      <c r="L50" s="4" t="s">
        <v>232</v>
      </c>
      <c r="M50" s="72">
        <v>1874</v>
      </c>
      <c r="N50" s="64" t="s">
        <v>385</v>
      </c>
      <c r="O50" s="73">
        <v>4</v>
      </c>
      <c r="P50" s="196">
        <v>0</v>
      </c>
      <c r="Q50" s="73">
        <v>3</v>
      </c>
      <c r="R50" s="74">
        <v>36</v>
      </c>
      <c r="S50" s="76">
        <v>1585.1000000000001</v>
      </c>
      <c r="T50" s="82">
        <f t="shared" si="0"/>
        <v>1510.4</v>
      </c>
      <c r="U50" s="77">
        <f t="shared" si="1"/>
        <v>1510.4</v>
      </c>
      <c r="V50" s="78">
        <v>74.7</v>
      </c>
      <c r="W50" s="80" t="s">
        <v>233</v>
      </c>
      <c r="X50" s="81" t="s">
        <v>233</v>
      </c>
      <c r="Y50" s="4" t="s">
        <v>233</v>
      </c>
      <c r="Z50" s="81" t="s">
        <v>233</v>
      </c>
      <c r="AA50" s="64" t="s">
        <v>233</v>
      </c>
      <c r="AB50" s="81" t="s">
        <v>233</v>
      </c>
      <c r="AC50" s="64" t="s">
        <v>240</v>
      </c>
      <c r="AD50" s="64" t="s">
        <v>233</v>
      </c>
      <c r="AE50" s="64" t="s">
        <v>240</v>
      </c>
      <c r="AF50" s="208">
        <v>0</v>
      </c>
      <c r="AG50" s="4">
        <v>1</v>
      </c>
      <c r="AH50" s="64">
        <v>1</v>
      </c>
      <c r="AI50" s="4">
        <v>0</v>
      </c>
      <c r="AJ50" s="4">
        <v>0</v>
      </c>
      <c r="AK50" s="4">
        <v>0</v>
      </c>
    </row>
    <row r="51" spans="1:37" outlineLevel="1">
      <c r="A51" s="63">
        <v>44</v>
      </c>
      <c r="B51" s="64" t="s">
        <v>190</v>
      </c>
      <c r="C51" s="64" t="s">
        <v>235</v>
      </c>
      <c r="D51" s="4" t="str">
        <f>[1]Лист2!B44</f>
        <v>12-я КРАСНОАРМЕЙСКАЯ  ул.</v>
      </c>
      <c r="E51" s="69">
        <f>[1]Лист2!C44</f>
        <v>24</v>
      </c>
      <c r="F51" s="197" t="str">
        <f>[1]Лист2!D44</f>
        <v>А</v>
      </c>
      <c r="G51" s="4"/>
      <c r="H51" s="199">
        <v>129044</v>
      </c>
      <c r="I51" s="64" t="s">
        <v>234</v>
      </c>
      <c r="J51" s="4"/>
      <c r="K51" s="64" t="s">
        <v>232</v>
      </c>
      <c r="L51" s="4" t="s">
        <v>232</v>
      </c>
      <c r="M51" s="72">
        <v>1899</v>
      </c>
      <c r="N51" s="64" t="s">
        <v>385</v>
      </c>
      <c r="O51" s="73">
        <v>5</v>
      </c>
      <c r="P51" s="196">
        <v>0</v>
      </c>
      <c r="Q51" s="73">
        <v>2</v>
      </c>
      <c r="R51" s="74">
        <v>39</v>
      </c>
      <c r="S51" s="76">
        <v>1595</v>
      </c>
      <c r="T51" s="82">
        <f t="shared" si="0"/>
        <v>1402.48</v>
      </c>
      <c r="U51" s="77">
        <f t="shared" si="1"/>
        <v>1402.48</v>
      </c>
      <c r="V51" s="78">
        <v>192.52</v>
      </c>
      <c r="W51" s="80" t="s">
        <v>233</v>
      </c>
      <c r="X51" s="81" t="s">
        <v>233</v>
      </c>
      <c r="Y51" s="4" t="s">
        <v>233</v>
      </c>
      <c r="Z51" s="81" t="s">
        <v>233</v>
      </c>
      <c r="AA51" s="64" t="s">
        <v>233</v>
      </c>
      <c r="AB51" s="81" t="s">
        <v>233</v>
      </c>
      <c r="AC51" s="64" t="s">
        <v>240</v>
      </c>
      <c r="AD51" s="64" t="s">
        <v>233</v>
      </c>
      <c r="AE51" s="64" t="s">
        <v>240</v>
      </c>
      <c r="AF51" s="208">
        <v>0</v>
      </c>
      <c r="AG51" s="4">
        <v>1</v>
      </c>
      <c r="AH51" s="64">
        <v>1</v>
      </c>
      <c r="AI51" s="4">
        <v>0</v>
      </c>
      <c r="AJ51" s="4">
        <v>0</v>
      </c>
      <c r="AK51" s="4">
        <v>0</v>
      </c>
    </row>
    <row r="52" spans="1:37" outlineLevel="1">
      <c r="A52" s="5">
        <v>45</v>
      </c>
      <c r="B52" s="64" t="s">
        <v>190</v>
      </c>
      <c r="C52" s="64" t="s">
        <v>235</v>
      </c>
      <c r="D52" s="4" t="str">
        <f>[1]Лист2!B45</f>
        <v>12-я КРАСНОАРМЕЙСКАЯ  ул.</v>
      </c>
      <c r="E52" s="69">
        <f>[1]Лист2!C45</f>
        <v>3</v>
      </c>
      <c r="F52" s="197" t="str">
        <f>[1]Лист2!D45</f>
        <v>А</v>
      </c>
      <c r="G52" s="64"/>
      <c r="H52" s="199">
        <v>129045</v>
      </c>
      <c r="I52" s="64" t="s">
        <v>234</v>
      </c>
      <c r="J52" s="4"/>
      <c r="K52" s="64" t="s">
        <v>232</v>
      </c>
      <c r="L52" s="4" t="s">
        <v>232</v>
      </c>
      <c r="M52" s="72">
        <v>1912</v>
      </c>
      <c r="N52" s="64" t="s">
        <v>385</v>
      </c>
      <c r="O52" s="73">
        <v>5</v>
      </c>
      <c r="P52" s="196">
        <v>0</v>
      </c>
      <c r="Q52" s="73">
        <v>3</v>
      </c>
      <c r="R52" s="74">
        <v>43</v>
      </c>
      <c r="S52" s="76">
        <v>3239.05</v>
      </c>
      <c r="T52" s="82">
        <f t="shared" si="0"/>
        <v>2427.65</v>
      </c>
      <c r="U52" s="77">
        <f t="shared" si="1"/>
        <v>2427.65</v>
      </c>
      <c r="V52" s="78">
        <v>811.4</v>
      </c>
      <c r="W52" s="80" t="s">
        <v>233</v>
      </c>
      <c r="X52" s="81" t="s">
        <v>233</v>
      </c>
      <c r="Y52" s="4" t="s">
        <v>233</v>
      </c>
      <c r="Z52" s="81" t="s">
        <v>233</v>
      </c>
      <c r="AA52" s="64" t="s">
        <v>233</v>
      </c>
      <c r="AB52" s="81" t="s">
        <v>233</v>
      </c>
      <c r="AC52" s="64" t="s">
        <v>240</v>
      </c>
      <c r="AD52" s="64" t="s">
        <v>233</v>
      </c>
      <c r="AE52" s="64" t="s">
        <v>240</v>
      </c>
      <c r="AF52" s="208">
        <v>1</v>
      </c>
      <c r="AG52" s="4">
        <v>1</v>
      </c>
      <c r="AH52" s="64">
        <v>1</v>
      </c>
      <c r="AI52" s="4">
        <v>1</v>
      </c>
      <c r="AJ52" s="4">
        <v>1</v>
      </c>
      <c r="AK52" s="4">
        <v>0</v>
      </c>
    </row>
    <row r="53" spans="1:37" outlineLevel="1">
      <c r="A53" s="5">
        <v>46</v>
      </c>
      <c r="B53" s="64" t="s">
        <v>190</v>
      </c>
      <c r="C53" s="64" t="s">
        <v>235</v>
      </c>
      <c r="D53" s="4" t="str">
        <f>[1]Лист2!B46</f>
        <v>12-я КРАСНОАРМЕЙСКАЯ  ул.</v>
      </c>
      <c r="E53" s="69">
        <f>[1]Лист2!C46</f>
        <v>32</v>
      </c>
      <c r="F53" s="197" t="str">
        <f>[1]Лист2!D46</f>
        <v>А</v>
      </c>
      <c r="G53" s="64"/>
      <c r="H53" s="199">
        <v>129046</v>
      </c>
      <c r="I53" s="64" t="s">
        <v>234</v>
      </c>
      <c r="J53" s="4"/>
      <c r="K53" s="64" t="s">
        <v>232</v>
      </c>
      <c r="L53" s="4" t="s">
        <v>232</v>
      </c>
      <c r="M53" s="72">
        <v>1846</v>
      </c>
      <c r="N53" s="64" t="s">
        <v>385</v>
      </c>
      <c r="O53" s="73">
        <v>3</v>
      </c>
      <c r="P53" s="196">
        <v>0</v>
      </c>
      <c r="Q53" s="73">
        <v>3</v>
      </c>
      <c r="R53" s="74">
        <v>33</v>
      </c>
      <c r="S53" s="76">
        <v>1510.5000000000002</v>
      </c>
      <c r="T53" s="82">
        <f t="shared" si="0"/>
        <v>1103.3000000000002</v>
      </c>
      <c r="U53" s="77">
        <f t="shared" si="1"/>
        <v>1103.3000000000002</v>
      </c>
      <c r="V53" s="78">
        <v>407.2</v>
      </c>
      <c r="W53" s="80" t="s">
        <v>233</v>
      </c>
      <c r="X53" s="81" t="s">
        <v>233</v>
      </c>
      <c r="Y53" s="4" t="s">
        <v>233</v>
      </c>
      <c r="Z53" s="81" t="s">
        <v>233</v>
      </c>
      <c r="AA53" s="64" t="s">
        <v>233</v>
      </c>
      <c r="AB53" s="81" t="s">
        <v>233</v>
      </c>
      <c r="AC53" s="64" t="s">
        <v>240</v>
      </c>
      <c r="AD53" s="64" t="s">
        <v>233</v>
      </c>
      <c r="AE53" s="64" t="s">
        <v>240</v>
      </c>
      <c r="AF53" s="208">
        <v>0</v>
      </c>
      <c r="AG53" s="4">
        <v>1</v>
      </c>
      <c r="AH53" s="64">
        <v>1</v>
      </c>
      <c r="AI53" s="4">
        <v>1</v>
      </c>
      <c r="AJ53" s="4">
        <v>1</v>
      </c>
      <c r="AK53" s="4">
        <v>0</v>
      </c>
    </row>
    <row r="54" spans="1:37" outlineLevel="1">
      <c r="A54" s="5">
        <v>47</v>
      </c>
      <c r="B54" s="64" t="s">
        <v>190</v>
      </c>
      <c r="C54" s="64" t="s">
        <v>235</v>
      </c>
      <c r="D54" s="4" t="str">
        <f>[1]Лист2!B47</f>
        <v>12-я КРАСНОАРМЕЙСКАЯ  ул.</v>
      </c>
      <c r="E54" s="69">
        <f>[1]Лист2!C47</f>
        <v>34</v>
      </c>
      <c r="F54" s="197" t="str">
        <f>[1]Лист2!D47</f>
        <v>А</v>
      </c>
      <c r="G54" s="4"/>
      <c r="H54" s="199">
        <v>129047</v>
      </c>
      <c r="I54" s="64" t="s">
        <v>234</v>
      </c>
      <c r="J54" s="4"/>
      <c r="K54" s="64" t="s">
        <v>232</v>
      </c>
      <c r="L54" s="4" t="s">
        <v>232</v>
      </c>
      <c r="M54" s="72">
        <v>1910</v>
      </c>
      <c r="N54" s="64" t="s">
        <v>385</v>
      </c>
      <c r="O54" s="73">
        <v>5</v>
      </c>
      <c r="P54" s="196">
        <v>0</v>
      </c>
      <c r="Q54" s="73">
        <v>4</v>
      </c>
      <c r="R54" s="74">
        <v>24</v>
      </c>
      <c r="S54" s="76">
        <v>2347.7399999999998</v>
      </c>
      <c r="T54" s="82">
        <f t="shared" si="0"/>
        <v>2251.04</v>
      </c>
      <c r="U54" s="77">
        <f t="shared" si="1"/>
        <v>2251.04</v>
      </c>
      <c r="V54" s="78">
        <v>96.7</v>
      </c>
      <c r="W54" s="80" t="s">
        <v>233</v>
      </c>
      <c r="X54" s="81" t="s">
        <v>233</v>
      </c>
      <c r="Y54" s="4" t="s">
        <v>233</v>
      </c>
      <c r="Z54" s="81" t="s">
        <v>233</v>
      </c>
      <c r="AA54" s="64" t="s">
        <v>233</v>
      </c>
      <c r="AB54" s="81" t="s">
        <v>233</v>
      </c>
      <c r="AC54" s="64" t="s">
        <v>240</v>
      </c>
      <c r="AD54" s="64" t="s">
        <v>233</v>
      </c>
      <c r="AE54" s="64" t="s">
        <v>240</v>
      </c>
      <c r="AF54" s="208">
        <v>1</v>
      </c>
      <c r="AG54" s="4">
        <v>2</v>
      </c>
      <c r="AH54" s="64">
        <v>1</v>
      </c>
      <c r="AI54" s="4">
        <v>0</v>
      </c>
      <c r="AJ54" s="4">
        <v>0</v>
      </c>
      <c r="AK54" s="4">
        <v>0</v>
      </c>
    </row>
    <row r="55" spans="1:37" outlineLevel="1">
      <c r="A55" s="5">
        <v>48</v>
      </c>
      <c r="B55" s="64" t="s">
        <v>190</v>
      </c>
      <c r="C55" s="64" t="s">
        <v>235</v>
      </c>
      <c r="D55" s="4" t="str">
        <f>[1]Лист2!B48</f>
        <v>12-я КРАСНОАРМЕЙСКАЯ  ул.</v>
      </c>
      <c r="E55" s="69">
        <f>[1]Лист2!C48</f>
        <v>6</v>
      </c>
      <c r="F55" s="197" t="str">
        <f>[1]Лист2!D48</f>
        <v>А</v>
      </c>
      <c r="G55" s="4"/>
      <c r="H55" s="199">
        <v>129048</v>
      </c>
      <c r="I55" s="64" t="s">
        <v>234</v>
      </c>
      <c r="J55" s="4"/>
      <c r="K55" s="64" t="s">
        <v>232</v>
      </c>
      <c r="L55" s="4" t="s">
        <v>232</v>
      </c>
      <c r="M55" s="72">
        <v>1907</v>
      </c>
      <c r="N55" s="64" t="s">
        <v>385</v>
      </c>
      <c r="O55" s="73">
        <v>5</v>
      </c>
      <c r="P55" s="196">
        <v>0</v>
      </c>
      <c r="Q55" s="73">
        <v>5</v>
      </c>
      <c r="R55" s="74">
        <v>79</v>
      </c>
      <c r="S55" s="76">
        <v>1949.3999999999999</v>
      </c>
      <c r="T55" s="82">
        <f t="shared" si="0"/>
        <v>1821.6</v>
      </c>
      <c r="U55" s="77">
        <f t="shared" si="1"/>
        <v>1821.6</v>
      </c>
      <c r="V55" s="78">
        <v>127.8</v>
      </c>
      <c r="W55" s="80" t="s">
        <v>233</v>
      </c>
      <c r="X55" s="81" t="s">
        <v>233</v>
      </c>
      <c r="Y55" s="4" t="s">
        <v>233</v>
      </c>
      <c r="Z55" s="81" t="s">
        <v>233</v>
      </c>
      <c r="AA55" s="64" t="s">
        <v>233</v>
      </c>
      <c r="AB55" s="81" t="s">
        <v>233</v>
      </c>
      <c r="AC55" s="64" t="s">
        <v>240</v>
      </c>
      <c r="AD55" s="64" t="s">
        <v>233</v>
      </c>
      <c r="AE55" s="64" t="s">
        <v>240</v>
      </c>
      <c r="AF55" s="208">
        <v>3</v>
      </c>
      <c r="AG55" s="4">
        <v>1</v>
      </c>
      <c r="AH55" s="64">
        <v>1</v>
      </c>
      <c r="AI55" s="4">
        <v>0</v>
      </c>
      <c r="AJ55" s="4">
        <v>0</v>
      </c>
      <c r="AK55" s="4">
        <v>0</v>
      </c>
    </row>
    <row r="56" spans="1:37" outlineLevel="1">
      <c r="A56" s="63">
        <v>49</v>
      </c>
      <c r="B56" s="64" t="s">
        <v>190</v>
      </c>
      <c r="C56" s="64" t="s">
        <v>235</v>
      </c>
      <c r="D56" s="4" t="str">
        <f>[1]Лист2!B49</f>
        <v>12-я КРАСНОАРМЕЙСКАЯ  ул.</v>
      </c>
      <c r="E56" s="69">
        <f>[1]Лист2!C49</f>
        <v>6</v>
      </c>
      <c r="F56" s="197" t="str">
        <f>[1]Лист2!D49</f>
        <v>Б</v>
      </c>
      <c r="G56" s="64"/>
      <c r="H56" s="199">
        <v>129049</v>
      </c>
      <c r="I56" s="64" t="s">
        <v>234</v>
      </c>
      <c r="J56" s="4"/>
      <c r="K56" s="64" t="s">
        <v>232</v>
      </c>
      <c r="L56" s="4" t="s">
        <v>232</v>
      </c>
      <c r="M56" s="72">
        <v>1907</v>
      </c>
      <c r="N56" s="64" t="s">
        <v>385</v>
      </c>
      <c r="O56" s="73">
        <v>6</v>
      </c>
      <c r="P56" s="196">
        <v>0</v>
      </c>
      <c r="Q56" s="73">
        <v>1</v>
      </c>
      <c r="R56" s="74">
        <v>70</v>
      </c>
      <c r="S56" s="76">
        <v>1706</v>
      </c>
      <c r="T56" s="82">
        <f t="shared" si="0"/>
        <v>1694</v>
      </c>
      <c r="U56" s="77">
        <f t="shared" si="1"/>
        <v>1694</v>
      </c>
      <c r="V56" s="78">
        <v>12</v>
      </c>
      <c r="W56" s="80" t="s">
        <v>233</v>
      </c>
      <c r="X56" s="81" t="s">
        <v>233</v>
      </c>
      <c r="Y56" s="4" t="s">
        <v>233</v>
      </c>
      <c r="Z56" s="81" t="s">
        <v>233</v>
      </c>
      <c r="AA56" s="64" t="s">
        <v>233</v>
      </c>
      <c r="AB56" s="81" t="s">
        <v>233</v>
      </c>
      <c r="AC56" s="64" t="s">
        <v>240</v>
      </c>
      <c r="AD56" s="64" t="s">
        <v>233</v>
      </c>
      <c r="AE56" s="64" t="s">
        <v>240</v>
      </c>
      <c r="AF56" s="209">
        <v>0</v>
      </c>
      <c r="AG56" s="4">
        <v>1</v>
      </c>
      <c r="AH56" s="64">
        <v>1</v>
      </c>
      <c r="AI56" s="4">
        <v>0</v>
      </c>
      <c r="AJ56" s="4">
        <v>0</v>
      </c>
      <c r="AK56" s="4">
        <v>0</v>
      </c>
    </row>
    <row r="57" spans="1:37" outlineLevel="1">
      <c r="A57" s="63">
        <v>50</v>
      </c>
      <c r="B57" s="64" t="s">
        <v>190</v>
      </c>
      <c r="C57" s="64" t="s">
        <v>235</v>
      </c>
      <c r="D57" s="4" t="str">
        <f>[1]Лист2!B50</f>
        <v>12-я КРАСНОАРМЕЙСКАЯ  ул.</v>
      </c>
      <c r="E57" s="69">
        <f>[1]Лист2!C50</f>
        <v>6</v>
      </c>
      <c r="F57" s="197" t="str">
        <f>[1]Лист2!D50</f>
        <v>Г</v>
      </c>
      <c r="G57" s="64"/>
      <c r="H57" s="199">
        <v>129050</v>
      </c>
      <c r="I57" s="64" t="s">
        <v>234</v>
      </c>
      <c r="J57" s="4"/>
      <c r="K57" s="64" t="s">
        <v>232</v>
      </c>
      <c r="L57" s="4" t="s">
        <v>232</v>
      </c>
      <c r="M57" s="72">
        <v>1907</v>
      </c>
      <c r="N57" s="64" t="s">
        <v>385</v>
      </c>
      <c r="O57" s="73">
        <v>6</v>
      </c>
      <c r="P57" s="196">
        <v>0</v>
      </c>
      <c r="Q57" s="73">
        <v>1</v>
      </c>
      <c r="R57" s="74">
        <v>31</v>
      </c>
      <c r="S57" s="76">
        <v>840.6</v>
      </c>
      <c r="T57" s="82">
        <f t="shared" si="0"/>
        <v>706</v>
      </c>
      <c r="U57" s="77">
        <f t="shared" si="1"/>
        <v>706</v>
      </c>
      <c r="V57" s="78">
        <v>134.6</v>
      </c>
      <c r="W57" s="80" t="s">
        <v>233</v>
      </c>
      <c r="X57" s="81" t="s">
        <v>233</v>
      </c>
      <c r="Y57" s="4" t="s">
        <v>233</v>
      </c>
      <c r="Z57" s="81" t="s">
        <v>233</v>
      </c>
      <c r="AA57" s="64" t="s">
        <v>233</v>
      </c>
      <c r="AB57" s="81" t="s">
        <v>233</v>
      </c>
      <c r="AC57" s="64" t="s">
        <v>240</v>
      </c>
      <c r="AD57" s="64" t="s">
        <v>233</v>
      </c>
      <c r="AE57" s="64" t="s">
        <v>240</v>
      </c>
      <c r="AF57" s="209">
        <v>0</v>
      </c>
      <c r="AG57" s="4">
        <v>1</v>
      </c>
      <c r="AH57" s="64">
        <v>1</v>
      </c>
      <c r="AI57" s="4">
        <v>0</v>
      </c>
      <c r="AJ57" s="4">
        <v>0</v>
      </c>
      <c r="AK57" s="4">
        <v>0</v>
      </c>
    </row>
    <row r="58" spans="1:37" outlineLevel="1">
      <c r="A58" s="5">
        <v>51</v>
      </c>
      <c r="B58" s="64" t="s">
        <v>190</v>
      </c>
      <c r="C58" s="64" t="s">
        <v>235</v>
      </c>
      <c r="D58" s="4" t="str">
        <f>[1]Лист2!B51</f>
        <v>12-я КРАСНОАРМЕЙСКАЯ  ул.</v>
      </c>
      <c r="E58" s="69">
        <f>[1]Лист2!C51</f>
        <v>7</v>
      </c>
      <c r="F58" s="197" t="str">
        <f>[1]Лист2!D51</f>
        <v>А</v>
      </c>
      <c r="G58" s="4"/>
      <c r="H58" s="199">
        <v>129051</v>
      </c>
      <c r="I58" s="64" t="s">
        <v>234</v>
      </c>
      <c r="J58" s="4"/>
      <c r="K58" s="64" t="s">
        <v>232</v>
      </c>
      <c r="L58" s="4" t="s">
        <v>232</v>
      </c>
      <c r="M58" s="72">
        <v>1883</v>
      </c>
      <c r="N58" s="64" t="s">
        <v>385</v>
      </c>
      <c r="O58" s="73">
        <v>4</v>
      </c>
      <c r="P58" s="196">
        <v>0</v>
      </c>
      <c r="Q58" s="73">
        <v>3</v>
      </c>
      <c r="R58" s="74">
        <v>47</v>
      </c>
      <c r="S58" s="76">
        <v>2274.21</v>
      </c>
      <c r="T58" s="82">
        <f t="shared" si="0"/>
        <v>2127.81</v>
      </c>
      <c r="U58" s="77">
        <f t="shared" si="1"/>
        <v>2127.81</v>
      </c>
      <c r="V58" s="78">
        <v>146.4</v>
      </c>
      <c r="W58" s="80" t="s">
        <v>233</v>
      </c>
      <c r="X58" s="81" t="s">
        <v>233</v>
      </c>
      <c r="Y58" s="4" t="s">
        <v>233</v>
      </c>
      <c r="Z58" s="81" t="s">
        <v>233</v>
      </c>
      <c r="AA58" s="64" t="s">
        <v>233</v>
      </c>
      <c r="AB58" s="81" t="s">
        <v>233</v>
      </c>
      <c r="AC58" s="64" t="s">
        <v>240</v>
      </c>
      <c r="AD58" s="64" t="s">
        <v>233</v>
      </c>
      <c r="AE58" s="64" t="s">
        <v>240</v>
      </c>
      <c r="AF58" s="208">
        <v>0</v>
      </c>
      <c r="AG58" s="4">
        <v>1</v>
      </c>
      <c r="AH58" s="64">
        <v>1</v>
      </c>
      <c r="AI58" s="4">
        <v>0</v>
      </c>
      <c r="AJ58" s="4">
        <v>0</v>
      </c>
      <c r="AK58" s="4">
        <v>0</v>
      </c>
    </row>
    <row r="59" spans="1:37" outlineLevel="1">
      <c r="A59" s="5">
        <v>52</v>
      </c>
      <c r="B59" s="64" t="s">
        <v>190</v>
      </c>
      <c r="C59" s="64" t="s">
        <v>235</v>
      </c>
      <c r="D59" s="4" t="str">
        <f>[1]Лист2!B52</f>
        <v>12-я КРАСНОАРМЕЙСКАЯ  ул.</v>
      </c>
      <c r="E59" s="69">
        <f>[1]Лист2!C52</f>
        <v>8</v>
      </c>
      <c r="F59" s="197" t="str">
        <f>[1]Лист2!D52</f>
        <v>А</v>
      </c>
      <c r="G59" s="4"/>
      <c r="H59" s="199">
        <v>129052</v>
      </c>
      <c r="I59" s="64" t="s">
        <v>234</v>
      </c>
      <c r="J59" s="4"/>
      <c r="K59" s="64" t="s">
        <v>232</v>
      </c>
      <c r="L59" s="4" t="s">
        <v>232</v>
      </c>
      <c r="M59" s="72">
        <v>1880</v>
      </c>
      <c r="N59" s="64" t="s">
        <v>385</v>
      </c>
      <c r="O59" s="73">
        <v>6</v>
      </c>
      <c r="P59" s="196">
        <v>0</v>
      </c>
      <c r="Q59" s="73">
        <v>6</v>
      </c>
      <c r="R59" s="74">
        <v>166</v>
      </c>
      <c r="S59" s="76">
        <v>4478.3999999999996</v>
      </c>
      <c r="T59" s="82">
        <f t="shared" si="0"/>
        <v>3980.5999999999995</v>
      </c>
      <c r="U59" s="77">
        <f t="shared" si="1"/>
        <v>3980.5999999999995</v>
      </c>
      <c r="V59" s="78">
        <v>497.8</v>
      </c>
      <c r="W59" s="80" t="s">
        <v>233</v>
      </c>
      <c r="X59" s="81" t="s">
        <v>233</v>
      </c>
      <c r="Y59" s="4" t="s">
        <v>233</v>
      </c>
      <c r="Z59" s="81" t="s">
        <v>233</v>
      </c>
      <c r="AA59" s="64" t="s">
        <v>233</v>
      </c>
      <c r="AB59" s="81" t="s">
        <v>233</v>
      </c>
      <c r="AC59" s="64" t="s">
        <v>240</v>
      </c>
      <c r="AD59" s="64" t="s">
        <v>233</v>
      </c>
      <c r="AE59" s="64" t="s">
        <v>240</v>
      </c>
      <c r="AF59" s="208">
        <v>0</v>
      </c>
      <c r="AG59" s="4">
        <v>1</v>
      </c>
      <c r="AH59" s="64">
        <v>1</v>
      </c>
      <c r="AI59" s="4">
        <v>1</v>
      </c>
      <c r="AJ59" s="4">
        <v>1</v>
      </c>
      <c r="AK59" s="4">
        <v>0</v>
      </c>
    </row>
    <row r="60" spans="1:37" outlineLevel="1">
      <c r="A60" s="5">
        <v>53</v>
      </c>
      <c r="B60" s="64" t="s">
        <v>190</v>
      </c>
      <c r="C60" s="64" t="s">
        <v>235</v>
      </c>
      <c r="D60" s="4" t="str">
        <f>[1]Лист2!B53</f>
        <v>12-я КРАСНОАРМЕЙСКАЯ  ул.</v>
      </c>
      <c r="E60" s="69">
        <f>[1]Лист2!C53</f>
        <v>8</v>
      </c>
      <c r="F60" s="197" t="str">
        <f>[1]Лист2!D53</f>
        <v>Б</v>
      </c>
      <c r="G60" s="64"/>
      <c r="H60" s="199">
        <v>129053</v>
      </c>
      <c r="I60" s="64" t="s">
        <v>234</v>
      </c>
      <c r="J60" s="4"/>
      <c r="K60" s="64" t="s">
        <v>232</v>
      </c>
      <c r="L60" s="4" t="s">
        <v>232</v>
      </c>
      <c r="M60" s="72">
        <v>1898</v>
      </c>
      <c r="N60" s="64" t="s">
        <v>385</v>
      </c>
      <c r="O60" s="73">
        <v>5</v>
      </c>
      <c r="P60" s="196">
        <v>0</v>
      </c>
      <c r="Q60" s="73">
        <v>2</v>
      </c>
      <c r="R60" s="74">
        <v>90</v>
      </c>
      <c r="S60" s="76">
        <v>1633.6</v>
      </c>
      <c r="T60" s="82">
        <f t="shared" si="0"/>
        <v>1633.6</v>
      </c>
      <c r="U60" s="77">
        <f t="shared" si="1"/>
        <v>1633.6</v>
      </c>
      <c r="V60" s="78">
        <v>0</v>
      </c>
      <c r="W60" s="80" t="s">
        <v>233</v>
      </c>
      <c r="X60" s="81" t="s">
        <v>233</v>
      </c>
      <c r="Y60" s="4" t="s">
        <v>233</v>
      </c>
      <c r="Z60" s="81" t="s">
        <v>233</v>
      </c>
      <c r="AA60" s="64" t="s">
        <v>233</v>
      </c>
      <c r="AB60" s="81" t="s">
        <v>233</v>
      </c>
      <c r="AC60" s="64" t="s">
        <v>240</v>
      </c>
      <c r="AD60" s="64" t="s">
        <v>233</v>
      </c>
      <c r="AE60" s="64" t="s">
        <v>240</v>
      </c>
      <c r="AF60" s="209">
        <v>0</v>
      </c>
      <c r="AG60" s="4">
        <v>1</v>
      </c>
      <c r="AH60" s="64">
        <v>1</v>
      </c>
      <c r="AI60" s="4">
        <v>0</v>
      </c>
      <c r="AJ60" s="4">
        <v>0</v>
      </c>
      <c r="AK60" s="4">
        <v>0</v>
      </c>
    </row>
    <row r="61" spans="1:37" outlineLevel="1">
      <c r="A61" s="5">
        <v>54</v>
      </c>
      <c r="B61" s="64" t="s">
        <v>190</v>
      </c>
      <c r="C61" s="64" t="s">
        <v>235</v>
      </c>
      <c r="D61" s="4" t="str">
        <f>[1]Лист2!B54</f>
        <v>12-я КРАСНОАРМЕЙСКАЯ ул.</v>
      </c>
      <c r="E61" s="69">
        <f>[1]Лист2!C54</f>
        <v>29</v>
      </c>
      <c r="F61" s="197" t="str">
        <f>[1]Лист2!D54</f>
        <v>А</v>
      </c>
      <c r="G61" s="64"/>
      <c r="H61" s="199">
        <v>129054</v>
      </c>
      <c r="I61" s="64" t="s">
        <v>234</v>
      </c>
      <c r="J61" s="4"/>
      <c r="K61" s="64" t="s">
        <v>232</v>
      </c>
      <c r="L61" s="4" t="s">
        <v>232</v>
      </c>
      <c r="M61" s="72">
        <v>1864</v>
      </c>
      <c r="N61" s="64" t="s">
        <v>385</v>
      </c>
      <c r="O61" s="73">
        <v>4</v>
      </c>
      <c r="P61" s="196">
        <v>0</v>
      </c>
      <c r="Q61" s="73">
        <v>3</v>
      </c>
      <c r="R61" s="74">
        <v>10</v>
      </c>
      <c r="S61" s="76">
        <v>1178.3699999999999</v>
      </c>
      <c r="T61" s="82">
        <f t="shared" si="0"/>
        <v>1178.3699999999999</v>
      </c>
      <c r="U61" s="77">
        <f t="shared" si="1"/>
        <v>1178.3699999999999</v>
      </c>
      <c r="V61" s="78">
        <v>0</v>
      </c>
      <c r="W61" s="80" t="s">
        <v>233</v>
      </c>
      <c r="X61" s="81" t="s">
        <v>233</v>
      </c>
      <c r="Y61" s="4" t="s">
        <v>233</v>
      </c>
      <c r="Z61" s="81" t="s">
        <v>233</v>
      </c>
      <c r="AA61" s="64" t="s">
        <v>233</v>
      </c>
      <c r="AB61" s="81" t="s">
        <v>233</v>
      </c>
      <c r="AC61" s="64" t="s">
        <v>240</v>
      </c>
      <c r="AD61" s="64" t="s">
        <v>233</v>
      </c>
      <c r="AE61" s="64" t="s">
        <v>240</v>
      </c>
      <c r="AF61" s="208">
        <v>0</v>
      </c>
      <c r="AG61" s="4">
        <v>1</v>
      </c>
      <c r="AH61" s="64">
        <v>1</v>
      </c>
      <c r="AI61" s="4">
        <v>0</v>
      </c>
      <c r="AJ61" s="4">
        <v>0</v>
      </c>
      <c r="AK61" s="4">
        <v>0</v>
      </c>
    </row>
    <row r="62" spans="1:37" outlineLevel="1">
      <c r="A62" s="63">
        <v>55</v>
      </c>
      <c r="B62" s="64" t="s">
        <v>190</v>
      </c>
      <c r="C62" s="64" t="s">
        <v>235</v>
      </c>
      <c r="D62" s="4" t="str">
        <f>[1]Лист2!B55</f>
        <v>13-я КРАСНОАРМЕЙСКАЯ ул.</v>
      </c>
      <c r="E62" s="69">
        <f>[1]Лист2!C55</f>
        <v>13</v>
      </c>
      <c r="F62" s="197" t="str">
        <f>[1]Лист2!D55</f>
        <v>А</v>
      </c>
      <c r="G62" s="4"/>
      <c r="H62" s="199">
        <v>129055</v>
      </c>
      <c r="I62" s="64" t="s">
        <v>234</v>
      </c>
      <c r="J62" s="4"/>
      <c r="K62" s="64" t="s">
        <v>232</v>
      </c>
      <c r="L62" s="4" t="s">
        <v>232</v>
      </c>
      <c r="M62" s="72">
        <v>1867</v>
      </c>
      <c r="N62" s="64" t="s">
        <v>385</v>
      </c>
      <c r="O62" s="73">
        <v>5</v>
      </c>
      <c r="P62" s="196">
        <v>0</v>
      </c>
      <c r="Q62" s="73">
        <v>2</v>
      </c>
      <c r="R62" s="74">
        <v>20</v>
      </c>
      <c r="S62" s="76">
        <v>978.8599999999999</v>
      </c>
      <c r="T62" s="82">
        <f t="shared" si="0"/>
        <v>963.8599999999999</v>
      </c>
      <c r="U62" s="77">
        <f t="shared" si="1"/>
        <v>963.8599999999999</v>
      </c>
      <c r="V62" s="78">
        <v>15</v>
      </c>
      <c r="W62" s="80" t="s">
        <v>233</v>
      </c>
      <c r="X62" s="81" t="s">
        <v>233</v>
      </c>
      <c r="Y62" s="4" t="s">
        <v>233</v>
      </c>
      <c r="Z62" s="81" t="s">
        <v>233</v>
      </c>
      <c r="AA62" s="64" t="s">
        <v>233</v>
      </c>
      <c r="AB62" s="81" t="s">
        <v>233</v>
      </c>
      <c r="AC62" s="64" t="s">
        <v>240</v>
      </c>
      <c r="AD62" s="64" t="s">
        <v>233</v>
      </c>
      <c r="AE62" s="64" t="s">
        <v>240</v>
      </c>
      <c r="AF62" s="208">
        <v>0</v>
      </c>
      <c r="AG62" s="4">
        <v>1</v>
      </c>
      <c r="AH62" s="64">
        <v>1</v>
      </c>
      <c r="AI62" s="4">
        <v>0</v>
      </c>
      <c r="AJ62" s="4">
        <v>0</v>
      </c>
      <c r="AK62" s="4">
        <v>0</v>
      </c>
    </row>
    <row r="63" spans="1:37" outlineLevel="1">
      <c r="A63" s="63">
        <v>56</v>
      </c>
      <c r="B63" s="64" t="s">
        <v>190</v>
      </c>
      <c r="C63" s="64" t="s">
        <v>235</v>
      </c>
      <c r="D63" s="4" t="str">
        <f>[1]Лист2!B56</f>
        <v>13-я КРАСНОАРМЕЙСКАЯ ул.</v>
      </c>
      <c r="E63" s="69">
        <f>[1]Лист2!C56</f>
        <v>14</v>
      </c>
      <c r="F63" s="197" t="str">
        <f>[1]Лист2!D56</f>
        <v>А</v>
      </c>
      <c r="G63" s="4"/>
      <c r="H63" s="199">
        <v>129056</v>
      </c>
      <c r="I63" s="64" t="s">
        <v>234</v>
      </c>
      <c r="J63" s="4"/>
      <c r="K63" s="64" t="s">
        <v>232</v>
      </c>
      <c r="L63" s="4" t="s">
        <v>232</v>
      </c>
      <c r="M63" s="72">
        <v>1902</v>
      </c>
      <c r="N63" s="64" t="s">
        <v>385</v>
      </c>
      <c r="O63" s="73">
        <v>5</v>
      </c>
      <c r="P63" s="196">
        <v>0</v>
      </c>
      <c r="Q63" s="73">
        <v>5</v>
      </c>
      <c r="R63" s="74">
        <v>60</v>
      </c>
      <c r="S63" s="76">
        <v>3018</v>
      </c>
      <c r="T63" s="82">
        <f t="shared" si="0"/>
        <v>2866.1</v>
      </c>
      <c r="U63" s="77">
        <f t="shared" si="1"/>
        <v>2866.1</v>
      </c>
      <c r="V63" s="78">
        <v>151.9</v>
      </c>
      <c r="W63" s="80" t="s">
        <v>233</v>
      </c>
      <c r="X63" s="81" t="s">
        <v>233</v>
      </c>
      <c r="Y63" s="4" t="s">
        <v>233</v>
      </c>
      <c r="Z63" s="81" t="s">
        <v>233</v>
      </c>
      <c r="AA63" s="64" t="s">
        <v>233</v>
      </c>
      <c r="AB63" s="81" t="s">
        <v>233</v>
      </c>
      <c r="AC63" s="64" t="s">
        <v>240</v>
      </c>
      <c r="AD63" s="64" t="s">
        <v>233</v>
      </c>
      <c r="AE63" s="64" t="s">
        <v>240</v>
      </c>
      <c r="AF63" s="208">
        <v>1</v>
      </c>
      <c r="AG63" s="4">
        <v>1</v>
      </c>
      <c r="AH63" s="64">
        <v>1</v>
      </c>
      <c r="AI63" s="4">
        <v>1</v>
      </c>
      <c r="AJ63" s="4">
        <v>1</v>
      </c>
      <c r="AK63" s="4">
        <v>0</v>
      </c>
    </row>
    <row r="64" spans="1:37" outlineLevel="1">
      <c r="A64" s="5">
        <v>57</v>
      </c>
      <c r="B64" s="64" t="s">
        <v>190</v>
      </c>
      <c r="C64" s="64" t="s">
        <v>235</v>
      </c>
      <c r="D64" s="4" t="str">
        <f>[1]Лист2!B57</f>
        <v>13-я КРАСНОАРМЕЙСКАЯ ул.</v>
      </c>
      <c r="E64" s="69">
        <f>[1]Лист2!C57</f>
        <v>15</v>
      </c>
      <c r="F64" s="197" t="str">
        <f>[1]Лист2!D57</f>
        <v>А</v>
      </c>
      <c r="G64" s="64"/>
      <c r="H64" s="199">
        <v>129057</v>
      </c>
      <c r="I64" s="64" t="s">
        <v>234</v>
      </c>
      <c r="J64" s="4"/>
      <c r="K64" s="64" t="s">
        <v>232</v>
      </c>
      <c r="L64" s="4" t="s">
        <v>232</v>
      </c>
      <c r="M64" s="72">
        <v>1876</v>
      </c>
      <c r="N64" s="64" t="s">
        <v>385</v>
      </c>
      <c r="O64" s="73">
        <v>4</v>
      </c>
      <c r="P64" s="196">
        <v>0</v>
      </c>
      <c r="Q64" s="73">
        <v>2</v>
      </c>
      <c r="R64" s="74">
        <v>55</v>
      </c>
      <c r="S64" s="76">
        <v>1297</v>
      </c>
      <c r="T64" s="82">
        <f t="shared" si="0"/>
        <v>1297</v>
      </c>
      <c r="U64" s="77">
        <f t="shared" si="1"/>
        <v>1297</v>
      </c>
      <c r="V64" s="78">
        <v>0</v>
      </c>
      <c r="W64" s="80" t="s">
        <v>233</v>
      </c>
      <c r="X64" s="81" t="s">
        <v>233</v>
      </c>
      <c r="Y64" s="4" t="s">
        <v>233</v>
      </c>
      <c r="Z64" s="81" t="s">
        <v>233</v>
      </c>
      <c r="AA64" s="64" t="s">
        <v>233</v>
      </c>
      <c r="AB64" s="81" t="s">
        <v>233</v>
      </c>
      <c r="AC64" s="64" t="s">
        <v>240</v>
      </c>
      <c r="AD64" s="64" t="s">
        <v>233</v>
      </c>
      <c r="AE64" s="64" t="s">
        <v>240</v>
      </c>
      <c r="AF64" s="210">
        <v>0</v>
      </c>
      <c r="AG64" s="4">
        <v>1</v>
      </c>
      <c r="AH64" s="64">
        <v>1</v>
      </c>
      <c r="AI64" s="4">
        <v>0</v>
      </c>
      <c r="AJ64" s="4">
        <v>0</v>
      </c>
      <c r="AK64" s="4">
        <v>0</v>
      </c>
    </row>
    <row r="65" spans="1:37" outlineLevel="1">
      <c r="A65" s="5">
        <v>58</v>
      </c>
      <c r="B65" s="64" t="s">
        <v>190</v>
      </c>
      <c r="C65" s="64" t="s">
        <v>235</v>
      </c>
      <c r="D65" s="4" t="str">
        <f>[1]Лист2!B58</f>
        <v>13-я КРАСНОАРМЕЙСКАЯ ул.</v>
      </c>
      <c r="E65" s="69">
        <f>[1]Лист2!C58</f>
        <v>15</v>
      </c>
      <c r="F65" s="197" t="str">
        <f>[1]Лист2!D58</f>
        <v>Б</v>
      </c>
      <c r="G65" s="64"/>
      <c r="H65" s="199">
        <v>129058</v>
      </c>
      <c r="I65" s="64" t="s">
        <v>234</v>
      </c>
      <c r="J65" s="4"/>
      <c r="K65" s="64" t="s">
        <v>232</v>
      </c>
      <c r="L65" s="4" t="s">
        <v>232</v>
      </c>
      <c r="M65" s="72">
        <v>1864</v>
      </c>
      <c r="N65" s="64" t="s">
        <v>385</v>
      </c>
      <c r="O65" s="73">
        <v>4</v>
      </c>
      <c r="P65" s="196">
        <v>0</v>
      </c>
      <c r="Q65" s="73">
        <v>1</v>
      </c>
      <c r="R65" s="74">
        <v>14</v>
      </c>
      <c r="S65" s="76">
        <v>472</v>
      </c>
      <c r="T65" s="82">
        <f t="shared" si="0"/>
        <v>360</v>
      </c>
      <c r="U65" s="77">
        <f t="shared" si="1"/>
        <v>360</v>
      </c>
      <c r="V65" s="78">
        <v>112</v>
      </c>
      <c r="W65" s="80" t="s">
        <v>233</v>
      </c>
      <c r="X65" s="81" t="s">
        <v>233</v>
      </c>
      <c r="Y65" s="4" t="s">
        <v>233</v>
      </c>
      <c r="Z65" s="81" t="s">
        <v>233</v>
      </c>
      <c r="AA65" s="64" t="s">
        <v>233</v>
      </c>
      <c r="AB65" s="81" t="s">
        <v>233</v>
      </c>
      <c r="AC65" s="64" t="s">
        <v>240</v>
      </c>
      <c r="AD65" s="64" t="s">
        <v>233</v>
      </c>
      <c r="AE65" s="64" t="s">
        <v>240</v>
      </c>
      <c r="AF65" s="211">
        <v>0</v>
      </c>
      <c r="AG65" s="4">
        <v>1</v>
      </c>
      <c r="AH65" s="64">
        <v>1</v>
      </c>
      <c r="AI65" s="4">
        <v>0</v>
      </c>
      <c r="AJ65" s="4">
        <v>0</v>
      </c>
      <c r="AK65" s="4">
        <v>0</v>
      </c>
    </row>
    <row r="66" spans="1:37" outlineLevel="1">
      <c r="A66" s="5">
        <v>59</v>
      </c>
      <c r="B66" s="64" t="s">
        <v>190</v>
      </c>
      <c r="C66" s="64" t="s">
        <v>235</v>
      </c>
      <c r="D66" s="4" t="str">
        <f>[1]Лист2!B59</f>
        <v>13-я КРАСНОАРМЕЙСКАЯ ул.</v>
      </c>
      <c r="E66" s="69">
        <f>[1]Лист2!C59</f>
        <v>16</v>
      </c>
      <c r="F66" s="197" t="str">
        <f>[1]Лист2!D59</f>
        <v>А</v>
      </c>
      <c r="G66" s="4"/>
      <c r="H66" s="199">
        <v>129059</v>
      </c>
      <c r="I66" s="64" t="s">
        <v>234</v>
      </c>
      <c r="J66" s="4"/>
      <c r="K66" s="64" t="s">
        <v>232</v>
      </c>
      <c r="L66" s="4" t="s">
        <v>232</v>
      </c>
      <c r="M66" s="72">
        <v>1917</v>
      </c>
      <c r="N66" s="64" t="s">
        <v>385</v>
      </c>
      <c r="O66" s="73">
        <v>6</v>
      </c>
      <c r="P66" s="196">
        <v>0</v>
      </c>
      <c r="Q66" s="73">
        <v>1</v>
      </c>
      <c r="R66" s="74">
        <v>35</v>
      </c>
      <c r="S66" s="76">
        <v>1884.71</v>
      </c>
      <c r="T66" s="82">
        <f t="shared" si="0"/>
        <v>1884.71</v>
      </c>
      <c r="U66" s="77">
        <f t="shared" si="1"/>
        <v>1884.71</v>
      </c>
      <c r="V66" s="78">
        <v>0</v>
      </c>
      <c r="W66" s="80" t="s">
        <v>233</v>
      </c>
      <c r="X66" s="81" t="s">
        <v>233</v>
      </c>
      <c r="Y66" s="4" t="s">
        <v>233</v>
      </c>
      <c r="Z66" s="81" t="s">
        <v>233</v>
      </c>
      <c r="AA66" s="64" t="s">
        <v>233</v>
      </c>
      <c r="AB66" s="81" t="s">
        <v>233</v>
      </c>
      <c r="AC66" s="64" t="s">
        <v>240</v>
      </c>
      <c r="AD66" s="64" t="s">
        <v>233</v>
      </c>
      <c r="AE66" s="64" t="s">
        <v>240</v>
      </c>
      <c r="AF66" s="208">
        <v>1</v>
      </c>
      <c r="AG66" s="4">
        <v>1</v>
      </c>
      <c r="AH66" s="64">
        <v>1</v>
      </c>
      <c r="AI66" s="4">
        <v>0</v>
      </c>
      <c r="AJ66" s="4">
        <v>0</v>
      </c>
      <c r="AK66" s="4">
        <v>0</v>
      </c>
    </row>
    <row r="67" spans="1:37" outlineLevel="1">
      <c r="A67" s="5">
        <v>60</v>
      </c>
      <c r="B67" s="64" t="s">
        <v>190</v>
      </c>
      <c r="C67" s="64" t="s">
        <v>235</v>
      </c>
      <c r="D67" s="4" t="str">
        <f>[1]Лист2!B60</f>
        <v>13-я КРАСНОАРМЕЙСКАЯ ул.</v>
      </c>
      <c r="E67" s="69">
        <f>[1]Лист2!C60</f>
        <v>17</v>
      </c>
      <c r="F67" s="197" t="str">
        <f>[1]Лист2!D60</f>
        <v>А</v>
      </c>
      <c r="G67" s="4"/>
      <c r="H67" s="199">
        <v>129060</v>
      </c>
      <c r="I67" s="64" t="s">
        <v>234</v>
      </c>
      <c r="J67" s="4"/>
      <c r="K67" s="64" t="s">
        <v>232</v>
      </c>
      <c r="L67" s="4" t="s">
        <v>232</v>
      </c>
      <c r="M67" s="72">
        <v>1974</v>
      </c>
      <c r="N67" s="64" t="s">
        <v>385</v>
      </c>
      <c r="O67" s="73">
        <v>6</v>
      </c>
      <c r="P67" s="196">
        <v>0</v>
      </c>
      <c r="Q67" s="73">
        <v>3</v>
      </c>
      <c r="R67" s="74">
        <v>84</v>
      </c>
      <c r="S67" s="76">
        <v>2510.8000000000002</v>
      </c>
      <c r="T67" s="82">
        <f t="shared" si="0"/>
        <v>2447</v>
      </c>
      <c r="U67" s="77">
        <f t="shared" si="1"/>
        <v>2447</v>
      </c>
      <c r="V67" s="78">
        <v>63.8</v>
      </c>
      <c r="W67" s="80" t="s">
        <v>233</v>
      </c>
      <c r="X67" s="81" t="s">
        <v>233</v>
      </c>
      <c r="Y67" s="4" t="s">
        <v>233</v>
      </c>
      <c r="Z67" s="81" t="s">
        <v>233</v>
      </c>
      <c r="AA67" s="64" t="s">
        <v>233</v>
      </c>
      <c r="AB67" s="81" t="s">
        <v>233</v>
      </c>
      <c r="AC67" s="64" t="s">
        <v>240</v>
      </c>
      <c r="AD67" s="64" t="s">
        <v>233</v>
      </c>
      <c r="AE67" s="64" t="s">
        <v>240</v>
      </c>
      <c r="AF67" s="208">
        <v>1</v>
      </c>
      <c r="AG67" s="4">
        <v>2</v>
      </c>
      <c r="AH67" s="64">
        <v>1</v>
      </c>
      <c r="AI67" s="4">
        <v>0</v>
      </c>
      <c r="AJ67" s="4">
        <v>0</v>
      </c>
      <c r="AK67" s="4">
        <v>0</v>
      </c>
    </row>
    <row r="68" spans="1:37" outlineLevel="1">
      <c r="A68" s="63">
        <v>61</v>
      </c>
      <c r="B68" s="64" t="s">
        <v>190</v>
      </c>
      <c r="C68" s="64" t="s">
        <v>235</v>
      </c>
      <c r="D68" s="4" t="str">
        <f>[1]Лист2!B61</f>
        <v>13-я КРАСНОАРМЕЙСКАЯ ул.</v>
      </c>
      <c r="E68" s="69" t="str">
        <f>[1]Лист2!C61</f>
        <v>17б</v>
      </c>
      <c r="F68" s="197" t="str">
        <f>[1]Лист2!D61</f>
        <v>А</v>
      </c>
      <c r="G68" s="64"/>
      <c r="H68" s="199">
        <v>129061</v>
      </c>
      <c r="I68" s="64" t="s">
        <v>234</v>
      </c>
      <c r="J68" s="4" t="s">
        <v>1422</v>
      </c>
      <c r="K68" s="64" t="s">
        <v>232</v>
      </c>
      <c r="L68" s="4" t="s">
        <v>232</v>
      </c>
      <c r="M68" s="72">
        <v>1893</v>
      </c>
      <c r="N68" s="64" t="s">
        <v>385</v>
      </c>
      <c r="O68" s="73">
        <v>6</v>
      </c>
      <c r="P68" s="196">
        <v>0</v>
      </c>
      <c r="Q68" s="73">
        <v>1</v>
      </c>
      <c r="R68" s="74">
        <v>15</v>
      </c>
      <c r="S68" s="76">
        <v>2043</v>
      </c>
      <c r="T68" s="82">
        <f t="shared" si="0"/>
        <v>0</v>
      </c>
      <c r="U68" s="77">
        <f t="shared" si="1"/>
        <v>0</v>
      </c>
      <c r="V68" s="78">
        <v>2043</v>
      </c>
      <c r="W68" s="80" t="s">
        <v>233</v>
      </c>
      <c r="X68" s="81" t="s">
        <v>233</v>
      </c>
      <c r="Y68" s="4" t="s">
        <v>233</v>
      </c>
      <c r="Z68" s="81" t="s">
        <v>233</v>
      </c>
      <c r="AA68" s="64" t="s">
        <v>233</v>
      </c>
      <c r="AB68" s="81" t="s">
        <v>233</v>
      </c>
      <c r="AC68" s="64" t="s">
        <v>240</v>
      </c>
      <c r="AD68" s="64" t="s">
        <v>233</v>
      </c>
      <c r="AE68" s="64" t="s">
        <v>240</v>
      </c>
      <c r="AF68" s="208">
        <v>0</v>
      </c>
      <c r="AG68" s="4">
        <v>1</v>
      </c>
      <c r="AH68" s="64">
        <v>1</v>
      </c>
      <c r="AI68" s="4">
        <v>0</v>
      </c>
      <c r="AJ68" s="4">
        <v>0</v>
      </c>
      <c r="AK68" s="4">
        <v>0</v>
      </c>
    </row>
    <row r="69" spans="1:37" outlineLevel="1">
      <c r="A69" s="63">
        <v>62</v>
      </c>
      <c r="B69" s="64" t="s">
        <v>190</v>
      </c>
      <c r="C69" s="64" t="s">
        <v>235</v>
      </c>
      <c r="D69" s="4" t="str">
        <f>[1]Лист2!B62</f>
        <v>13-я КРАСНОАРМЕЙСКАЯ ул.</v>
      </c>
      <c r="E69" s="69">
        <f>[1]Лист2!C62</f>
        <v>19</v>
      </c>
      <c r="F69" s="197" t="str">
        <f>[1]Лист2!D62</f>
        <v>А</v>
      </c>
      <c r="G69" s="64"/>
      <c r="H69" s="199">
        <v>129062</v>
      </c>
      <c r="I69" s="64" t="s">
        <v>234</v>
      </c>
      <c r="J69" s="4"/>
      <c r="K69" s="64" t="s">
        <v>232</v>
      </c>
      <c r="L69" s="4" t="s">
        <v>232</v>
      </c>
      <c r="M69" s="72">
        <v>1866</v>
      </c>
      <c r="N69" s="64" t="s">
        <v>385</v>
      </c>
      <c r="O69" s="73">
        <v>5</v>
      </c>
      <c r="P69" s="196">
        <v>0</v>
      </c>
      <c r="Q69" s="73">
        <v>1</v>
      </c>
      <c r="R69" s="74">
        <v>44</v>
      </c>
      <c r="S69" s="76">
        <v>1247.2</v>
      </c>
      <c r="T69" s="82">
        <f t="shared" si="0"/>
        <v>1247.2</v>
      </c>
      <c r="U69" s="77">
        <f t="shared" si="1"/>
        <v>1247.2</v>
      </c>
      <c r="V69" s="78">
        <v>0</v>
      </c>
      <c r="W69" s="80" t="s">
        <v>233</v>
      </c>
      <c r="X69" s="81" t="s">
        <v>233</v>
      </c>
      <c r="Y69" s="4" t="s">
        <v>233</v>
      </c>
      <c r="Z69" s="81" t="s">
        <v>233</v>
      </c>
      <c r="AA69" s="64" t="s">
        <v>233</v>
      </c>
      <c r="AB69" s="81" t="s">
        <v>233</v>
      </c>
      <c r="AC69" s="64" t="s">
        <v>240</v>
      </c>
      <c r="AD69" s="64" t="s">
        <v>233</v>
      </c>
      <c r="AE69" s="64" t="s">
        <v>240</v>
      </c>
      <c r="AF69" s="208">
        <v>1</v>
      </c>
      <c r="AG69" s="4">
        <v>3</v>
      </c>
      <c r="AH69" s="64">
        <v>1</v>
      </c>
      <c r="AI69" s="4">
        <v>0</v>
      </c>
      <c r="AJ69" s="4">
        <v>0</v>
      </c>
      <c r="AK69" s="4">
        <v>0</v>
      </c>
    </row>
    <row r="70" spans="1:37" outlineLevel="1">
      <c r="A70" s="5">
        <v>63</v>
      </c>
      <c r="B70" s="64" t="s">
        <v>190</v>
      </c>
      <c r="C70" s="64" t="s">
        <v>235</v>
      </c>
      <c r="D70" s="4" t="str">
        <f>[1]Лист2!B63</f>
        <v>13-я КРАСНОАРМЕЙСКАЯ ул.</v>
      </c>
      <c r="E70" s="69">
        <f>[1]Лист2!C63</f>
        <v>20</v>
      </c>
      <c r="F70" s="197" t="str">
        <f>[1]Лист2!D63</f>
        <v>А</v>
      </c>
      <c r="G70" s="4"/>
      <c r="H70" s="199">
        <v>129063</v>
      </c>
      <c r="I70" s="64" t="s">
        <v>234</v>
      </c>
      <c r="J70" s="4"/>
      <c r="K70" s="64" t="s">
        <v>232</v>
      </c>
      <c r="L70" s="4" t="s">
        <v>232</v>
      </c>
      <c r="M70" s="72">
        <v>1905</v>
      </c>
      <c r="N70" s="64" t="s">
        <v>385</v>
      </c>
      <c r="O70" s="73">
        <v>5</v>
      </c>
      <c r="P70" s="196">
        <v>0</v>
      </c>
      <c r="Q70" s="73">
        <v>3</v>
      </c>
      <c r="R70" s="74">
        <v>45</v>
      </c>
      <c r="S70" s="76">
        <v>1677.68</v>
      </c>
      <c r="T70" s="82">
        <f t="shared" si="0"/>
        <v>1668.68</v>
      </c>
      <c r="U70" s="77">
        <f t="shared" si="1"/>
        <v>1668.68</v>
      </c>
      <c r="V70" s="78">
        <v>9</v>
      </c>
      <c r="W70" s="80" t="s">
        <v>233</v>
      </c>
      <c r="X70" s="81" t="s">
        <v>233</v>
      </c>
      <c r="Y70" s="4" t="s">
        <v>233</v>
      </c>
      <c r="Z70" s="81" t="s">
        <v>233</v>
      </c>
      <c r="AA70" s="64" t="s">
        <v>233</v>
      </c>
      <c r="AB70" s="81" t="s">
        <v>233</v>
      </c>
      <c r="AC70" s="64" t="s">
        <v>240</v>
      </c>
      <c r="AD70" s="64" t="s">
        <v>233</v>
      </c>
      <c r="AE70" s="64" t="s">
        <v>240</v>
      </c>
      <c r="AF70" s="208">
        <v>0</v>
      </c>
      <c r="AG70" s="4">
        <v>1</v>
      </c>
      <c r="AH70" s="64">
        <v>1</v>
      </c>
      <c r="AI70" s="4">
        <v>1</v>
      </c>
      <c r="AJ70" s="4">
        <v>1</v>
      </c>
      <c r="AK70" s="4">
        <v>0</v>
      </c>
    </row>
    <row r="71" spans="1:37" outlineLevel="1">
      <c r="A71" s="5">
        <v>64</v>
      </c>
      <c r="B71" s="64" t="s">
        <v>190</v>
      </c>
      <c r="C71" s="64" t="s">
        <v>235</v>
      </c>
      <c r="D71" s="4" t="str">
        <f>[1]Лист2!B64</f>
        <v>13-я КРАСНОАРМЕЙСКАЯ ул.</v>
      </c>
      <c r="E71" s="69">
        <f>[1]Лист2!C64</f>
        <v>21</v>
      </c>
      <c r="F71" s="197" t="str">
        <f>[1]Лист2!D64</f>
        <v>А</v>
      </c>
      <c r="G71" s="4"/>
      <c r="H71" s="199">
        <v>129064</v>
      </c>
      <c r="I71" s="64" t="s">
        <v>234</v>
      </c>
      <c r="J71" s="4" t="s">
        <v>1422</v>
      </c>
      <c r="K71" s="64" t="s">
        <v>232</v>
      </c>
      <c r="L71" s="4" t="s">
        <v>232</v>
      </c>
      <c r="M71" s="72">
        <v>1974</v>
      </c>
      <c r="N71" s="64" t="s">
        <v>385</v>
      </c>
      <c r="O71" s="73">
        <v>5</v>
      </c>
      <c r="P71" s="196">
        <v>0</v>
      </c>
      <c r="Q71" s="73">
        <v>2</v>
      </c>
      <c r="R71" s="74">
        <v>20</v>
      </c>
      <c r="S71" s="76">
        <v>1942</v>
      </c>
      <c r="T71" s="82">
        <f t="shared" si="0"/>
        <v>0</v>
      </c>
      <c r="U71" s="77">
        <f t="shared" si="1"/>
        <v>0</v>
      </c>
      <c r="V71" s="78">
        <v>1942</v>
      </c>
      <c r="W71" s="80" t="s">
        <v>233</v>
      </c>
      <c r="X71" s="81" t="s">
        <v>233</v>
      </c>
      <c r="Y71" s="4" t="s">
        <v>240</v>
      </c>
      <c r="Z71" s="81" t="s">
        <v>233</v>
      </c>
      <c r="AA71" s="64" t="s">
        <v>233</v>
      </c>
      <c r="AB71" s="81" t="s">
        <v>233</v>
      </c>
      <c r="AC71" s="64" t="s">
        <v>240</v>
      </c>
      <c r="AD71" s="64" t="s">
        <v>233</v>
      </c>
      <c r="AE71" s="64" t="s">
        <v>240</v>
      </c>
      <c r="AF71" s="208">
        <v>0</v>
      </c>
      <c r="AG71" s="4">
        <v>1</v>
      </c>
      <c r="AH71" s="64">
        <v>1</v>
      </c>
      <c r="AI71" s="4">
        <v>0</v>
      </c>
      <c r="AJ71" s="4">
        <v>0</v>
      </c>
      <c r="AK71" s="4">
        <v>0</v>
      </c>
    </row>
    <row r="72" spans="1:37" outlineLevel="1">
      <c r="A72" s="5">
        <v>65</v>
      </c>
      <c r="B72" s="64" t="s">
        <v>190</v>
      </c>
      <c r="C72" s="64" t="s">
        <v>235</v>
      </c>
      <c r="D72" s="4" t="str">
        <f>[1]Лист2!B65</f>
        <v>13-я КРАСНОАРМЕЙСКАЯ ул.</v>
      </c>
      <c r="E72" s="69">
        <f>[1]Лист2!C65</f>
        <v>21</v>
      </c>
      <c r="F72" s="197" t="str">
        <f>[1]Лист2!D65</f>
        <v>Б</v>
      </c>
      <c r="G72" s="64"/>
      <c r="H72" s="199">
        <v>129065</v>
      </c>
      <c r="I72" s="64" t="s">
        <v>234</v>
      </c>
      <c r="J72" s="4"/>
      <c r="K72" s="64" t="s">
        <v>232</v>
      </c>
      <c r="L72" s="4" t="s">
        <v>232</v>
      </c>
      <c r="M72" s="72">
        <v>1974</v>
      </c>
      <c r="N72" s="64" t="s">
        <v>385</v>
      </c>
      <c r="O72" s="73">
        <v>5</v>
      </c>
      <c r="P72" s="196">
        <v>0</v>
      </c>
      <c r="Q72" s="73">
        <v>1</v>
      </c>
      <c r="R72" s="74">
        <v>30</v>
      </c>
      <c r="S72" s="76">
        <v>902</v>
      </c>
      <c r="T72" s="82">
        <f t="shared" si="0"/>
        <v>902</v>
      </c>
      <c r="U72" s="77">
        <f t="shared" si="1"/>
        <v>902</v>
      </c>
      <c r="V72" s="78">
        <v>0</v>
      </c>
      <c r="W72" s="80" t="s">
        <v>233</v>
      </c>
      <c r="X72" s="81" t="s">
        <v>233</v>
      </c>
      <c r="Y72" s="4" t="s">
        <v>233</v>
      </c>
      <c r="Z72" s="81" t="s">
        <v>233</v>
      </c>
      <c r="AA72" s="64" t="s">
        <v>233</v>
      </c>
      <c r="AB72" s="81" t="s">
        <v>233</v>
      </c>
      <c r="AC72" s="64" t="s">
        <v>240</v>
      </c>
      <c r="AD72" s="64" t="s">
        <v>233</v>
      </c>
      <c r="AE72" s="64" t="s">
        <v>240</v>
      </c>
      <c r="AF72" s="209">
        <v>0</v>
      </c>
      <c r="AG72" s="4">
        <v>1</v>
      </c>
      <c r="AH72" s="64">
        <v>1</v>
      </c>
      <c r="AI72" s="4">
        <v>0</v>
      </c>
      <c r="AJ72" s="4">
        <v>0</v>
      </c>
      <c r="AK72" s="4">
        <v>0</v>
      </c>
    </row>
    <row r="73" spans="1:37" outlineLevel="1">
      <c r="A73" s="5">
        <v>66</v>
      </c>
      <c r="B73" s="64" t="s">
        <v>190</v>
      </c>
      <c r="C73" s="64" t="s">
        <v>235</v>
      </c>
      <c r="D73" s="4" t="str">
        <f>[1]Лист2!B66</f>
        <v>13-я КРАСНОАРМЕЙСКАЯ ул.</v>
      </c>
      <c r="E73" s="69">
        <f>[1]Лист2!C66</f>
        <v>22</v>
      </c>
      <c r="F73" s="197" t="str">
        <f>[1]Лист2!D66</f>
        <v>А</v>
      </c>
      <c r="G73" s="64"/>
      <c r="H73" s="199">
        <v>129066</v>
      </c>
      <c r="I73" s="64" t="s">
        <v>234</v>
      </c>
      <c r="J73" s="4"/>
      <c r="K73" s="64" t="s">
        <v>232</v>
      </c>
      <c r="L73" s="4" t="s">
        <v>232</v>
      </c>
      <c r="M73" s="72">
        <v>1910</v>
      </c>
      <c r="N73" s="64" t="s">
        <v>385</v>
      </c>
      <c r="O73" s="73">
        <v>5</v>
      </c>
      <c r="P73" s="196">
        <v>0</v>
      </c>
      <c r="Q73" s="73">
        <v>2</v>
      </c>
      <c r="R73" s="74">
        <v>28</v>
      </c>
      <c r="S73" s="76">
        <v>1255.1399999999999</v>
      </c>
      <c r="T73" s="82">
        <f t="shared" ref="T73:T136" si="2">U73</f>
        <v>1004.1399999999999</v>
      </c>
      <c r="U73" s="77">
        <f t="shared" ref="U73:U136" si="3">S73-V73</f>
        <v>1004.1399999999999</v>
      </c>
      <c r="V73" s="78">
        <v>251</v>
      </c>
      <c r="W73" s="80" t="s">
        <v>233</v>
      </c>
      <c r="X73" s="81" t="s">
        <v>233</v>
      </c>
      <c r="Y73" s="4" t="s">
        <v>233</v>
      </c>
      <c r="Z73" s="81" t="s">
        <v>233</v>
      </c>
      <c r="AA73" s="64" t="s">
        <v>233</v>
      </c>
      <c r="AB73" s="81" t="s">
        <v>233</v>
      </c>
      <c r="AC73" s="64" t="s">
        <v>240</v>
      </c>
      <c r="AD73" s="64" t="s">
        <v>233</v>
      </c>
      <c r="AE73" s="64" t="s">
        <v>240</v>
      </c>
      <c r="AF73" s="208">
        <v>1</v>
      </c>
      <c r="AG73" s="4">
        <v>2</v>
      </c>
      <c r="AH73" s="64">
        <v>1</v>
      </c>
      <c r="AI73" s="4">
        <v>0</v>
      </c>
      <c r="AJ73" s="4">
        <v>0</v>
      </c>
      <c r="AK73" s="4">
        <v>0</v>
      </c>
    </row>
    <row r="74" spans="1:37" outlineLevel="1">
      <c r="A74" s="63">
        <v>67</v>
      </c>
      <c r="B74" s="64" t="s">
        <v>190</v>
      </c>
      <c r="C74" s="64" t="s">
        <v>235</v>
      </c>
      <c r="D74" s="4" t="str">
        <f>[1]Лист2!B67</f>
        <v>13-я КРАСНОАРМЕЙСКАЯ ул.</v>
      </c>
      <c r="E74" s="69">
        <f>[1]Лист2!C67</f>
        <v>23</v>
      </c>
      <c r="F74" s="197" t="str">
        <f>[1]Лист2!D67</f>
        <v>А</v>
      </c>
      <c r="G74" s="4"/>
      <c r="H74" s="199">
        <v>129067</v>
      </c>
      <c r="I74" s="64" t="s">
        <v>234</v>
      </c>
      <c r="J74" s="4"/>
      <c r="K74" s="64" t="s">
        <v>232</v>
      </c>
      <c r="L74" s="4" t="s">
        <v>232</v>
      </c>
      <c r="M74" s="72">
        <v>1900</v>
      </c>
      <c r="N74" s="64" t="s">
        <v>385</v>
      </c>
      <c r="O74" s="73">
        <v>5</v>
      </c>
      <c r="P74" s="196">
        <v>0</v>
      </c>
      <c r="Q74" s="73">
        <v>2</v>
      </c>
      <c r="R74" s="74">
        <v>48</v>
      </c>
      <c r="S74" s="76">
        <v>2105.6999999999998</v>
      </c>
      <c r="T74" s="82">
        <f t="shared" si="2"/>
        <v>1703.2999999999997</v>
      </c>
      <c r="U74" s="77">
        <f t="shared" si="3"/>
        <v>1703.2999999999997</v>
      </c>
      <c r="V74" s="78">
        <v>402.4</v>
      </c>
      <c r="W74" s="80" t="s">
        <v>233</v>
      </c>
      <c r="X74" s="81" t="s">
        <v>233</v>
      </c>
      <c r="Y74" s="4" t="s">
        <v>233</v>
      </c>
      <c r="Z74" s="81" t="s">
        <v>233</v>
      </c>
      <c r="AA74" s="64" t="s">
        <v>233</v>
      </c>
      <c r="AB74" s="81" t="s">
        <v>233</v>
      </c>
      <c r="AC74" s="64" t="s">
        <v>240</v>
      </c>
      <c r="AD74" s="64" t="s">
        <v>233</v>
      </c>
      <c r="AE74" s="64" t="s">
        <v>240</v>
      </c>
      <c r="AF74" s="208">
        <v>1</v>
      </c>
      <c r="AG74" s="4">
        <v>2</v>
      </c>
      <c r="AH74" s="64">
        <v>1</v>
      </c>
      <c r="AI74" s="4">
        <v>0</v>
      </c>
      <c r="AJ74" s="4">
        <v>0</v>
      </c>
      <c r="AK74" s="4">
        <v>0</v>
      </c>
    </row>
    <row r="75" spans="1:37" outlineLevel="1">
      <c r="A75" s="63">
        <v>68</v>
      </c>
      <c r="B75" s="64" t="s">
        <v>190</v>
      </c>
      <c r="C75" s="64" t="s">
        <v>235</v>
      </c>
      <c r="D75" s="4" t="str">
        <f>[1]Лист2!B68</f>
        <v>13-я КРАСНОАРМЕЙСКАЯ ул.</v>
      </c>
      <c r="E75" s="69">
        <f>[1]Лист2!C68</f>
        <v>24</v>
      </c>
      <c r="F75" s="197" t="str">
        <f>[1]Лист2!D68</f>
        <v>А</v>
      </c>
      <c r="G75" s="4"/>
      <c r="H75" s="199">
        <v>129068</v>
      </c>
      <c r="I75" s="64" t="s">
        <v>234</v>
      </c>
      <c r="J75" s="4"/>
      <c r="K75" s="64" t="s">
        <v>232</v>
      </c>
      <c r="L75" s="4" t="s">
        <v>232</v>
      </c>
      <c r="M75" s="72">
        <v>1894</v>
      </c>
      <c r="N75" s="64" t="s">
        <v>385</v>
      </c>
      <c r="O75" s="73">
        <v>4</v>
      </c>
      <c r="P75" s="196">
        <v>0</v>
      </c>
      <c r="Q75" s="73">
        <v>5</v>
      </c>
      <c r="R75" s="74">
        <v>46</v>
      </c>
      <c r="S75" s="76">
        <v>2213.52</v>
      </c>
      <c r="T75" s="82">
        <f t="shared" si="2"/>
        <v>2114.12</v>
      </c>
      <c r="U75" s="77">
        <f t="shared" si="3"/>
        <v>2114.12</v>
      </c>
      <c r="V75" s="78">
        <v>99.4</v>
      </c>
      <c r="W75" s="80" t="s">
        <v>233</v>
      </c>
      <c r="X75" s="81" t="s">
        <v>233</v>
      </c>
      <c r="Y75" s="4" t="s">
        <v>233</v>
      </c>
      <c r="Z75" s="81" t="s">
        <v>233</v>
      </c>
      <c r="AA75" s="64" t="s">
        <v>233</v>
      </c>
      <c r="AB75" s="81" t="s">
        <v>233</v>
      </c>
      <c r="AC75" s="64" t="s">
        <v>240</v>
      </c>
      <c r="AD75" s="64" t="s">
        <v>233</v>
      </c>
      <c r="AE75" s="64" t="s">
        <v>240</v>
      </c>
      <c r="AF75" s="208">
        <v>0</v>
      </c>
      <c r="AG75" s="4">
        <v>1</v>
      </c>
      <c r="AH75" s="64">
        <v>1</v>
      </c>
      <c r="AI75" s="4">
        <v>0</v>
      </c>
      <c r="AJ75" s="4">
        <v>0</v>
      </c>
      <c r="AK75" s="4">
        <v>0</v>
      </c>
    </row>
    <row r="76" spans="1:37" outlineLevel="1">
      <c r="A76" s="5">
        <v>69</v>
      </c>
      <c r="B76" s="64" t="s">
        <v>190</v>
      </c>
      <c r="C76" s="64" t="s">
        <v>235</v>
      </c>
      <c r="D76" s="4" t="str">
        <f>[1]Лист2!B69</f>
        <v>13-я КРАСНОАРМЕЙСКАЯ ул.</v>
      </c>
      <c r="E76" s="69">
        <f>[1]Лист2!C69</f>
        <v>26</v>
      </c>
      <c r="F76" s="197" t="str">
        <f>[1]Лист2!D69</f>
        <v>А</v>
      </c>
      <c r="G76" s="64"/>
      <c r="H76" s="199">
        <v>129069</v>
      </c>
      <c r="I76" s="64" t="s">
        <v>234</v>
      </c>
      <c r="J76" s="4"/>
      <c r="K76" s="64" t="s">
        <v>232</v>
      </c>
      <c r="L76" s="4" t="s">
        <v>232</v>
      </c>
      <c r="M76" s="72">
        <v>1877</v>
      </c>
      <c r="N76" s="64" t="s">
        <v>385</v>
      </c>
      <c r="O76" s="73">
        <v>4</v>
      </c>
      <c r="P76" s="196">
        <v>0</v>
      </c>
      <c r="Q76" s="73">
        <v>2</v>
      </c>
      <c r="R76" s="74">
        <v>22</v>
      </c>
      <c r="S76" s="76">
        <v>650</v>
      </c>
      <c r="T76" s="82">
        <f t="shared" si="2"/>
        <v>557</v>
      </c>
      <c r="U76" s="77">
        <f t="shared" si="3"/>
        <v>557</v>
      </c>
      <c r="V76" s="78">
        <v>93</v>
      </c>
      <c r="W76" s="80" t="s">
        <v>233</v>
      </c>
      <c r="X76" s="81" t="s">
        <v>233</v>
      </c>
      <c r="Y76" s="4" t="s">
        <v>233</v>
      </c>
      <c r="Z76" s="81" t="s">
        <v>233</v>
      </c>
      <c r="AA76" s="64" t="s">
        <v>233</v>
      </c>
      <c r="AB76" s="81" t="s">
        <v>233</v>
      </c>
      <c r="AC76" s="64" t="s">
        <v>240</v>
      </c>
      <c r="AD76" s="64" t="s">
        <v>233</v>
      </c>
      <c r="AE76" s="64" t="s">
        <v>240</v>
      </c>
      <c r="AF76" s="208">
        <v>0</v>
      </c>
      <c r="AG76" s="4">
        <v>2</v>
      </c>
      <c r="AH76" s="64">
        <v>1</v>
      </c>
      <c r="AI76" s="4">
        <v>0</v>
      </c>
      <c r="AJ76" s="4">
        <v>0</v>
      </c>
      <c r="AK76" s="4">
        <v>0</v>
      </c>
    </row>
    <row r="77" spans="1:37" outlineLevel="1">
      <c r="A77" s="5">
        <v>70</v>
      </c>
      <c r="B77" s="64" t="s">
        <v>190</v>
      </c>
      <c r="C77" s="64" t="s">
        <v>235</v>
      </c>
      <c r="D77" s="4" t="str">
        <f>[1]Лист2!B70</f>
        <v>13-я КРАСНОАРМЕЙСКАЯ ул.</v>
      </c>
      <c r="E77" s="69">
        <f>[1]Лист2!C70</f>
        <v>26</v>
      </c>
      <c r="F77" s="197" t="str">
        <f>[1]Лист2!D70</f>
        <v>Б</v>
      </c>
      <c r="G77" s="64"/>
      <c r="H77" s="199">
        <v>129070</v>
      </c>
      <c r="I77" s="64" t="s">
        <v>234</v>
      </c>
      <c r="J77" s="4"/>
      <c r="K77" s="64" t="s">
        <v>232</v>
      </c>
      <c r="L77" s="4" t="s">
        <v>232</v>
      </c>
      <c r="M77" s="72">
        <v>1877</v>
      </c>
      <c r="N77" s="64" t="s">
        <v>385</v>
      </c>
      <c r="O77" s="73">
        <v>4</v>
      </c>
      <c r="P77" s="196">
        <v>0</v>
      </c>
      <c r="Q77" s="73">
        <v>1</v>
      </c>
      <c r="R77" s="74">
        <v>12</v>
      </c>
      <c r="S77" s="76">
        <v>315</v>
      </c>
      <c r="T77" s="82">
        <f t="shared" si="2"/>
        <v>315</v>
      </c>
      <c r="U77" s="77">
        <f t="shared" si="3"/>
        <v>315</v>
      </c>
      <c r="V77" s="78">
        <v>0</v>
      </c>
      <c r="W77" s="80" t="s">
        <v>233</v>
      </c>
      <c r="X77" s="81" t="s">
        <v>233</v>
      </c>
      <c r="Y77" s="4" t="s">
        <v>233</v>
      </c>
      <c r="Z77" s="81" t="s">
        <v>233</v>
      </c>
      <c r="AA77" s="64" t="s">
        <v>233</v>
      </c>
      <c r="AB77" s="81" t="s">
        <v>233</v>
      </c>
      <c r="AC77" s="64" t="s">
        <v>240</v>
      </c>
      <c r="AD77" s="64" t="s">
        <v>233</v>
      </c>
      <c r="AE77" s="64" t="s">
        <v>240</v>
      </c>
      <c r="AF77" s="209">
        <v>0</v>
      </c>
      <c r="AG77" s="4">
        <v>1</v>
      </c>
      <c r="AH77" s="64">
        <v>1</v>
      </c>
      <c r="AI77" s="4">
        <v>0</v>
      </c>
      <c r="AJ77" s="4">
        <v>0</v>
      </c>
      <c r="AK77" s="4">
        <v>0</v>
      </c>
    </row>
    <row r="78" spans="1:37" outlineLevel="1">
      <c r="A78" s="5">
        <v>71</v>
      </c>
      <c r="B78" s="64" t="s">
        <v>190</v>
      </c>
      <c r="C78" s="64" t="s">
        <v>235</v>
      </c>
      <c r="D78" s="4" t="str">
        <f>[1]Лист2!B71</f>
        <v>13-я КРАСНОАРМЕЙСКАЯ ул.</v>
      </c>
      <c r="E78" s="69">
        <f>[1]Лист2!C71</f>
        <v>28</v>
      </c>
      <c r="F78" s="197" t="str">
        <f>[1]Лист2!D71</f>
        <v>А</v>
      </c>
      <c r="G78" s="4"/>
      <c r="H78" s="199">
        <v>129071</v>
      </c>
      <c r="I78" s="64" t="s">
        <v>234</v>
      </c>
      <c r="J78" s="4"/>
      <c r="K78" s="64" t="s">
        <v>232</v>
      </c>
      <c r="L78" s="4" t="s">
        <v>232</v>
      </c>
      <c r="M78" s="72">
        <v>1899</v>
      </c>
      <c r="N78" s="64" t="s">
        <v>385</v>
      </c>
      <c r="O78" s="73">
        <v>5</v>
      </c>
      <c r="P78" s="196">
        <v>0</v>
      </c>
      <c r="Q78" s="73">
        <v>1</v>
      </c>
      <c r="R78" s="74">
        <v>25</v>
      </c>
      <c r="S78" s="76">
        <v>1204.78</v>
      </c>
      <c r="T78" s="82">
        <f t="shared" si="2"/>
        <v>1061.78</v>
      </c>
      <c r="U78" s="77">
        <f t="shared" si="3"/>
        <v>1061.78</v>
      </c>
      <c r="V78" s="78">
        <v>143</v>
      </c>
      <c r="W78" s="80" t="s">
        <v>233</v>
      </c>
      <c r="X78" s="81" t="s">
        <v>233</v>
      </c>
      <c r="Y78" s="4" t="s">
        <v>233</v>
      </c>
      <c r="Z78" s="81" t="s">
        <v>233</v>
      </c>
      <c r="AA78" s="64" t="s">
        <v>233</v>
      </c>
      <c r="AB78" s="81" t="s">
        <v>233</v>
      </c>
      <c r="AC78" s="64" t="s">
        <v>240</v>
      </c>
      <c r="AD78" s="64" t="s">
        <v>233</v>
      </c>
      <c r="AE78" s="64" t="s">
        <v>240</v>
      </c>
      <c r="AF78" s="208">
        <v>0</v>
      </c>
      <c r="AG78" s="4">
        <v>1</v>
      </c>
      <c r="AH78" s="64">
        <v>1</v>
      </c>
      <c r="AI78" s="4">
        <v>0</v>
      </c>
      <c r="AJ78" s="4">
        <v>0</v>
      </c>
      <c r="AK78" s="4">
        <v>0</v>
      </c>
    </row>
    <row r="79" spans="1:37" outlineLevel="1">
      <c r="A79" s="5">
        <v>72</v>
      </c>
      <c r="B79" s="64" t="s">
        <v>190</v>
      </c>
      <c r="C79" s="64" t="s">
        <v>235</v>
      </c>
      <c r="D79" s="4" t="str">
        <f>[1]Лист2!B72</f>
        <v>13-я КРАСНОАРМЕЙСКАЯ ул.</v>
      </c>
      <c r="E79" s="69">
        <f>[1]Лист2!C72</f>
        <v>6</v>
      </c>
      <c r="F79" s="197" t="str">
        <f>[1]Лист2!D72</f>
        <v>А</v>
      </c>
      <c r="G79" s="4"/>
      <c r="H79" s="199">
        <v>129072</v>
      </c>
      <c r="I79" s="64" t="s">
        <v>234</v>
      </c>
      <c r="J79" s="4"/>
      <c r="K79" s="64" t="s">
        <v>232</v>
      </c>
      <c r="L79" s="4" t="s">
        <v>232</v>
      </c>
      <c r="M79" s="72">
        <v>1871</v>
      </c>
      <c r="N79" s="64" t="s">
        <v>385</v>
      </c>
      <c r="O79" s="73">
        <v>4</v>
      </c>
      <c r="P79" s="196">
        <v>0</v>
      </c>
      <c r="Q79" s="73">
        <v>2</v>
      </c>
      <c r="R79" s="74">
        <v>40</v>
      </c>
      <c r="S79" s="76">
        <v>1923</v>
      </c>
      <c r="T79" s="82">
        <f t="shared" si="2"/>
        <v>1722.7</v>
      </c>
      <c r="U79" s="77">
        <f t="shared" si="3"/>
        <v>1722.7</v>
      </c>
      <c r="V79" s="78">
        <v>200.3</v>
      </c>
      <c r="W79" s="80" t="s">
        <v>233</v>
      </c>
      <c r="X79" s="81" t="s">
        <v>233</v>
      </c>
      <c r="Y79" s="4" t="s">
        <v>233</v>
      </c>
      <c r="Z79" s="81" t="s">
        <v>233</v>
      </c>
      <c r="AA79" s="64" t="s">
        <v>233</v>
      </c>
      <c r="AB79" s="81" t="s">
        <v>233</v>
      </c>
      <c r="AC79" s="64" t="s">
        <v>240</v>
      </c>
      <c r="AD79" s="64" t="s">
        <v>233</v>
      </c>
      <c r="AE79" s="64" t="s">
        <v>240</v>
      </c>
      <c r="AF79" s="208">
        <v>0</v>
      </c>
      <c r="AG79" s="4">
        <v>1</v>
      </c>
      <c r="AH79" s="64">
        <v>1</v>
      </c>
      <c r="AI79" s="4">
        <v>1</v>
      </c>
      <c r="AJ79" s="4">
        <v>1</v>
      </c>
      <c r="AK79" s="4">
        <v>0</v>
      </c>
    </row>
    <row r="80" spans="1:37" outlineLevel="1">
      <c r="A80" s="63">
        <v>73</v>
      </c>
      <c r="B80" s="64" t="s">
        <v>190</v>
      </c>
      <c r="C80" s="64" t="s">
        <v>235</v>
      </c>
      <c r="D80" s="4" t="str">
        <f>[1]Лист2!B73</f>
        <v>1-я КРАСНОАРМЕЙСКАЯ ул.</v>
      </c>
      <c r="E80" s="69">
        <f>[1]Лист2!C73</f>
        <v>12</v>
      </c>
      <c r="F80" s="197" t="str">
        <f>[1]Лист2!D73</f>
        <v>А</v>
      </c>
      <c r="G80" s="64"/>
      <c r="H80" s="199">
        <v>129073</v>
      </c>
      <c r="I80" s="64" t="s">
        <v>234</v>
      </c>
      <c r="J80" s="4"/>
      <c r="K80" s="64" t="s">
        <v>232</v>
      </c>
      <c r="L80" s="4" t="s">
        <v>232</v>
      </c>
      <c r="M80" s="72">
        <v>1860</v>
      </c>
      <c r="N80" s="64" t="s">
        <v>385</v>
      </c>
      <c r="O80" s="73">
        <v>4</v>
      </c>
      <c r="P80" s="196">
        <v>0</v>
      </c>
      <c r="Q80" s="73">
        <v>4</v>
      </c>
      <c r="R80" s="74">
        <v>17</v>
      </c>
      <c r="S80" s="76">
        <v>3294</v>
      </c>
      <c r="T80" s="82">
        <f t="shared" si="2"/>
        <v>1957.77</v>
      </c>
      <c r="U80" s="77">
        <f t="shared" si="3"/>
        <v>1957.77</v>
      </c>
      <c r="V80" s="78">
        <v>1336.23</v>
      </c>
      <c r="W80" s="80" t="s">
        <v>233</v>
      </c>
      <c r="X80" s="81" t="s">
        <v>233</v>
      </c>
      <c r="Y80" s="4" t="s">
        <v>233</v>
      </c>
      <c r="Z80" s="81" t="s">
        <v>233</v>
      </c>
      <c r="AA80" s="64" t="s">
        <v>233</v>
      </c>
      <c r="AB80" s="81" t="s">
        <v>233</v>
      </c>
      <c r="AC80" s="64" t="s">
        <v>240</v>
      </c>
      <c r="AD80" s="64" t="s">
        <v>233</v>
      </c>
      <c r="AE80" s="64" t="s">
        <v>240</v>
      </c>
      <c r="AF80" s="208">
        <v>0</v>
      </c>
      <c r="AG80" s="4">
        <v>1</v>
      </c>
      <c r="AH80" s="64">
        <v>1</v>
      </c>
      <c r="AI80" s="4">
        <v>0</v>
      </c>
      <c r="AJ80" s="4">
        <v>0</v>
      </c>
      <c r="AK80" s="4">
        <v>0</v>
      </c>
    </row>
    <row r="81" spans="1:37" outlineLevel="1">
      <c r="A81" s="63">
        <v>74</v>
      </c>
      <c r="B81" s="64" t="s">
        <v>190</v>
      </c>
      <c r="C81" s="64" t="s">
        <v>235</v>
      </c>
      <c r="D81" s="4" t="str">
        <f>[1]Лист2!B74</f>
        <v>1-я КРАСНОАРМЕЙСКАЯ ул.</v>
      </c>
      <c r="E81" s="69">
        <f>[1]Лист2!C74</f>
        <v>14</v>
      </c>
      <c r="F81" s="197" t="str">
        <f>[1]Лист2!D74</f>
        <v>А</v>
      </c>
      <c r="G81" s="64"/>
      <c r="H81" s="199">
        <v>129074</v>
      </c>
      <c r="I81" s="64" t="s">
        <v>234</v>
      </c>
      <c r="J81" s="4"/>
      <c r="K81" s="64" t="s">
        <v>232</v>
      </c>
      <c r="L81" s="4" t="s">
        <v>232</v>
      </c>
      <c r="M81" s="72">
        <v>1917</v>
      </c>
      <c r="N81" s="64" t="s">
        <v>385</v>
      </c>
      <c r="O81" s="73">
        <v>5</v>
      </c>
      <c r="P81" s="196">
        <v>0</v>
      </c>
      <c r="Q81" s="73">
        <v>6</v>
      </c>
      <c r="R81" s="74">
        <v>72</v>
      </c>
      <c r="S81" s="76">
        <v>3405.11</v>
      </c>
      <c r="T81" s="82">
        <f t="shared" si="2"/>
        <v>2700.21</v>
      </c>
      <c r="U81" s="77">
        <f t="shared" si="3"/>
        <v>2700.21</v>
      </c>
      <c r="V81" s="78">
        <v>704.9</v>
      </c>
      <c r="W81" s="80" t="s">
        <v>233</v>
      </c>
      <c r="X81" s="81" t="s">
        <v>233</v>
      </c>
      <c r="Y81" s="4" t="s">
        <v>233</v>
      </c>
      <c r="Z81" s="81" t="s">
        <v>233</v>
      </c>
      <c r="AA81" s="64" t="s">
        <v>233</v>
      </c>
      <c r="AB81" s="81" t="s">
        <v>233</v>
      </c>
      <c r="AC81" s="64" t="s">
        <v>240</v>
      </c>
      <c r="AD81" s="64" t="s">
        <v>233</v>
      </c>
      <c r="AE81" s="64" t="s">
        <v>240</v>
      </c>
      <c r="AF81" s="208">
        <v>0</v>
      </c>
      <c r="AG81" s="4">
        <v>1</v>
      </c>
      <c r="AH81" s="64">
        <v>1</v>
      </c>
      <c r="AI81" s="4">
        <v>2</v>
      </c>
      <c r="AJ81" s="4">
        <v>2</v>
      </c>
      <c r="AK81" s="4">
        <v>0</v>
      </c>
    </row>
    <row r="82" spans="1:37" outlineLevel="1">
      <c r="A82" s="5">
        <v>75</v>
      </c>
      <c r="B82" s="64" t="s">
        <v>190</v>
      </c>
      <c r="C82" s="64" t="s">
        <v>235</v>
      </c>
      <c r="D82" s="4" t="str">
        <f>[1]Лист2!B75</f>
        <v>1-я КРАСНОАРМЕЙСКАЯ ул.</v>
      </c>
      <c r="E82" s="69">
        <f>[1]Лист2!C75</f>
        <v>16</v>
      </c>
      <c r="F82" s="197" t="str">
        <f>[1]Лист2!D75</f>
        <v>А</v>
      </c>
      <c r="G82" s="4"/>
      <c r="H82" s="199">
        <v>129075</v>
      </c>
      <c r="I82" s="64" t="s">
        <v>234</v>
      </c>
      <c r="J82" s="4"/>
      <c r="K82" s="64" t="s">
        <v>232</v>
      </c>
      <c r="L82" s="4" t="s">
        <v>232</v>
      </c>
      <c r="M82" s="72">
        <v>1893</v>
      </c>
      <c r="N82" s="64" t="s">
        <v>385</v>
      </c>
      <c r="O82" s="73">
        <v>5</v>
      </c>
      <c r="P82" s="196">
        <v>0</v>
      </c>
      <c r="Q82" s="73">
        <v>5</v>
      </c>
      <c r="R82" s="74">
        <v>76</v>
      </c>
      <c r="S82" s="76">
        <v>3045.9900000000002</v>
      </c>
      <c r="T82" s="82">
        <f t="shared" si="2"/>
        <v>2672.9900000000002</v>
      </c>
      <c r="U82" s="77">
        <f t="shared" si="3"/>
        <v>2672.9900000000002</v>
      </c>
      <c r="V82" s="78">
        <v>373</v>
      </c>
      <c r="W82" s="80" t="s">
        <v>233</v>
      </c>
      <c r="X82" s="81" t="s">
        <v>233</v>
      </c>
      <c r="Y82" s="4" t="s">
        <v>233</v>
      </c>
      <c r="Z82" s="81" t="s">
        <v>233</v>
      </c>
      <c r="AA82" s="64" t="s">
        <v>233</v>
      </c>
      <c r="AB82" s="81" t="s">
        <v>233</v>
      </c>
      <c r="AC82" s="64" t="s">
        <v>240</v>
      </c>
      <c r="AD82" s="64" t="s">
        <v>233</v>
      </c>
      <c r="AE82" s="64" t="s">
        <v>240</v>
      </c>
      <c r="AF82" s="208">
        <v>2</v>
      </c>
      <c r="AG82" s="4">
        <v>2</v>
      </c>
      <c r="AH82" s="64">
        <v>1</v>
      </c>
      <c r="AI82" s="4">
        <v>0</v>
      </c>
      <c r="AJ82" s="4">
        <v>0</v>
      </c>
      <c r="AK82" s="4">
        <v>0</v>
      </c>
    </row>
    <row r="83" spans="1:37" outlineLevel="1">
      <c r="A83" s="5">
        <v>76</v>
      </c>
      <c r="B83" s="64" t="s">
        <v>190</v>
      </c>
      <c r="C83" s="64" t="s">
        <v>235</v>
      </c>
      <c r="D83" s="4" t="str">
        <f>[1]Лист2!B76</f>
        <v>1-я КРАСНОАРМЕЙСКАЯ ул.</v>
      </c>
      <c r="E83" s="69">
        <f>[1]Лист2!C76</f>
        <v>18</v>
      </c>
      <c r="F83" s="197" t="str">
        <f>[1]Лист2!D76</f>
        <v>А</v>
      </c>
      <c r="G83" s="4"/>
      <c r="H83" s="199">
        <v>129076</v>
      </c>
      <c r="I83" s="64" t="s">
        <v>234</v>
      </c>
      <c r="J83" s="4"/>
      <c r="K83" s="64" t="s">
        <v>232</v>
      </c>
      <c r="L83" s="4" t="s">
        <v>232</v>
      </c>
      <c r="M83" s="72">
        <v>1879</v>
      </c>
      <c r="N83" s="64" t="s">
        <v>385</v>
      </c>
      <c r="O83" s="73">
        <v>4</v>
      </c>
      <c r="P83" s="196">
        <v>0</v>
      </c>
      <c r="Q83" s="73">
        <v>2</v>
      </c>
      <c r="R83" s="74">
        <v>35</v>
      </c>
      <c r="S83" s="76">
        <v>1199.4000000000001</v>
      </c>
      <c r="T83" s="82">
        <f t="shared" si="2"/>
        <v>965.50000000000011</v>
      </c>
      <c r="U83" s="77">
        <f t="shared" si="3"/>
        <v>965.50000000000011</v>
      </c>
      <c r="V83" s="78">
        <v>233.9</v>
      </c>
      <c r="W83" s="80" t="s">
        <v>233</v>
      </c>
      <c r="X83" s="81" t="s">
        <v>233</v>
      </c>
      <c r="Y83" s="4" t="s">
        <v>233</v>
      </c>
      <c r="Z83" s="81" t="s">
        <v>233</v>
      </c>
      <c r="AA83" s="64" t="s">
        <v>233</v>
      </c>
      <c r="AB83" s="81" t="s">
        <v>233</v>
      </c>
      <c r="AC83" s="64" t="s">
        <v>240</v>
      </c>
      <c r="AD83" s="64" t="s">
        <v>233</v>
      </c>
      <c r="AE83" s="64" t="s">
        <v>240</v>
      </c>
      <c r="AF83" s="208">
        <v>0</v>
      </c>
      <c r="AG83" s="4">
        <v>1</v>
      </c>
      <c r="AH83" s="64">
        <v>1</v>
      </c>
      <c r="AI83" s="4">
        <v>1</v>
      </c>
      <c r="AJ83" s="4">
        <v>1</v>
      </c>
      <c r="AK83" s="4">
        <v>0</v>
      </c>
    </row>
    <row r="84" spans="1:37" outlineLevel="1">
      <c r="A84" s="5">
        <v>77</v>
      </c>
      <c r="B84" s="64" t="s">
        <v>190</v>
      </c>
      <c r="C84" s="64" t="s">
        <v>235</v>
      </c>
      <c r="D84" s="4" t="str">
        <f>[1]Лист2!B77</f>
        <v>1-я КРАСНОАРМЕЙСКАЯ ул.</v>
      </c>
      <c r="E84" s="69">
        <f>[1]Лист2!C77</f>
        <v>18</v>
      </c>
      <c r="F84" s="197" t="str">
        <f>[1]Лист2!D77</f>
        <v>Б</v>
      </c>
      <c r="G84" s="64"/>
      <c r="H84" s="199">
        <v>129077</v>
      </c>
      <c r="I84" s="64" t="s">
        <v>234</v>
      </c>
      <c r="J84" s="4"/>
      <c r="K84" s="64" t="s">
        <v>232</v>
      </c>
      <c r="L84" s="4" t="s">
        <v>232</v>
      </c>
      <c r="M84" s="72">
        <v>1873</v>
      </c>
      <c r="N84" s="64" t="s">
        <v>385</v>
      </c>
      <c r="O84" s="73">
        <v>4</v>
      </c>
      <c r="P84" s="196">
        <v>0</v>
      </c>
      <c r="Q84" s="73">
        <v>4</v>
      </c>
      <c r="R84" s="74">
        <v>65</v>
      </c>
      <c r="S84" s="76">
        <v>1963.2</v>
      </c>
      <c r="T84" s="82">
        <f t="shared" si="2"/>
        <v>1762.4</v>
      </c>
      <c r="U84" s="77">
        <f t="shared" si="3"/>
        <v>1762.4</v>
      </c>
      <c r="V84" s="78">
        <v>200.8</v>
      </c>
      <c r="W84" s="80" t="s">
        <v>233</v>
      </c>
      <c r="X84" s="81" t="s">
        <v>233</v>
      </c>
      <c r="Y84" s="4" t="s">
        <v>233</v>
      </c>
      <c r="Z84" s="81" t="s">
        <v>233</v>
      </c>
      <c r="AA84" s="64" t="s">
        <v>233</v>
      </c>
      <c r="AB84" s="81" t="s">
        <v>233</v>
      </c>
      <c r="AC84" s="64" t="s">
        <v>240</v>
      </c>
      <c r="AD84" s="64" t="s">
        <v>233</v>
      </c>
      <c r="AE84" s="64" t="s">
        <v>240</v>
      </c>
      <c r="AF84" s="209">
        <v>0</v>
      </c>
      <c r="AG84" s="4">
        <v>1</v>
      </c>
      <c r="AH84" s="64">
        <v>1</v>
      </c>
      <c r="AI84" s="4">
        <v>0</v>
      </c>
      <c r="AJ84" s="4">
        <v>0</v>
      </c>
      <c r="AK84" s="4">
        <v>0</v>
      </c>
    </row>
    <row r="85" spans="1:37" outlineLevel="1">
      <c r="A85" s="5">
        <v>78</v>
      </c>
      <c r="B85" s="64" t="s">
        <v>190</v>
      </c>
      <c r="C85" s="64" t="s">
        <v>235</v>
      </c>
      <c r="D85" s="4" t="str">
        <f>[1]Лист2!B78</f>
        <v>1-я КРАСНОАРМЕЙСКАЯ ул.</v>
      </c>
      <c r="E85" s="69">
        <f>[1]Лист2!C78</f>
        <v>2</v>
      </c>
      <c r="F85" s="197" t="str">
        <f>[1]Лист2!D78</f>
        <v>А</v>
      </c>
      <c r="G85" s="64"/>
      <c r="H85" s="199">
        <v>129078</v>
      </c>
      <c r="I85" s="64" t="s">
        <v>234</v>
      </c>
      <c r="J85" s="4"/>
      <c r="K85" s="64" t="s">
        <v>232</v>
      </c>
      <c r="L85" s="4" t="s">
        <v>232</v>
      </c>
      <c r="M85" s="72">
        <v>1876</v>
      </c>
      <c r="N85" s="64" t="s">
        <v>385</v>
      </c>
      <c r="O85" s="73">
        <v>5</v>
      </c>
      <c r="P85" s="196">
        <v>0</v>
      </c>
      <c r="Q85" s="73">
        <v>3</v>
      </c>
      <c r="R85" s="74">
        <v>53</v>
      </c>
      <c r="S85" s="76">
        <v>3864.7300000000005</v>
      </c>
      <c r="T85" s="82">
        <f t="shared" si="2"/>
        <v>2894.0300000000007</v>
      </c>
      <c r="U85" s="77">
        <f t="shared" si="3"/>
        <v>2894.0300000000007</v>
      </c>
      <c r="V85" s="78">
        <v>970.7</v>
      </c>
      <c r="W85" s="80" t="s">
        <v>233</v>
      </c>
      <c r="X85" s="81" t="s">
        <v>233</v>
      </c>
      <c r="Y85" s="4" t="s">
        <v>233</v>
      </c>
      <c r="Z85" s="81" t="s">
        <v>233</v>
      </c>
      <c r="AA85" s="64" t="s">
        <v>233</v>
      </c>
      <c r="AB85" s="81" t="s">
        <v>233</v>
      </c>
      <c r="AC85" s="64" t="s">
        <v>240</v>
      </c>
      <c r="AD85" s="64" t="s">
        <v>233</v>
      </c>
      <c r="AE85" s="64" t="s">
        <v>240</v>
      </c>
      <c r="AF85" s="208">
        <v>2</v>
      </c>
      <c r="AG85" s="4">
        <v>2</v>
      </c>
      <c r="AH85" s="64">
        <v>1</v>
      </c>
      <c r="AI85" s="4">
        <v>1</v>
      </c>
      <c r="AJ85" s="4">
        <v>1</v>
      </c>
      <c r="AK85" s="4">
        <v>0</v>
      </c>
    </row>
    <row r="86" spans="1:37" outlineLevel="1">
      <c r="A86" s="63">
        <v>79</v>
      </c>
      <c r="B86" s="64" t="s">
        <v>190</v>
      </c>
      <c r="C86" s="64" t="s">
        <v>235</v>
      </c>
      <c r="D86" s="4" t="str">
        <f>[1]Лист2!B79</f>
        <v>1-я КРАСНОАРМЕЙСКАЯ ул.</v>
      </c>
      <c r="E86" s="69">
        <f>[1]Лист2!C79</f>
        <v>20</v>
      </c>
      <c r="F86" s="197" t="str">
        <f>[1]Лист2!D79</f>
        <v>А</v>
      </c>
      <c r="G86" s="4"/>
      <c r="H86" s="199">
        <v>129079</v>
      </c>
      <c r="I86" s="64" t="s">
        <v>234</v>
      </c>
      <c r="J86" s="4"/>
      <c r="K86" s="64" t="s">
        <v>232</v>
      </c>
      <c r="L86" s="4" t="s">
        <v>232</v>
      </c>
      <c r="M86" s="72">
        <v>1822</v>
      </c>
      <c r="N86" s="64" t="s">
        <v>385</v>
      </c>
      <c r="O86" s="73">
        <v>3</v>
      </c>
      <c r="P86" s="196">
        <v>0</v>
      </c>
      <c r="Q86" s="73">
        <v>1</v>
      </c>
      <c r="R86" s="74">
        <v>14</v>
      </c>
      <c r="S86" s="76">
        <v>632.79999999999995</v>
      </c>
      <c r="T86" s="82">
        <f t="shared" si="2"/>
        <v>499.79999999999995</v>
      </c>
      <c r="U86" s="77">
        <f t="shared" si="3"/>
        <v>499.79999999999995</v>
      </c>
      <c r="V86" s="78">
        <v>133</v>
      </c>
      <c r="W86" s="80" t="s">
        <v>233</v>
      </c>
      <c r="X86" s="81" t="s">
        <v>233</v>
      </c>
      <c r="Y86" s="4" t="s">
        <v>233</v>
      </c>
      <c r="Z86" s="81" t="s">
        <v>233</v>
      </c>
      <c r="AA86" s="64" t="s">
        <v>233</v>
      </c>
      <c r="AB86" s="81" t="s">
        <v>233</v>
      </c>
      <c r="AC86" s="64" t="s">
        <v>240</v>
      </c>
      <c r="AD86" s="64" t="s">
        <v>233</v>
      </c>
      <c r="AE86" s="64" t="s">
        <v>240</v>
      </c>
      <c r="AF86" s="208">
        <v>0</v>
      </c>
      <c r="AG86" s="4">
        <v>1</v>
      </c>
      <c r="AH86" s="64">
        <v>1</v>
      </c>
      <c r="AI86" s="4">
        <v>0</v>
      </c>
      <c r="AJ86" s="4">
        <v>0</v>
      </c>
      <c r="AK86" s="4">
        <v>0</v>
      </c>
    </row>
    <row r="87" spans="1:37" outlineLevel="1">
      <c r="A87" s="63">
        <v>80</v>
      </c>
      <c r="B87" s="64" t="s">
        <v>190</v>
      </c>
      <c r="C87" s="64" t="s">
        <v>235</v>
      </c>
      <c r="D87" s="4" t="str">
        <f>[1]Лист2!B80</f>
        <v>1-я КРАСНОАРМЕЙСКАЯ ул.</v>
      </c>
      <c r="E87" s="69">
        <f>[1]Лист2!C80</f>
        <v>22</v>
      </c>
      <c r="F87" s="197" t="str">
        <f>[1]Лист2!D80</f>
        <v>А</v>
      </c>
      <c r="G87" s="4"/>
      <c r="H87" s="199">
        <v>129080</v>
      </c>
      <c r="I87" s="64" t="s">
        <v>234</v>
      </c>
      <c r="J87" s="4"/>
      <c r="K87" s="64" t="s">
        <v>232</v>
      </c>
      <c r="L87" s="4" t="s">
        <v>232</v>
      </c>
      <c r="M87" s="72">
        <v>1855</v>
      </c>
      <c r="N87" s="64" t="s">
        <v>385</v>
      </c>
      <c r="O87" s="73">
        <v>4</v>
      </c>
      <c r="P87" s="196">
        <v>0</v>
      </c>
      <c r="Q87" s="73">
        <v>3</v>
      </c>
      <c r="R87" s="74">
        <v>44</v>
      </c>
      <c r="S87" s="76">
        <v>1684.8999999999999</v>
      </c>
      <c r="T87" s="82">
        <f t="shared" si="2"/>
        <v>1355.8999999999999</v>
      </c>
      <c r="U87" s="77">
        <f t="shared" si="3"/>
        <v>1355.8999999999999</v>
      </c>
      <c r="V87" s="78">
        <v>329</v>
      </c>
      <c r="W87" s="80" t="s">
        <v>233</v>
      </c>
      <c r="X87" s="81" t="s">
        <v>233</v>
      </c>
      <c r="Y87" s="4" t="s">
        <v>233</v>
      </c>
      <c r="Z87" s="81" t="s">
        <v>233</v>
      </c>
      <c r="AA87" s="64" t="s">
        <v>233</v>
      </c>
      <c r="AB87" s="81" t="s">
        <v>233</v>
      </c>
      <c r="AC87" s="64" t="s">
        <v>240</v>
      </c>
      <c r="AD87" s="64" t="s">
        <v>233</v>
      </c>
      <c r="AE87" s="64" t="s">
        <v>240</v>
      </c>
      <c r="AF87" s="208">
        <v>0</v>
      </c>
      <c r="AG87" s="4">
        <v>1</v>
      </c>
      <c r="AH87" s="64">
        <v>1</v>
      </c>
      <c r="AI87" s="4">
        <v>1</v>
      </c>
      <c r="AJ87" s="4">
        <v>1</v>
      </c>
      <c r="AK87" s="4">
        <v>0</v>
      </c>
    </row>
    <row r="88" spans="1:37" outlineLevel="1">
      <c r="A88" s="5">
        <v>81</v>
      </c>
      <c r="B88" s="64" t="s">
        <v>190</v>
      </c>
      <c r="C88" s="64" t="s">
        <v>235</v>
      </c>
      <c r="D88" s="4" t="str">
        <f>[1]Лист2!B81</f>
        <v>1-я КРАСНОАРМЕЙСКАЯ ул.</v>
      </c>
      <c r="E88" s="69">
        <f>[1]Лист2!C81</f>
        <v>24</v>
      </c>
      <c r="F88" s="197" t="str">
        <f>[1]Лист2!D81</f>
        <v>А</v>
      </c>
      <c r="G88" s="64"/>
      <c r="H88" s="199">
        <v>129081</v>
      </c>
      <c r="I88" s="64" t="s">
        <v>234</v>
      </c>
      <c r="J88" s="4"/>
      <c r="K88" s="64" t="s">
        <v>232</v>
      </c>
      <c r="L88" s="4" t="s">
        <v>232</v>
      </c>
      <c r="M88" s="72">
        <v>1860</v>
      </c>
      <c r="N88" s="64" t="s">
        <v>385</v>
      </c>
      <c r="O88" s="73">
        <v>4</v>
      </c>
      <c r="P88" s="196">
        <v>0</v>
      </c>
      <c r="Q88" s="73">
        <v>4</v>
      </c>
      <c r="R88" s="74">
        <v>21</v>
      </c>
      <c r="S88" s="76">
        <v>627.40000000000009</v>
      </c>
      <c r="T88" s="82">
        <f t="shared" si="2"/>
        <v>472.60000000000008</v>
      </c>
      <c r="U88" s="77">
        <f t="shared" si="3"/>
        <v>472.60000000000008</v>
      </c>
      <c r="V88" s="78">
        <v>154.80000000000001</v>
      </c>
      <c r="W88" s="80" t="s">
        <v>233</v>
      </c>
      <c r="X88" s="81" t="s">
        <v>233</v>
      </c>
      <c r="Y88" s="4" t="s">
        <v>233</v>
      </c>
      <c r="Z88" s="81" t="s">
        <v>233</v>
      </c>
      <c r="AA88" s="64" t="s">
        <v>233</v>
      </c>
      <c r="AB88" s="81" t="s">
        <v>233</v>
      </c>
      <c r="AC88" s="64" t="s">
        <v>240</v>
      </c>
      <c r="AD88" s="64" t="s">
        <v>233</v>
      </c>
      <c r="AE88" s="64" t="s">
        <v>240</v>
      </c>
      <c r="AF88" s="208">
        <v>0</v>
      </c>
      <c r="AG88" s="4">
        <v>1</v>
      </c>
      <c r="AH88" s="64">
        <v>1</v>
      </c>
      <c r="AI88" s="4">
        <v>0</v>
      </c>
      <c r="AJ88" s="4">
        <v>0</v>
      </c>
      <c r="AK88" s="4">
        <v>0</v>
      </c>
    </row>
    <row r="89" spans="1:37" outlineLevel="1">
      <c r="A89" s="5">
        <v>82</v>
      </c>
      <c r="B89" s="64" t="s">
        <v>190</v>
      </c>
      <c r="C89" s="64" t="s">
        <v>235</v>
      </c>
      <c r="D89" s="4" t="str">
        <f>[1]Лист2!B82</f>
        <v>1-я КРАСНОАРМЕЙСКАЯ ул.</v>
      </c>
      <c r="E89" s="69">
        <f>[1]Лист2!C82</f>
        <v>24</v>
      </c>
      <c r="F89" s="197" t="str">
        <f>[1]Лист2!D82</f>
        <v>Б</v>
      </c>
      <c r="G89" s="64"/>
      <c r="H89" s="199">
        <v>129082</v>
      </c>
      <c r="I89" s="64" t="s">
        <v>234</v>
      </c>
      <c r="J89" s="4"/>
      <c r="K89" s="64" t="s">
        <v>232</v>
      </c>
      <c r="L89" s="4" t="s">
        <v>232</v>
      </c>
      <c r="M89" s="72">
        <v>1870</v>
      </c>
      <c r="N89" s="64" t="s">
        <v>385</v>
      </c>
      <c r="O89" s="73">
        <v>4</v>
      </c>
      <c r="P89" s="196">
        <v>0</v>
      </c>
      <c r="Q89" s="73">
        <v>1</v>
      </c>
      <c r="R89" s="74">
        <v>24</v>
      </c>
      <c r="S89" s="76">
        <v>763.4</v>
      </c>
      <c r="T89" s="82">
        <f t="shared" si="2"/>
        <v>582</v>
      </c>
      <c r="U89" s="77">
        <f t="shared" si="3"/>
        <v>582</v>
      </c>
      <c r="V89" s="78">
        <v>181.4</v>
      </c>
      <c r="W89" s="80" t="s">
        <v>233</v>
      </c>
      <c r="X89" s="81" t="s">
        <v>233</v>
      </c>
      <c r="Y89" s="4" t="s">
        <v>233</v>
      </c>
      <c r="Z89" s="81" t="s">
        <v>233</v>
      </c>
      <c r="AA89" s="64" t="s">
        <v>233</v>
      </c>
      <c r="AB89" s="81" t="s">
        <v>233</v>
      </c>
      <c r="AC89" s="64" t="s">
        <v>240</v>
      </c>
      <c r="AD89" s="64" t="s">
        <v>233</v>
      </c>
      <c r="AE89" s="64" t="s">
        <v>240</v>
      </c>
      <c r="AF89" s="209">
        <v>0</v>
      </c>
      <c r="AG89" s="4">
        <v>1</v>
      </c>
      <c r="AH89" s="64">
        <v>1</v>
      </c>
      <c r="AI89" s="4">
        <v>0</v>
      </c>
      <c r="AJ89" s="4">
        <v>0</v>
      </c>
      <c r="AK89" s="4">
        <v>0</v>
      </c>
    </row>
    <row r="90" spans="1:37" outlineLevel="1">
      <c r="A90" s="5">
        <v>83</v>
      </c>
      <c r="B90" s="64" t="s">
        <v>190</v>
      </c>
      <c r="C90" s="64" t="s">
        <v>235</v>
      </c>
      <c r="D90" s="4" t="str">
        <f>[1]Лист2!B83</f>
        <v>1-я КРАСНОАРМЕЙСКАЯ ул.</v>
      </c>
      <c r="E90" s="69">
        <f>[1]Лист2!C83</f>
        <v>4</v>
      </c>
      <c r="F90" s="197" t="str">
        <f>[1]Лист2!D83</f>
        <v>А</v>
      </c>
      <c r="G90" s="4"/>
      <c r="H90" s="199">
        <v>129083</v>
      </c>
      <c r="I90" s="64" t="s">
        <v>234</v>
      </c>
      <c r="J90" s="4"/>
      <c r="K90" s="64" t="s">
        <v>232</v>
      </c>
      <c r="L90" s="4" t="s">
        <v>232</v>
      </c>
      <c r="M90" s="72">
        <v>1876</v>
      </c>
      <c r="N90" s="64" t="s">
        <v>385</v>
      </c>
      <c r="O90" s="73">
        <v>5</v>
      </c>
      <c r="P90" s="196">
        <v>0</v>
      </c>
      <c r="Q90" s="73">
        <v>2</v>
      </c>
      <c r="R90" s="74">
        <v>76</v>
      </c>
      <c r="S90" s="76">
        <v>3353.4</v>
      </c>
      <c r="T90" s="82">
        <f t="shared" si="2"/>
        <v>2807.8</v>
      </c>
      <c r="U90" s="77">
        <f t="shared" si="3"/>
        <v>2807.8</v>
      </c>
      <c r="V90" s="78">
        <v>545.6</v>
      </c>
      <c r="W90" s="80" t="s">
        <v>233</v>
      </c>
      <c r="X90" s="81" t="s">
        <v>233</v>
      </c>
      <c r="Y90" s="4" t="s">
        <v>233</v>
      </c>
      <c r="Z90" s="81" t="s">
        <v>233</v>
      </c>
      <c r="AA90" s="64" t="s">
        <v>233</v>
      </c>
      <c r="AB90" s="81" t="s">
        <v>233</v>
      </c>
      <c r="AC90" s="64" t="s">
        <v>240</v>
      </c>
      <c r="AD90" s="64" t="s">
        <v>233</v>
      </c>
      <c r="AE90" s="64" t="s">
        <v>240</v>
      </c>
      <c r="AF90" s="208">
        <v>2</v>
      </c>
      <c r="AG90" s="4">
        <v>2</v>
      </c>
      <c r="AH90" s="64">
        <v>1</v>
      </c>
      <c r="AI90" s="4">
        <v>1</v>
      </c>
      <c r="AJ90" s="4">
        <v>1</v>
      </c>
      <c r="AK90" s="4">
        <v>0</v>
      </c>
    </row>
    <row r="91" spans="1:37" s="65" customFormat="1" outlineLevel="1">
      <c r="A91" s="5">
        <v>84</v>
      </c>
      <c r="B91" s="64" t="s">
        <v>190</v>
      </c>
      <c r="C91" s="64" t="s">
        <v>235</v>
      </c>
      <c r="D91" s="64" t="str">
        <f>[1]Лист2!B84</f>
        <v>1-я КРАСНОАРМЕЙСКАЯ ул.</v>
      </c>
      <c r="E91" s="71" t="s">
        <v>194</v>
      </c>
      <c r="F91" s="196" t="str">
        <f>[1]Лист2!D84</f>
        <v>А</v>
      </c>
      <c r="G91" s="4"/>
      <c r="H91" s="67">
        <v>129084</v>
      </c>
      <c r="I91" s="64" t="s">
        <v>234</v>
      </c>
      <c r="J91" s="64"/>
      <c r="K91" s="64" t="s">
        <v>232</v>
      </c>
      <c r="L91" s="64" t="s">
        <v>232</v>
      </c>
      <c r="M91" s="72">
        <v>1826</v>
      </c>
      <c r="N91" s="64" t="s">
        <v>385</v>
      </c>
      <c r="O91" s="73">
        <v>5</v>
      </c>
      <c r="P91" s="196">
        <v>0</v>
      </c>
      <c r="Q91" s="73">
        <v>3</v>
      </c>
      <c r="R91" s="74">
        <v>75</v>
      </c>
      <c r="S91" s="75">
        <v>3271.21</v>
      </c>
      <c r="T91" s="82">
        <f t="shared" si="2"/>
        <v>2807.21</v>
      </c>
      <c r="U91" s="77">
        <f t="shared" si="3"/>
        <v>2807.21</v>
      </c>
      <c r="V91" s="77">
        <v>464</v>
      </c>
      <c r="W91" s="80" t="s">
        <v>233</v>
      </c>
      <c r="X91" s="81" t="s">
        <v>233</v>
      </c>
      <c r="Y91" s="64" t="s">
        <v>233</v>
      </c>
      <c r="Z91" s="81" t="s">
        <v>233</v>
      </c>
      <c r="AA91" s="64" t="s">
        <v>233</v>
      </c>
      <c r="AB91" s="81" t="s">
        <v>233</v>
      </c>
      <c r="AC91" s="64" t="s">
        <v>240</v>
      </c>
      <c r="AD91" s="64" t="s">
        <v>233</v>
      </c>
      <c r="AE91" s="64" t="s">
        <v>240</v>
      </c>
      <c r="AF91" s="208">
        <v>0</v>
      </c>
      <c r="AG91" s="4">
        <v>1</v>
      </c>
      <c r="AH91" s="64">
        <v>1</v>
      </c>
      <c r="AI91" s="64">
        <v>1</v>
      </c>
      <c r="AJ91" s="64">
        <v>1</v>
      </c>
      <c r="AK91" s="64">
        <v>0</v>
      </c>
    </row>
    <row r="92" spans="1:37" s="65" customFormat="1" outlineLevel="1">
      <c r="A92" s="63">
        <v>85</v>
      </c>
      <c r="B92" s="64" t="s">
        <v>190</v>
      </c>
      <c r="C92" s="64" t="s">
        <v>235</v>
      </c>
      <c r="D92" s="64" t="str">
        <f>[1]Лист2!B85</f>
        <v>1-я КРАСНОАРМЕЙСКАЯ ул.</v>
      </c>
      <c r="E92" s="71" t="s">
        <v>194</v>
      </c>
      <c r="F92" s="196" t="str">
        <f>[1]Лист2!D85</f>
        <v>Б</v>
      </c>
      <c r="G92" s="64"/>
      <c r="H92" s="67">
        <v>129085</v>
      </c>
      <c r="I92" s="64" t="s">
        <v>234</v>
      </c>
      <c r="J92" s="64"/>
      <c r="K92" s="64" t="s">
        <v>232</v>
      </c>
      <c r="L92" s="64" t="s">
        <v>232</v>
      </c>
      <c r="M92" s="72">
        <v>1826</v>
      </c>
      <c r="N92" s="64" t="s">
        <v>385</v>
      </c>
      <c r="O92" s="73">
        <v>5</v>
      </c>
      <c r="P92" s="196">
        <v>0</v>
      </c>
      <c r="Q92" s="73">
        <v>1</v>
      </c>
      <c r="R92" s="74">
        <v>22</v>
      </c>
      <c r="S92" s="75">
        <v>843</v>
      </c>
      <c r="T92" s="82">
        <f t="shared" si="2"/>
        <v>700.1</v>
      </c>
      <c r="U92" s="77">
        <f t="shared" si="3"/>
        <v>700.1</v>
      </c>
      <c r="V92" s="77">
        <v>142.9</v>
      </c>
      <c r="W92" s="80" t="s">
        <v>233</v>
      </c>
      <c r="X92" s="81" t="s">
        <v>233</v>
      </c>
      <c r="Y92" s="64" t="s">
        <v>233</v>
      </c>
      <c r="Z92" s="81" t="s">
        <v>233</v>
      </c>
      <c r="AA92" s="64" t="s">
        <v>233</v>
      </c>
      <c r="AB92" s="81" t="s">
        <v>233</v>
      </c>
      <c r="AC92" s="64" t="s">
        <v>240</v>
      </c>
      <c r="AD92" s="64" t="s">
        <v>233</v>
      </c>
      <c r="AE92" s="64" t="s">
        <v>240</v>
      </c>
      <c r="AF92" s="209">
        <v>0</v>
      </c>
      <c r="AG92" s="4">
        <v>1</v>
      </c>
      <c r="AH92" s="64">
        <v>1</v>
      </c>
      <c r="AI92" s="64">
        <v>0</v>
      </c>
      <c r="AJ92" s="64">
        <v>0</v>
      </c>
      <c r="AK92" s="64">
        <v>0</v>
      </c>
    </row>
    <row r="93" spans="1:37" outlineLevel="1">
      <c r="A93" s="63">
        <v>86</v>
      </c>
      <c r="B93" s="64" t="s">
        <v>190</v>
      </c>
      <c r="C93" s="64" t="s">
        <v>235</v>
      </c>
      <c r="D93" s="4" t="str">
        <f>[1]Лист2!B86</f>
        <v>2-я КРАСНОАРМЕЙСКАЯ ул.</v>
      </c>
      <c r="E93" s="69">
        <f>[1]Лист2!C86</f>
        <v>10</v>
      </c>
      <c r="F93" s="197" t="str">
        <f>[1]Лист2!D86</f>
        <v>А</v>
      </c>
      <c r="G93" s="64"/>
      <c r="H93" s="199">
        <v>129086</v>
      </c>
      <c r="I93" s="64" t="s">
        <v>234</v>
      </c>
      <c r="J93" s="4"/>
      <c r="K93" s="64" t="s">
        <v>232</v>
      </c>
      <c r="L93" s="4" t="s">
        <v>232</v>
      </c>
      <c r="M93" s="72">
        <v>1856</v>
      </c>
      <c r="N93" s="64" t="s">
        <v>385</v>
      </c>
      <c r="O93" s="73">
        <v>4</v>
      </c>
      <c r="P93" s="196">
        <v>0</v>
      </c>
      <c r="Q93" s="73">
        <v>3</v>
      </c>
      <c r="R93" s="74">
        <v>26</v>
      </c>
      <c r="S93" s="76">
        <v>1429</v>
      </c>
      <c r="T93" s="82">
        <f t="shared" si="2"/>
        <v>1038</v>
      </c>
      <c r="U93" s="77">
        <f t="shared" si="3"/>
        <v>1038</v>
      </c>
      <c r="V93" s="78">
        <v>391</v>
      </c>
      <c r="W93" s="80" t="s">
        <v>233</v>
      </c>
      <c r="X93" s="81" t="s">
        <v>233</v>
      </c>
      <c r="Y93" s="4" t="s">
        <v>233</v>
      </c>
      <c r="Z93" s="81" t="s">
        <v>233</v>
      </c>
      <c r="AA93" s="64" t="s">
        <v>233</v>
      </c>
      <c r="AB93" s="81" t="s">
        <v>233</v>
      </c>
      <c r="AC93" s="64" t="s">
        <v>240</v>
      </c>
      <c r="AD93" s="64" t="s">
        <v>233</v>
      </c>
      <c r="AE93" s="64" t="s">
        <v>240</v>
      </c>
      <c r="AF93" s="208">
        <v>0</v>
      </c>
      <c r="AG93" s="4">
        <v>1</v>
      </c>
      <c r="AH93" s="64">
        <v>1</v>
      </c>
      <c r="AI93" s="4">
        <v>1</v>
      </c>
      <c r="AJ93" s="4">
        <v>1</v>
      </c>
      <c r="AK93" s="4">
        <v>0</v>
      </c>
    </row>
    <row r="94" spans="1:37" outlineLevel="1">
      <c r="A94" s="5">
        <v>87</v>
      </c>
      <c r="B94" s="64" t="s">
        <v>190</v>
      </c>
      <c r="C94" s="64" t="s">
        <v>235</v>
      </c>
      <c r="D94" s="4" t="str">
        <f>[1]Лист2!B87</f>
        <v>2-я КРАСНОАРМЕЙСКАЯ ул.</v>
      </c>
      <c r="E94" s="69">
        <f>[1]Лист2!C87</f>
        <v>14</v>
      </c>
      <c r="F94" s="197" t="str">
        <f>[1]Лист2!D87</f>
        <v>А</v>
      </c>
      <c r="G94" s="4"/>
      <c r="H94" s="199">
        <v>129087</v>
      </c>
      <c r="I94" s="64" t="s">
        <v>234</v>
      </c>
      <c r="J94" s="4"/>
      <c r="K94" s="64" t="s">
        <v>232</v>
      </c>
      <c r="L94" s="4" t="s">
        <v>232</v>
      </c>
      <c r="M94" s="72">
        <v>1876</v>
      </c>
      <c r="N94" s="64" t="s">
        <v>385</v>
      </c>
      <c r="O94" s="73">
        <v>5</v>
      </c>
      <c r="P94" s="196">
        <v>0</v>
      </c>
      <c r="Q94" s="73">
        <v>4</v>
      </c>
      <c r="R94" s="74">
        <v>83</v>
      </c>
      <c r="S94" s="76">
        <v>2447.9</v>
      </c>
      <c r="T94" s="82">
        <f t="shared" si="2"/>
        <v>2326</v>
      </c>
      <c r="U94" s="77">
        <f t="shared" si="3"/>
        <v>2326</v>
      </c>
      <c r="V94" s="78">
        <v>121.9</v>
      </c>
      <c r="W94" s="80" t="s">
        <v>233</v>
      </c>
      <c r="X94" s="81" t="s">
        <v>233</v>
      </c>
      <c r="Y94" s="4" t="s">
        <v>233</v>
      </c>
      <c r="Z94" s="81" t="s">
        <v>233</v>
      </c>
      <c r="AA94" s="64" t="s">
        <v>233</v>
      </c>
      <c r="AB94" s="81" t="s">
        <v>233</v>
      </c>
      <c r="AC94" s="64" t="s">
        <v>240</v>
      </c>
      <c r="AD94" s="64" t="s">
        <v>233</v>
      </c>
      <c r="AE94" s="64" t="s">
        <v>240</v>
      </c>
      <c r="AF94" s="208">
        <v>4</v>
      </c>
      <c r="AG94" s="4">
        <v>1</v>
      </c>
      <c r="AH94" s="64">
        <v>1</v>
      </c>
      <c r="AI94" s="4">
        <v>1</v>
      </c>
      <c r="AJ94" s="4">
        <v>1</v>
      </c>
      <c r="AK94" s="4">
        <v>0</v>
      </c>
    </row>
    <row r="95" spans="1:37" outlineLevel="1">
      <c r="A95" s="5">
        <v>88</v>
      </c>
      <c r="B95" s="64" t="s">
        <v>190</v>
      </c>
      <c r="C95" s="64" t="s">
        <v>235</v>
      </c>
      <c r="D95" s="4" t="str">
        <f>[1]Лист2!B88</f>
        <v>2-я КРАСНОАРМЕЙСКАЯ ул.</v>
      </c>
      <c r="E95" s="69">
        <f>[1]Лист2!C88</f>
        <v>14</v>
      </c>
      <c r="F95" s="197" t="str">
        <f>[1]Лист2!D88</f>
        <v>Б</v>
      </c>
      <c r="G95" s="4"/>
      <c r="H95" s="199">
        <v>129088</v>
      </c>
      <c r="I95" s="64" t="s">
        <v>234</v>
      </c>
      <c r="J95" s="4"/>
      <c r="K95" s="64" t="s">
        <v>232</v>
      </c>
      <c r="L95" s="4" t="s">
        <v>232</v>
      </c>
      <c r="M95" s="72">
        <v>1859</v>
      </c>
      <c r="N95" s="64" t="s">
        <v>385</v>
      </c>
      <c r="O95" s="73">
        <v>4</v>
      </c>
      <c r="P95" s="196">
        <v>0</v>
      </c>
      <c r="Q95" s="73">
        <v>3</v>
      </c>
      <c r="R95" s="74">
        <v>42</v>
      </c>
      <c r="S95" s="76">
        <v>1853.6999999999998</v>
      </c>
      <c r="T95" s="82">
        <f t="shared" si="2"/>
        <v>1172.5999999999999</v>
      </c>
      <c r="U95" s="77">
        <f t="shared" si="3"/>
        <v>1172.5999999999999</v>
      </c>
      <c r="V95" s="78">
        <v>681.1</v>
      </c>
      <c r="W95" s="80" t="s">
        <v>233</v>
      </c>
      <c r="X95" s="81" t="s">
        <v>233</v>
      </c>
      <c r="Y95" s="4" t="s">
        <v>233</v>
      </c>
      <c r="Z95" s="81" t="s">
        <v>233</v>
      </c>
      <c r="AA95" s="64" t="s">
        <v>233</v>
      </c>
      <c r="AB95" s="81" t="s">
        <v>233</v>
      </c>
      <c r="AC95" s="64" t="s">
        <v>240</v>
      </c>
      <c r="AD95" s="64" t="s">
        <v>233</v>
      </c>
      <c r="AE95" s="64" t="s">
        <v>240</v>
      </c>
      <c r="AF95" s="209">
        <v>0</v>
      </c>
      <c r="AG95" s="4">
        <v>1</v>
      </c>
      <c r="AH95" s="64">
        <v>1</v>
      </c>
      <c r="AI95" s="4">
        <v>0</v>
      </c>
      <c r="AJ95" s="4">
        <v>0</v>
      </c>
      <c r="AK95" s="4">
        <v>0</v>
      </c>
    </row>
    <row r="96" spans="1:37" outlineLevel="1">
      <c r="A96" s="5">
        <v>89</v>
      </c>
      <c r="B96" s="64" t="s">
        <v>190</v>
      </c>
      <c r="C96" s="64" t="s">
        <v>235</v>
      </c>
      <c r="D96" s="4" t="str">
        <f>[1]Лист2!B89</f>
        <v>2-я КРАСНОАРМЕЙСКАЯ ул.</v>
      </c>
      <c r="E96" s="69">
        <f>[1]Лист2!C89</f>
        <v>16</v>
      </c>
      <c r="F96" s="197" t="str">
        <f>[1]Лист2!D89</f>
        <v>А</v>
      </c>
      <c r="G96" s="64"/>
      <c r="H96" s="199">
        <v>129089</v>
      </c>
      <c r="I96" s="64" t="s">
        <v>234</v>
      </c>
      <c r="J96" s="4"/>
      <c r="K96" s="64" t="s">
        <v>232</v>
      </c>
      <c r="L96" s="4" t="s">
        <v>232</v>
      </c>
      <c r="M96" s="72">
        <v>1890</v>
      </c>
      <c r="N96" s="64" t="s">
        <v>385</v>
      </c>
      <c r="O96" s="73">
        <v>5</v>
      </c>
      <c r="P96" s="196">
        <v>0</v>
      </c>
      <c r="Q96" s="73">
        <v>3</v>
      </c>
      <c r="R96" s="74">
        <v>77</v>
      </c>
      <c r="S96" s="76">
        <v>2637.1</v>
      </c>
      <c r="T96" s="82">
        <f t="shared" si="2"/>
        <v>2365.6</v>
      </c>
      <c r="U96" s="77">
        <f t="shared" si="3"/>
        <v>2365.6</v>
      </c>
      <c r="V96" s="78">
        <v>271.5</v>
      </c>
      <c r="W96" s="80" t="s">
        <v>233</v>
      </c>
      <c r="X96" s="81" t="s">
        <v>233</v>
      </c>
      <c r="Y96" s="4" t="s">
        <v>233</v>
      </c>
      <c r="Z96" s="81" t="s">
        <v>233</v>
      </c>
      <c r="AA96" s="64" t="s">
        <v>233</v>
      </c>
      <c r="AB96" s="81" t="s">
        <v>233</v>
      </c>
      <c r="AC96" s="64" t="s">
        <v>240</v>
      </c>
      <c r="AD96" s="64" t="s">
        <v>233</v>
      </c>
      <c r="AE96" s="64" t="s">
        <v>240</v>
      </c>
      <c r="AF96" s="209">
        <v>0</v>
      </c>
      <c r="AG96" s="4">
        <v>2</v>
      </c>
      <c r="AH96" s="64">
        <v>1</v>
      </c>
      <c r="AI96" s="4">
        <v>1</v>
      </c>
      <c r="AJ96" s="4">
        <v>1</v>
      </c>
      <c r="AK96" s="4">
        <v>0</v>
      </c>
    </row>
    <row r="97" spans="1:37" outlineLevel="1">
      <c r="A97" s="5">
        <v>90</v>
      </c>
      <c r="B97" s="64" t="s">
        <v>190</v>
      </c>
      <c r="C97" s="64" t="s">
        <v>235</v>
      </c>
      <c r="D97" s="4" t="str">
        <f>[1]Лист2!B90</f>
        <v>2-я КРАСНОАРМЕЙСКАЯ ул.</v>
      </c>
      <c r="E97" s="69">
        <f>[1]Лист2!C90</f>
        <v>19</v>
      </c>
      <c r="F97" s="197" t="str">
        <f>[1]Лист2!D90</f>
        <v>А</v>
      </c>
      <c r="G97" s="64"/>
      <c r="H97" s="199">
        <v>129090</v>
      </c>
      <c r="I97" s="64" t="s">
        <v>234</v>
      </c>
      <c r="J97" s="4"/>
      <c r="K97" s="64" t="s">
        <v>232</v>
      </c>
      <c r="L97" s="4" t="s">
        <v>232</v>
      </c>
      <c r="M97" s="72">
        <v>1858</v>
      </c>
      <c r="N97" s="64" t="s">
        <v>385</v>
      </c>
      <c r="O97" s="73">
        <v>4</v>
      </c>
      <c r="P97" s="196">
        <v>0</v>
      </c>
      <c r="Q97" s="73">
        <v>1</v>
      </c>
      <c r="R97" s="74">
        <v>30</v>
      </c>
      <c r="S97" s="76">
        <v>893.9</v>
      </c>
      <c r="T97" s="82">
        <f t="shared" si="2"/>
        <v>796.4</v>
      </c>
      <c r="U97" s="77">
        <f t="shared" si="3"/>
        <v>796.4</v>
      </c>
      <c r="V97" s="78">
        <v>97.5</v>
      </c>
      <c r="W97" s="80" t="s">
        <v>233</v>
      </c>
      <c r="X97" s="81" t="s">
        <v>233</v>
      </c>
      <c r="Y97" s="4" t="s">
        <v>233</v>
      </c>
      <c r="Z97" s="81" t="s">
        <v>233</v>
      </c>
      <c r="AA97" s="64" t="s">
        <v>233</v>
      </c>
      <c r="AB97" s="81" t="s">
        <v>233</v>
      </c>
      <c r="AC97" s="64" t="s">
        <v>240</v>
      </c>
      <c r="AD97" s="64" t="s">
        <v>233</v>
      </c>
      <c r="AE97" s="64" t="s">
        <v>240</v>
      </c>
      <c r="AF97" s="208">
        <v>0</v>
      </c>
      <c r="AG97" s="4">
        <v>2</v>
      </c>
      <c r="AH97" s="64">
        <v>2</v>
      </c>
      <c r="AI97" s="4">
        <v>1</v>
      </c>
      <c r="AJ97" s="4">
        <v>1</v>
      </c>
      <c r="AK97" s="4">
        <v>0</v>
      </c>
    </row>
    <row r="98" spans="1:37" s="65" customFormat="1" outlineLevel="1">
      <c r="A98" s="63">
        <v>91</v>
      </c>
      <c r="B98" s="64" t="s">
        <v>190</v>
      </c>
      <c r="C98" s="64" t="s">
        <v>235</v>
      </c>
      <c r="D98" s="64" t="str">
        <f>[1]Лист2!B91</f>
        <v>2-я КРАСНОАРМЕЙСКАЯ ул.</v>
      </c>
      <c r="E98" s="71" t="s">
        <v>195</v>
      </c>
      <c r="F98" s="196" t="str">
        <f>[1]Лист2!D91</f>
        <v>А</v>
      </c>
      <c r="G98" s="4"/>
      <c r="H98" s="67">
        <v>129091</v>
      </c>
      <c r="I98" s="64" t="s">
        <v>234</v>
      </c>
      <c r="J98" s="64"/>
      <c r="K98" s="64" t="s">
        <v>232</v>
      </c>
      <c r="L98" s="64" t="s">
        <v>232</v>
      </c>
      <c r="M98" s="72">
        <v>1886</v>
      </c>
      <c r="N98" s="64" t="s">
        <v>385</v>
      </c>
      <c r="O98" s="73">
        <v>4</v>
      </c>
      <c r="P98" s="196">
        <v>0</v>
      </c>
      <c r="Q98" s="73">
        <v>4</v>
      </c>
      <c r="R98" s="74">
        <v>60</v>
      </c>
      <c r="S98" s="75">
        <v>2546.8000000000002</v>
      </c>
      <c r="T98" s="82">
        <f t="shared" si="2"/>
        <v>1950.8000000000002</v>
      </c>
      <c r="U98" s="77">
        <f t="shared" si="3"/>
        <v>1950.8000000000002</v>
      </c>
      <c r="V98" s="77">
        <v>596</v>
      </c>
      <c r="W98" s="80" t="s">
        <v>233</v>
      </c>
      <c r="X98" s="81" t="s">
        <v>233</v>
      </c>
      <c r="Y98" s="64" t="s">
        <v>233</v>
      </c>
      <c r="Z98" s="81" t="s">
        <v>233</v>
      </c>
      <c r="AA98" s="64" t="s">
        <v>233</v>
      </c>
      <c r="AB98" s="81" t="s">
        <v>233</v>
      </c>
      <c r="AC98" s="64" t="s">
        <v>240</v>
      </c>
      <c r="AD98" s="64" t="s">
        <v>233</v>
      </c>
      <c r="AE98" s="64" t="s">
        <v>240</v>
      </c>
      <c r="AF98" s="208">
        <v>0</v>
      </c>
      <c r="AG98" s="4">
        <v>1</v>
      </c>
      <c r="AH98" s="64">
        <v>1</v>
      </c>
      <c r="AI98" s="64">
        <v>1</v>
      </c>
      <c r="AJ98" s="64">
        <v>1</v>
      </c>
      <c r="AK98" s="64">
        <v>0</v>
      </c>
    </row>
    <row r="99" spans="1:37" s="65" customFormat="1" outlineLevel="1">
      <c r="A99" s="63">
        <v>92</v>
      </c>
      <c r="B99" s="64" t="s">
        <v>190</v>
      </c>
      <c r="C99" s="64" t="s">
        <v>235</v>
      </c>
      <c r="D99" s="64" t="str">
        <f>[1]Лист2!B92</f>
        <v>2-я КРАСНОАРМЕЙСКАЯ ул.</v>
      </c>
      <c r="E99" s="71">
        <f>[1]Лист2!C92</f>
        <v>3</v>
      </c>
      <c r="F99" s="196" t="str">
        <f>[1]Лист2!D92</f>
        <v>А</v>
      </c>
      <c r="G99" s="4"/>
      <c r="H99" s="67">
        <v>129092</v>
      </c>
      <c r="I99" s="64" t="s">
        <v>234</v>
      </c>
      <c r="J99" s="64"/>
      <c r="K99" s="64" t="s">
        <v>232</v>
      </c>
      <c r="L99" s="64" t="s">
        <v>232</v>
      </c>
      <c r="M99" s="72">
        <v>1860</v>
      </c>
      <c r="N99" s="64" t="s">
        <v>385</v>
      </c>
      <c r="O99" s="73">
        <v>3</v>
      </c>
      <c r="P99" s="196">
        <v>0</v>
      </c>
      <c r="Q99" s="73">
        <v>2</v>
      </c>
      <c r="R99" s="74">
        <v>34</v>
      </c>
      <c r="S99" s="75">
        <v>1468.0300000000002</v>
      </c>
      <c r="T99" s="82">
        <f t="shared" si="2"/>
        <v>1221.7300000000002</v>
      </c>
      <c r="U99" s="77">
        <f t="shared" si="3"/>
        <v>1221.7300000000002</v>
      </c>
      <c r="V99" s="77">
        <v>246.3</v>
      </c>
      <c r="W99" s="80" t="s">
        <v>233</v>
      </c>
      <c r="X99" s="81" t="s">
        <v>233</v>
      </c>
      <c r="Y99" s="64" t="s">
        <v>233</v>
      </c>
      <c r="Z99" s="81" t="s">
        <v>233</v>
      </c>
      <c r="AA99" s="64" t="s">
        <v>233</v>
      </c>
      <c r="AB99" s="81" t="s">
        <v>233</v>
      </c>
      <c r="AC99" s="64" t="s">
        <v>240</v>
      </c>
      <c r="AD99" s="64" t="s">
        <v>233</v>
      </c>
      <c r="AE99" s="64" t="s">
        <v>240</v>
      </c>
      <c r="AF99" s="208">
        <v>0</v>
      </c>
      <c r="AG99" s="4">
        <v>1</v>
      </c>
      <c r="AH99" s="64">
        <v>1</v>
      </c>
      <c r="AI99" s="64">
        <v>0</v>
      </c>
      <c r="AJ99" s="64">
        <v>0</v>
      </c>
      <c r="AK99" s="64">
        <v>0</v>
      </c>
    </row>
    <row r="100" spans="1:37" s="65" customFormat="1" outlineLevel="1">
      <c r="A100" s="5">
        <v>93</v>
      </c>
      <c r="B100" s="64" t="s">
        <v>190</v>
      </c>
      <c r="C100" s="64" t="s">
        <v>235</v>
      </c>
      <c r="D100" s="64" t="str">
        <f>[1]Лист2!B93</f>
        <v>2-я КРАСНОАРМЕЙСКАЯ ул.</v>
      </c>
      <c r="E100" s="71" t="s">
        <v>196</v>
      </c>
      <c r="F100" s="196" t="str">
        <f>[1]Лист2!D93</f>
        <v>А</v>
      </c>
      <c r="G100" s="64"/>
      <c r="H100" s="67">
        <v>129093</v>
      </c>
      <c r="I100" s="64" t="s">
        <v>234</v>
      </c>
      <c r="J100" s="64"/>
      <c r="K100" s="64" t="s">
        <v>232</v>
      </c>
      <c r="L100" s="64" t="s">
        <v>232</v>
      </c>
      <c r="M100" s="72">
        <v>1904</v>
      </c>
      <c r="N100" s="64" t="s">
        <v>385</v>
      </c>
      <c r="O100" s="73">
        <v>5</v>
      </c>
      <c r="P100" s="196">
        <v>0</v>
      </c>
      <c r="Q100" s="73">
        <v>2</v>
      </c>
      <c r="R100" s="74">
        <v>61</v>
      </c>
      <c r="S100" s="75">
        <v>2233</v>
      </c>
      <c r="T100" s="82">
        <f t="shared" si="2"/>
        <v>1867.2</v>
      </c>
      <c r="U100" s="77">
        <f t="shared" si="3"/>
        <v>1867.2</v>
      </c>
      <c r="V100" s="77">
        <v>365.8</v>
      </c>
      <c r="W100" s="80" t="s">
        <v>233</v>
      </c>
      <c r="X100" s="81" t="s">
        <v>233</v>
      </c>
      <c r="Y100" s="64" t="s">
        <v>233</v>
      </c>
      <c r="Z100" s="81" t="s">
        <v>233</v>
      </c>
      <c r="AA100" s="64" t="s">
        <v>233</v>
      </c>
      <c r="AB100" s="81" t="s">
        <v>233</v>
      </c>
      <c r="AC100" s="64" t="s">
        <v>240</v>
      </c>
      <c r="AD100" s="64" t="s">
        <v>233</v>
      </c>
      <c r="AE100" s="64" t="s">
        <v>240</v>
      </c>
      <c r="AF100" s="208">
        <v>0</v>
      </c>
      <c r="AG100" s="4">
        <v>1</v>
      </c>
      <c r="AH100" s="64">
        <v>1</v>
      </c>
      <c r="AI100" s="64">
        <v>0</v>
      </c>
      <c r="AJ100" s="64">
        <v>0</v>
      </c>
      <c r="AK100" s="64">
        <v>0</v>
      </c>
    </row>
    <row r="101" spans="1:37" outlineLevel="1">
      <c r="A101" s="5">
        <v>94</v>
      </c>
      <c r="B101" s="64" t="s">
        <v>190</v>
      </c>
      <c r="C101" s="64" t="s">
        <v>235</v>
      </c>
      <c r="D101" s="4" t="str">
        <f>[1]Лист2!B94</f>
        <v>3-я КРАСНОАРМЕЙСКАЯ ул.</v>
      </c>
      <c r="E101" s="69">
        <f>[1]Лист2!C94</f>
        <v>10</v>
      </c>
      <c r="F101" s="197" t="str">
        <f>[1]Лист2!D94</f>
        <v>А</v>
      </c>
      <c r="G101" s="64"/>
      <c r="H101" s="199">
        <v>129094</v>
      </c>
      <c r="I101" s="64" t="s">
        <v>234</v>
      </c>
      <c r="J101" s="4"/>
      <c r="K101" s="64" t="s">
        <v>232</v>
      </c>
      <c r="L101" s="4" t="s">
        <v>232</v>
      </c>
      <c r="M101" s="72">
        <v>1873</v>
      </c>
      <c r="N101" s="64" t="s">
        <v>385</v>
      </c>
      <c r="O101" s="73">
        <v>5</v>
      </c>
      <c r="P101" s="196">
        <v>0</v>
      </c>
      <c r="Q101" s="73">
        <v>2</v>
      </c>
      <c r="R101" s="74">
        <v>90</v>
      </c>
      <c r="S101" s="76">
        <v>4949.05</v>
      </c>
      <c r="T101" s="82">
        <f t="shared" si="2"/>
        <v>4098.05</v>
      </c>
      <c r="U101" s="77">
        <f t="shared" si="3"/>
        <v>4098.05</v>
      </c>
      <c r="V101" s="78">
        <v>851</v>
      </c>
      <c r="W101" s="80" t="s">
        <v>233</v>
      </c>
      <c r="X101" s="81" t="s">
        <v>233</v>
      </c>
      <c r="Y101" s="4" t="s">
        <v>233</v>
      </c>
      <c r="Z101" s="81" t="s">
        <v>233</v>
      </c>
      <c r="AA101" s="64" t="s">
        <v>233</v>
      </c>
      <c r="AB101" s="81" t="s">
        <v>233</v>
      </c>
      <c r="AC101" s="64" t="s">
        <v>240</v>
      </c>
      <c r="AD101" s="64" t="s">
        <v>233</v>
      </c>
      <c r="AE101" s="64" t="s">
        <v>240</v>
      </c>
      <c r="AF101" s="208">
        <v>0</v>
      </c>
      <c r="AG101" s="4">
        <v>1</v>
      </c>
      <c r="AH101" s="64">
        <v>1</v>
      </c>
      <c r="AI101" s="4">
        <v>1</v>
      </c>
      <c r="AJ101" s="4">
        <v>1</v>
      </c>
      <c r="AK101" s="4">
        <v>0</v>
      </c>
    </row>
    <row r="102" spans="1:37" outlineLevel="1">
      <c r="A102" s="5">
        <v>95</v>
      </c>
      <c r="B102" s="64" t="s">
        <v>190</v>
      </c>
      <c r="C102" s="64" t="s">
        <v>235</v>
      </c>
      <c r="D102" s="4" t="str">
        <f>[1]Лист2!B95</f>
        <v>3-я КРАСНОАРМЕЙСКАЯ ул.</v>
      </c>
      <c r="E102" s="69">
        <f>[1]Лист2!C95</f>
        <v>12</v>
      </c>
      <c r="F102" s="197" t="str">
        <f>[1]Лист2!D95</f>
        <v>А</v>
      </c>
      <c r="G102" s="4"/>
      <c r="H102" s="199">
        <v>129095</v>
      </c>
      <c r="I102" s="64" t="s">
        <v>234</v>
      </c>
      <c r="J102" s="4"/>
      <c r="K102" s="64" t="s">
        <v>232</v>
      </c>
      <c r="L102" s="4" t="s">
        <v>232</v>
      </c>
      <c r="M102" s="72">
        <v>1848</v>
      </c>
      <c r="N102" s="64" t="s">
        <v>385</v>
      </c>
      <c r="O102" s="73">
        <v>4</v>
      </c>
      <c r="P102" s="196">
        <v>0</v>
      </c>
      <c r="Q102" s="73">
        <v>2</v>
      </c>
      <c r="R102" s="74">
        <v>32</v>
      </c>
      <c r="S102" s="76">
        <v>1021.9</v>
      </c>
      <c r="T102" s="82">
        <f t="shared" si="2"/>
        <v>869.8</v>
      </c>
      <c r="U102" s="77">
        <f t="shared" si="3"/>
        <v>869.8</v>
      </c>
      <c r="V102" s="78">
        <v>152.1</v>
      </c>
      <c r="W102" s="80" t="s">
        <v>233</v>
      </c>
      <c r="X102" s="81" t="s">
        <v>233</v>
      </c>
      <c r="Y102" s="4" t="s">
        <v>233</v>
      </c>
      <c r="Z102" s="81" t="s">
        <v>233</v>
      </c>
      <c r="AA102" s="64" t="s">
        <v>233</v>
      </c>
      <c r="AB102" s="81" t="s">
        <v>233</v>
      </c>
      <c r="AC102" s="64" t="s">
        <v>240</v>
      </c>
      <c r="AD102" s="64" t="s">
        <v>233</v>
      </c>
      <c r="AE102" s="64" t="s">
        <v>240</v>
      </c>
      <c r="AF102" s="208">
        <v>0</v>
      </c>
      <c r="AG102" s="4">
        <v>1</v>
      </c>
      <c r="AH102" s="64">
        <v>1</v>
      </c>
      <c r="AI102" s="4">
        <v>0</v>
      </c>
      <c r="AJ102" s="4">
        <v>0</v>
      </c>
      <c r="AK102" s="4">
        <v>0</v>
      </c>
    </row>
    <row r="103" spans="1:37" outlineLevel="1">
      <c r="A103" s="5">
        <v>96</v>
      </c>
      <c r="B103" s="64" t="s">
        <v>190</v>
      </c>
      <c r="C103" s="64" t="s">
        <v>235</v>
      </c>
      <c r="D103" s="4" t="str">
        <f>[1]Лист2!B96</f>
        <v>3-я КРАСНОАРМЕЙСКАЯ ул.</v>
      </c>
      <c r="E103" s="69">
        <f>[1]Лист2!C96</f>
        <v>14</v>
      </c>
      <c r="F103" s="197" t="str">
        <f>[1]Лист2!D96</f>
        <v>А</v>
      </c>
      <c r="G103" s="4"/>
      <c r="H103" s="199">
        <v>129096</v>
      </c>
      <c r="I103" s="64" t="s">
        <v>234</v>
      </c>
      <c r="J103" s="4"/>
      <c r="K103" s="64" t="s">
        <v>232</v>
      </c>
      <c r="L103" s="4" t="s">
        <v>232</v>
      </c>
      <c r="M103" s="72">
        <v>1865</v>
      </c>
      <c r="N103" s="64" t="s">
        <v>385</v>
      </c>
      <c r="O103" s="73">
        <v>2</v>
      </c>
      <c r="P103" s="196">
        <v>0</v>
      </c>
      <c r="Q103" s="73">
        <v>6</v>
      </c>
      <c r="R103" s="74">
        <v>16</v>
      </c>
      <c r="S103" s="76">
        <v>640.29999999999995</v>
      </c>
      <c r="T103" s="82">
        <f t="shared" si="2"/>
        <v>465.29999999999995</v>
      </c>
      <c r="U103" s="77">
        <f t="shared" si="3"/>
        <v>465.29999999999995</v>
      </c>
      <c r="V103" s="78">
        <v>175</v>
      </c>
      <c r="W103" s="80" t="s">
        <v>233</v>
      </c>
      <c r="X103" s="81" t="s">
        <v>233</v>
      </c>
      <c r="Y103" s="4" t="s">
        <v>233</v>
      </c>
      <c r="Z103" s="81" t="s">
        <v>233</v>
      </c>
      <c r="AA103" s="64" t="s">
        <v>233</v>
      </c>
      <c r="AB103" s="81" t="s">
        <v>233</v>
      </c>
      <c r="AC103" s="64" t="s">
        <v>240</v>
      </c>
      <c r="AD103" s="64" t="s">
        <v>233</v>
      </c>
      <c r="AE103" s="64" t="s">
        <v>240</v>
      </c>
      <c r="AF103" s="208">
        <v>0</v>
      </c>
      <c r="AG103" s="4">
        <v>1</v>
      </c>
      <c r="AH103" s="64">
        <v>1</v>
      </c>
      <c r="AI103" s="4">
        <v>1</v>
      </c>
      <c r="AJ103" s="4">
        <v>1</v>
      </c>
      <c r="AK103" s="4">
        <v>0</v>
      </c>
    </row>
    <row r="104" spans="1:37" s="65" customFormat="1" outlineLevel="1">
      <c r="A104" s="63">
        <v>97</v>
      </c>
      <c r="B104" s="64" t="s">
        <v>190</v>
      </c>
      <c r="C104" s="64" t="s">
        <v>235</v>
      </c>
      <c r="D104" s="64" t="str">
        <f>[1]Лист2!B97</f>
        <v>3-я КРАСНОАРМЕЙСКАЯ ул.</v>
      </c>
      <c r="E104" s="71" t="s">
        <v>197</v>
      </c>
      <c r="F104" s="196" t="str">
        <f>[1]Лист2!D97</f>
        <v>А</v>
      </c>
      <c r="G104" s="64"/>
      <c r="H104" s="67">
        <v>129097</v>
      </c>
      <c r="I104" s="64" t="s">
        <v>234</v>
      </c>
      <c r="J104" s="64"/>
      <c r="K104" s="64" t="s">
        <v>232</v>
      </c>
      <c r="L104" s="64" t="s">
        <v>232</v>
      </c>
      <c r="M104" s="72">
        <v>1842</v>
      </c>
      <c r="N104" s="64" t="s">
        <v>385</v>
      </c>
      <c r="O104" s="73">
        <v>4</v>
      </c>
      <c r="P104" s="196">
        <v>0</v>
      </c>
      <c r="Q104" s="73">
        <v>6</v>
      </c>
      <c r="R104" s="74">
        <v>85</v>
      </c>
      <c r="S104" s="75">
        <v>5003</v>
      </c>
      <c r="T104" s="82">
        <f t="shared" si="2"/>
        <v>3844.91</v>
      </c>
      <c r="U104" s="77">
        <f t="shared" si="3"/>
        <v>3844.91</v>
      </c>
      <c r="V104" s="77">
        <v>1158.0899999999999</v>
      </c>
      <c r="W104" s="80" t="s">
        <v>233</v>
      </c>
      <c r="X104" s="81" t="s">
        <v>233</v>
      </c>
      <c r="Y104" s="64" t="s">
        <v>233</v>
      </c>
      <c r="Z104" s="81" t="s">
        <v>233</v>
      </c>
      <c r="AA104" s="64" t="s">
        <v>233</v>
      </c>
      <c r="AB104" s="81" t="s">
        <v>233</v>
      </c>
      <c r="AC104" s="64" t="s">
        <v>240</v>
      </c>
      <c r="AD104" s="64" t="s">
        <v>233</v>
      </c>
      <c r="AE104" s="64" t="s">
        <v>240</v>
      </c>
      <c r="AF104" s="208">
        <v>0</v>
      </c>
      <c r="AG104" s="4">
        <v>1</v>
      </c>
      <c r="AH104" s="64">
        <v>1</v>
      </c>
      <c r="AI104" s="64">
        <v>0</v>
      </c>
      <c r="AJ104" s="64">
        <v>0</v>
      </c>
      <c r="AK104" s="64">
        <v>0</v>
      </c>
    </row>
    <row r="105" spans="1:37" outlineLevel="1">
      <c r="A105" s="63">
        <v>98</v>
      </c>
      <c r="B105" s="64" t="s">
        <v>190</v>
      </c>
      <c r="C105" s="64" t="s">
        <v>235</v>
      </c>
      <c r="D105" s="4" t="str">
        <f>[1]Лист2!B98</f>
        <v>3-я КРАСНОАРМЕЙСКАЯ ул.</v>
      </c>
      <c r="E105" s="69">
        <f>[1]Лист2!C98</f>
        <v>4</v>
      </c>
      <c r="F105" s="197" t="str">
        <f>[1]Лист2!D98</f>
        <v>А</v>
      </c>
      <c r="G105" s="64"/>
      <c r="H105" s="199">
        <v>129098</v>
      </c>
      <c r="I105" s="64" t="s">
        <v>234</v>
      </c>
      <c r="J105" s="4"/>
      <c r="K105" s="64" t="s">
        <v>232</v>
      </c>
      <c r="L105" s="4" t="s">
        <v>232</v>
      </c>
      <c r="M105" s="72">
        <v>1880</v>
      </c>
      <c r="N105" s="64" t="s">
        <v>385</v>
      </c>
      <c r="O105" s="73">
        <v>6</v>
      </c>
      <c r="P105" s="196">
        <v>0</v>
      </c>
      <c r="Q105" s="73">
        <v>3</v>
      </c>
      <c r="R105" s="74">
        <v>42</v>
      </c>
      <c r="S105" s="76">
        <v>2279.56</v>
      </c>
      <c r="T105" s="82">
        <f t="shared" si="2"/>
        <v>1630.76</v>
      </c>
      <c r="U105" s="77">
        <f t="shared" si="3"/>
        <v>1630.76</v>
      </c>
      <c r="V105" s="78">
        <v>648.79999999999995</v>
      </c>
      <c r="W105" s="80" t="s">
        <v>233</v>
      </c>
      <c r="X105" s="81" t="s">
        <v>233</v>
      </c>
      <c r="Y105" s="4" t="s">
        <v>233</v>
      </c>
      <c r="Z105" s="81" t="s">
        <v>233</v>
      </c>
      <c r="AA105" s="64" t="s">
        <v>233</v>
      </c>
      <c r="AB105" s="81" t="s">
        <v>233</v>
      </c>
      <c r="AC105" s="64" t="s">
        <v>240</v>
      </c>
      <c r="AD105" s="64" t="s">
        <v>233</v>
      </c>
      <c r="AE105" s="64" t="s">
        <v>240</v>
      </c>
      <c r="AF105" s="208">
        <v>1</v>
      </c>
      <c r="AG105" s="4">
        <v>1</v>
      </c>
      <c r="AH105" s="64">
        <v>1</v>
      </c>
      <c r="AI105" s="4">
        <v>1</v>
      </c>
      <c r="AJ105" s="4">
        <v>1</v>
      </c>
      <c r="AK105" s="4">
        <v>0</v>
      </c>
    </row>
    <row r="106" spans="1:37" outlineLevel="1">
      <c r="A106" s="5">
        <v>99</v>
      </c>
      <c r="B106" s="64" t="s">
        <v>190</v>
      </c>
      <c r="C106" s="64" t="s">
        <v>235</v>
      </c>
      <c r="D106" s="4" t="str">
        <f>[1]Лист2!B99</f>
        <v>3-я КРАСНОАРМЕЙСКАЯ ул.</v>
      </c>
      <c r="E106" s="69">
        <f>[1]Лист2!C99</f>
        <v>6</v>
      </c>
      <c r="F106" s="197" t="str">
        <f>[1]Лист2!D99</f>
        <v>А</v>
      </c>
      <c r="G106" s="4"/>
      <c r="H106" s="199">
        <v>129099</v>
      </c>
      <c r="I106" s="64" t="s">
        <v>234</v>
      </c>
      <c r="J106" s="4" t="s">
        <v>1422</v>
      </c>
      <c r="K106" s="64" t="s">
        <v>232</v>
      </c>
      <c r="L106" s="4" t="s">
        <v>232</v>
      </c>
      <c r="M106" s="72">
        <v>1837</v>
      </c>
      <c r="N106" s="64" t="s">
        <v>385</v>
      </c>
      <c r="O106" s="73">
        <v>0</v>
      </c>
      <c r="P106" s="196">
        <v>0</v>
      </c>
      <c r="Q106" s="73">
        <v>4</v>
      </c>
      <c r="R106" s="74">
        <v>15</v>
      </c>
      <c r="S106" s="76">
        <v>764</v>
      </c>
      <c r="T106" s="82">
        <f t="shared" si="2"/>
        <v>0</v>
      </c>
      <c r="U106" s="77">
        <f t="shared" si="3"/>
        <v>0</v>
      </c>
      <c r="V106" s="78">
        <v>764</v>
      </c>
      <c r="W106" s="80" t="s">
        <v>233</v>
      </c>
      <c r="X106" s="81" t="s">
        <v>233</v>
      </c>
      <c r="Y106" s="4" t="s">
        <v>233</v>
      </c>
      <c r="Z106" s="81" t="s">
        <v>233</v>
      </c>
      <c r="AA106" s="64" t="s">
        <v>233</v>
      </c>
      <c r="AB106" s="81" t="s">
        <v>233</v>
      </c>
      <c r="AC106" s="64" t="s">
        <v>240</v>
      </c>
      <c r="AD106" s="64" t="s">
        <v>233</v>
      </c>
      <c r="AE106" s="64" t="s">
        <v>240</v>
      </c>
      <c r="AF106" s="208">
        <v>0</v>
      </c>
      <c r="AG106" s="4">
        <v>1</v>
      </c>
      <c r="AH106" s="64">
        <v>1</v>
      </c>
      <c r="AI106" s="4">
        <v>0</v>
      </c>
      <c r="AJ106" s="4">
        <v>0</v>
      </c>
      <c r="AK106" s="4">
        <v>0</v>
      </c>
    </row>
    <row r="107" spans="1:37" outlineLevel="1">
      <c r="A107" s="5">
        <v>100</v>
      </c>
      <c r="B107" s="64" t="s">
        <v>190</v>
      </c>
      <c r="C107" s="64" t="s">
        <v>235</v>
      </c>
      <c r="D107" s="4" t="str">
        <f>[1]Лист2!B100</f>
        <v>3-я КРАСНОАРМЕЙСКАЯ ул.</v>
      </c>
      <c r="E107" s="69">
        <f>[1]Лист2!C100</f>
        <v>8</v>
      </c>
      <c r="F107" s="197" t="str">
        <f>[1]Лист2!D100</f>
        <v>А</v>
      </c>
      <c r="G107" s="4"/>
      <c r="H107" s="199">
        <v>129100</v>
      </c>
      <c r="I107" s="64" t="s">
        <v>234</v>
      </c>
      <c r="J107" s="4"/>
      <c r="K107" s="64" t="s">
        <v>232</v>
      </c>
      <c r="L107" s="4" t="s">
        <v>232</v>
      </c>
      <c r="M107" s="72">
        <v>1865</v>
      </c>
      <c r="N107" s="64" t="s">
        <v>385</v>
      </c>
      <c r="O107" s="73">
        <v>4</v>
      </c>
      <c r="P107" s="196">
        <v>0</v>
      </c>
      <c r="Q107" s="73">
        <v>1</v>
      </c>
      <c r="R107" s="74">
        <v>18</v>
      </c>
      <c r="S107" s="76">
        <v>743.8</v>
      </c>
      <c r="T107" s="82">
        <f t="shared" si="2"/>
        <v>563.79999999999995</v>
      </c>
      <c r="U107" s="77">
        <f t="shared" si="3"/>
        <v>563.79999999999995</v>
      </c>
      <c r="V107" s="78">
        <v>180</v>
      </c>
      <c r="W107" s="80" t="s">
        <v>233</v>
      </c>
      <c r="X107" s="81" t="s">
        <v>233</v>
      </c>
      <c r="Y107" s="4" t="s">
        <v>233</v>
      </c>
      <c r="Z107" s="81" t="s">
        <v>233</v>
      </c>
      <c r="AA107" s="64" t="s">
        <v>233</v>
      </c>
      <c r="AB107" s="81" t="s">
        <v>233</v>
      </c>
      <c r="AC107" s="64" t="s">
        <v>240</v>
      </c>
      <c r="AD107" s="64" t="s">
        <v>233</v>
      </c>
      <c r="AE107" s="64" t="s">
        <v>240</v>
      </c>
      <c r="AF107" s="208">
        <v>0</v>
      </c>
      <c r="AG107" s="4">
        <v>1</v>
      </c>
      <c r="AH107" s="64">
        <v>1</v>
      </c>
      <c r="AI107" s="4">
        <v>1</v>
      </c>
      <c r="AJ107" s="4">
        <v>1</v>
      </c>
      <c r="AK107" s="4">
        <v>0</v>
      </c>
    </row>
    <row r="108" spans="1:37" outlineLevel="1">
      <c r="A108" s="5">
        <v>101</v>
      </c>
      <c r="B108" s="64" t="s">
        <v>190</v>
      </c>
      <c r="C108" s="64" t="s">
        <v>235</v>
      </c>
      <c r="D108" s="4" t="str">
        <f>[1]Лист2!B101</f>
        <v>3-я КРАСНОАРМЕЙСКАЯ ул.</v>
      </c>
      <c r="E108" s="69">
        <f>[1]Лист2!C101</f>
        <v>8</v>
      </c>
      <c r="F108" s="197" t="str">
        <f>[1]Лист2!D101</f>
        <v>Б</v>
      </c>
      <c r="G108" s="64"/>
      <c r="H108" s="199">
        <v>129101</v>
      </c>
      <c r="I108" s="64" t="s">
        <v>234</v>
      </c>
      <c r="J108" s="4"/>
      <c r="K108" s="64" t="s">
        <v>232</v>
      </c>
      <c r="L108" s="4" t="s">
        <v>232</v>
      </c>
      <c r="M108" s="72">
        <v>1885</v>
      </c>
      <c r="N108" s="64" t="s">
        <v>385</v>
      </c>
      <c r="O108" s="73">
        <v>4</v>
      </c>
      <c r="P108" s="196">
        <v>0</v>
      </c>
      <c r="Q108" s="73">
        <v>2</v>
      </c>
      <c r="R108" s="74">
        <v>20</v>
      </c>
      <c r="S108" s="76">
        <v>652.6</v>
      </c>
      <c r="T108" s="82">
        <f t="shared" si="2"/>
        <v>593.5</v>
      </c>
      <c r="U108" s="77">
        <f t="shared" si="3"/>
        <v>593.5</v>
      </c>
      <c r="V108" s="78">
        <v>59.1</v>
      </c>
      <c r="W108" s="80" t="s">
        <v>233</v>
      </c>
      <c r="X108" s="81" t="s">
        <v>233</v>
      </c>
      <c r="Y108" s="4" t="s">
        <v>233</v>
      </c>
      <c r="Z108" s="81" t="s">
        <v>233</v>
      </c>
      <c r="AA108" s="64" t="s">
        <v>233</v>
      </c>
      <c r="AB108" s="81" t="s">
        <v>233</v>
      </c>
      <c r="AC108" s="64" t="s">
        <v>240</v>
      </c>
      <c r="AD108" s="64" t="s">
        <v>233</v>
      </c>
      <c r="AE108" s="64" t="s">
        <v>240</v>
      </c>
      <c r="AF108" s="209">
        <v>0</v>
      </c>
      <c r="AG108" s="4">
        <v>1</v>
      </c>
      <c r="AH108" s="64">
        <v>1</v>
      </c>
      <c r="AI108" s="4">
        <v>0</v>
      </c>
      <c r="AJ108" s="4">
        <v>0</v>
      </c>
      <c r="AK108" s="4">
        <v>0</v>
      </c>
    </row>
    <row r="109" spans="1:37" outlineLevel="1">
      <c r="A109" s="5">
        <v>102</v>
      </c>
      <c r="B109" s="64" t="s">
        <v>190</v>
      </c>
      <c r="C109" s="64" t="s">
        <v>235</v>
      </c>
      <c r="D109" s="4" t="str">
        <f>[1]Лист2!B102</f>
        <v>3-я КРАСНОАРМЕЙСКАЯ ул.</v>
      </c>
      <c r="E109" s="69">
        <f>[1]Лист2!C102</f>
        <v>8</v>
      </c>
      <c r="F109" s="197" t="str">
        <f>[1]Лист2!D102</f>
        <v>В</v>
      </c>
      <c r="G109" s="64"/>
      <c r="H109" s="199">
        <v>129102</v>
      </c>
      <c r="I109" s="64" t="s">
        <v>234</v>
      </c>
      <c r="J109" s="4"/>
      <c r="K109" s="64" t="s">
        <v>232</v>
      </c>
      <c r="L109" s="4" t="s">
        <v>232</v>
      </c>
      <c r="M109" s="72">
        <v>1885</v>
      </c>
      <c r="N109" s="64" t="s">
        <v>385</v>
      </c>
      <c r="O109" s="73">
        <v>2</v>
      </c>
      <c r="P109" s="196">
        <v>0</v>
      </c>
      <c r="Q109" s="73">
        <v>1</v>
      </c>
      <c r="R109" s="74">
        <v>4</v>
      </c>
      <c r="S109" s="76">
        <v>184.5</v>
      </c>
      <c r="T109" s="82">
        <f t="shared" si="2"/>
        <v>91.6</v>
      </c>
      <c r="U109" s="77">
        <f t="shared" si="3"/>
        <v>91.6</v>
      </c>
      <c r="V109" s="78">
        <v>92.9</v>
      </c>
      <c r="W109" s="80" t="s">
        <v>233</v>
      </c>
      <c r="X109" s="81" t="s">
        <v>233</v>
      </c>
      <c r="Y109" s="4" t="s">
        <v>233</v>
      </c>
      <c r="Z109" s="81" t="s">
        <v>233</v>
      </c>
      <c r="AA109" s="64" t="s">
        <v>233</v>
      </c>
      <c r="AB109" s="81" t="s">
        <v>233</v>
      </c>
      <c r="AC109" s="64" t="s">
        <v>240</v>
      </c>
      <c r="AD109" s="64" t="s">
        <v>233</v>
      </c>
      <c r="AE109" s="64" t="s">
        <v>240</v>
      </c>
      <c r="AF109" s="209">
        <v>0</v>
      </c>
      <c r="AG109" s="4">
        <v>1</v>
      </c>
      <c r="AH109" s="64">
        <v>1</v>
      </c>
      <c r="AI109" s="4">
        <v>0</v>
      </c>
      <c r="AJ109" s="4">
        <v>0</v>
      </c>
      <c r="AK109" s="4">
        <v>0</v>
      </c>
    </row>
    <row r="110" spans="1:37" outlineLevel="1">
      <c r="A110" s="63">
        <v>103</v>
      </c>
      <c r="B110" s="64" t="s">
        <v>190</v>
      </c>
      <c r="C110" s="64" t="s">
        <v>235</v>
      </c>
      <c r="D110" s="4" t="str">
        <f>[1]Лист2!B103</f>
        <v>3-я КРАСНОАРМЕЙСКАЯ ул.</v>
      </c>
      <c r="E110" s="69">
        <f>[1]Лист2!C103</f>
        <v>9</v>
      </c>
      <c r="F110" s="197" t="str">
        <f>[1]Лист2!D103</f>
        <v>А</v>
      </c>
      <c r="G110" s="4"/>
      <c r="H110" s="199">
        <v>129103</v>
      </c>
      <c r="I110" s="64" t="s">
        <v>234</v>
      </c>
      <c r="J110" s="4"/>
      <c r="K110" s="64" t="s">
        <v>232</v>
      </c>
      <c r="L110" s="4" t="s">
        <v>232</v>
      </c>
      <c r="M110" s="72">
        <v>1855</v>
      </c>
      <c r="N110" s="64" t="s">
        <v>385</v>
      </c>
      <c r="O110" s="73">
        <v>3</v>
      </c>
      <c r="P110" s="196">
        <v>0</v>
      </c>
      <c r="Q110" s="73">
        <v>6</v>
      </c>
      <c r="R110" s="74">
        <v>28</v>
      </c>
      <c r="S110" s="76">
        <v>1973.08</v>
      </c>
      <c r="T110" s="82">
        <f t="shared" si="2"/>
        <v>1627.6799999999998</v>
      </c>
      <c r="U110" s="77">
        <f t="shared" si="3"/>
        <v>1627.6799999999998</v>
      </c>
      <c r="V110" s="78">
        <v>345.4</v>
      </c>
      <c r="W110" s="80" t="s">
        <v>233</v>
      </c>
      <c r="X110" s="81" t="s">
        <v>233</v>
      </c>
      <c r="Y110" s="4" t="s">
        <v>233</v>
      </c>
      <c r="Z110" s="81" t="s">
        <v>233</v>
      </c>
      <c r="AA110" s="64" t="s">
        <v>233</v>
      </c>
      <c r="AB110" s="81" t="s">
        <v>233</v>
      </c>
      <c r="AC110" s="64" t="s">
        <v>240</v>
      </c>
      <c r="AD110" s="64" t="s">
        <v>233</v>
      </c>
      <c r="AE110" s="64" t="s">
        <v>240</v>
      </c>
      <c r="AF110" s="208">
        <v>0</v>
      </c>
      <c r="AG110" s="4">
        <v>1</v>
      </c>
      <c r="AH110" s="64">
        <v>1</v>
      </c>
      <c r="AI110" s="4">
        <v>0</v>
      </c>
      <c r="AJ110" s="4">
        <v>0</v>
      </c>
      <c r="AK110" s="4">
        <v>0</v>
      </c>
    </row>
    <row r="111" spans="1:37" outlineLevel="1">
      <c r="A111" s="63">
        <v>104</v>
      </c>
      <c r="B111" s="64" t="s">
        <v>190</v>
      </c>
      <c r="C111" s="64" t="s">
        <v>235</v>
      </c>
      <c r="D111" s="4" t="str">
        <f>[1]Лист2!B104</f>
        <v>4-я КРАСНОАРМЕЙСКАЯ ул.</v>
      </c>
      <c r="E111" s="69">
        <f>[1]Лист2!C104</f>
        <v>11</v>
      </c>
      <c r="F111" s="197" t="str">
        <f>[1]Лист2!D104</f>
        <v>А</v>
      </c>
      <c r="G111" s="4"/>
      <c r="H111" s="199">
        <v>129104</v>
      </c>
      <c r="I111" s="64" t="s">
        <v>234</v>
      </c>
      <c r="J111" s="4"/>
      <c r="K111" s="64" t="s">
        <v>232</v>
      </c>
      <c r="L111" s="4" t="s">
        <v>232</v>
      </c>
      <c r="M111" s="72">
        <v>1855</v>
      </c>
      <c r="N111" s="64" t="s">
        <v>385</v>
      </c>
      <c r="O111" s="73">
        <v>3</v>
      </c>
      <c r="P111" s="196">
        <v>0</v>
      </c>
      <c r="Q111" s="73">
        <v>3</v>
      </c>
      <c r="R111" s="74">
        <v>17</v>
      </c>
      <c r="S111" s="76">
        <v>812.5</v>
      </c>
      <c r="T111" s="82">
        <f t="shared" si="2"/>
        <v>579.29999999999995</v>
      </c>
      <c r="U111" s="77">
        <f t="shared" si="3"/>
        <v>579.29999999999995</v>
      </c>
      <c r="V111" s="78">
        <v>233.2</v>
      </c>
      <c r="W111" s="80" t="s">
        <v>233</v>
      </c>
      <c r="X111" s="81" t="s">
        <v>233</v>
      </c>
      <c r="Y111" s="4" t="s">
        <v>233</v>
      </c>
      <c r="Z111" s="81" t="s">
        <v>233</v>
      </c>
      <c r="AA111" s="64" t="s">
        <v>233</v>
      </c>
      <c r="AB111" s="81" t="s">
        <v>233</v>
      </c>
      <c r="AC111" s="64" t="s">
        <v>240</v>
      </c>
      <c r="AD111" s="64" t="s">
        <v>233</v>
      </c>
      <c r="AE111" s="64" t="s">
        <v>240</v>
      </c>
      <c r="AF111" s="208">
        <v>0</v>
      </c>
      <c r="AG111" s="4">
        <v>1</v>
      </c>
      <c r="AH111" s="64">
        <v>1</v>
      </c>
      <c r="AI111" s="4">
        <v>1</v>
      </c>
      <c r="AJ111" s="4">
        <v>1</v>
      </c>
      <c r="AK111" s="4">
        <v>0</v>
      </c>
    </row>
    <row r="112" spans="1:37" s="65" customFormat="1" outlineLevel="1">
      <c r="A112" s="5">
        <v>105</v>
      </c>
      <c r="B112" s="64" t="s">
        <v>190</v>
      </c>
      <c r="C112" s="64" t="s">
        <v>235</v>
      </c>
      <c r="D112" s="64" t="str">
        <f>[1]Лист2!B105</f>
        <v>4-я КРАСНОАРМЕЙСКАЯ ул.</v>
      </c>
      <c r="E112" s="71" t="s">
        <v>198</v>
      </c>
      <c r="F112" s="196" t="str">
        <f>[1]Лист2!D105</f>
        <v>А</v>
      </c>
      <c r="G112" s="64"/>
      <c r="H112" s="67">
        <v>129105</v>
      </c>
      <c r="I112" s="64" t="s">
        <v>234</v>
      </c>
      <c r="J112" s="64"/>
      <c r="K112" s="64" t="s">
        <v>232</v>
      </c>
      <c r="L112" s="64" t="s">
        <v>232</v>
      </c>
      <c r="M112" s="72">
        <v>1882</v>
      </c>
      <c r="N112" s="64" t="s">
        <v>385</v>
      </c>
      <c r="O112" s="73">
        <v>4</v>
      </c>
      <c r="P112" s="196">
        <v>0</v>
      </c>
      <c r="Q112" s="73">
        <v>3</v>
      </c>
      <c r="R112" s="74">
        <v>23</v>
      </c>
      <c r="S112" s="75">
        <v>1366.23</v>
      </c>
      <c r="T112" s="82">
        <f t="shared" si="2"/>
        <v>1006.23</v>
      </c>
      <c r="U112" s="77">
        <f t="shared" si="3"/>
        <v>1006.23</v>
      </c>
      <c r="V112" s="77">
        <v>360</v>
      </c>
      <c r="W112" s="80" t="s">
        <v>233</v>
      </c>
      <c r="X112" s="81" t="s">
        <v>233</v>
      </c>
      <c r="Y112" s="64" t="s">
        <v>233</v>
      </c>
      <c r="Z112" s="81" t="s">
        <v>233</v>
      </c>
      <c r="AA112" s="64" t="s">
        <v>233</v>
      </c>
      <c r="AB112" s="81" t="s">
        <v>233</v>
      </c>
      <c r="AC112" s="64" t="s">
        <v>240</v>
      </c>
      <c r="AD112" s="64" t="s">
        <v>233</v>
      </c>
      <c r="AE112" s="64" t="s">
        <v>240</v>
      </c>
      <c r="AF112" s="208">
        <v>0</v>
      </c>
      <c r="AG112" s="4">
        <v>1</v>
      </c>
      <c r="AH112" s="64">
        <v>1</v>
      </c>
      <c r="AI112" s="64">
        <v>1</v>
      </c>
      <c r="AJ112" s="64">
        <v>1</v>
      </c>
      <c r="AK112" s="64">
        <v>0</v>
      </c>
    </row>
    <row r="113" spans="1:37" outlineLevel="1">
      <c r="A113" s="5">
        <v>106</v>
      </c>
      <c r="B113" s="64" t="s">
        <v>190</v>
      </c>
      <c r="C113" s="64" t="s">
        <v>235</v>
      </c>
      <c r="D113" s="4" t="str">
        <f>[1]Лист2!B106</f>
        <v>4-я КРАСНОАРМЕЙСКАЯ ул.</v>
      </c>
      <c r="E113" s="69">
        <f>[1]Лист2!C106</f>
        <v>13</v>
      </c>
      <c r="F113" s="197" t="str">
        <f>[1]Лист2!D106</f>
        <v>А</v>
      </c>
      <c r="G113" s="64"/>
      <c r="H113" s="199">
        <v>129106</v>
      </c>
      <c r="I113" s="64" t="s">
        <v>234</v>
      </c>
      <c r="J113" s="4"/>
      <c r="K113" s="64" t="s">
        <v>232</v>
      </c>
      <c r="L113" s="4" t="s">
        <v>232</v>
      </c>
      <c r="M113" s="72">
        <v>1852</v>
      </c>
      <c r="N113" s="64" t="s">
        <v>385</v>
      </c>
      <c r="O113" s="73">
        <v>4</v>
      </c>
      <c r="P113" s="196">
        <v>0</v>
      </c>
      <c r="Q113" s="73">
        <v>2</v>
      </c>
      <c r="R113" s="74">
        <v>21</v>
      </c>
      <c r="S113" s="76">
        <v>1119.5</v>
      </c>
      <c r="T113" s="82">
        <f t="shared" si="2"/>
        <v>580.4</v>
      </c>
      <c r="U113" s="77">
        <f t="shared" si="3"/>
        <v>580.4</v>
      </c>
      <c r="V113" s="78">
        <v>539.1</v>
      </c>
      <c r="W113" s="80" t="s">
        <v>233</v>
      </c>
      <c r="X113" s="81" t="s">
        <v>233</v>
      </c>
      <c r="Y113" s="4" t="s">
        <v>233</v>
      </c>
      <c r="Z113" s="81" t="s">
        <v>233</v>
      </c>
      <c r="AA113" s="64" t="s">
        <v>233</v>
      </c>
      <c r="AB113" s="81" t="s">
        <v>233</v>
      </c>
      <c r="AC113" s="64" t="s">
        <v>240</v>
      </c>
      <c r="AD113" s="64" t="s">
        <v>233</v>
      </c>
      <c r="AE113" s="64" t="s">
        <v>240</v>
      </c>
      <c r="AF113" s="208">
        <v>0</v>
      </c>
      <c r="AG113" s="4">
        <v>1</v>
      </c>
      <c r="AH113" s="64">
        <v>1</v>
      </c>
      <c r="AI113" s="4">
        <v>0</v>
      </c>
      <c r="AJ113" s="4">
        <v>0</v>
      </c>
      <c r="AK113" s="4">
        <v>0</v>
      </c>
    </row>
    <row r="114" spans="1:37" outlineLevel="1">
      <c r="A114" s="5">
        <v>107</v>
      </c>
      <c r="B114" s="64" t="s">
        <v>190</v>
      </c>
      <c r="C114" s="64" t="s">
        <v>235</v>
      </c>
      <c r="D114" s="4" t="str">
        <f>[1]Лист2!B107</f>
        <v>4-я КРАСНОАРМЕЙСКАЯ ул.</v>
      </c>
      <c r="E114" s="69">
        <f>[1]Лист2!C107</f>
        <v>13</v>
      </c>
      <c r="F114" s="197" t="str">
        <f>[1]Лист2!D107</f>
        <v>Ж</v>
      </c>
      <c r="G114" s="4"/>
      <c r="H114" s="199">
        <v>129107</v>
      </c>
      <c r="I114" s="64" t="s">
        <v>234</v>
      </c>
      <c r="J114" s="4"/>
      <c r="K114" s="64" t="s">
        <v>232</v>
      </c>
      <c r="L114" s="4" t="s">
        <v>232</v>
      </c>
      <c r="M114" s="72">
        <v>1914</v>
      </c>
      <c r="N114" s="64" t="s">
        <v>385</v>
      </c>
      <c r="O114" s="73">
        <v>2</v>
      </c>
      <c r="P114" s="196">
        <v>0</v>
      </c>
      <c r="Q114" s="73">
        <v>1</v>
      </c>
      <c r="R114" s="74">
        <v>4</v>
      </c>
      <c r="S114" s="76">
        <v>93.2</v>
      </c>
      <c r="T114" s="82">
        <f t="shared" si="2"/>
        <v>93.2</v>
      </c>
      <c r="U114" s="77">
        <f t="shared" si="3"/>
        <v>93.2</v>
      </c>
      <c r="V114" s="78">
        <v>0</v>
      </c>
      <c r="W114" s="80" t="s">
        <v>233</v>
      </c>
      <c r="X114" s="81" t="s">
        <v>233</v>
      </c>
      <c r="Y114" s="4" t="s">
        <v>233</v>
      </c>
      <c r="Z114" s="81" t="s">
        <v>233</v>
      </c>
      <c r="AA114" s="64" t="s">
        <v>233</v>
      </c>
      <c r="AB114" s="81" t="s">
        <v>233</v>
      </c>
      <c r="AC114" s="64" t="s">
        <v>240</v>
      </c>
      <c r="AD114" s="64" t="s">
        <v>233</v>
      </c>
      <c r="AE114" s="64" t="s">
        <v>240</v>
      </c>
      <c r="AF114" s="209">
        <v>0</v>
      </c>
      <c r="AG114" s="4">
        <v>1</v>
      </c>
      <c r="AH114" s="64">
        <v>1</v>
      </c>
      <c r="AI114" s="4">
        <v>0</v>
      </c>
      <c r="AJ114" s="4">
        <v>0</v>
      </c>
      <c r="AK114" s="4">
        <v>0</v>
      </c>
    </row>
    <row r="115" spans="1:37" outlineLevel="1">
      <c r="A115" s="5">
        <v>108</v>
      </c>
      <c r="B115" s="64" t="s">
        <v>190</v>
      </c>
      <c r="C115" s="64" t="s">
        <v>235</v>
      </c>
      <c r="D115" s="4" t="str">
        <f>[1]Лист2!B108</f>
        <v>4-я КРАСНОАРМЕЙСКАЯ ул.</v>
      </c>
      <c r="E115" s="69">
        <f>[1]Лист2!C108</f>
        <v>14</v>
      </c>
      <c r="F115" s="197" t="str">
        <f>[1]Лист2!D108</f>
        <v>А</v>
      </c>
      <c r="G115" s="4"/>
      <c r="H115" s="199">
        <v>129108</v>
      </c>
      <c r="I115" s="64" t="s">
        <v>234</v>
      </c>
      <c r="J115" s="4"/>
      <c r="K115" s="64" t="s">
        <v>232</v>
      </c>
      <c r="L115" s="4" t="s">
        <v>232</v>
      </c>
      <c r="M115" s="72">
        <v>1908</v>
      </c>
      <c r="N115" s="64" t="s">
        <v>385</v>
      </c>
      <c r="O115" s="73">
        <v>5</v>
      </c>
      <c r="P115" s="196">
        <v>0</v>
      </c>
      <c r="Q115" s="73">
        <v>1</v>
      </c>
      <c r="R115" s="74">
        <v>55</v>
      </c>
      <c r="S115" s="76">
        <v>3404.6499999999996</v>
      </c>
      <c r="T115" s="82">
        <f t="shared" si="2"/>
        <v>2604.6499999999996</v>
      </c>
      <c r="U115" s="77">
        <f t="shared" si="3"/>
        <v>2604.6499999999996</v>
      </c>
      <c r="V115" s="78">
        <v>800</v>
      </c>
      <c r="W115" s="80" t="s">
        <v>233</v>
      </c>
      <c r="X115" s="81" t="s">
        <v>233</v>
      </c>
      <c r="Y115" s="4" t="s">
        <v>233</v>
      </c>
      <c r="Z115" s="81" t="s">
        <v>233</v>
      </c>
      <c r="AA115" s="64" t="s">
        <v>233</v>
      </c>
      <c r="AB115" s="81" t="s">
        <v>233</v>
      </c>
      <c r="AC115" s="64" t="s">
        <v>240</v>
      </c>
      <c r="AD115" s="64" t="s">
        <v>233</v>
      </c>
      <c r="AE115" s="64" t="s">
        <v>240</v>
      </c>
      <c r="AF115" s="208">
        <v>1</v>
      </c>
      <c r="AG115" s="4">
        <v>2</v>
      </c>
      <c r="AH115" s="64">
        <v>1</v>
      </c>
      <c r="AI115" s="4">
        <v>1</v>
      </c>
      <c r="AJ115" s="4">
        <v>1</v>
      </c>
      <c r="AK115" s="4">
        <v>0</v>
      </c>
    </row>
    <row r="116" spans="1:37" outlineLevel="1">
      <c r="A116" s="63">
        <v>109</v>
      </c>
      <c r="B116" s="64" t="s">
        <v>190</v>
      </c>
      <c r="C116" s="64" t="s">
        <v>235</v>
      </c>
      <c r="D116" s="4" t="str">
        <f>[1]Лист2!B109</f>
        <v>4-я КРАСНОАРМЕЙСКАЯ ул.</v>
      </c>
      <c r="E116" s="69">
        <f>[1]Лист2!C109</f>
        <v>15</v>
      </c>
      <c r="F116" s="197" t="str">
        <f>[1]Лист2!D109</f>
        <v>А</v>
      </c>
      <c r="G116" s="64"/>
      <c r="H116" s="199">
        <v>129109</v>
      </c>
      <c r="I116" s="64" t="s">
        <v>234</v>
      </c>
      <c r="J116" s="4"/>
      <c r="K116" s="64" t="s">
        <v>232</v>
      </c>
      <c r="L116" s="4" t="s">
        <v>232</v>
      </c>
      <c r="M116" s="72">
        <v>1862</v>
      </c>
      <c r="N116" s="64" t="s">
        <v>385</v>
      </c>
      <c r="O116" s="73">
        <v>4</v>
      </c>
      <c r="P116" s="196">
        <v>0</v>
      </c>
      <c r="Q116" s="73">
        <v>3</v>
      </c>
      <c r="R116" s="74">
        <v>10</v>
      </c>
      <c r="S116" s="76">
        <v>515.5</v>
      </c>
      <c r="T116" s="82">
        <f t="shared" si="2"/>
        <v>431.2</v>
      </c>
      <c r="U116" s="77">
        <f t="shared" si="3"/>
        <v>431.2</v>
      </c>
      <c r="V116" s="78">
        <v>84.3</v>
      </c>
      <c r="W116" s="80" t="s">
        <v>233</v>
      </c>
      <c r="X116" s="81" t="s">
        <v>233</v>
      </c>
      <c r="Y116" s="4" t="s">
        <v>233</v>
      </c>
      <c r="Z116" s="81" t="s">
        <v>233</v>
      </c>
      <c r="AA116" s="64" t="s">
        <v>233</v>
      </c>
      <c r="AB116" s="81" t="s">
        <v>233</v>
      </c>
      <c r="AC116" s="64" t="s">
        <v>240</v>
      </c>
      <c r="AD116" s="64" t="s">
        <v>233</v>
      </c>
      <c r="AE116" s="64" t="s">
        <v>240</v>
      </c>
      <c r="AF116" s="208">
        <v>0</v>
      </c>
      <c r="AG116" s="4">
        <v>1</v>
      </c>
      <c r="AH116" s="64">
        <v>1</v>
      </c>
      <c r="AI116" s="4">
        <v>0</v>
      </c>
      <c r="AJ116" s="4">
        <v>0</v>
      </c>
      <c r="AK116" s="4">
        <v>0</v>
      </c>
    </row>
    <row r="117" spans="1:37" outlineLevel="1">
      <c r="A117" s="63">
        <v>110</v>
      </c>
      <c r="B117" s="64" t="s">
        <v>190</v>
      </c>
      <c r="C117" s="64" t="s">
        <v>235</v>
      </c>
      <c r="D117" s="4" t="str">
        <f>[1]Лист2!B110</f>
        <v>4-я КРАСНОАРМЕЙСКАЯ ул.</v>
      </c>
      <c r="E117" s="69">
        <f>[1]Лист2!C110</f>
        <v>16</v>
      </c>
      <c r="F117" s="197" t="str">
        <f>[1]Лист2!D110</f>
        <v>А</v>
      </c>
      <c r="G117" s="64"/>
      <c r="H117" s="199">
        <v>129110</v>
      </c>
      <c r="I117" s="64" t="s">
        <v>234</v>
      </c>
      <c r="J117" s="4"/>
      <c r="K117" s="64" t="s">
        <v>232</v>
      </c>
      <c r="L117" s="4" t="s">
        <v>232</v>
      </c>
      <c r="M117" s="72">
        <v>1893</v>
      </c>
      <c r="N117" s="64" t="s">
        <v>385</v>
      </c>
      <c r="O117" s="73">
        <v>6</v>
      </c>
      <c r="P117" s="196">
        <v>0</v>
      </c>
      <c r="Q117" s="73">
        <v>2</v>
      </c>
      <c r="R117" s="74">
        <v>4</v>
      </c>
      <c r="S117" s="76">
        <v>2047.32</v>
      </c>
      <c r="T117" s="82">
        <f t="shared" si="2"/>
        <v>1332.32</v>
      </c>
      <c r="U117" s="77">
        <f t="shared" si="3"/>
        <v>1332.32</v>
      </c>
      <c r="V117" s="78">
        <v>715</v>
      </c>
      <c r="W117" s="80" t="s">
        <v>233</v>
      </c>
      <c r="X117" s="81" t="s">
        <v>233</v>
      </c>
      <c r="Y117" s="4" t="s">
        <v>233</v>
      </c>
      <c r="Z117" s="81" t="s">
        <v>233</v>
      </c>
      <c r="AA117" s="64" t="s">
        <v>233</v>
      </c>
      <c r="AB117" s="81" t="s">
        <v>233</v>
      </c>
      <c r="AC117" s="64" t="s">
        <v>240</v>
      </c>
      <c r="AD117" s="64" t="s">
        <v>233</v>
      </c>
      <c r="AE117" s="64" t="s">
        <v>240</v>
      </c>
      <c r="AF117" s="208">
        <v>0</v>
      </c>
      <c r="AG117" s="4">
        <v>1</v>
      </c>
      <c r="AH117" s="64">
        <v>1</v>
      </c>
      <c r="AI117" s="4">
        <v>0</v>
      </c>
      <c r="AJ117" s="4">
        <v>0</v>
      </c>
      <c r="AK117" s="4">
        <v>0</v>
      </c>
    </row>
    <row r="118" spans="1:37" outlineLevel="1">
      <c r="A118" s="5">
        <v>111</v>
      </c>
      <c r="B118" s="64" t="s">
        <v>190</v>
      </c>
      <c r="C118" s="64" t="s">
        <v>235</v>
      </c>
      <c r="D118" s="4" t="str">
        <f>[1]Лист2!B111</f>
        <v>4-я КРАСНОАРМЕЙСКАЯ ул.</v>
      </c>
      <c r="E118" s="69">
        <f>[1]Лист2!C111</f>
        <v>17</v>
      </c>
      <c r="F118" s="197" t="str">
        <f>[1]Лист2!D111</f>
        <v>А</v>
      </c>
      <c r="G118" s="4"/>
      <c r="H118" s="199">
        <v>129111</v>
      </c>
      <c r="I118" s="64" t="s">
        <v>234</v>
      </c>
      <c r="J118" s="4"/>
      <c r="K118" s="64" t="s">
        <v>232</v>
      </c>
      <c r="L118" s="4" t="s">
        <v>232</v>
      </c>
      <c r="M118" s="72">
        <v>1855</v>
      </c>
      <c r="N118" s="64" t="s">
        <v>385</v>
      </c>
      <c r="O118" s="73">
        <v>4</v>
      </c>
      <c r="P118" s="196">
        <v>0</v>
      </c>
      <c r="Q118" s="73">
        <v>9</v>
      </c>
      <c r="R118" s="74">
        <v>37</v>
      </c>
      <c r="S118" s="76">
        <v>1431.5</v>
      </c>
      <c r="T118" s="82">
        <f t="shared" si="2"/>
        <v>1286.5</v>
      </c>
      <c r="U118" s="77">
        <f t="shared" si="3"/>
        <v>1286.5</v>
      </c>
      <c r="V118" s="78">
        <v>145</v>
      </c>
      <c r="W118" s="80" t="s">
        <v>233</v>
      </c>
      <c r="X118" s="81" t="s">
        <v>233</v>
      </c>
      <c r="Y118" s="4" t="s">
        <v>233</v>
      </c>
      <c r="Z118" s="81" t="s">
        <v>233</v>
      </c>
      <c r="AA118" s="64" t="s">
        <v>233</v>
      </c>
      <c r="AB118" s="81" t="s">
        <v>233</v>
      </c>
      <c r="AC118" s="64" t="s">
        <v>240</v>
      </c>
      <c r="AD118" s="64" t="s">
        <v>233</v>
      </c>
      <c r="AE118" s="64" t="s">
        <v>240</v>
      </c>
      <c r="AF118" s="208">
        <v>0</v>
      </c>
      <c r="AG118" s="4">
        <v>1</v>
      </c>
      <c r="AH118" s="64">
        <v>1</v>
      </c>
      <c r="AI118" s="4">
        <v>1</v>
      </c>
      <c r="AJ118" s="4">
        <v>1</v>
      </c>
      <c r="AK118" s="4">
        <v>0</v>
      </c>
    </row>
    <row r="119" spans="1:37" outlineLevel="1">
      <c r="A119" s="5">
        <v>112</v>
      </c>
      <c r="B119" s="64" t="s">
        <v>190</v>
      </c>
      <c r="C119" s="64" t="s">
        <v>235</v>
      </c>
      <c r="D119" s="4" t="str">
        <f>[1]Лист2!B112</f>
        <v>4-я КРАСНОАРМЕЙСКАЯ ул.</v>
      </c>
      <c r="E119" s="69" t="str">
        <f>[1]Лист2!C112</f>
        <v>18б</v>
      </c>
      <c r="F119" s="197" t="str">
        <f>[1]Лист2!D112</f>
        <v>А</v>
      </c>
      <c r="G119" s="4"/>
      <c r="H119" s="199">
        <v>129112</v>
      </c>
      <c r="I119" s="64" t="s">
        <v>234</v>
      </c>
      <c r="J119" s="4"/>
      <c r="K119" s="64" t="s">
        <v>232</v>
      </c>
      <c r="L119" s="4" t="s">
        <v>232</v>
      </c>
      <c r="M119" s="72">
        <v>1906</v>
      </c>
      <c r="N119" s="64" t="s">
        <v>385</v>
      </c>
      <c r="O119" s="73">
        <v>4</v>
      </c>
      <c r="P119" s="196">
        <v>0</v>
      </c>
      <c r="Q119" s="73">
        <v>4</v>
      </c>
      <c r="R119" s="74">
        <v>42</v>
      </c>
      <c r="S119" s="76">
        <v>2809</v>
      </c>
      <c r="T119" s="82">
        <f t="shared" si="2"/>
        <v>2499.38</v>
      </c>
      <c r="U119" s="77">
        <f t="shared" si="3"/>
        <v>2499.38</v>
      </c>
      <c r="V119" s="78">
        <v>309.62</v>
      </c>
      <c r="W119" s="80" t="s">
        <v>233</v>
      </c>
      <c r="X119" s="81" t="s">
        <v>233</v>
      </c>
      <c r="Y119" s="4" t="s">
        <v>233</v>
      </c>
      <c r="Z119" s="81" t="s">
        <v>233</v>
      </c>
      <c r="AA119" s="64" t="s">
        <v>233</v>
      </c>
      <c r="AB119" s="81" t="s">
        <v>233</v>
      </c>
      <c r="AC119" s="64" t="s">
        <v>240</v>
      </c>
      <c r="AD119" s="64" t="s">
        <v>233</v>
      </c>
      <c r="AE119" s="64" t="s">
        <v>240</v>
      </c>
      <c r="AF119" s="208">
        <v>2</v>
      </c>
      <c r="AG119" s="4">
        <v>1</v>
      </c>
      <c r="AH119" s="64">
        <v>1</v>
      </c>
      <c r="AI119" s="4">
        <v>0</v>
      </c>
      <c r="AJ119" s="4">
        <v>0</v>
      </c>
      <c r="AK119" s="4">
        <v>0</v>
      </c>
    </row>
    <row r="120" spans="1:37" s="65" customFormat="1" outlineLevel="1">
      <c r="A120" s="5">
        <v>113</v>
      </c>
      <c r="B120" s="64" t="s">
        <v>190</v>
      </c>
      <c r="C120" s="64" t="s">
        <v>235</v>
      </c>
      <c r="D120" s="64" t="str">
        <f>[1]Лист2!B113</f>
        <v>4-я КРАСНОАРМЕЙСКАЯ ул.</v>
      </c>
      <c r="E120" s="71" t="s">
        <v>199</v>
      </c>
      <c r="F120" s="196" t="str">
        <f>[1]Лист2!D113</f>
        <v>А</v>
      </c>
      <c r="G120" s="64"/>
      <c r="H120" s="67">
        <v>129113</v>
      </c>
      <c r="I120" s="64" t="s">
        <v>234</v>
      </c>
      <c r="J120" s="64"/>
      <c r="K120" s="64" t="s">
        <v>232</v>
      </c>
      <c r="L120" s="64" t="s">
        <v>232</v>
      </c>
      <c r="M120" s="72">
        <v>1881</v>
      </c>
      <c r="N120" s="64" t="s">
        <v>385</v>
      </c>
      <c r="O120" s="73">
        <v>4</v>
      </c>
      <c r="P120" s="196">
        <v>0</v>
      </c>
      <c r="Q120" s="73">
        <v>3</v>
      </c>
      <c r="R120" s="74">
        <v>99</v>
      </c>
      <c r="S120" s="75">
        <v>5531.2699999999995</v>
      </c>
      <c r="T120" s="82">
        <f t="shared" si="2"/>
        <v>4453.8599999999997</v>
      </c>
      <c r="U120" s="77">
        <f t="shared" si="3"/>
        <v>4453.8599999999997</v>
      </c>
      <c r="V120" s="77">
        <v>1077.4100000000001</v>
      </c>
      <c r="W120" s="80" t="s">
        <v>233</v>
      </c>
      <c r="X120" s="81" t="s">
        <v>233</v>
      </c>
      <c r="Y120" s="64" t="s">
        <v>233</v>
      </c>
      <c r="Z120" s="81" t="s">
        <v>233</v>
      </c>
      <c r="AA120" s="64" t="s">
        <v>233</v>
      </c>
      <c r="AB120" s="81" t="s">
        <v>233</v>
      </c>
      <c r="AC120" s="64" t="s">
        <v>240</v>
      </c>
      <c r="AD120" s="64" t="s">
        <v>233</v>
      </c>
      <c r="AE120" s="64" t="s">
        <v>240</v>
      </c>
      <c r="AF120" s="208">
        <v>0</v>
      </c>
      <c r="AG120" s="4">
        <v>2</v>
      </c>
      <c r="AH120" s="64">
        <v>1</v>
      </c>
      <c r="AI120" s="64">
        <v>1</v>
      </c>
      <c r="AJ120" s="64">
        <v>1</v>
      </c>
      <c r="AK120" s="64">
        <v>0</v>
      </c>
    </row>
    <row r="121" spans="1:37" s="65" customFormat="1" outlineLevel="1">
      <c r="A121" s="5">
        <v>114</v>
      </c>
      <c r="B121" s="64" t="s">
        <v>190</v>
      </c>
      <c r="C121" s="64" t="s">
        <v>235</v>
      </c>
      <c r="D121" s="64" t="str">
        <f>[1]Лист2!B114</f>
        <v>4-я КРАСНОАРМЕЙСКАЯ ул.</v>
      </c>
      <c r="E121" s="71" t="s">
        <v>200</v>
      </c>
      <c r="F121" s="196" t="str">
        <f>[1]Лист2!D114</f>
        <v>А</v>
      </c>
      <c r="G121" s="64"/>
      <c r="H121" s="67">
        <v>129114</v>
      </c>
      <c r="I121" s="64" t="s">
        <v>234</v>
      </c>
      <c r="J121" s="64"/>
      <c r="K121" s="64" t="s">
        <v>232</v>
      </c>
      <c r="L121" s="64" t="s">
        <v>232</v>
      </c>
      <c r="M121" s="72">
        <v>1910</v>
      </c>
      <c r="N121" s="64" t="s">
        <v>385</v>
      </c>
      <c r="O121" s="73">
        <v>5</v>
      </c>
      <c r="P121" s="196">
        <v>0</v>
      </c>
      <c r="Q121" s="73">
        <v>2</v>
      </c>
      <c r="R121" s="74">
        <v>15</v>
      </c>
      <c r="S121" s="75">
        <v>1900.74</v>
      </c>
      <c r="T121" s="82">
        <f t="shared" si="2"/>
        <v>1043.74</v>
      </c>
      <c r="U121" s="77">
        <f t="shared" si="3"/>
        <v>1043.74</v>
      </c>
      <c r="V121" s="77">
        <v>857</v>
      </c>
      <c r="W121" s="80" t="s">
        <v>233</v>
      </c>
      <c r="X121" s="81" t="s">
        <v>233</v>
      </c>
      <c r="Y121" s="64" t="s">
        <v>233</v>
      </c>
      <c r="Z121" s="81" t="s">
        <v>233</v>
      </c>
      <c r="AA121" s="64" t="s">
        <v>233</v>
      </c>
      <c r="AB121" s="81" t="s">
        <v>233</v>
      </c>
      <c r="AC121" s="64" t="s">
        <v>240</v>
      </c>
      <c r="AD121" s="64" t="s">
        <v>233</v>
      </c>
      <c r="AE121" s="64" t="s">
        <v>240</v>
      </c>
      <c r="AF121" s="208">
        <v>0</v>
      </c>
      <c r="AG121" s="4">
        <v>1</v>
      </c>
      <c r="AH121" s="64">
        <v>1</v>
      </c>
      <c r="AI121" s="64">
        <v>1</v>
      </c>
      <c r="AJ121" s="64">
        <v>1</v>
      </c>
      <c r="AK121" s="64">
        <v>0</v>
      </c>
    </row>
    <row r="122" spans="1:37" outlineLevel="1">
      <c r="A122" s="63">
        <v>115</v>
      </c>
      <c r="B122" s="64" t="s">
        <v>190</v>
      </c>
      <c r="C122" s="64" t="s">
        <v>235</v>
      </c>
      <c r="D122" s="4" t="str">
        <f>[1]Лист2!B115</f>
        <v>4-я КРАСНОАРМЕЙСКАЯ ул.</v>
      </c>
      <c r="E122" s="69">
        <f>[1]Лист2!C115</f>
        <v>3</v>
      </c>
      <c r="F122" s="197" t="str">
        <f>[1]Лист2!D115</f>
        <v>А</v>
      </c>
      <c r="G122" s="4"/>
      <c r="H122" s="199">
        <v>129115</v>
      </c>
      <c r="I122" s="64" t="s">
        <v>234</v>
      </c>
      <c r="J122" s="4"/>
      <c r="K122" s="64" t="s">
        <v>232</v>
      </c>
      <c r="L122" s="4" t="s">
        <v>232</v>
      </c>
      <c r="M122" s="72">
        <v>1860</v>
      </c>
      <c r="N122" s="64" t="s">
        <v>385</v>
      </c>
      <c r="O122" s="73">
        <v>4</v>
      </c>
      <c r="P122" s="196">
        <v>0</v>
      </c>
      <c r="Q122" s="73">
        <v>2</v>
      </c>
      <c r="R122" s="74">
        <v>53</v>
      </c>
      <c r="S122" s="76">
        <v>1920.02</v>
      </c>
      <c r="T122" s="82">
        <f t="shared" si="2"/>
        <v>1647.02</v>
      </c>
      <c r="U122" s="77">
        <f t="shared" si="3"/>
        <v>1647.02</v>
      </c>
      <c r="V122" s="78">
        <v>273</v>
      </c>
      <c r="W122" s="80" t="s">
        <v>233</v>
      </c>
      <c r="X122" s="81" t="s">
        <v>233</v>
      </c>
      <c r="Y122" s="4" t="s">
        <v>233</v>
      </c>
      <c r="Z122" s="81" t="s">
        <v>233</v>
      </c>
      <c r="AA122" s="64" t="s">
        <v>233</v>
      </c>
      <c r="AB122" s="81" t="s">
        <v>233</v>
      </c>
      <c r="AC122" s="64" t="s">
        <v>240</v>
      </c>
      <c r="AD122" s="64" t="s">
        <v>233</v>
      </c>
      <c r="AE122" s="64" t="s">
        <v>240</v>
      </c>
      <c r="AF122" s="208">
        <v>0</v>
      </c>
      <c r="AG122" s="4">
        <v>1</v>
      </c>
      <c r="AH122" s="64">
        <v>1</v>
      </c>
      <c r="AI122" s="4">
        <v>1</v>
      </c>
      <c r="AJ122" s="4">
        <v>1</v>
      </c>
      <c r="AK122" s="4">
        <v>0</v>
      </c>
    </row>
    <row r="123" spans="1:37" outlineLevel="1">
      <c r="A123" s="63">
        <v>116</v>
      </c>
      <c r="B123" s="64" t="s">
        <v>190</v>
      </c>
      <c r="C123" s="64" t="s">
        <v>235</v>
      </c>
      <c r="D123" s="4" t="str">
        <f>[1]Лист2!B116</f>
        <v>4-я КРАСНОАРМЕЙСКАЯ ул.</v>
      </c>
      <c r="E123" s="69">
        <f>[1]Лист2!C116</f>
        <v>4</v>
      </c>
      <c r="F123" s="197" t="str">
        <f>[1]Лист2!D116</f>
        <v>А</v>
      </c>
      <c r="G123" s="4"/>
      <c r="H123" s="199">
        <v>129116</v>
      </c>
      <c r="I123" s="64" t="s">
        <v>234</v>
      </c>
      <c r="J123" s="4"/>
      <c r="K123" s="64" t="s">
        <v>232</v>
      </c>
      <c r="L123" s="4" t="s">
        <v>232</v>
      </c>
      <c r="M123" s="72">
        <v>1892</v>
      </c>
      <c r="N123" s="64" t="s">
        <v>385</v>
      </c>
      <c r="O123" s="73">
        <v>5</v>
      </c>
      <c r="P123" s="196">
        <v>0</v>
      </c>
      <c r="Q123" s="73">
        <v>2</v>
      </c>
      <c r="R123" s="74">
        <v>56</v>
      </c>
      <c r="S123" s="76">
        <v>1566.9999999999998</v>
      </c>
      <c r="T123" s="82">
        <f t="shared" si="2"/>
        <v>1481.3999999999999</v>
      </c>
      <c r="U123" s="77">
        <f t="shared" si="3"/>
        <v>1481.3999999999999</v>
      </c>
      <c r="V123" s="78">
        <v>85.6</v>
      </c>
      <c r="W123" s="80" t="s">
        <v>233</v>
      </c>
      <c r="X123" s="81" t="s">
        <v>233</v>
      </c>
      <c r="Y123" s="4" t="s">
        <v>233</v>
      </c>
      <c r="Z123" s="81" t="s">
        <v>233</v>
      </c>
      <c r="AA123" s="64" t="s">
        <v>233</v>
      </c>
      <c r="AB123" s="81" t="s">
        <v>233</v>
      </c>
      <c r="AC123" s="64" t="s">
        <v>240</v>
      </c>
      <c r="AD123" s="64" t="s">
        <v>233</v>
      </c>
      <c r="AE123" s="64" t="s">
        <v>240</v>
      </c>
      <c r="AF123" s="208">
        <v>0</v>
      </c>
      <c r="AG123" s="4">
        <v>1</v>
      </c>
      <c r="AH123" s="64">
        <v>1</v>
      </c>
      <c r="AI123" s="4">
        <v>0</v>
      </c>
      <c r="AJ123" s="4">
        <v>0</v>
      </c>
      <c r="AK123" s="4">
        <v>0</v>
      </c>
    </row>
    <row r="124" spans="1:37" outlineLevel="1">
      <c r="A124" s="5">
        <v>117</v>
      </c>
      <c r="B124" s="64" t="s">
        <v>190</v>
      </c>
      <c r="C124" s="64" t="s">
        <v>235</v>
      </c>
      <c r="D124" s="4" t="str">
        <f>[1]Лист2!B117</f>
        <v>4-я КРАСНОАРМЕЙСКАЯ ул.</v>
      </c>
      <c r="E124" s="69">
        <f>[1]Лист2!C117</f>
        <v>5</v>
      </c>
      <c r="F124" s="197" t="str">
        <f>[1]Лист2!D117</f>
        <v>А</v>
      </c>
      <c r="G124" s="64"/>
      <c r="H124" s="199">
        <v>129117</v>
      </c>
      <c r="I124" s="64" t="s">
        <v>234</v>
      </c>
      <c r="J124" s="4"/>
      <c r="K124" s="64" t="s">
        <v>232</v>
      </c>
      <c r="L124" s="4" t="s">
        <v>232</v>
      </c>
      <c r="M124" s="72">
        <v>1894</v>
      </c>
      <c r="N124" s="64" t="s">
        <v>385</v>
      </c>
      <c r="O124" s="73">
        <v>4</v>
      </c>
      <c r="P124" s="196">
        <v>0</v>
      </c>
      <c r="Q124" s="73">
        <v>3</v>
      </c>
      <c r="R124" s="74">
        <v>35</v>
      </c>
      <c r="S124" s="76">
        <v>1542.91</v>
      </c>
      <c r="T124" s="82">
        <f t="shared" si="2"/>
        <v>1242.9100000000001</v>
      </c>
      <c r="U124" s="77">
        <f t="shared" si="3"/>
        <v>1242.9100000000001</v>
      </c>
      <c r="V124" s="78">
        <v>300</v>
      </c>
      <c r="W124" s="80" t="s">
        <v>233</v>
      </c>
      <c r="X124" s="81" t="s">
        <v>233</v>
      </c>
      <c r="Y124" s="4" t="s">
        <v>233</v>
      </c>
      <c r="Z124" s="81" t="s">
        <v>233</v>
      </c>
      <c r="AA124" s="64" t="s">
        <v>233</v>
      </c>
      <c r="AB124" s="81" t="s">
        <v>233</v>
      </c>
      <c r="AC124" s="64" t="s">
        <v>240</v>
      </c>
      <c r="AD124" s="64" t="s">
        <v>233</v>
      </c>
      <c r="AE124" s="64" t="s">
        <v>240</v>
      </c>
      <c r="AF124" s="208">
        <v>0</v>
      </c>
      <c r="AG124" s="4">
        <v>1</v>
      </c>
      <c r="AH124" s="64">
        <v>1</v>
      </c>
      <c r="AI124" s="4">
        <v>1</v>
      </c>
      <c r="AJ124" s="4">
        <v>1</v>
      </c>
      <c r="AK124" s="4">
        <v>0</v>
      </c>
    </row>
    <row r="125" spans="1:37" outlineLevel="1">
      <c r="A125" s="5">
        <v>118</v>
      </c>
      <c r="B125" s="64" t="s">
        <v>190</v>
      </c>
      <c r="C125" s="64" t="s">
        <v>235</v>
      </c>
      <c r="D125" s="4" t="str">
        <f>[1]Лист2!B118</f>
        <v>4-я КРАСНОАРМЕЙСКАЯ ул.</v>
      </c>
      <c r="E125" s="69">
        <f>[1]Лист2!C118</f>
        <v>8</v>
      </c>
      <c r="F125" s="197" t="str">
        <f>[1]Лист2!D118</f>
        <v>А</v>
      </c>
      <c r="G125" s="64"/>
      <c r="H125" s="199">
        <v>129118</v>
      </c>
      <c r="I125" s="64" t="s">
        <v>234</v>
      </c>
      <c r="J125" s="4"/>
      <c r="K125" s="64" t="s">
        <v>232</v>
      </c>
      <c r="L125" s="4" t="s">
        <v>232</v>
      </c>
      <c r="M125" s="72">
        <v>1901</v>
      </c>
      <c r="N125" s="64" t="s">
        <v>385</v>
      </c>
      <c r="O125" s="73">
        <v>5</v>
      </c>
      <c r="P125" s="196">
        <v>0</v>
      </c>
      <c r="Q125" s="73">
        <v>2</v>
      </c>
      <c r="R125" s="74">
        <v>57</v>
      </c>
      <c r="S125" s="76">
        <v>1907</v>
      </c>
      <c r="T125" s="82">
        <f t="shared" si="2"/>
        <v>1701</v>
      </c>
      <c r="U125" s="77">
        <f t="shared" si="3"/>
        <v>1701</v>
      </c>
      <c r="V125" s="78">
        <v>206</v>
      </c>
      <c r="W125" s="80" t="s">
        <v>233</v>
      </c>
      <c r="X125" s="81" t="s">
        <v>233</v>
      </c>
      <c r="Y125" s="4" t="s">
        <v>233</v>
      </c>
      <c r="Z125" s="81" t="s">
        <v>233</v>
      </c>
      <c r="AA125" s="64" t="s">
        <v>233</v>
      </c>
      <c r="AB125" s="81" t="s">
        <v>233</v>
      </c>
      <c r="AC125" s="64" t="s">
        <v>240</v>
      </c>
      <c r="AD125" s="64" t="s">
        <v>233</v>
      </c>
      <c r="AE125" s="64" t="s">
        <v>240</v>
      </c>
      <c r="AF125" s="208">
        <v>0</v>
      </c>
      <c r="AG125" s="4">
        <v>1</v>
      </c>
      <c r="AH125" s="64">
        <v>1</v>
      </c>
      <c r="AI125" s="4">
        <v>0</v>
      </c>
      <c r="AJ125" s="4">
        <v>0</v>
      </c>
      <c r="AK125" s="4">
        <v>0</v>
      </c>
    </row>
    <row r="126" spans="1:37" s="65" customFormat="1" outlineLevel="1">
      <c r="A126" s="5">
        <v>119</v>
      </c>
      <c r="B126" s="64" t="s">
        <v>190</v>
      </c>
      <c r="C126" s="64" t="s">
        <v>235</v>
      </c>
      <c r="D126" s="64" t="str">
        <f>[1]Лист2!B119</f>
        <v>4-я КРАСНОАРМЕЙСКАЯ ул.</v>
      </c>
      <c r="E126" s="71" t="s">
        <v>201</v>
      </c>
      <c r="F126" s="196" t="str">
        <f>[1]Лист2!D119</f>
        <v>А</v>
      </c>
      <c r="G126" s="4"/>
      <c r="H126" s="67">
        <v>129119</v>
      </c>
      <c r="I126" s="64" t="s">
        <v>234</v>
      </c>
      <c r="J126" s="64"/>
      <c r="K126" s="64" t="s">
        <v>232</v>
      </c>
      <c r="L126" s="64" t="s">
        <v>232</v>
      </c>
      <c r="M126" s="72">
        <v>1882</v>
      </c>
      <c r="N126" s="64" t="s">
        <v>385</v>
      </c>
      <c r="O126" s="73">
        <v>4</v>
      </c>
      <c r="P126" s="196">
        <v>0</v>
      </c>
      <c r="Q126" s="73">
        <v>2</v>
      </c>
      <c r="R126" s="74">
        <v>20</v>
      </c>
      <c r="S126" s="75">
        <v>1195</v>
      </c>
      <c r="T126" s="82">
        <f t="shared" si="2"/>
        <v>947</v>
      </c>
      <c r="U126" s="77">
        <f t="shared" si="3"/>
        <v>947</v>
      </c>
      <c r="V126" s="77">
        <v>248</v>
      </c>
      <c r="W126" s="80" t="s">
        <v>233</v>
      </c>
      <c r="X126" s="81" t="s">
        <v>233</v>
      </c>
      <c r="Y126" s="64" t="s">
        <v>233</v>
      </c>
      <c r="Z126" s="81" t="s">
        <v>233</v>
      </c>
      <c r="AA126" s="64" t="s">
        <v>233</v>
      </c>
      <c r="AB126" s="81" t="s">
        <v>233</v>
      </c>
      <c r="AC126" s="64" t="s">
        <v>240</v>
      </c>
      <c r="AD126" s="64" t="s">
        <v>233</v>
      </c>
      <c r="AE126" s="64" t="s">
        <v>240</v>
      </c>
      <c r="AF126" s="208">
        <v>0</v>
      </c>
      <c r="AG126" s="4">
        <v>1</v>
      </c>
      <c r="AH126" s="64">
        <v>1</v>
      </c>
      <c r="AI126" s="64">
        <v>0</v>
      </c>
      <c r="AJ126" s="64">
        <v>0</v>
      </c>
      <c r="AK126" s="64">
        <v>0</v>
      </c>
    </row>
    <row r="127" spans="1:37" s="65" customFormat="1" outlineLevel="1">
      <c r="A127" s="5">
        <v>120</v>
      </c>
      <c r="B127" s="64" t="s">
        <v>190</v>
      </c>
      <c r="C127" s="64" t="s">
        <v>235</v>
      </c>
      <c r="D127" s="64" t="str">
        <f>[1]Лист2!B120</f>
        <v>5-я КРАСНОАРМЕЙСКАЯ ул.</v>
      </c>
      <c r="E127" s="71">
        <f>[1]Лист2!C120</f>
        <v>10</v>
      </c>
      <c r="F127" s="196" t="str">
        <f>[1]Лист2!D120</f>
        <v>А</v>
      </c>
      <c r="G127" s="4"/>
      <c r="H127" s="67">
        <v>129120</v>
      </c>
      <c r="I127" s="64" t="s">
        <v>234</v>
      </c>
      <c r="J127" s="64"/>
      <c r="K127" s="64" t="s">
        <v>232</v>
      </c>
      <c r="L127" s="64" t="s">
        <v>232</v>
      </c>
      <c r="M127" s="72">
        <v>1856</v>
      </c>
      <c r="N127" s="64" t="s">
        <v>385</v>
      </c>
      <c r="O127" s="73">
        <v>5</v>
      </c>
      <c r="P127" s="196">
        <v>0</v>
      </c>
      <c r="Q127" s="73">
        <v>1</v>
      </c>
      <c r="R127" s="74">
        <v>29</v>
      </c>
      <c r="S127" s="75">
        <v>1502.81</v>
      </c>
      <c r="T127" s="82">
        <f t="shared" si="2"/>
        <v>1502.81</v>
      </c>
      <c r="U127" s="77">
        <f t="shared" si="3"/>
        <v>1502.81</v>
      </c>
      <c r="V127" s="77">
        <v>0</v>
      </c>
      <c r="W127" s="80" t="s">
        <v>233</v>
      </c>
      <c r="X127" s="81" t="s">
        <v>233</v>
      </c>
      <c r="Y127" s="64" t="s">
        <v>233</v>
      </c>
      <c r="Z127" s="81" t="s">
        <v>233</v>
      </c>
      <c r="AA127" s="64" t="s">
        <v>233</v>
      </c>
      <c r="AB127" s="81" t="s">
        <v>233</v>
      </c>
      <c r="AC127" s="64" t="s">
        <v>240</v>
      </c>
      <c r="AD127" s="64" t="s">
        <v>233</v>
      </c>
      <c r="AE127" s="64" t="s">
        <v>240</v>
      </c>
      <c r="AF127" s="208">
        <v>0</v>
      </c>
      <c r="AG127" s="4">
        <v>1</v>
      </c>
      <c r="AH127" s="64">
        <v>1</v>
      </c>
      <c r="AI127" s="64">
        <v>0</v>
      </c>
      <c r="AJ127" s="64">
        <v>0</v>
      </c>
      <c r="AK127" s="64">
        <v>0</v>
      </c>
    </row>
    <row r="128" spans="1:37" s="65" customFormat="1" outlineLevel="1">
      <c r="A128" s="63">
        <v>121</v>
      </c>
      <c r="B128" s="64" t="s">
        <v>190</v>
      </c>
      <c r="C128" s="64" t="s">
        <v>235</v>
      </c>
      <c r="D128" s="64" t="str">
        <f>[1]Лист2!B121</f>
        <v>5-я КРАСНОАРМЕЙСКАЯ ул.</v>
      </c>
      <c r="E128" s="71" t="s">
        <v>202</v>
      </c>
      <c r="F128" s="196" t="str">
        <f>[1]Лист2!D121</f>
        <v>А</v>
      </c>
      <c r="G128" s="64"/>
      <c r="H128" s="67">
        <v>129121</v>
      </c>
      <c r="I128" s="64" t="s">
        <v>234</v>
      </c>
      <c r="J128" s="64"/>
      <c r="K128" s="64" t="s">
        <v>232</v>
      </c>
      <c r="L128" s="64" t="s">
        <v>232</v>
      </c>
      <c r="M128" s="72">
        <v>1859</v>
      </c>
      <c r="N128" s="64" t="s">
        <v>385</v>
      </c>
      <c r="O128" s="73">
        <v>3</v>
      </c>
      <c r="P128" s="196">
        <v>0</v>
      </c>
      <c r="Q128" s="73">
        <v>3</v>
      </c>
      <c r="R128" s="74">
        <v>35</v>
      </c>
      <c r="S128" s="75">
        <v>1446.8</v>
      </c>
      <c r="T128" s="82">
        <f t="shared" si="2"/>
        <v>1185.8</v>
      </c>
      <c r="U128" s="77">
        <f t="shared" si="3"/>
        <v>1185.8</v>
      </c>
      <c r="V128" s="77">
        <v>261</v>
      </c>
      <c r="W128" s="80" t="s">
        <v>233</v>
      </c>
      <c r="X128" s="81" t="s">
        <v>233</v>
      </c>
      <c r="Y128" s="64" t="s">
        <v>233</v>
      </c>
      <c r="Z128" s="81" t="s">
        <v>233</v>
      </c>
      <c r="AA128" s="64" t="s">
        <v>233</v>
      </c>
      <c r="AB128" s="81" t="s">
        <v>233</v>
      </c>
      <c r="AC128" s="64" t="s">
        <v>240</v>
      </c>
      <c r="AD128" s="64" t="s">
        <v>233</v>
      </c>
      <c r="AE128" s="64" t="s">
        <v>240</v>
      </c>
      <c r="AF128" s="208">
        <v>0</v>
      </c>
      <c r="AG128" s="4">
        <v>1</v>
      </c>
      <c r="AH128" s="64">
        <v>1</v>
      </c>
      <c r="AI128" s="64">
        <v>0</v>
      </c>
      <c r="AJ128" s="64">
        <v>0</v>
      </c>
      <c r="AK128" s="64">
        <v>0</v>
      </c>
    </row>
    <row r="129" spans="1:37" s="65" customFormat="1" outlineLevel="1">
      <c r="A129" s="63">
        <v>122</v>
      </c>
      <c r="B129" s="64" t="s">
        <v>190</v>
      </c>
      <c r="C129" s="64" t="s">
        <v>235</v>
      </c>
      <c r="D129" s="64" t="str">
        <f>[1]Лист2!B122</f>
        <v>5-я КРАСНОАРМЕЙСКАЯ ул.</v>
      </c>
      <c r="E129" s="71">
        <f>[1]Лист2!C122</f>
        <v>13</v>
      </c>
      <c r="F129" s="196" t="str">
        <f>[1]Лист2!D122</f>
        <v>А</v>
      </c>
      <c r="G129" s="64"/>
      <c r="H129" s="67">
        <v>129122</v>
      </c>
      <c r="I129" s="64" t="s">
        <v>234</v>
      </c>
      <c r="J129" s="64"/>
      <c r="K129" s="64" t="s">
        <v>232</v>
      </c>
      <c r="L129" s="64" t="s">
        <v>232</v>
      </c>
      <c r="M129" s="72">
        <v>1902</v>
      </c>
      <c r="N129" s="64" t="s">
        <v>385</v>
      </c>
      <c r="O129" s="73">
        <v>5</v>
      </c>
      <c r="P129" s="196">
        <v>0</v>
      </c>
      <c r="Q129" s="73">
        <v>1</v>
      </c>
      <c r="R129" s="74">
        <v>20</v>
      </c>
      <c r="S129" s="75">
        <v>1183.5900000000001</v>
      </c>
      <c r="T129" s="82">
        <f t="shared" si="2"/>
        <v>1026.4000000000001</v>
      </c>
      <c r="U129" s="77">
        <f t="shared" si="3"/>
        <v>1026.4000000000001</v>
      </c>
      <c r="V129" s="77">
        <v>157.19</v>
      </c>
      <c r="W129" s="80" t="s">
        <v>233</v>
      </c>
      <c r="X129" s="81" t="s">
        <v>233</v>
      </c>
      <c r="Y129" s="64" t="s">
        <v>233</v>
      </c>
      <c r="Z129" s="81" t="s">
        <v>233</v>
      </c>
      <c r="AA129" s="64" t="s">
        <v>233</v>
      </c>
      <c r="AB129" s="81" t="s">
        <v>233</v>
      </c>
      <c r="AC129" s="64" t="s">
        <v>240</v>
      </c>
      <c r="AD129" s="64" t="s">
        <v>233</v>
      </c>
      <c r="AE129" s="64" t="s">
        <v>240</v>
      </c>
      <c r="AF129" s="208">
        <v>1</v>
      </c>
      <c r="AG129" s="4">
        <v>1</v>
      </c>
      <c r="AH129" s="64">
        <v>1</v>
      </c>
      <c r="AI129" s="64">
        <v>0</v>
      </c>
      <c r="AJ129" s="64">
        <v>0</v>
      </c>
      <c r="AK129" s="64">
        <v>0</v>
      </c>
    </row>
    <row r="130" spans="1:37" s="65" customFormat="1" outlineLevel="1">
      <c r="A130" s="5">
        <v>123</v>
      </c>
      <c r="B130" s="64" t="s">
        <v>190</v>
      </c>
      <c r="C130" s="64" t="s">
        <v>235</v>
      </c>
      <c r="D130" s="64" t="str">
        <f>[1]Лист2!B123</f>
        <v>5-я КРАСНОАРМЕЙСКАЯ ул.</v>
      </c>
      <c r="E130" s="71">
        <f>[1]Лист2!C123</f>
        <v>16</v>
      </c>
      <c r="F130" s="196" t="str">
        <f>[1]Лист2!D123</f>
        <v>А</v>
      </c>
      <c r="G130" s="4"/>
      <c r="H130" s="67">
        <v>129123</v>
      </c>
      <c r="I130" s="64" t="s">
        <v>234</v>
      </c>
      <c r="J130" s="64"/>
      <c r="K130" s="64" t="s">
        <v>232</v>
      </c>
      <c r="L130" s="64" t="s">
        <v>232</v>
      </c>
      <c r="M130" s="72">
        <v>1880</v>
      </c>
      <c r="N130" s="64" t="s">
        <v>385</v>
      </c>
      <c r="O130" s="73">
        <v>4</v>
      </c>
      <c r="P130" s="196">
        <v>0</v>
      </c>
      <c r="Q130" s="73">
        <v>1</v>
      </c>
      <c r="R130" s="74">
        <v>21</v>
      </c>
      <c r="S130" s="75">
        <v>558.29999999999995</v>
      </c>
      <c r="T130" s="82">
        <f t="shared" si="2"/>
        <v>558.29999999999995</v>
      </c>
      <c r="U130" s="77">
        <f t="shared" si="3"/>
        <v>558.29999999999995</v>
      </c>
      <c r="V130" s="77">
        <v>0</v>
      </c>
      <c r="W130" s="80" t="s">
        <v>233</v>
      </c>
      <c r="X130" s="81" t="s">
        <v>233</v>
      </c>
      <c r="Y130" s="64" t="s">
        <v>233</v>
      </c>
      <c r="Z130" s="81" t="s">
        <v>233</v>
      </c>
      <c r="AA130" s="64" t="s">
        <v>233</v>
      </c>
      <c r="AB130" s="81" t="s">
        <v>233</v>
      </c>
      <c r="AC130" s="64" t="s">
        <v>240</v>
      </c>
      <c r="AD130" s="64" t="s">
        <v>233</v>
      </c>
      <c r="AE130" s="64" t="s">
        <v>240</v>
      </c>
      <c r="AF130" s="208">
        <v>0</v>
      </c>
      <c r="AG130" s="4">
        <v>1</v>
      </c>
      <c r="AH130" s="64">
        <v>1</v>
      </c>
      <c r="AI130" s="64">
        <v>0</v>
      </c>
      <c r="AJ130" s="64">
        <v>0</v>
      </c>
      <c r="AK130" s="64">
        <v>0</v>
      </c>
    </row>
    <row r="131" spans="1:37" s="65" customFormat="1" outlineLevel="1">
      <c r="A131" s="5">
        <v>124</v>
      </c>
      <c r="B131" s="64" t="s">
        <v>190</v>
      </c>
      <c r="C131" s="64" t="s">
        <v>235</v>
      </c>
      <c r="D131" s="64" t="str">
        <f>[1]Лист2!B124</f>
        <v>5-я КРАСНОАРМЕЙСКАЯ ул.</v>
      </c>
      <c r="E131" s="71">
        <f>[1]Лист2!C124</f>
        <v>17</v>
      </c>
      <c r="F131" s="196" t="str">
        <f>[1]Лист2!D124</f>
        <v>А</v>
      </c>
      <c r="G131" s="4"/>
      <c r="H131" s="67">
        <v>129124</v>
      </c>
      <c r="I131" s="64" t="s">
        <v>234</v>
      </c>
      <c r="J131" s="64"/>
      <c r="K131" s="64" t="s">
        <v>232</v>
      </c>
      <c r="L131" s="64" t="s">
        <v>232</v>
      </c>
      <c r="M131" s="72">
        <v>1908</v>
      </c>
      <c r="N131" s="64" t="s">
        <v>385</v>
      </c>
      <c r="O131" s="73">
        <v>5</v>
      </c>
      <c r="P131" s="196">
        <v>0</v>
      </c>
      <c r="Q131" s="73">
        <v>13</v>
      </c>
      <c r="R131" s="74">
        <v>102</v>
      </c>
      <c r="S131" s="75">
        <v>8183.3099999999995</v>
      </c>
      <c r="T131" s="82">
        <f t="shared" si="2"/>
        <v>7697.5099999999993</v>
      </c>
      <c r="U131" s="77">
        <f t="shared" si="3"/>
        <v>7697.5099999999993</v>
      </c>
      <c r="V131" s="77">
        <v>485.8</v>
      </c>
      <c r="W131" s="80" t="s">
        <v>233</v>
      </c>
      <c r="X131" s="81" t="s">
        <v>233</v>
      </c>
      <c r="Y131" s="64" t="s">
        <v>233</v>
      </c>
      <c r="Z131" s="81" t="s">
        <v>233</v>
      </c>
      <c r="AA131" s="64" t="s">
        <v>233</v>
      </c>
      <c r="AB131" s="81" t="s">
        <v>233</v>
      </c>
      <c r="AC131" s="64" t="s">
        <v>240</v>
      </c>
      <c r="AD131" s="64" t="s">
        <v>233</v>
      </c>
      <c r="AE131" s="64" t="s">
        <v>240</v>
      </c>
      <c r="AF131" s="208">
        <v>5</v>
      </c>
      <c r="AG131" s="4">
        <v>3</v>
      </c>
      <c r="AH131" s="64">
        <v>1</v>
      </c>
      <c r="AI131" s="64">
        <v>1</v>
      </c>
      <c r="AJ131" s="64">
        <v>1</v>
      </c>
      <c r="AK131" s="64">
        <v>0</v>
      </c>
    </row>
    <row r="132" spans="1:37" s="65" customFormat="1" outlineLevel="1">
      <c r="A132" s="5">
        <v>125</v>
      </c>
      <c r="B132" s="64" t="s">
        <v>190</v>
      </c>
      <c r="C132" s="64" t="s">
        <v>235</v>
      </c>
      <c r="D132" s="64" t="str">
        <f>[1]Лист2!B125</f>
        <v>5-я КРАСНОАРМЕЙСКАЯ ул.</v>
      </c>
      <c r="E132" s="71">
        <f>[1]Лист2!C125</f>
        <v>18</v>
      </c>
      <c r="F132" s="196" t="str">
        <f>[1]Лист2!D125</f>
        <v>А</v>
      </c>
      <c r="G132" s="64"/>
      <c r="H132" s="67">
        <v>129125</v>
      </c>
      <c r="I132" s="64" t="s">
        <v>234</v>
      </c>
      <c r="J132" s="64"/>
      <c r="K132" s="64" t="s">
        <v>232</v>
      </c>
      <c r="L132" s="64" t="s">
        <v>232</v>
      </c>
      <c r="M132" s="72">
        <v>1905</v>
      </c>
      <c r="N132" s="64" t="s">
        <v>385</v>
      </c>
      <c r="O132" s="73">
        <v>5</v>
      </c>
      <c r="P132" s="196">
        <v>0</v>
      </c>
      <c r="Q132" s="73">
        <v>1</v>
      </c>
      <c r="R132" s="74">
        <v>26</v>
      </c>
      <c r="S132" s="75">
        <v>917.6</v>
      </c>
      <c r="T132" s="82">
        <f t="shared" si="2"/>
        <v>917.6</v>
      </c>
      <c r="U132" s="77">
        <f t="shared" si="3"/>
        <v>917.6</v>
      </c>
      <c r="V132" s="77">
        <v>0</v>
      </c>
      <c r="W132" s="80" t="s">
        <v>233</v>
      </c>
      <c r="X132" s="81" t="s">
        <v>233</v>
      </c>
      <c r="Y132" s="64" t="s">
        <v>233</v>
      </c>
      <c r="Z132" s="81" t="s">
        <v>233</v>
      </c>
      <c r="AA132" s="64" t="s">
        <v>233</v>
      </c>
      <c r="AB132" s="81" t="s">
        <v>233</v>
      </c>
      <c r="AC132" s="64" t="s">
        <v>240</v>
      </c>
      <c r="AD132" s="64" t="s">
        <v>233</v>
      </c>
      <c r="AE132" s="64" t="s">
        <v>240</v>
      </c>
      <c r="AF132" s="208">
        <v>0</v>
      </c>
      <c r="AG132" s="4">
        <v>1</v>
      </c>
      <c r="AH132" s="64">
        <v>1</v>
      </c>
      <c r="AI132" s="64">
        <v>0</v>
      </c>
      <c r="AJ132" s="64">
        <v>0</v>
      </c>
      <c r="AK132" s="64">
        <v>0</v>
      </c>
    </row>
    <row r="133" spans="1:37" s="65" customFormat="1" outlineLevel="1">
      <c r="A133" s="5">
        <v>126</v>
      </c>
      <c r="B133" s="64" t="s">
        <v>190</v>
      </c>
      <c r="C133" s="64" t="s">
        <v>235</v>
      </c>
      <c r="D133" s="64" t="str">
        <f>[1]Лист2!B126</f>
        <v>5-я КРАСНОАРМЕЙСКАЯ ул.</v>
      </c>
      <c r="E133" s="71">
        <f>[1]Лист2!C126</f>
        <v>19</v>
      </c>
      <c r="F133" s="196" t="str">
        <f>[1]Лист2!D126</f>
        <v>А</v>
      </c>
      <c r="G133" s="64"/>
      <c r="H133" s="67">
        <v>129126</v>
      </c>
      <c r="I133" s="64" t="s">
        <v>234</v>
      </c>
      <c r="J133" s="64"/>
      <c r="K133" s="64" t="s">
        <v>232</v>
      </c>
      <c r="L133" s="64" t="s">
        <v>232</v>
      </c>
      <c r="M133" s="72">
        <v>1855</v>
      </c>
      <c r="N133" s="64" t="s">
        <v>385</v>
      </c>
      <c r="O133" s="73">
        <v>3</v>
      </c>
      <c r="P133" s="196">
        <v>0</v>
      </c>
      <c r="Q133" s="73">
        <v>1</v>
      </c>
      <c r="R133" s="74">
        <v>34</v>
      </c>
      <c r="S133" s="75">
        <v>940</v>
      </c>
      <c r="T133" s="82">
        <f t="shared" si="2"/>
        <v>704</v>
      </c>
      <c r="U133" s="77">
        <f t="shared" si="3"/>
        <v>704</v>
      </c>
      <c r="V133" s="77">
        <v>236</v>
      </c>
      <c r="W133" s="80" t="s">
        <v>233</v>
      </c>
      <c r="X133" s="81" t="s">
        <v>233</v>
      </c>
      <c r="Y133" s="64" t="s">
        <v>233</v>
      </c>
      <c r="Z133" s="81" t="s">
        <v>233</v>
      </c>
      <c r="AA133" s="64" t="s">
        <v>233</v>
      </c>
      <c r="AB133" s="81" t="s">
        <v>233</v>
      </c>
      <c r="AC133" s="64" t="s">
        <v>240</v>
      </c>
      <c r="AD133" s="64" t="s">
        <v>233</v>
      </c>
      <c r="AE133" s="64" t="s">
        <v>240</v>
      </c>
      <c r="AF133" s="208">
        <v>0</v>
      </c>
      <c r="AG133" s="4">
        <v>1</v>
      </c>
      <c r="AH133" s="64">
        <v>1</v>
      </c>
      <c r="AI133" s="64">
        <v>1</v>
      </c>
      <c r="AJ133" s="64">
        <v>1</v>
      </c>
      <c r="AK133" s="64">
        <v>0</v>
      </c>
    </row>
    <row r="134" spans="1:37" s="65" customFormat="1" outlineLevel="1">
      <c r="A134" s="63">
        <v>127</v>
      </c>
      <c r="B134" s="64" t="s">
        <v>190</v>
      </c>
      <c r="C134" s="64" t="s">
        <v>235</v>
      </c>
      <c r="D134" s="64" t="str">
        <f>[1]Лист2!B127</f>
        <v>5-я КРАСНОАРМЕЙСКАЯ ул.</v>
      </c>
      <c r="E134" s="71">
        <f>[1]Лист2!C127</f>
        <v>19</v>
      </c>
      <c r="F134" s="196" t="str">
        <f>[1]Лист2!D127</f>
        <v>Б</v>
      </c>
      <c r="G134" s="4"/>
      <c r="H134" s="67">
        <v>129127</v>
      </c>
      <c r="I134" s="64" t="s">
        <v>234</v>
      </c>
      <c r="J134" s="64"/>
      <c r="K134" s="64" t="s">
        <v>232</v>
      </c>
      <c r="L134" s="64" t="s">
        <v>232</v>
      </c>
      <c r="M134" s="72">
        <v>1917</v>
      </c>
      <c r="N134" s="64" t="s">
        <v>385</v>
      </c>
      <c r="O134" s="73">
        <v>2</v>
      </c>
      <c r="P134" s="196">
        <v>0</v>
      </c>
      <c r="Q134" s="73">
        <v>1</v>
      </c>
      <c r="R134" s="74">
        <v>3</v>
      </c>
      <c r="S134" s="75">
        <v>147</v>
      </c>
      <c r="T134" s="82">
        <f t="shared" si="2"/>
        <v>75</v>
      </c>
      <c r="U134" s="77">
        <f t="shared" si="3"/>
        <v>75</v>
      </c>
      <c r="V134" s="77">
        <v>72</v>
      </c>
      <c r="W134" s="80" t="s">
        <v>233</v>
      </c>
      <c r="X134" s="81" t="s">
        <v>233</v>
      </c>
      <c r="Y134" s="64" t="s">
        <v>233</v>
      </c>
      <c r="Z134" s="81" t="s">
        <v>233</v>
      </c>
      <c r="AA134" s="64" t="s">
        <v>233</v>
      </c>
      <c r="AB134" s="81" t="s">
        <v>233</v>
      </c>
      <c r="AC134" s="64" t="s">
        <v>240</v>
      </c>
      <c r="AD134" s="64" t="s">
        <v>233</v>
      </c>
      <c r="AE134" s="64" t="s">
        <v>240</v>
      </c>
      <c r="AF134" s="209">
        <v>0</v>
      </c>
      <c r="AG134" s="4">
        <v>1</v>
      </c>
      <c r="AH134" s="64">
        <v>1</v>
      </c>
      <c r="AI134" s="64">
        <v>0</v>
      </c>
      <c r="AJ134" s="64">
        <v>0</v>
      </c>
      <c r="AK134" s="64">
        <v>0</v>
      </c>
    </row>
    <row r="135" spans="1:37" s="65" customFormat="1" outlineLevel="1">
      <c r="A135" s="63">
        <v>128</v>
      </c>
      <c r="B135" s="64" t="s">
        <v>190</v>
      </c>
      <c r="C135" s="64" t="s">
        <v>235</v>
      </c>
      <c r="D135" s="64" t="str">
        <f>[1]Лист2!B128</f>
        <v>5-я КРАСНОАРМЕЙСКАЯ ул.</v>
      </c>
      <c r="E135" s="71" t="s">
        <v>203</v>
      </c>
      <c r="F135" s="196" t="str">
        <f>[1]Лист2!D128</f>
        <v>А</v>
      </c>
      <c r="G135" s="4"/>
      <c r="H135" s="67">
        <v>129128</v>
      </c>
      <c r="I135" s="64" t="s">
        <v>234</v>
      </c>
      <c r="J135" s="64"/>
      <c r="K135" s="64" t="s">
        <v>232</v>
      </c>
      <c r="L135" s="64" t="s">
        <v>232</v>
      </c>
      <c r="M135" s="72">
        <v>1889</v>
      </c>
      <c r="N135" s="64" t="s">
        <v>385</v>
      </c>
      <c r="O135" s="73">
        <v>4</v>
      </c>
      <c r="P135" s="196">
        <v>0</v>
      </c>
      <c r="Q135" s="73">
        <v>3</v>
      </c>
      <c r="R135" s="74">
        <v>40</v>
      </c>
      <c r="S135" s="75">
        <v>1824.6</v>
      </c>
      <c r="T135" s="82">
        <f t="shared" si="2"/>
        <v>1315.6</v>
      </c>
      <c r="U135" s="77">
        <f t="shared" si="3"/>
        <v>1315.6</v>
      </c>
      <c r="V135" s="77">
        <v>509</v>
      </c>
      <c r="W135" s="80" t="s">
        <v>233</v>
      </c>
      <c r="X135" s="81" t="s">
        <v>233</v>
      </c>
      <c r="Y135" s="64" t="s">
        <v>233</v>
      </c>
      <c r="Z135" s="81" t="s">
        <v>233</v>
      </c>
      <c r="AA135" s="64" t="s">
        <v>233</v>
      </c>
      <c r="AB135" s="81" t="s">
        <v>233</v>
      </c>
      <c r="AC135" s="64" t="s">
        <v>240</v>
      </c>
      <c r="AD135" s="64" t="s">
        <v>233</v>
      </c>
      <c r="AE135" s="64" t="s">
        <v>240</v>
      </c>
      <c r="AF135" s="208">
        <v>0</v>
      </c>
      <c r="AG135" s="4">
        <v>1</v>
      </c>
      <c r="AH135" s="64">
        <v>1</v>
      </c>
      <c r="AI135" s="64">
        <v>1</v>
      </c>
      <c r="AJ135" s="64">
        <v>1</v>
      </c>
      <c r="AK135" s="64">
        <v>0</v>
      </c>
    </row>
    <row r="136" spans="1:37" outlineLevel="1">
      <c r="A136" s="5">
        <v>129</v>
      </c>
      <c r="B136" s="64" t="s">
        <v>190</v>
      </c>
      <c r="C136" s="64" t="s">
        <v>235</v>
      </c>
      <c r="D136" s="4" t="str">
        <f>[1]Лист2!B129</f>
        <v>5-я КРАСНОАРМЕЙСКАЯ ул.</v>
      </c>
      <c r="E136" s="69">
        <f>[1]Лист2!C129</f>
        <v>21</v>
      </c>
      <c r="F136" s="197" t="str">
        <f>[1]Лист2!D129</f>
        <v>А</v>
      </c>
      <c r="G136" s="64"/>
      <c r="H136" s="199">
        <v>129129</v>
      </c>
      <c r="I136" s="64" t="s">
        <v>234</v>
      </c>
      <c r="J136" s="4"/>
      <c r="K136" s="64" t="s">
        <v>232</v>
      </c>
      <c r="L136" s="4" t="s">
        <v>232</v>
      </c>
      <c r="M136" s="72">
        <v>1870</v>
      </c>
      <c r="N136" s="64" t="s">
        <v>385</v>
      </c>
      <c r="O136" s="73">
        <v>3</v>
      </c>
      <c r="P136" s="196">
        <v>0</v>
      </c>
      <c r="Q136" s="73">
        <v>1</v>
      </c>
      <c r="R136" s="74">
        <v>12</v>
      </c>
      <c r="S136" s="76">
        <v>565.71</v>
      </c>
      <c r="T136" s="82">
        <f t="shared" si="2"/>
        <v>491.81000000000006</v>
      </c>
      <c r="U136" s="77">
        <f t="shared" si="3"/>
        <v>491.81000000000006</v>
      </c>
      <c r="V136" s="78">
        <v>73.900000000000006</v>
      </c>
      <c r="W136" s="80" t="s">
        <v>233</v>
      </c>
      <c r="X136" s="81" t="s">
        <v>233</v>
      </c>
      <c r="Y136" s="4" t="s">
        <v>233</v>
      </c>
      <c r="Z136" s="81" t="s">
        <v>233</v>
      </c>
      <c r="AA136" s="64" t="s">
        <v>233</v>
      </c>
      <c r="AB136" s="81" t="s">
        <v>233</v>
      </c>
      <c r="AC136" s="64" t="s">
        <v>240</v>
      </c>
      <c r="AD136" s="64" t="s">
        <v>233</v>
      </c>
      <c r="AE136" s="64" t="s">
        <v>240</v>
      </c>
      <c r="AF136" s="208">
        <v>0</v>
      </c>
      <c r="AG136" s="4">
        <v>1</v>
      </c>
      <c r="AH136" s="64">
        <v>1</v>
      </c>
      <c r="AI136" s="4">
        <v>0</v>
      </c>
      <c r="AJ136" s="4">
        <v>0</v>
      </c>
      <c r="AK136" s="4">
        <v>0</v>
      </c>
    </row>
    <row r="137" spans="1:37" outlineLevel="1">
      <c r="A137" s="5">
        <v>130</v>
      </c>
      <c r="B137" s="64" t="s">
        <v>190</v>
      </c>
      <c r="C137" s="64" t="s">
        <v>235</v>
      </c>
      <c r="D137" s="4" t="str">
        <f>[1]Лист2!B130</f>
        <v>5-я КРАСНОАРМЕЙСКАЯ ул.</v>
      </c>
      <c r="E137" s="69">
        <f>[1]Лист2!C130</f>
        <v>24</v>
      </c>
      <c r="F137" s="197" t="str">
        <f>[1]Лист2!D130</f>
        <v>А</v>
      </c>
      <c r="G137" s="64"/>
      <c r="H137" s="199">
        <v>129130</v>
      </c>
      <c r="I137" s="64" t="s">
        <v>234</v>
      </c>
      <c r="J137" s="4"/>
      <c r="K137" s="64" t="s">
        <v>232</v>
      </c>
      <c r="L137" s="4" t="s">
        <v>232</v>
      </c>
      <c r="M137" s="72">
        <v>1911</v>
      </c>
      <c r="N137" s="64" t="s">
        <v>385</v>
      </c>
      <c r="O137" s="73">
        <v>4</v>
      </c>
      <c r="P137" s="196">
        <v>0</v>
      </c>
      <c r="Q137" s="73">
        <v>3</v>
      </c>
      <c r="R137" s="74">
        <v>53</v>
      </c>
      <c r="S137" s="76">
        <v>1826.1000000000001</v>
      </c>
      <c r="T137" s="82">
        <f t="shared" ref="T137:T200" si="4">U137</f>
        <v>1701.1000000000001</v>
      </c>
      <c r="U137" s="77">
        <f t="shared" ref="U137:U200" si="5">S137-V137</f>
        <v>1701.1000000000001</v>
      </c>
      <c r="V137" s="78">
        <v>125</v>
      </c>
      <c r="W137" s="80" t="s">
        <v>233</v>
      </c>
      <c r="X137" s="81" t="s">
        <v>233</v>
      </c>
      <c r="Y137" s="4" t="s">
        <v>233</v>
      </c>
      <c r="Z137" s="81" t="s">
        <v>233</v>
      </c>
      <c r="AA137" s="64" t="s">
        <v>233</v>
      </c>
      <c r="AB137" s="81" t="s">
        <v>233</v>
      </c>
      <c r="AC137" s="64" t="s">
        <v>240</v>
      </c>
      <c r="AD137" s="64" t="s">
        <v>233</v>
      </c>
      <c r="AE137" s="64" t="s">
        <v>240</v>
      </c>
      <c r="AF137" s="208">
        <v>0</v>
      </c>
      <c r="AG137" s="4">
        <v>1</v>
      </c>
      <c r="AH137" s="64">
        <v>1</v>
      </c>
      <c r="AI137" s="4">
        <v>1</v>
      </c>
      <c r="AJ137" s="4">
        <v>1</v>
      </c>
      <c r="AK137" s="4">
        <v>0</v>
      </c>
    </row>
    <row r="138" spans="1:37" outlineLevel="1">
      <c r="A138" s="5">
        <v>131</v>
      </c>
      <c r="B138" s="64" t="s">
        <v>190</v>
      </c>
      <c r="C138" s="64" t="s">
        <v>235</v>
      </c>
      <c r="D138" s="4" t="str">
        <f>[1]Лист2!B131</f>
        <v>5-я КРАСНОАРМЕЙСКАЯ ул.</v>
      </c>
      <c r="E138" s="69">
        <f>[1]Лист2!C131</f>
        <v>26</v>
      </c>
      <c r="F138" s="197" t="str">
        <f>[1]Лист2!D131</f>
        <v>А</v>
      </c>
      <c r="G138" s="4"/>
      <c r="H138" s="199">
        <v>129131</v>
      </c>
      <c r="I138" s="64" t="s">
        <v>234</v>
      </c>
      <c r="J138" s="4"/>
      <c r="K138" s="64" t="s">
        <v>232</v>
      </c>
      <c r="L138" s="4" t="s">
        <v>232</v>
      </c>
      <c r="M138" s="72">
        <v>1867</v>
      </c>
      <c r="N138" s="64" t="s">
        <v>385</v>
      </c>
      <c r="O138" s="73">
        <v>4</v>
      </c>
      <c r="P138" s="196">
        <v>0</v>
      </c>
      <c r="Q138" s="73">
        <v>2</v>
      </c>
      <c r="R138" s="74">
        <v>27</v>
      </c>
      <c r="S138" s="76">
        <v>1105.46</v>
      </c>
      <c r="T138" s="82">
        <f t="shared" si="4"/>
        <v>992.96</v>
      </c>
      <c r="U138" s="77">
        <f t="shared" si="5"/>
        <v>992.96</v>
      </c>
      <c r="V138" s="78">
        <v>112.5</v>
      </c>
      <c r="W138" s="80" t="s">
        <v>233</v>
      </c>
      <c r="X138" s="81" t="s">
        <v>233</v>
      </c>
      <c r="Y138" s="4" t="s">
        <v>233</v>
      </c>
      <c r="Z138" s="81" t="s">
        <v>233</v>
      </c>
      <c r="AA138" s="64" t="s">
        <v>233</v>
      </c>
      <c r="AB138" s="81" t="s">
        <v>233</v>
      </c>
      <c r="AC138" s="64" t="s">
        <v>240</v>
      </c>
      <c r="AD138" s="64" t="s">
        <v>233</v>
      </c>
      <c r="AE138" s="64" t="s">
        <v>240</v>
      </c>
      <c r="AF138" s="208">
        <v>0</v>
      </c>
      <c r="AG138" s="4">
        <v>1</v>
      </c>
      <c r="AH138" s="64">
        <v>1</v>
      </c>
      <c r="AI138" s="4">
        <v>1</v>
      </c>
      <c r="AJ138" s="4">
        <v>1</v>
      </c>
      <c r="AK138" s="4">
        <v>0</v>
      </c>
    </row>
    <row r="139" spans="1:37" outlineLevel="1">
      <c r="A139" s="5">
        <v>132</v>
      </c>
      <c r="B139" s="64" t="s">
        <v>190</v>
      </c>
      <c r="C139" s="64" t="s">
        <v>235</v>
      </c>
      <c r="D139" s="4" t="str">
        <f>[1]Лист2!B132</f>
        <v>5-я КРАСНОАРМЕЙСКАЯ ул.</v>
      </c>
      <c r="E139" s="69">
        <f>[1]Лист2!C132</f>
        <v>28</v>
      </c>
      <c r="F139" s="197" t="str">
        <f>[1]Лист2!D132</f>
        <v>А</v>
      </c>
      <c r="G139" s="4"/>
      <c r="H139" s="199">
        <v>129132</v>
      </c>
      <c r="I139" s="64" t="s">
        <v>234</v>
      </c>
      <c r="J139" s="4"/>
      <c r="K139" s="64" t="s">
        <v>232</v>
      </c>
      <c r="L139" s="4" t="s">
        <v>232</v>
      </c>
      <c r="M139" s="72">
        <v>1878</v>
      </c>
      <c r="N139" s="64" t="s">
        <v>385</v>
      </c>
      <c r="O139" s="73">
        <v>4</v>
      </c>
      <c r="P139" s="196">
        <v>0</v>
      </c>
      <c r="Q139" s="73">
        <v>3</v>
      </c>
      <c r="R139" s="74">
        <v>36</v>
      </c>
      <c r="S139" s="76">
        <v>1796.15</v>
      </c>
      <c r="T139" s="82">
        <f t="shared" si="4"/>
        <v>1611.15</v>
      </c>
      <c r="U139" s="77">
        <f t="shared" si="5"/>
        <v>1611.15</v>
      </c>
      <c r="V139" s="78">
        <v>185</v>
      </c>
      <c r="W139" s="80" t="s">
        <v>233</v>
      </c>
      <c r="X139" s="81" t="s">
        <v>233</v>
      </c>
      <c r="Y139" s="4" t="s">
        <v>233</v>
      </c>
      <c r="Z139" s="81" t="s">
        <v>233</v>
      </c>
      <c r="AA139" s="64" t="s">
        <v>233</v>
      </c>
      <c r="AB139" s="81" t="s">
        <v>233</v>
      </c>
      <c r="AC139" s="64" t="s">
        <v>240</v>
      </c>
      <c r="AD139" s="64" t="s">
        <v>233</v>
      </c>
      <c r="AE139" s="64" t="s">
        <v>240</v>
      </c>
      <c r="AF139" s="208">
        <v>0</v>
      </c>
      <c r="AG139" s="4">
        <v>1</v>
      </c>
      <c r="AH139" s="64">
        <v>1</v>
      </c>
      <c r="AI139" s="4">
        <v>0</v>
      </c>
      <c r="AJ139" s="4">
        <v>0</v>
      </c>
      <c r="AK139" s="4">
        <v>0</v>
      </c>
    </row>
    <row r="140" spans="1:37" outlineLevel="1">
      <c r="A140" s="63">
        <v>133</v>
      </c>
      <c r="B140" s="64" t="s">
        <v>190</v>
      </c>
      <c r="C140" s="64" t="s">
        <v>235</v>
      </c>
      <c r="D140" s="4" t="str">
        <f>[1]Лист2!B133</f>
        <v>5-я КРАСНОАРМЕЙСКАЯ ул.</v>
      </c>
      <c r="E140" s="69">
        <f>[1]Лист2!C133</f>
        <v>3</v>
      </c>
      <c r="F140" s="197" t="str">
        <f>[1]Лист2!D133</f>
        <v>А</v>
      </c>
      <c r="G140" s="64"/>
      <c r="H140" s="199">
        <v>129133</v>
      </c>
      <c r="I140" s="64" t="s">
        <v>234</v>
      </c>
      <c r="J140" s="4"/>
      <c r="K140" s="64" t="s">
        <v>232</v>
      </c>
      <c r="L140" s="4" t="s">
        <v>232</v>
      </c>
      <c r="M140" s="72">
        <v>1881</v>
      </c>
      <c r="N140" s="64" t="s">
        <v>385</v>
      </c>
      <c r="O140" s="73">
        <v>4</v>
      </c>
      <c r="P140" s="196">
        <v>0</v>
      </c>
      <c r="Q140" s="73">
        <v>6</v>
      </c>
      <c r="R140" s="74">
        <v>87</v>
      </c>
      <c r="S140" s="76">
        <v>3267.8</v>
      </c>
      <c r="T140" s="82">
        <f t="shared" si="4"/>
        <v>3056.8</v>
      </c>
      <c r="U140" s="77">
        <f t="shared" si="5"/>
        <v>3056.8</v>
      </c>
      <c r="V140" s="78">
        <v>211</v>
      </c>
      <c r="W140" s="80" t="s">
        <v>233</v>
      </c>
      <c r="X140" s="81" t="s">
        <v>233</v>
      </c>
      <c r="Y140" s="4" t="s">
        <v>233</v>
      </c>
      <c r="Z140" s="81" t="s">
        <v>233</v>
      </c>
      <c r="AA140" s="64" t="s">
        <v>233</v>
      </c>
      <c r="AB140" s="81" t="s">
        <v>233</v>
      </c>
      <c r="AC140" s="64" t="s">
        <v>240</v>
      </c>
      <c r="AD140" s="64" t="s">
        <v>233</v>
      </c>
      <c r="AE140" s="64" t="s">
        <v>240</v>
      </c>
      <c r="AF140" s="208">
        <v>0</v>
      </c>
      <c r="AG140" s="4">
        <v>1</v>
      </c>
      <c r="AH140" s="64">
        <v>1</v>
      </c>
      <c r="AI140" s="4">
        <v>1</v>
      </c>
      <c r="AJ140" s="4">
        <v>1</v>
      </c>
      <c r="AK140" s="4">
        <v>0</v>
      </c>
    </row>
    <row r="141" spans="1:37" outlineLevel="1">
      <c r="A141" s="63">
        <v>134</v>
      </c>
      <c r="B141" s="64" t="s">
        <v>190</v>
      </c>
      <c r="C141" s="64" t="s">
        <v>235</v>
      </c>
      <c r="D141" s="4" t="str">
        <f>[1]Лист2!B134</f>
        <v>5-я КРАСНОАРМЕЙСКАЯ ул.</v>
      </c>
      <c r="E141" s="69">
        <f>[1]Лист2!C134</f>
        <v>30</v>
      </c>
      <c r="F141" s="197" t="str">
        <f>[1]Лист2!D134</f>
        <v>А</v>
      </c>
      <c r="G141" s="64"/>
      <c r="H141" s="199">
        <v>129134</v>
      </c>
      <c r="I141" s="64" t="s">
        <v>234</v>
      </c>
      <c r="J141" s="4"/>
      <c r="K141" s="64" t="s">
        <v>232</v>
      </c>
      <c r="L141" s="4" t="s">
        <v>232</v>
      </c>
      <c r="M141" s="72">
        <v>1906</v>
      </c>
      <c r="N141" s="64" t="s">
        <v>385</v>
      </c>
      <c r="O141" s="73">
        <v>4</v>
      </c>
      <c r="P141" s="196">
        <v>0</v>
      </c>
      <c r="Q141" s="73">
        <v>1</v>
      </c>
      <c r="R141" s="74">
        <v>8</v>
      </c>
      <c r="S141" s="76">
        <v>1734.9</v>
      </c>
      <c r="T141" s="82">
        <f t="shared" si="4"/>
        <v>879.40000000000009</v>
      </c>
      <c r="U141" s="77">
        <f t="shared" si="5"/>
        <v>879.40000000000009</v>
      </c>
      <c r="V141" s="78">
        <v>855.5</v>
      </c>
      <c r="W141" s="80" t="s">
        <v>233</v>
      </c>
      <c r="X141" s="81" t="s">
        <v>233</v>
      </c>
      <c r="Y141" s="4" t="s">
        <v>233</v>
      </c>
      <c r="Z141" s="81" t="s">
        <v>233</v>
      </c>
      <c r="AA141" s="64" t="s">
        <v>233</v>
      </c>
      <c r="AB141" s="81" t="s">
        <v>233</v>
      </c>
      <c r="AC141" s="64" t="s">
        <v>240</v>
      </c>
      <c r="AD141" s="64" t="s">
        <v>233</v>
      </c>
      <c r="AE141" s="64" t="s">
        <v>240</v>
      </c>
      <c r="AF141" s="208">
        <v>0</v>
      </c>
      <c r="AG141" s="4">
        <v>1</v>
      </c>
      <c r="AH141" s="64">
        <v>1</v>
      </c>
      <c r="AI141" s="4">
        <v>1</v>
      </c>
      <c r="AJ141" s="4">
        <v>1</v>
      </c>
      <c r="AK141" s="4">
        <v>0</v>
      </c>
    </row>
    <row r="142" spans="1:37" outlineLevel="1">
      <c r="A142" s="5">
        <v>135</v>
      </c>
      <c r="B142" s="64" t="s">
        <v>190</v>
      </c>
      <c r="C142" s="64" t="s">
        <v>235</v>
      </c>
      <c r="D142" s="4" t="str">
        <f>[1]Лист2!B135</f>
        <v>5-я КРАСНОАРМЕЙСКАЯ ул.</v>
      </c>
      <c r="E142" s="69">
        <f>[1]Лист2!C135</f>
        <v>4</v>
      </c>
      <c r="F142" s="197" t="str">
        <f>[1]Лист2!D135</f>
        <v>А</v>
      </c>
      <c r="G142" s="4"/>
      <c r="H142" s="199">
        <v>129135</v>
      </c>
      <c r="I142" s="64" t="s">
        <v>234</v>
      </c>
      <c r="J142" s="4"/>
      <c r="K142" s="64" t="s">
        <v>232</v>
      </c>
      <c r="L142" s="4" t="s">
        <v>232</v>
      </c>
      <c r="M142" s="72">
        <v>1864</v>
      </c>
      <c r="N142" s="64" t="s">
        <v>385</v>
      </c>
      <c r="O142" s="73">
        <v>4</v>
      </c>
      <c r="P142" s="196">
        <v>0</v>
      </c>
      <c r="Q142" s="73">
        <v>3</v>
      </c>
      <c r="R142" s="74">
        <v>36</v>
      </c>
      <c r="S142" s="76">
        <v>1511.01</v>
      </c>
      <c r="T142" s="82">
        <f t="shared" si="4"/>
        <v>1346.61</v>
      </c>
      <c r="U142" s="77">
        <f t="shared" si="5"/>
        <v>1346.61</v>
      </c>
      <c r="V142" s="78">
        <v>164.4</v>
      </c>
      <c r="W142" s="80" t="s">
        <v>233</v>
      </c>
      <c r="X142" s="81" t="s">
        <v>233</v>
      </c>
      <c r="Y142" s="4" t="s">
        <v>233</v>
      </c>
      <c r="Z142" s="81" t="s">
        <v>233</v>
      </c>
      <c r="AA142" s="64" t="s">
        <v>233</v>
      </c>
      <c r="AB142" s="81" t="s">
        <v>233</v>
      </c>
      <c r="AC142" s="64" t="s">
        <v>240</v>
      </c>
      <c r="AD142" s="64" t="s">
        <v>233</v>
      </c>
      <c r="AE142" s="64" t="s">
        <v>240</v>
      </c>
      <c r="AF142" s="208">
        <v>0</v>
      </c>
      <c r="AG142" s="4">
        <v>1</v>
      </c>
      <c r="AH142" s="64">
        <v>1</v>
      </c>
      <c r="AI142" s="4">
        <v>0</v>
      </c>
      <c r="AJ142" s="4">
        <v>0</v>
      </c>
      <c r="AK142" s="4">
        <v>0</v>
      </c>
    </row>
    <row r="143" spans="1:37" outlineLevel="1">
      <c r="A143" s="5">
        <v>136</v>
      </c>
      <c r="B143" s="64" t="s">
        <v>190</v>
      </c>
      <c r="C143" s="64" t="s">
        <v>235</v>
      </c>
      <c r="D143" s="4" t="str">
        <f>[1]Лист2!B136</f>
        <v>5-я КРАСНОАРМЕЙСКАЯ ул.</v>
      </c>
      <c r="E143" s="69">
        <f>[1]Лист2!C136</f>
        <v>6</v>
      </c>
      <c r="F143" s="197" t="str">
        <f>[1]Лист2!D136</f>
        <v>А</v>
      </c>
      <c r="G143" s="4"/>
      <c r="H143" s="199">
        <v>129136</v>
      </c>
      <c r="I143" s="64" t="s">
        <v>234</v>
      </c>
      <c r="J143" s="4"/>
      <c r="K143" s="64" t="s">
        <v>232</v>
      </c>
      <c r="L143" s="4" t="s">
        <v>232</v>
      </c>
      <c r="M143" s="72">
        <v>1899</v>
      </c>
      <c r="N143" s="64" t="s">
        <v>385</v>
      </c>
      <c r="O143" s="73">
        <v>4</v>
      </c>
      <c r="P143" s="196">
        <v>0</v>
      </c>
      <c r="Q143" s="73">
        <v>4</v>
      </c>
      <c r="R143" s="74">
        <v>46</v>
      </c>
      <c r="S143" s="76">
        <v>2110.0100000000002</v>
      </c>
      <c r="T143" s="82">
        <f t="shared" si="4"/>
        <v>1722.0100000000002</v>
      </c>
      <c r="U143" s="77">
        <f t="shared" si="5"/>
        <v>1722.0100000000002</v>
      </c>
      <c r="V143" s="78">
        <v>388</v>
      </c>
      <c r="W143" s="80" t="s">
        <v>233</v>
      </c>
      <c r="X143" s="81" t="s">
        <v>233</v>
      </c>
      <c r="Y143" s="4" t="s">
        <v>233</v>
      </c>
      <c r="Z143" s="81" t="s">
        <v>233</v>
      </c>
      <c r="AA143" s="64" t="s">
        <v>233</v>
      </c>
      <c r="AB143" s="81" t="s">
        <v>233</v>
      </c>
      <c r="AC143" s="64" t="s">
        <v>240</v>
      </c>
      <c r="AD143" s="64" t="s">
        <v>233</v>
      </c>
      <c r="AE143" s="64" t="s">
        <v>240</v>
      </c>
      <c r="AF143" s="208">
        <v>0</v>
      </c>
      <c r="AG143" s="4">
        <v>1</v>
      </c>
      <c r="AH143" s="64">
        <v>1</v>
      </c>
      <c r="AI143" s="4">
        <v>1</v>
      </c>
      <c r="AJ143" s="4">
        <v>1</v>
      </c>
      <c r="AK143" s="4">
        <v>0</v>
      </c>
    </row>
    <row r="144" spans="1:37" outlineLevel="1">
      <c r="A144" s="5">
        <v>137</v>
      </c>
      <c r="B144" s="64" t="s">
        <v>190</v>
      </c>
      <c r="C144" s="64" t="s">
        <v>235</v>
      </c>
      <c r="D144" s="4" t="str">
        <f>[1]Лист2!B137</f>
        <v>5-я КРАСНОАРМЕЙСКАЯ ул.</v>
      </c>
      <c r="E144" s="69">
        <f>[1]Лист2!C137</f>
        <v>7</v>
      </c>
      <c r="F144" s="197" t="str">
        <f>[1]Лист2!D137</f>
        <v>А</v>
      </c>
      <c r="G144" s="64"/>
      <c r="H144" s="199">
        <v>129137</v>
      </c>
      <c r="I144" s="64" t="s">
        <v>234</v>
      </c>
      <c r="J144" s="4"/>
      <c r="K144" s="64" t="s">
        <v>232</v>
      </c>
      <c r="L144" s="4" t="s">
        <v>232</v>
      </c>
      <c r="M144" s="72">
        <v>1872</v>
      </c>
      <c r="N144" s="64" t="s">
        <v>385</v>
      </c>
      <c r="O144" s="73">
        <v>5</v>
      </c>
      <c r="P144" s="196">
        <v>0</v>
      </c>
      <c r="Q144" s="73">
        <v>2</v>
      </c>
      <c r="R144" s="74">
        <v>3</v>
      </c>
      <c r="S144" s="76">
        <v>1088.6600000000001</v>
      </c>
      <c r="T144" s="82">
        <f t="shared" si="4"/>
        <v>810.96</v>
      </c>
      <c r="U144" s="77">
        <f t="shared" si="5"/>
        <v>810.96</v>
      </c>
      <c r="V144" s="78">
        <v>277.7</v>
      </c>
      <c r="W144" s="80" t="s">
        <v>233</v>
      </c>
      <c r="X144" s="81" t="s">
        <v>233</v>
      </c>
      <c r="Y144" s="4" t="s">
        <v>233</v>
      </c>
      <c r="Z144" s="81" t="s">
        <v>233</v>
      </c>
      <c r="AA144" s="64" t="s">
        <v>233</v>
      </c>
      <c r="AB144" s="81" t="s">
        <v>233</v>
      </c>
      <c r="AC144" s="64" t="s">
        <v>240</v>
      </c>
      <c r="AD144" s="64" t="s">
        <v>233</v>
      </c>
      <c r="AE144" s="64" t="s">
        <v>240</v>
      </c>
      <c r="AF144" s="208">
        <v>0</v>
      </c>
      <c r="AG144" s="4">
        <v>2</v>
      </c>
      <c r="AH144" s="64">
        <v>1</v>
      </c>
      <c r="AI144" s="4">
        <v>0</v>
      </c>
      <c r="AJ144" s="4">
        <v>0</v>
      </c>
      <c r="AK144" s="4">
        <v>0</v>
      </c>
    </row>
    <row r="145" spans="1:37" outlineLevel="1">
      <c r="A145" s="5">
        <v>138</v>
      </c>
      <c r="B145" s="64" t="s">
        <v>190</v>
      </c>
      <c r="C145" s="64" t="s">
        <v>235</v>
      </c>
      <c r="D145" s="4" t="str">
        <f>[1]Лист2!B138</f>
        <v>5-я КРАСНОАРМЕЙСКАЯ ул.</v>
      </c>
      <c r="E145" s="69">
        <f>[1]Лист2!C138</f>
        <v>8</v>
      </c>
      <c r="F145" s="197" t="str">
        <f>[1]Лист2!D138</f>
        <v>А</v>
      </c>
      <c r="G145" s="64"/>
      <c r="H145" s="199">
        <v>129138</v>
      </c>
      <c r="I145" s="64" t="s">
        <v>234</v>
      </c>
      <c r="J145" s="4"/>
      <c r="K145" s="64" t="s">
        <v>232</v>
      </c>
      <c r="L145" s="4" t="s">
        <v>232</v>
      </c>
      <c r="M145" s="72">
        <v>1905</v>
      </c>
      <c r="N145" s="64" t="s">
        <v>385</v>
      </c>
      <c r="O145" s="73">
        <v>5</v>
      </c>
      <c r="P145" s="196">
        <v>0</v>
      </c>
      <c r="Q145" s="73">
        <v>3</v>
      </c>
      <c r="R145" s="74">
        <v>21</v>
      </c>
      <c r="S145" s="76">
        <v>1779.4099999999999</v>
      </c>
      <c r="T145" s="82">
        <f t="shared" si="4"/>
        <v>1608.4099999999999</v>
      </c>
      <c r="U145" s="77">
        <f t="shared" si="5"/>
        <v>1608.4099999999999</v>
      </c>
      <c r="V145" s="78">
        <v>171</v>
      </c>
      <c r="W145" s="80" t="s">
        <v>233</v>
      </c>
      <c r="X145" s="81" t="s">
        <v>233</v>
      </c>
      <c r="Y145" s="4" t="s">
        <v>233</v>
      </c>
      <c r="Z145" s="81" t="s">
        <v>233</v>
      </c>
      <c r="AA145" s="64" t="s">
        <v>233</v>
      </c>
      <c r="AB145" s="81" t="s">
        <v>233</v>
      </c>
      <c r="AC145" s="64" t="s">
        <v>240</v>
      </c>
      <c r="AD145" s="64" t="s">
        <v>233</v>
      </c>
      <c r="AE145" s="64" t="s">
        <v>240</v>
      </c>
      <c r="AF145" s="208">
        <v>0</v>
      </c>
      <c r="AG145" s="4">
        <v>2</v>
      </c>
      <c r="AH145" s="64">
        <v>1</v>
      </c>
      <c r="AI145" s="4">
        <v>0</v>
      </c>
      <c r="AJ145" s="4">
        <v>0</v>
      </c>
      <c r="AK145" s="4">
        <v>0</v>
      </c>
    </row>
    <row r="146" spans="1:37" outlineLevel="1">
      <c r="A146" s="63">
        <v>139</v>
      </c>
      <c r="B146" s="64" t="s">
        <v>190</v>
      </c>
      <c r="C146" s="64" t="s">
        <v>235</v>
      </c>
      <c r="D146" s="4" t="str">
        <f>[1]Лист2!B139</f>
        <v>6-я КРАСНОАРМЕЙСКАЯ ул.</v>
      </c>
      <c r="E146" s="69">
        <f>[1]Лист2!C139</f>
        <v>1</v>
      </c>
      <c r="F146" s="197" t="str">
        <f>[1]Лист2!D139</f>
        <v>А</v>
      </c>
      <c r="G146" s="4"/>
      <c r="H146" s="199">
        <v>129139</v>
      </c>
      <c r="I146" s="64" t="s">
        <v>234</v>
      </c>
      <c r="J146" s="4"/>
      <c r="K146" s="64" t="s">
        <v>232</v>
      </c>
      <c r="L146" s="4" t="s">
        <v>232</v>
      </c>
      <c r="M146" s="72">
        <v>1840</v>
      </c>
      <c r="N146" s="64" t="s">
        <v>385</v>
      </c>
      <c r="O146" s="73">
        <v>4</v>
      </c>
      <c r="P146" s="196">
        <v>0</v>
      </c>
      <c r="Q146" s="73">
        <v>4</v>
      </c>
      <c r="R146" s="74">
        <v>40</v>
      </c>
      <c r="S146" s="76">
        <v>3605.17</v>
      </c>
      <c r="T146" s="82">
        <f t="shared" si="4"/>
        <v>2761.87</v>
      </c>
      <c r="U146" s="77">
        <f t="shared" si="5"/>
        <v>2761.87</v>
      </c>
      <c r="V146" s="78">
        <v>843.3</v>
      </c>
      <c r="W146" s="80" t="s">
        <v>233</v>
      </c>
      <c r="X146" s="81" t="s">
        <v>233</v>
      </c>
      <c r="Y146" s="4" t="s">
        <v>233</v>
      </c>
      <c r="Z146" s="81" t="s">
        <v>233</v>
      </c>
      <c r="AA146" s="64" t="s">
        <v>233</v>
      </c>
      <c r="AB146" s="81" t="s">
        <v>233</v>
      </c>
      <c r="AC146" s="64" t="s">
        <v>240</v>
      </c>
      <c r="AD146" s="64" t="s">
        <v>233</v>
      </c>
      <c r="AE146" s="64" t="s">
        <v>240</v>
      </c>
      <c r="AF146" s="208">
        <v>1</v>
      </c>
      <c r="AG146" s="4">
        <v>1</v>
      </c>
      <c r="AH146" s="64">
        <v>1</v>
      </c>
      <c r="AI146" s="4">
        <v>0</v>
      </c>
      <c r="AJ146" s="4">
        <v>0</v>
      </c>
      <c r="AK146" s="4">
        <v>0</v>
      </c>
    </row>
    <row r="147" spans="1:37" outlineLevel="1">
      <c r="A147" s="63">
        <v>140</v>
      </c>
      <c r="B147" s="64" t="s">
        <v>190</v>
      </c>
      <c r="C147" s="64" t="s">
        <v>235</v>
      </c>
      <c r="D147" s="4" t="str">
        <f>[1]Лист2!B140</f>
        <v>6-я КРАСНОАРМЕЙСКАЯ ул.</v>
      </c>
      <c r="E147" s="69">
        <f>[1]Лист2!C140</f>
        <v>12</v>
      </c>
      <c r="F147" s="197" t="str">
        <f>[1]Лист2!D140</f>
        <v>А</v>
      </c>
      <c r="G147" s="4"/>
      <c r="H147" s="199">
        <v>129140</v>
      </c>
      <c r="I147" s="64" t="s">
        <v>234</v>
      </c>
      <c r="J147" s="4"/>
      <c r="K147" s="64" t="s">
        <v>232</v>
      </c>
      <c r="L147" s="4" t="s">
        <v>232</v>
      </c>
      <c r="M147" s="72">
        <v>1884</v>
      </c>
      <c r="N147" s="64" t="s">
        <v>385</v>
      </c>
      <c r="O147" s="73">
        <v>6</v>
      </c>
      <c r="P147" s="196">
        <v>0</v>
      </c>
      <c r="Q147" s="73">
        <v>5</v>
      </c>
      <c r="R147" s="74">
        <v>67</v>
      </c>
      <c r="S147" s="76">
        <v>3208.6000000000004</v>
      </c>
      <c r="T147" s="82">
        <f t="shared" si="4"/>
        <v>3126.2000000000003</v>
      </c>
      <c r="U147" s="77">
        <f t="shared" si="5"/>
        <v>3126.2000000000003</v>
      </c>
      <c r="V147" s="78">
        <v>82.4</v>
      </c>
      <c r="W147" s="80" t="s">
        <v>233</v>
      </c>
      <c r="X147" s="81" t="s">
        <v>233</v>
      </c>
      <c r="Y147" s="4" t="s">
        <v>233</v>
      </c>
      <c r="Z147" s="81" t="s">
        <v>233</v>
      </c>
      <c r="AA147" s="64" t="s">
        <v>233</v>
      </c>
      <c r="AB147" s="81" t="s">
        <v>233</v>
      </c>
      <c r="AC147" s="64" t="s">
        <v>240</v>
      </c>
      <c r="AD147" s="64" t="s">
        <v>233</v>
      </c>
      <c r="AE147" s="64" t="s">
        <v>240</v>
      </c>
      <c r="AF147" s="208">
        <v>0</v>
      </c>
      <c r="AG147" s="4">
        <v>1</v>
      </c>
      <c r="AH147" s="64">
        <v>1</v>
      </c>
      <c r="AI147" s="4">
        <v>0</v>
      </c>
      <c r="AJ147" s="4">
        <v>0</v>
      </c>
      <c r="AK147" s="4">
        <v>0</v>
      </c>
    </row>
    <row r="148" spans="1:37" outlineLevel="1">
      <c r="A148" s="5">
        <v>141</v>
      </c>
      <c r="B148" s="64" t="s">
        <v>190</v>
      </c>
      <c r="C148" s="64" t="s">
        <v>235</v>
      </c>
      <c r="D148" s="4" t="str">
        <f>[1]Лист2!B141</f>
        <v>6-я КРАСНОАРМЕЙСКАЯ ул.</v>
      </c>
      <c r="E148" s="69">
        <f>[1]Лист2!C141</f>
        <v>14</v>
      </c>
      <c r="F148" s="197" t="str">
        <f>[1]Лист2!D141</f>
        <v>А</v>
      </c>
      <c r="G148" s="64"/>
      <c r="H148" s="199">
        <v>129141</v>
      </c>
      <c r="I148" s="64" t="s">
        <v>234</v>
      </c>
      <c r="J148" s="4"/>
      <c r="K148" s="64" t="s">
        <v>232</v>
      </c>
      <c r="L148" s="4" t="s">
        <v>232</v>
      </c>
      <c r="M148" s="72">
        <v>1907</v>
      </c>
      <c r="N148" s="64" t="s">
        <v>385</v>
      </c>
      <c r="O148" s="73">
        <v>5</v>
      </c>
      <c r="P148" s="196">
        <v>0</v>
      </c>
      <c r="Q148" s="73">
        <v>3</v>
      </c>
      <c r="R148" s="74">
        <v>42</v>
      </c>
      <c r="S148" s="76">
        <v>3588.45</v>
      </c>
      <c r="T148" s="82">
        <f t="shared" si="4"/>
        <v>3360.45</v>
      </c>
      <c r="U148" s="77">
        <f t="shared" si="5"/>
        <v>3360.45</v>
      </c>
      <c r="V148" s="78">
        <v>228</v>
      </c>
      <c r="W148" s="80" t="s">
        <v>233</v>
      </c>
      <c r="X148" s="81" t="s">
        <v>233</v>
      </c>
      <c r="Y148" s="4" t="s">
        <v>233</v>
      </c>
      <c r="Z148" s="81" t="s">
        <v>233</v>
      </c>
      <c r="AA148" s="64" t="s">
        <v>233</v>
      </c>
      <c r="AB148" s="81" t="s">
        <v>233</v>
      </c>
      <c r="AC148" s="64" t="s">
        <v>240</v>
      </c>
      <c r="AD148" s="64" t="s">
        <v>233</v>
      </c>
      <c r="AE148" s="64" t="s">
        <v>240</v>
      </c>
      <c r="AF148" s="208">
        <v>2</v>
      </c>
      <c r="AG148" s="4">
        <v>3</v>
      </c>
      <c r="AH148" s="64">
        <v>1</v>
      </c>
      <c r="AI148" s="4">
        <v>1</v>
      </c>
      <c r="AJ148" s="4">
        <v>1</v>
      </c>
      <c r="AK148" s="4">
        <v>0</v>
      </c>
    </row>
    <row r="149" spans="1:37" outlineLevel="1">
      <c r="A149" s="5">
        <v>142</v>
      </c>
      <c r="B149" s="64" t="s">
        <v>190</v>
      </c>
      <c r="C149" s="64" t="s">
        <v>235</v>
      </c>
      <c r="D149" s="4" t="str">
        <f>[1]Лист2!B142</f>
        <v>6-я КРАСНОАРМЕЙСКАЯ ул.</v>
      </c>
      <c r="E149" s="69">
        <f>[1]Лист2!C142</f>
        <v>15</v>
      </c>
      <c r="F149" s="197" t="str">
        <f>[1]Лист2!D142</f>
        <v>А</v>
      </c>
      <c r="G149" s="64"/>
      <c r="H149" s="199">
        <v>129142</v>
      </c>
      <c r="I149" s="64" t="s">
        <v>234</v>
      </c>
      <c r="J149" s="4"/>
      <c r="K149" s="64" t="s">
        <v>232</v>
      </c>
      <c r="L149" s="4" t="s">
        <v>232</v>
      </c>
      <c r="M149" s="72">
        <v>1905</v>
      </c>
      <c r="N149" s="64" t="s">
        <v>385</v>
      </c>
      <c r="O149" s="73">
        <v>4</v>
      </c>
      <c r="P149" s="196">
        <v>0</v>
      </c>
      <c r="Q149" s="73">
        <v>3</v>
      </c>
      <c r="R149" s="74">
        <v>54</v>
      </c>
      <c r="S149" s="76">
        <v>3442.4400000000005</v>
      </c>
      <c r="T149" s="82">
        <f t="shared" si="4"/>
        <v>2878.4400000000005</v>
      </c>
      <c r="U149" s="77">
        <f t="shared" si="5"/>
        <v>2878.4400000000005</v>
      </c>
      <c r="V149" s="78">
        <v>564</v>
      </c>
      <c r="W149" s="80" t="s">
        <v>233</v>
      </c>
      <c r="X149" s="81" t="s">
        <v>233</v>
      </c>
      <c r="Y149" s="4" t="s">
        <v>233</v>
      </c>
      <c r="Z149" s="81" t="s">
        <v>233</v>
      </c>
      <c r="AA149" s="64" t="s">
        <v>233</v>
      </c>
      <c r="AB149" s="81" t="s">
        <v>233</v>
      </c>
      <c r="AC149" s="64" t="s">
        <v>240</v>
      </c>
      <c r="AD149" s="64" t="s">
        <v>233</v>
      </c>
      <c r="AE149" s="64" t="s">
        <v>240</v>
      </c>
      <c r="AF149" s="208">
        <v>0</v>
      </c>
      <c r="AG149" s="4">
        <v>1</v>
      </c>
      <c r="AH149" s="64">
        <v>1</v>
      </c>
      <c r="AI149" s="4">
        <v>1</v>
      </c>
      <c r="AJ149" s="4">
        <v>1</v>
      </c>
      <c r="AK149" s="4">
        <v>0</v>
      </c>
    </row>
    <row r="150" spans="1:37" outlineLevel="1">
      <c r="A150" s="5">
        <v>143</v>
      </c>
      <c r="B150" s="64" t="s">
        <v>190</v>
      </c>
      <c r="C150" s="64" t="s">
        <v>235</v>
      </c>
      <c r="D150" s="4" t="str">
        <f>[1]Лист2!B143</f>
        <v>6-я КРАСНОАРМЕЙСКАЯ ул.</v>
      </c>
      <c r="E150" s="69">
        <f>[1]Лист2!C143</f>
        <v>16</v>
      </c>
      <c r="F150" s="197" t="str">
        <f>[1]Лист2!D143</f>
        <v>А</v>
      </c>
      <c r="G150" s="4"/>
      <c r="H150" s="199">
        <v>129143</v>
      </c>
      <c r="I150" s="64" t="s">
        <v>234</v>
      </c>
      <c r="J150" s="4"/>
      <c r="K150" s="64" t="s">
        <v>232</v>
      </c>
      <c r="L150" s="4" t="s">
        <v>232</v>
      </c>
      <c r="M150" s="72">
        <v>1866</v>
      </c>
      <c r="N150" s="64" t="s">
        <v>385</v>
      </c>
      <c r="O150" s="73">
        <v>4</v>
      </c>
      <c r="P150" s="196">
        <v>0</v>
      </c>
      <c r="Q150" s="73">
        <v>4</v>
      </c>
      <c r="R150" s="74">
        <v>46</v>
      </c>
      <c r="S150" s="76">
        <v>2165.54</v>
      </c>
      <c r="T150" s="82">
        <f t="shared" si="4"/>
        <v>2047.44</v>
      </c>
      <c r="U150" s="77">
        <f t="shared" si="5"/>
        <v>2047.44</v>
      </c>
      <c r="V150" s="78">
        <v>118.1</v>
      </c>
      <c r="W150" s="80" t="s">
        <v>233</v>
      </c>
      <c r="X150" s="81" t="s">
        <v>233</v>
      </c>
      <c r="Y150" s="4" t="s">
        <v>233</v>
      </c>
      <c r="Z150" s="81" t="s">
        <v>233</v>
      </c>
      <c r="AA150" s="64" t="s">
        <v>233</v>
      </c>
      <c r="AB150" s="81" t="s">
        <v>233</v>
      </c>
      <c r="AC150" s="64" t="s">
        <v>240</v>
      </c>
      <c r="AD150" s="64" t="s">
        <v>233</v>
      </c>
      <c r="AE150" s="64" t="s">
        <v>240</v>
      </c>
      <c r="AF150" s="208">
        <v>0</v>
      </c>
      <c r="AG150" s="4">
        <v>1</v>
      </c>
      <c r="AH150" s="64">
        <v>1</v>
      </c>
      <c r="AI150" s="4">
        <v>0</v>
      </c>
      <c r="AJ150" s="4">
        <v>0</v>
      </c>
      <c r="AK150" s="4">
        <v>0</v>
      </c>
    </row>
    <row r="151" spans="1:37" outlineLevel="1">
      <c r="A151" s="5">
        <v>144</v>
      </c>
      <c r="B151" s="64" t="s">
        <v>190</v>
      </c>
      <c r="C151" s="64" t="s">
        <v>235</v>
      </c>
      <c r="D151" s="4" t="str">
        <f>[1]Лист2!B144</f>
        <v>6-я КРАСНОАРМЕЙСКАЯ ул.</v>
      </c>
      <c r="E151" s="69">
        <f>[1]Лист2!C144</f>
        <v>17</v>
      </c>
      <c r="F151" s="197" t="str">
        <f>[1]Лист2!D144</f>
        <v>А</v>
      </c>
      <c r="G151" s="4"/>
      <c r="H151" s="199">
        <v>129144</v>
      </c>
      <c r="I151" s="64" t="s">
        <v>234</v>
      </c>
      <c r="J151" s="4"/>
      <c r="K151" s="64" t="s">
        <v>232</v>
      </c>
      <c r="L151" s="4" t="s">
        <v>232</v>
      </c>
      <c r="M151" s="72">
        <v>1873</v>
      </c>
      <c r="N151" s="64" t="s">
        <v>385</v>
      </c>
      <c r="O151" s="73">
        <v>4</v>
      </c>
      <c r="P151" s="196">
        <v>0</v>
      </c>
      <c r="Q151" s="73">
        <v>3</v>
      </c>
      <c r="R151" s="74">
        <v>28</v>
      </c>
      <c r="S151" s="76">
        <v>1091.3999999999999</v>
      </c>
      <c r="T151" s="82">
        <f t="shared" si="4"/>
        <v>1049.0999999999999</v>
      </c>
      <c r="U151" s="77">
        <f t="shared" si="5"/>
        <v>1049.0999999999999</v>
      </c>
      <c r="V151" s="78">
        <v>42.3</v>
      </c>
      <c r="W151" s="80" t="s">
        <v>233</v>
      </c>
      <c r="X151" s="81" t="s">
        <v>233</v>
      </c>
      <c r="Y151" s="4" t="s">
        <v>233</v>
      </c>
      <c r="Z151" s="81" t="s">
        <v>233</v>
      </c>
      <c r="AA151" s="64" t="s">
        <v>233</v>
      </c>
      <c r="AB151" s="81" t="s">
        <v>233</v>
      </c>
      <c r="AC151" s="64" t="s">
        <v>240</v>
      </c>
      <c r="AD151" s="64" t="s">
        <v>233</v>
      </c>
      <c r="AE151" s="64" t="s">
        <v>240</v>
      </c>
      <c r="AF151" s="208">
        <v>0</v>
      </c>
      <c r="AG151" s="4">
        <v>1</v>
      </c>
      <c r="AH151" s="64">
        <v>1</v>
      </c>
      <c r="AI151" s="4">
        <v>0</v>
      </c>
      <c r="AJ151" s="4">
        <v>0</v>
      </c>
      <c r="AK151" s="4">
        <v>0</v>
      </c>
    </row>
    <row r="152" spans="1:37" outlineLevel="1">
      <c r="A152" s="63">
        <v>145</v>
      </c>
      <c r="B152" s="64" t="s">
        <v>190</v>
      </c>
      <c r="C152" s="64" t="s">
        <v>235</v>
      </c>
      <c r="D152" s="4" t="str">
        <f>[1]Лист2!B145</f>
        <v>6-я КРАСНОАРМЕЙСКАЯ ул.</v>
      </c>
      <c r="E152" s="69">
        <f>[1]Лист2!C145</f>
        <v>18</v>
      </c>
      <c r="F152" s="197" t="str">
        <f>[1]Лист2!D145</f>
        <v>А</v>
      </c>
      <c r="G152" s="64"/>
      <c r="H152" s="199">
        <v>129145</v>
      </c>
      <c r="I152" s="64" t="s">
        <v>234</v>
      </c>
      <c r="J152" s="4"/>
      <c r="K152" s="64" t="s">
        <v>232</v>
      </c>
      <c r="L152" s="4" t="s">
        <v>232</v>
      </c>
      <c r="M152" s="72">
        <v>1960</v>
      </c>
      <c r="N152" s="64" t="s">
        <v>385</v>
      </c>
      <c r="O152" s="73">
        <v>5</v>
      </c>
      <c r="P152" s="196">
        <v>0</v>
      </c>
      <c r="Q152" s="73">
        <v>2</v>
      </c>
      <c r="R152" s="74">
        <v>38</v>
      </c>
      <c r="S152" s="76">
        <v>1440.41</v>
      </c>
      <c r="T152" s="82">
        <f t="shared" si="4"/>
        <v>1440.41</v>
      </c>
      <c r="U152" s="77">
        <f t="shared" si="5"/>
        <v>1440.41</v>
      </c>
      <c r="V152" s="78">
        <v>0</v>
      </c>
      <c r="W152" s="80" t="s">
        <v>233</v>
      </c>
      <c r="X152" s="81" t="s">
        <v>233</v>
      </c>
      <c r="Y152" s="4" t="s">
        <v>233</v>
      </c>
      <c r="Z152" s="81" t="s">
        <v>233</v>
      </c>
      <c r="AA152" s="64" t="s">
        <v>233</v>
      </c>
      <c r="AB152" s="81" t="s">
        <v>233</v>
      </c>
      <c r="AC152" s="64" t="s">
        <v>240</v>
      </c>
      <c r="AD152" s="64" t="s">
        <v>233</v>
      </c>
      <c r="AE152" s="64" t="s">
        <v>240</v>
      </c>
      <c r="AF152" s="208">
        <v>0</v>
      </c>
      <c r="AG152" s="4">
        <v>1</v>
      </c>
      <c r="AH152" s="64">
        <v>1</v>
      </c>
      <c r="AI152" s="4">
        <v>0</v>
      </c>
      <c r="AJ152" s="4">
        <v>0</v>
      </c>
      <c r="AK152" s="4">
        <v>0</v>
      </c>
    </row>
    <row r="153" spans="1:37" outlineLevel="1">
      <c r="A153" s="63">
        <v>146</v>
      </c>
      <c r="B153" s="64" t="s">
        <v>190</v>
      </c>
      <c r="C153" s="64" t="s">
        <v>235</v>
      </c>
      <c r="D153" s="4" t="str">
        <f>[1]Лист2!B146</f>
        <v>6-я КРАСНОАРМЕЙСКАЯ ул.</v>
      </c>
      <c r="E153" s="69">
        <f>[1]Лист2!C146</f>
        <v>21</v>
      </c>
      <c r="F153" s="197" t="str">
        <f>[1]Лист2!D146</f>
        <v>А</v>
      </c>
      <c r="G153" s="64"/>
      <c r="H153" s="199">
        <v>129146</v>
      </c>
      <c r="I153" s="64" t="s">
        <v>234</v>
      </c>
      <c r="J153" s="4"/>
      <c r="K153" s="64" t="s">
        <v>232</v>
      </c>
      <c r="L153" s="4" t="s">
        <v>232</v>
      </c>
      <c r="M153" s="72">
        <v>1900</v>
      </c>
      <c r="N153" s="64" t="s">
        <v>385</v>
      </c>
      <c r="O153" s="73">
        <v>5</v>
      </c>
      <c r="P153" s="196">
        <v>0</v>
      </c>
      <c r="Q153" s="73">
        <v>1</v>
      </c>
      <c r="R153" s="74">
        <v>20</v>
      </c>
      <c r="S153" s="76">
        <v>939.22</v>
      </c>
      <c r="T153" s="82">
        <f t="shared" si="4"/>
        <v>841.22</v>
      </c>
      <c r="U153" s="77">
        <f t="shared" si="5"/>
        <v>841.22</v>
      </c>
      <c r="V153" s="78">
        <v>98</v>
      </c>
      <c r="W153" s="80" t="s">
        <v>233</v>
      </c>
      <c r="X153" s="81" t="s">
        <v>233</v>
      </c>
      <c r="Y153" s="4" t="s">
        <v>233</v>
      </c>
      <c r="Z153" s="81" t="s">
        <v>233</v>
      </c>
      <c r="AA153" s="64" t="s">
        <v>233</v>
      </c>
      <c r="AB153" s="81" t="s">
        <v>233</v>
      </c>
      <c r="AC153" s="64" t="s">
        <v>240</v>
      </c>
      <c r="AD153" s="64" t="s">
        <v>233</v>
      </c>
      <c r="AE153" s="64" t="s">
        <v>240</v>
      </c>
      <c r="AF153" s="208">
        <v>0</v>
      </c>
      <c r="AG153" s="4">
        <v>1</v>
      </c>
      <c r="AH153" s="64">
        <v>1</v>
      </c>
      <c r="AI153" s="4">
        <v>1</v>
      </c>
      <c r="AJ153" s="4">
        <v>1</v>
      </c>
      <c r="AK153" s="4">
        <v>0</v>
      </c>
    </row>
    <row r="154" spans="1:37" outlineLevel="1">
      <c r="A154" s="5">
        <v>147</v>
      </c>
      <c r="B154" s="64" t="s">
        <v>190</v>
      </c>
      <c r="C154" s="64" t="s">
        <v>235</v>
      </c>
      <c r="D154" s="4" t="str">
        <f>[1]Лист2!B147</f>
        <v>6-я КРАСНОАРМЕЙСКАЯ ул.</v>
      </c>
      <c r="E154" s="69">
        <f>[1]Лист2!C147</f>
        <v>22</v>
      </c>
      <c r="F154" s="197" t="str">
        <f>[1]Лист2!D147</f>
        <v>А</v>
      </c>
      <c r="G154" s="4"/>
      <c r="H154" s="199">
        <v>129147</v>
      </c>
      <c r="I154" s="64" t="s">
        <v>234</v>
      </c>
      <c r="J154" s="4"/>
      <c r="K154" s="64" t="s">
        <v>232</v>
      </c>
      <c r="L154" s="4" t="s">
        <v>232</v>
      </c>
      <c r="M154" s="72">
        <v>1878</v>
      </c>
      <c r="N154" s="64" t="s">
        <v>385</v>
      </c>
      <c r="O154" s="73">
        <v>4</v>
      </c>
      <c r="P154" s="196">
        <v>0</v>
      </c>
      <c r="Q154" s="73">
        <v>2</v>
      </c>
      <c r="R154" s="74">
        <v>84</v>
      </c>
      <c r="S154" s="76">
        <v>3238.46</v>
      </c>
      <c r="T154" s="82">
        <f t="shared" si="4"/>
        <v>2874.46</v>
      </c>
      <c r="U154" s="77">
        <f t="shared" si="5"/>
        <v>2874.46</v>
      </c>
      <c r="V154" s="78">
        <v>364</v>
      </c>
      <c r="W154" s="80" t="s">
        <v>233</v>
      </c>
      <c r="X154" s="81" t="s">
        <v>233</v>
      </c>
      <c r="Y154" s="4" t="s">
        <v>233</v>
      </c>
      <c r="Z154" s="81" t="s">
        <v>233</v>
      </c>
      <c r="AA154" s="64" t="s">
        <v>233</v>
      </c>
      <c r="AB154" s="81" t="s">
        <v>233</v>
      </c>
      <c r="AC154" s="64" t="s">
        <v>240</v>
      </c>
      <c r="AD154" s="64" t="s">
        <v>233</v>
      </c>
      <c r="AE154" s="64" t="s">
        <v>240</v>
      </c>
      <c r="AF154" s="208">
        <v>0</v>
      </c>
      <c r="AG154" s="4">
        <v>1</v>
      </c>
      <c r="AH154" s="64">
        <v>1</v>
      </c>
      <c r="AI154" s="4">
        <v>0</v>
      </c>
      <c r="AJ154" s="4">
        <v>0</v>
      </c>
      <c r="AK154" s="4">
        <v>0</v>
      </c>
    </row>
    <row r="155" spans="1:37" outlineLevel="1">
      <c r="A155" s="5">
        <v>148</v>
      </c>
      <c r="B155" s="64" t="s">
        <v>190</v>
      </c>
      <c r="C155" s="64" t="s">
        <v>235</v>
      </c>
      <c r="D155" s="4" t="str">
        <f>[1]Лист2!B148</f>
        <v>6-я КРАСНОАРМЕЙСКАЯ ул.</v>
      </c>
      <c r="E155" s="69">
        <f>[1]Лист2!C148</f>
        <v>23</v>
      </c>
      <c r="F155" s="197" t="str">
        <f>[1]Лист2!D148</f>
        <v>А</v>
      </c>
      <c r="G155" s="4"/>
      <c r="H155" s="199">
        <v>129148</v>
      </c>
      <c r="I155" s="64" t="s">
        <v>234</v>
      </c>
      <c r="J155" s="4"/>
      <c r="K155" s="64" t="s">
        <v>232</v>
      </c>
      <c r="L155" s="4" t="s">
        <v>232</v>
      </c>
      <c r="M155" s="72">
        <v>1859</v>
      </c>
      <c r="N155" s="64" t="s">
        <v>385</v>
      </c>
      <c r="O155" s="73">
        <v>4</v>
      </c>
      <c r="P155" s="196">
        <v>0</v>
      </c>
      <c r="Q155" s="73">
        <v>3</v>
      </c>
      <c r="R155" s="74">
        <v>47</v>
      </c>
      <c r="S155" s="76">
        <v>1899</v>
      </c>
      <c r="T155" s="82">
        <f t="shared" si="4"/>
        <v>1317</v>
      </c>
      <c r="U155" s="77">
        <f t="shared" si="5"/>
        <v>1317</v>
      </c>
      <c r="V155" s="78">
        <v>582</v>
      </c>
      <c r="W155" s="80" t="s">
        <v>233</v>
      </c>
      <c r="X155" s="81" t="s">
        <v>233</v>
      </c>
      <c r="Y155" s="4" t="s">
        <v>233</v>
      </c>
      <c r="Z155" s="81" t="s">
        <v>233</v>
      </c>
      <c r="AA155" s="64" t="s">
        <v>233</v>
      </c>
      <c r="AB155" s="81" t="s">
        <v>233</v>
      </c>
      <c r="AC155" s="64" t="s">
        <v>240</v>
      </c>
      <c r="AD155" s="64" t="s">
        <v>233</v>
      </c>
      <c r="AE155" s="64" t="s">
        <v>240</v>
      </c>
      <c r="AF155" s="208">
        <v>0</v>
      </c>
      <c r="AG155" s="4">
        <v>1</v>
      </c>
      <c r="AH155" s="64">
        <v>1</v>
      </c>
      <c r="AI155" s="4">
        <v>0</v>
      </c>
      <c r="AJ155" s="4">
        <v>0</v>
      </c>
      <c r="AK155" s="4">
        <v>0</v>
      </c>
    </row>
    <row r="156" spans="1:37" outlineLevel="1">
      <c r="A156" s="5">
        <v>149</v>
      </c>
      <c r="B156" s="64" t="s">
        <v>190</v>
      </c>
      <c r="C156" s="64" t="s">
        <v>235</v>
      </c>
      <c r="D156" s="4" t="str">
        <f>[1]Лист2!B149</f>
        <v>6-я КРАСНОАРМЕЙСКАЯ ул.</v>
      </c>
      <c r="E156" s="69">
        <f>[1]Лист2!C149</f>
        <v>23</v>
      </c>
      <c r="F156" s="197" t="str">
        <f>[1]Лист2!D149</f>
        <v>Б</v>
      </c>
      <c r="G156" s="64"/>
      <c r="H156" s="199">
        <v>129149</v>
      </c>
      <c r="I156" s="64" t="s">
        <v>234</v>
      </c>
      <c r="J156" s="4"/>
      <c r="K156" s="64" t="s">
        <v>232</v>
      </c>
      <c r="L156" s="4" t="s">
        <v>232</v>
      </c>
      <c r="M156" s="72">
        <v>1859</v>
      </c>
      <c r="N156" s="64" t="s">
        <v>385</v>
      </c>
      <c r="O156" s="73">
        <v>3</v>
      </c>
      <c r="P156" s="196">
        <v>0</v>
      </c>
      <c r="Q156" s="73">
        <v>1</v>
      </c>
      <c r="R156" s="74">
        <v>20</v>
      </c>
      <c r="S156" s="76">
        <v>524</v>
      </c>
      <c r="T156" s="82">
        <f t="shared" si="4"/>
        <v>444</v>
      </c>
      <c r="U156" s="77">
        <f t="shared" si="5"/>
        <v>444</v>
      </c>
      <c r="V156" s="78">
        <v>80</v>
      </c>
      <c r="W156" s="80" t="s">
        <v>233</v>
      </c>
      <c r="X156" s="81" t="s">
        <v>233</v>
      </c>
      <c r="Y156" s="4" t="s">
        <v>233</v>
      </c>
      <c r="Z156" s="81" t="s">
        <v>233</v>
      </c>
      <c r="AA156" s="64" t="s">
        <v>233</v>
      </c>
      <c r="AB156" s="81" t="s">
        <v>233</v>
      </c>
      <c r="AC156" s="64" t="s">
        <v>240</v>
      </c>
      <c r="AD156" s="64" t="s">
        <v>233</v>
      </c>
      <c r="AE156" s="64" t="s">
        <v>240</v>
      </c>
      <c r="AF156" s="209">
        <v>0</v>
      </c>
      <c r="AG156" s="4">
        <v>1</v>
      </c>
      <c r="AH156" s="64">
        <v>1</v>
      </c>
      <c r="AI156" s="4">
        <v>0</v>
      </c>
      <c r="AJ156" s="4">
        <v>0</v>
      </c>
      <c r="AK156" s="4">
        <v>0</v>
      </c>
    </row>
    <row r="157" spans="1:37" s="65" customFormat="1" outlineLevel="1">
      <c r="A157" s="5">
        <v>150</v>
      </c>
      <c r="B157" s="64" t="s">
        <v>190</v>
      </c>
      <c r="C157" s="64" t="s">
        <v>235</v>
      </c>
      <c r="D157" s="64" t="str">
        <f>[1]Лист2!B150</f>
        <v>6-я КРАСНОАРМЕЙСКАЯ ул.</v>
      </c>
      <c r="E157" s="71" t="s">
        <v>204</v>
      </c>
      <c r="F157" s="196" t="str">
        <f>[1]Лист2!D150</f>
        <v>А</v>
      </c>
      <c r="G157" s="64"/>
      <c r="H157" s="67">
        <v>129150</v>
      </c>
      <c r="I157" s="64" t="s">
        <v>234</v>
      </c>
      <c r="J157" s="64"/>
      <c r="K157" s="64" t="s">
        <v>232</v>
      </c>
      <c r="L157" s="64" t="s">
        <v>232</v>
      </c>
      <c r="M157" s="72">
        <v>1875</v>
      </c>
      <c r="N157" s="64" t="s">
        <v>385</v>
      </c>
      <c r="O157" s="73">
        <v>4</v>
      </c>
      <c r="P157" s="196">
        <v>0</v>
      </c>
      <c r="Q157" s="73">
        <v>1</v>
      </c>
      <c r="R157" s="74">
        <v>23</v>
      </c>
      <c r="S157" s="75">
        <v>650</v>
      </c>
      <c r="T157" s="82">
        <f t="shared" si="4"/>
        <v>603</v>
      </c>
      <c r="U157" s="77">
        <f t="shared" si="5"/>
        <v>603</v>
      </c>
      <c r="V157" s="77">
        <v>47</v>
      </c>
      <c r="W157" s="80" t="s">
        <v>233</v>
      </c>
      <c r="X157" s="81" t="s">
        <v>233</v>
      </c>
      <c r="Y157" s="64" t="s">
        <v>233</v>
      </c>
      <c r="Z157" s="81" t="s">
        <v>233</v>
      </c>
      <c r="AA157" s="64" t="s">
        <v>233</v>
      </c>
      <c r="AB157" s="81" t="s">
        <v>233</v>
      </c>
      <c r="AC157" s="64" t="s">
        <v>240</v>
      </c>
      <c r="AD157" s="64" t="s">
        <v>233</v>
      </c>
      <c r="AE157" s="64" t="s">
        <v>240</v>
      </c>
      <c r="AF157" s="208">
        <v>0</v>
      </c>
      <c r="AG157" s="4">
        <v>1</v>
      </c>
      <c r="AH157" s="64">
        <v>1</v>
      </c>
      <c r="AI157" s="64">
        <v>0</v>
      </c>
      <c r="AJ157" s="64">
        <v>0</v>
      </c>
      <c r="AK157" s="64">
        <v>0</v>
      </c>
    </row>
    <row r="158" spans="1:37" s="65" customFormat="1" outlineLevel="1">
      <c r="A158" s="63">
        <v>151</v>
      </c>
      <c r="B158" s="64" t="s">
        <v>190</v>
      </c>
      <c r="C158" s="64" t="s">
        <v>235</v>
      </c>
      <c r="D158" s="64" t="str">
        <f>[1]Лист2!B151</f>
        <v>6-я КРАСНОАРМЕЙСКАЯ ул.</v>
      </c>
      <c r="E158" s="71" t="s">
        <v>204</v>
      </c>
      <c r="F158" s="196" t="str">
        <f>[1]Лист2!D151</f>
        <v>Б</v>
      </c>
      <c r="G158" s="4"/>
      <c r="H158" s="67">
        <v>129151</v>
      </c>
      <c r="I158" s="64" t="s">
        <v>234</v>
      </c>
      <c r="J158" s="64"/>
      <c r="K158" s="64" t="s">
        <v>232</v>
      </c>
      <c r="L158" s="64" t="s">
        <v>232</v>
      </c>
      <c r="M158" s="72">
        <v>1899</v>
      </c>
      <c r="N158" s="64" t="s">
        <v>385</v>
      </c>
      <c r="O158" s="73">
        <v>4</v>
      </c>
      <c r="P158" s="196">
        <v>0</v>
      </c>
      <c r="Q158" s="73">
        <v>1</v>
      </c>
      <c r="R158" s="74">
        <v>21</v>
      </c>
      <c r="S158" s="75">
        <v>870</v>
      </c>
      <c r="T158" s="82">
        <f t="shared" si="4"/>
        <v>714</v>
      </c>
      <c r="U158" s="77">
        <f t="shared" si="5"/>
        <v>714</v>
      </c>
      <c r="V158" s="77">
        <v>156</v>
      </c>
      <c r="W158" s="80" t="s">
        <v>233</v>
      </c>
      <c r="X158" s="81" t="s">
        <v>233</v>
      </c>
      <c r="Y158" s="64" t="s">
        <v>233</v>
      </c>
      <c r="Z158" s="81" t="s">
        <v>233</v>
      </c>
      <c r="AA158" s="64" t="s">
        <v>233</v>
      </c>
      <c r="AB158" s="81" t="s">
        <v>233</v>
      </c>
      <c r="AC158" s="64" t="s">
        <v>240</v>
      </c>
      <c r="AD158" s="64" t="s">
        <v>233</v>
      </c>
      <c r="AE158" s="64" t="s">
        <v>240</v>
      </c>
      <c r="AF158" s="209">
        <v>0</v>
      </c>
      <c r="AG158" s="4">
        <v>1</v>
      </c>
      <c r="AH158" s="64">
        <v>1</v>
      </c>
      <c r="AI158" s="64">
        <v>0</v>
      </c>
      <c r="AJ158" s="64">
        <v>0</v>
      </c>
      <c r="AK158" s="64">
        <v>0</v>
      </c>
    </row>
    <row r="159" spans="1:37" s="65" customFormat="1" outlineLevel="1">
      <c r="A159" s="63">
        <v>152</v>
      </c>
      <c r="B159" s="64" t="s">
        <v>190</v>
      </c>
      <c r="C159" s="64" t="s">
        <v>235</v>
      </c>
      <c r="D159" s="64" t="str">
        <f>[1]Лист2!B152</f>
        <v>6-я КРАСНОАРМЕЙСКАЯ ул.</v>
      </c>
      <c r="E159" s="71" t="s">
        <v>204</v>
      </c>
      <c r="F159" s="196" t="str">
        <f>[1]Лист2!D152</f>
        <v>В</v>
      </c>
      <c r="G159" s="4"/>
      <c r="H159" s="67">
        <v>129152</v>
      </c>
      <c r="I159" s="64" t="s">
        <v>234</v>
      </c>
      <c r="J159" s="64"/>
      <c r="K159" s="64" t="s">
        <v>232</v>
      </c>
      <c r="L159" s="64" t="s">
        <v>232</v>
      </c>
      <c r="M159" s="72">
        <v>1854</v>
      </c>
      <c r="N159" s="64" t="s">
        <v>385</v>
      </c>
      <c r="O159" s="73">
        <v>4</v>
      </c>
      <c r="P159" s="196">
        <v>0</v>
      </c>
      <c r="Q159" s="73">
        <v>1</v>
      </c>
      <c r="R159" s="74">
        <v>14</v>
      </c>
      <c r="S159" s="75">
        <v>862</v>
      </c>
      <c r="T159" s="82">
        <f t="shared" si="4"/>
        <v>376</v>
      </c>
      <c r="U159" s="77">
        <f t="shared" si="5"/>
        <v>376</v>
      </c>
      <c r="V159" s="77">
        <v>486</v>
      </c>
      <c r="W159" s="80" t="s">
        <v>233</v>
      </c>
      <c r="X159" s="81" t="s">
        <v>233</v>
      </c>
      <c r="Y159" s="64" t="s">
        <v>233</v>
      </c>
      <c r="Z159" s="81" t="s">
        <v>233</v>
      </c>
      <c r="AA159" s="64" t="s">
        <v>233</v>
      </c>
      <c r="AB159" s="81" t="s">
        <v>233</v>
      </c>
      <c r="AC159" s="64" t="s">
        <v>240</v>
      </c>
      <c r="AD159" s="64" t="s">
        <v>233</v>
      </c>
      <c r="AE159" s="64" t="s">
        <v>240</v>
      </c>
      <c r="AF159" s="209">
        <v>0</v>
      </c>
      <c r="AG159" s="4">
        <v>1</v>
      </c>
      <c r="AH159" s="64">
        <v>1</v>
      </c>
      <c r="AI159" s="64">
        <v>0</v>
      </c>
      <c r="AJ159" s="64">
        <v>0</v>
      </c>
      <c r="AK159" s="64">
        <v>0</v>
      </c>
    </row>
    <row r="160" spans="1:37" outlineLevel="1">
      <c r="A160" s="5">
        <v>153</v>
      </c>
      <c r="B160" s="64" t="s">
        <v>190</v>
      </c>
      <c r="C160" s="64" t="s">
        <v>235</v>
      </c>
      <c r="D160" s="4" t="str">
        <f>[1]Лист2!B153</f>
        <v>6-я КРАСНОАРМЕЙСКАЯ ул.</v>
      </c>
      <c r="E160" s="69">
        <f>[1]Лист2!C153</f>
        <v>25</v>
      </c>
      <c r="F160" s="197" t="str">
        <f>[1]Лист2!D153</f>
        <v>А</v>
      </c>
      <c r="G160" s="64"/>
      <c r="H160" s="199">
        <v>129153</v>
      </c>
      <c r="I160" s="64" t="s">
        <v>234</v>
      </c>
      <c r="J160" s="4"/>
      <c r="K160" s="64" t="s">
        <v>232</v>
      </c>
      <c r="L160" s="4" t="s">
        <v>232</v>
      </c>
      <c r="M160" s="72">
        <v>1904</v>
      </c>
      <c r="N160" s="64" t="s">
        <v>385</v>
      </c>
      <c r="O160" s="73">
        <v>4</v>
      </c>
      <c r="P160" s="196">
        <v>0</v>
      </c>
      <c r="Q160" s="73">
        <v>3</v>
      </c>
      <c r="R160" s="74">
        <v>9</v>
      </c>
      <c r="S160" s="76">
        <v>1387.78</v>
      </c>
      <c r="T160" s="82">
        <f t="shared" si="4"/>
        <v>1252.78</v>
      </c>
      <c r="U160" s="77">
        <f t="shared" si="5"/>
        <v>1252.78</v>
      </c>
      <c r="V160" s="78">
        <v>135</v>
      </c>
      <c r="W160" s="80" t="s">
        <v>233</v>
      </c>
      <c r="X160" s="81" t="s">
        <v>233</v>
      </c>
      <c r="Y160" s="4" t="s">
        <v>233</v>
      </c>
      <c r="Z160" s="81" t="s">
        <v>233</v>
      </c>
      <c r="AA160" s="64" t="s">
        <v>233</v>
      </c>
      <c r="AB160" s="81" t="s">
        <v>233</v>
      </c>
      <c r="AC160" s="64" t="s">
        <v>240</v>
      </c>
      <c r="AD160" s="64" t="s">
        <v>233</v>
      </c>
      <c r="AE160" s="64" t="s">
        <v>240</v>
      </c>
      <c r="AF160" s="208">
        <v>0</v>
      </c>
      <c r="AG160" s="4">
        <v>1</v>
      </c>
      <c r="AH160" s="64">
        <v>1</v>
      </c>
      <c r="AI160" s="4">
        <v>1</v>
      </c>
      <c r="AJ160" s="4">
        <v>1</v>
      </c>
      <c r="AK160" s="4">
        <v>0</v>
      </c>
    </row>
    <row r="161" spans="1:37" outlineLevel="1">
      <c r="A161" s="5">
        <v>154</v>
      </c>
      <c r="B161" s="64" t="s">
        <v>190</v>
      </c>
      <c r="C161" s="64" t="s">
        <v>235</v>
      </c>
      <c r="D161" s="4" t="str">
        <f>[1]Лист2!B154</f>
        <v>6-я КРАСНОАРМЕЙСКАЯ ул.</v>
      </c>
      <c r="E161" s="69">
        <f>[1]Лист2!C154</f>
        <v>27</v>
      </c>
      <c r="F161" s="197" t="str">
        <f>[1]Лист2!D154</f>
        <v>А</v>
      </c>
      <c r="G161" s="64"/>
      <c r="H161" s="199">
        <v>129154</v>
      </c>
      <c r="I161" s="64" t="s">
        <v>234</v>
      </c>
      <c r="J161" s="4"/>
      <c r="K161" s="64" t="s">
        <v>232</v>
      </c>
      <c r="L161" s="4" t="s">
        <v>232</v>
      </c>
      <c r="M161" s="72">
        <v>1909</v>
      </c>
      <c r="N161" s="64" t="s">
        <v>385</v>
      </c>
      <c r="O161" s="73">
        <v>6</v>
      </c>
      <c r="P161" s="196">
        <v>0</v>
      </c>
      <c r="Q161" s="73">
        <v>4</v>
      </c>
      <c r="R161" s="74">
        <v>61</v>
      </c>
      <c r="S161" s="76">
        <v>3181.4300000000003</v>
      </c>
      <c r="T161" s="82">
        <f t="shared" si="4"/>
        <v>2792.07</v>
      </c>
      <c r="U161" s="77">
        <f t="shared" si="5"/>
        <v>2792.07</v>
      </c>
      <c r="V161" s="78">
        <v>389.36</v>
      </c>
      <c r="W161" s="80" t="s">
        <v>233</v>
      </c>
      <c r="X161" s="81" t="s">
        <v>233</v>
      </c>
      <c r="Y161" s="4" t="s">
        <v>233</v>
      </c>
      <c r="Z161" s="81" t="s">
        <v>233</v>
      </c>
      <c r="AA161" s="64" t="s">
        <v>233</v>
      </c>
      <c r="AB161" s="81" t="s">
        <v>233</v>
      </c>
      <c r="AC161" s="64" t="s">
        <v>240</v>
      </c>
      <c r="AD161" s="64" t="s">
        <v>233</v>
      </c>
      <c r="AE161" s="64" t="s">
        <v>240</v>
      </c>
      <c r="AF161" s="208">
        <v>1</v>
      </c>
      <c r="AG161" s="4">
        <v>3</v>
      </c>
      <c r="AH161" s="64">
        <v>1</v>
      </c>
      <c r="AI161" s="4">
        <v>0</v>
      </c>
      <c r="AJ161" s="4">
        <v>0</v>
      </c>
      <c r="AK161" s="4">
        <v>0</v>
      </c>
    </row>
    <row r="162" spans="1:37" outlineLevel="1">
      <c r="A162" s="5">
        <v>155</v>
      </c>
      <c r="B162" s="64" t="s">
        <v>190</v>
      </c>
      <c r="C162" s="64" t="s">
        <v>235</v>
      </c>
      <c r="D162" s="4" t="str">
        <f>[1]Лист2!B155</f>
        <v>6-я КРАСНОАРМЕЙСКАЯ ул.</v>
      </c>
      <c r="E162" s="69">
        <f>[1]Лист2!C155</f>
        <v>3</v>
      </c>
      <c r="F162" s="197" t="str">
        <f>[1]Лист2!D155</f>
        <v>А</v>
      </c>
      <c r="G162" s="4"/>
      <c r="H162" s="199">
        <v>129155</v>
      </c>
      <c r="I162" s="64" t="s">
        <v>234</v>
      </c>
      <c r="J162" s="4"/>
      <c r="K162" s="64" t="s">
        <v>232</v>
      </c>
      <c r="L162" s="4" t="s">
        <v>232</v>
      </c>
      <c r="M162" s="72">
        <v>1912</v>
      </c>
      <c r="N162" s="64" t="s">
        <v>385</v>
      </c>
      <c r="O162" s="73">
        <v>5</v>
      </c>
      <c r="P162" s="196">
        <v>0</v>
      </c>
      <c r="Q162" s="73">
        <v>3</v>
      </c>
      <c r="R162" s="74">
        <v>52</v>
      </c>
      <c r="S162" s="76">
        <v>4240.67</v>
      </c>
      <c r="T162" s="82">
        <f t="shared" si="4"/>
        <v>3498.67</v>
      </c>
      <c r="U162" s="77">
        <f t="shared" si="5"/>
        <v>3498.67</v>
      </c>
      <c r="V162" s="78">
        <v>742</v>
      </c>
      <c r="W162" s="80" t="s">
        <v>233</v>
      </c>
      <c r="X162" s="81" t="s">
        <v>233</v>
      </c>
      <c r="Y162" s="4" t="s">
        <v>233</v>
      </c>
      <c r="Z162" s="81" t="s">
        <v>233</v>
      </c>
      <c r="AA162" s="64" t="s">
        <v>233</v>
      </c>
      <c r="AB162" s="81" t="s">
        <v>233</v>
      </c>
      <c r="AC162" s="64" t="s">
        <v>240</v>
      </c>
      <c r="AD162" s="64" t="s">
        <v>233</v>
      </c>
      <c r="AE162" s="64" t="s">
        <v>240</v>
      </c>
      <c r="AF162" s="208">
        <v>1</v>
      </c>
      <c r="AG162" s="4">
        <v>1</v>
      </c>
      <c r="AH162" s="64">
        <v>1</v>
      </c>
      <c r="AI162" s="4">
        <v>0</v>
      </c>
      <c r="AJ162" s="4">
        <v>0</v>
      </c>
      <c r="AK162" s="4">
        <v>0</v>
      </c>
    </row>
    <row r="163" spans="1:37" outlineLevel="1">
      <c r="A163" s="5">
        <v>156</v>
      </c>
      <c r="B163" s="64" t="s">
        <v>190</v>
      </c>
      <c r="C163" s="64" t="s">
        <v>235</v>
      </c>
      <c r="D163" s="4" t="str">
        <f>[1]Лист2!B156</f>
        <v>6-я КРАСНОАРМЕЙСКАЯ ул.</v>
      </c>
      <c r="E163" s="69">
        <f>[1]Лист2!C156</f>
        <v>6</v>
      </c>
      <c r="F163" s="197" t="str">
        <f>[1]Лист2!D156</f>
        <v>А</v>
      </c>
      <c r="G163" s="4"/>
      <c r="H163" s="199">
        <v>129156</v>
      </c>
      <c r="I163" s="64" t="s">
        <v>234</v>
      </c>
      <c r="J163" s="4"/>
      <c r="K163" s="64" t="s">
        <v>232</v>
      </c>
      <c r="L163" s="4" t="s">
        <v>232</v>
      </c>
      <c r="M163" s="72">
        <v>1855</v>
      </c>
      <c r="N163" s="64" t="s">
        <v>385</v>
      </c>
      <c r="O163" s="73">
        <v>4</v>
      </c>
      <c r="P163" s="196">
        <v>0</v>
      </c>
      <c r="Q163" s="73">
        <v>3</v>
      </c>
      <c r="R163" s="74">
        <v>13</v>
      </c>
      <c r="S163" s="76">
        <v>1066.31</v>
      </c>
      <c r="T163" s="82">
        <f t="shared" si="4"/>
        <v>844.20999999999992</v>
      </c>
      <c r="U163" s="77">
        <f t="shared" si="5"/>
        <v>844.20999999999992</v>
      </c>
      <c r="V163" s="78">
        <v>222.1</v>
      </c>
      <c r="W163" s="80" t="s">
        <v>233</v>
      </c>
      <c r="X163" s="81" t="s">
        <v>233</v>
      </c>
      <c r="Y163" s="4" t="s">
        <v>233</v>
      </c>
      <c r="Z163" s="81" t="s">
        <v>233</v>
      </c>
      <c r="AA163" s="64" t="s">
        <v>233</v>
      </c>
      <c r="AB163" s="81" t="s">
        <v>233</v>
      </c>
      <c r="AC163" s="64" t="s">
        <v>240</v>
      </c>
      <c r="AD163" s="64" t="s">
        <v>233</v>
      </c>
      <c r="AE163" s="64" t="s">
        <v>240</v>
      </c>
      <c r="AF163" s="208">
        <v>0</v>
      </c>
      <c r="AG163" s="4">
        <v>1</v>
      </c>
      <c r="AH163" s="64">
        <v>1</v>
      </c>
      <c r="AI163" s="4">
        <v>1</v>
      </c>
      <c r="AJ163" s="4">
        <v>1</v>
      </c>
      <c r="AK163" s="4">
        <v>0</v>
      </c>
    </row>
    <row r="164" spans="1:37" outlineLevel="1">
      <c r="A164" s="63">
        <v>157</v>
      </c>
      <c r="B164" s="64" t="s">
        <v>190</v>
      </c>
      <c r="C164" s="64" t="s">
        <v>235</v>
      </c>
      <c r="D164" s="4" t="str">
        <f>[1]Лист2!B157</f>
        <v>6-я КРАСНОАРМЕЙСКАЯ ул.</v>
      </c>
      <c r="E164" s="69">
        <f>[1]Лист2!C157</f>
        <v>8</v>
      </c>
      <c r="F164" s="197" t="str">
        <f>[1]Лист2!D157</f>
        <v>А</v>
      </c>
      <c r="G164" s="64"/>
      <c r="H164" s="199">
        <v>129157</v>
      </c>
      <c r="I164" s="64" t="s">
        <v>234</v>
      </c>
      <c r="J164" s="4"/>
      <c r="K164" s="64" t="s">
        <v>232</v>
      </c>
      <c r="L164" s="4" t="s">
        <v>232</v>
      </c>
      <c r="M164" s="72">
        <v>1884</v>
      </c>
      <c r="N164" s="64" t="s">
        <v>385</v>
      </c>
      <c r="O164" s="73">
        <v>6</v>
      </c>
      <c r="P164" s="196">
        <v>0</v>
      </c>
      <c r="Q164" s="73">
        <v>4</v>
      </c>
      <c r="R164" s="74">
        <v>46</v>
      </c>
      <c r="S164" s="76">
        <v>2986.1100000000006</v>
      </c>
      <c r="T164" s="82">
        <f t="shared" si="4"/>
        <v>2787.8100000000004</v>
      </c>
      <c r="U164" s="77">
        <f t="shared" si="5"/>
        <v>2787.8100000000004</v>
      </c>
      <c r="V164" s="78">
        <v>198.3</v>
      </c>
      <c r="W164" s="80" t="s">
        <v>233</v>
      </c>
      <c r="X164" s="81" t="s">
        <v>233</v>
      </c>
      <c r="Y164" s="4" t="s">
        <v>233</v>
      </c>
      <c r="Z164" s="81" t="s">
        <v>233</v>
      </c>
      <c r="AA164" s="64" t="s">
        <v>233</v>
      </c>
      <c r="AB164" s="81" t="s">
        <v>233</v>
      </c>
      <c r="AC164" s="64" t="s">
        <v>240</v>
      </c>
      <c r="AD164" s="64" t="s">
        <v>233</v>
      </c>
      <c r="AE164" s="64" t="s">
        <v>240</v>
      </c>
      <c r="AF164" s="208">
        <v>1</v>
      </c>
      <c r="AG164" s="4">
        <v>3</v>
      </c>
      <c r="AH164" s="64">
        <v>1</v>
      </c>
      <c r="AI164" s="4">
        <v>0</v>
      </c>
      <c r="AJ164" s="4">
        <v>0</v>
      </c>
      <c r="AK164" s="4">
        <v>0</v>
      </c>
    </row>
    <row r="165" spans="1:37" outlineLevel="1">
      <c r="A165" s="63">
        <v>158</v>
      </c>
      <c r="B165" s="64" t="s">
        <v>190</v>
      </c>
      <c r="C165" s="64" t="s">
        <v>235</v>
      </c>
      <c r="D165" s="4" t="str">
        <f>[1]Лист2!B158</f>
        <v>7-я КРАСНОАРМЕЙСКАЯ ул.</v>
      </c>
      <c r="E165" s="69">
        <f>[1]Лист2!C158</f>
        <v>10</v>
      </c>
      <c r="F165" s="197" t="str">
        <f>[1]Лист2!D158</f>
        <v>А</v>
      </c>
      <c r="G165" s="64"/>
      <c r="H165" s="199">
        <v>129158</v>
      </c>
      <c r="I165" s="64" t="s">
        <v>234</v>
      </c>
      <c r="J165" s="4"/>
      <c r="K165" s="64" t="s">
        <v>232</v>
      </c>
      <c r="L165" s="4" t="s">
        <v>232</v>
      </c>
      <c r="M165" s="72">
        <v>1872</v>
      </c>
      <c r="N165" s="64" t="s">
        <v>385</v>
      </c>
      <c r="O165" s="73">
        <v>4</v>
      </c>
      <c r="P165" s="196">
        <v>0</v>
      </c>
      <c r="Q165" s="73">
        <v>1</v>
      </c>
      <c r="R165" s="74">
        <v>29</v>
      </c>
      <c r="S165" s="76">
        <v>1348.3999999999999</v>
      </c>
      <c r="T165" s="82">
        <f t="shared" si="4"/>
        <v>1008.5999999999999</v>
      </c>
      <c r="U165" s="77">
        <f t="shared" si="5"/>
        <v>1008.5999999999999</v>
      </c>
      <c r="V165" s="78">
        <v>339.8</v>
      </c>
      <c r="W165" s="80" t="s">
        <v>233</v>
      </c>
      <c r="X165" s="81" t="s">
        <v>233</v>
      </c>
      <c r="Y165" s="4" t="s">
        <v>233</v>
      </c>
      <c r="Z165" s="81" t="s">
        <v>233</v>
      </c>
      <c r="AA165" s="64" t="s">
        <v>233</v>
      </c>
      <c r="AB165" s="81" t="s">
        <v>233</v>
      </c>
      <c r="AC165" s="64" t="s">
        <v>240</v>
      </c>
      <c r="AD165" s="64" t="s">
        <v>233</v>
      </c>
      <c r="AE165" s="64" t="s">
        <v>240</v>
      </c>
      <c r="AF165" s="208">
        <v>0</v>
      </c>
      <c r="AG165" s="4">
        <v>1</v>
      </c>
      <c r="AH165" s="64">
        <v>1</v>
      </c>
      <c r="AI165" s="4">
        <v>0</v>
      </c>
      <c r="AJ165" s="4">
        <v>0</v>
      </c>
      <c r="AK165" s="4">
        <v>0</v>
      </c>
    </row>
    <row r="166" spans="1:37" outlineLevel="1">
      <c r="A166" s="5">
        <v>159</v>
      </c>
      <c r="B166" s="64" t="s">
        <v>190</v>
      </c>
      <c r="C166" s="64" t="s">
        <v>235</v>
      </c>
      <c r="D166" s="4" t="str">
        <f>[1]Лист2!B159</f>
        <v>7-я КРАСНОАРМЕЙСКАЯ ул.</v>
      </c>
      <c r="E166" s="69">
        <f>[1]Лист2!C159</f>
        <v>11</v>
      </c>
      <c r="F166" s="197" t="str">
        <f>[1]Лист2!D159</f>
        <v>А</v>
      </c>
      <c r="G166" s="4"/>
      <c r="H166" s="199">
        <v>129159</v>
      </c>
      <c r="I166" s="64" t="s">
        <v>234</v>
      </c>
      <c r="J166" s="4"/>
      <c r="K166" s="64" t="s">
        <v>232</v>
      </c>
      <c r="L166" s="4" t="s">
        <v>232</v>
      </c>
      <c r="M166" s="72">
        <v>1989</v>
      </c>
      <c r="N166" s="64" t="s">
        <v>385</v>
      </c>
      <c r="O166" s="73">
        <v>7</v>
      </c>
      <c r="P166" s="196">
        <v>0</v>
      </c>
      <c r="Q166" s="73">
        <v>1</v>
      </c>
      <c r="R166" s="74">
        <v>34</v>
      </c>
      <c r="S166" s="76">
        <v>1094.8</v>
      </c>
      <c r="T166" s="82">
        <f t="shared" si="4"/>
        <v>915.3</v>
      </c>
      <c r="U166" s="77">
        <f t="shared" si="5"/>
        <v>915.3</v>
      </c>
      <c r="V166" s="78">
        <v>179.5</v>
      </c>
      <c r="W166" s="80" t="s">
        <v>233</v>
      </c>
      <c r="X166" s="81" t="s">
        <v>233</v>
      </c>
      <c r="Y166" s="4" t="s">
        <v>233</v>
      </c>
      <c r="Z166" s="81" t="s">
        <v>233</v>
      </c>
      <c r="AA166" s="64" t="s">
        <v>233</v>
      </c>
      <c r="AB166" s="81" t="s">
        <v>233</v>
      </c>
      <c r="AC166" s="64" t="s">
        <v>240</v>
      </c>
      <c r="AD166" s="64" t="s">
        <v>233</v>
      </c>
      <c r="AE166" s="64" t="s">
        <v>240</v>
      </c>
      <c r="AF166" s="208">
        <v>2</v>
      </c>
      <c r="AG166" s="4">
        <v>1</v>
      </c>
      <c r="AH166" s="64">
        <v>1</v>
      </c>
      <c r="AI166" s="4">
        <v>0</v>
      </c>
      <c r="AJ166" s="4">
        <v>0</v>
      </c>
      <c r="AK166" s="4">
        <v>0</v>
      </c>
    </row>
    <row r="167" spans="1:37" outlineLevel="1">
      <c r="A167" s="5">
        <v>160</v>
      </c>
      <c r="B167" s="64" t="s">
        <v>190</v>
      </c>
      <c r="C167" s="64" t="s">
        <v>235</v>
      </c>
      <c r="D167" s="4" t="str">
        <f>[1]Лист2!B160</f>
        <v>7-я КРАСНОАРМЕЙСКАЯ ул.</v>
      </c>
      <c r="E167" s="69">
        <f>[1]Лист2!C160</f>
        <v>11</v>
      </c>
      <c r="F167" s="197" t="str">
        <f>[1]Лист2!D160</f>
        <v>Б</v>
      </c>
      <c r="G167" s="4"/>
      <c r="H167" s="199">
        <v>129160</v>
      </c>
      <c r="I167" s="64" t="s">
        <v>234</v>
      </c>
      <c r="J167" s="4"/>
      <c r="K167" s="64" t="s">
        <v>232</v>
      </c>
      <c r="L167" s="4" t="s">
        <v>232</v>
      </c>
      <c r="M167" s="72">
        <v>1989</v>
      </c>
      <c r="N167" s="64" t="s">
        <v>385</v>
      </c>
      <c r="O167" s="73">
        <v>7</v>
      </c>
      <c r="P167" s="196">
        <v>0</v>
      </c>
      <c r="Q167" s="73">
        <v>1</v>
      </c>
      <c r="R167" s="74">
        <v>28</v>
      </c>
      <c r="S167" s="76">
        <v>728.3</v>
      </c>
      <c r="T167" s="82">
        <f t="shared" si="4"/>
        <v>713.3</v>
      </c>
      <c r="U167" s="77">
        <f t="shared" si="5"/>
        <v>713.3</v>
      </c>
      <c r="V167" s="78">
        <v>15</v>
      </c>
      <c r="W167" s="80" t="s">
        <v>233</v>
      </c>
      <c r="X167" s="81" t="s">
        <v>233</v>
      </c>
      <c r="Y167" s="4" t="s">
        <v>233</v>
      </c>
      <c r="Z167" s="81" t="s">
        <v>233</v>
      </c>
      <c r="AA167" s="64" t="s">
        <v>233</v>
      </c>
      <c r="AB167" s="81" t="s">
        <v>233</v>
      </c>
      <c r="AC167" s="64" t="s">
        <v>240</v>
      </c>
      <c r="AD167" s="64" t="s">
        <v>233</v>
      </c>
      <c r="AE167" s="64" t="s">
        <v>240</v>
      </c>
      <c r="AF167" s="209">
        <v>0</v>
      </c>
      <c r="AG167" s="4">
        <v>1</v>
      </c>
      <c r="AH167" s="64">
        <v>1</v>
      </c>
      <c r="AI167" s="4">
        <v>0</v>
      </c>
      <c r="AJ167" s="4">
        <v>0</v>
      </c>
      <c r="AK167" s="4">
        <v>0</v>
      </c>
    </row>
    <row r="168" spans="1:37" outlineLevel="1">
      <c r="A168" s="5">
        <v>161</v>
      </c>
      <c r="B168" s="64" t="s">
        <v>190</v>
      </c>
      <c r="C168" s="64" t="s">
        <v>235</v>
      </c>
      <c r="D168" s="4" t="str">
        <f>[1]Лист2!B161</f>
        <v>7-я КРАСНОАРМЕЙСКАЯ ул.</v>
      </c>
      <c r="E168" s="69">
        <f>[1]Лист2!C161</f>
        <v>13</v>
      </c>
      <c r="F168" s="197" t="str">
        <f>[1]Лист2!D161</f>
        <v>А</v>
      </c>
      <c r="G168" s="64"/>
      <c r="H168" s="199">
        <v>129161</v>
      </c>
      <c r="I168" s="64" t="s">
        <v>234</v>
      </c>
      <c r="J168" s="4"/>
      <c r="K168" s="64" t="s">
        <v>232</v>
      </c>
      <c r="L168" s="4" t="s">
        <v>232</v>
      </c>
      <c r="M168" s="72">
        <v>1857</v>
      </c>
      <c r="N168" s="64" t="s">
        <v>385</v>
      </c>
      <c r="O168" s="73">
        <v>4</v>
      </c>
      <c r="P168" s="196">
        <v>0</v>
      </c>
      <c r="Q168" s="73">
        <v>3</v>
      </c>
      <c r="R168" s="74">
        <v>25</v>
      </c>
      <c r="S168" s="76">
        <v>1751.5900000000001</v>
      </c>
      <c r="T168" s="82">
        <f t="shared" si="4"/>
        <v>1478.5900000000001</v>
      </c>
      <c r="U168" s="77">
        <f t="shared" si="5"/>
        <v>1478.5900000000001</v>
      </c>
      <c r="V168" s="78">
        <v>273</v>
      </c>
      <c r="W168" s="80" t="s">
        <v>233</v>
      </c>
      <c r="X168" s="81" t="s">
        <v>233</v>
      </c>
      <c r="Y168" s="4" t="s">
        <v>233</v>
      </c>
      <c r="Z168" s="81" t="s">
        <v>233</v>
      </c>
      <c r="AA168" s="64" t="s">
        <v>233</v>
      </c>
      <c r="AB168" s="81" t="s">
        <v>233</v>
      </c>
      <c r="AC168" s="64" t="s">
        <v>240</v>
      </c>
      <c r="AD168" s="64" t="s">
        <v>233</v>
      </c>
      <c r="AE168" s="64" t="s">
        <v>240</v>
      </c>
      <c r="AF168" s="208">
        <v>0</v>
      </c>
      <c r="AG168" s="4">
        <v>1</v>
      </c>
      <c r="AH168" s="64">
        <v>1</v>
      </c>
      <c r="AI168" s="4">
        <v>1</v>
      </c>
      <c r="AJ168" s="4">
        <v>1</v>
      </c>
      <c r="AK168" s="4">
        <v>0</v>
      </c>
    </row>
    <row r="169" spans="1:37" outlineLevel="1">
      <c r="A169" s="5">
        <v>162</v>
      </c>
      <c r="B169" s="64" t="s">
        <v>190</v>
      </c>
      <c r="C169" s="64" t="s">
        <v>235</v>
      </c>
      <c r="D169" s="4" t="str">
        <f>[1]Лист2!B162</f>
        <v>7-я КРАСНОАРМЕЙСКАЯ ул.</v>
      </c>
      <c r="E169" s="69">
        <f>[1]Лист2!C162</f>
        <v>15</v>
      </c>
      <c r="F169" s="197" t="str">
        <f>[1]Лист2!D162</f>
        <v>А</v>
      </c>
      <c r="G169" s="64"/>
      <c r="H169" s="199">
        <v>129162</v>
      </c>
      <c r="I169" s="64" t="s">
        <v>234</v>
      </c>
      <c r="J169" s="4"/>
      <c r="K169" s="64" t="s">
        <v>232</v>
      </c>
      <c r="L169" s="4" t="s">
        <v>232</v>
      </c>
      <c r="M169" s="72">
        <v>1861</v>
      </c>
      <c r="N169" s="64" t="s">
        <v>385</v>
      </c>
      <c r="O169" s="73">
        <v>4</v>
      </c>
      <c r="P169" s="196">
        <v>0</v>
      </c>
      <c r="Q169" s="73">
        <v>3</v>
      </c>
      <c r="R169" s="74">
        <v>82</v>
      </c>
      <c r="S169" s="76">
        <v>2074</v>
      </c>
      <c r="T169" s="82">
        <f t="shared" si="4"/>
        <v>2048</v>
      </c>
      <c r="U169" s="77">
        <f t="shared" si="5"/>
        <v>2048</v>
      </c>
      <c r="V169" s="78">
        <v>26</v>
      </c>
      <c r="W169" s="80" t="s">
        <v>233</v>
      </c>
      <c r="X169" s="81" t="s">
        <v>233</v>
      </c>
      <c r="Y169" s="4" t="s">
        <v>233</v>
      </c>
      <c r="Z169" s="81" t="s">
        <v>233</v>
      </c>
      <c r="AA169" s="64" t="s">
        <v>233</v>
      </c>
      <c r="AB169" s="81" t="s">
        <v>233</v>
      </c>
      <c r="AC169" s="64" t="s">
        <v>240</v>
      </c>
      <c r="AD169" s="64" t="s">
        <v>233</v>
      </c>
      <c r="AE169" s="64" t="s">
        <v>240</v>
      </c>
      <c r="AF169" s="208">
        <v>0</v>
      </c>
      <c r="AG169" s="4">
        <v>1</v>
      </c>
      <c r="AH169" s="64">
        <v>1</v>
      </c>
      <c r="AI169" s="4">
        <v>0</v>
      </c>
      <c r="AJ169" s="4">
        <v>0</v>
      </c>
      <c r="AK169" s="4">
        <v>0</v>
      </c>
    </row>
    <row r="170" spans="1:37" outlineLevel="1">
      <c r="A170" s="63">
        <v>163</v>
      </c>
      <c r="B170" s="64" t="s">
        <v>190</v>
      </c>
      <c r="C170" s="64" t="s">
        <v>235</v>
      </c>
      <c r="D170" s="4" t="str">
        <f>[1]Лист2!B163</f>
        <v>7-я КРАСНОАРМЕЙСКАЯ ул.</v>
      </c>
      <c r="E170" s="69">
        <f>[1]Лист2!C163</f>
        <v>15</v>
      </c>
      <c r="F170" s="197" t="str">
        <f>[1]Лист2!D163</f>
        <v>Б</v>
      </c>
      <c r="G170" s="4"/>
      <c r="H170" s="199">
        <v>129163</v>
      </c>
      <c r="I170" s="64" t="s">
        <v>234</v>
      </c>
      <c r="J170" s="4"/>
      <c r="K170" s="64" t="s">
        <v>232</v>
      </c>
      <c r="L170" s="4" t="s">
        <v>232</v>
      </c>
      <c r="M170" s="72">
        <v>1862</v>
      </c>
      <c r="N170" s="64" t="s">
        <v>385</v>
      </c>
      <c r="O170" s="73">
        <v>4</v>
      </c>
      <c r="P170" s="196">
        <v>0</v>
      </c>
      <c r="Q170" s="73">
        <v>1</v>
      </c>
      <c r="R170" s="74">
        <v>7</v>
      </c>
      <c r="S170" s="76">
        <v>331</v>
      </c>
      <c r="T170" s="82">
        <f t="shared" si="4"/>
        <v>331</v>
      </c>
      <c r="U170" s="77">
        <f t="shared" si="5"/>
        <v>331</v>
      </c>
      <c r="V170" s="78">
        <v>0</v>
      </c>
      <c r="W170" s="80" t="s">
        <v>233</v>
      </c>
      <c r="X170" s="81" t="s">
        <v>233</v>
      </c>
      <c r="Y170" s="4" t="s">
        <v>233</v>
      </c>
      <c r="Z170" s="81" t="s">
        <v>233</v>
      </c>
      <c r="AA170" s="64" t="s">
        <v>233</v>
      </c>
      <c r="AB170" s="81" t="s">
        <v>233</v>
      </c>
      <c r="AC170" s="64" t="s">
        <v>240</v>
      </c>
      <c r="AD170" s="64" t="s">
        <v>233</v>
      </c>
      <c r="AE170" s="64" t="s">
        <v>240</v>
      </c>
      <c r="AF170" s="209">
        <v>0</v>
      </c>
      <c r="AG170" s="4">
        <v>1</v>
      </c>
      <c r="AH170" s="64">
        <v>1</v>
      </c>
      <c r="AI170" s="4">
        <v>0</v>
      </c>
      <c r="AJ170" s="4">
        <v>0</v>
      </c>
      <c r="AK170" s="4">
        <v>0</v>
      </c>
    </row>
    <row r="171" spans="1:37" outlineLevel="1">
      <c r="A171" s="63">
        <v>164</v>
      </c>
      <c r="B171" s="64" t="s">
        <v>190</v>
      </c>
      <c r="C171" s="64" t="s">
        <v>235</v>
      </c>
      <c r="D171" s="4" t="str">
        <f>[1]Лист2!B164</f>
        <v>7-я КРАСНОАРМЕЙСКАЯ ул.</v>
      </c>
      <c r="E171" s="69">
        <f>[1]Лист2!C164</f>
        <v>16</v>
      </c>
      <c r="F171" s="197" t="str">
        <f>[1]Лист2!D164</f>
        <v>А</v>
      </c>
      <c r="G171" s="4"/>
      <c r="H171" s="199">
        <v>129164</v>
      </c>
      <c r="I171" s="64" t="s">
        <v>234</v>
      </c>
      <c r="J171" s="4"/>
      <c r="K171" s="64" t="s">
        <v>232</v>
      </c>
      <c r="L171" s="4" t="s">
        <v>232</v>
      </c>
      <c r="M171" s="72">
        <v>1901</v>
      </c>
      <c r="N171" s="64" t="s">
        <v>385</v>
      </c>
      <c r="O171" s="73">
        <v>4</v>
      </c>
      <c r="P171" s="196">
        <v>0</v>
      </c>
      <c r="Q171" s="73">
        <v>3</v>
      </c>
      <c r="R171" s="74">
        <v>19</v>
      </c>
      <c r="S171" s="76">
        <v>1663.95</v>
      </c>
      <c r="T171" s="82">
        <f t="shared" si="4"/>
        <v>1510.95</v>
      </c>
      <c r="U171" s="77">
        <f t="shared" si="5"/>
        <v>1510.95</v>
      </c>
      <c r="V171" s="78">
        <v>153</v>
      </c>
      <c r="W171" s="80" t="s">
        <v>233</v>
      </c>
      <c r="X171" s="81" t="s">
        <v>233</v>
      </c>
      <c r="Y171" s="4" t="s">
        <v>233</v>
      </c>
      <c r="Z171" s="81" t="s">
        <v>233</v>
      </c>
      <c r="AA171" s="64" t="s">
        <v>233</v>
      </c>
      <c r="AB171" s="81" t="s">
        <v>233</v>
      </c>
      <c r="AC171" s="64" t="s">
        <v>240</v>
      </c>
      <c r="AD171" s="64" t="s">
        <v>233</v>
      </c>
      <c r="AE171" s="64" t="s">
        <v>240</v>
      </c>
      <c r="AF171" s="208">
        <v>0</v>
      </c>
      <c r="AG171" s="4">
        <v>1</v>
      </c>
      <c r="AH171" s="64">
        <v>1</v>
      </c>
      <c r="AI171" s="4">
        <v>0</v>
      </c>
      <c r="AJ171" s="4">
        <v>0</v>
      </c>
      <c r="AK171" s="4">
        <v>0</v>
      </c>
    </row>
    <row r="172" spans="1:37" outlineLevel="1">
      <c r="A172" s="5">
        <v>165</v>
      </c>
      <c r="B172" s="64" t="s">
        <v>190</v>
      </c>
      <c r="C172" s="64" t="s">
        <v>235</v>
      </c>
      <c r="D172" s="4" t="str">
        <f>[1]Лист2!B165</f>
        <v>7-я КРАСНОАРМЕЙСКАЯ ул.</v>
      </c>
      <c r="E172" s="69">
        <f>[1]Лист2!C165</f>
        <v>17</v>
      </c>
      <c r="F172" s="197" t="str">
        <f>[1]Лист2!D165</f>
        <v>А</v>
      </c>
      <c r="G172" s="64"/>
      <c r="H172" s="199">
        <v>129165</v>
      </c>
      <c r="I172" s="64" t="s">
        <v>234</v>
      </c>
      <c r="J172" s="4"/>
      <c r="K172" s="64" t="s">
        <v>232</v>
      </c>
      <c r="L172" s="4" t="s">
        <v>232</v>
      </c>
      <c r="M172" s="72">
        <v>1905</v>
      </c>
      <c r="N172" s="64" t="s">
        <v>385</v>
      </c>
      <c r="O172" s="73">
        <v>5</v>
      </c>
      <c r="P172" s="196">
        <v>0</v>
      </c>
      <c r="Q172" s="73">
        <v>2</v>
      </c>
      <c r="R172" s="74">
        <v>58</v>
      </c>
      <c r="S172" s="76">
        <v>1539.01</v>
      </c>
      <c r="T172" s="82">
        <f t="shared" si="4"/>
        <v>1455.01</v>
      </c>
      <c r="U172" s="77">
        <f t="shared" si="5"/>
        <v>1455.01</v>
      </c>
      <c r="V172" s="78">
        <v>84</v>
      </c>
      <c r="W172" s="80" t="s">
        <v>233</v>
      </c>
      <c r="X172" s="81" t="s">
        <v>233</v>
      </c>
      <c r="Y172" s="4" t="s">
        <v>233</v>
      </c>
      <c r="Z172" s="81" t="s">
        <v>233</v>
      </c>
      <c r="AA172" s="64" t="s">
        <v>233</v>
      </c>
      <c r="AB172" s="81" t="s">
        <v>233</v>
      </c>
      <c r="AC172" s="64" t="s">
        <v>240</v>
      </c>
      <c r="AD172" s="64" t="s">
        <v>233</v>
      </c>
      <c r="AE172" s="64" t="s">
        <v>240</v>
      </c>
      <c r="AF172" s="208">
        <v>2</v>
      </c>
      <c r="AG172" s="4">
        <v>1</v>
      </c>
      <c r="AH172" s="64">
        <v>2</v>
      </c>
      <c r="AI172" s="4">
        <v>1</v>
      </c>
      <c r="AJ172" s="4">
        <v>1</v>
      </c>
      <c r="AK172" s="4">
        <v>0</v>
      </c>
    </row>
    <row r="173" spans="1:37" outlineLevel="1">
      <c r="A173" s="5">
        <v>166</v>
      </c>
      <c r="B173" s="64" t="s">
        <v>190</v>
      </c>
      <c r="C173" s="64" t="s">
        <v>235</v>
      </c>
      <c r="D173" s="4" t="str">
        <f>[1]Лист2!B166</f>
        <v>7-я КРАСНОАРМЕЙСКАЯ ул.</v>
      </c>
      <c r="E173" s="69">
        <f>[1]Лист2!C166</f>
        <v>19</v>
      </c>
      <c r="F173" s="197" t="str">
        <f>[1]Лист2!D166</f>
        <v>А</v>
      </c>
      <c r="G173" s="64"/>
      <c r="H173" s="199">
        <v>129166</v>
      </c>
      <c r="I173" s="64" t="s">
        <v>234</v>
      </c>
      <c r="J173" s="4"/>
      <c r="K173" s="64" t="s">
        <v>232</v>
      </c>
      <c r="L173" s="4" t="s">
        <v>232</v>
      </c>
      <c r="M173" s="72">
        <v>1907</v>
      </c>
      <c r="N173" s="64" t="s">
        <v>385</v>
      </c>
      <c r="O173" s="73">
        <v>5</v>
      </c>
      <c r="P173" s="196">
        <v>0</v>
      </c>
      <c r="Q173" s="73">
        <v>4</v>
      </c>
      <c r="R173" s="74">
        <v>109</v>
      </c>
      <c r="S173" s="76">
        <v>4802.58</v>
      </c>
      <c r="T173" s="82">
        <f t="shared" si="4"/>
        <v>4009.58</v>
      </c>
      <c r="U173" s="77">
        <f t="shared" si="5"/>
        <v>4009.58</v>
      </c>
      <c r="V173" s="78">
        <v>793</v>
      </c>
      <c r="W173" s="80" t="s">
        <v>233</v>
      </c>
      <c r="X173" s="81" t="s">
        <v>233</v>
      </c>
      <c r="Y173" s="4" t="s">
        <v>233</v>
      </c>
      <c r="Z173" s="81" t="s">
        <v>233</v>
      </c>
      <c r="AA173" s="64" t="s">
        <v>233</v>
      </c>
      <c r="AB173" s="81" t="s">
        <v>233</v>
      </c>
      <c r="AC173" s="64" t="s">
        <v>240</v>
      </c>
      <c r="AD173" s="64" t="s">
        <v>233</v>
      </c>
      <c r="AE173" s="64" t="s">
        <v>240</v>
      </c>
      <c r="AF173" s="208">
        <v>0</v>
      </c>
      <c r="AG173" s="4">
        <v>1</v>
      </c>
      <c r="AH173" s="64">
        <v>2</v>
      </c>
      <c r="AI173" s="4">
        <v>0</v>
      </c>
      <c r="AJ173" s="4">
        <v>0</v>
      </c>
      <c r="AK173" s="4">
        <v>0</v>
      </c>
    </row>
    <row r="174" spans="1:37" outlineLevel="1">
      <c r="A174" s="5">
        <v>167</v>
      </c>
      <c r="B174" s="64" t="s">
        <v>190</v>
      </c>
      <c r="C174" s="64" t="s">
        <v>235</v>
      </c>
      <c r="D174" s="4" t="str">
        <f>[1]Лист2!B167</f>
        <v>7-я КРАСНОАРМЕЙСКАЯ ул.</v>
      </c>
      <c r="E174" s="69">
        <f>[1]Лист2!C167</f>
        <v>20</v>
      </c>
      <c r="F174" s="197" t="str">
        <f>[1]Лист2!D167</f>
        <v>А</v>
      </c>
      <c r="G174" s="4"/>
      <c r="H174" s="199">
        <v>129167</v>
      </c>
      <c r="I174" s="64" t="s">
        <v>234</v>
      </c>
      <c r="J174" s="4"/>
      <c r="K174" s="64" t="s">
        <v>232</v>
      </c>
      <c r="L174" s="4" t="s">
        <v>232</v>
      </c>
      <c r="M174" s="72">
        <v>1901</v>
      </c>
      <c r="N174" s="64" t="s">
        <v>385</v>
      </c>
      <c r="O174" s="73">
        <v>6</v>
      </c>
      <c r="P174" s="196">
        <v>0</v>
      </c>
      <c r="Q174" s="73">
        <v>4</v>
      </c>
      <c r="R174" s="74">
        <v>176</v>
      </c>
      <c r="S174" s="76">
        <v>5198</v>
      </c>
      <c r="T174" s="82">
        <f t="shared" si="4"/>
        <v>4873</v>
      </c>
      <c r="U174" s="77">
        <f t="shared" si="5"/>
        <v>4873</v>
      </c>
      <c r="V174" s="78">
        <v>325</v>
      </c>
      <c r="W174" s="80" t="s">
        <v>233</v>
      </c>
      <c r="X174" s="81" t="s">
        <v>233</v>
      </c>
      <c r="Y174" s="4" t="s">
        <v>233</v>
      </c>
      <c r="Z174" s="81" t="s">
        <v>233</v>
      </c>
      <c r="AA174" s="64" t="s">
        <v>233</v>
      </c>
      <c r="AB174" s="81" t="s">
        <v>233</v>
      </c>
      <c r="AC174" s="64" t="s">
        <v>240</v>
      </c>
      <c r="AD174" s="64" t="s">
        <v>233</v>
      </c>
      <c r="AE174" s="64" t="s">
        <v>240</v>
      </c>
      <c r="AF174" s="208">
        <v>0</v>
      </c>
      <c r="AG174" s="4">
        <v>2</v>
      </c>
      <c r="AH174" s="64">
        <v>1</v>
      </c>
      <c r="AI174" s="4">
        <v>1</v>
      </c>
      <c r="AJ174" s="4">
        <v>1</v>
      </c>
      <c r="AK174" s="4">
        <v>0</v>
      </c>
    </row>
    <row r="175" spans="1:37" outlineLevel="1">
      <c r="A175" s="5">
        <v>168</v>
      </c>
      <c r="B175" s="64" t="s">
        <v>190</v>
      </c>
      <c r="C175" s="64" t="s">
        <v>235</v>
      </c>
      <c r="D175" s="4" t="str">
        <f>[1]Лист2!B168</f>
        <v>7-я КРАСНОАРМЕЙСКАЯ ул.</v>
      </c>
      <c r="E175" s="69">
        <f>[1]Лист2!C168</f>
        <v>20</v>
      </c>
      <c r="F175" s="197" t="str">
        <f>[1]Лист2!D168</f>
        <v>Б</v>
      </c>
      <c r="G175" s="4"/>
      <c r="H175" s="199">
        <v>129168</v>
      </c>
      <c r="I175" s="64" t="s">
        <v>234</v>
      </c>
      <c r="J175" s="4" t="s">
        <v>1422</v>
      </c>
      <c r="K175" s="64" t="s">
        <v>232</v>
      </c>
      <c r="L175" s="4" t="s">
        <v>232</v>
      </c>
      <c r="M175" s="72">
        <v>1895</v>
      </c>
      <c r="N175" s="64" t="s">
        <v>385</v>
      </c>
      <c r="O175" s="73">
        <v>3</v>
      </c>
      <c r="P175" s="196">
        <v>0</v>
      </c>
      <c r="Q175" s="73">
        <v>2</v>
      </c>
      <c r="R175" s="74">
        <v>8</v>
      </c>
      <c r="S175" s="76">
        <v>611</v>
      </c>
      <c r="T175" s="82">
        <f t="shared" si="4"/>
        <v>0</v>
      </c>
      <c r="U175" s="77">
        <f t="shared" si="5"/>
        <v>0</v>
      </c>
      <c r="V175" s="78">
        <v>611</v>
      </c>
      <c r="W175" s="80" t="s">
        <v>233</v>
      </c>
      <c r="X175" s="81" t="s">
        <v>233</v>
      </c>
      <c r="Y175" s="4" t="s">
        <v>233</v>
      </c>
      <c r="Z175" s="81" t="s">
        <v>233</v>
      </c>
      <c r="AA175" s="64" t="s">
        <v>233</v>
      </c>
      <c r="AB175" s="81" t="s">
        <v>233</v>
      </c>
      <c r="AC175" s="64" t="s">
        <v>240</v>
      </c>
      <c r="AD175" s="64" t="s">
        <v>233</v>
      </c>
      <c r="AE175" s="64" t="s">
        <v>240</v>
      </c>
      <c r="AF175" s="209">
        <v>0</v>
      </c>
      <c r="AG175" s="4">
        <v>2</v>
      </c>
      <c r="AH175" s="64">
        <v>1</v>
      </c>
      <c r="AI175" s="4">
        <v>0</v>
      </c>
      <c r="AJ175" s="4">
        <v>0</v>
      </c>
      <c r="AK175" s="4">
        <v>0</v>
      </c>
    </row>
    <row r="176" spans="1:37" outlineLevel="1">
      <c r="A176" s="63">
        <v>169</v>
      </c>
      <c r="B176" s="64" t="s">
        <v>190</v>
      </c>
      <c r="C176" s="64" t="s">
        <v>235</v>
      </c>
      <c r="D176" s="4" t="str">
        <f>[1]Лист2!B169</f>
        <v>7-я КРАСНОАРМЕЙСКАЯ ул.</v>
      </c>
      <c r="E176" s="69">
        <f>[1]Лист2!C169</f>
        <v>21</v>
      </c>
      <c r="F176" s="197" t="str">
        <f>[1]Лист2!D169</f>
        <v>А</v>
      </c>
      <c r="G176" s="64"/>
      <c r="H176" s="199">
        <v>129169</v>
      </c>
      <c r="I176" s="64" t="s">
        <v>234</v>
      </c>
      <c r="J176" s="4"/>
      <c r="K176" s="64" t="s">
        <v>232</v>
      </c>
      <c r="L176" s="4" t="s">
        <v>232</v>
      </c>
      <c r="M176" s="72">
        <v>1857</v>
      </c>
      <c r="N176" s="64" t="s">
        <v>385</v>
      </c>
      <c r="O176" s="73">
        <v>4</v>
      </c>
      <c r="P176" s="196">
        <v>0</v>
      </c>
      <c r="Q176" s="73">
        <v>1</v>
      </c>
      <c r="R176" s="74">
        <v>20</v>
      </c>
      <c r="S176" s="76">
        <v>443.70000000000005</v>
      </c>
      <c r="T176" s="82">
        <f t="shared" si="4"/>
        <v>443.70000000000005</v>
      </c>
      <c r="U176" s="77">
        <f t="shared" si="5"/>
        <v>443.70000000000005</v>
      </c>
      <c r="V176" s="78">
        <v>0</v>
      </c>
      <c r="W176" s="80" t="s">
        <v>233</v>
      </c>
      <c r="X176" s="81" t="s">
        <v>233</v>
      </c>
      <c r="Y176" s="4" t="s">
        <v>233</v>
      </c>
      <c r="Z176" s="81" t="s">
        <v>233</v>
      </c>
      <c r="AA176" s="64" t="s">
        <v>233</v>
      </c>
      <c r="AB176" s="81" t="s">
        <v>233</v>
      </c>
      <c r="AC176" s="64" t="s">
        <v>240</v>
      </c>
      <c r="AD176" s="64" t="s">
        <v>233</v>
      </c>
      <c r="AE176" s="64" t="s">
        <v>240</v>
      </c>
      <c r="AF176" s="208">
        <v>0</v>
      </c>
      <c r="AG176" s="4">
        <v>1</v>
      </c>
      <c r="AH176" s="64">
        <v>1</v>
      </c>
      <c r="AI176" s="4">
        <v>0</v>
      </c>
      <c r="AJ176" s="4">
        <v>0</v>
      </c>
      <c r="AK176" s="4">
        <v>0</v>
      </c>
    </row>
    <row r="177" spans="1:37" outlineLevel="1">
      <c r="A177" s="63">
        <v>170</v>
      </c>
      <c r="B177" s="64" t="s">
        <v>190</v>
      </c>
      <c r="C177" s="64" t="s">
        <v>235</v>
      </c>
      <c r="D177" s="4" t="str">
        <f>[1]Лист2!B170</f>
        <v>7-я КРАСНОАРМЕЙСКАЯ ул.</v>
      </c>
      <c r="E177" s="69" t="str">
        <f>[1]Лист2!C170</f>
        <v>22-24</v>
      </c>
      <c r="F177" s="197" t="str">
        <f>[1]Лист2!D170</f>
        <v>А</v>
      </c>
      <c r="G177" s="64"/>
      <c r="H177" s="199">
        <v>129170</v>
      </c>
      <c r="I177" s="64" t="s">
        <v>234</v>
      </c>
      <c r="J177" s="4"/>
      <c r="K177" s="64" t="s">
        <v>232</v>
      </c>
      <c r="L177" s="4" t="s">
        <v>232</v>
      </c>
      <c r="M177" s="72">
        <v>1893</v>
      </c>
      <c r="N177" s="64" t="s">
        <v>385</v>
      </c>
      <c r="O177" s="73">
        <v>5</v>
      </c>
      <c r="P177" s="196">
        <v>0</v>
      </c>
      <c r="Q177" s="73">
        <v>5</v>
      </c>
      <c r="R177" s="74">
        <v>117</v>
      </c>
      <c r="S177" s="76">
        <v>3050</v>
      </c>
      <c r="T177" s="82">
        <f t="shared" si="4"/>
        <v>3050</v>
      </c>
      <c r="U177" s="77">
        <f t="shared" si="5"/>
        <v>3050</v>
      </c>
      <c r="V177" s="78">
        <v>0</v>
      </c>
      <c r="W177" s="80" t="s">
        <v>233</v>
      </c>
      <c r="X177" s="81" t="s">
        <v>233</v>
      </c>
      <c r="Y177" s="4" t="s">
        <v>233</v>
      </c>
      <c r="Z177" s="81" t="s">
        <v>233</v>
      </c>
      <c r="AA177" s="64" t="s">
        <v>233</v>
      </c>
      <c r="AB177" s="81" t="s">
        <v>233</v>
      </c>
      <c r="AC177" s="64" t="s">
        <v>240</v>
      </c>
      <c r="AD177" s="64" t="s">
        <v>233</v>
      </c>
      <c r="AE177" s="64" t="s">
        <v>240</v>
      </c>
      <c r="AF177" s="208">
        <v>0</v>
      </c>
      <c r="AG177" s="4">
        <v>1</v>
      </c>
      <c r="AH177" s="64">
        <v>1</v>
      </c>
      <c r="AI177" s="4">
        <v>1</v>
      </c>
      <c r="AJ177" s="4">
        <v>1</v>
      </c>
      <c r="AK177" s="4">
        <v>0</v>
      </c>
    </row>
    <row r="178" spans="1:37" outlineLevel="1">
      <c r="A178" s="5">
        <v>171</v>
      </c>
      <c r="B178" s="64" t="s">
        <v>190</v>
      </c>
      <c r="C178" s="64" t="s">
        <v>235</v>
      </c>
      <c r="D178" s="4" t="str">
        <f>[1]Лист2!B171</f>
        <v>7-я КРАСНОАРМЕЙСКАЯ ул.</v>
      </c>
      <c r="E178" s="69" t="str">
        <f>[1]Лист2!C171</f>
        <v>22-24</v>
      </c>
      <c r="F178" s="197" t="str">
        <f>[1]Лист2!D171</f>
        <v>Б</v>
      </c>
      <c r="G178" s="4"/>
      <c r="H178" s="199">
        <v>129171</v>
      </c>
      <c r="I178" s="64" t="s">
        <v>234</v>
      </c>
      <c r="J178" s="4"/>
      <c r="K178" s="64" t="s">
        <v>232</v>
      </c>
      <c r="L178" s="4" t="s">
        <v>232</v>
      </c>
      <c r="M178" s="72">
        <v>1903</v>
      </c>
      <c r="N178" s="64" t="s">
        <v>385</v>
      </c>
      <c r="O178" s="73">
        <v>5</v>
      </c>
      <c r="P178" s="196">
        <v>0</v>
      </c>
      <c r="Q178" s="73">
        <v>2</v>
      </c>
      <c r="R178" s="74">
        <v>85</v>
      </c>
      <c r="S178" s="76">
        <v>2034.3</v>
      </c>
      <c r="T178" s="82">
        <f t="shared" si="4"/>
        <v>1917.8</v>
      </c>
      <c r="U178" s="77">
        <f t="shared" si="5"/>
        <v>1917.8</v>
      </c>
      <c r="V178" s="78">
        <v>116.5</v>
      </c>
      <c r="W178" s="80" t="s">
        <v>233</v>
      </c>
      <c r="X178" s="81" t="s">
        <v>233</v>
      </c>
      <c r="Y178" s="4" t="s">
        <v>233</v>
      </c>
      <c r="Z178" s="81" t="s">
        <v>233</v>
      </c>
      <c r="AA178" s="64" t="s">
        <v>233</v>
      </c>
      <c r="AB178" s="81" t="s">
        <v>233</v>
      </c>
      <c r="AC178" s="64" t="s">
        <v>240</v>
      </c>
      <c r="AD178" s="64" t="s">
        <v>233</v>
      </c>
      <c r="AE178" s="64" t="s">
        <v>240</v>
      </c>
      <c r="AF178" s="209">
        <v>0</v>
      </c>
      <c r="AG178" s="4">
        <v>1</v>
      </c>
      <c r="AH178" s="64">
        <v>1</v>
      </c>
      <c r="AI178" s="4">
        <v>0</v>
      </c>
      <c r="AJ178" s="4">
        <v>0</v>
      </c>
      <c r="AK178" s="4">
        <v>0</v>
      </c>
    </row>
    <row r="179" spans="1:37" outlineLevel="1">
      <c r="A179" s="5">
        <v>172</v>
      </c>
      <c r="B179" s="64" t="s">
        <v>190</v>
      </c>
      <c r="C179" s="64" t="s">
        <v>235</v>
      </c>
      <c r="D179" s="4" t="str">
        <f>[1]Лист2!B172</f>
        <v>7-я КРАСНОАРМЕЙСКАЯ ул.</v>
      </c>
      <c r="E179" s="69">
        <f>[1]Лист2!C172</f>
        <v>23</v>
      </c>
      <c r="F179" s="197" t="str">
        <f>[1]Лист2!D172</f>
        <v>А</v>
      </c>
      <c r="G179" s="4"/>
      <c r="H179" s="199">
        <v>129172</v>
      </c>
      <c r="I179" s="64" t="s">
        <v>234</v>
      </c>
      <c r="J179" s="4"/>
      <c r="K179" s="64" t="s">
        <v>232</v>
      </c>
      <c r="L179" s="4" t="s">
        <v>232</v>
      </c>
      <c r="M179" s="72">
        <v>1860</v>
      </c>
      <c r="N179" s="64" t="s">
        <v>385</v>
      </c>
      <c r="O179" s="73">
        <v>4</v>
      </c>
      <c r="P179" s="196">
        <v>0</v>
      </c>
      <c r="Q179" s="73">
        <v>4</v>
      </c>
      <c r="R179" s="74">
        <v>14</v>
      </c>
      <c r="S179" s="76">
        <v>1185</v>
      </c>
      <c r="T179" s="82">
        <f t="shared" si="4"/>
        <v>826.56999999999994</v>
      </c>
      <c r="U179" s="77">
        <f t="shared" si="5"/>
        <v>826.56999999999994</v>
      </c>
      <c r="V179" s="78">
        <v>358.43</v>
      </c>
      <c r="W179" s="80" t="s">
        <v>233</v>
      </c>
      <c r="X179" s="81" t="s">
        <v>233</v>
      </c>
      <c r="Y179" s="4" t="s">
        <v>233</v>
      </c>
      <c r="Z179" s="81" t="s">
        <v>233</v>
      </c>
      <c r="AA179" s="64" t="s">
        <v>233</v>
      </c>
      <c r="AB179" s="81" t="s">
        <v>233</v>
      </c>
      <c r="AC179" s="64" t="s">
        <v>240</v>
      </c>
      <c r="AD179" s="64" t="s">
        <v>233</v>
      </c>
      <c r="AE179" s="64" t="s">
        <v>240</v>
      </c>
      <c r="AF179" s="208">
        <v>0</v>
      </c>
      <c r="AG179" s="4">
        <v>1</v>
      </c>
      <c r="AH179" s="64">
        <v>1</v>
      </c>
      <c r="AI179" s="4">
        <v>1</v>
      </c>
      <c r="AJ179" s="4">
        <v>1</v>
      </c>
      <c r="AK179" s="4">
        <v>0</v>
      </c>
    </row>
    <row r="180" spans="1:37" outlineLevel="1">
      <c r="A180" s="5">
        <v>173</v>
      </c>
      <c r="B180" s="64" t="s">
        <v>190</v>
      </c>
      <c r="C180" s="64" t="s">
        <v>235</v>
      </c>
      <c r="D180" s="4" t="str">
        <f>[1]Лист2!B173</f>
        <v>7-я КРАСНОАРМЕЙСКАЯ ул.</v>
      </c>
      <c r="E180" s="69">
        <f>[1]Лист2!C173</f>
        <v>3</v>
      </c>
      <c r="F180" s="197" t="str">
        <f>[1]Лист2!D173</f>
        <v>А</v>
      </c>
      <c r="G180" s="64"/>
      <c r="H180" s="199">
        <v>129173</v>
      </c>
      <c r="I180" s="64" t="s">
        <v>234</v>
      </c>
      <c r="J180" s="4"/>
      <c r="K180" s="64" t="s">
        <v>232</v>
      </c>
      <c r="L180" s="4" t="s">
        <v>232</v>
      </c>
      <c r="M180" s="72">
        <v>1882</v>
      </c>
      <c r="N180" s="64" t="s">
        <v>385</v>
      </c>
      <c r="O180" s="73">
        <v>3</v>
      </c>
      <c r="P180" s="196">
        <v>0</v>
      </c>
      <c r="Q180" s="73">
        <v>1</v>
      </c>
      <c r="R180" s="74">
        <v>22</v>
      </c>
      <c r="S180" s="76">
        <v>501</v>
      </c>
      <c r="T180" s="82">
        <f t="shared" si="4"/>
        <v>466</v>
      </c>
      <c r="U180" s="77">
        <f t="shared" si="5"/>
        <v>466</v>
      </c>
      <c r="V180" s="78">
        <v>35</v>
      </c>
      <c r="W180" s="80" t="s">
        <v>233</v>
      </c>
      <c r="X180" s="81" t="s">
        <v>233</v>
      </c>
      <c r="Y180" s="4" t="s">
        <v>233</v>
      </c>
      <c r="Z180" s="81" t="s">
        <v>233</v>
      </c>
      <c r="AA180" s="64" t="s">
        <v>233</v>
      </c>
      <c r="AB180" s="81" t="s">
        <v>233</v>
      </c>
      <c r="AC180" s="64" t="s">
        <v>240</v>
      </c>
      <c r="AD180" s="64" t="s">
        <v>233</v>
      </c>
      <c r="AE180" s="64" t="s">
        <v>240</v>
      </c>
      <c r="AF180" s="208">
        <v>0</v>
      </c>
      <c r="AG180" s="4">
        <v>1</v>
      </c>
      <c r="AH180" s="64">
        <v>1</v>
      </c>
      <c r="AI180" s="4">
        <v>0</v>
      </c>
      <c r="AJ180" s="4">
        <v>0</v>
      </c>
      <c r="AK180" s="4">
        <v>0</v>
      </c>
    </row>
    <row r="181" spans="1:37" outlineLevel="1">
      <c r="A181" s="5">
        <v>174</v>
      </c>
      <c r="B181" s="64" t="s">
        <v>190</v>
      </c>
      <c r="C181" s="64" t="s">
        <v>235</v>
      </c>
      <c r="D181" s="4" t="str">
        <f>[1]Лист2!B174</f>
        <v>7-я КРАСНОАРМЕЙСКАЯ ул.</v>
      </c>
      <c r="E181" s="69">
        <f>[1]Лист2!C174</f>
        <v>3</v>
      </c>
      <c r="F181" s="197" t="str">
        <f>[1]Лист2!D174</f>
        <v>Б</v>
      </c>
      <c r="G181" s="64"/>
      <c r="H181" s="199">
        <v>129174</v>
      </c>
      <c r="I181" s="64" t="s">
        <v>234</v>
      </c>
      <c r="J181" s="4"/>
      <c r="K181" s="64" t="s">
        <v>232</v>
      </c>
      <c r="L181" s="4" t="s">
        <v>232</v>
      </c>
      <c r="M181" s="72">
        <v>1886</v>
      </c>
      <c r="N181" s="64" t="s">
        <v>385</v>
      </c>
      <c r="O181" s="73">
        <v>3</v>
      </c>
      <c r="P181" s="196">
        <v>0</v>
      </c>
      <c r="Q181" s="73">
        <v>1</v>
      </c>
      <c r="R181" s="74">
        <v>5</v>
      </c>
      <c r="S181" s="76">
        <v>147</v>
      </c>
      <c r="T181" s="82">
        <f t="shared" si="4"/>
        <v>99</v>
      </c>
      <c r="U181" s="77">
        <f t="shared" si="5"/>
        <v>99</v>
      </c>
      <c r="V181" s="78">
        <v>48</v>
      </c>
      <c r="W181" s="80" t="s">
        <v>233</v>
      </c>
      <c r="X181" s="81" t="s">
        <v>233</v>
      </c>
      <c r="Y181" s="4" t="s">
        <v>233</v>
      </c>
      <c r="Z181" s="81" t="s">
        <v>233</v>
      </c>
      <c r="AA181" s="64" t="s">
        <v>233</v>
      </c>
      <c r="AB181" s="81" t="s">
        <v>233</v>
      </c>
      <c r="AC181" s="64" t="s">
        <v>240</v>
      </c>
      <c r="AD181" s="64" t="s">
        <v>233</v>
      </c>
      <c r="AE181" s="64" t="s">
        <v>240</v>
      </c>
      <c r="AF181" s="209">
        <v>0</v>
      </c>
      <c r="AG181" s="4">
        <v>1</v>
      </c>
      <c r="AH181" s="64">
        <v>1</v>
      </c>
      <c r="AI181" s="4">
        <v>0</v>
      </c>
      <c r="AJ181" s="4">
        <v>0</v>
      </c>
      <c r="AK181" s="4">
        <v>0</v>
      </c>
    </row>
    <row r="182" spans="1:37" outlineLevel="1">
      <c r="A182" s="63">
        <v>175</v>
      </c>
      <c r="B182" s="64" t="s">
        <v>190</v>
      </c>
      <c r="C182" s="64" t="s">
        <v>235</v>
      </c>
      <c r="D182" s="4" t="str">
        <f>[1]Лист2!B175</f>
        <v>7-я КРАСНОАРМЕЙСКАЯ ул.</v>
      </c>
      <c r="E182" s="69">
        <f>[1]Лист2!C175</f>
        <v>5</v>
      </c>
      <c r="F182" s="197" t="str">
        <f>[1]Лист2!D175</f>
        <v>А</v>
      </c>
      <c r="G182" s="4"/>
      <c r="H182" s="199">
        <v>129175</v>
      </c>
      <c r="I182" s="64" t="s">
        <v>234</v>
      </c>
      <c r="J182" s="4"/>
      <c r="K182" s="64" t="s">
        <v>232</v>
      </c>
      <c r="L182" s="4" t="s">
        <v>232</v>
      </c>
      <c r="M182" s="72">
        <v>1904</v>
      </c>
      <c r="N182" s="64" t="s">
        <v>385</v>
      </c>
      <c r="O182" s="73">
        <v>5</v>
      </c>
      <c r="P182" s="196">
        <v>0</v>
      </c>
      <c r="Q182" s="73">
        <v>4</v>
      </c>
      <c r="R182" s="74">
        <v>31</v>
      </c>
      <c r="S182" s="76">
        <v>2825.7999999999997</v>
      </c>
      <c r="T182" s="82">
        <f t="shared" si="4"/>
        <v>1055.9499999999998</v>
      </c>
      <c r="U182" s="77">
        <f t="shared" si="5"/>
        <v>1055.9499999999998</v>
      </c>
      <c r="V182" s="78">
        <v>1769.85</v>
      </c>
      <c r="W182" s="80" t="s">
        <v>233</v>
      </c>
      <c r="X182" s="81" t="s">
        <v>233</v>
      </c>
      <c r="Y182" s="4" t="s">
        <v>233</v>
      </c>
      <c r="Z182" s="81" t="s">
        <v>233</v>
      </c>
      <c r="AA182" s="64" t="s">
        <v>233</v>
      </c>
      <c r="AB182" s="81" t="s">
        <v>233</v>
      </c>
      <c r="AC182" s="64" t="s">
        <v>240</v>
      </c>
      <c r="AD182" s="64" t="s">
        <v>233</v>
      </c>
      <c r="AE182" s="64" t="s">
        <v>240</v>
      </c>
      <c r="AF182" s="208">
        <v>0</v>
      </c>
      <c r="AG182" s="4">
        <v>1</v>
      </c>
      <c r="AH182" s="64">
        <v>1</v>
      </c>
      <c r="AI182" s="4">
        <v>1</v>
      </c>
      <c r="AJ182" s="4">
        <v>1</v>
      </c>
      <c r="AK182" s="4">
        <v>0</v>
      </c>
    </row>
    <row r="183" spans="1:37" outlineLevel="1">
      <c r="A183" s="63">
        <v>176</v>
      </c>
      <c r="B183" s="64" t="s">
        <v>190</v>
      </c>
      <c r="C183" s="64" t="s">
        <v>235</v>
      </c>
      <c r="D183" s="4" t="str">
        <f>[1]Лист2!B176</f>
        <v>7-я КРАСНОАРМЕЙСКАЯ ул.</v>
      </c>
      <c r="E183" s="69">
        <f>[1]Лист2!C176</f>
        <v>7</v>
      </c>
      <c r="F183" s="197" t="str">
        <f>[1]Лист2!D176</f>
        <v>А</v>
      </c>
      <c r="G183" s="4"/>
      <c r="H183" s="199">
        <v>129176</v>
      </c>
      <c r="I183" s="64" t="s">
        <v>234</v>
      </c>
      <c r="J183" s="4"/>
      <c r="K183" s="64" t="s">
        <v>232</v>
      </c>
      <c r="L183" s="4" t="s">
        <v>232</v>
      </c>
      <c r="M183" s="72">
        <v>1905</v>
      </c>
      <c r="N183" s="64" t="s">
        <v>385</v>
      </c>
      <c r="O183" s="73">
        <v>5</v>
      </c>
      <c r="P183" s="196">
        <v>0</v>
      </c>
      <c r="Q183" s="73">
        <v>3</v>
      </c>
      <c r="R183" s="74">
        <v>59</v>
      </c>
      <c r="S183" s="76">
        <v>2577.42</v>
      </c>
      <c r="T183" s="82">
        <f t="shared" si="4"/>
        <v>2195.12</v>
      </c>
      <c r="U183" s="77">
        <f t="shared" si="5"/>
        <v>2195.12</v>
      </c>
      <c r="V183" s="78">
        <v>382.3</v>
      </c>
      <c r="W183" s="80" t="s">
        <v>233</v>
      </c>
      <c r="X183" s="81" t="s">
        <v>233</v>
      </c>
      <c r="Y183" s="4" t="s">
        <v>233</v>
      </c>
      <c r="Z183" s="81" t="s">
        <v>233</v>
      </c>
      <c r="AA183" s="64" t="s">
        <v>233</v>
      </c>
      <c r="AB183" s="81" t="s">
        <v>233</v>
      </c>
      <c r="AC183" s="64" t="s">
        <v>240</v>
      </c>
      <c r="AD183" s="64" t="s">
        <v>233</v>
      </c>
      <c r="AE183" s="64" t="s">
        <v>240</v>
      </c>
      <c r="AF183" s="208">
        <v>1</v>
      </c>
      <c r="AG183" s="4">
        <v>3</v>
      </c>
      <c r="AH183" s="64">
        <v>1</v>
      </c>
      <c r="AI183" s="4">
        <v>0</v>
      </c>
      <c r="AJ183" s="4">
        <v>0</v>
      </c>
      <c r="AK183" s="4">
        <v>0</v>
      </c>
    </row>
    <row r="184" spans="1:37" outlineLevel="1">
      <c r="A184" s="5">
        <v>177</v>
      </c>
      <c r="B184" s="64" t="s">
        <v>190</v>
      </c>
      <c r="C184" s="64" t="s">
        <v>235</v>
      </c>
      <c r="D184" s="4" t="str">
        <f>[1]Лист2!B177</f>
        <v>7-я КРАСНОАРМЕЙСКАЯ ул.</v>
      </c>
      <c r="E184" s="69">
        <f>[1]Лист2!C177</f>
        <v>9</v>
      </c>
      <c r="F184" s="197" t="str">
        <f>[1]Лист2!D177</f>
        <v>А</v>
      </c>
      <c r="G184" s="64"/>
      <c r="H184" s="199">
        <v>129177</v>
      </c>
      <c r="I184" s="64" t="s">
        <v>234</v>
      </c>
      <c r="J184" s="4"/>
      <c r="K184" s="64" t="s">
        <v>232</v>
      </c>
      <c r="L184" s="4" t="s">
        <v>232</v>
      </c>
      <c r="M184" s="72">
        <v>1908</v>
      </c>
      <c r="N184" s="64" t="s">
        <v>385</v>
      </c>
      <c r="O184" s="73">
        <v>5</v>
      </c>
      <c r="P184" s="196">
        <v>0</v>
      </c>
      <c r="Q184" s="73">
        <v>5</v>
      </c>
      <c r="R184" s="74">
        <v>90</v>
      </c>
      <c r="S184" s="76">
        <v>4806.87</v>
      </c>
      <c r="T184" s="82">
        <f t="shared" si="4"/>
        <v>3971.97</v>
      </c>
      <c r="U184" s="77">
        <f t="shared" si="5"/>
        <v>3971.97</v>
      </c>
      <c r="V184" s="78">
        <v>834.9</v>
      </c>
      <c r="W184" s="80" t="s">
        <v>233</v>
      </c>
      <c r="X184" s="81" t="s">
        <v>233</v>
      </c>
      <c r="Y184" s="4" t="s">
        <v>233</v>
      </c>
      <c r="Z184" s="81" t="s">
        <v>233</v>
      </c>
      <c r="AA184" s="64" t="s">
        <v>233</v>
      </c>
      <c r="AB184" s="81" t="s">
        <v>233</v>
      </c>
      <c r="AC184" s="64" t="s">
        <v>240</v>
      </c>
      <c r="AD184" s="64" t="s">
        <v>233</v>
      </c>
      <c r="AE184" s="64" t="s">
        <v>240</v>
      </c>
      <c r="AF184" s="208">
        <v>0</v>
      </c>
      <c r="AG184" s="4">
        <v>2</v>
      </c>
      <c r="AH184" s="64">
        <v>1</v>
      </c>
      <c r="AI184" s="4">
        <v>1</v>
      </c>
      <c r="AJ184" s="4">
        <v>1</v>
      </c>
      <c r="AK184" s="4">
        <v>0</v>
      </c>
    </row>
    <row r="185" spans="1:37" outlineLevel="1">
      <c r="A185" s="5">
        <v>178</v>
      </c>
      <c r="B185" s="64" t="s">
        <v>190</v>
      </c>
      <c r="C185" s="64" t="s">
        <v>235</v>
      </c>
      <c r="D185" s="4" t="str">
        <f>[1]Лист2!B178</f>
        <v>8-я КРАСНОАРМЕЙСКАЯ ул.</v>
      </c>
      <c r="E185" s="69">
        <f>[1]Лист2!C178</f>
        <v>12</v>
      </c>
      <c r="F185" s="197" t="str">
        <f>[1]Лист2!D178</f>
        <v>А</v>
      </c>
      <c r="G185" s="64"/>
      <c r="H185" s="199">
        <v>129178</v>
      </c>
      <c r="I185" s="64" t="s">
        <v>234</v>
      </c>
      <c r="J185" s="4" t="s">
        <v>1422</v>
      </c>
      <c r="K185" s="64" t="s">
        <v>232</v>
      </c>
      <c r="L185" s="4" t="s">
        <v>232</v>
      </c>
      <c r="M185" s="72">
        <v>1850</v>
      </c>
      <c r="N185" s="64" t="s">
        <v>385</v>
      </c>
      <c r="O185" s="73">
        <v>0</v>
      </c>
      <c r="P185" s="196">
        <v>0</v>
      </c>
      <c r="Q185" s="73">
        <v>1</v>
      </c>
      <c r="R185" s="74">
        <v>9</v>
      </c>
      <c r="S185" s="76">
        <v>519</v>
      </c>
      <c r="T185" s="82">
        <f t="shared" si="4"/>
        <v>0</v>
      </c>
      <c r="U185" s="77">
        <f t="shared" si="5"/>
        <v>0</v>
      </c>
      <c r="V185" s="78">
        <v>519</v>
      </c>
      <c r="W185" s="80" t="s">
        <v>233</v>
      </c>
      <c r="X185" s="81" t="s">
        <v>233</v>
      </c>
      <c r="Y185" s="4" t="s">
        <v>233</v>
      </c>
      <c r="Z185" s="81" t="s">
        <v>233</v>
      </c>
      <c r="AA185" s="64" t="s">
        <v>233</v>
      </c>
      <c r="AB185" s="81" t="s">
        <v>233</v>
      </c>
      <c r="AC185" s="64" t="s">
        <v>240</v>
      </c>
      <c r="AD185" s="64" t="s">
        <v>233</v>
      </c>
      <c r="AE185" s="64" t="s">
        <v>240</v>
      </c>
      <c r="AF185" s="208">
        <v>0</v>
      </c>
      <c r="AG185" s="4">
        <v>1</v>
      </c>
      <c r="AH185" s="64">
        <v>1</v>
      </c>
      <c r="AI185" s="4">
        <v>0</v>
      </c>
      <c r="AJ185" s="4">
        <v>0</v>
      </c>
      <c r="AK185" s="4">
        <v>0</v>
      </c>
    </row>
    <row r="186" spans="1:37" outlineLevel="1">
      <c r="A186" s="5">
        <v>179</v>
      </c>
      <c r="B186" s="64" t="s">
        <v>190</v>
      </c>
      <c r="C186" s="64" t="s">
        <v>235</v>
      </c>
      <c r="D186" s="4" t="str">
        <f>[1]Лист2!B179</f>
        <v>8-я КРАСНОАРМЕЙСКАЯ ул.</v>
      </c>
      <c r="E186" s="69">
        <f>[1]Лист2!C179</f>
        <v>14</v>
      </c>
      <c r="F186" s="197" t="str">
        <f>[1]Лист2!D179</f>
        <v>А</v>
      </c>
      <c r="G186" s="4"/>
      <c r="H186" s="199">
        <v>129179</v>
      </c>
      <c r="I186" s="64" t="s">
        <v>234</v>
      </c>
      <c r="J186" s="4"/>
      <c r="K186" s="64" t="s">
        <v>232</v>
      </c>
      <c r="L186" s="4" t="s">
        <v>232</v>
      </c>
      <c r="M186" s="72">
        <v>1912</v>
      </c>
      <c r="N186" s="64" t="s">
        <v>385</v>
      </c>
      <c r="O186" s="73">
        <v>5</v>
      </c>
      <c r="P186" s="196">
        <v>0</v>
      </c>
      <c r="Q186" s="73">
        <v>2</v>
      </c>
      <c r="R186" s="74">
        <v>24</v>
      </c>
      <c r="S186" s="76">
        <v>1640.5600000000002</v>
      </c>
      <c r="T186" s="82">
        <f t="shared" si="4"/>
        <v>1514.38</v>
      </c>
      <c r="U186" s="77">
        <f t="shared" si="5"/>
        <v>1514.38</v>
      </c>
      <c r="V186" s="78">
        <v>126.18</v>
      </c>
      <c r="W186" s="80" t="s">
        <v>233</v>
      </c>
      <c r="X186" s="81" t="s">
        <v>233</v>
      </c>
      <c r="Y186" s="4" t="s">
        <v>233</v>
      </c>
      <c r="Z186" s="81" t="s">
        <v>233</v>
      </c>
      <c r="AA186" s="64" t="s">
        <v>233</v>
      </c>
      <c r="AB186" s="81" t="s">
        <v>233</v>
      </c>
      <c r="AC186" s="64" t="s">
        <v>240</v>
      </c>
      <c r="AD186" s="64" t="s">
        <v>233</v>
      </c>
      <c r="AE186" s="64" t="s">
        <v>240</v>
      </c>
      <c r="AF186" s="208">
        <v>0</v>
      </c>
      <c r="AG186" s="4">
        <v>1</v>
      </c>
      <c r="AH186" s="64">
        <v>1</v>
      </c>
      <c r="AI186" s="4">
        <v>0</v>
      </c>
      <c r="AJ186" s="4">
        <v>0</v>
      </c>
      <c r="AK186" s="4">
        <v>0</v>
      </c>
    </row>
    <row r="187" spans="1:37" outlineLevel="1">
      <c r="A187" s="5">
        <v>180</v>
      </c>
      <c r="B187" s="64" t="s">
        <v>190</v>
      </c>
      <c r="C187" s="64" t="s">
        <v>235</v>
      </c>
      <c r="D187" s="4" t="str">
        <f>[1]Лист2!B180</f>
        <v>8-я КРАСНОАРМЕЙСКАЯ ул.</v>
      </c>
      <c r="E187" s="69" t="str">
        <f>[1]Лист2!C180</f>
        <v>15-17</v>
      </c>
      <c r="F187" s="197" t="str">
        <f>[1]Лист2!D180</f>
        <v>А</v>
      </c>
      <c r="G187" s="4"/>
      <c r="H187" s="199">
        <v>129180</v>
      </c>
      <c r="I187" s="64" t="s">
        <v>234</v>
      </c>
      <c r="J187" s="4"/>
      <c r="K187" s="64" t="s">
        <v>232</v>
      </c>
      <c r="L187" s="4" t="s">
        <v>232</v>
      </c>
      <c r="M187" s="72">
        <v>1841</v>
      </c>
      <c r="N187" s="64" t="s">
        <v>385</v>
      </c>
      <c r="O187" s="73">
        <v>5</v>
      </c>
      <c r="P187" s="196">
        <v>0</v>
      </c>
      <c r="Q187" s="73">
        <v>3</v>
      </c>
      <c r="R187" s="74">
        <v>66</v>
      </c>
      <c r="S187" s="76">
        <v>2202.9</v>
      </c>
      <c r="T187" s="82">
        <f t="shared" si="4"/>
        <v>1855.8000000000002</v>
      </c>
      <c r="U187" s="77">
        <f t="shared" si="5"/>
        <v>1855.8000000000002</v>
      </c>
      <c r="V187" s="78">
        <v>347.1</v>
      </c>
      <c r="W187" s="80" t="s">
        <v>233</v>
      </c>
      <c r="X187" s="81" t="s">
        <v>233</v>
      </c>
      <c r="Y187" s="4" t="s">
        <v>233</v>
      </c>
      <c r="Z187" s="81" t="s">
        <v>233</v>
      </c>
      <c r="AA187" s="64" t="s">
        <v>233</v>
      </c>
      <c r="AB187" s="81" t="s">
        <v>233</v>
      </c>
      <c r="AC187" s="64" t="s">
        <v>240</v>
      </c>
      <c r="AD187" s="64" t="s">
        <v>233</v>
      </c>
      <c r="AE187" s="64" t="s">
        <v>240</v>
      </c>
      <c r="AF187" s="208">
        <v>1</v>
      </c>
      <c r="AG187" s="4">
        <v>1</v>
      </c>
      <c r="AH187" s="64">
        <v>1</v>
      </c>
      <c r="AI187" s="4">
        <v>0</v>
      </c>
      <c r="AJ187" s="4">
        <v>0</v>
      </c>
      <c r="AK187" s="4">
        <v>0</v>
      </c>
    </row>
    <row r="188" spans="1:37" outlineLevel="1">
      <c r="A188" s="63">
        <v>181</v>
      </c>
      <c r="B188" s="64" t="s">
        <v>190</v>
      </c>
      <c r="C188" s="64" t="s">
        <v>235</v>
      </c>
      <c r="D188" s="4" t="str">
        <f>[1]Лист2!B181</f>
        <v>8-я КРАСНОАРМЕЙСКАЯ ул.</v>
      </c>
      <c r="E188" s="69" t="str">
        <f>[1]Лист2!C181</f>
        <v>15-17</v>
      </c>
      <c r="F188" s="197" t="str">
        <f>[1]Лист2!D181</f>
        <v>Б</v>
      </c>
      <c r="G188" s="64"/>
      <c r="H188" s="199">
        <v>129181</v>
      </c>
      <c r="I188" s="64" t="s">
        <v>234</v>
      </c>
      <c r="J188" s="4" t="s">
        <v>1422</v>
      </c>
      <c r="K188" s="64" t="s">
        <v>232</v>
      </c>
      <c r="L188" s="4" t="s">
        <v>232</v>
      </c>
      <c r="M188" s="72">
        <v>1841</v>
      </c>
      <c r="N188" s="64" t="s">
        <v>385</v>
      </c>
      <c r="O188" s="73">
        <v>2</v>
      </c>
      <c r="P188" s="196">
        <v>0</v>
      </c>
      <c r="Q188" s="73">
        <v>1</v>
      </c>
      <c r="R188" s="74">
        <v>15</v>
      </c>
      <c r="S188" s="76">
        <v>215</v>
      </c>
      <c r="T188" s="82">
        <f t="shared" si="4"/>
        <v>0</v>
      </c>
      <c r="U188" s="77">
        <f t="shared" si="5"/>
        <v>0</v>
      </c>
      <c r="V188" s="78">
        <v>215</v>
      </c>
      <c r="W188" s="80" t="s">
        <v>233</v>
      </c>
      <c r="X188" s="81" t="s">
        <v>233</v>
      </c>
      <c r="Y188" s="4" t="s">
        <v>233</v>
      </c>
      <c r="Z188" s="81" t="s">
        <v>233</v>
      </c>
      <c r="AA188" s="64" t="s">
        <v>233</v>
      </c>
      <c r="AB188" s="81" t="s">
        <v>233</v>
      </c>
      <c r="AC188" s="64" t="s">
        <v>240</v>
      </c>
      <c r="AD188" s="64" t="s">
        <v>233</v>
      </c>
      <c r="AE188" s="64" t="s">
        <v>240</v>
      </c>
      <c r="AF188" s="209">
        <v>0</v>
      </c>
      <c r="AG188" s="4">
        <v>1</v>
      </c>
      <c r="AH188" s="64">
        <v>1</v>
      </c>
      <c r="AI188" s="4">
        <v>0</v>
      </c>
      <c r="AJ188" s="4">
        <v>0</v>
      </c>
      <c r="AK188" s="4">
        <v>0</v>
      </c>
    </row>
    <row r="189" spans="1:37" outlineLevel="1">
      <c r="A189" s="63">
        <v>182</v>
      </c>
      <c r="B189" s="64" t="s">
        <v>190</v>
      </c>
      <c r="C189" s="64" t="s">
        <v>235</v>
      </c>
      <c r="D189" s="4" t="str">
        <f>[1]Лист2!B182</f>
        <v>8-я КРАСНОАРМЕЙСКАЯ ул.</v>
      </c>
      <c r="E189" s="69">
        <f>[1]Лист2!C182</f>
        <v>18</v>
      </c>
      <c r="F189" s="197" t="str">
        <f>[1]Лист2!D182</f>
        <v>А</v>
      </c>
      <c r="G189" s="64"/>
      <c r="H189" s="199">
        <v>129182</v>
      </c>
      <c r="I189" s="64" t="s">
        <v>234</v>
      </c>
      <c r="J189" s="4"/>
      <c r="K189" s="64" t="s">
        <v>232</v>
      </c>
      <c r="L189" s="4" t="s">
        <v>232</v>
      </c>
      <c r="M189" s="72">
        <v>1902</v>
      </c>
      <c r="N189" s="64" t="s">
        <v>385</v>
      </c>
      <c r="O189" s="73">
        <v>5</v>
      </c>
      <c r="P189" s="196">
        <v>0</v>
      </c>
      <c r="Q189" s="73">
        <v>4</v>
      </c>
      <c r="R189" s="74">
        <v>32</v>
      </c>
      <c r="S189" s="76">
        <v>2358</v>
      </c>
      <c r="T189" s="82">
        <f t="shared" si="4"/>
        <v>1923.54</v>
      </c>
      <c r="U189" s="77">
        <f t="shared" si="5"/>
        <v>1923.54</v>
      </c>
      <c r="V189" s="78">
        <v>434.46</v>
      </c>
      <c r="W189" s="80" t="s">
        <v>233</v>
      </c>
      <c r="X189" s="81" t="s">
        <v>233</v>
      </c>
      <c r="Y189" s="4" t="s">
        <v>233</v>
      </c>
      <c r="Z189" s="81" t="s">
        <v>233</v>
      </c>
      <c r="AA189" s="64" t="s">
        <v>233</v>
      </c>
      <c r="AB189" s="81" t="s">
        <v>233</v>
      </c>
      <c r="AC189" s="64" t="s">
        <v>240</v>
      </c>
      <c r="AD189" s="64" t="s">
        <v>233</v>
      </c>
      <c r="AE189" s="64" t="s">
        <v>240</v>
      </c>
      <c r="AF189" s="208">
        <v>0</v>
      </c>
      <c r="AG189" s="4">
        <v>1</v>
      </c>
      <c r="AH189" s="64">
        <v>1</v>
      </c>
      <c r="AI189" s="4">
        <v>0</v>
      </c>
      <c r="AJ189" s="4">
        <v>0</v>
      </c>
      <c r="AK189" s="4">
        <v>0</v>
      </c>
    </row>
    <row r="190" spans="1:37" outlineLevel="1">
      <c r="A190" s="5">
        <v>183</v>
      </c>
      <c r="B190" s="64" t="s">
        <v>190</v>
      </c>
      <c r="C190" s="64" t="s">
        <v>235</v>
      </c>
      <c r="D190" s="4" t="str">
        <f>[1]Лист2!B183</f>
        <v>8-я КРАСНОАРМЕЙСКАЯ ул.</v>
      </c>
      <c r="E190" s="69">
        <f>[1]Лист2!C183</f>
        <v>19</v>
      </c>
      <c r="F190" s="197" t="str">
        <f>[1]Лист2!D183</f>
        <v>А</v>
      </c>
      <c r="G190" s="4"/>
      <c r="H190" s="199">
        <v>129183</v>
      </c>
      <c r="I190" s="64" t="s">
        <v>234</v>
      </c>
      <c r="J190" s="4"/>
      <c r="K190" s="64" t="s">
        <v>232</v>
      </c>
      <c r="L190" s="4" t="s">
        <v>232</v>
      </c>
      <c r="M190" s="72">
        <v>1841</v>
      </c>
      <c r="N190" s="64" t="s">
        <v>385</v>
      </c>
      <c r="O190" s="73">
        <v>5</v>
      </c>
      <c r="P190" s="196">
        <v>0</v>
      </c>
      <c r="Q190" s="73">
        <v>4</v>
      </c>
      <c r="R190" s="74">
        <v>60</v>
      </c>
      <c r="S190" s="76">
        <v>2078</v>
      </c>
      <c r="T190" s="82">
        <f t="shared" si="4"/>
        <v>2009.29</v>
      </c>
      <c r="U190" s="77">
        <f t="shared" si="5"/>
        <v>2009.29</v>
      </c>
      <c r="V190" s="78">
        <v>68.709999999999994</v>
      </c>
      <c r="W190" s="80" t="s">
        <v>233</v>
      </c>
      <c r="X190" s="81" t="s">
        <v>233</v>
      </c>
      <c r="Y190" s="4" t="s">
        <v>233</v>
      </c>
      <c r="Z190" s="81" t="s">
        <v>233</v>
      </c>
      <c r="AA190" s="64" t="s">
        <v>233</v>
      </c>
      <c r="AB190" s="81" t="s">
        <v>233</v>
      </c>
      <c r="AC190" s="64" t="s">
        <v>240</v>
      </c>
      <c r="AD190" s="64" t="s">
        <v>233</v>
      </c>
      <c r="AE190" s="64" t="s">
        <v>240</v>
      </c>
      <c r="AF190" s="208">
        <v>0</v>
      </c>
      <c r="AG190" s="4">
        <v>1</v>
      </c>
      <c r="AH190" s="64">
        <v>1</v>
      </c>
      <c r="AI190" s="4">
        <v>0</v>
      </c>
      <c r="AJ190" s="4">
        <v>0</v>
      </c>
      <c r="AK190" s="4">
        <v>0</v>
      </c>
    </row>
    <row r="191" spans="1:37" outlineLevel="1">
      <c r="A191" s="5">
        <v>184</v>
      </c>
      <c r="B191" s="64" t="s">
        <v>190</v>
      </c>
      <c r="C191" s="64" t="s">
        <v>235</v>
      </c>
      <c r="D191" s="4" t="str">
        <f>[1]Лист2!B184</f>
        <v>8-я КРАСНОАРМЕЙСКАЯ ул.</v>
      </c>
      <c r="E191" s="69" t="str">
        <f>[1]Лист2!C184</f>
        <v>20а</v>
      </c>
      <c r="F191" s="197" t="str">
        <f>[1]Лист2!D184</f>
        <v>А</v>
      </c>
      <c r="G191" s="4"/>
      <c r="H191" s="199">
        <v>129184</v>
      </c>
      <c r="I191" s="64" t="s">
        <v>234</v>
      </c>
      <c r="J191" s="4"/>
      <c r="K191" s="64" t="s">
        <v>232</v>
      </c>
      <c r="L191" s="4" t="s">
        <v>232</v>
      </c>
      <c r="M191" s="72">
        <v>1902</v>
      </c>
      <c r="N191" s="64" t="s">
        <v>385</v>
      </c>
      <c r="O191" s="73">
        <v>5</v>
      </c>
      <c r="P191" s="196">
        <v>0</v>
      </c>
      <c r="Q191" s="73">
        <v>2</v>
      </c>
      <c r="R191" s="74">
        <v>19</v>
      </c>
      <c r="S191" s="76">
        <v>2563.6999999999998</v>
      </c>
      <c r="T191" s="82">
        <f t="shared" si="4"/>
        <v>1546.2999999999997</v>
      </c>
      <c r="U191" s="77">
        <f t="shared" si="5"/>
        <v>1546.2999999999997</v>
      </c>
      <c r="V191" s="78">
        <v>1017.4</v>
      </c>
      <c r="W191" s="80" t="s">
        <v>233</v>
      </c>
      <c r="X191" s="81" t="s">
        <v>233</v>
      </c>
      <c r="Y191" s="4" t="s">
        <v>233</v>
      </c>
      <c r="Z191" s="81" t="s">
        <v>233</v>
      </c>
      <c r="AA191" s="64" t="s">
        <v>233</v>
      </c>
      <c r="AB191" s="81" t="s">
        <v>233</v>
      </c>
      <c r="AC191" s="64" t="s">
        <v>240</v>
      </c>
      <c r="AD191" s="64" t="s">
        <v>233</v>
      </c>
      <c r="AE191" s="64" t="s">
        <v>240</v>
      </c>
      <c r="AF191" s="208">
        <v>1</v>
      </c>
      <c r="AG191" s="4">
        <v>2</v>
      </c>
      <c r="AH191" s="64">
        <v>1</v>
      </c>
      <c r="AI191" s="4">
        <v>1</v>
      </c>
      <c r="AJ191" s="4">
        <v>1</v>
      </c>
      <c r="AK191" s="4">
        <v>0</v>
      </c>
    </row>
    <row r="192" spans="1:37" outlineLevel="1">
      <c r="A192" s="5">
        <v>185</v>
      </c>
      <c r="B192" s="64" t="s">
        <v>190</v>
      </c>
      <c r="C192" s="64" t="s">
        <v>235</v>
      </c>
      <c r="D192" s="4" t="str">
        <f>[1]Лист2!B185</f>
        <v>8-я КРАСНОАРМЕЙСКАЯ ул.</v>
      </c>
      <c r="E192" s="69" t="str">
        <f>[1]Лист2!C185</f>
        <v>20а</v>
      </c>
      <c r="F192" s="197" t="str">
        <f>[1]Лист2!D185</f>
        <v>Б</v>
      </c>
      <c r="G192" s="64"/>
      <c r="H192" s="199">
        <v>129185</v>
      </c>
      <c r="I192" s="64" t="s">
        <v>234</v>
      </c>
      <c r="J192" s="4" t="s">
        <v>1422</v>
      </c>
      <c r="K192" s="64" t="s">
        <v>232</v>
      </c>
      <c r="L192" s="4" t="s">
        <v>232</v>
      </c>
      <c r="M192" s="72">
        <v>1910</v>
      </c>
      <c r="N192" s="64" t="s">
        <v>385</v>
      </c>
      <c r="O192" s="73">
        <v>1</v>
      </c>
      <c r="P192" s="196">
        <v>0</v>
      </c>
      <c r="Q192" s="73">
        <v>1</v>
      </c>
      <c r="R192" s="74">
        <v>22</v>
      </c>
      <c r="S192" s="76">
        <v>436</v>
      </c>
      <c r="T192" s="82">
        <f t="shared" si="4"/>
        <v>0</v>
      </c>
      <c r="U192" s="77">
        <f t="shared" si="5"/>
        <v>0</v>
      </c>
      <c r="V192" s="78">
        <v>436</v>
      </c>
      <c r="W192" s="80" t="s">
        <v>233</v>
      </c>
      <c r="X192" s="81" t="s">
        <v>233</v>
      </c>
      <c r="Y192" s="4" t="s">
        <v>233</v>
      </c>
      <c r="Z192" s="81" t="s">
        <v>233</v>
      </c>
      <c r="AA192" s="64" t="s">
        <v>233</v>
      </c>
      <c r="AB192" s="81" t="s">
        <v>233</v>
      </c>
      <c r="AC192" s="64" t="s">
        <v>240</v>
      </c>
      <c r="AD192" s="64" t="s">
        <v>233</v>
      </c>
      <c r="AE192" s="64" t="s">
        <v>240</v>
      </c>
      <c r="AF192" s="209">
        <v>0</v>
      </c>
      <c r="AG192" s="4">
        <v>1</v>
      </c>
      <c r="AH192" s="64">
        <v>1</v>
      </c>
      <c r="AI192" s="4">
        <v>0</v>
      </c>
      <c r="AJ192" s="4">
        <v>0</v>
      </c>
      <c r="AK192" s="4">
        <v>0</v>
      </c>
    </row>
    <row r="193" spans="1:37" outlineLevel="1">
      <c r="A193" s="5">
        <v>186</v>
      </c>
      <c r="B193" s="64" t="s">
        <v>190</v>
      </c>
      <c r="C193" s="64" t="s">
        <v>235</v>
      </c>
      <c r="D193" s="4" t="str">
        <f>[1]Лист2!B186</f>
        <v>8-я КРАСНОАРМЕЙСКАЯ ул.</v>
      </c>
      <c r="E193" s="69">
        <f>[1]Лист2!C186</f>
        <v>21</v>
      </c>
      <c r="F193" s="197" t="str">
        <f>[1]Лист2!D186</f>
        <v>А</v>
      </c>
      <c r="G193" s="64"/>
      <c r="H193" s="199">
        <v>129186</v>
      </c>
      <c r="I193" s="64" t="s">
        <v>234</v>
      </c>
      <c r="J193" s="4"/>
      <c r="K193" s="64" t="s">
        <v>232</v>
      </c>
      <c r="L193" s="4" t="s">
        <v>232</v>
      </c>
      <c r="M193" s="72">
        <v>1903</v>
      </c>
      <c r="N193" s="64" t="s">
        <v>385</v>
      </c>
      <c r="O193" s="73">
        <v>5</v>
      </c>
      <c r="P193" s="196">
        <v>0</v>
      </c>
      <c r="Q193" s="73">
        <v>5</v>
      </c>
      <c r="R193" s="74">
        <v>113</v>
      </c>
      <c r="S193" s="76">
        <v>3277</v>
      </c>
      <c r="T193" s="82">
        <f t="shared" si="4"/>
        <v>3202.6</v>
      </c>
      <c r="U193" s="77">
        <f t="shared" si="5"/>
        <v>3202.6</v>
      </c>
      <c r="V193" s="78">
        <v>74.400000000000006</v>
      </c>
      <c r="W193" s="80" t="s">
        <v>233</v>
      </c>
      <c r="X193" s="81" t="s">
        <v>233</v>
      </c>
      <c r="Y193" s="4" t="s">
        <v>233</v>
      </c>
      <c r="Z193" s="81" t="s">
        <v>233</v>
      </c>
      <c r="AA193" s="64" t="s">
        <v>233</v>
      </c>
      <c r="AB193" s="81" t="s">
        <v>233</v>
      </c>
      <c r="AC193" s="64" t="s">
        <v>240</v>
      </c>
      <c r="AD193" s="64" t="s">
        <v>233</v>
      </c>
      <c r="AE193" s="64" t="s">
        <v>240</v>
      </c>
      <c r="AF193" s="208">
        <v>0</v>
      </c>
      <c r="AG193" s="4">
        <v>1</v>
      </c>
      <c r="AH193" s="64">
        <v>1</v>
      </c>
      <c r="AI193" s="4">
        <v>1</v>
      </c>
      <c r="AJ193" s="4">
        <v>1</v>
      </c>
      <c r="AK193" s="4">
        <v>0</v>
      </c>
    </row>
    <row r="194" spans="1:37" outlineLevel="1">
      <c r="A194" s="63">
        <v>187</v>
      </c>
      <c r="B194" s="64" t="s">
        <v>190</v>
      </c>
      <c r="C194" s="64" t="s">
        <v>235</v>
      </c>
      <c r="D194" s="4" t="str">
        <f>[1]Лист2!B187</f>
        <v>8-я КРАСНОАРМЕЙСКАЯ ул.</v>
      </c>
      <c r="E194" s="69">
        <f>[1]Лист2!C187</f>
        <v>21</v>
      </c>
      <c r="F194" s="197" t="str">
        <f>[1]Лист2!D187</f>
        <v>Б</v>
      </c>
      <c r="G194" s="4"/>
      <c r="H194" s="199">
        <v>129187</v>
      </c>
      <c r="I194" s="64" t="s">
        <v>234</v>
      </c>
      <c r="J194" s="4"/>
      <c r="K194" s="64" t="s">
        <v>232</v>
      </c>
      <c r="L194" s="4" t="s">
        <v>232</v>
      </c>
      <c r="M194" s="72">
        <v>1905</v>
      </c>
      <c r="N194" s="64" t="s">
        <v>385</v>
      </c>
      <c r="O194" s="73">
        <v>3</v>
      </c>
      <c r="P194" s="196">
        <v>0</v>
      </c>
      <c r="Q194" s="73">
        <v>2</v>
      </c>
      <c r="R194" s="74">
        <v>20</v>
      </c>
      <c r="S194" s="76">
        <v>393</v>
      </c>
      <c r="T194" s="82">
        <f t="shared" si="4"/>
        <v>357</v>
      </c>
      <c r="U194" s="77">
        <f t="shared" si="5"/>
        <v>357</v>
      </c>
      <c r="V194" s="78">
        <v>36</v>
      </c>
      <c r="W194" s="80" t="s">
        <v>233</v>
      </c>
      <c r="X194" s="81" t="s">
        <v>233</v>
      </c>
      <c r="Y194" s="4" t="s">
        <v>233</v>
      </c>
      <c r="Z194" s="81" t="s">
        <v>233</v>
      </c>
      <c r="AA194" s="64" t="s">
        <v>233</v>
      </c>
      <c r="AB194" s="81" t="s">
        <v>233</v>
      </c>
      <c r="AC194" s="64" t="s">
        <v>240</v>
      </c>
      <c r="AD194" s="64" t="s">
        <v>233</v>
      </c>
      <c r="AE194" s="64" t="s">
        <v>240</v>
      </c>
      <c r="AF194" s="209">
        <v>0</v>
      </c>
      <c r="AG194" s="4">
        <v>1</v>
      </c>
      <c r="AH194" s="64">
        <v>1</v>
      </c>
      <c r="AI194" s="4">
        <v>0</v>
      </c>
      <c r="AJ194" s="4">
        <v>0</v>
      </c>
      <c r="AK194" s="4">
        <v>0</v>
      </c>
    </row>
    <row r="195" spans="1:37" outlineLevel="1">
      <c r="A195" s="63">
        <v>188</v>
      </c>
      <c r="B195" s="64" t="s">
        <v>190</v>
      </c>
      <c r="C195" s="64" t="s">
        <v>235</v>
      </c>
      <c r="D195" s="4" t="str">
        <f>[1]Лист2!B188</f>
        <v>8-я КРАСНОАРМЕЙСКАЯ ул.</v>
      </c>
      <c r="E195" s="69">
        <f>[1]Лист2!C188</f>
        <v>23</v>
      </c>
      <c r="F195" s="197" t="str">
        <f>[1]Лист2!D188</f>
        <v>А</v>
      </c>
      <c r="G195" s="4"/>
      <c r="H195" s="199">
        <v>129188</v>
      </c>
      <c r="I195" s="64" t="s">
        <v>234</v>
      </c>
      <c r="J195" s="4"/>
      <c r="K195" s="64" t="s">
        <v>232</v>
      </c>
      <c r="L195" s="4" t="s">
        <v>232</v>
      </c>
      <c r="M195" s="72">
        <v>1904</v>
      </c>
      <c r="N195" s="64" t="s">
        <v>385</v>
      </c>
      <c r="O195" s="73">
        <v>6</v>
      </c>
      <c r="P195" s="196">
        <v>0</v>
      </c>
      <c r="Q195" s="73">
        <v>2</v>
      </c>
      <c r="R195" s="74">
        <v>63</v>
      </c>
      <c r="S195" s="76">
        <v>3885.2599999999998</v>
      </c>
      <c r="T195" s="82">
        <f t="shared" si="4"/>
        <v>3252.16</v>
      </c>
      <c r="U195" s="77">
        <f t="shared" si="5"/>
        <v>3252.16</v>
      </c>
      <c r="V195" s="78">
        <v>633.1</v>
      </c>
      <c r="W195" s="80" t="s">
        <v>233</v>
      </c>
      <c r="X195" s="81" t="s">
        <v>233</v>
      </c>
      <c r="Y195" s="4" t="s">
        <v>233</v>
      </c>
      <c r="Z195" s="81" t="s">
        <v>233</v>
      </c>
      <c r="AA195" s="64" t="s">
        <v>233</v>
      </c>
      <c r="AB195" s="81" t="s">
        <v>233</v>
      </c>
      <c r="AC195" s="64" t="s">
        <v>240</v>
      </c>
      <c r="AD195" s="64" t="s">
        <v>233</v>
      </c>
      <c r="AE195" s="64" t="s">
        <v>240</v>
      </c>
      <c r="AF195" s="208">
        <v>0</v>
      </c>
      <c r="AG195" s="4">
        <v>1</v>
      </c>
      <c r="AH195" s="64">
        <v>1</v>
      </c>
      <c r="AI195" s="4">
        <v>0</v>
      </c>
      <c r="AJ195" s="4">
        <v>0</v>
      </c>
      <c r="AK195" s="4">
        <v>0</v>
      </c>
    </row>
    <row r="196" spans="1:37" s="65" customFormat="1" outlineLevel="1">
      <c r="A196" s="5">
        <v>189</v>
      </c>
      <c r="B196" s="64" t="s">
        <v>190</v>
      </c>
      <c r="C196" s="64" t="s">
        <v>235</v>
      </c>
      <c r="D196" s="64" t="str">
        <f>[1]Лист2!B189</f>
        <v>8-я КРАСНОАРМЕЙСКАЯ ул.</v>
      </c>
      <c r="E196" s="71" t="s">
        <v>205</v>
      </c>
      <c r="F196" s="196" t="str">
        <f>[1]Лист2!D189</f>
        <v>А</v>
      </c>
      <c r="G196" s="64"/>
      <c r="H196" s="67">
        <v>129189</v>
      </c>
      <c r="I196" s="64" t="s">
        <v>234</v>
      </c>
      <c r="J196" s="64"/>
      <c r="K196" s="64" t="s">
        <v>232</v>
      </c>
      <c r="L196" s="64" t="s">
        <v>232</v>
      </c>
      <c r="M196" s="72">
        <v>1885</v>
      </c>
      <c r="N196" s="64" t="s">
        <v>385</v>
      </c>
      <c r="O196" s="73">
        <v>3</v>
      </c>
      <c r="P196" s="196">
        <v>0</v>
      </c>
      <c r="Q196" s="73">
        <v>2</v>
      </c>
      <c r="R196" s="74">
        <v>7</v>
      </c>
      <c r="S196" s="75">
        <v>708.33999999999992</v>
      </c>
      <c r="T196" s="82">
        <f t="shared" si="4"/>
        <v>626.83999999999992</v>
      </c>
      <c r="U196" s="77">
        <f t="shared" si="5"/>
        <v>626.83999999999992</v>
      </c>
      <c r="V196" s="77">
        <v>81.5</v>
      </c>
      <c r="W196" s="80" t="s">
        <v>233</v>
      </c>
      <c r="X196" s="81" t="s">
        <v>233</v>
      </c>
      <c r="Y196" s="64" t="s">
        <v>233</v>
      </c>
      <c r="Z196" s="81" t="s">
        <v>233</v>
      </c>
      <c r="AA196" s="64" t="s">
        <v>233</v>
      </c>
      <c r="AB196" s="81" t="s">
        <v>233</v>
      </c>
      <c r="AC196" s="64" t="s">
        <v>240</v>
      </c>
      <c r="AD196" s="64" t="s">
        <v>233</v>
      </c>
      <c r="AE196" s="64" t="s">
        <v>240</v>
      </c>
      <c r="AF196" s="208">
        <v>0</v>
      </c>
      <c r="AG196" s="4">
        <v>1</v>
      </c>
      <c r="AH196" s="64">
        <v>1</v>
      </c>
      <c r="AI196" s="64">
        <v>0</v>
      </c>
      <c r="AJ196" s="64">
        <v>0</v>
      </c>
      <c r="AK196" s="64">
        <v>0</v>
      </c>
    </row>
    <row r="197" spans="1:37" s="65" customFormat="1" outlineLevel="1">
      <c r="A197" s="5">
        <v>190</v>
      </c>
      <c r="B197" s="64" t="s">
        <v>190</v>
      </c>
      <c r="C197" s="64" t="s">
        <v>235</v>
      </c>
      <c r="D197" s="64" t="str">
        <f>[1]Лист2!B190</f>
        <v>8-я КРАСНОАРМЕЙСКАЯ ул.</v>
      </c>
      <c r="E197" s="71">
        <f>[1]Лист2!C190</f>
        <v>5</v>
      </c>
      <c r="F197" s="196" t="str">
        <f>[1]Лист2!D190</f>
        <v>А</v>
      </c>
      <c r="G197" s="64"/>
      <c r="H197" s="67">
        <v>129190</v>
      </c>
      <c r="I197" s="64" t="s">
        <v>234</v>
      </c>
      <c r="J197" s="64"/>
      <c r="K197" s="64" t="s">
        <v>232</v>
      </c>
      <c r="L197" s="64" t="s">
        <v>232</v>
      </c>
      <c r="M197" s="72">
        <v>1905</v>
      </c>
      <c r="N197" s="64" t="s">
        <v>385</v>
      </c>
      <c r="O197" s="73">
        <v>6</v>
      </c>
      <c r="P197" s="196">
        <v>0</v>
      </c>
      <c r="Q197" s="73">
        <v>3</v>
      </c>
      <c r="R197" s="74">
        <v>60</v>
      </c>
      <c r="S197" s="75">
        <v>1726.4</v>
      </c>
      <c r="T197" s="82">
        <f t="shared" si="4"/>
        <v>1541.7</v>
      </c>
      <c r="U197" s="77">
        <f t="shared" si="5"/>
        <v>1541.7</v>
      </c>
      <c r="V197" s="77">
        <v>184.7</v>
      </c>
      <c r="W197" s="80" t="s">
        <v>233</v>
      </c>
      <c r="X197" s="81" t="s">
        <v>233</v>
      </c>
      <c r="Y197" s="64" t="s">
        <v>233</v>
      </c>
      <c r="Z197" s="81" t="s">
        <v>233</v>
      </c>
      <c r="AA197" s="64" t="s">
        <v>233</v>
      </c>
      <c r="AB197" s="81" t="s">
        <v>233</v>
      </c>
      <c r="AC197" s="64" t="s">
        <v>240</v>
      </c>
      <c r="AD197" s="64" t="s">
        <v>233</v>
      </c>
      <c r="AE197" s="64" t="s">
        <v>240</v>
      </c>
      <c r="AF197" s="208">
        <v>0</v>
      </c>
      <c r="AG197" s="4">
        <v>1</v>
      </c>
      <c r="AH197" s="64">
        <v>1</v>
      </c>
      <c r="AI197" s="64">
        <v>0</v>
      </c>
      <c r="AJ197" s="64">
        <v>0</v>
      </c>
      <c r="AK197" s="64">
        <v>0</v>
      </c>
    </row>
    <row r="198" spans="1:37" s="65" customFormat="1" outlineLevel="1">
      <c r="A198" s="5">
        <v>191</v>
      </c>
      <c r="B198" s="64" t="s">
        <v>190</v>
      </c>
      <c r="C198" s="64" t="s">
        <v>235</v>
      </c>
      <c r="D198" s="64" t="str">
        <f>[1]Лист2!B191</f>
        <v>8-я КРАСНОАРМЕЙСКАЯ ул.</v>
      </c>
      <c r="E198" s="71">
        <f>[1]Лист2!C191</f>
        <v>5</v>
      </c>
      <c r="F198" s="196" t="str">
        <f>[1]Лист2!D191</f>
        <v>Б</v>
      </c>
      <c r="G198" s="4"/>
      <c r="H198" s="67">
        <v>129191</v>
      </c>
      <c r="I198" s="64" t="s">
        <v>234</v>
      </c>
      <c r="J198" s="64"/>
      <c r="K198" s="64" t="s">
        <v>232</v>
      </c>
      <c r="L198" s="64" t="s">
        <v>232</v>
      </c>
      <c r="M198" s="72">
        <v>1905</v>
      </c>
      <c r="N198" s="64" t="s">
        <v>385</v>
      </c>
      <c r="O198" s="73">
        <v>3</v>
      </c>
      <c r="P198" s="196">
        <v>0</v>
      </c>
      <c r="Q198" s="73">
        <v>1</v>
      </c>
      <c r="R198" s="74">
        <v>3</v>
      </c>
      <c r="S198" s="75">
        <v>112.5</v>
      </c>
      <c r="T198" s="82">
        <f t="shared" si="4"/>
        <v>76</v>
      </c>
      <c r="U198" s="77">
        <f t="shared" si="5"/>
        <v>76</v>
      </c>
      <c r="V198" s="77">
        <v>36.5</v>
      </c>
      <c r="W198" s="80" t="s">
        <v>233</v>
      </c>
      <c r="X198" s="81" t="s">
        <v>233</v>
      </c>
      <c r="Y198" s="64" t="s">
        <v>233</v>
      </c>
      <c r="Z198" s="81" t="s">
        <v>233</v>
      </c>
      <c r="AA198" s="64" t="s">
        <v>233</v>
      </c>
      <c r="AB198" s="81" t="s">
        <v>233</v>
      </c>
      <c r="AC198" s="64" t="s">
        <v>240</v>
      </c>
      <c r="AD198" s="64" t="s">
        <v>233</v>
      </c>
      <c r="AE198" s="64" t="s">
        <v>240</v>
      </c>
      <c r="AF198" s="209">
        <v>0</v>
      </c>
      <c r="AG198" s="4">
        <v>1</v>
      </c>
      <c r="AH198" s="64">
        <v>1</v>
      </c>
      <c r="AI198" s="64">
        <v>0</v>
      </c>
      <c r="AJ198" s="64">
        <v>0</v>
      </c>
      <c r="AK198" s="64">
        <v>0</v>
      </c>
    </row>
    <row r="199" spans="1:37" s="65" customFormat="1" outlineLevel="1">
      <c r="A199" s="5">
        <v>192</v>
      </c>
      <c r="B199" s="64" t="s">
        <v>190</v>
      </c>
      <c r="C199" s="64" t="s">
        <v>235</v>
      </c>
      <c r="D199" s="64" t="str">
        <f>[1]Лист2!B192</f>
        <v>8-я КРАСНОАРМЕЙСКАЯ ул.</v>
      </c>
      <c r="E199" s="71" t="s">
        <v>206</v>
      </c>
      <c r="F199" s="196" t="str">
        <f>[1]Лист2!D192</f>
        <v>А</v>
      </c>
      <c r="G199" s="4"/>
      <c r="H199" s="67">
        <v>129192</v>
      </c>
      <c r="I199" s="64" t="s">
        <v>234</v>
      </c>
      <c r="J199" s="64"/>
      <c r="K199" s="64" t="s">
        <v>232</v>
      </c>
      <c r="L199" s="64" t="s">
        <v>232</v>
      </c>
      <c r="M199" s="72">
        <v>1850</v>
      </c>
      <c r="N199" s="64" t="s">
        <v>385</v>
      </c>
      <c r="O199" s="73">
        <v>5</v>
      </c>
      <c r="P199" s="196">
        <v>0</v>
      </c>
      <c r="Q199" s="73">
        <v>2</v>
      </c>
      <c r="R199" s="74">
        <v>71</v>
      </c>
      <c r="S199" s="75">
        <v>2365.5</v>
      </c>
      <c r="T199" s="82">
        <f t="shared" si="4"/>
        <v>1863.8</v>
      </c>
      <c r="U199" s="77">
        <f t="shared" si="5"/>
        <v>1863.8</v>
      </c>
      <c r="V199" s="77">
        <v>501.7</v>
      </c>
      <c r="W199" s="80" t="s">
        <v>233</v>
      </c>
      <c r="X199" s="81" t="s">
        <v>233</v>
      </c>
      <c r="Y199" s="64" t="s">
        <v>233</v>
      </c>
      <c r="Z199" s="81" t="s">
        <v>233</v>
      </c>
      <c r="AA199" s="64" t="s">
        <v>233</v>
      </c>
      <c r="AB199" s="81" t="s">
        <v>233</v>
      </c>
      <c r="AC199" s="64" t="s">
        <v>240</v>
      </c>
      <c r="AD199" s="64" t="s">
        <v>233</v>
      </c>
      <c r="AE199" s="64" t="s">
        <v>240</v>
      </c>
      <c r="AF199" s="208">
        <v>0</v>
      </c>
      <c r="AG199" s="4">
        <v>1</v>
      </c>
      <c r="AH199" s="64">
        <v>1</v>
      </c>
      <c r="AI199" s="64">
        <v>1</v>
      </c>
      <c r="AJ199" s="64">
        <v>1</v>
      </c>
      <c r="AK199" s="64">
        <v>0</v>
      </c>
    </row>
    <row r="200" spans="1:37" s="65" customFormat="1" outlineLevel="1">
      <c r="A200" s="63">
        <v>193</v>
      </c>
      <c r="B200" s="64" t="s">
        <v>190</v>
      </c>
      <c r="C200" s="64" t="s">
        <v>235</v>
      </c>
      <c r="D200" s="64" t="str">
        <f>[1]Лист2!B193</f>
        <v>8-я КРАСНОАРМЕЙСКАЯ ул.</v>
      </c>
      <c r="E200" s="71" t="s">
        <v>206</v>
      </c>
      <c r="F200" s="196" t="str">
        <f>[1]Лист2!D193</f>
        <v>Б</v>
      </c>
      <c r="G200" s="64"/>
      <c r="H200" s="67">
        <v>129193</v>
      </c>
      <c r="I200" s="64" t="s">
        <v>234</v>
      </c>
      <c r="J200" s="64"/>
      <c r="K200" s="64" t="s">
        <v>232</v>
      </c>
      <c r="L200" s="64" t="s">
        <v>232</v>
      </c>
      <c r="M200" s="72">
        <v>1850</v>
      </c>
      <c r="N200" s="64" t="s">
        <v>385</v>
      </c>
      <c r="O200" s="73">
        <v>5</v>
      </c>
      <c r="P200" s="196">
        <v>0</v>
      </c>
      <c r="Q200" s="73">
        <v>1</v>
      </c>
      <c r="R200" s="74">
        <v>36</v>
      </c>
      <c r="S200" s="75">
        <v>1165.7</v>
      </c>
      <c r="T200" s="82">
        <f t="shared" si="4"/>
        <v>1013.3000000000001</v>
      </c>
      <c r="U200" s="77">
        <f t="shared" si="5"/>
        <v>1013.3000000000001</v>
      </c>
      <c r="V200" s="77">
        <v>152.4</v>
      </c>
      <c r="W200" s="80" t="s">
        <v>233</v>
      </c>
      <c r="X200" s="81" t="s">
        <v>233</v>
      </c>
      <c r="Y200" s="64" t="s">
        <v>233</v>
      </c>
      <c r="Z200" s="81" t="s">
        <v>233</v>
      </c>
      <c r="AA200" s="64" t="s">
        <v>233</v>
      </c>
      <c r="AB200" s="81" t="s">
        <v>233</v>
      </c>
      <c r="AC200" s="64" t="s">
        <v>240</v>
      </c>
      <c r="AD200" s="64" t="s">
        <v>233</v>
      </c>
      <c r="AE200" s="64" t="s">
        <v>240</v>
      </c>
      <c r="AF200" s="209">
        <v>0</v>
      </c>
      <c r="AG200" s="4">
        <v>1</v>
      </c>
      <c r="AH200" s="64">
        <v>1</v>
      </c>
      <c r="AI200" s="64">
        <v>0</v>
      </c>
      <c r="AJ200" s="64">
        <v>0</v>
      </c>
      <c r="AK200" s="64">
        <v>0</v>
      </c>
    </row>
    <row r="201" spans="1:37" s="65" customFormat="1" outlineLevel="1">
      <c r="A201" s="63">
        <v>194</v>
      </c>
      <c r="B201" s="64" t="s">
        <v>190</v>
      </c>
      <c r="C201" s="64" t="s">
        <v>235</v>
      </c>
      <c r="D201" s="64" t="str">
        <f>[1]Лист2!B194</f>
        <v>9-я КРАСНОАРМЕЙСКАЯ ул.</v>
      </c>
      <c r="E201" s="71">
        <f>[1]Лист2!C194</f>
        <v>13</v>
      </c>
      <c r="F201" s="196" t="str">
        <f>[1]Лист2!D194</f>
        <v>А</v>
      </c>
      <c r="G201" s="64"/>
      <c r="H201" s="67">
        <v>129194</v>
      </c>
      <c r="I201" s="64" t="s">
        <v>234</v>
      </c>
      <c r="J201" s="64"/>
      <c r="K201" s="64" t="s">
        <v>232</v>
      </c>
      <c r="L201" s="64" t="s">
        <v>232</v>
      </c>
      <c r="M201" s="72">
        <v>1908</v>
      </c>
      <c r="N201" s="64" t="s">
        <v>385</v>
      </c>
      <c r="O201" s="73">
        <v>5</v>
      </c>
      <c r="P201" s="196">
        <v>0</v>
      </c>
      <c r="Q201" s="73">
        <v>4</v>
      </c>
      <c r="R201" s="74">
        <v>72</v>
      </c>
      <c r="S201" s="75">
        <v>3388.3</v>
      </c>
      <c r="T201" s="82">
        <f t="shared" ref="T201:T264" si="6">U201</f>
        <v>2733.13</v>
      </c>
      <c r="U201" s="77">
        <f t="shared" ref="U201:U264" si="7">S201-V201</f>
        <v>2733.13</v>
      </c>
      <c r="V201" s="77">
        <v>655.16999999999996</v>
      </c>
      <c r="W201" s="80" t="s">
        <v>233</v>
      </c>
      <c r="X201" s="81" t="s">
        <v>233</v>
      </c>
      <c r="Y201" s="64" t="s">
        <v>233</v>
      </c>
      <c r="Z201" s="81" t="s">
        <v>233</v>
      </c>
      <c r="AA201" s="64" t="s">
        <v>233</v>
      </c>
      <c r="AB201" s="81" t="s">
        <v>233</v>
      </c>
      <c r="AC201" s="64" t="s">
        <v>240</v>
      </c>
      <c r="AD201" s="64" t="s">
        <v>233</v>
      </c>
      <c r="AE201" s="64" t="s">
        <v>240</v>
      </c>
      <c r="AF201" s="208">
        <v>1</v>
      </c>
      <c r="AG201" s="4">
        <v>2</v>
      </c>
      <c r="AH201" s="64">
        <v>1</v>
      </c>
      <c r="AI201" s="64">
        <v>1</v>
      </c>
      <c r="AJ201" s="64">
        <v>1</v>
      </c>
      <c r="AK201" s="64">
        <v>0</v>
      </c>
    </row>
    <row r="202" spans="1:37" s="65" customFormat="1" outlineLevel="1">
      <c r="A202" s="5">
        <v>195</v>
      </c>
      <c r="B202" s="64" t="s">
        <v>190</v>
      </c>
      <c r="C202" s="64" t="s">
        <v>235</v>
      </c>
      <c r="D202" s="64" t="str">
        <f>[1]Лист2!B195</f>
        <v>9-я КРАСНОАРМЕЙСКАЯ ул.</v>
      </c>
      <c r="E202" s="71">
        <f>[1]Лист2!C195</f>
        <v>15</v>
      </c>
      <c r="F202" s="196" t="str">
        <f>[1]Лист2!D195</f>
        <v>А</v>
      </c>
      <c r="G202" s="4"/>
      <c r="H202" s="67">
        <v>129195</v>
      </c>
      <c r="I202" s="64" t="s">
        <v>234</v>
      </c>
      <c r="J202" s="64"/>
      <c r="K202" s="64" t="s">
        <v>232</v>
      </c>
      <c r="L202" s="64" t="s">
        <v>232</v>
      </c>
      <c r="M202" s="72">
        <v>1899</v>
      </c>
      <c r="N202" s="64" t="s">
        <v>385</v>
      </c>
      <c r="O202" s="73">
        <v>4</v>
      </c>
      <c r="P202" s="196">
        <v>0</v>
      </c>
      <c r="Q202" s="73">
        <v>3</v>
      </c>
      <c r="R202" s="74">
        <v>39</v>
      </c>
      <c r="S202" s="75">
        <v>1265.3</v>
      </c>
      <c r="T202" s="82">
        <f t="shared" si="6"/>
        <v>1265.3</v>
      </c>
      <c r="U202" s="77">
        <f t="shared" si="7"/>
        <v>1265.3</v>
      </c>
      <c r="V202" s="77">
        <v>0</v>
      </c>
      <c r="W202" s="80" t="s">
        <v>233</v>
      </c>
      <c r="X202" s="81" t="s">
        <v>233</v>
      </c>
      <c r="Y202" s="64" t="s">
        <v>233</v>
      </c>
      <c r="Z202" s="81" t="s">
        <v>233</v>
      </c>
      <c r="AA202" s="64" t="s">
        <v>233</v>
      </c>
      <c r="AB202" s="81" t="s">
        <v>233</v>
      </c>
      <c r="AC202" s="64" t="s">
        <v>240</v>
      </c>
      <c r="AD202" s="64" t="s">
        <v>233</v>
      </c>
      <c r="AE202" s="64" t="s">
        <v>240</v>
      </c>
      <c r="AF202" s="208">
        <v>0</v>
      </c>
      <c r="AG202" s="4">
        <v>2</v>
      </c>
      <c r="AH202" s="64">
        <v>1</v>
      </c>
      <c r="AI202" s="64">
        <v>0</v>
      </c>
      <c r="AJ202" s="64">
        <v>0</v>
      </c>
      <c r="AK202" s="64">
        <v>0</v>
      </c>
    </row>
    <row r="203" spans="1:37" s="65" customFormat="1" outlineLevel="1">
      <c r="A203" s="5">
        <v>196</v>
      </c>
      <c r="B203" s="64" t="s">
        <v>190</v>
      </c>
      <c r="C203" s="64" t="s">
        <v>235</v>
      </c>
      <c r="D203" s="64" t="str">
        <f>[1]Лист2!B196</f>
        <v>9-я КРАСНОАРМЕЙСКАЯ ул.</v>
      </c>
      <c r="E203" s="71">
        <f>[1]Лист2!C196</f>
        <v>19</v>
      </c>
      <c r="F203" s="196" t="str">
        <f>[1]Лист2!D196</f>
        <v>А</v>
      </c>
      <c r="G203" s="4"/>
      <c r="H203" s="67">
        <v>129196</v>
      </c>
      <c r="I203" s="64" t="s">
        <v>234</v>
      </c>
      <c r="J203" s="64"/>
      <c r="K203" s="64" t="s">
        <v>232</v>
      </c>
      <c r="L203" s="64" t="s">
        <v>232</v>
      </c>
      <c r="M203" s="72">
        <v>1902</v>
      </c>
      <c r="N203" s="64" t="s">
        <v>385</v>
      </c>
      <c r="O203" s="73">
        <v>4</v>
      </c>
      <c r="P203" s="196">
        <v>0</v>
      </c>
      <c r="Q203" s="73">
        <v>1</v>
      </c>
      <c r="R203" s="74">
        <v>22</v>
      </c>
      <c r="S203" s="75">
        <v>623</v>
      </c>
      <c r="T203" s="82">
        <f t="shared" si="6"/>
        <v>510</v>
      </c>
      <c r="U203" s="77">
        <f t="shared" si="7"/>
        <v>510</v>
      </c>
      <c r="V203" s="77">
        <v>113</v>
      </c>
      <c r="W203" s="80" t="s">
        <v>233</v>
      </c>
      <c r="X203" s="81" t="s">
        <v>233</v>
      </c>
      <c r="Y203" s="64" t="s">
        <v>233</v>
      </c>
      <c r="Z203" s="81" t="s">
        <v>233</v>
      </c>
      <c r="AA203" s="64" t="s">
        <v>233</v>
      </c>
      <c r="AB203" s="81" t="s">
        <v>233</v>
      </c>
      <c r="AC203" s="64" t="s">
        <v>240</v>
      </c>
      <c r="AD203" s="64" t="s">
        <v>233</v>
      </c>
      <c r="AE203" s="64" t="s">
        <v>240</v>
      </c>
      <c r="AF203" s="208">
        <v>0</v>
      </c>
      <c r="AG203" s="4">
        <v>1</v>
      </c>
      <c r="AH203" s="64">
        <v>1</v>
      </c>
      <c r="AI203" s="64">
        <v>0</v>
      </c>
      <c r="AJ203" s="64">
        <v>0</v>
      </c>
      <c r="AK203" s="64">
        <v>0</v>
      </c>
    </row>
    <row r="204" spans="1:37" s="65" customFormat="1" outlineLevel="1">
      <c r="A204" s="5">
        <v>197</v>
      </c>
      <c r="B204" s="64" t="s">
        <v>190</v>
      </c>
      <c r="C204" s="64" t="s">
        <v>235</v>
      </c>
      <c r="D204" s="64" t="str">
        <f>[1]Лист2!B197</f>
        <v>9-я КРАСНОАРМЕЙСКАЯ ул.</v>
      </c>
      <c r="E204" s="71">
        <f>[1]Лист2!C197</f>
        <v>19</v>
      </c>
      <c r="F204" s="196" t="str">
        <f>[1]Лист2!D197</f>
        <v>Б</v>
      </c>
      <c r="G204" s="64"/>
      <c r="H204" s="67">
        <v>129197</v>
      </c>
      <c r="I204" s="64" t="s">
        <v>234</v>
      </c>
      <c r="J204" s="64"/>
      <c r="K204" s="64" t="s">
        <v>232</v>
      </c>
      <c r="L204" s="64" t="s">
        <v>232</v>
      </c>
      <c r="M204" s="72">
        <v>1881</v>
      </c>
      <c r="N204" s="64" t="s">
        <v>385</v>
      </c>
      <c r="O204" s="73">
        <v>3</v>
      </c>
      <c r="P204" s="196">
        <v>0</v>
      </c>
      <c r="Q204" s="73">
        <v>1</v>
      </c>
      <c r="R204" s="74">
        <v>6</v>
      </c>
      <c r="S204" s="75">
        <v>117</v>
      </c>
      <c r="T204" s="82">
        <f t="shared" si="6"/>
        <v>117</v>
      </c>
      <c r="U204" s="77">
        <f t="shared" si="7"/>
        <v>117</v>
      </c>
      <c r="V204" s="77">
        <v>0</v>
      </c>
      <c r="W204" s="80" t="s">
        <v>233</v>
      </c>
      <c r="X204" s="81" t="s">
        <v>233</v>
      </c>
      <c r="Y204" s="64" t="s">
        <v>233</v>
      </c>
      <c r="Z204" s="81" t="s">
        <v>233</v>
      </c>
      <c r="AA204" s="64" t="s">
        <v>233</v>
      </c>
      <c r="AB204" s="81" t="s">
        <v>233</v>
      </c>
      <c r="AC204" s="64" t="s">
        <v>240</v>
      </c>
      <c r="AD204" s="64" t="s">
        <v>233</v>
      </c>
      <c r="AE204" s="64" t="s">
        <v>240</v>
      </c>
      <c r="AF204" s="209">
        <v>0</v>
      </c>
      <c r="AG204" s="4">
        <v>1</v>
      </c>
      <c r="AH204" s="64">
        <v>1</v>
      </c>
      <c r="AI204" s="64">
        <v>0</v>
      </c>
      <c r="AJ204" s="64">
        <v>0</v>
      </c>
      <c r="AK204" s="64">
        <v>0</v>
      </c>
    </row>
    <row r="205" spans="1:37" s="65" customFormat="1" outlineLevel="1">
      <c r="A205" s="5">
        <v>198</v>
      </c>
      <c r="B205" s="64" t="s">
        <v>190</v>
      </c>
      <c r="C205" s="64" t="s">
        <v>235</v>
      </c>
      <c r="D205" s="64" t="str">
        <f>[1]Лист2!B198</f>
        <v>9-я КРАСНОАРМЕЙСКАЯ ул.</v>
      </c>
      <c r="E205" s="71">
        <f>[1]Лист2!C198</f>
        <v>21</v>
      </c>
      <c r="F205" s="196" t="str">
        <f>[1]Лист2!D198</f>
        <v>А</v>
      </c>
      <c r="G205" s="64"/>
      <c r="H205" s="67">
        <v>129198</v>
      </c>
      <c r="I205" s="64" t="s">
        <v>234</v>
      </c>
      <c r="J205" s="64"/>
      <c r="K205" s="64" t="s">
        <v>232</v>
      </c>
      <c r="L205" s="64" t="s">
        <v>232</v>
      </c>
      <c r="M205" s="72">
        <v>1897</v>
      </c>
      <c r="N205" s="64" t="s">
        <v>385</v>
      </c>
      <c r="O205" s="73">
        <v>3</v>
      </c>
      <c r="P205" s="196">
        <v>0</v>
      </c>
      <c r="Q205" s="73">
        <v>1</v>
      </c>
      <c r="R205" s="74">
        <v>23</v>
      </c>
      <c r="S205" s="75">
        <v>1034</v>
      </c>
      <c r="T205" s="82">
        <f t="shared" si="6"/>
        <v>949.4</v>
      </c>
      <c r="U205" s="77">
        <f t="shared" si="7"/>
        <v>949.4</v>
      </c>
      <c r="V205" s="77">
        <v>84.6</v>
      </c>
      <c r="W205" s="80" t="s">
        <v>233</v>
      </c>
      <c r="X205" s="81" t="s">
        <v>233</v>
      </c>
      <c r="Y205" s="64" t="s">
        <v>233</v>
      </c>
      <c r="Z205" s="81" t="s">
        <v>233</v>
      </c>
      <c r="AA205" s="64" t="s">
        <v>233</v>
      </c>
      <c r="AB205" s="81" t="s">
        <v>233</v>
      </c>
      <c r="AC205" s="64" t="s">
        <v>240</v>
      </c>
      <c r="AD205" s="64" t="s">
        <v>233</v>
      </c>
      <c r="AE205" s="64" t="s">
        <v>240</v>
      </c>
      <c r="AF205" s="208">
        <v>0</v>
      </c>
      <c r="AG205" s="4">
        <v>2</v>
      </c>
      <c r="AH205" s="64">
        <v>1</v>
      </c>
      <c r="AI205" s="64">
        <v>0</v>
      </c>
      <c r="AJ205" s="64">
        <v>0</v>
      </c>
      <c r="AK205" s="64">
        <v>0</v>
      </c>
    </row>
    <row r="206" spans="1:37" s="65" customFormat="1" outlineLevel="1">
      <c r="A206" s="63">
        <v>199</v>
      </c>
      <c r="B206" s="64" t="s">
        <v>190</v>
      </c>
      <c r="C206" s="64" t="s">
        <v>235</v>
      </c>
      <c r="D206" s="64" t="str">
        <f>[1]Лист2!B199</f>
        <v>9-я КРАСНОАРМЕЙСКАЯ ул.</v>
      </c>
      <c r="E206" s="71" t="s">
        <v>207</v>
      </c>
      <c r="F206" s="196" t="str">
        <f>[1]Лист2!D199</f>
        <v>А</v>
      </c>
      <c r="G206" s="4"/>
      <c r="H206" s="67">
        <v>129199</v>
      </c>
      <c r="I206" s="64" t="s">
        <v>234</v>
      </c>
      <c r="J206" s="64"/>
      <c r="K206" s="64" t="s">
        <v>232</v>
      </c>
      <c r="L206" s="64" t="s">
        <v>232</v>
      </c>
      <c r="M206" s="72">
        <v>1907</v>
      </c>
      <c r="N206" s="64" t="s">
        <v>385</v>
      </c>
      <c r="O206" s="73">
        <v>3</v>
      </c>
      <c r="P206" s="196">
        <v>0</v>
      </c>
      <c r="Q206" s="73">
        <v>3</v>
      </c>
      <c r="R206" s="74">
        <v>33</v>
      </c>
      <c r="S206" s="75">
        <v>2187</v>
      </c>
      <c r="T206" s="82">
        <f t="shared" si="6"/>
        <v>1690.1100000000001</v>
      </c>
      <c r="U206" s="77">
        <f t="shared" si="7"/>
        <v>1690.1100000000001</v>
      </c>
      <c r="V206" s="77">
        <v>496.89</v>
      </c>
      <c r="W206" s="80" t="s">
        <v>233</v>
      </c>
      <c r="X206" s="81" t="s">
        <v>233</v>
      </c>
      <c r="Y206" s="64" t="s">
        <v>233</v>
      </c>
      <c r="Z206" s="81" t="s">
        <v>233</v>
      </c>
      <c r="AA206" s="64" t="s">
        <v>233</v>
      </c>
      <c r="AB206" s="81" t="s">
        <v>233</v>
      </c>
      <c r="AC206" s="64" t="s">
        <v>240</v>
      </c>
      <c r="AD206" s="64" t="s">
        <v>233</v>
      </c>
      <c r="AE206" s="64" t="s">
        <v>240</v>
      </c>
      <c r="AF206" s="208">
        <v>0</v>
      </c>
      <c r="AG206" s="4">
        <v>2</v>
      </c>
      <c r="AH206" s="64">
        <v>1</v>
      </c>
      <c r="AI206" s="64">
        <v>1</v>
      </c>
      <c r="AJ206" s="64">
        <v>1</v>
      </c>
      <c r="AK206" s="64">
        <v>0</v>
      </c>
    </row>
    <row r="207" spans="1:37" outlineLevel="1">
      <c r="A207" s="63">
        <v>200</v>
      </c>
      <c r="B207" s="64" t="s">
        <v>190</v>
      </c>
      <c r="C207" s="64" t="s">
        <v>235</v>
      </c>
      <c r="D207" s="4" t="str">
        <f>[1]Лист2!B200</f>
        <v>9-я КРАСНОАРМЕЙСКАЯ ул.</v>
      </c>
      <c r="E207" s="69">
        <f>[1]Лист2!C200</f>
        <v>8</v>
      </c>
      <c r="F207" s="197" t="str">
        <f>[1]Лист2!D200</f>
        <v>А</v>
      </c>
      <c r="G207" s="4"/>
      <c r="H207" s="199">
        <v>129200</v>
      </c>
      <c r="I207" s="64" t="s">
        <v>234</v>
      </c>
      <c r="J207" s="4"/>
      <c r="K207" s="64" t="s">
        <v>232</v>
      </c>
      <c r="L207" s="4" t="s">
        <v>232</v>
      </c>
      <c r="M207" s="72">
        <v>1895</v>
      </c>
      <c r="N207" s="64" t="s">
        <v>385</v>
      </c>
      <c r="O207" s="73">
        <v>4</v>
      </c>
      <c r="P207" s="196">
        <v>0</v>
      </c>
      <c r="Q207" s="73">
        <v>3</v>
      </c>
      <c r="R207" s="74">
        <v>41</v>
      </c>
      <c r="S207" s="76">
        <v>1247.0999999999999</v>
      </c>
      <c r="T207" s="82">
        <f t="shared" si="6"/>
        <v>1189.0999999999999</v>
      </c>
      <c r="U207" s="77">
        <f t="shared" si="7"/>
        <v>1189.0999999999999</v>
      </c>
      <c r="V207" s="78">
        <v>58</v>
      </c>
      <c r="W207" s="80" t="s">
        <v>233</v>
      </c>
      <c r="X207" s="81" t="s">
        <v>233</v>
      </c>
      <c r="Y207" s="4" t="s">
        <v>233</v>
      </c>
      <c r="Z207" s="81" t="s">
        <v>233</v>
      </c>
      <c r="AA207" s="64" t="s">
        <v>233</v>
      </c>
      <c r="AB207" s="81" t="s">
        <v>233</v>
      </c>
      <c r="AC207" s="64" t="s">
        <v>240</v>
      </c>
      <c r="AD207" s="64" t="s">
        <v>233</v>
      </c>
      <c r="AE207" s="64" t="s">
        <v>240</v>
      </c>
      <c r="AF207" s="208">
        <v>0</v>
      </c>
      <c r="AG207" s="4">
        <v>1</v>
      </c>
      <c r="AH207" s="64">
        <v>1</v>
      </c>
      <c r="AI207" s="4">
        <v>1</v>
      </c>
      <c r="AJ207" s="4">
        <v>1</v>
      </c>
      <c r="AK207" s="4">
        <v>0</v>
      </c>
    </row>
    <row r="208" spans="1:37" outlineLevel="1">
      <c r="A208" s="5">
        <v>201</v>
      </c>
      <c r="B208" s="64" t="s">
        <v>190</v>
      </c>
      <c r="C208" s="64" t="s">
        <v>235</v>
      </c>
      <c r="D208" s="4" t="str">
        <f>[1]Лист2!B201</f>
        <v>9-я КРАСНОАРМЕЙСКАЯ ул.</v>
      </c>
      <c r="E208" s="69">
        <f>[1]Лист2!C201</f>
        <v>9</v>
      </c>
      <c r="F208" s="197" t="str">
        <f>[1]Лист2!D201</f>
        <v>А</v>
      </c>
      <c r="G208" s="64"/>
      <c r="H208" s="199">
        <v>129201</v>
      </c>
      <c r="I208" s="64" t="s">
        <v>234</v>
      </c>
      <c r="J208" s="4"/>
      <c r="K208" s="64" t="s">
        <v>232</v>
      </c>
      <c r="L208" s="4" t="s">
        <v>232</v>
      </c>
      <c r="M208" s="72">
        <v>1985</v>
      </c>
      <c r="N208" s="64" t="s">
        <v>385</v>
      </c>
      <c r="O208" s="73">
        <v>5</v>
      </c>
      <c r="P208" s="196">
        <v>0</v>
      </c>
      <c r="Q208" s="73">
        <v>5</v>
      </c>
      <c r="R208" s="74">
        <v>104</v>
      </c>
      <c r="S208" s="76">
        <v>3893.5</v>
      </c>
      <c r="T208" s="82">
        <f t="shared" si="6"/>
        <v>2812.5</v>
      </c>
      <c r="U208" s="77">
        <f t="shared" si="7"/>
        <v>2812.5</v>
      </c>
      <c r="V208" s="78">
        <v>1081</v>
      </c>
      <c r="W208" s="80" t="s">
        <v>233</v>
      </c>
      <c r="X208" s="81" t="s">
        <v>233</v>
      </c>
      <c r="Y208" s="4" t="s">
        <v>233</v>
      </c>
      <c r="Z208" s="81" t="s">
        <v>233</v>
      </c>
      <c r="AA208" s="64" t="s">
        <v>233</v>
      </c>
      <c r="AB208" s="81" t="s">
        <v>233</v>
      </c>
      <c r="AC208" s="64" t="s">
        <v>240</v>
      </c>
      <c r="AD208" s="64" t="s">
        <v>233</v>
      </c>
      <c r="AE208" s="64" t="s">
        <v>240</v>
      </c>
      <c r="AF208" s="208">
        <v>0</v>
      </c>
      <c r="AG208" s="4">
        <v>1</v>
      </c>
      <c r="AH208" s="64">
        <v>1</v>
      </c>
      <c r="AI208" s="4">
        <v>1</v>
      </c>
      <c r="AJ208" s="4">
        <v>1</v>
      </c>
      <c r="AK208" s="4">
        <v>0</v>
      </c>
    </row>
    <row r="209" spans="1:37" outlineLevel="1">
      <c r="A209" s="5">
        <v>202</v>
      </c>
      <c r="B209" s="64" t="s">
        <v>190</v>
      </c>
      <c r="C209" s="4" t="s">
        <v>236</v>
      </c>
      <c r="D209" s="4" t="str">
        <f>[1]Лист2!B202</f>
        <v>АДМИРАЛТЕЙСКАЯ наб.</v>
      </c>
      <c r="E209" s="69">
        <f>[1]Лист2!C202</f>
        <v>10</v>
      </c>
      <c r="F209" s="197" t="str">
        <f>[1]Лист2!D202</f>
        <v>А</v>
      </c>
      <c r="G209" s="64"/>
      <c r="H209" s="199">
        <v>129202</v>
      </c>
      <c r="I209" s="64" t="s">
        <v>234</v>
      </c>
      <c r="J209" s="4"/>
      <c r="K209" s="64" t="s">
        <v>232</v>
      </c>
      <c r="L209" s="4" t="s">
        <v>232</v>
      </c>
      <c r="M209" s="72">
        <v>1880</v>
      </c>
      <c r="N209" s="64" t="s">
        <v>385</v>
      </c>
      <c r="O209" s="73">
        <v>5</v>
      </c>
      <c r="P209" s="196">
        <v>0</v>
      </c>
      <c r="Q209" s="73">
        <v>6</v>
      </c>
      <c r="R209" s="74">
        <v>79</v>
      </c>
      <c r="S209" s="76">
        <v>5458.2</v>
      </c>
      <c r="T209" s="82">
        <f t="shared" si="6"/>
        <v>3222.7</v>
      </c>
      <c r="U209" s="77">
        <f t="shared" si="7"/>
        <v>3222.7</v>
      </c>
      <c r="V209" s="78">
        <v>2235.5</v>
      </c>
      <c r="W209" s="80" t="s">
        <v>233</v>
      </c>
      <c r="X209" s="81" t="s">
        <v>233</v>
      </c>
      <c r="Y209" s="4" t="s">
        <v>240</v>
      </c>
      <c r="Z209" s="81" t="s">
        <v>233</v>
      </c>
      <c r="AA209" s="64" t="s">
        <v>233</v>
      </c>
      <c r="AB209" s="81" t="s">
        <v>233</v>
      </c>
      <c r="AC209" s="4" t="s">
        <v>233</v>
      </c>
      <c r="AD209" s="64" t="s">
        <v>233</v>
      </c>
      <c r="AE209" s="64" t="s">
        <v>240</v>
      </c>
      <c r="AF209" s="208">
        <v>1</v>
      </c>
      <c r="AG209" s="4">
        <v>3</v>
      </c>
      <c r="AH209" s="64">
        <v>1</v>
      </c>
      <c r="AI209" s="4">
        <v>0</v>
      </c>
      <c r="AJ209" s="4">
        <v>1</v>
      </c>
      <c r="AK209" s="4">
        <v>0</v>
      </c>
    </row>
    <row r="210" spans="1:37" outlineLevel="1">
      <c r="A210" s="5">
        <v>203</v>
      </c>
      <c r="B210" s="64" t="s">
        <v>190</v>
      </c>
      <c r="C210" s="4" t="s">
        <v>236</v>
      </c>
      <c r="D210" s="4" t="str">
        <f>[1]Лист2!B203</f>
        <v>АДМИРАЛТЕЙСКАЯ наб.</v>
      </c>
      <c r="E210" s="69">
        <f>[1]Лист2!C203</f>
        <v>12</v>
      </c>
      <c r="F210" s="197" t="str">
        <f>[1]Лист2!D203</f>
        <v>А</v>
      </c>
      <c r="G210" s="4"/>
      <c r="H210" s="199">
        <v>129203</v>
      </c>
      <c r="I210" s="64" t="s">
        <v>234</v>
      </c>
      <c r="J210" s="4"/>
      <c r="K210" s="64" t="s">
        <v>232</v>
      </c>
      <c r="L210" s="4" t="s">
        <v>232</v>
      </c>
      <c r="M210" s="72">
        <v>1880</v>
      </c>
      <c r="N210" s="64" t="s">
        <v>385</v>
      </c>
      <c r="O210" s="73">
        <v>5</v>
      </c>
      <c r="P210" s="196">
        <v>0</v>
      </c>
      <c r="Q210" s="73">
        <v>3</v>
      </c>
      <c r="R210" s="74">
        <v>98</v>
      </c>
      <c r="S210" s="76">
        <v>13836.9</v>
      </c>
      <c r="T210" s="82">
        <f t="shared" si="6"/>
        <v>10596.4</v>
      </c>
      <c r="U210" s="77">
        <f t="shared" si="7"/>
        <v>10596.4</v>
      </c>
      <c r="V210" s="78">
        <v>3240.5</v>
      </c>
      <c r="W210" s="80" t="s">
        <v>233</v>
      </c>
      <c r="X210" s="81" t="s">
        <v>233</v>
      </c>
      <c r="Y210" s="4" t="s">
        <v>240</v>
      </c>
      <c r="Z210" s="81" t="s">
        <v>233</v>
      </c>
      <c r="AA210" s="64" t="s">
        <v>233</v>
      </c>
      <c r="AB210" s="81" t="s">
        <v>233</v>
      </c>
      <c r="AC210" s="4" t="s">
        <v>241</v>
      </c>
      <c r="AD210" s="64" t="s">
        <v>233</v>
      </c>
      <c r="AE210" s="64" t="s">
        <v>240</v>
      </c>
      <c r="AF210" s="208">
        <v>2</v>
      </c>
      <c r="AG210" s="4">
        <v>1</v>
      </c>
      <c r="AH210" s="64">
        <v>1</v>
      </c>
      <c r="AI210" s="4">
        <v>0</v>
      </c>
      <c r="AJ210" s="4">
        <v>1</v>
      </c>
      <c r="AK210" s="4">
        <v>0</v>
      </c>
    </row>
    <row r="211" spans="1:37" outlineLevel="1">
      <c r="A211" s="5">
        <v>204</v>
      </c>
      <c r="B211" s="64" t="s">
        <v>190</v>
      </c>
      <c r="C211" s="4" t="s">
        <v>236</v>
      </c>
      <c r="D211" s="4" t="str">
        <f>[1]Лист2!B204</f>
        <v>АДМИРАЛТЕЙСКАЯ наб.</v>
      </c>
      <c r="E211" s="69">
        <f>[1]Лист2!C204</f>
        <v>6</v>
      </c>
      <c r="F211" s="197" t="str">
        <f>[1]Лист2!D204</f>
        <v>А</v>
      </c>
      <c r="G211" s="4"/>
      <c r="H211" s="199">
        <v>129204</v>
      </c>
      <c r="I211" s="64" t="s">
        <v>234</v>
      </c>
      <c r="J211" s="4"/>
      <c r="K211" s="64" t="s">
        <v>232</v>
      </c>
      <c r="L211" s="4" t="s">
        <v>232</v>
      </c>
      <c r="M211" s="72">
        <v>1872</v>
      </c>
      <c r="N211" s="64" t="s">
        <v>385</v>
      </c>
      <c r="O211" s="73">
        <v>5</v>
      </c>
      <c r="P211" s="196">
        <v>0</v>
      </c>
      <c r="Q211" s="73">
        <v>8</v>
      </c>
      <c r="R211" s="74">
        <v>150</v>
      </c>
      <c r="S211" s="76">
        <v>6874.74</v>
      </c>
      <c r="T211" s="82">
        <f t="shared" si="6"/>
        <v>5688.74</v>
      </c>
      <c r="U211" s="77">
        <f t="shared" si="7"/>
        <v>5688.74</v>
      </c>
      <c r="V211" s="78">
        <v>1186</v>
      </c>
      <c r="W211" s="80" t="s">
        <v>233</v>
      </c>
      <c r="X211" s="81" t="s">
        <v>233</v>
      </c>
      <c r="Y211" s="4" t="s">
        <v>240</v>
      </c>
      <c r="Z211" s="81" t="s">
        <v>233</v>
      </c>
      <c r="AA211" s="64" t="s">
        <v>233</v>
      </c>
      <c r="AB211" s="81" t="s">
        <v>233</v>
      </c>
      <c r="AC211" s="4" t="s">
        <v>233</v>
      </c>
      <c r="AD211" s="64" t="s">
        <v>233</v>
      </c>
      <c r="AE211" s="64" t="s">
        <v>240</v>
      </c>
      <c r="AF211" s="208">
        <v>1</v>
      </c>
      <c r="AG211" s="4">
        <v>1</v>
      </c>
      <c r="AH211" s="64">
        <v>1</v>
      </c>
      <c r="AI211" s="4">
        <v>0</v>
      </c>
      <c r="AJ211" s="4">
        <v>1</v>
      </c>
      <c r="AK211" s="4">
        <v>0</v>
      </c>
    </row>
    <row r="212" spans="1:37" outlineLevel="1">
      <c r="A212" s="63">
        <v>205</v>
      </c>
      <c r="B212" s="64" t="s">
        <v>190</v>
      </c>
      <c r="C212" s="4" t="s">
        <v>236</v>
      </c>
      <c r="D212" s="4" t="str">
        <f>[1]Лист2!B205</f>
        <v>АДМИРАЛТЕЙСКИЙ кан.</v>
      </c>
      <c r="E212" s="69">
        <f>[1]Лист2!C205</f>
        <v>5</v>
      </c>
      <c r="F212" s="197" t="str">
        <f>[1]Лист2!D205</f>
        <v>А</v>
      </c>
      <c r="G212" s="64"/>
      <c r="H212" s="199">
        <v>129205</v>
      </c>
      <c r="I212" s="64" t="s">
        <v>234</v>
      </c>
      <c r="J212" s="4"/>
      <c r="K212" s="64" t="s">
        <v>232</v>
      </c>
      <c r="L212" s="4" t="s">
        <v>232</v>
      </c>
      <c r="M212" s="72">
        <v>1828</v>
      </c>
      <c r="N212" s="64" t="s">
        <v>385</v>
      </c>
      <c r="O212" s="73">
        <v>4</v>
      </c>
      <c r="P212" s="196">
        <v>0</v>
      </c>
      <c r="Q212" s="73">
        <v>4</v>
      </c>
      <c r="R212" s="74">
        <v>47</v>
      </c>
      <c r="S212" s="76">
        <v>2133.7999999999997</v>
      </c>
      <c r="T212" s="82">
        <f t="shared" si="6"/>
        <v>2133.7999999999997</v>
      </c>
      <c r="U212" s="77">
        <f t="shared" si="7"/>
        <v>2133.7999999999997</v>
      </c>
      <c r="V212" s="78">
        <v>0</v>
      </c>
      <c r="W212" s="80" t="s">
        <v>233</v>
      </c>
      <c r="X212" s="81" t="s">
        <v>233</v>
      </c>
      <c r="Y212" s="4" t="s">
        <v>233</v>
      </c>
      <c r="Z212" s="81" t="s">
        <v>233</v>
      </c>
      <c r="AA212" s="64" t="s">
        <v>233</v>
      </c>
      <c r="AB212" s="81" t="s">
        <v>233</v>
      </c>
      <c r="AC212" s="4" t="s">
        <v>240</v>
      </c>
      <c r="AD212" s="64" t="s">
        <v>233</v>
      </c>
      <c r="AE212" s="64" t="s">
        <v>240</v>
      </c>
      <c r="AF212" s="208">
        <v>0</v>
      </c>
      <c r="AG212" s="4">
        <v>1</v>
      </c>
      <c r="AH212" s="64">
        <v>1</v>
      </c>
      <c r="AI212" s="4">
        <v>0</v>
      </c>
      <c r="AJ212" s="4">
        <v>0</v>
      </c>
      <c r="AK212" s="4">
        <v>0</v>
      </c>
    </row>
    <row r="213" spans="1:37" outlineLevel="1">
      <c r="A213" s="63">
        <v>206</v>
      </c>
      <c r="B213" s="64" t="s">
        <v>190</v>
      </c>
      <c r="C213" s="4" t="s">
        <v>236</v>
      </c>
      <c r="D213" s="4" t="str">
        <f>[1]Лист2!B206</f>
        <v>АДМИРАЛТЕЙСКИЙ кан.</v>
      </c>
      <c r="E213" s="69">
        <f>[1]Лист2!C206</f>
        <v>7</v>
      </c>
      <c r="F213" s="197" t="str">
        <f>[1]Лист2!D206</f>
        <v>А</v>
      </c>
      <c r="G213" s="64"/>
      <c r="H213" s="199">
        <v>129206</v>
      </c>
      <c r="I213" s="64" t="s">
        <v>234</v>
      </c>
      <c r="J213" s="4"/>
      <c r="K213" s="64" t="s">
        <v>232</v>
      </c>
      <c r="L213" s="4" t="s">
        <v>232</v>
      </c>
      <c r="M213" s="72">
        <v>1827</v>
      </c>
      <c r="N213" s="64" t="s">
        <v>385</v>
      </c>
      <c r="O213" s="73">
        <v>3</v>
      </c>
      <c r="P213" s="196">
        <v>0</v>
      </c>
      <c r="Q213" s="73">
        <v>2</v>
      </c>
      <c r="R213" s="74">
        <v>25</v>
      </c>
      <c r="S213" s="76">
        <v>1021.9</v>
      </c>
      <c r="T213" s="82">
        <f t="shared" si="6"/>
        <v>796.9</v>
      </c>
      <c r="U213" s="77">
        <f t="shared" si="7"/>
        <v>796.9</v>
      </c>
      <c r="V213" s="78">
        <v>225</v>
      </c>
      <c r="W213" s="80" t="s">
        <v>233</v>
      </c>
      <c r="X213" s="81" t="s">
        <v>233</v>
      </c>
      <c r="Y213" s="4" t="s">
        <v>233</v>
      </c>
      <c r="Z213" s="81" t="s">
        <v>233</v>
      </c>
      <c r="AA213" s="64" t="s">
        <v>233</v>
      </c>
      <c r="AB213" s="81" t="s">
        <v>233</v>
      </c>
      <c r="AC213" s="4" t="s">
        <v>240</v>
      </c>
      <c r="AD213" s="64" t="s">
        <v>233</v>
      </c>
      <c r="AE213" s="64" t="s">
        <v>240</v>
      </c>
      <c r="AF213" s="208">
        <v>0</v>
      </c>
      <c r="AG213" s="4">
        <v>1</v>
      </c>
      <c r="AH213" s="64">
        <v>1</v>
      </c>
      <c r="AI213" s="4">
        <v>1</v>
      </c>
      <c r="AJ213" s="4">
        <v>1</v>
      </c>
      <c r="AK213" s="4">
        <v>0</v>
      </c>
    </row>
    <row r="214" spans="1:37" outlineLevel="1">
      <c r="A214" s="5">
        <v>207</v>
      </c>
      <c r="B214" s="64" t="s">
        <v>190</v>
      </c>
      <c r="C214" s="4" t="s">
        <v>236</v>
      </c>
      <c r="D214" s="4" t="str">
        <f>[1]Лист2!B207</f>
        <v>АДМИРАЛТЕЙСКИЙ кан.</v>
      </c>
      <c r="E214" s="69">
        <f>[1]Лист2!C207</f>
        <v>9</v>
      </c>
      <c r="F214" s="197" t="str">
        <f>[1]Лист2!D207</f>
        <v>А</v>
      </c>
      <c r="G214" s="4"/>
      <c r="H214" s="199">
        <v>129207</v>
      </c>
      <c r="I214" s="64" t="s">
        <v>234</v>
      </c>
      <c r="J214" s="4"/>
      <c r="K214" s="64" t="s">
        <v>232</v>
      </c>
      <c r="L214" s="4" t="s">
        <v>232</v>
      </c>
      <c r="M214" s="72">
        <v>1872</v>
      </c>
      <c r="N214" s="64" t="s">
        <v>385</v>
      </c>
      <c r="O214" s="73">
        <v>6</v>
      </c>
      <c r="P214" s="196">
        <v>0</v>
      </c>
      <c r="Q214" s="73">
        <v>3</v>
      </c>
      <c r="R214" s="74">
        <v>42</v>
      </c>
      <c r="S214" s="76">
        <v>2371.5</v>
      </c>
      <c r="T214" s="82">
        <f t="shared" si="6"/>
        <v>1498.3400000000001</v>
      </c>
      <c r="U214" s="77">
        <f t="shared" si="7"/>
        <v>1498.3400000000001</v>
      </c>
      <c r="V214" s="78">
        <v>873.16</v>
      </c>
      <c r="W214" s="80" t="s">
        <v>233</v>
      </c>
      <c r="X214" s="81" t="s">
        <v>233</v>
      </c>
      <c r="Y214" s="4" t="s">
        <v>233</v>
      </c>
      <c r="Z214" s="81" t="s">
        <v>233</v>
      </c>
      <c r="AA214" s="64" t="s">
        <v>233</v>
      </c>
      <c r="AB214" s="81" t="s">
        <v>233</v>
      </c>
      <c r="AC214" s="4" t="s">
        <v>240</v>
      </c>
      <c r="AD214" s="64" t="s">
        <v>233</v>
      </c>
      <c r="AE214" s="64" t="s">
        <v>240</v>
      </c>
      <c r="AF214" s="208">
        <v>1</v>
      </c>
      <c r="AG214" s="4">
        <v>1</v>
      </c>
      <c r="AH214" s="64">
        <v>1</v>
      </c>
      <c r="AI214" s="4">
        <v>0</v>
      </c>
      <c r="AJ214" s="4">
        <v>0</v>
      </c>
      <c r="AK214" s="4">
        <v>0</v>
      </c>
    </row>
    <row r="215" spans="1:37" outlineLevel="1">
      <c r="A215" s="5">
        <v>208</v>
      </c>
      <c r="B215" s="64" t="s">
        <v>190</v>
      </c>
      <c r="C215" s="4" t="s">
        <v>237</v>
      </c>
      <c r="D215" s="4" t="str">
        <f>[1]Лист2!B208</f>
        <v>АЛЕКСАНДРА БЛОКА ул.</v>
      </c>
      <c r="E215" s="69">
        <f>[1]Лист2!C208</f>
        <v>6</v>
      </c>
      <c r="F215" s="197" t="str">
        <f>[1]Лист2!D208</f>
        <v>А</v>
      </c>
      <c r="G215" s="4"/>
      <c r="H215" s="199">
        <v>129208</v>
      </c>
      <c r="I215" s="64" t="s">
        <v>234</v>
      </c>
      <c r="J215" s="4"/>
      <c r="K215" s="64" t="s">
        <v>232</v>
      </c>
      <c r="L215" s="4" t="s">
        <v>232</v>
      </c>
      <c r="M215" s="72">
        <v>1828</v>
      </c>
      <c r="N215" s="64" t="s">
        <v>385</v>
      </c>
      <c r="O215" s="73">
        <v>3</v>
      </c>
      <c r="P215" s="196">
        <v>0</v>
      </c>
      <c r="Q215" s="73">
        <v>1</v>
      </c>
      <c r="R215" s="74">
        <v>3</v>
      </c>
      <c r="S215" s="76">
        <v>385.9</v>
      </c>
      <c r="T215" s="82">
        <f t="shared" si="6"/>
        <v>213.29999999999998</v>
      </c>
      <c r="U215" s="77">
        <f t="shared" si="7"/>
        <v>213.29999999999998</v>
      </c>
      <c r="V215" s="78">
        <v>172.6</v>
      </c>
      <c r="W215" s="80" t="s">
        <v>233</v>
      </c>
      <c r="X215" s="81" t="s">
        <v>233</v>
      </c>
      <c r="Y215" s="4" t="s">
        <v>233</v>
      </c>
      <c r="Z215" s="81" t="s">
        <v>233</v>
      </c>
      <c r="AA215" s="64" t="s">
        <v>233</v>
      </c>
      <c r="AB215" s="81" t="s">
        <v>233</v>
      </c>
      <c r="AC215" s="4" t="s">
        <v>240</v>
      </c>
      <c r="AD215" s="64" t="s">
        <v>233</v>
      </c>
      <c r="AE215" s="64" t="s">
        <v>240</v>
      </c>
      <c r="AF215" s="208">
        <v>0</v>
      </c>
      <c r="AG215" s="4">
        <v>1</v>
      </c>
      <c r="AH215" s="64">
        <v>1</v>
      </c>
      <c r="AI215" s="4">
        <v>0</v>
      </c>
      <c r="AJ215" s="4">
        <v>0</v>
      </c>
      <c r="AK215" s="4">
        <v>0</v>
      </c>
    </row>
    <row r="216" spans="1:37" outlineLevel="1">
      <c r="A216" s="5">
        <v>209</v>
      </c>
      <c r="B216" s="64" t="s">
        <v>190</v>
      </c>
      <c r="C216" s="4" t="s">
        <v>236</v>
      </c>
      <c r="D216" s="4" t="str">
        <f>[1]Лист2!B209</f>
        <v>АНГЛИЙСКАЯ наб.</v>
      </c>
      <c r="E216" s="69">
        <f>[1]Лист2!C209</f>
        <v>22</v>
      </c>
      <c r="F216" s="197" t="str">
        <f>[1]Лист2!D209</f>
        <v>А</v>
      </c>
      <c r="G216" s="64"/>
      <c r="H216" s="199">
        <v>129209</v>
      </c>
      <c r="I216" s="64" t="s">
        <v>234</v>
      </c>
      <c r="J216" s="4"/>
      <c r="K216" s="64" t="s">
        <v>232</v>
      </c>
      <c r="L216" s="4" t="s">
        <v>232</v>
      </c>
      <c r="M216" s="72">
        <v>1884</v>
      </c>
      <c r="N216" s="64" t="s">
        <v>385</v>
      </c>
      <c r="O216" s="73">
        <v>3</v>
      </c>
      <c r="P216" s="196">
        <v>0</v>
      </c>
      <c r="Q216" s="73">
        <v>3</v>
      </c>
      <c r="R216" s="74">
        <v>23</v>
      </c>
      <c r="S216" s="76">
        <v>1888.02</v>
      </c>
      <c r="T216" s="82">
        <f t="shared" si="6"/>
        <v>1600.71</v>
      </c>
      <c r="U216" s="77">
        <f t="shared" si="7"/>
        <v>1600.71</v>
      </c>
      <c r="V216" s="78">
        <v>287.31</v>
      </c>
      <c r="W216" s="80" t="s">
        <v>233</v>
      </c>
      <c r="X216" s="81" t="s">
        <v>233</v>
      </c>
      <c r="Y216" s="4" t="s">
        <v>233</v>
      </c>
      <c r="Z216" s="81" t="s">
        <v>233</v>
      </c>
      <c r="AA216" s="64" t="s">
        <v>233</v>
      </c>
      <c r="AB216" s="81" t="s">
        <v>233</v>
      </c>
      <c r="AC216" s="4" t="s">
        <v>240</v>
      </c>
      <c r="AD216" s="64" t="s">
        <v>233</v>
      </c>
      <c r="AE216" s="64" t="s">
        <v>240</v>
      </c>
      <c r="AF216" s="208">
        <v>0</v>
      </c>
      <c r="AG216" s="4">
        <v>1</v>
      </c>
      <c r="AH216" s="64">
        <v>1</v>
      </c>
      <c r="AI216" s="4">
        <v>1</v>
      </c>
      <c r="AJ216" s="4">
        <v>1</v>
      </c>
      <c r="AK216" s="4">
        <v>0</v>
      </c>
    </row>
    <row r="217" spans="1:37" outlineLevel="1">
      <c r="A217" s="5">
        <v>210</v>
      </c>
      <c r="B217" s="64" t="s">
        <v>190</v>
      </c>
      <c r="C217" s="4" t="s">
        <v>236</v>
      </c>
      <c r="D217" s="4" t="str">
        <f>[1]Лист2!B210</f>
        <v>АНГЛИЙСКАЯ наб.</v>
      </c>
      <c r="E217" s="69">
        <f>[1]Лист2!C210</f>
        <v>48</v>
      </c>
      <c r="F217" s="197" t="str">
        <f>[1]Лист2!D210</f>
        <v>А</v>
      </c>
      <c r="G217" s="64"/>
      <c r="H217" s="199">
        <v>129210</v>
      </c>
      <c r="I217" s="64" t="s">
        <v>234</v>
      </c>
      <c r="J217" s="4" t="s">
        <v>1422</v>
      </c>
      <c r="K217" s="64" t="s">
        <v>232</v>
      </c>
      <c r="L217" s="4" t="s">
        <v>232</v>
      </c>
      <c r="M217" s="72">
        <v>1846</v>
      </c>
      <c r="N217" s="64" t="s">
        <v>385</v>
      </c>
      <c r="O217" s="73">
        <v>5</v>
      </c>
      <c r="P217" s="196">
        <v>0</v>
      </c>
      <c r="Q217" s="73">
        <v>6</v>
      </c>
      <c r="R217" s="74">
        <v>8</v>
      </c>
      <c r="S217" s="76">
        <v>461.4</v>
      </c>
      <c r="T217" s="82">
        <f t="shared" si="6"/>
        <v>0</v>
      </c>
      <c r="U217" s="77">
        <f t="shared" si="7"/>
        <v>0</v>
      </c>
      <c r="V217" s="78">
        <v>461.4</v>
      </c>
      <c r="W217" s="80" t="s">
        <v>233</v>
      </c>
      <c r="X217" s="81" t="s">
        <v>233</v>
      </c>
      <c r="Y217" s="4" t="s">
        <v>233</v>
      </c>
      <c r="Z217" s="81" t="s">
        <v>233</v>
      </c>
      <c r="AA217" s="64" t="s">
        <v>233</v>
      </c>
      <c r="AB217" s="81" t="s">
        <v>233</v>
      </c>
      <c r="AC217" s="4" t="s">
        <v>240</v>
      </c>
      <c r="AD217" s="64" t="s">
        <v>233</v>
      </c>
      <c r="AE217" s="64" t="s">
        <v>240</v>
      </c>
      <c r="AF217" s="208">
        <v>0</v>
      </c>
      <c r="AG217" s="4">
        <v>1</v>
      </c>
      <c r="AH217" s="64">
        <v>1</v>
      </c>
      <c r="AI217" s="4">
        <v>0</v>
      </c>
      <c r="AJ217" s="4">
        <v>0</v>
      </c>
      <c r="AK217" s="4">
        <v>0</v>
      </c>
    </row>
    <row r="218" spans="1:37" outlineLevel="1">
      <c r="A218" s="63">
        <v>211</v>
      </c>
      <c r="B218" s="64" t="s">
        <v>190</v>
      </c>
      <c r="C218" s="4" t="s">
        <v>236</v>
      </c>
      <c r="D218" s="4" t="str">
        <f>[1]Лист2!B211</f>
        <v>АНГЛИЙСКАЯ наб.</v>
      </c>
      <c r="E218" s="69">
        <f>[1]Лист2!C211</f>
        <v>48</v>
      </c>
      <c r="F218" s="197" t="str">
        <f>[1]Лист2!D211</f>
        <v>Б</v>
      </c>
      <c r="G218" s="4"/>
      <c r="H218" s="199">
        <v>129211</v>
      </c>
      <c r="I218" s="64" t="s">
        <v>234</v>
      </c>
      <c r="J218" s="4"/>
      <c r="K218" s="64" t="s">
        <v>232</v>
      </c>
      <c r="L218" s="4" t="s">
        <v>232</v>
      </c>
      <c r="M218" s="72">
        <v>1798</v>
      </c>
      <c r="N218" s="64" t="s">
        <v>385</v>
      </c>
      <c r="O218" s="73">
        <v>3</v>
      </c>
      <c r="P218" s="196">
        <v>0</v>
      </c>
      <c r="Q218" s="73">
        <v>1</v>
      </c>
      <c r="R218" s="74">
        <v>12</v>
      </c>
      <c r="S218" s="76">
        <v>461.29999999999995</v>
      </c>
      <c r="T218" s="82">
        <f t="shared" si="6"/>
        <v>335.19999999999993</v>
      </c>
      <c r="U218" s="77">
        <f t="shared" si="7"/>
        <v>335.19999999999993</v>
      </c>
      <c r="V218" s="78">
        <v>126.1</v>
      </c>
      <c r="W218" s="80" t="s">
        <v>233</v>
      </c>
      <c r="X218" s="81" t="s">
        <v>233</v>
      </c>
      <c r="Y218" s="4" t="s">
        <v>233</v>
      </c>
      <c r="Z218" s="81" t="s">
        <v>233</v>
      </c>
      <c r="AA218" s="64" t="s">
        <v>233</v>
      </c>
      <c r="AB218" s="81" t="s">
        <v>233</v>
      </c>
      <c r="AC218" s="4" t="s">
        <v>240</v>
      </c>
      <c r="AD218" s="64" t="s">
        <v>233</v>
      </c>
      <c r="AE218" s="64" t="s">
        <v>240</v>
      </c>
      <c r="AF218" s="209">
        <v>0</v>
      </c>
      <c r="AG218" s="4">
        <v>1</v>
      </c>
      <c r="AH218" s="64">
        <v>1</v>
      </c>
      <c r="AI218" s="4">
        <v>0</v>
      </c>
      <c r="AJ218" s="4">
        <v>0</v>
      </c>
      <c r="AK218" s="4">
        <v>0</v>
      </c>
    </row>
    <row r="219" spans="1:37" outlineLevel="1">
      <c r="A219" s="63">
        <v>212</v>
      </c>
      <c r="B219" s="64" t="s">
        <v>190</v>
      </c>
      <c r="C219" s="4" t="s">
        <v>236</v>
      </c>
      <c r="D219" s="4" t="str">
        <f>[1]Лист2!B212</f>
        <v>АНГЛИЙСКАЯ наб.</v>
      </c>
      <c r="E219" s="69">
        <f>[1]Лист2!C212</f>
        <v>74</v>
      </c>
      <c r="F219" s="197" t="str">
        <f>[1]Лист2!D212</f>
        <v>А</v>
      </c>
      <c r="G219" s="4"/>
      <c r="H219" s="199">
        <v>129212</v>
      </c>
      <c r="I219" s="64" t="s">
        <v>234</v>
      </c>
      <c r="J219" s="4"/>
      <c r="K219" s="64" t="s">
        <v>232</v>
      </c>
      <c r="L219" s="4" t="s">
        <v>232</v>
      </c>
      <c r="M219" s="72">
        <v>1896</v>
      </c>
      <c r="N219" s="64" t="s">
        <v>385</v>
      </c>
      <c r="O219" s="73">
        <v>2</v>
      </c>
      <c r="P219" s="196">
        <v>0</v>
      </c>
      <c r="Q219" s="73">
        <v>3</v>
      </c>
      <c r="R219" s="74">
        <v>40</v>
      </c>
      <c r="S219" s="76">
        <v>2430.3999999999996</v>
      </c>
      <c r="T219" s="82">
        <f t="shared" si="6"/>
        <v>1488.5399999999995</v>
      </c>
      <c r="U219" s="77">
        <f t="shared" si="7"/>
        <v>1488.5399999999995</v>
      </c>
      <c r="V219" s="78">
        <v>941.86</v>
      </c>
      <c r="W219" s="80" t="s">
        <v>233</v>
      </c>
      <c r="X219" s="81" t="s">
        <v>233</v>
      </c>
      <c r="Y219" s="4" t="s">
        <v>233</v>
      </c>
      <c r="Z219" s="81" t="s">
        <v>233</v>
      </c>
      <c r="AA219" s="64" t="s">
        <v>233</v>
      </c>
      <c r="AB219" s="81" t="s">
        <v>233</v>
      </c>
      <c r="AC219" s="4" t="s">
        <v>240</v>
      </c>
      <c r="AD219" s="64" t="s">
        <v>233</v>
      </c>
      <c r="AE219" s="64" t="s">
        <v>240</v>
      </c>
      <c r="AF219" s="208">
        <v>0</v>
      </c>
      <c r="AG219" s="4">
        <v>1</v>
      </c>
      <c r="AH219" s="64">
        <v>1</v>
      </c>
      <c r="AI219" s="4">
        <v>0</v>
      </c>
      <c r="AJ219" s="4">
        <v>0</v>
      </c>
      <c r="AK219" s="4">
        <v>0</v>
      </c>
    </row>
    <row r="220" spans="1:37" outlineLevel="1">
      <c r="A220" s="5">
        <v>213</v>
      </c>
      <c r="B220" s="64" t="s">
        <v>190</v>
      </c>
      <c r="C220" s="4" t="s">
        <v>237</v>
      </c>
      <c r="D220" s="4" t="str">
        <f>[1]Лист2!B213</f>
        <v>АНГЛИЙСКИЙ пр.</v>
      </c>
      <c r="E220" s="69">
        <f>[1]Лист2!C213</f>
        <v>12</v>
      </c>
      <c r="F220" s="197" t="str">
        <f>[1]Лист2!D213</f>
        <v>А</v>
      </c>
      <c r="G220" s="64"/>
      <c r="H220" s="199">
        <v>129213</v>
      </c>
      <c r="I220" s="64" t="s">
        <v>234</v>
      </c>
      <c r="J220" s="4"/>
      <c r="K220" s="64" t="s">
        <v>232</v>
      </c>
      <c r="L220" s="4" t="s">
        <v>232</v>
      </c>
      <c r="M220" s="72">
        <v>1830</v>
      </c>
      <c r="N220" s="64" t="s">
        <v>385</v>
      </c>
      <c r="O220" s="73">
        <v>5</v>
      </c>
      <c r="P220" s="196">
        <v>0</v>
      </c>
      <c r="Q220" s="73">
        <v>2</v>
      </c>
      <c r="R220" s="74">
        <v>34</v>
      </c>
      <c r="S220" s="76">
        <v>2110.61</v>
      </c>
      <c r="T220" s="82">
        <f t="shared" si="6"/>
        <v>1933.8100000000002</v>
      </c>
      <c r="U220" s="77">
        <f t="shared" si="7"/>
        <v>1933.8100000000002</v>
      </c>
      <c r="V220" s="78">
        <v>176.8</v>
      </c>
      <c r="W220" s="80" t="s">
        <v>233</v>
      </c>
      <c r="X220" s="81" t="s">
        <v>233</v>
      </c>
      <c r="Y220" s="4" t="s">
        <v>233</v>
      </c>
      <c r="Z220" s="81" t="s">
        <v>233</v>
      </c>
      <c r="AA220" s="64" t="s">
        <v>233</v>
      </c>
      <c r="AB220" s="81" t="s">
        <v>233</v>
      </c>
      <c r="AC220" s="4" t="s">
        <v>240</v>
      </c>
      <c r="AD220" s="64" t="s">
        <v>233</v>
      </c>
      <c r="AE220" s="64" t="s">
        <v>240</v>
      </c>
      <c r="AF220" s="210">
        <v>0</v>
      </c>
      <c r="AG220" s="4">
        <v>1</v>
      </c>
      <c r="AH220" s="64">
        <v>1</v>
      </c>
      <c r="AI220" s="4">
        <v>1</v>
      </c>
      <c r="AJ220" s="4">
        <v>1</v>
      </c>
      <c r="AK220" s="4">
        <v>0</v>
      </c>
    </row>
    <row r="221" spans="1:37" outlineLevel="1">
      <c r="A221" s="5">
        <v>214</v>
      </c>
      <c r="B221" s="64" t="s">
        <v>190</v>
      </c>
      <c r="C221" s="4" t="s">
        <v>237</v>
      </c>
      <c r="D221" s="4" t="str">
        <f>[1]Лист2!B214</f>
        <v>АНГЛИЙСКИЙ пр.</v>
      </c>
      <c r="E221" s="69">
        <f>[1]Лист2!C214</f>
        <v>13</v>
      </c>
      <c r="F221" s="197" t="str">
        <f>[1]Лист2!D214</f>
        <v>А</v>
      </c>
      <c r="G221" s="64"/>
      <c r="H221" s="199">
        <v>129214</v>
      </c>
      <c r="I221" s="64" t="s">
        <v>234</v>
      </c>
      <c r="J221" s="4"/>
      <c r="K221" s="64" t="s">
        <v>232</v>
      </c>
      <c r="L221" s="4" t="s">
        <v>232</v>
      </c>
      <c r="M221" s="72">
        <v>1883</v>
      </c>
      <c r="N221" s="64" t="s">
        <v>385</v>
      </c>
      <c r="O221" s="73">
        <v>3</v>
      </c>
      <c r="P221" s="196">
        <v>0</v>
      </c>
      <c r="Q221" s="73">
        <v>2</v>
      </c>
      <c r="R221" s="74">
        <v>29</v>
      </c>
      <c r="S221" s="76">
        <v>895.8</v>
      </c>
      <c r="T221" s="82">
        <f t="shared" si="6"/>
        <v>695.8</v>
      </c>
      <c r="U221" s="77">
        <f t="shared" si="7"/>
        <v>695.8</v>
      </c>
      <c r="V221" s="78">
        <v>200</v>
      </c>
      <c r="W221" s="80" t="s">
        <v>233</v>
      </c>
      <c r="X221" s="81" t="s">
        <v>233</v>
      </c>
      <c r="Y221" s="4" t="s">
        <v>233</v>
      </c>
      <c r="Z221" s="81" t="s">
        <v>233</v>
      </c>
      <c r="AA221" s="64" t="s">
        <v>233</v>
      </c>
      <c r="AB221" s="81" t="s">
        <v>233</v>
      </c>
      <c r="AC221" s="4" t="s">
        <v>240</v>
      </c>
      <c r="AD221" s="64" t="s">
        <v>233</v>
      </c>
      <c r="AE221" s="64" t="s">
        <v>240</v>
      </c>
      <c r="AF221" s="208">
        <v>0</v>
      </c>
      <c r="AG221" s="4">
        <v>1</v>
      </c>
      <c r="AH221" s="64">
        <v>1</v>
      </c>
      <c r="AI221" s="4">
        <v>0</v>
      </c>
      <c r="AJ221" s="4">
        <v>0</v>
      </c>
      <c r="AK221" s="4">
        <v>0</v>
      </c>
    </row>
    <row r="222" spans="1:37" outlineLevel="1">
      <c r="A222" s="5">
        <v>215</v>
      </c>
      <c r="B222" s="64" t="s">
        <v>190</v>
      </c>
      <c r="C222" s="4" t="s">
        <v>237</v>
      </c>
      <c r="D222" s="4" t="str">
        <f>[1]Лист2!B215</f>
        <v>АНГЛИЙСКИЙ пр.</v>
      </c>
      <c r="E222" s="69">
        <f>[1]Лист2!C215</f>
        <v>13</v>
      </c>
      <c r="F222" s="197" t="str">
        <f>[1]Лист2!D215</f>
        <v>Б</v>
      </c>
      <c r="G222" s="4"/>
      <c r="H222" s="199">
        <v>129215</v>
      </c>
      <c r="I222" s="64" t="s">
        <v>234</v>
      </c>
      <c r="J222" s="4"/>
      <c r="K222" s="64" t="s">
        <v>232</v>
      </c>
      <c r="L222" s="4" t="s">
        <v>232</v>
      </c>
      <c r="M222" s="72">
        <v>1883</v>
      </c>
      <c r="N222" s="64" t="s">
        <v>385</v>
      </c>
      <c r="O222" s="73">
        <v>3</v>
      </c>
      <c r="P222" s="196">
        <v>0</v>
      </c>
      <c r="Q222" s="73">
        <v>1</v>
      </c>
      <c r="R222" s="74">
        <v>18</v>
      </c>
      <c r="S222" s="76">
        <v>510.6</v>
      </c>
      <c r="T222" s="82">
        <f t="shared" si="6"/>
        <v>389.6</v>
      </c>
      <c r="U222" s="77">
        <f t="shared" si="7"/>
        <v>389.6</v>
      </c>
      <c r="V222" s="78">
        <v>121</v>
      </c>
      <c r="W222" s="80" t="s">
        <v>233</v>
      </c>
      <c r="X222" s="81" t="s">
        <v>233</v>
      </c>
      <c r="Y222" s="4" t="s">
        <v>233</v>
      </c>
      <c r="Z222" s="81" t="s">
        <v>233</v>
      </c>
      <c r="AA222" s="64" t="s">
        <v>233</v>
      </c>
      <c r="AB222" s="81" t="s">
        <v>233</v>
      </c>
      <c r="AC222" s="4" t="s">
        <v>240</v>
      </c>
      <c r="AD222" s="64" t="s">
        <v>233</v>
      </c>
      <c r="AE222" s="64" t="s">
        <v>240</v>
      </c>
      <c r="AF222" s="209">
        <v>0</v>
      </c>
      <c r="AG222" s="4">
        <v>1</v>
      </c>
      <c r="AH222" s="64">
        <v>1</v>
      </c>
      <c r="AI222" s="4">
        <v>0</v>
      </c>
      <c r="AJ222" s="4">
        <v>0</v>
      </c>
      <c r="AK222" s="4">
        <v>0</v>
      </c>
    </row>
    <row r="223" spans="1:37" outlineLevel="1">
      <c r="A223" s="5">
        <v>216</v>
      </c>
      <c r="B223" s="64" t="s">
        <v>190</v>
      </c>
      <c r="C223" s="4" t="s">
        <v>237</v>
      </c>
      <c r="D223" s="4" t="str">
        <f>[1]Лист2!B216</f>
        <v>АНГЛИЙСКИЙ пр.</v>
      </c>
      <c r="E223" s="69">
        <f>[1]Лист2!C216</f>
        <v>15</v>
      </c>
      <c r="F223" s="197" t="str">
        <f>[1]Лист2!D216</f>
        <v>А</v>
      </c>
      <c r="G223" s="4"/>
      <c r="H223" s="199">
        <v>129216</v>
      </c>
      <c r="I223" s="64" t="s">
        <v>234</v>
      </c>
      <c r="J223" s="4"/>
      <c r="K223" s="64" t="s">
        <v>232</v>
      </c>
      <c r="L223" s="4" t="s">
        <v>232</v>
      </c>
      <c r="M223" s="72">
        <v>1839</v>
      </c>
      <c r="N223" s="64" t="s">
        <v>385</v>
      </c>
      <c r="O223" s="73">
        <v>4</v>
      </c>
      <c r="P223" s="196">
        <v>0</v>
      </c>
      <c r="Q223" s="73">
        <v>3</v>
      </c>
      <c r="R223" s="74">
        <v>21</v>
      </c>
      <c r="S223" s="76">
        <v>1187.92</v>
      </c>
      <c r="T223" s="82">
        <f t="shared" si="6"/>
        <v>1006.9200000000001</v>
      </c>
      <c r="U223" s="77">
        <f t="shared" si="7"/>
        <v>1006.9200000000001</v>
      </c>
      <c r="V223" s="78">
        <v>181</v>
      </c>
      <c r="W223" s="80" t="s">
        <v>233</v>
      </c>
      <c r="X223" s="81" t="s">
        <v>233</v>
      </c>
      <c r="Y223" s="4" t="s">
        <v>233</v>
      </c>
      <c r="Z223" s="81" t="s">
        <v>233</v>
      </c>
      <c r="AA223" s="64" t="s">
        <v>233</v>
      </c>
      <c r="AB223" s="81" t="s">
        <v>233</v>
      </c>
      <c r="AC223" s="4" t="s">
        <v>240</v>
      </c>
      <c r="AD223" s="64" t="s">
        <v>233</v>
      </c>
      <c r="AE223" s="64" t="s">
        <v>240</v>
      </c>
      <c r="AF223" s="208">
        <v>0</v>
      </c>
      <c r="AG223" s="4">
        <v>1</v>
      </c>
      <c r="AH223" s="64">
        <v>1</v>
      </c>
      <c r="AI223" s="4">
        <v>1</v>
      </c>
      <c r="AJ223" s="4">
        <v>1</v>
      </c>
      <c r="AK223" s="4">
        <v>0</v>
      </c>
    </row>
    <row r="224" spans="1:37" outlineLevel="1">
      <c r="A224" s="63">
        <v>217</v>
      </c>
      <c r="B224" s="64" t="s">
        <v>190</v>
      </c>
      <c r="C224" s="4" t="s">
        <v>237</v>
      </c>
      <c r="D224" s="4" t="str">
        <f>[1]Лист2!B217</f>
        <v>АНГЛИЙСКИЙ пр.</v>
      </c>
      <c r="E224" s="69" t="str">
        <f>[1]Лист2!C217</f>
        <v>17-19</v>
      </c>
      <c r="F224" s="197" t="str">
        <f>[1]Лист2!D217</f>
        <v>А</v>
      </c>
      <c r="G224" s="64"/>
      <c r="H224" s="199">
        <v>129217</v>
      </c>
      <c r="I224" s="64" t="s">
        <v>234</v>
      </c>
      <c r="J224" s="4"/>
      <c r="K224" s="64" t="s">
        <v>232</v>
      </c>
      <c r="L224" s="4" t="s">
        <v>232</v>
      </c>
      <c r="M224" s="72">
        <v>1898</v>
      </c>
      <c r="N224" s="64" t="s">
        <v>385</v>
      </c>
      <c r="O224" s="73">
        <v>6</v>
      </c>
      <c r="P224" s="196">
        <v>0</v>
      </c>
      <c r="Q224" s="73">
        <v>3</v>
      </c>
      <c r="R224" s="74">
        <v>199</v>
      </c>
      <c r="S224" s="76">
        <v>5426.1</v>
      </c>
      <c r="T224" s="82">
        <f t="shared" si="6"/>
        <v>4891.1000000000004</v>
      </c>
      <c r="U224" s="77">
        <f t="shared" si="7"/>
        <v>4891.1000000000004</v>
      </c>
      <c r="V224" s="78">
        <v>535</v>
      </c>
      <c r="W224" s="80" t="s">
        <v>233</v>
      </c>
      <c r="X224" s="81" t="s">
        <v>233</v>
      </c>
      <c r="Y224" s="4" t="s">
        <v>233</v>
      </c>
      <c r="Z224" s="81" t="s">
        <v>233</v>
      </c>
      <c r="AA224" s="64" t="s">
        <v>233</v>
      </c>
      <c r="AB224" s="81" t="s">
        <v>233</v>
      </c>
      <c r="AC224" s="4" t="s">
        <v>240</v>
      </c>
      <c r="AD224" s="64" t="s">
        <v>233</v>
      </c>
      <c r="AE224" s="64" t="s">
        <v>240</v>
      </c>
      <c r="AF224" s="208">
        <v>7</v>
      </c>
      <c r="AG224" s="4">
        <v>1</v>
      </c>
      <c r="AH224" s="64">
        <v>1</v>
      </c>
      <c r="AI224" s="4">
        <v>3</v>
      </c>
      <c r="AJ224" s="4">
        <v>3</v>
      </c>
      <c r="AK224" s="4">
        <v>0</v>
      </c>
    </row>
    <row r="225" spans="1:37" outlineLevel="1">
      <c r="A225" s="63">
        <v>218</v>
      </c>
      <c r="B225" s="64" t="s">
        <v>190</v>
      </c>
      <c r="C225" s="4" t="s">
        <v>237</v>
      </c>
      <c r="D225" s="4" t="str">
        <f>[1]Лист2!B218</f>
        <v>АНГЛИЙСКИЙ пр.</v>
      </c>
      <c r="E225" s="69" t="str">
        <f>[1]Лист2!C218</f>
        <v>17-19</v>
      </c>
      <c r="F225" s="197" t="str">
        <f>[1]Лист2!D218</f>
        <v>Б</v>
      </c>
      <c r="G225" s="64"/>
      <c r="H225" s="199">
        <v>129218</v>
      </c>
      <c r="I225" s="64" t="s">
        <v>234</v>
      </c>
      <c r="J225" s="4"/>
      <c r="K225" s="64" t="s">
        <v>232</v>
      </c>
      <c r="L225" s="4" t="s">
        <v>232</v>
      </c>
      <c r="M225" s="72">
        <v>1875</v>
      </c>
      <c r="N225" s="64" t="s">
        <v>385</v>
      </c>
      <c r="O225" s="73">
        <v>4</v>
      </c>
      <c r="P225" s="196">
        <v>0</v>
      </c>
      <c r="Q225" s="73">
        <v>1</v>
      </c>
      <c r="R225" s="74">
        <v>31</v>
      </c>
      <c r="S225" s="76">
        <v>749.7</v>
      </c>
      <c r="T225" s="82">
        <f t="shared" si="6"/>
        <v>687.7</v>
      </c>
      <c r="U225" s="77">
        <f t="shared" si="7"/>
        <v>687.7</v>
      </c>
      <c r="V225" s="78">
        <v>62</v>
      </c>
      <c r="W225" s="80" t="s">
        <v>233</v>
      </c>
      <c r="X225" s="81" t="s">
        <v>233</v>
      </c>
      <c r="Y225" s="4" t="s">
        <v>233</v>
      </c>
      <c r="Z225" s="81" t="s">
        <v>233</v>
      </c>
      <c r="AA225" s="64" t="s">
        <v>233</v>
      </c>
      <c r="AB225" s="81" t="s">
        <v>233</v>
      </c>
      <c r="AC225" s="4" t="s">
        <v>240</v>
      </c>
      <c r="AD225" s="64" t="s">
        <v>233</v>
      </c>
      <c r="AE225" s="64" t="s">
        <v>240</v>
      </c>
      <c r="AF225" s="209">
        <v>0</v>
      </c>
      <c r="AG225" s="4">
        <v>1</v>
      </c>
      <c r="AH225" s="64">
        <v>1</v>
      </c>
      <c r="AI225" s="4">
        <v>0</v>
      </c>
      <c r="AJ225" s="4">
        <v>0</v>
      </c>
      <c r="AK225" s="4">
        <v>0</v>
      </c>
    </row>
    <row r="226" spans="1:37" outlineLevel="1">
      <c r="A226" s="5">
        <v>219</v>
      </c>
      <c r="B226" s="64" t="s">
        <v>190</v>
      </c>
      <c r="C226" s="4" t="s">
        <v>237</v>
      </c>
      <c r="D226" s="4" t="str">
        <f>[1]Лист2!B219</f>
        <v>АНГЛИЙСКИЙ пр.</v>
      </c>
      <c r="E226" s="69" t="str">
        <f>[1]Лист2!C219</f>
        <v>17-19</v>
      </c>
      <c r="F226" s="197" t="str">
        <f>[1]Лист2!D219</f>
        <v>Г</v>
      </c>
      <c r="G226" s="4"/>
      <c r="H226" s="199">
        <v>129219</v>
      </c>
      <c r="I226" s="64" t="s">
        <v>234</v>
      </c>
      <c r="J226" s="4"/>
      <c r="K226" s="64" t="s">
        <v>232</v>
      </c>
      <c r="L226" s="4" t="s">
        <v>232</v>
      </c>
      <c r="M226" s="72">
        <v>1875</v>
      </c>
      <c r="N226" s="64" t="s">
        <v>385</v>
      </c>
      <c r="O226" s="73">
        <v>3</v>
      </c>
      <c r="P226" s="196">
        <v>0</v>
      </c>
      <c r="Q226" s="73">
        <v>1</v>
      </c>
      <c r="R226" s="74">
        <v>16</v>
      </c>
      <c r="S226" s="76">
        <v>350.8</v>
      </c>
      <c r="T226" s="82">
        <f t="shared" si="6"/>
        <v>350.8</v>
      </c>
      <c r="U226" s="77">
        <f t="shared" si="7"/>
        <v>350.8</v>
      </c>
      <c r="V226" s="78">
        <v>0</v>
      </c>
      <c r="W226" s="80" t="s">
        <v>233</v>
      </c>
      <c r="X226" s="81" t="s">
        <v>233</v>
      </c>
      <c r="Y226" s="4" t="s">
        <v>233</v>
      </c>
      <c r="Z226" s="81" t="s">
        <v>233</v>
      </c>
      <c r="AA226" s="64" t="s">
        <v>233</v>
      </c>
      <c r="AB226" s="81" t="s">
        <v>233</v>
      </c>
      <c r="AC226" s="4" t="s">
        <v>240</v>
      </c>
      <c r="AD226" s="64" t="s">
        <v>233</v>
      </c>
      <c r="AE226" s="64" t="s">
        <v>240</v>
      </c>
      <c r="AF226" s="209">
        <v>0</v>
      </c>
      <c r="AG226" s="4">
        <v>1</v>
      </c>
      <c r="AH226" s="64">
        <v>1</v>
      </c>
      <c r="AI226" s="4">
        <v>0</v>
      </c>
      <c r="AJ226" s="4">
        <v>0</v>
      </c>
      <c r="AK226" s="4">
        <v>0</v>
      </c>
    </row>
    <row r="227" spans="1:37" outlineLevel="1">
      <c r="A227" s="5">
        <v>220</v>
      </c>
      <c r="B227" s="64" t="s">
        <v>190</v>
      </c>
      <c r="C227" s="4" t="s">
        <v>237</v>
      </c>
      <c r="D227" s="4" t="str">
        <f>[1]Лист2!B220</f>
        <v>АНГЛИЙСКИЙ пр.</v>
      </c>
      <c r="E227" s="69" t="str">
        <f>[1]Лист2!C220</f>
        <v>17-19</v>
      </c>
      <c r="F227" s="197" t="str">
        <f>[1]Лист2!D220</f>
        <v>С</v>
      </c>
      <c r="G227" s="4"/>
      <c r="H227" s="199">
        <v>129220</v>
      </c>
      <c r="I227" s="64" t="s">
        <v>234</v>
      </c>
      <c r="J227" s="4"/>
      <c r="K227" s="64" t="s">
        <v>232</v>
      </c>
      <c r="L227" s="4" t="s">
        <v>232</v>
      </c>
      <c r="M227" s="72">
        <v>1898</v>
      </c>
      <c r="N227" s="64" t="s">
        <v>385</v>
      </c>
      <c r="O227" s="73">
        <v>6</v>
      </c>
      <c r="P227" s="196">
        <v>0</v>
      </c>
      <c r="Q227" s="73">
        <v>1</v>
      </c>
      <c r="R227" s="74">
        <v>56</v>
      </c>
      <c r="S227" s="76">
        <v>1694.3999999999999</v>
      </c>
      <c r="T227" s="82">
        <f t="shared" si="6"/>
        <v>1545.1</v>
      </c>
      <c r="U227" s="77">
        <f t="shared" si="7"/>
        <v>1545.1</v>
      </c>
      <c r="V227" s="78">
        <v>149.30000000000001</v>
      </c>
      <c r="W227" s="80" t="s">
        <v>233</v>
      </c>
      <c r="X227" s="81" t="s">
        <v>233</v>
      </c>
      <c r="Y227" s="4" t="s">
        <v>233</v>
      </c>
      <c r="Z227" s="81" t="s">
        <v>233</v>
      </c>
      <c r="AA227" s="64" t="s">
        <v>233</v>
      </c>
      <c r="AB227" s="81" t="s">
        <v>233</v>
      </c>
      <c r="AC227" s="4" t="s">
        <v>240</v>
      </c>
      <c r="AD227" s="64" t="s">
        <v>233</v>
      </c>
      <c r="AE227" s="64" t="s">
        <v>240</v>
      </c>
      <c r="AF227" s="209">
        <v>0</v>
      </c>
      <c r="AG227" s="4">
        <v>1</v>
      </c>
      <c r="AH227" s="64">
        <v>1</v>
      </c>
      <c r="AI227" s="4">
        <v>0</v>
      </c>
      <c r="AJ227" s="4">
        <v>0</v>
      </c>
      <c r="AK227" s="4">
        <v>0</v>
      </c>
    </row>
    <row r="228" spans="1:37" outlineLevel="1">
      <c r="A228" s="5">
        <v>221</v>
      </c>
      <c r="B228" s="64" t="s">
        <v>190</v>
      </c>
      <c r="C228" s="4" t="s">
        <v>237</v>
      </c>
      <c r="D228" s="4" t="str">
        <f>[1]Лист2!B221</f>
        <v>АНГЛИЙСКИЙ пр.</v>
      </c>
      <c r="E228" s="69" t="str">
        <f>[1]Лист2!C221</f>
        <v>17-19</v>
      </c>
      <c r="F228" s="197" t="str">
        <f>[1]Лист2!D221</f>
        <v>Т</v>
      </c>
      <c r="G228" s="64"/>
      <c r="H228" s="199">
        <v>129221</v>
      </c>
      <c r="I228" s="64" t="s">
        <v>234</v>
      </c>
      <c r="J228" s="4"/>
      <c r="K228" s="64" t="s">
        <v>232</v>
      </c>
      <c r="L228" s="4" t="s">
        <v>232</v>
      </c>
      <c r="M228" s="72">
        <v>1898</v>
      </c>
      <c r="N228" s="64" t="s">
        <v>385</v>
      </c>
      <c r="O228" s="73">
        <v>7</v>
      </c>
      <c r="P228" s="196">
        <v>0</v>
      </c>
      <c r="Q228" s="73">
        <v>3</v>
      </c>
      <c r="R228" s="74">
        <v>162</v>
      </c>
      <c r="S228" s="76">
        <v>5129.2</v>
      </c>
      <c r="T228" s="82">
        <f t="shared" si="6"/>
        <v>4529.8</v>
      </c>
      <c r="U228" s="77">
        <f t="shared" si="7"/>
        <v>4529.8</v>
      </c>
      <c r="V228" s="78">
        <v>599.4</v>
      </c>
      <c r="W228" s="80" t="s">
        <v>233</v>
      </c>
      <c r="X228" s="81" t="s">
        <v>233</v>
      </c>
      <c r="Y228" s="4" t="s">
        <v>233</v>
      </c>
      <c r="Z228" s="81" t="s">
        <v>233</v>
      </c>
      <c r="AA228" s="64" t="s">
        <v>233</v>
      </c>
      <c r="AB228" s="81" t="s">
        <v>233</v>
      </c>
      <c r="AC228" s="4" t="s">
        <v>240</v>
      </c>
      <c r="AD228" s="64" t="s">
        <v>233</v>
      </c>
      <c r="AE228" s="64" t="s">
        <v>240</v>
      </c>
      <c r="AF228" s="209">
        <v>0</v>
      </c>
      <c r="AG228" s="4">
        <v>1</v>
      </c>
      <c r="AH228" s="64">
        <v>1</v>
      </c>
      <c r="AI228" s="4">
        <v>0</v>
      </c>
      <c r="AJ228" s="4">
        <v>0</v>
      </c>
      <c r="AK228" s="4">
        <v>0</v>
      </c>
    </row>
    <row r="229" spans="1:37" outlineLevel="1">
      <c r="A229" s="5">
        <v>222</v>
      </c>
      <c r="B229" s="64" t="s">
        <v>190</v>
      </c>
      <c r="C229" s="4" t="s">
        <v>237</v>
      </c>
      <c r="D229" s="4" t="str">
        <f>[1]Лист2!B222</f>
        <v>АНГЛИЙСКИЙ пр.</v>
      </c>
      <c r="E229" s="69">
        <f>[1]Лист2!C222</f>
        <v>2</v>
      </c>
      <c r="F229" s="197" t="str">
        <f>[1]Лист2!D222</f>
        <v>А</v>
      </c>
      <c r="G229" s="64"/>
      <c r="H229" s="199">
        <v>129222</v>
      </c>
      <c r="I229" s="64" t="s">
        <v>234</v>
      </c>
      <c r="J229" s="4"/>
      <c r="K229" s="64" t="s">
        <v>232</v>
      </c>
      <c r="L229" s="4" t="s">
        <v>232</v>
      </c>
      <c r="M229" s="72">
        <v>1994</v>
      </c>
      <c r="N229" s="64" t="s">
        <v>385</v>
      </c>
      <c r="O229" s="73">
        <v>5</v>
      </c>
      <c r="P229" s="196">
        <v>0</v>
      </c>
      <c r="Q229" s="73">
        <v>2</v>
      </c>
      <c r="R229" s="74">
        <v>18</v>
      </c>
      <c r="S229" s="76">
        <v>1730.7</v>
      </c>
      <c r="T229" s="82">
        <f t="shared" si="6"/>
        <v>1344.75</v>
      </c>
      <c r="U229" s="77">
        <f t="shared" si="7"/>
        <v>1344.75</v>
      </c>
      <c r="V229" s="78">
        <v>385.95</v>
      </c>
      <c r="W229" s="80" t="s">
        <v>233</v>
      </c>
      <c r="X229" s="81" t="s">
        <v>233</v>
      </c>
      <c r="Y229" s="4" t="s">
        <v>233</v>
      </c>
      <c r="Z229" s="81" t="s">
        <v>233</v>
      </c>
      <c r="AA229" s="64" t="s">
        <v>233</v>
      </c>
      <c r="AB229" s="81" t="s">
        <v>233</v>
      </c>
      <c r="AC229" s="4" t="s">
        <v>240</v>
      </c>
      <c r="AD229" s="64" t="s">
        <v>233</v>
      </c>
      <c r="AE229" s="64" t="s">
        <v>240</v>
      </c>
      <c r="AF229" s="208">
        <v>0</v>
      </c>
      <c r="AG229" s="4">
        <v>1</v>
      </c>
      <c r="AH229" s="64">
        <v>1</v>
      </c>
      <c r="AI229" s="4">
        <v>0</v>
      </c>
      <c r="AJ229" s="4">
        <v>0</v>
      </c>
      <c r="AK229" s="4">
        <v>0</v>
      </c>
    </row>
    <row r="230" spans="1:37" outlineLevel="1">
      <c r="A230" s="63">
        <v>223</v>
      </c>
      <c r="B230" s="64" t="s">
        <v>190</v>
      </c>
      <c r="C230" s="4" t="s">
        <v>237</v>
      </c>
      <c r="D230" s="4" t="str">
        <f>[1]Лист2!B223</f>
        <v>АНГЛИЙСКИЙ пр.</v>
      </c>
      <c r="E230" s="69">
        <f>[1]Лист2!C223</f>
        <v>20</v>
      </c>
      <c r="F230" s="197" t="str">
        <f>[1]Лист2!D223</f>
        <v>А</v>
      </c>
      <c r="G230" s="4"/>
      <c r="H230" s="199">
        <v>129223</v>
      </c>
      <c r="I230" s="64" t="s">
        <v>234</v>
      </c>
      <c r="J230" s="4"/>
      <c r="K230" s="64" t="s">
        <v>232</v>
      </c>
      <c r="L230" s="4" t="s">
        <v>232</v>
      </c>
      <c r="M230" s="72">
        <v>1898</v>
      </c>
      <c r="N230" s="64" t="s">
        <v>385</v>
      </c>
      <c r="O230" s="73">
        <v>5</v>
      </c>
      <c r="P230" s="196">
        <v>0</v>
      </c>
      <c r="Q230" s="73">
        <v>4</v>
      </c>
      <c r="R230" s="74">
        <v>20</v>
      </c>
      <c r="S230" s="76">
        <v>2793.33</v>
      </c>
      <c r="T230" s="82">
        <f t="shared" si="6"/>
        <v>2372.9299999999998</v>
      </c>
      <c r="U230" s="77">
        <f t="shared" si="7"/>
        <v>2372.9299999999998</v>
      </c>
      <c r="V230" s="78">
        <v>420.4</v>
      </c>
      <c r="W230" s="80" t="s">
        <v>233</v>
      </c>
      <c r="X230" s="81" t="s">
        <v>233</v>
      </c>
      <c r="Y230" s="4" t="s">
        <v>233</v>
      </c>
      <c r="Z230" s="81" t="s">
        <v>233</v>
      </c>
      <c r="AA230" s="64" t="s">
        <v>233</v>
      </c>
      <c r="AB230" s="81" t="s">
        <v>233</v>
      </c>
      <c r="AC230" s="4" t="s">
        <v>240</v>
      </c>
      <c r="AD230" s="64" t="s">
        <v>233</v>
      </c>
      <c r="AE230" s="64" t="s">
        <v>240</v>
      </c>
      <c r="AF230" s="208">
        <v>2</v>
      </c>
      <c r="AG230" s="4">
        <v>2</v>
      </c>
      <c r="AH230" s="64">
        <v>1</v>
      </c>
      <c r="AI230" s="4">
        <v>0</v>
      </c>
      <c r="AJ230" s="4">
        <v>0</v>
      </c>
      <c r="AK230" s="4">
        <v>0</v>
      </c>
    </row>
    <row r="231" spans="1:37" outlineLevel="1">
      <c r="A231" s="63">
        <v>224</v>
      </c>
      <c r="B231" s="64" t="s">
        <v>190</v>
      </c>
      <c r="C231" s="4" t="s">
        <v>237</v>
      </c>
      <c r="D231" s="4" t="str">
        <f>[1]Лист2!B224</f>
        <v>АНГЛИЙСКИЙ пр.</v>
      </c>
      <c r="E231" s="69">
        <f>[1]Лист2!C224</f>
        <v>22</v>
      </c>
      <c r="F231" s="197" t="str">
        <f>[1]Лист2!D224</f>
        <v>А</v>
      </c>
      <c r="G231" s="4"/>
      <c r="H231" s="199">
        <v>129224</v>
      </c>
      <c r="I231" s="64" t="s">
        <v>234</v>
      </c>
      <c r="J231" s="4"/>
      <c r="K231" s="64" t="s">
        <v>232</v>
      </c>
      <c r="L231" s="4" t="s">
        <v>232</v>
      </c>
      <c r="M231" s="72">
        <v>1846</v>
      </c>
      <c r="N231" s="64" t="s">
        <v>385</v>
      </c>
      <c r="O231" s="73">
        <v>4</v>
      </c>
      <c r="P231" s="196">
        <v>0</v>
      </c>
      <c r="Q231" s="73">
        <v>3</v>
      </c>
      <c r="R231" s="74">
        <v>47</v>
      </c>
      <c r="S231" s="76">
        <v>1368</v>
      </c>
      <c r="T231" s="82">
        <f t="shared" si="6"/>
        <v>1234</v>
      </c>
      <c r="U231" s="77">
        <f t="shared" si="7"/>
        <v>1234</v>
      </c>
      <c r="V231" s="78">
        <v>134</v>
      </c>
      <c r="W231" s="80" t="s">
        <v>233</v>
      </c>
      <c r="X231" s="81" t="s">
        <v>233</v>
      </c>
      <c r="Y231" s="4" t="s">
        <v>233</v>
      </c>
      <c r="Z231" s="81" t="s">
        <v>233</v>
      </c>
      <c r="AA231" s="64" t="s">
        <v>233</v>
      </c>
      <c r="AB231" s="81" t="s">
        <v>233</v>
      </c>
      <c r="AC231" s="4" t="s">
        <v>240</v>
      </c>
      <c r="AD231" s="64" t="s">
        <v>233</v>
      </c>
      <c r="AE231" s="64" t="s">
        <v>240</v>
      </c>
      <c r="AF231" s="208">
        <v>2</v>
      </c>
      <c r="AG231" s="4">
        <v>1</v>
      </c>
      <c r="AH231" s="64">
        <v>1</v>
      </c>
      <c r="AI231" s="4">
        <v>1</v>
      </c>
      <c r="AJ231" s="4">
        <v>1</v>
      </c>
      <c r="AK231" s="4">
        <v>0</v>
      </c>
    </row>
    <row r="232" spans="1:37" outlineLevel="1">
      <c r="A232" s="5">
        <v>225</v>
      </c>
      <c r="B232" s="64" t="s">
        <v>190</v>
      </c>
      <c r="C232" s="4" t="s">
        <v>237</v>
      </c>
      <c r="D232" s="4" t="str">
        <f>[1]Лист2!B225</f>
        <v>АНГЛИЙСКИЙ пр.</v>
      </c>
      <c r="E232" s="69">
        <f>[1]Лист2!C225</f>
        <v>22</v>
      </c>
      <c r="F232" s="197" t="str">
        <f>[1]Лист2!D225</f>
        <v>Б</v>
      </c>
      <c r="G232" s="64"/>
      <c r="H232" s="199">
        <v>129225</v>
      </c>
      <c r="I232" s="64" t="s">
        <v>234</v>
      </c>
      <c r="J232" s="4"/>
      <c r="K232" s="64" t="s">
        <v>232</v>
      </c>
      <c r="L232" s="4" t="s">
        <v>232</v>
      </c>
      <c r="M232" s="72">
        <v>1899</v>
      </c>
      <c r="N232" s="64" t="s">
        <v>385</v>
      </c>
      <c r="O232" s="73">
        <v>5</v>
      </c>
      <c r="P232" s="196">
        <v>0</v>
      </c>
      <c r="Q232" s="73">
        <v>1</v>
      </c>
      <c r="R232" s="74">
        <v>51</v>
      </c>
      <c r="S232" s="76">
        <v>1564.3999999999999</v>
      </c>
      <c r="T232" s="82">
        <f t="shared" si="6"/>
        <v>1322.8</v>
      </c>
      <c r="U232" s="77">
        <f t="shared" si="7"/>
        <v>1322.8</v>
      </c>
      <c r="V232" s="78">
        <v>241.6</v>
      </c>
      <c r="W232" s="80" t="s">
        <v>233</v>
      </c>
      <c r="X232" s="81" t="s">
        <v>233</v>
      </c>
      <c r="Y232" s="4" t="s">
        <v>233</v>
      </c>
      <c r="Z232" s="81" t="s">
        <v>233</v>
      </c>
      <c r="AA232" s="64" t="s">
        <v>233</v>
      </c>
      <c r="AB232" s="81" t="s">
        <v>233</v>
      </c>
      <c r="AC232" s="4" t="s">
        <v>240</v>
      </c>
      <c r="AD232" s="64" t="s">
        <v>233</v>
      </c>
      <c r="AE232" s="64" t="s">
        <v>240</v>
      </c>
      <c r="AF232" s="209">
        <v>0</v>
      </c>
      <c r="AG232" s="4">
        <v>1</v>
      </c>
      <c r="AH232" s="64">
        <v>1</v>
      </c>
      <c r="AI232" s="4">
        <v>0</v>
      </c>
      <c r="AJ232" s="4">
        <v>0</v>
      </c>
      <c r="AK232" s="4">
        <v>0</v>
      </c>
    </row>
    <row r="233" spans="1:37" outlineLevel="1">
      <c r="A233" s="5">
        <v>226</v>
      </c>
      <c r="B233" s="64" t="s">
        <v>190</v>
      </c>
      <c r="C233" s="4" t="s">
        <v>237</v>
      </c>
      <c r="D233" s="4" t="str">
        <f>[1]Лист2!B226</f>
        <v>АНГЛИЙСКИЙ пр.</v>
      </c>
      <c r="E233" s="69">
        <f>[1]Лист2!C226</f>
        <v>22</v>
      </c>
      <c r="F233" s="197" t="str">
        <f>[1]Лист2!D226</f>
        <v>В</v>
      </c>
      <c r="G233" s="64"/>
      <c r="H233" s="199">
        <v>129226</v>
      </c>
      <c r="I233" s="64" t="s">
        <v>234</v>
      </c>
      <c r="J233" s="4"/>
      <c r="K233" s="64" t="s">
        <v>232</v>
      </c>
      <c r="L233" s="4" t="s">
        <v>232</v>
      </c>
      <c r="M233" s="72">
        <v>1899</v>
      </c>
      <c r="N233" s="64" t="s">
        <v>385</v>
      </c>
      <c r="O233" s="73">
        <v>5</v>
      </c>
      <c r="P233" s="196">
        <v>0</v>
      </c>
      <c r="Q233" s="73">
        <v>1</v>
      </c>
      <c r="R233" s="74">
        <v>48</v>
      </c>
      <c r="S233" s="76">
        <v>1572.6</v>
      </c>
      <c r="T233" s="82">
        <f t="shared" si="6"/>
        <v>1316.5</v>
      </c>
      <c r="U233" s="77">
        <f t="shared" si="7"/>
        <v>1316.5</v>
      </c>
      <c r="V233" s="78">
        <v>256.10000000000002</v>
      </c>
      <c r="W233" s="80" t="s">
        <v>233</v>
      </c>
      <c r="X233" s="81" t="s">
        <v>233</v>
      </c>
      <c r="Y233" s="4" t="s">
        <v>233</v>
      </c>
      <c r="Z233" s="81" t="s">
        <v>233</v>
      </c>
      <c r="AA233" s="64" t="s">
        <v>233</v>
      </c>
      <c r="AB233" s="81" t="s">
        <v>233</v>
      </c>
      <c r="AC233" s="4" t="s">
        <v>240</v>
      </c>
      <c r="AD233" s="64" t="s">
        <v>233</v>
      </c>
      <c r="AE233" s="64" t="s">
        <v>240</v>
      </c>
      <c r="AF233" s="209">
        <v>0</v>
      </c>
      <c r="AG233" s="4">
        <v>1</v>
      </c>
      <c r="AH233" s="64">
        <v>1</v>
      </c>
      <c r="AI233" s="4">
        <v>0</v>
      </c>
      <c r="AJ233" s="4">
        <v>0</v>
      </c>
      <c r="AK233" s="4">
        <v>0</v>
      </c>
    </row>
    <row r="234" spans="1:37" outlineLevel="1">
      <c r="A234" s="5">
        <v>227</v>
      </c>
      <c r="B234" s="64" t="s">
        <v>190</v>
      </c>
      <c r="C234" s="4" t="s">
        <v>237</v>
      </c>
      <c r="D234" s="4" t="str">
        <f>[1]Лист2!B227</f>
        <v>АНГЛИЙСКИЙ пр.</v>
      </c>
      <c r="E234" s="69">
        <f>[1]Лист2!C227</f>
        <v>25</v>
      </c>
      <c r="F234" s="197" t="str">
        <f>[1]Лист2!D227</f>
        <v>А</v>
      </c>
      <c r="G234" s="4"/>
      <c r="H234" s="199">
        <v>129227</v>
      </c>
      <c r="I234" s="64" t="s">
        <v>234</v>
      </c>
      <c r="J234" s="4"/>
      <c r="K234" s="64" t="s">
        <v>232</v>
      </c>
      <c r="L234" s="4" t="s">
        <v>232</v>
      </c>
      <c r="M234" s="72">
        <v>1860</v>
      </c>
      <c r="N234" s="64" t="s">
        <v>385</v>
      </c>
      <c r="O234" s="73">
        <v>5</v>
      </c>
      <c r="P234" s="196">
        <v>0</v>
      </c>
      <c r="Q234" s="73">
        <v>5</v>
      </c>
      <c r="R234" s="74">
        <v>72</v>
      </c>
      <c r="S234" s="76">
        <v>3311.3900000000003</v>
      </c>
      <c r="T234" s="82">
        <f t="shared" si="6"/>
        <v>3129.09</v>
      </c>
      <c r="U234" s="77">
        <f t="shared" si="7"/>
        <v>3129.09</v>
      </c>
      <c r="V234" s="78">
        <v>182.3</v>
      </c>
      <c r="W234" s="80" t="s">
        <v>233</v>
      </c>
      <c r="X234" s="81" t="s">
        <v>233</v>
      </c>
      <c r="Y234" s="4" t="s">
        <v>233</v>
      </c>
      <c r="Z234" s="81" t="s">
        <v>233</v>
      </c>
      <c r="AA234" s="64" t="s">
        <v>233</v>
      </c>
      <c r="AB234" s="81" t="s">
        <v>233</v>
      </c>
      <c r="AC234" s="4" t="s">
        <v>240</v>
      </c>
      <c r="AD234" s="64" t="s">
        <v>233</v>
      </c>
      <c r="AE234" s="64" t="s">
        <v>240</v>
      </c>
      <c r="AF234" s="208">
        <v>0</v>
      </c>
      <c r="AG234" s="4">
        <v>1</v>
      </c>
      <c r="AH234" s="64">
        <v>1</v>
      </c>
      <c r="AI234" s="4">
        <v>0</v>
      </c>
      <c r="AJ234" s="4">
        <v>0</v>
      </c>
      <c r="AK234" s="4">
        <v>0</v>
      </c>
    </row>
    <row r="235" spans="1:37" outlineLevel="1">
      <c r="A235" s="5">
        <v>228</v>
      </c>
      <c r="B235" s="64" t="s">
        <v>190</v>
      </c>
      <c r="C235" s="4" t="s">
        <v>237</v>
      </c>
      <c r="D235" s="4" t="str">
        <f>[1]Лист2!B228</f>
        <v>АНГЛИЙСКИЙ пр.</v>
      </c>
      <c r="E235" s="69">
        <f>[1]Лист2!C228</f>
        <v>26</v>
      </c>
      <c r="F235" s="197" t="str">
        <f>[1]Лист2!D228</f>
        <v>А</v>
      </c>
      <c r="G235" s="4"/>
      <c r="H235" s="199">
        <v>129228</v>
      </c>
      <c r="I235" s="64" t="s">
        <v>234</v>
      </c>
      <c r="J235" s="4"/>
      <c r="K235" s="64" t="s">
        <v>232</v>
      </c>
      <c r="L235" s="4" t="s">
        <v>232</v>
      </c>
      <c r="M235" s="72">
        <v>1883</v>
      </c>
      <c r="N235" s="64" t="s">
        <v>385</v>
      </c>
      <c r="O235" s="73">
        <v>5</v>
      </c>
      <c r="P235" s="196">
        <v>0</v>
      </c>
      <c r="Q235" s="73">
        <v>5</v>
      </c>
      <c r="R235" s="74">
        <v>65</v>
      </c>
      <c r="S235" s="76">
        <v>6181.85</v>
      </c>
      <c r="T235" s="82">
        <f t="shared" si="6"/>
        <v>4961.3500000000004</v>
      </c>
      <c r="U235" s="77">
        <f t="shared" si="7"/>
        <v>4961.3500000000004</v>
      </c>
      <c r="V235" s="78">
        <v>1220.5</v>
      </c>
      <c r="W235" s="80" t="s">
        <v>233</v>
      </c>
      <c r="X235" s="81" t="s">
        <v>233</v>
      </c>
      <c r="Y235" s="4" t="s">
        <v>240</v>
      </c>
      <c r="Z235" s="81" t="s">
        <v>233</v>
      </c>
      <c r="AA235" s="64" t="s">
        <v>233</v>
      </c>
      <c r="AB235" s="81" t="s">
        <v>233</v>
      </c>
      <c r="AC235" s="4" t="s">
        <v>233</v>
      </c>
      <c r="AD235" s="64" t="s">
        <v>233</v>
      </c>
      <c r="AE235" s="64" t="s">
        <v>240</v>
      </c>
      <c r="AF235" s="208">
        <v>2</v>
      </c>
      <c r="AG235" s="4">
        <v>2</v>
      </c>
      <c r="AH235" s="64">
        <v>1</v>
      </c>
      <c r="AI235" s="4">
        <v>0</v>
      </c>
      <c r="AJ235" s="4">
        <v>1</v>
      </c>
      <c r="AK235" s="4">
        <v>0</v>
      </c>
    </row>
    <row r="236" spans="1:37" outlineLevel="1">
      <c r="A236" s="63">
        <v>229</v>
      </c>
      <c r="B236" s="64" t="s">
        <v>190</v>
      </c>
      <c r="C236" s="4" t="s">
        <v>237</v>
      </c>
      <c r="D236" s="4" t="str">
        <f>[1]Лист2!B229</f>
        <v>АНГЛИЙСКИЙ пр.</v>
      </c>
      <c r="E236" s="69">
        <f>[1]Лист2!C229</f>
        <v>30</v>
      </c>
      <c r="F236" s="197" t="str">
        <f>[1]Лист2!D229</f>
        <v>А</v>
      </c>
      <c r="G236" s="64"/>
      <c r="H236" s="199">
        <v>129229</v>
      </c>
      <c r="I236" s="64" t="s">
        <v>234</v>
      </c>
      <c r="J236" s="4"/>
      <c r="K236" s="64" t="s">
        <v>232</v>
      </c>
      <c r="L236" s="4" t="s">
        <v>232</v>
      </c>
      <c r="M236" s="72">
        <v>1874</v>
      </c>
      <c r="N236" s="64" t="s">
        <v>385</v>
      </c>
      <c r="O236" s="73">
        <v>5</v>
      </c>
      <c r="P236" s="196">
        <v>0</v>
      </c>
      <c r="Q236" s="73">
        <v>4</v>
      </c>
      <c r="R236" s="74">
        <v>96</v>
      </c>
      <c r="S236" s="76">
        <v>4064.3</v>
      </c>
      <c r="T236" s="82">
        <f t="shared" si="6"/>
        <v>3632.4</v>
      </c>
      <c r="U236" s="77">
        <f t="shared" si="7"/>
        <v>3632.4</v>
      </c>
      <c r="V236" s="78">
        <v>431.9</v>
      </c>
      <c r="W236" s="80" t="s">
        <v>233</v>
      </c>
      <c r="X236" s="81" t="s">
        <v>233</v>
      </c>
      <c r="Y236" s="4" t="s">
        <v>233</v>
      </c>
      <c r="Z236" s="81" t="s">
        <v>233</v>
      </c>
      <c r="AA236" s="64" t="s">
        <v>233</v>
      </c>
      <c r="AB236" s="81" t="s">
        <v>233</v>
      </c>
      <c r="AC236" s="4" t="s">
        <v>240</v>
      </c>
      <c r="AD236" s="64" t="s">
        <v>233</v>
      </c>
      <c r="AE236" s="64" t="s">
        <v>240</v>
      </c>
      <c r="AF236" s="208">
        <v>3</v>
      </c>
      <c r="AG236" s="4">
        <v>1</v>
      </c>
      <c r="AH236" s="64">
        <v>1</v>
      </c>
      <c r="AI236" s="4">
        <v>1</v>
      </c>
      <c r="AJ236" s="4">
        <v>1</v>
      </c>
      <c r="AK236" s="4">
        <v>0</v>
      </c>
    </row>
    <row r="237" spans="1:37" outlineLevel="1">
      <c r="A237" s="63">
        <v>230</v>
      </c>
      <c r="B237" s="64" t="s">
        <v>190</v>
      </c>
      <c r="C237" s="4" t="s">
        <v>237</v>
      </c>
      <c r="D237" s="4" t="str">
        <f>[1]Лист2!B230</f>
        <v>АНГЛИЙСКИЙ пр.</v>
      </c>
      <c r="E237" s="69">
        <f>[1]Лист2!C230</f>
        <v>30</v>
      </c>
      <c r="F237" s="197" t="str">
        <f>[1]Лист2!D230</f>
        <v>Б</v>
      </c>
      <c r="G237" s="64"/>
      <c r="H237" s="199">
        <v>129230</v>
      </c>
      <c r="I237" s="64" t="s">
        <v>234</v>
      </c>
      <c r="J237" s="4" t="s">
        <v>1422</v>
      </c>
      <c r="K237" s="64" t="s">
        <v>232</v>
      </c>
      <c r="L237" s="4" t="s">
        <v>232</v>
      </c>
      <c r="M237" s="72">
        <v>1874</v>
      </c>
      <c r="N237" s="64" t="s">
        <v>385</v>
      </c>
      <c r="O237" s="73">
        <v>3</v>
      </c>
      <c r="P237" s="196">
        <v>0</v>
      </c>
      <c r="Q237" s="73">
        <v>1</v>
      </c>
      <c r="R237" s="74">
        <v>7</v>
      </c>
      <c r="S237" s="76">
        <v>598.9</v>
      </c>
      <c r="T237" s="82">
        <f t="shared" si="6"/>
        <v>0</v>
      </c>
      <c r="U237" s="77">
        <f t="shared" si="7"/>
        <v>0</v>
      </c>
      <c r="V237" s="78">
        <v>598.9</v>
      </c>
      <c r="W237" s="80" t="s">
        <v>233</v>
      </c>
      <c r="X237" s="81" t="s">
        <v>233</v>
      </c>
      <c r="Y237" s="4" t="s">
        <v>233</v>
      </c>
      <c r="Z237" s="81" t="s">
        <v>233</v>
      </c>
      <c r="AA237" s="64" t="s">
        <v>233</v>
      </c>
      <c r="AB237" s="81" t="s">
        <v>233</v>
      </c>
      <c r="AC237" s="4" t="s">
        <v>240</v>
      </c>
      <c r="AD237" s="64" t="s">
        <v>233</v>
      </c>
      <c r="AE237" s="64" t="s">
        <v>240</v>
      </c>
      <c r="AF237" s="209">
        <v>0</v>
      </c>
      <c r="AG237" s="4">
        <v>1</v>
      </c>
      <c r="AH237" s="64">
        <v>1</v>
      </c>
      <c r="AI237" s="4">
        <v>0</v>
      </c>
      <c r="AJ237" s="4">
        <v>0</v>
      </c>
      <c r="AK237" s="4">
        <v>0</v>
      </c>
    </row>
    <row r="238" spans="1:37" outlineLevel="1">
      <c r="A238" s="5">
        <v>231</v>
      </c>
      <c r="B238" s="64" t="s">
        <v>190</v>
      </c>
      <c r="C238" s="4" t="s">
        <v>237</v>
      </c>
      <c r="D238" s="4" t="str">
        <f>[1]Лист2!B231</f>
        <v>АНГЛИЙСКИЙ пр.</v>
      </c>
      <c r="E238" s="69">
        <f>[1]Лист2!C231</f>
        <v>31</v>
      </c>
      <c r="F238" s="197" t="str">
        <f>[1]Лист2!D231</f>
        <v>А</v>
      </c>
      <c r="G238" s="4"/>
      <c r="H238" s="199">
        <v>129231</v>
      </c>
      <c r="I238" s="64" t="s">
        <v>234</v>
      </c>
      <c r="J238" s="4"/>
      <c r="K238" s="64" t="s">
        <v>232</v>
      </c>
      <c r="L238" s="4" t="s">
        <v>232</v>
      </c>
      <c r="M238" s="72">
        <v>1897</v>
      </c>
      <c r="N238" s="64" t="s">
        <v>385</v>
      </c>
      <c r="O238" s="73">
        <v>5</v>
      </c>
      <c r="P238" s="196">
        <v>0</v>
      </c>
      <c r="Q238" s="73">
        <v>4</v>
      </c>
      <c r="R238" s="74">
        <v>43</v>
      </c>
      <c r="S238" s="76">
        <v>4902.99</v>
      </c>
      <c r="T238" s="82">
        <f t="shared" si="6"/>
        <v>3861.0899999999997</v>
      </c>
      <c r="U238" s="77">
        <f t="shared" si="7"/>
        <v>3861.0899999999997</v>
      </c>
      <c r="V238" s="78">
        <v>1041.9000000000001</v>
      </c>
      <c r="W238" s="80" t="s">
        <v>233</v>
      </c>
      <c r="X238" s="81" t="s">
        <v>233</v>
      </c>
      <c r="Y238" s="4" t="s">
        <v>233</v>
      </c>
      <c r="Z238" s="81" t="s">
        <v>233</v>
      </c>
      <c r="AA238" s="64" t="s">
        <v>233</v>
      </c>
      <c r="AB238" s="81" t="s">
        <v>233</v>
      </c>
      <c r="AC238" s="4" t="s">
        <v>240</v>
      </c>
      <c r="AD238" s="64" t="s">
        <v>233</v>
      </c>
      <c r="AE238" s="64" t="s">
        <v>240</v>
      </c>
      <c r="AF238" s="208">
        <v>0</v>
      </c>
      <c r="AG238" s="4">
        <v>2</v>
      </c>
      <c r="AH238" s="64">
        <v>1</v>
      </c>
      <c r="AI238" s="4">
        <v>0</v>
      </c>
      <c r="AJ238" s="4">
        <v>0</v>
      </c>
      <c r="AK238" s="4">
        <v>0</v>
      </c>
    </row>
    <row r="239" spans="1:37" outlineLevel="1">
      <c r="A239" s="5">
        <v>232</v>
      </c>
      <c r="B239" s="64" t="s">
        <v>190</v>
      </c>
      <c r="C239" s="4" t="s">
        <v>237</v>
      </c>
      <c r="D239" s="4" t="str">
        <f>[1]Лист2!B232</f>
        <v>АНГЛИЙСКИЙ пр.</v>
      </c>
      <c r="E239" s="69">
        <f>[1]Лист2!C232</f>
        <v>38</v>
      </c>
      <c r="F239" s="197" t="str">
        <f>[1]Лист2!D232</f>
        <v>А</v>
      </c>
      <c r="G239" s="4"/>
      <c r="H239" s="199">
        <v>129232</v>
      </c>
      <c r="I239" s="64" t="s">
        <v>234</v>
      </c>
      <c r="J239" s="4"/>
      <c r="K239" s="64" t="s">
        <v>232</v>
      </c>
      <c r="L239" s="4" t="s">
        <v>232</v>
      </c>
      <c r="M239" s="72">
        <v>1798</v>
      </c>
      <c r="N239" s="64" t="s">
        <v>385</v>
      </c>
      <c r="O239" s="73">
        <v>4</v>
      </c>
      <c r="P239" s="196">
        <v>0</v>
      </c>
      <c r="Q239" s="73">
        <v>4</v>
      </c>
      <c r="R239" s="74">
        <v>50</v>
      </c>
      <c r="S239" s="76">
        <v>3396.2000000000003</v>
      </c>
      <c r="T239" s="82">
        <f t="shared" si="6"/>
        <v>2572.5500000000002</v>
      </c>
      <c r="U239" s="77">
        <f t="shared" si="7"/>
        <v>2572.5500000000002</v>
      </c>
      <c r="V239" s="78">
        <v>823.65</v>
      </c>
      <c r="W239" s="80" t="s">
        <v>233</v>
      </c>
      <c r="X239" s="81" t="s">
        <v>233</v>
      </c>
      <c r="Y239" s="4" t="s">
        <v>233</v>
      </c>
      <c r="Z239" s="81" t="s">
        <v>233</v>
      </c>
      <c r="AA239" s="64" t="s">
        <v>233</v>
      </c>
      <c r="AB239" s="81" t="s">
        <v>233</v>
      </c>
      <c r="AC239" s="4" t="s">
        <v>240</v>
      </c>
      <c r="AD239" s="64" t="s">
        <v>233</v>
      </c>
      <c r="AE239" s="64" t="s">
        <v>240</v>
      </c>
      <c r="AF239" s="208">
        <v>0</v>
      </c>
      <c r="AG239" s="4">
        <v>1</v>
      </c>
      <c r="AH239" s="64">
        <v>2</v>
      </c>
      <c r="AI239" s="4">
        <v>0</v>
      </c>
      <c r="AJ239" s="4">
        <v>0</v>
      </c>
      <c r="AK239" s="4">
        <v>0</v>
      </c>
    </row>
    <row r="240" spans="1:37" outlineLevel="1">
      <c r="A240" s="5">
        <v>233</v>
      </c>
      <c r="B240" s="64" t="s">
        <v>190</v>
      </c>
      <c r="C240" s="4" t="s">
        <v>237</v>
      </c>
      <c r="D240" s="4" t="str">
        <f>[1]Лист2!B233</f>
        <v>АНГЛИЙСКИЙ пр.</v>
      </c>
      <c r="E240" s="69">
        <f>[1]Лист2!C233</f>
        <v>40</v>
      </c>
      <c r="F240" s="197" t="str">
        <f>[1]Лист2!D233</f>
        <v>А</v>
      </c>
      <c r="G240" s="64"/>
      <c r="H240" s="199">
        <v>129233</v>
      </c>
      <c r="I240" s="64" t="s">
        <v>234</v>
      </c>
      <c r="J240" s="4"/>
      <c r="K240" s="64" t="s">
        <v>232</v>
      </c>
      <c r="L240" s="4" t="s">
        <v>232</v>
      </c>
      <c r="M240" s="72">
        <v>1900</v>
      </c>
      <c r="N240" s="64" t="s">
        <v>385</v>
      </c>
      <c r="O240" s="73">
        <v>6</v>
      </c>
      <c r="P240" s="196">
        <v>0</v>
      </c>
      <c r="Q240" s="73">
        <v>4</v>
      </c>
      <c r="R240" s="74">
        <v>2</v>
      </c>
      <c r="S240" s="76">
        <v>8168.97</v>
      </c>
      <c r="T240" s="82">
        <f t="shared" si="6"/>
        <v>7107.97</v>
      </c>
      <c r="U240" s="77">
        <f t="shared" si="7"/>
        <v>7107.97</v>
      </c>
      <c r="V240" s="78">
        <v>1061</v>
      </c>
      <c r="W240" s="80" t="s">
        <v>233</v>
      </c>
      <c r="X240" s="81" t="s">
        <v>233</v>
      </c>
      <c r="Y240" s="4" t="s">
        <v>233</v>
      </c>
      <c r="Z240" s="81" t="s">
        <v>233</v>
      </c>
      <c r="AA240" s="64" t="s">
        <v>233</v>
      </c>
      <c r="AB240" s="81" t="s">
        <v>233</v>
      </c>
      <c r="AC240" s="4" t="s">
        <v>240</v>
      </c>
      <c r="AD240" s="64" t="s">
        <v>233</v>
      </c>
      <c r="AE240" s="64" t="s">
        <v>240</v>
      </c>
      <c r="AF240" s="208">
        <v>3</v>
      </c>
      <c r="AG240" s="4">
        <v>1</v>
      </c>
      <c r="AH240" s="64">
        <v>2</v>
      </c>
      <c r="AI240" s="4">
        <v>2</v>
      </c>
      <c r="AJ240" s="4">
        <v>2</v>
      </c>
      <c r="AK240" s="4">
        <v>0</v>
      </c>
    </row>
    <row r="241" spans="1:37" outlineLevel="1">
      <c r="A241" s="5">
        <v>234</v>
      </c>
      <c r="B241" s="64" t="s">
        <v>190</v>
      </c>
      <c r="C241" s="4" t="s">
        <v>237</v>
      </c>
      <c r="D241" s="4" t="str">
        <f>[1]Лист2!B234</f>
        <v>АНГЛИЙСКИЙ пр.</v>
      </c>
      <c r="E241" s="69">
        <f>[1]Лист2!C234</f>
        <v>43</v>
      </c>
      <c r="F241" s="197" t="str">
        <f>[1]Лист2!D234</f>
        <v>А</v>
      </c>
      <c r="G241" s="64"/>
      <c r="H241" s="199">
        <v>129234</v>
      </c>
      <c r="I241" s="64" t="s">
        <v>234</v>
      </c>
      <c r="J241" s="4"/>
      <c r="K241" s="64" t="s">
        <v>232</v>
      </c>
      <c r="L241" s="4" t="s">
        <v>232</v>
      </c>
      <c r="M241" s="72">
        <v>1917</v>
      </c>
      <c r="N241" s="64" t="s">
        <v>385</v>
      </c>
      <c r="O241" s="73">
        <v>3</v>
      </c>
      <c r="P241" s="196">
        <v>0</v>
      </c>
      <c r="Q241" s="73">
        <v>1</v>
      </c>
      <c r="R241" s="74">
        <v>15</v>
      </c>
      <c r="S241" s="76">
        <v>638</v>
      </c>
      <c r="T241" s="82">
        <f t="shared" si="6"/>
        <v>430</v>
      </c>
      <c r="U241" s="77">
        <f t="shared" si="7"/>
        <v>430</v>
      </c>
      <c r="V241" s="78">
        <v>208</v>
      </c>
      <c r="W241" s="80" t="s">
        <v>233</v>
      </c>
      <c r="X241" s="81" t="s">
        <v>233</v>
      </c>
      <c r="Y241" s="4" t="s">
        <v>233</v>
      </c>
      <c r="Z241" s="81" t="s">
        <v>233</v>
      </c>
      <c r="AA241" s="64" t="s">
        <v>233</v>
      </c>
      <c r="AB241" s="81" t="s">
        <v>233</v>
      </c>
      <c r="AC241" s="4" t="s">
        <v>240</v>
      </c>
      <c r="AD241" s="64" t="s">
        <v>233</v>
      </c>
      <c r="AE241" s="64" t="s">
        <v>240</v>
      </c>
      <c r="AF241" s="208">
        <v>0</v>
      </c>
      <c r="AG241" s="4">
        <v>1</v>
      </c>
      <c r="AH241" s="64">
        <v>1</v>
      </c>
      <c r="AI241" s="4">
        <v>1</v>
      </c>
      <c r="AJ241" s="4">
        <v>1</v>
      </c>
      <c r="AK241" s="4">
        <v>0</v>
      </c>
    </row>
    <row r="242" spans="1:37" outlineLevel="1">
      <c r="A242" s="63">
        <v>235</v>
      </c>
      <c r="B242" s="64" t="s">
        <v>190</v>
      </c>
      <c r="C242" s="4" t="s">
        <v>237</v>
      </c>
      <c r="D242" s="4" t="str">
        <f>[1]Лист2!B235</f>
        <v>АНГЛИЙСКИЙ пр.</v>
      </c>
      <c r="E242" s="69">
        <f>[1]Лист2!C235</f>
        <v>43</v>
      </c>
      <c r="F242" s="197" t="str">
        <f>[1]Лист2!D235</f>
        <v>Б</v>
      </c>
      <c r="G242" s="4"/>
      <c r="H242" s="199">
        <v>129235</v>
      </c>
      <c r="I242" s="64" t="s">
        <v>234</v>
      </c>
      <c r="J242" s="4"/>
      <c r="K242" s="64" t="s">
        <v>232</v>
      </c>
      <c r="L242" s="4" t="s">
        <v>232</v>
      </c>
      <c r="M242" s="72">
        <v>1917</v>
      </c>
      <c r="N242" s="64" t="s">
        <v>385</v>
      </c>
      <c r="O242" s="73">
        <v>3</v>
      </c>
      <c r="P242" s="196">
        <v>0</v>
      </c>
      <c r="Q242" s="73">
        <v>1</v>
      </c>
      <c r="R242" s="74">
        <v>9</v>
      </c>
      <c r="S242" s="76">
        <v>168</v>
      </c>
      <c r="T242" s="82">
        <f t="shared" si="6"/>
        <v>168</v>
      </c>
      <c r="U242" s="77">
        <f t="shared" si="7"/>
        <v>168</v>
      </c>
      <c r="V242" s="78">
        <v>0</v>
      </c>
      <c r="W242" s="80" t="s">
        <v>233</v>
      </c>
      <c r="X242" s="81" t="s">
        <v>233</v>
      </c>
      <c r="Y242" s="4" t="s">
        <v>233</v>
      </c>
      <c r="Z242" s="81" t="s">
        <v>233</v>
      </c>
      <c r="AA242" s="64" t="s">
        <v>233</v>
      </c>
      <c r="AB242" s="81" t="s">
        <v>233</v>
      </c>
      <c r="AC242" s="4" t="s">
        <v>240</v>
      </c>
      <c r="AD242" s="64" t="s">
        <v>233</v>
      </c>
      <c r="AE242" s="64" t="s">
        <v>240</v>
      </c>
      <c r="AF242" s="209">
        <v>0</v>
      </c>
      <c r="AG242" s="4">
        <v>1</v>
      </c>
      <c r="AH242" s="64">
        <v>1</v>
      </c>
      <c r="AI242" s="4">
        <v>0</v>
      </c>
      <c r="AJ242" s="4">
        <v>0</v>
      </c>
      <c r="AK242" s="4">
        <v>0</v>
      </c>
    </row>
    <row r="243" spans="1:37" outlineLevel="1">
      <c r="A243" s="63">
        <v>236</v>
      </c>
      <c r="B243" s="64" t="s">
        <v>190</v>
      </c>
      <c r="C243" s="4" t="s">
        <v>237</v>
      </c>
      <c r="D243" s="4" t="str">
        <f>[1]Лист2!B236</f>
        <v>АНГЛИЙСКИЙ пр.</v>
      </c>
      <c r="E243" s="69">
        <f>[1]Лист2!C236</f>
        <v>45</v>
      </c>
      <c r="F243" s="197" t="str">
        <f>[1]Лист2!D236</f>
        <v>А</v>
      </c>
      <c r="G243" s="4"/>
      <c r="H243" s="199">
        <v>129236</v>
      </c>
      <c r="I243" s="64" t="s">
        <v>234</v>
      </c>
      <c r="J243" s="4"/>
      <c r="K243" s="64" t="s">
        <v>232</v>
      </c>
      <c r="L243" s="4" t="s">
        <v>232</v>
      </c>
      <c r="M243" s="72">
        <v>1901</v>
      </c>
      <c r="N243" s="64" t="s">
        <v>385</v>
      </c>
      <c r="O243" s="73">
        <v>5</v>
      </c>
      <c r="P243" s="196">
        <v>0</v>
      </c>
      <c r="Q243" s="73">
        <v>6</v>
      </c>
      <c r="R243" s="74">
        <v>91</v>
      </c>
      <c r="S243" s="76">
        <v>5264.37</v>
      </c>
      <c r="T243" s="82">
        <f t="shared" si="6"/>
        <v>4648.37</v>
      </c>
      <c r="U243" s="77">
        <f t="shared" si="7"/>
        <v>4648.37</v>
      </c>
      <c r="V243" s="78">
        <v>616</v>
      </c>
      <c r="W243" s="80" t="s">
        <v>233</v>
      </c>
      <c r="X243" s="81" t="s">
        <v>233</v>
      </c>
      <c r="Y243" s="4" t="s">
        <v>233</v>
      </c>
      <c r="Z243" s="81" t="s">
        <v>233</v>
      </c>
      <c r="AA243" s="64" t="s">
        <v>233</v>
      </c>
      <c r="AB243" s="81" t="s">
        <v>233</v>
      </c>
      <c r="AC243" s="4" t="s">
        <v>240</v>
      </c>
      <c r="AD243" s="64" t="s">
        <v>233</v>
      </c>
      <c r="AE243" s="64" t="s">
        <v>240</v>
      </c>
      <c r="AF243" s="208">
        <v>1</v>
      </c>
      <c r="AG243" s="4">
        <v>2</v>
      </c>
      <c r="AH243" s="64">
        <v>1</v>
      </c>
      <c r="AI243" s="4">
        <v>0</v>
      </c>
      <c r="AJ243" s="4">
        <v>0</v>
      </c>
      <c r="AK243" s="4">
        <v>0</v>
      </c>
    </row>
    <row r="244" spans="1:37" outlineLevel="1">
      <c r="A244" s="5">
        <v>237</v>
      </c>
      <c r="B244" s="64" t="s">
        <v>190</v>
      </c>
      <c r="C244" s="4" t="s">
        <v>237</v>
      </c>
      <c r="D244" s="4" t="str">
        <f>[1]Лист2!B237</f>
        <v>АНГЛИЙСКИЙ пр.</v>
      </c>
      <c r="E244" s="69">
        <f>[1]Лист2!C237</f>
        <v>5</v>
      </c>
      <c r="F244" s="197" t="str">
        <f>[1]Лист2!D237</f>
        <v>А</v>
      </c>
      <c r="G244" s="64"/>
      <c r="H244" s="199">
        <v>129237</v>
      </c>
      <c r="I244" s="64" t="s">
        <v>234</v>
      </c>
      <c r="J244" s="4"/>
      <c r="K244" s="64" t="s">
        <v>232</v>
      </c>
      <c r="L244" s="4" t="s">
        <v>232</v>
      </c>
      <c r="M244" s="72">
        <v>1877</v>
      </c>
      <c r="N244" s="64" t="s">
        <v>385</v>
      </c>
      <c r="O244" s="73">
        <v>4</v>
      </c>
      <c r="P244" s="196">
        <v>0</v>
      </c>
      <c r="Q244" s="73">
        <v>5</v>
      </c>
      <c r="R244" s="74">
        <v>45</v>
      </c>
      <c r="S244" s="76">
        <v>2328.2599999999998</v>
      </c>
      <c r="T244" s="82">
        <f t="shared" si="6"/>
        <v>2276.16</v>
      </c>
      <c r="U244" s="77">
        <f t="shared" si="7"/>
        <v>2276.16</v>
      </c>
      <c r="V244" s="78">
        <v>52.1</v>
      </c>
      <c r="W244" s="80" t="s">
        <v>233</v>
      </c>
      <c r="X244" s="81" t="s">
        <v>233</v>
      </c>
      <c r="Y244" s="4" t="s">
        <v>233</v>
      </c>
      <c r="Z244" s="81" t="s">
        <v>233</v>
      </c>
      <c r="AA244" s="64" t="s">
        <v>233</v>
      </c>
      <c r="AB244" s="81" t="s">
        <v>233</v>
      </c>
      <c r="AC244" s="4" t="s">
        <v>240</v>
      </c>
      <c r="AD244" s="64" t="s">
        <v>233</v>
      </c>
      <c r="AE244" s="64" t="s">
        <v>240</v>
      </c>
      <c r="AF244" s="208">
        <v>0</v>
      </c>
      <c r="AG244" s="4">
        <v>1</v>
      </c>
      <c r="AH244" s="64">
        <v>1</v>
      </c>
      <c r="AI244" s="4">
        <v>1</v>
      </c>
      <c r="AJ244" s="4">
        <v>1</v>
      </c>
      <c r="AK244" s="4">
        <v>0</v>
      </c>
    </row>
    <row r="245" spans="1:37" outlineLevel="1">
      <c r="A245" s="5">
        <v>238</v>
      </c>
      <c r="B245" s="64" t="s">
        <v>190</v>
      </c>
      <c r="C245" s="4" t="s">
        <v>237</v>
      </c>
      <c r="D245" s="4" t="str">
        <f>[1]Лист2!B238</f>
        <v>АНГЛИЙСКИЙ пр.</v>
      </c>
      <c r="E245" s="69">
        <f>[1]Лист2!C238</f>
        <v>51</v>
      </c>
      <c r="F245" s="197" t="str">
        <f>[1]Лист2!D238</f>
        <v>А</v>
      </c>
      <c r="G245" s="64"/>
      <c r="H245" s="199">
        <v>129238</v>
      </c>
      <c r="I245" s="64" t="s">
        <v>234</v>
      </c>
      <c r="J245" s="4"/>
      <c r="K245" s="64" t="s">
        <v>232</v>
      </c>
      <c r="L245" s="4" t="s">
        <v>232</v>
      </c>
      <c r="M245" s="72">
        <v>1877</v>
      </c>
      <c r="N245" s="64" t="s">
        <v>385</v>
      </c>
      <c r="O245" s="73">
        <v>4</v>
      </c>
      <c r="P245" s="196">
        <v>0</v>
      </c>
      <c r="Q245" s="73">
        <v>5</v>
      </c>
      <c r="R245" s="74">
        <v>35</v>
      </c>
      <c r="S245" s="76">
        <v>3330.62</v>
      </c>
      <c r="T245" s="82">
        <f t="shared" si="6"/>
        <v>3032.62</v>
      </c>
      <c r="U245" s="77">
        <f t="shared" si="7"/>
        <v>3032.62</v>
      </c>
      <c r="V245" s="78">
        <v>298</v>
      </c>
      <c r="W245" s="80" t="s">
        <v>233</v>
      </c>
      <c r="X245" s="81" t="s">
        <v>233</v>
      </c>
      <c r="Y245" s="4" t="s">
        <v>233</v>
      </c>
      <c r="Z245" s="81" t="s">
        <v>233</v>
      </c>
      <c r="AA245" s="64" t="s">
        <v>233</v>
      </c>
      <c r="AB245" s="81" t="s">
        <v>233</v>
      </c>
      <c r="AC245" s="4" t="s">
        <v>240</v>
      </c>
      <c r="AD245" s="64" t="s">
        <v>233</v>
      </c>
      <c r="AE245" s="64" t="s">
        <v>240</v>
      </c>
      <c r="AF245" s="208">
        <v>0</v>
      </c>
      <c r="AG245" s="4">
        <v>1</v>
      </c>
      <c r="AH245" s="64">
        <v>1</v>
      </c>
      <c r="AI245" s="4">
        <v>1</v>
      </c>
      <c r="AJ245" s="4">
        <v>1</v>
      </c>
      <c r="AK245" s="4">
        <v>0</v>
      </c>
    </row>
    <row r="246" spans="1:37" outlineLevel="1">
      <c r="A246" s="5">
        <v>239</v>
      </c>
      <c r="B246" s="64" t="s">
        <v>190</v>
      </c>
      <c r="C246" s="4" t="s">
        <v>237</v>
      </c>
      <c r="D246" s="4" t="str">
        <f>[1]Лист2!B239</f>
        <v>АНГЛИЙСКИЙ пр.</v>
      </c>
      <c r="E246" s="69">
        <f>[1]Лист2!C239</f>
        <v>52</v>
      </c>
      <c r="F246" s="197" t="str">
        <f>[1]Лист2!D239</f>
        <v>А</v>
      </c>
      <c r="G246" s="4"/>
      <c r="H246" s="199">
        <v>129239</v>
      </c>
      <c r="I246" s="64" t="s">
        <v>234</v>
      </c>
      <c r="J246" s="4"/>
      <c r="K246" s="64" t="s">
        <v>232</v>
      </c>
      <c r="L246" s="4" t="s">
        <v>232</v>
      </c>
      <c r="M246" s="72">
        <v>1883</v>
      </c>
      <c r="N246" s="64" t="s">
        <v>385</v>
      </c>
      <c r="O246" s="73">
        <v>4</v>
      </c>
      <c r="P246" s="196">
        <v>0</v>
      </c>
      <c r="Q246" s="73">
        <v>2</v>
      </c>
      <c r="R246" s="74">
        <v>35</v>
      </c>
      <c r="S246" s="76">
        <v>2043.72</v>
      </c>
      <c r="T246" s="82">
        <f t="shared" si="6"/>
        <v>1512.72</v>
      </c>
      <c r="U246" s="77">
        <f t="shared" si="7"/>
        <v>1512.72</v>
      </c>
      <c r="V246" s="78">
        <v>531</v>
      </c>
      <c r="W246" s="80" t="s">
        <v>233</v>
      </c>
      <c r="X246" s="81" t="s">
        <v>233</v>
      </c>
      <c r="Y246" s="4" t="s">
        <v>240</v>
      </c>
      <c r="Z246" s="81" t="s">
        <v>233</v>
      </c>
      <c r="AA246" s="64" t="s">
        <v>233</v>
      </c>
      <c r="AB246" s="81" t="s">
        <v>233</v>
      </c>
      <c r="AC246" s="4" t="s">
        <v>233</v>
      </c>
      <c r="AD246" s="64" t="s">
        <v>233</v>
      </c>
      <c r="AE246" s="64" t="s">
        <v>240</v>
      </c>
      <c r="AF246" s="208">
        <v>0</v>
      </c>
      <c r="AG246" s="4">
        <v>1</v>
      </c>
      <c r="AH246" s="64">
        <v>1</v>
      </c>
      <c r="AI246" s="4">
        <v>0</v>
      </c>
      <c r="AJ246" s="4">
        <v>0</v>
      </c>
      <c r="AK246" s="4">
        <v>0</v>
      </c>
    </row>
    <row r="247" spans="1:37" s="65" customFormat="1" outlineLevel="1">
      <c r="A247" s="63">
        <v>240</v>
      </c>
      <c r="B247" s="64" t="s">
        <v>190</v>
      </c>
      <c r="C247" s="64" t="s">
        <v>237</v>
      </c>
      <c r="D247" s="64" t="str">
        <f>[1]Лист2!B240</f>
        <v>АНГЛИЙСКИЙ пр.</v>
      </c>
      <c r="E247" s="71" t="str">
        <f>[1]Лист2!C240</f>
        <v>54/24</v>
      </c>
      <c r="F247" s="196" t="s">
        <v>191</v>
      </c>
      <c r="G247" s="64"/>
      <c r="H247" s="67">
        <v>129240</v>
      </c>
      <c r="I247" s="64" t="s">
        <v>234</v>
      </c>
      <c r="J247" s="4" t="s">
        <v>1422</v>
      </c>
      <c r="K247" s="64" t="s">
        <v>232</v>
      </c>
      <c r="L247" s="64" t="s">
        <v>232</v>
      </c>
      <c r="M247" s="72">
        <v>1828</v>
      </c>
      <c r="N247" s="64" t="s">
        <v>385</v>
      </c>
      <c r="O247" s="73">
        <v>2</v>
      </c>
      <c r="P247" s="196">
        <v>0</v>
      </c>
      <c r="Q247" s="73">
        <v>2</v>
      </c>
      <c r="R247" s="74">
        <v>8</v>
      </c>
      <c r="S247" s="75">
        <v>349</v>
      </c>
      <c r="T247" s="82">
        <f t="shared" si="6"/>
        <v>0</v>
      </c>
      <c r="U247" s="77">
        <f t="shared" si="7"/>
        <v>0</v>
      </c>
      <c r="V247" s="77">
        <v>349</v>
      </c>
      <c r="W247" s="80" t="s">
        <v>233</v>
      </c>
      <c r="X247" s="81" t="s">
        <v>233</v>
      </c>
      <c r="Y247" s="64" t="s">
        <v>233</v>
      </c>
      <c r="Z247" s="81" t="s">
        <v>233</v>
      </c>
      <c r="AA247" s="64" t="s">
        <v>233</v>
      </c>
      <c r="AB247" s="81" t="s">
        <v>233</v>
      </c>
      <c r="AC247" s="64" t="s">
        <v>240</v>
      </c>
      <c r="AD247" s="64" t="s">
        <v>233</v>
      </c>
      <c r="AE247" s="64" t="s">
        <v>240</v>
      </c>
      <c r="AF247" s="208">
        <v>0</v>
      </c>
      <c r="AG247" s="4">
        <v>1</v>
      </c>
      <c r="AH247" s="64">
        <v>1</v>
      </c>
      <c r="AI247" s="64">
        <v>0</v>
      </c>
      <c r="AJ247" s="64">
        <v>0</v>
      </c>
      <c r="AK247" s="64">
        <v>0</v>
      </c>
    </row>
    <row r="248" spans="1:37" outlineLevel="1">
      <c r="A248" s="63">
        <v>241</v>
      </c>
      <c r="B248" s="64" t="s">
        <v>190</v>
      </c>
      <c r="C248" s="4" t="s">
        <v>237</v>
      </c>
      <c r="D248" s="4" t="str">
        <f>[1]Лист2!B241</f>
        <v>АНГЛИЙСКИЙ пр.</v>
      </c>
      <c r="E248" s="69">
        <f>[1]Лист2!C241</f>
        <v>56</v>
      </c>
      <c r="F248" s="197" t="str">
        <f>[1]Лист2!D241</f>
        <v>А</v>
      </c>
      <c r="G248" s="64"/>
      <c r="H248" s="199">
        <v>129241</v>
      </c>
      <c r="I248" s="64" t="s">
        <v>234</v>
      </c>
      <c r="J248" s="4"/>
      <c r="K248" s="64" t="s">
        <v>232</v>
      </c>
      <c r="L248" s="4" t="s">
        <v>232</v>
      </c>
      <c r="M248" s="72">
        <v>1849</v>
      </c>
      <c r="N248" s="64" t="s">
        <v>385</v>
      </c>
      <c r="O248" s="73">
        <v>3</v>
      </c>
      <c r="P248" s="196">
        <v>0</v>
      </c>
      <c r="Q248" s="73">
        <v>1</v>
      </c>
      <c r="R248" s="74">
        <v>20</v>
      </c>
      <c r="S248" s="76">
        <v>749.52</v>
      </c>
      <c r="T248" s="82">
        <f t="shared" si="6"/>
        <v>616.22</v>
      </c>
      <c r="U248" s="77">
        <f t="shared" si="7"/>
        <v>616.22</v>
      </c>
      <c r="V248" s="78">
        <v>133.30000000000001</v>
      </c>
      <c r="W248" s="80" t="s">
        <v>233</v>
      </c>
      <c r="X248" s="81" t="s">
        <v>233</v>
      </c>
      <c r="Y248" s="4" t="s">
        <v>233</v>
      </c>
      <c r="Z248" s="81" t="s">
        <v>233</v>
      </c>
      <c r="AA248" s="64" t="s">
        <v>233</v>
      </c>
      <c r="AB248" s="81" t="s">
        <v>233</v>
      </c>
      <c r="AC248" s="64" t="s">
        <v>240</v>
      </c>
      <c r="AD248" s="64" t="s">
        <v>233</v>
      </c>
      <c r="AE248" s="64" t="s">
        <v>240</v>
      </c>
      <c r="AF248" s="208">
        <v>0</v>
      </c>
      <c r="AG248" s="4">
        <v>1</v>
      </c>
      <c r="AH248" s="64">
        <v>1</v>
      </c>
      <c r="AI248" s="4">
        <v>0</v>
      </c>
      <c r="AJ248" s="4">
        <v>0</v>
      </c>
      <c r="AK248" s="4">
        <v>0</v>
      </c>
    </row>
    <row r="249" spans="1:37" outlineLevel="1">
      <c r="A249" s="63">
        <v>242</v>
      </c>
      <c r="B249" s="64" t="s">
        <v>190</v>
      </c>
      <c r="C249" s="4" t="s">
        <v>237</v>
      </c>
      <c r="D249" s="4" t="str">
        <f>[1]Лист2!B242</f>
        <v>АНГЛИЙСКИЙ пр.</v>
      </c>
      <c r="E249" s="69">
        <f>[1]Лист2!C242</f>
        <v>58</v>
      </c>
      <c r="F249" s="197" t="str">
        <f>[1]Лист2!D242</f>
        <v>А</v>
      </c>
      <c r="G249" s="64"/>
      <c r="H249" s="199">
        <v>129242</v>
      </c>
      <c r="I249" s="64" t="s">
        <v>234</v>
      </c>
      <c r="J249" s="4"/>
      <c r="K249" s="64" t="s">
        <v>232</v>
      </c>
      <c r="L249" s="4" t="s">
        <v>232</v>
      </c>
      <c r="M249" s="72">
        <v>1910</v>
      </c>
      <c r="N249" s="64" t="s">
        <v>385</v>
      </c>
      <c r="O249" s="73">
        <v>5</v>
      </c>
      <c r="P249" s="196">
        <v>0</v>
      </c>
      <c r="Q249" s="73">
        <v>2</v>
      </c>
      <c r="R249" s="74">
        <v>65</v>
      </c>
      <c r="S249" s="76">
        <v>2540.17</v>
      </c>
      <c r="T249" s="82">
        <f t="shared" si="6"/>
        <v>2365.9700000000003</v>
      </c>
      <c r="U249" s="77">
        <f t="shared" si="7"/>
        <v>2365.9700000000003</v>
      </c>
      <c r="V249" s="78">
        <v>174.2</v>
      </c>
      <c r="W249" s="80" t="s">
        <v>233</v>
      </c>
      <c r="X249" s="81" t="s">
        <v>233</v>
      </c>
      <c r="Y249" s="4" t="s">
        <v>233</v>
      </c>
      <c r="Z249" s="81" t="s">
        <v>233</v>
      </c>
      <c r="AA249" s="64" t="s">
        <v>233</v>
      </c>
      <c r="AB249" s="81" t="s">
        <v>233</v>
      </c>
      <c r="AC249" s="64" t="s">
        <v>240</v>
      </c>
      <c r="AD249" s="64" t="s">
        <v>233</v>
      </c>
      <c r="AE249" s="64" t="s">
        <v>240</v>
      </c>
      <c r="AF249" s="208">
        <v>0</v>
      </c>
      <c r="AG249" s="4">
        <v>1</v>
      </c>
      <c r="AH249" s="64">
        <v>1</v>
      </c>
      <c r="AI249" s="4">
        <v>0</v>
      </c>
      <c r="AJ249" s="4">
        <v>0</v>
      </c>
      <c r="AK249" s="4">
        <v>0</v>
      </c>
    </row>
    <row r="250" spans="1:37" outlineLevel="1">
      <c r="A250" s="5">
        <v>243</v>
      </c>
      <c r="B250" s="64" t="s">
        <v>190</v>
      </c>
      <c r="C250" s="4" t="s">
        <v>237</v>
      </c>
      <c r="D250" s="4" t="str">
        <f>[1]Лист2!B243</f>
        <v>АНГЛИЙСКИЙ пр.</v>
      </c>
      <c r="E250" s="69">
        <f>[1]Лист2!C243</f>
        <v>60</v>
      </c>
      <c r="F250" s="197" t="str">
        <f>[1]Лист2!D243</f>
        <v>А</v>
      </c>
      <c r="G250" s="4"/>
      <c r="H250" s="199">
        <v>129243</v>
      </c>
      <c r="I250" s="64" t="s">
        <v>234</v>
      </c>
      <c r="J250" s="4"/>
      <c r="K250" s="64" t="s">
        <v>232</v>
      </c>
      <c r="L250" s="4" t="s">
        <v>232</v>
      </c>
      <c r="M250" s="72">
        <v>1882</v>
      </c>
      <c r="N250" s="64" t="s">
        <v>385</v>
      </c>
      <c r="O250" s="73">
        <v>4</v>
      </c>
      <c r="P250" s="196">
        <v>0</v>
      </c>
      <c r="Q250" s="73">
        <v>3</v>
      </c>
      <c r="R250" s="74">
        <v>22</v>
      </c>
      <c r="S250" s="76">
        <v>1846.91</v>
      </c>
      <c r="T250" s="82">
        <f t="shared" si="6"/>
        <v>856.21</v>
      </c>
      <c r="U250" s="77">
        <f t="shared" si="7"/>
        <v>856.21</v>
      </c>
      <c r="V250" s="78">
        <v>990.7</v>
      </c>
      <c r="W250" s="80" t="s">
        <v>233</v>
      </c>
      <c r="X250" s="81" t="s">
        <v>233</v>
      </c>
      <c r="Y250" s="4" t="s">
        <v>240</v>
      </c>
      <c r="Z250" s="81" t="s">
        <v>233</v>
      </c>
      <c r="AA250" s="64" t="s">
        <v>233</v>
      </c>
      <c r="AB250" s="81" t="s">
        <v>233</v>
      </c>
      <c r="AC250" s="4" t="s">
        <v>233</v>
      </c>
      <c r="AD250" s="64" t="s">
        <v>233</v>
      </c>
      <c r="AE250" s="64" t="s">
        <v>240</v>
      </c>
      <c r="AF250" s="208">
        <v>0</v>
      </c>
      <c r="AG250" s="4">
        <v>1</v>
      </c>
      <c r="AH250" s="64">
        <v>1</v>
      </c>
      <c r="AI250" s="4">
        <v>0</v>
      </c>
      <c r="AJ250" s="4">
        <v>0</v>
      </c>
      <c r="AK250" s="4">
        <v>0</v>
      </c>
    </row>
    <row r="251" spans="1:37" outlineLevel="1">
      <c r="A251" s="5">
        <v>244</v>
      </c>
      <c r="B251" s="64" t="s">
        <v>190</v>
      </c>
      <c r="C251" s="4" t="s">
        <v>237</v>
      </c>
      <c r="D251" s="4" t="str">
        <f>[1]Лист2!B244</f>
        <v>АНГЛИЙСКИЙ пр.</v>
      </c>
      <c r="E251" s="69">
        <f>[1]Лист2!C244</f>
        <v>62</v>
      </c>
      <c r="F251" s="197" t="str">
        <f>[1]Лист2!D244</f>
        <v>А</v>
      </c>
      <c r="G251" s="4"/>
      <c r="H251" s="199">
        <v>129244</v>
      </c>
      <c r="I251" s="64" t="s">
        <v>234</v>
      </c>
      <c r="J251" s="4"/>
      <c r="K251" s="64" t="s">
        <v>232</v>
      </c>
      <c r="L251" s="4" t="s">
        <v>232</v>
      </c>
      <c r="M251" s="72">
        <v>1838</v>
      </c>
      <c r="N251" s="64" t="s">
        <v>385</v>
      </c>
      <c r="O251" s="73">
        <v>4</v>
      </c>
      <c r="P251" s="196">
        <v>0</v>
      </c>
      <c r="Q251" s="73">
        <v>3</v>
      </c>
      <c r="R251" s="74">
        <v>72</v>
      </c>
      <c r="S251" s="76">
        <v>3083.05</v>
      </c>
      <c r="T251" s="82">
        <f t="shared" si="6"/>
        <v>2354.0500000000002</v>
      </c>
      <c r="U251" s="77">
        <f t="shared" si="7"/>
        <v>2354.0500000000002</v>
      </c>
      <c r="V251" s="78">
        <v>729</v>
      </c>
      <c r="W251" s="80" t="s">
        <v>233</v>
      </c>
      <c r="X251" s="81" t="s">
        <v>233</v>
      </c>
      <c r="Y251" s="4" t="s">
        <v>233</v>
      </c>
      <c r="Z251" s="81" t="s">
        <v>233</v>
      </c>
      <c r="AA251" s="64" t="s">
        <v>233</v>
      </c>
      <c r="AB251" s="81" t="s">
        <v>233</v>
      </c>
      <c r="AC251" s="4" t="s">
        <v>240</v>
      </c>
      <c r="AD251" s="64" t="s">
        <v>233</v>
      </c>
      <c r="AE251" s="64" t="s">
        <v>240</v>
      </c>
      <c r="AF251" s="208">
        <v>0</v>
      </c>
      <c r="AG251" s="4">
        <v>1</v>
      </c>
      <c r="AH251" s="64">
        <v>1</v>
      </c>
      <c r="AI251" s="4">
        <v>1</v>
      </c>
      <c r="AJ251" s="4">
        <v>1</v>
      </c>
      <c r="AK251" s="4">
        <v>0</v>
      </c>
    </row>
    <row r="252" spans="1:37" s="65" customFormat="1" outlineLevel="1">
      <c r="A252" s="5">
        <v>245</v>
      </c>
      <c r="B252" s="64" t="s">
        <v>190</v>
      </c>
      <c r="C252" s="4" t="s">
        <v>237</v>
      </c>
      <c r="D252" s="64" t="str">
        <f>[1]Лист2!B245</f>
        <v>АНГЛИЙСКИЙ пр.</v>
      </c>
      <c r="E252" s="71" t="s">
        <v>208</v>
      </c>
      <c r="F252" s="196" t="str">
        <f>[1]Лист2!D245</f>
        <v>А</v>
      </c>
      <c r="G252" s="64"/>
      <c r="H252" s="67">
        <v>129245</v>
      </c>
      <c r="I252" s="64" t="s">
        <v>234</v>
      </c>
      <c r="J252" s="64"/>
      <c r="K252" s="64" t="s">
        <v>232</v>
      </c>
      <c r="L252" s="64" t="s">
        <v>232</v>
      </c>
      <c r="M252" s="72">
        <v>1870</v>
      </c>
      <c r="N252" s="64" t="s">
        <v>385</v>
      </c>
      <c r="O252" s="73">
        <v>4</v>
      </c>
      <c r="P252" s="196">
        <v>0</v>
      </c>
      <c r="Q252" s="73">
        <v>1</v>
      </c>
      <c r="R252" s="74">
        <v>24</v>
      </c>
      <c r="S252" s="75">
        <v>864.9</v>
      </c>
      <c r="T252" s="82">
        <f t="shared" si="6"/>
        <v>653.79999999999995</v>
      </c>
      <c r="U252" s="77">
        <f t="shared" si="7"/>
        <v>653.79999999999995</v>
      </c>
      <c r="V252" s="77">
        <v>211.1</v>
      </c>
      <c r="W252" s="80" t="s">
        <v>233</v>
      </c>
      <c r="X252" s="81" t="s">
        <v>233</v>
      </c>
      <c r="Y252" s="64" t="s">
        <v>233</v>
      </c>
      <c r="Z252" s="81" t="s">
        <v>233</v>
      </c>
      <c r="AA252" s="64" t="s">
        <v>233</v>
      </c>
      <c r="AB252" s="81" t="s">
        <v>233</v>
      </c>
      <c r="AC252" s="4" t="s">
        <v>240</v>
      </c>
      <c r="AD252" s="64" t="s">
        <v>233</v>
      </c>
      <c r="AE252" s="64" t="s">
        <v>240</v>
      </c>
      <c r="AF252" s="208">
        <v>0</v>
      </c>
      <c r="AG252" s="4">
        <v>1</v>
      </c>
      <c r="AH252" s="64">
        <v>1</v>
      </c>
      <c r="AI252" s="64">
        <v>0</v>
      </c>
      <c r="AJ252" s="64">
        <v>0</v>
      </c>
      <c r="AK252" s="64">
        <v>0</v>
      </c>
    </row>
    <row r="253" spans="1:37" s="65" customFormat="1" outlineLevel="1">
      <c r="A253" s="5">
        <v>246</v>
      </c>
      <c r="B253" s="64" t="s">
        <v>190</v>
      </c>
      <c r="C253" s="4" t="s">
        <v>237</v>
      </c>
      <c r="D253" s="64" t="str">
        <f>[1]Лист2!B246</f>
        <v>АНГЛИЙСКИЙ пр.</v>
      </c>
      <c r="E253" s="71" t="s">
        <v>208</v>
      </c>
      <c r="F253" s="196" t="str">
        <f>[1]Лист2!D246</f>
        <v>Б</v>
      </c>
      <c r="G253" s="64"/>
      <c r="H253" s="67">
        <v>129246</v>
      </c>
      <c r="I253" s="64" t="s">
        <v>234</v>
      </c>
      <c r="J253" s="64"/>
      <c r="K253" s="64" t="s">
        <v>232</v>
      </c>
      <c r="L253" s="64" t="s">
        <v>232</v>
      </c>
      <c r="M253" s="72">
        <v>1870</v>
      </c>
      <c r="N253" s="64" t="s">
        <v>385</v>
      </c>
      <c r="O253" s="73">
        <v>4</v>
      </c>
      <c r="P253" s="196">
        <v>0</v>
      </c>
      <c r="Q253" s="73">
        <v>1</v>
      </c>
      <c r="R253" s="74">
        <v>24</v>
      </c>
      <c r="S253" s="75">
        <v>849.2</v>
      </c>
      <c r="T253" s="82">
        <f t="shared" si="6"/>
        <v>849.2</v>
      </c>
      <c r="U253" s="77">
        <f t="shared" si="7"/>
        <v>849.2</v>
      </c>
      <c r="V253" s="77">
        <v>0</v>
      </c>
      <c r="W253" s="80" t="s">
        <v>233</v>
      </c>
      <c r="X253" s="81" t="s">
        <v>233</v>
      </c>
      <c r="Y253" s="64" t="s">
        <v>233</v>
      </c>
      <c r="Z253" s="81" t="s">
        <v>233</v>
      </c>
      <c r="AA253" s="64" t="s">
        <v>233</v>
      </c>
      <c r="AB253" s="81" t="s">
        <v>233</v>
      </c>
      <c r="AC253" s="4" t="s">
        <v>240</v>
      </c>
      <c r="AD253" s="64" t="s">
        <v>233</v>
      </c>
      <c r="AE253" s="64" t="s">
        <v>240</v>
      </c>
      <c r="AF253" s="209">
        <v>0</v>
      </c>
      <c r="AG253" s="4">
        <v>1</v>
      </c>
      <c r="AH253" s="64">
        <v>1</v>
      </c>
      <c r="AI253" s="64">
        <v>0</v>
      </c>
      <c r="AJ253" s="64">
        <v>0</v>
      </c>
      <c r="AK253" s="64">
        <v>0</v>
      </c>
    </row>
    <row r="254" spans="1:37" s="65" customFormat="1" outlineLevel="1">
      <c r="A254" s="63">
        <v>247</v>
      </c>
      <c r="B254" s="64" t="s">
        <v>190</v>
      </c>
      <c r="C254" s="4" t="s">
        <v>237</v>
      </c>
      <c r="D254" s="64" t="str">
        <f>[1]Лист2!B247</f>
        <v>АНГЛИЙСКИЙ пр.</v>
      </c>
      <c r="E254" s="71" t="s">
        <v>206</v>
      </c>
      <c r="F254" s="196" t="str">
        <f>[1]Лист2!D247</f>
        <v>А</v>
      </c>
      <c r="G254" s="4"/>
      <c r="H254" s="67">
        <v>129247</v>
      </c>
      <c r="I254" s="64" t="s">
        <v>234</v>
      </c>
      <c r="J254" s="64"/>
      <c r="K254" s="64" t="s">
        <v>232</v>
      </c>
      <c r="L254" s="64" t="s">
        <v>232</v>
      </c>
      <c r="M254" s="72">
        <v>1932</v>
      </c>
      <c r="N254" s="64" t="s">
        <v>385</v>
      </c>
      <c r="O254" s="73">
        <v>5</v>
      </c>
      <c r="P254" s="196">
        <v>0</v>
      </c>
      <c r="Q254" s="73">
        <v>5</v>
      </c>
      <c r="R254" s="74">
        <v>113</v>
      </c>
      <c r="S254" s="75">
        <v>3183</v>
      </c>
      <c r="T254" s="82">
        <f t="shared" si="6"/>
        <v>3183</v>
      </c>
      <c r="U254" s="77">
        <f t="shared" si="7"/>
        <v>3183</v>
      </c>
      <c r="V254" s="77">
        <v>0</v>
      </c>
      <c r="W254" s="80" t="s">
        <v>233</v>
      </c>
      <c r="X254" s="81" t="s">
        <v>233</v>
      </c>
      <c r="Y254" s="64" t="s">
        <v>240</v>
      </c>
      <c r="Z254" s="81" t="s">
        <v>233</v>
      </c>
      <c r="AA254" s="64" t="s">
        <v>233</v>
      </c>
      <c r="AB254" s="81" t="s">
        <v>233</v>
      </c>
      <c r="AC254" s="64" t="s">
        <v>233</v>
      </c>
      <c r="AD254" s="64" t="s">
        <v>233</v>
      </c>
      <c r="AE254" s="64" t="s">
        <v>240</v>
      </c>
      <c r="AF254" s="208">
        <v>0</v>
      </c>
      <c r="AG254" s="4">
        <v>1</v>
      </c>
      <c r="AH254" s="64">
        <v>1</v>
      </c>
      <c r="AI254" s="64">
        <v>0</v>
      </c>
      <c r="AJ254" s="64">
        <v>0</v>
      </c>
      <c r="AK254" s="64">
        <v>0</v>
      </c>
    </row>
    <row r="255" spans="1:37" s="65" customFormat="1" outlineLevel="1">
      <c r="A255" s="63">
        <v>248</v>
      </c>
      <c r="B255" s="64" t="s">
        <v>190</v>
      </c>
      <c r="C255" s="4" t="s">
        <v>237</v>
      </c>
      <c r="D255" s="64" t="str">
        <f>[1]Лист2!B248</f>
        <v>АНГЛИЙСКИЙ пр.</v>
      </c>
      <c r="E255" s="71" t="s">
        <v>206</v>
      </c>
      <c r="F255" s="196" t="str">
        <f>[1]Лист2!D248</f>
        <v>Б</v>
      </c>
      <c r="G255" s="4"/>
      <c r="H255" s="67">
        <v>129248</v>
      </c>
      <c r="I255" s="64" t="s">
        <v>234</v>
      </c>
      <c r="J255" s="64"/>
      <c r="K255" s="64" t="s">
        <v>232</v>
      </c>
      <c r="L255" s="64" t="s">
        <v>232</v>
      </c>
      <c r="M255" s="72">
        <v>1932</v>
      </c>
      <c r="N255" s="64" t="s">
        <v>385</v>
      </c>
      <c r="O255" s="73">
        <v>5</v>
      </c>
      <c r="P255" s="196">
        <v>0</v>
      </c>
      <c r="Q255" s="73">
        <v>3</v>
      </c>
      <c r="R255" s="74">
        <v>67</v>
      </c>
      <c r="S255" s="75">
        <v>1915</v>
      </c>
      <c r="T255" s="82">
        <f t="shared" si="6"/>
        <v>1915</v>
      </c>
      <c r="U255" s="77">
        <f t="shared" si="7"/>
        <v>1915</v>
      </c>
      <c r="V255" s="77">
        <v>0</v>
      </c>
      <c r="W255" s="80" t="s">
        <v>233</v>
      </c>
      <c r="X255" s="81" t="s">
        <v>233</v>
      </c>
      <c r="Y255" s="64" t="s">
        <v>240</v>
      </c>
      <c r="Z255" s="81" t="s">
        <v>233</v>
      </c>
      <c r="AA255" s="64" t="s">
        <v>233</v>
      </c>
      <c r="AB255" s="81" t="s">
        <v>233</v>
      </c>
      <c r="AC255" s="64" t="s">
        <v>233</v>
      </c>
      <c r="AD255" s="64" t="s">
        <v>233</v>
      </c>
      <c r="AE255" s="64" t="s">
        <v>240</v>
      </c>
      <c r="AF255" s="209">
        <v>0</v>
      </c>
      <c r="AG255" s="4">
        <v>1</v>
      </c>
      <c r="AH255" s="64">
        <v>1</v>
      </c>
      <c r="AI255" s="64">
        <v>0</v>
      </c>
      <c r="AJ255" s="64">
        <v>0</v>
      </c>
      <c r="AK255" s="64">
        <v>0</v>
      </c>
    </row>
    <row r="256" spans="1:37" s="65" customFormat="1" outlineLevel="1">
      <c r="A256" s="5">
        <v>249</v>
      </c>
      <c r="B256" s="64" t="s">
        <v>190</v>
      </c>
      <c r="C256" s="4" t="s">
        <v>236</v>
      </c>
      <c r="D256" s="64" t="str">
        <f>[1]Лист2!B249</f>
        <v>Б.МОРСКАЯ ул.</v>
      </c>
      <c r="E256" s="71">
        <f>[1]Лист2!C249</f>
        <v>35</v>
      </c>
      <c r="F256" s="196" t="s">
        <v>191</v>
      </c>
      <c r="G256" s="64"/>
      <c r="H256" s="67">
        <v>129249</v>
      </c>
      <c r="I256" s="64" t="s">
        <v>234</v>
      </c>
      <c r="J256" s="64"/>
      <c r="K256" s="64" t="s">
        <v>232</v>
      </c>
      <c r="L256" s="64" t="s">
        <v>232</v>
      </c>
      <c r="M256" s="72">
        <v>1917</v>
      </c>
      <c r="N256" s="64" t="s">
        <v>385</v>
      </c>
      <c r="O256" s="73">
        <v>6</v>
      </c>
      <c r="P256" s="196">
        <v>0</v>
      </c>
      <c r="Q256" s="73">
        <v>6</v>
      </c>
      <c r="R256" s="74">
        <v>6</v>
      </c>
      <c r="S256" s="75">
        <v>153.76</v>
      </c>
      <c r="T256" s="82">
        <f t="shared" si="6"/>
        <v>153.76</v>
      </c>
      <c r="U256" s="77">
        <f t="shared" si="7"/>
        <v>153.76</v>
      </c>
      <c r="V256" s="77">
        <v>0</v>
      </c>
      <c r="W256" s="80" t="s">
        <v>233</v>
      </c>
      <c r="X256" s="81" t="s">
        <v>233</v>
      </c>
      <c r="Y256" s="64" t="s">
        <v>240</v>
      </c>
      <c r="Z256" s="81" t="s">
        <v>233</v>
      </c>
      <c r="AA256" s="64" t="s">
        <v>233</v>
      </c>
      <c r="AB256" s="81" t="s">
        <v>233</v>
      </c>
      <c r="AC256" s="64" t="s">
        <v>233</v>
      </c>
      <c r="AD256" s="64" t="s">
        <v>233</v>
      </c>
      <c r="AE256" s="64" t="s">
        <v>240</v>
      </c>
      <c r="AF256" s="209">
        <v>0</v>
      </c>
      <c r="AG256" s="4">
        <v>1</v>
      </c>
      <c r="AH256" s="64">
        <v>1</v>
      </c>
      <c r="AI256" s="64">
        <v>0</v>
      </c>
      <c r="AJ256" s="64">
        <v>0</v>
      </c>
      <c r="AK256" s="64">
        <v>0</v>
      </c>
    </row>
    <row r="257" spans="1:37" outlineLevel="1">
      <c r="A257" s="5">
        <v>250</v>
      </c>
      <c r="B257" s="64" t="s">
        <v>190</v>
      </c>
      <c r="C257" s="4" t="s">
        <v>236</v>
      </c>
      <c r="D257" s="4" t="str">
        <f>[1]Лист2!B250</f>
        <v>Б.МОРСКАЯ ул.</v>
      </c>
      <c r="E257" s="69">
        <f>[1]Лист2!C250</f>
        <v>46</v>
      </c>
      <c r="F257" s="197" t="str">
        <f>[1]Лист2!D250</f>
        <v>А</v>
      </c>
      <c r="G257" s="64"/>
      <c r="H257" s="199">
        <v>129250</v>
      </c>
      <c r="I257" s="64" t="s">
        <v>234</v>
      </c>
      <c r="J257" s="4"/>
      <c r="K257" s="64" t="s">
        <v>232</v>
      </c>
      <c r="L257" s="4" t="s">
        <v>232</v>
      </c>
      <c r="M257" s="72">
        <v>1872</v>
      </c>
      <c r="N257" s="64" t="s">
        <v>385</v>
      </c>
      <c r="O257" s="73">
        <v>7</v>
      </c>
      <c r="P257" s="196">
        <v>0</v>
      </c>
      <c r="Q257" s="73">
        <v>4</v>
      </c>
      <c r="R257" s="74">
        <v>94</v>
      </c>
      <c r="S257" s="76">
        <v>5980.35</v>
      </c>
      <c r="T257" s="82">
        <f t="shared" si="6"/>
        <v>4369.05</v>
      </c>
      <c r="U257" s="77">
        <f t="shared" si="7"/>
        <v>4369.05</v>
      </c>
      <c r="V257" s="78">
        <v>1611.3</v>
      </c>
      <c r="W257" s="80" t="s">
        <v>233</v>
      </c>
      <c r="X257" s="81" t="s">
        <v>233</v>
      </c>
      <c r="Y257" s="4" t="s">
        <v>233</v>
      </c>
      <c r="Z257" s="81" t="s">
        <v>233</v>
      </c>
      <c r="AA257" s="64" t="s">
        <v>233</v>
      </c>
      <c r="AB257" s="81" t="s">
        <v>233</v>
      </c>
      <c r="AC257" s="4" t="s">
        <v>240</v>
      </c>
      <c r="AD257" s="64" t="s">
        <v>233</v>
      </c>
      <c r="AE257" s="64" t="s">
        <v>240</v>
      </c>
      <c r="AF257" s="208">
        <v>3</v>
      </c>
      <c r="AG257" s="4">
        <v>2</v>
      </c>
      <c r="AH257" s="64">
        <v>1</v>
      </c>
      <c r="AI257" s="4">
        <v>1</v>
      </c>
      <c r="AJ257" s="4">
        <v>1</v>
      </c>
      <c r="AK257" s="4">
        <v>0</v>
      </c>
    </row>
    <row r="258" spans="1:37" outlineLevel="1">
      <c r="A258" s="5">
        <v>251</v>
      </c>
      <c r="B258" s="64" t="s">
        <v>190</v>
      </c>
      <c r="C258" s="4" t="s">
        <v>236</v>
      </c>
      <c r="D258" s="4" t="str">
        <f>[1]Лист2!B251</f>
        <v>Б.МОРСКАЯ ул.</v>
      </c>
      <c r="E258" s="69">
        <f>[1]Лист2!C251</f>
        <v>47</v>
      </c>
      <c r="F258" s="197" t="str">
        <f>[1]Лист2!D251</f>
        <v>А</v>
      </c>
      <c r="G258" s="4"/>
      <c r="H258" s="199">
        <v>129251</v>
      </c>
      <c r="I258" s="64" t="s">
        <v>234</v>
      </c>
      <c r="J258" s="4"/>
      <c r="K258" s="64" t="s">
        <v>232</v>
      </c>
      <c r="L258" s="4" t="s">
        <v>232</v>
      </c>
      <c r="M258" s="72">
        <v>1900</v>
      </c>
      <c r="N258" s="64" t="s">
        <v>385</v>
      </c>
      <c r="O258" s="73">
        <v>5</v>
      </c>
      <c r="P258" s="196">
        <v>0</v>
      </c>
      <c r="Q258" s="73">
        <v>3</v>
      </c>
      <c r="R258" s="74">
        <v>3</v>
      </c>
      <c r="S258" s="76">
        <v>3021.84</v>
      </c>
      <c r="T258" s="82">
        <f t="shared" si="6"/>
        <v>1324.6200000000001</v>
      </c>
      <c r="U258" s="77">
        <f t="shared" si="7"/>
        <v>1324.6200000000001</v>
      </c>
      <c r="V258" s="78">
        <v>1697.22</v>
      </c>
      <c r="W258" s="80" t="s">
        <v>233</v>
      </c>
      <c r="X258" s="81" t="s">
        <v>233</v>
      </c>
      <c r="Y258" s="4" t="s">
        <v>233</v>
      </c>
      <c r="Z258" s="81" t="s">
        <v>233</v>
      </c>
      <c r="AA258" s="64" t="s">
        <v>233</v>
      </c>
      <c r="AB258" s="81" t="s">
        <v>233</v>
      </c>
      <c r="AC258" s="4" t="s">
        <v>240</v>
      </c>
      <c r="AD258" s="64" t="s">
        <v>233</v>
      </c>
      <c r="AE258" s="64" t="s">
        <v>240</v>
      </c>
      <c r="AF258" s="208">
        <v>0</v>
      </c>
      <c r="AG258" s="4">
        <v>1</v>
      </c>
      <c r="AH258" s="64">
        <v>1</v>
      </c>
      <c r="AI258" s="4">
        <v>1</v>
      </c>
      <c r="AJ258" s="4">
        <v>1</v>
      </c>
      <c r="AK258" s="4">
        <v>0</v>
      </c>
    </row>
    <row r="259" spans="1:37" outlineLevel="1">
      <c r="A259" s="5">
        <v>252</v>
      </c>
      <c r="B259" s="64" t="s">
        <v>190</v>
      </c>
      <c r="C259" s="4" t="s">
        <v>236</v>
      </c>
      <c r="D259" s="4" t="str">
        <f>[1]Лист2!B252</f>
        <v>Б.МОРСКАЯ ул.</v>
      </c>
      <c r="E259" s="69">
        <f>[1]Лист2!C252</f>
        <v>49</v>
      </c>
      <c r="F259" s="197" t="str">
        <f>[1]Лист2!D252</f>
        <v>А</v>
      </c>
      <c r="G259" s="4"/>
      <c r="H259" s="199">
        <v>129252</v>
      </c>
      <c r="I259" s="64" t="s">
        <v>234</v>
      </c>
      <c r="J259" s="4"/>
      <c r="K259" s="64" t="s">
        <v>232</v>
      </c>
      <c r="L259" s="4" t="s">
        <v>232</v>
      </c>
      <c r="M259" s="72">
        <v>1849</v>
      </c>
      <c r="N259" s="64" t="s">
        <v>385</v>
      </c>
      <c r="O259" s="73">
        <v>3</v>
      </c>
      <c r="P259" s="196">
        <v>0</v>
      </c>
      <c r="Q259" s="73">
        <v>6</v>
      </c>
      <c r="R259" s="74">
        <v>50</v>
      </c>
      <c r="S259" s="76">
        <v>3190.1</v>
      </c>
      <c r="T259" s="82">
        <f t="shared" si="6"/>
        <v>1720</v>
      </c>
      <c r="U259" s="77">
        <f t="shared" si="7"/>
        <v>1720</v>
      </c>
      <c r="V259" s="78">
        <v>1470.1</v>
      </c>
      <c r="W259" s="80" t="s">
        <v>233</v>
      </c>
      <c r="X259" s="81" t="s">
        <v>233</v>
      </c>
      <c r="Y259" s="4" t="s">
        <v>233</v>
      </c>
      <c r="Z259" s="81" t="s">
        <v>233</v>
      </c>
      <c r="AA259" s="64" t="s">
        <v>233</v>
      </c>
      <c r="AB259" s="81" t="s">
        <v>233</v>
      </c>
      <c r="AC259" s="4" t="s">
        <v>240</v>
      </c>
      <c r="AD259" s="64" t="s">
        <v>233</v>
      </c>
      <c r="AE259" s="64" t="s">
        <v>240</v>
      </c>
      <c r="AF259" s="208">
        <v>0</v>
      </c>
      <c r="AG259" s="4">
        <v>1</v>
      </c>
      <c r="AH259" s="64">
        <v>2</v>
      </c>
      <c r="AI259" s="4">
        <v>1</v>
      </c>
      <c r="AJ259" s="4">
        <v>1</v>
      </c>
      <c r="AK259" s="4">
        <v>0</v>
      </c>
    </row>
    <row r="260" spans="1:37" outlineLevel="1">
      <c r="A260" s="63">
        <v>253</v>
      </c>
      <c r="B260" s="64" t="s">
        <v>190</v>
      </c>
      <c r="C260" s="4" t="s">
        <v>236</v>
      </c>
      <c r="D260" s="4" t="str">
        <f>[1]Лист2!B253</f>
        <v>Б.МОРСКАЯ ул.</v>
      </c>
      <c r="E260" s="69">
        <f>[1]Лист2!C253</f>
        <v>50</v>
      </c>
      <c r="F260" s="197" t="str">
        <f>[1]Лист2!D253</f>
        <v>А</v>
      </c>
      <c r="G260" s="64"/>
      <c r="H260" s="199">
        <v>129253</v>
      </c>
      <c r="I260" s="64" t="s">
        <v>234</v>
      </c>
      <c r="J260" s="4"/>
      <c r="K260" s="64" t="s">
        <v>232</v>
      </c>
      <c r="L260" s="4" t="s">
        <v>232</v>
      </c>
      <c r="M260" s="72">
        <v>1874</v>
      </c>
      <c r="N260" s="64" t="s">
        <v>385</v>
      </c>
      <c r="O260" s="73">
        <v>3</v>
      </c>
      <c r="P260" s="196">
        <v>0</v>
      </c>
      <c r="Q260" s="73">
        <v>5</v>
      </c>
      <c r="R260" s="74">
        <v>74</v>
      </c>
      <c r="S260" s="76">
        <v>3166.26</v>
      </c>
      <c r="T260" s="82">
        <f t="shared" si="6"/>
        <v>2297.86</v>
      </c>
      <c r="U260" s="77">
        <f t="shared" si="7"/>
        <v>2297.86</v>
      </c>
      <c r="V260" s="78">
        <v>868.4</v>
      </c>
      <c r="W260" s="80" t="s">
        <v>233</v>
      </c>
      <c r="X260" s="81" t="s">
        <v>233</v>
      </c>
      <c r="Y260" s="4" t="s">
        <v>233</v>
      </c>
      <c r="Z260" s="81" t="s">
        <v>233</v>
      </c>
      <c r="AA260" s="64" t="s">
        <v>233</v>
      </c>
      <c r="AB260" s="81" t="s">
        <v>233</v>
      </c>
      <c r="AC260" s="4" t="s">
        <v>240</v>
      </c>
      <c r="AD260" s="64" t="s">
        <v>233</v>
      </c>
      <c r="AE260" s="64" t="s">
        <v>240</v>
      </c>
      <c r="AF260" s="208">
        <v>0</v>
      </c>
      <c r="AG260" s="4">
        <v>1</v>
      </c>
      <c r="AH260" s="64">
        <v>1</v>
      </c>
      <c r="AI260" s="4">
        <v>0</v>
      </c>
      <c r="AJ260" s="4">
        <v>0</v>
      </c>
      <c r="AK260" s="4">
        <v>0</v>
      </c>
    </row>
    <row r="261" spans="1:37" outlineLevel="1">
      <c r="A261" s="63">
        <v>254</v>
      </c>
      <c r="B261" s="64" t="s">
        <v>190</v>
      </c>
      <c r="C261" s="4" t="s">
        <v>236</v>
      </c>
      <c r="D261" s="4" t="str">
        <f>[1]Лист2!B254</f>
        <v>Б.МОРСКАЯ ул.</v>
      </c>
      <c r="E261" s="69">
        <f>[1]Лист2!C254</f>
        <v>52</v>
      </c>
      <c r="F261" s="197" t="str">
        <f>[1]Лист2!D254</f>
        <v>А</v>
      </c>
      <c r="G261" s="64"/>
      <c r="H261" s="199">
        <v>129254</v>
      </c>
      <c r="I261" s="64" t="s">
        <v>234</v>
      </c>
      <c r="J261" s="4"/>
      <c r="K261" s="64" t="s">
        <v>232</v>
      </c>
      <c r="L261" s="4" t="s">
        <v>232</v>
      </c>
      <c r="M261" s="72">
        <v>1887</v>
      </c>
      <c r="N261" s="64" t="s">
        <v>385</v>
      </c>
      <c r="O261" s="73">
        <v>5</v>
      </c>
      <c r="P261" s="196">
        <v>0</v>
      </c>
      <c r="Q261" s="73">
        <v>5</v>
      </c>
      <c r="R261" s="74">
        <v>17</v>
      </c>
      <c r="S261" s="76">
        <v>3757.3</v>
      </c>
      <c r="T261" s="82">
        <f t="shared" si="6"/>
        <v>765.79</v>
      </c>
      <c r="U261" s="77">
        <f t="shared" si="7"/>
        <v>765.79</v>
      </c>
      <c r="V261" s="78">
        <v>2991.51</v>
      </c>
      <c r="W261" s="80" t="s">
        <v>233</v>
      </c>
      <c r="X261" s="81" t="s">
        <v>233</v>
      </c>
      <c r="Y261" s="4" t="s">
        <v>233</v>
      </c>
      <c r="Z261" s="81" t="s">
        <v>233</v>
      </c>
      <c r="AA261" s="64" t="s">
        <v>233</v>
      </c>
      <c r="AB261" s="81" t="s">
        <v>233</v>
      </c>
      <c r="AC261" s="4" t="s">
        <v>240</v>
      </c>
      <c r="AD261" s="64" t="s">
        <v>233</v>
      </c>
      <c r="AE261" s="64" t="s">
        <v>240</v>
      </c>
      <c r="AF261" s="208">
        <v>0</v>
      </c>
      <c r="AG261" s="4">
        <v>1</v>
      </c>
      <c r="AH261" s="64">
        <v>1</v>
      </c>
      <c r="AI261" s="4">
        <v>1</v>
      </c>
      <c r="AJ261" s="4">
        <v>1</v>
      </c>
      <c r="AK261" s="4">
        <v>0</v>
      </c>
    </row>
    <row r="262" spans="1:37" s="65" customFormat="1" outlineLevel="1">
      <c r="A262" s="5">
        <v>255</v>
      </c>
      <c r="B262" s="64" t="s">
        <v>190</v>
      </c>
      <c r="C262" s="4" t="s">
        <v>236</v>
      </c>
      <c r="D262" s="64" t="str">
        <f>[1]Лист2!B255</f>
        <v>Б.МОРСКАЯ ул.</v>
      </c>
      <c r="E262" s="71" t="str">
        <f>[1]Лист2!C255</f>
        <v>53/8</v>
      </c>
      <c r="F262" s="196" t="str">
        <f>[1]Лист2!D255</f>
        <v>А</v>
      </c>
      <c r="G262" s="4"/>
      <c r="H262" s="67">
        <v>129255</v>
      </c>
      <c r="I262" s="64" t="s">
        <v>234</v>
      </c>
      <c r="J262" s="64"/>
      <c r="K262" s="64" t="s">
        <v>232</v>
      </c>
      <c r="L262" s="64" t="s">
        <v>232</v>
      </c>
      <c r="M262" s="72">
        <v>1876</v>
      </c>
      <c r="N262" s="64" t="s">
        <v>385</v>
      </c>
      <c r="O262" s="73">
        <v>5</v>
      </c>
      <c r="P262" s="196">
        <v>0</v>
      </c>
      <c r="Q262" s="73">
        <v>6</v>
      </c>
      <c r="R262" s="74">
        <v>42</v>
      </c>
      <c r="S262" s="75">
        <v>4318.92</v>
      </c>
      <c r="T262" s="82">
        <f t="shared" si="6"/>
        <v>2403.52</v>
      </c>
      <c r="U262" s="77">
        <f t="shared" si="7"/>
        <v>2403.52</v>
      </c>
      <c r="V262" s="77">
        <v>1915.4</v>
      </c>
      <c r="W262" s="80" t="s">
        <v>233</v>
      </c>
      <c r="X262" s="81" t="s">
        <v>233</v>
      </c>
      <c r="Y262" s="64" t="s">
        <v>233</v>
      </c>
      <c r="Z262" s="81" t="s">
        <v>233</v>
      </c>
      <c r="AA262" s="64" t="s">
        <v>233</v>
      </c>
      <c r="AB262" s="81" t="s">
        <v>233</v>
      </c>
      <c r="AC262" s="4" t="s">
        <v>240</v>
      </c>
      <c r="AD262" s="64" t="s">
        <v>233</v>
      </c>
      <c r="AE262" s="64" t="s">
        <v>240</v>
      </c>
      <c r="AF262" s="208">
        <v>0</v>
      </c>
      <c r="AG262" s="4">
        <v>1</v>
      </c>
      <c r="AH262" s="64">
        <v>1</v>
      </c>
      <c r="AI262" s="64">
        <v>1</v>
      </c>
      <c r="AJ262" s="64">
        <v>1</v>
      </c>
      <c r="AK262" s="64">
        <v>0</v>
      </c>
    </row>
    <row r="263" spans="1:37" s="65" customFormat="1" outlineLevel="1">
      <c r="A263" s="5">
        <v>256</v>
      </c>
      <c r="B263" s="64" t="s">
        <v>190</v>
      </c>
      <c r="C263" s="4" t="s">
        <v>236</v>
      </c>
      <c r="D263" s="64" t="str">
        <f>[1]Лист2!B256</f>
        <v>Б.МОРСКАЯ ул.</v>
      </c>
      <c r="E263" s="71">
        <f>[1]Лист2!C256</f>
        <v>55</v>
      </c>
      <c r="F263" s="196" t="str">
        <f>[1]Лист2!D256</f>
        <v>А</v>
      </c>
      <c r="G263" s="4"/>
      <c r="H263" s="67">
        <v>129256</v>
      </c>
      <c r="I263" s="64" t="s">
        <v>234</v>
      </c>
      <c r="J263" s="4" t="s">
        <v>1422</v>
      </c>
      <c r="K263" s="64" t="s">
        <v>232</v>
      </c>
      <c r="L263" s="64" t="s">
        <v>232</v>
      </c>
      <c r="M263" s="72">
        <v>1876</v>
      </c>
      <c r="N263" s="64" t="s">
        <v>385</v>
      </c>
      <c r="O263" s="73">
        <v>2</v>
      </c>
      <c r="P263" s="196">
        <v>0</v>
      </c>
      <c r="Q263" s="73">
        <v>4</v>
      </c>
      <c r="R263" s="74">
        <v>15</v>
      </c>
      <c r="S263" s="75">
        <v>2866.5</v>
      </c>
      <c r="T263" s="82">
        <f t="shared" si="6"/>
        <v>0</v>
      </c>
      <c r="U263" s="77">
        <f t="shared" si="7"/>
        <v>0</v>
      </c>
      <c r="V263" s="77">
        <v>2866.5</v>
      </c>
      <c r="W263" s="80" t="s">
        <v>233</v>
      </c>
      <c r="X263" s="81" t="s">
        <v>233</v>
      </c>
      <c r="Y263" s="64" t="s">
        <v>233</v>
      </c>
      <c r="Z263" s="81" t="s">
        <v>233</v>
      </c>
      <c r="AA263" s="64" t="s">
        <v>233</v>
      </c>
      <c r="AB263" s="81" t="s">
        <v>233</v>
      </c>
      <c r="AC263" s="4" t="s">
        <v>240</v>
      </c>
      <c r="AD263" s="64" t="s">
        <v>233</v>
      </c>
      <c r="AE263" s="64" t="s">
        <v>240</v>
      </c>
      <c r="AF263" s="208">
        <v>0</v>
      </c>
      <c r="AG263" s="4">
        <v>1</v>
      </c>
      <c r="AH263" s="64">
        <v>1</v>
      </c>
      <c r="AI263" s="64">
        <v>1</v>
      </c>
      <c r="AJ263" s="64">
        <v>1</v>
      </c>
      <c r="AK263" s="64">
        <v>0</v>
      </c>
    </row>
    <row r="264" spans="1:37" s="65" customFormat="1" outlineLevel="1">
      <c r="A264" s="5">
        <v>257</v>
      </c>
      <c r="B264" s="64" t="s">
        <v>190</v>
      </c>
      <c r="C264" s="4" t="s">
        <v>236</v>
      </c>
      <c r="D264" s="64" t="str">
        <f>[1]Лист2!B257</f>
        <v>Б.МОРСКАЯ ул.</v>
      </c>
      <c r="E264" s="71">
        <f>[1]Лист2!C257</f>
        <v>56</v>
      </c>
      <c r="F264" s="196" t="str">
        <f>[1]Лист2!D257</f>
        <v>А</v>
      </c>
      <c r="G264" s="64"/>
      <c r="H264" s="67">
        <v>129257</v>
      </c>
      <c r="I264" s="64" t="s">
        <v>234</v>
      </c>
      <c r="J264" s="64"/>
      <c r="K264" s="64" t="s">
        <v>232</v>
      </c>
      <c r="L264" s="64" t="s">
        <v>232</v>
      </c>
      <c r="M264" s="72">
        <v>1798</v>
      </c>
      <c r="N264" s="64" t="s">
        <v>385</v>
      </c>
      <c r="O264" s="73">
        <v>4</v>
      </c>
      <c r="P264" s="196">
        <v>0</v>
      </c>
      <c r="Q264" s="73">
        <v>4</v>
      </c>
      <c r="R264" s="74">
        <v>75</v>
      </c>
      <c r="S264" s="75">
        <v>2455.3000000000002</v>
      </c>
      <c r="T264" s="82">
        <f t="shared" si="6"/>
        <v>1908.9</v>
      </c>
      <c r="U264" s="77">
        <f t="shared" si="7"/>
        <v>1908.9</v>
      </c>
      <c r="V264" s="77">
        <v>546.4</v>
      </c>
      <c r="W264" s="80" t="s">
        <v>233</v>
      </c>
      <c r="X264" s="81" t="s">
        <v>233</v>
      </c>
      <c r="Y264" s="64" t="s">
        <v>233</v>
      </c>
      <c r="Z264" s="81" t="s">
        <v>233</v>
      </c>
      <c r="AA264" s="64" t="s">
        <v>233</v>
      </c>
      <c r="AB264" s="81" t="s">
        <v>233</v>
      </c>
      <c r="AC264" s="4" t="s">
        <v>240</v>
      </c>
      <c r="AD264" s="64" t="s">
        <v>233</v>
      </c>
      <c r="AE264" s="64" t="s">
        <v>240</v>
      </c>
      <c r="AF264" s="208">
        <v>0</v>
      </c>
      <c r="AG264" s="4">
        <v>1</v>
      </c>
      <c r="AH264" s="64">
        <v>1</v>
      </c>
      <c r="AI264" s="64">
        <v>1</v>
      </c>
      <c r="AJ264" s="64">
        <v>1</v>
      </c>
      <c r="AK264" s="64">
        <v>0</v>
      </c>
    </row>
    <row r="265" spans="1:37" s="65" customFormat="1" outlineLevel="1">
      <c r="A265" s="5">
        <v>258</v>
      </c>
      <c r="B265" s="64" t="s">
        <v>190</v>
      </c>
      <c r="C265" s="4" t="s">
        <v>236</v>
      </c>
      <c r="D265" s="64" t="str">
        <f>[1]Лист2!B258</f>
        <v>Б.МОРСКАЯ ул.</v>
      </c>
      <c r="E265" s="71">
        <f>[1]Лист2!C258</f>
        <v>56</v>
      </c>
      <c r="F265" s="196" t="str">
        <f>[1]Лист2!D258</f>
        <v>Б</v>
      </c>
      <c r="G265" s="64"/>
      <c r="H265" s="67">
        <v>129258</v>
      </c>
      <c r="I265" s="64" t="s">
        <v>234</v>
      </c>
      <c r="J265" s="4" t="s">
        <v>1422</v>
      </c>
      <c r="K265" s="64" t="s">
        <v>232</v>
      </c>
      <c r="L265" s="64" t="s">
        <v>232</v>
      </c>
      <c r="M265" s="72">
        <v>1798</v>
      </c>
      <c r="N265" s="64" t="s">
        <v>385</v>
      </c>
      <c r="O265" s="73">
        <v>4</v>
      </c>
      <c r="P265" s="196">
        <v>0</v>
      </c>
      <c r="Q265" s="73">
        <v>3</v>
      </c>
      <c r="R265" s="74">
        <v>25</v>
      </c>
      <c r="S265" s="75">
        <v>1999.4</v>
      </c>
      <c r="T265" s="82">
        <f t="shared" ref="T265:T328" si="8">U265</f>
        <v>0</v>
      </c>
      <c r="U265" s="77">
        <f t="shared" ref="U265:U328" si="9">S265-V265</f>
        <v>0</v>
      </c>
      <c r="V265" s="77">
        <v>1999.4</v>
      </c>
      <c r="W265" s="80" t="s">
        <v>233</v>
      </c>
      <c r="X265" s="81" t="s">
        <v>233</v>
      </c>
      <c r="Y265" s="64" t="s">
        <v>233</v>
      </c>
      <c r="Z265" s="81" t="s">
        <v>233</v>
      </c>
      <c r="AA265" s="64" t="s">
        <v>233</v>
      </c>
      <c r="AB265" s="81" t="s">
        <v>233</v>
      </c>
      <c r="AC265" s="4" t="s">
        <v>240</v>
      </c>
      <c r="AD265" s="64" t="s">
        <v>233</v>
      </c>
      <c r="AE265" s="64" t="s">
        <v>240</v>
      </c>
      <c r="AF265" s="209">
        <v>0</v>
      </c>
      <c r="AG265" s="4">
        <v>1</v>
      </c>
      <c r="AH265" s="64">
        <v>1</v>
      </c>
      <c r="AI265" s="64">
        <v>0</v>
      </c>
      <c r="AJ265" s="64">
        <v>0</v>
      </c>
      <c r="AK265" s="64">
        <v>0</v>
      </c>
    </row>
    <row r="266" spans="1:37" s="65" customFormat="1" outlineLevel="1">
      <c r="A266" s="63">
        <v>259</v>
      </c>
      <c r="B266" s="64" t="s">
        <v>190</v>
      </c>
      <c r="C266" s="4" t="s">
        <v>236</v>
      </c>
      <c r="D266" s="64" t="str">
        <f>[1]Лист2!B259</f>
        <v>Б.МОРСКАЯ ул.</v>
      </c>
      <c r="E266" s="71">
        <f>[1]Лист2!C259</f>
        <v>57</v>
      </c>
      <c r="F266" s="196" t="str">
        <f>[1]Лист2!D259</f>
        <v>А</v>
      </c>
      <c r="G266" s="4"/>
      <c r="H266" s="67">
        <v>129259</v>
      </c>
      <c r="I266" s="64" t="s">
        <v>234</v>
      </c>
      <c r="J266" s="64"/>
      <c r="K266" s="64" t="s">
        <v>232</v>
      </c>
      <c r="L266" s="64" t="s">
        <v>232</v>
      </c>
      <c r="M266" s="72">
        <v>1851</v>
      </c>
      <c r="N266" s="64" t="s">
        <v>385</v>
      </c>
      <c r="O266" s="73">
        <v>2</v>
      </c>
      <c r="P266" s="196">
        <v>0</v>
      </c>
      <c r="Q266" s="73">
        <v>5</v>
      </c>
      <c r="R266" s="74">
        <v>4</v>
      </c>
      <c r="S266" s="75">
        <v>2570.1</v>
      </c>
      <c r="T266" s="82">
        <f t="shared" si="8"/>
        <v>170</v>
      </c>
      <c r="U266" s="77">
        <f t="shared" si="9"/>
        <v>170</v>
      </c>
      <c r="V266" s="77">
        <v>2400.1</v>
      </c>
      <c r="W266" s="80" t="s">
        <v>233</v>
      </c>
      <c r="X266" s="81" t="s">
        <v>233</v>
      </c>
      <c r="Y266" s="64" t="s">
        <v>233</v>
      </c>
      <c r="Z266" s="81" t="s">
        <v>233</v>
      </c>
      <c r="AA266" s="64" t="s">
        <v>233</v>
      </c>
      <c r="AB266" s="81" t="s">
        <v>233</v>
      </c>
      <c r="AC266" s="4" t="s">
        <v>240</v>
      </c>
      <c r="AD266" s="64" t="s">
        <v>233</v>
      </c>
      <c r="AE266" s="64" t="s">
        <v>240</v>
      </c>
      <c r="AF266" s="208">
        <v>0</v>
      </c>
      <c r="AG266" s="4">
        <v>1</v>
      </c>
      <c r="AH266" s="64">
        <v>1</v>
      </c>
      <c r="AI266" s="64">
        <v>0</v>
      </c>
      <c r="AJ266" s="64">
        <v>0</v>
      </c>
      <c r="AK266" s="64">
        <v>0</v>
      </c>
    </row>
    <row r="267" spans="1:37" s="65" customFormat="1" outlineLevel="1">
      <c r="A267" s="63">
        <v>260</v>
      </c>
      <c r="B267" s="64" t="s">
        <v>190</v>
      </c>
      <c r="C267" s="4" t="s">
        <v>236</v>
      </c>
      <c r="D267" s="64" t="str">
        <f>[1]Лист2!B260</f>
        <v>Б.МОРСКАЯ ул.</v>
      </c>
      <c r="E267" s="71">
        <f>[1]Лист2!C260</f>
        <v>63</v>
      </c>
      <c r="F267" s="196" t="str">
        <f>[1]Лист2!D260</f>
        <v>А</v>
      </c>
      <c r="G267" s="4"/>
      <c r="H267" s="67">
        <v>129260</v>
      </c>
      <c r="I267" s="64" t="s">
        <v>234</v>
      </c>
      <c r="J267" s="64"/>
      <c r="K267" s="64" t="s">
        <v>232</v>
      </c>
      <c r="L267" s="64" t="s">
        <v>232</v>
      </c>
      <c r="M267" s="72">
        <v>1917</v>
      </c>
      <c r="N267" s="64" t="s">
        <v>385</v>
      </c>
      <c r="O267" s="73">
        <v>4</v>
      </c>
      <c r="P267" s="196">
        <v>0</v>
      </c>
      <c r="Q267" s="73">
        <v>5</v>
      </c>
      <c r="R267" s="74">
        <v>36</v>
      </c>
      <c r="S267" s="75">
        <v>2335.6999999999998</v>
      </c>
      <c r="T267" s="82">
        <f t="shared" si="8"/>
        <v>1593.6</v>
      </c>
      <c r="U267" s="77">
        <f t="shared" si="9"/>
        <v>1593.6</v>
      </c>
      <c r="V267" s="77">
        <v>742.1</v>
      </c>
      <c r="W267" s="80" t="s">
        <v>233</v>
      </c>
      <c r="X267" s="81" t="s">
        <v>233</v>
      </c>
      <c r="Y267" s="64" t="s">
        <v>233</v>
      </c>
      <c r="Z267" s="81" t="s">
        <v>233</v>
      </c>
      <c r="AA267" s="64" t="s">
        <v>233</v>
      </c>
      <c r="AB267" s="81" t="s">
        <v>233</v>
      </c>
      <c r="AC267" s="4" t="s">
        <v>240</v>
      </c>
      <c r="AD267" s="64" t="s">
        <v>233</v>
      </c>
      <c r="AE267" s="64" t="s">
        <v>240</v>
      </c>
      <c r="AF267" s="208">
        <v>0</v>
      </c>
      <c r="AG267" s="4">
        <v>2</v>
      </c>
      <c r="AH267" s="64">
        <v>1</v>
      </c>
      <c r="AI267" s="64">
        <v>0</v>
      </c>
      <c r="AJ267" s="64">
        <v>0</v>
      </c>
      <c r="AK267" s="64">
        <v>0</v>
      </c>
    </row>
    <row r="268" spans="1:37" s="65" customFormat="1" outlineLevel="1">
      <c r="A268" s="5">
        <v>261</v>
      </c>
      <c r="B268" s="64" t="s">
        <v>190</v>
      </c>
      <c r="C268" s="4" t="s">
        <v>237</v>
      </c>
      <c r="D268" s="64" t="str">
        <f>[1]Лист2!B261</f>
        <v>ВИТЕБСКАЯ ул.</v>
      </c>
      <c r="E268" s="71">
        <f>[1]Лист2!C261</f>
        <v>10</v>
      </c>
      <c r="F268" s="196" t="str">
        <f>[1]Лист2!D261</f>
        <v>А</v>
      </c>
      <c r="G268" s="64"/>
      <c r="H268" s="67">
        <v>129261</v>
      </c>
      <c r="I268" s="64" t="s">
        <v>234</v>
      </c>
      <c r="J268" s="64"/>
      <c r="K268" s="64" t="s">
        <v>232</v>
      </c>
      <c r="L268" s="64" t="s">
        <v>232</v>
      </c>
      <c r="M268" s="72">
        <v>1882</v>
      </c>
      <c r="N268" s="64" t="s">
        <v>385</v>
      </c>
      <c r="O268" s="73">
        <v>4</v>
      </c>
      <c r="P268" s="196">
        <v>0</v>
      </c>
      <c r="Q268" s="73">
        <v>1</v>
      </c>
      <c r="R268" s="74">
        <v>37</v>
      </c>
      <c r="S268" s="75">
        <v>923.15</v>
      </c>
      <c r="T268" s="82">
        <f t="shared" si="8"/>
        <v>846.86</v>
      </c>
      <c r="U268" s="77">
        <f t="shared" si="9"/>
        <v>846.86</v>
      </c>
      <c r="V268" s="77">
        <v>76.290000000000006</v>
      </c>
      <c r="W268" s="80" t="s">
        <v>233</v>
      </c>
      <c r="X268" s="81" t="s">
        <v>233</v>
      </c>
      <c r="Y268" s="64" t="s">
        <v>240</v>
      </c>
      <c r="Z268" s="81" t="s">
        <v>233</v>
      </c>
      <c r="AA268" s="64" t="s">
        <v>233</v>
      </c>
      <c r="AB268" s="81" t="s">
        <v>233</v>
      </c>
      <c r="AC268" s="64" t="s">
        <v>233</v>
      </c>
      <c r="AD268" s="64" t="s">
        <v>233</v>
      </c>
      <c r="AE268" s="64" t="s">
        <v>240</v>
      </c>
      <c r="AF268" s="208">
        <v>0</v>
      </c>
      <c r="AG268" s="4">
        <v>1</v>
      </c>
      <c r="AH268" s="64">
        <v>1</v>
      </c>
      <c r="AI268" s="64">
        <v>0</v>
      </c>
      <c r="AJ268" s="64">
        <v>1</v>
      </c>
      <c r="AK268" s="64">
        <v>0</v>
      </c>
    </row>
    <row r="269" spans="1:37" s="65" customFormat="1" outlineLevel="1">
      <c r="A269" s="5">
        <v>262</v>
      </c>
      <c r="B269" s="64" t="s">
        <v>190</v>
      </c>
      <c r="C269" s="4" t="s">
        <v>237</v>
      </c>
      <c r="D269" s="64" t="str">
        <f>[1]Лист2!B262</f>
        <v>ВИТЕБСКАЯ ул.</v>
      </c>
      <c r="E269" s="71">
        <f>[1]Лист2!C262</f>
        <v>12</v>
      </c>
      <c r="F269" s="196" t="str">
        <f>[1]Лист2!D262</f>
        <v>А</v>
      </c>
      <c r="G269" s="64"/>
      <c r="H269" s="67">
        <v>129262</v>
      </c>
      <c r="I269" s="64" t="s">
        <v>234</v>
      </c>
      <c r="J269" s="64"/>
      <c r="K269" s="64" t="s">
        <v>232</v>
      </c>
      <c r="L269" s="64" t="s">
        <v>232</v>
      </c>
      <c r="M269" s="72">
        <v>1903</v>
      </c>
      <c r="N269" s="64" t="s">
        <v>385</v>
      </c>
      <c r="O269" s="73">
        <v>5</v>
      </c>
      <c r="P269" s="196">
        <v>0</v>
      </c>
      <c r="Q269" s="73">
        <v>1</v>
      </c>
      <c r="R269" s="74">
        <v>55</v>
      </c>
      <c r="S269" s="75">
        <v>1898.6799999999998</v>
      </c>
      <c r="T269" s="82">
        <f t="shared" si="8"/>
        <v>1845.6799999999998</v>
      </c>
      <c r="U269" s="77">
        <f t="shared" si="9"/>
        <v>1845.6799999999998</v>
      </c>
      <c r="V269" s="77">
        <v>53</v>
      </c>
      <c r="W269" s="80" t="s">
        <v>233</v>
      </c>
      <c r="X269" s="81" t="s">
        <v>233</v>
      </c>
      <c r="Y269" s="64" t="s">
        <v>233</v>
      </c>
      <c r="Z269" s="81" t="s">
        <v>233</v>
      </c>
      <c r="AA269" s="64" t="s">
        <v>233</v>
      </c>
      <c r="AB269" s="81" t="s">
        <v>233</v>
      </c>
      <c r="AC269" s="64" t="s">
        <v>240</v>
      </c>
      <c r="AD269" s="64" t="s">
        <v>233</v>
      </c>
      <c r="AE269" s="64" t="s">
        <v>240</v>
      </c>
      <c r="AF269" s="208">
        <v>0</v>
      </c>
      <c r="AG269" s="4">
        <v>1</v>
      </c>
      <c r="AH269" s="64">
        <v>1</v>
      </c>
      <c r="AI269" s="64">
        <v>1</v>
      </c>
      <c r="AJ269" s="64">
        <v>1</v>
      </c>
      <c r="AK269" s="64">
        <v>0</v>
      </c>
    </row>
    <row r="270" spans="1:37" s="65" customFormat="1" outlineLevel="1">
      <c r="A270" s="5">
        <v>263</v>
      </c>
      <c r="B270" s="64" t="s">
        <v>190</v>
      </c>
      <c r="C270" s="4" t="s">
        <v>237</v>
      </c>
      <c r="D270" s="64" t="str">
        <f>[1]Лист2!B263</f>
        <v>ВИТЕБСКАЯ ул.</v>
      </c>
      <c r="E270" s="71">
        <f>[1]Лист2!C263</f>
        <v>12</v>
      </c>
      <c r="F270" s="196" t="str">
        <f>[1]Лист2!D263</f>
        <v>Б</v>
      </c>
      <c r="G270" s="4"/>
      <c r="H270" s="67">
        <v>129263</v>
      </c>
      <c r="I270" s="64" t="s">
        <v>234</v>
      </c>
      <c r="J270" s="64"/>
      <c r="K270" s="64" t="s">
        <v>232</v>
      </c>
      <c r="L270" s="64" t="s">
        <v>232</v>
      </c>
      <c r="M270" s="72">
        <v>1903</v>
      </c>
      <c r="N270" s="64" t="s">
        <v>385</v>
      </c>
      <c r="O270" s="73">
        <v>4</v>
      </c>
      <c r="P270" s="196">
        <v>0</v>
      </c>
      <c r="Q270" s="73">
        <v>1</v>
      </c>
      <c r="R270" s="74">
        <v>41</v>
      </c>
      <c r="S270" s="75">
        <v>842.92</v>
      </c>
      <c r="T270" s="82">
        <f t="shared" si="8"/>
        <v>842.92</v>
      </c>
      <c r="U270" s="77">
        <f t="shared" si="9"/>
        <v>842.92</v>
      </c>
      <c r="V270" s="77">
        <v>0</v>
      </c>
      <c r="W270" s="80" t="s">
        <v>233</v>
      </c>
      <c r="X270" s="81" t="s">
        <v>233</v>
      </c>
      <c r="Y270" s="64" t="s">
        <v>233</v>
      </c>
      <c r="Z270" s="81" t="s">
        <v>233</v>
      </c>
      <c r="AA270" s="64" t="s">
        <v>233</v>
      </c>
      <c r="AB270" s="81" t="s">
        <v>233</v>
      </c>
      <c r="AC270" s="64" t="s">
        <v>240</v>
      </c>
      <c r="AD270" s="64" t="s">
        <v>233</v>
      </c>
      <c r="AE270" s="64" t="s">
        <v>240</v>
      </c>
      <c r="AF270" s="209">
        <v>0</v>
      </c>
      <c r="AG270" s="4">
        <v>1</v>
      </c>
      <c r="AH270" s="64">
        <v>1</v>
      </c>
      <c r="AI270" s="64">
        <v>0</v>
      </c>
      <c r="AJ270" s="64">
        <v>0</v>
      </c>
      <c r="AK270" s="64">
        <v>0</v>
      </c>
    </row>
    <row r="271" spans="1:37" s="65" customFormat="1" outlineLevel="1">
      <c r="A271" s="5">
        <v>264</v>
      </c>
      <c r="B271" s="64" t="s">
        <v>190</v>
      </c>
      <c r="C271" s="4" t="s">
        <v>237</v>
      </c>
      <c r="D271" s="64" t="str">
        <f>[1]Лист2!B264</f>
        <v>ВИТЕБСКАЯ ул.</v>
      </c>
      <c r="E271" s="71">
        <f>[1]Лист2!C264</f>
        <v>15</v>
      </c>
      <c r="F271" s="196" t="str">
        <f>[1]Лист2!D264</f>
        <v>А</v>
      </c>
      <c r="G271" s="4"/>
      <c r="H271" s="67">
        <v>129264</v>
      </c>
      <c r="I271" s="64" t="s">
        <v>234</v>
      </c>
      <c r="J271" s="64"/>
      <c r="K271" s="64" t="s">
        <v>232</v>
      </c>
      <c r="L271" s="64" t="s">
        <v>232</v>
      </c>
      <c r="M271" s="72">
        <v>1911</v>
      </c>
      <c r="N271" s="64" t="s">
        <v>385</v>
      </c>
      <c r="O271" s="73">
        <v>6</v>
      </c>
      <c r="P271" s="196">
        <v>0</v>
      </c>
      <c r="Q271" s="73">
        <v>5</v>
      </c>
      <c r="R271" s="74">
        <v>64</v>
      </c>
      <c r="S271" s="75">
        <v>3917.5</v>
      </c>
      <c r="T271" s="82">
        <f t="shared" si="8"/>
        <v>3585.45</v>
      </c>
      <c r="U271" s="77">
        <f t="shared" si="9"/>
        <v>3585.45</v>
      </c>
      <c r="V271" s="77">
        <v>332.05</v>
      </c>
      <c r="W271" s="80" t="s">
        <v>233</v>
      </c>
      <c r="X271" s="81" t="s">
        <v>233</v>
      </c>
      <c r="Y271" s="64" t="s">
        <v>233</v>
      </c>
      <c r="Z271" s="81" t="s">
        <v>233</v>
      </c>
      <c r="AA271" s="64" t="s">
        <v>233</v>
      </c>
      <c r="AB271" s="81" t="s">
        <v>233</v>
      </c>
      <c r="AC271" s="64" t="s">
        <v>240</v>
      </c>
      <c r="AD271" s="64" t="s">
        <v>233</v>
      </c>
      <c r="AE271" s="64" t="s">
        <v>240</v>
      </c>
      <c r="AF271" s="208">
        <v>0</v>
      </c>
      <c r="AG271" s="4">
        <v>2</v>
      </c>
      <c r="AH271" s="64">
        <v>1</v>
      </c>
      <c r="AI271" s="64">
        <v>1</v>
      </c>
      <c r="AJ271" s="64">
        <v>1</v>
      </c>
      <c r="AK271" s="64">
        <v>0</v>
      </c>
    </row>
    <row r="272" spans="1:37" s="65" customFormat="1" outlineLevel="1">
      <c r="A272" s="63">
        <v>265</v>
      </c>
      <c r="B272" s="64" t="s">
        <v>190</v>
      </c>
      <c r="C272" s="4" t="s">
        <v>237</v>
      </c>
      <c r="D272" s="64" t="str">
        <f>[1]Лист2!B265</f>
        <v>ВИТЕБСКАЯ ул.</v>
      </c>
      <c r="E272" s="71" t="s">
        <v>209</v>
      </c>
      <c r="F272" s="196" t="str">
        <f>[1]Лист2!D265</f>
        <v>А</v>
      </c>
      <c r="G272" s="64"/>
      <c r="H272" s="67">
        <v>129265</v>
      </c>
      <c r="I272" s="64" t="s">
        <v>234</v>
      </c>
      <c r="J272" s="64"/>
      <c r="K272" s="64" t="s">
        <v>232</v>
      </c>
      <c r="L272" s="64" t="s">
        <v>232</v>
      </c>
      <c r="M272" s="72">
        <v>1859</v>
      </c>
      <c r="N272" s="64" t="s">
        <v>385</v>
      </c>
      <c r="O272" s="73">
        <v>4</v>
      </c>
      <c r="P272" s="196">
        <v>0</v>
      </c>
      <c r="Q272" s="73">
        <v>3</v>
      </c>
      <c r="R272" s="74">
        <v>30</v>
      </c>
      <c r="S272" s="75">
        <v>1280</v>
      </c>
      <c r="T272" s="82">
        <f t="shared" si="8"/>
        <v>1280</v>
      </c>
      <c r="U272" s="77">
        <f t="shared" si="9"/>
        <v>1280</v>
      </c>
      <c r="V272" s="77">
        <v>0</v>
      </c>
      <c r="W272" s="80" t="s">
        <v>233</v>
      </c>
      <c r="X272" s="81" t="s">
        <v>233</v>
      </c>
      <c r="Y272" s="64" t="s">
        <v>233</v>
      </c>
      <c r="Z272" s="81" t="s">
        <v>233</v>
      </c>
      <c r="AA272" s="64" t="s">
        <v>233</v>
      </c>
      <c r="AB272" s="81" t="s">
        <v>233</v>
      </c>
      <c r="AC272" s="64" t="s">
        <v>240</v>
      </c>
      <c r="AD272" s="64" t="s">
        <v>233</v>
      </c>
      <c r="AE272" s="64" t="s">
        <v>240</v>
      </c>
      <c r="AF272" s="208">
        <v>0</v>
      </c>
      <c r="AG272" s="4">
        <v>1</v>
      </c>
      <c r="AH272" s="64">
        <v>1</v>
      </c>
      <c r="AI272" s="64">
        <v>0</v>
      </c>
      <c r="AJ272" s="64">
        <v>0</v>
      </c>
      <c r="AK272" s="64">
        <v>0</v>
      </c>
    </row>
    <row r="273" spans="1:37" s="65" customFormat="1" outlineLevel="1">
      <c r="A273" s="63">
        <v>266</v>
      </c>
      <c r="B273" s="64" t="s">
        <v>190</v>
      </c>
      <c r="C273" s="4" t="s">
        <v>237</v>
      </c>
      <c r="D273" s="64" t="str">
        <f>[1]Лист2!B266</f>
        <v>ВИТЕБСКАЯ ул.</v>
      </c>
      <c r="E273" s="71" t="s">
        <v>209</v>
      </c>
      <c r="F273" s="196" t="str">
        <f>[1]Лист2!D266</f>
        <v>Б</v>
      </c>
      <c r="G273" s="64"/>
      <c r="H273" s="67">
        <v>129266</v>
      </c>
      <c r="I273" s="64" t="s">
        <v>234</v>
      </c>
      <c r="J273" s="64"/>
      <c r="K273" s="64" t="s">
        <v>232</v>
      </c>
      <c r="L273" s="64" t="s">
        <v>232</v>
      </c>
      <c r="M273" s="72">
        <v>1859</v>
      </c>
      <c r="N273" s="64" t="s">
        <v>385</v>
      </c>
      <c r="O273" s="73">
        <v>3</v>
      </c>
      <c r="P273" s="196">
        <v>0</v>
      </c>
      <c r="Q273" s="73">
        <v>1</v>
      </c>
      <c r="R273" s="74">
        <v>15</v>
      </c>
      <c r="S273" s="75">
        <v>296</v>
      </c>
      <c r="T273" s="82">
        <f t="shared" si="8"/>
        <v>296</v>
      </c>
      <c r="U273" s="77">
        <f t="shared" si="9"/>
        <v>296</v>
      </c>
      <c r="V273" s="77">
        <v>0</v>
      </c>
      <c r="W273" s="80" t="s">
        <v>233</v>
      </c>
      <c r="X273" s="81" t="s">
        <v>233</v>
      </c>
      <c r="Y273" s="64" t="s">
        <v>233</v>
      </c>
      <c r="Z273" s="81" t="s">
        <v>233</v>
      </c>
      <c r="AA273" s="64" t="s">
        <v>233</v>
      </c>
      <c r="AB273" s="81" t="s">
        <v>233</v>
      </c>
      <c r="AC273" s="64" t="s">
        <v>240</v>
      </c>
      <c r="AD273" s="64" t="s">
        <v>233</v>
      </c>
      <c r="AE273" s="64" t="s">
        <v>240</v>
      </c>
      <c r="AF273" s="209">
        <v>0</v>
      </c>
      <c r="AG273" s="4">
        <v>1</v>
      </c>
      <c r="AH273" s="64">
        <v>1</v>
      </c>
      <c r="AI273" s="64">
        <v>0</v>
      </c>
      <c r="AJ273" s="64">
        <v>0</v>
      </c>
      <c r="AK273" s="64">
        <v>0</v>
      </c>
    </row>
    <row r="274" spans="1:37" s="65" customFormat="1" outlineLevel="1">
      <c r="A274" s="5">
        <v>267</v>
      </c>
      <c r="B274" s="64" t="s">
        <v>190</v>
      </c>
      <c r="C274" s="4" t="s">
        <v>237</v>
      </c>
      <c r="D274" s="64" t="str">
        <f>[1]Лист2!B267</f>
        <v>ВИТЕБСКАЯ ул.</v>
      </c>
      <c r="E274" s="71">
        <f>[1]Лист2!C267</f>
        <v>27</v>
      </c>
      <c r="F274" s="196" t="str">
        <f>[1]Лист2!D267</f>
        <v>А</v>
      </c>
      <c r="G274" s="4"/>
      <c r="H274" s="67">
        <v>129267</v>
      </c>
      <c r="I274" s="64" t="s">
        <v>234</v>
      </c>
      <c r="J274" s="64"/>
      <c r="K274" s="64" t="s">
        <v>232</v>
      </c>
      <c r="L274" s="64" t="s">
        <v>232</v>
      </c>
      <c r="M274" s="72">
        <v>1912</v>
      </c>
      <c r="N274" s="64" t="s">
        <v>385</v>
      </c>
      <c r="O274" s="73">
        <v>6</v>
      </c>
      <c r="P274" s="196">
        <v>0</v>
      </c>
      <c r="Q274" s="73">
        <v>2</v>
      </c>
      <c r="R274" s="74">
        <v>22</v>
      </c>
      <c r="S274" s="75">
        <v>1249.4000000000001</v>
      </c>
      <c r="T274" s="82">
        <f t="shared" si="8"/>
        <v>1214.5</v>
      </c>
      <c r="U274" s="77">
        <f t="shared" si="9"/>
        <v>1214.5</v>
      </c>
      <c r="V274" s="77">
        <v>34.9</v>
      </c>
      <c r="W274" s="80" t="s">
        <v>233</v>
      </c>
      <c r="X274" s="81" t="s">
        <v>233</v>
      </c>
      <c r="Y274" s="64" t="s">
        <v>233</v>
      </c>
      <c r="Z274" s="81" t="s">
        <v>233</v>
      </c>
      <c r="AA274" s="64" t="s">
        <v>233</v>
      </c>
      <c r="AB274" s="81" t="s">
        <v>233</v>
      </c>
      <c r="AC274" s="64" t="s">
        <v>240</v>
      </c>
      <c r="AD274" s="64" t="s">
        <v>233</v>
      </c>
      <c r="AE274" s="64" t="s">
        <v>240</v>
      </c>
      <c r="AF274" s="209">
        <v>1</v>
      </c>
      <c r="AG274" s="4">
        <v>1</v>
      </c>
      <c r="AH274" s="64">
        <v>1</v>
      </c>
      <c r="AI274" s="64">
        <v>1</v>
      </c>
      <c r="AJ274" s="64">
        <v>1</v>
      </c>
      <c r="AK274" s="64">
        <v>0</v>
      </c>
    </row>
    <row r="275" spans="1:37" s="65" customFormat="1" outlineLevel="1">
      <c r="A275" s="5">
        <v>268</v>
      </c>
      <c r="B275" s="64" t="s">
        <v>190</v>
      </c>
      <c r="C275" s="4" t="s">
        <v>237</v>
      </c>
      <c r="D275" s="64" t="str">
        <f>[1]Лист2!B268</f>
        <v>ВИТЕБСКАЯ ул.</v>
      </c>
      <c r="E275" s="71">
        <f>[1]Лист2!C268</f>
        <v>3</v>
      </c>
      <c r="F275" s="196" t="str">
        <f>[1]Лист2!D268</f>
        <v>А</v>
      </c>
      <c r="G275" s="4"/>
      <c r="H275" s="67">
        <v>129268</v>
      </c>
      <c r="I275" s="64" t="s">
        <v>234</v>
      </c>
      <c r="J275" s="64"/>
      <c r="K275" s="64" t="s">
        <v>232</v>
      </c>
      <c r="L275" s="64" t="s">
        <v>232</v>
      </c>
      <c r="M275" s="72">
        <v>1884</v>
      </c>
      <c r="N275" s="64" t="s">
        <v>385</v>
      </c>
      <c r="O275" s="73">
        <v>5</v>
      </c>
      <c r="P275" s="196">
        <v>0</v>
      </c>
      <c r="Q275" s="73">
        <v>3</v>
      </c>
      <c r="R275" s="74">
        <v>49</v>
      </c>
      <c r="S275" s="75">
        <v>1905.5500000000002</v>
      </c>
      <c r="T275" s="82">
        <f t="shared" si="8"/>
        <v>1592.15</v>
      </c>
      <c r="U275" s="77">
        <f t="shared" si="9"/>
        <v>1592.15</v>
      </c>
      <c r="V275" s="77">
        <v>313.39999999999998</v>
      </c>
      <c r="W275" s="80" t="s">
        <v>233</v>
      </c>
      <c r="X275" s="81" t="s">
        <v>233</v>
      </c>
      <c r="Y275" s="64" t="s">
        <v>240</v>
      </c>
      <c r="Z275" s="81" t="s">
        <v>233</v>
      </c>
      <c r="AA275" s="64" t="s">
        <v>233</v>
      </c>
      <c r="AB275" s="81" t="s">
        <v>233</v>
      </c>
      <c r="AC275" s="64" t="s">
        <v>233</v>
      </c>
      <c r="AD275" s="64" t="s">
        <v>233</v>
      </c>
      <c r="AE275" s="64" t="s">
        <v>240</v>
      </c>
      <c r="AF275" s="208">
        <v>0</v>
      </c>
      <c r="AG275" s="4">
        <v>1</v>
      </c>
      <c r="AH275" s="64">
        <v>1</v>
      </c>
      <c r="AI275" s="64">
        <v>0</v>
      </c>
      <c r="AJ275" s="64">
        <v>0</v>
      </c>
      <c r="AK275" s="64">
        <v>0</v>
      </c>
    </row>
    <row r="276" spans="1:37" s="65" customFormat="1" outlineLevel="1">
      <c r="A276" s="5">
        <v>269</v>
      </c>
      <c r="B276" s="64" t="s">
        <v>190</v>
      </c>
      <c r="C276" s="4" t="s">
        <v>237</v>
      </c>
      <c r="D276" s="64" t="str">
        <f>[1]Лист2!B269</f>
        <v>ВИТЕБСКАЯ ул.</v>
      </c>
      <c r="E276" s="71">
        <f>[1]Лист2!C269</f>
        <v>4</v>
      </c>
      <c r="F276" s="196" t="str">
        <f>[1]Лист2!D269</f>
        <v>А</v>
      </c>
      <c r="G276" s="64"/>
      <c r="H276" s="67">
        <v>129269</v>
      </c>
      <c r="I276" s="64" t="s">
        <v>234</v>
      </c>
      <c r="J276" s="64"/>
      <c r="K276" s="64" t="s">
        <v>232</v>
      </c>
      <c r="L276" s="64" t="s">
        <v>232</v>
      </c>
      <c r="M276" s="72">
        <v>1875</v>
      </c>
      <c r="N276" s="64" t="s">
        <v>385</v>
      </c>
      <c r="O276" s="73">
        <v>3</v>
      </c>
      <c r="P276" s="196">
        <v>0</v>
      </c>
      <c r="Q276" s="73">
        <v>3</v>
      </c>
      <c r="R276" s="74">
        <v>161</v>
      </c>
      <c r="S276" s="75">
        <v>870.3</v>
      </c>
      <c r="T276" s="82">
        <f t="shared" si="8"/>
        <v>737</v>
      </c>
      <c r="U276" s="77">
        <f t="shared" si="9"/>
        <v>737</v>
      </c>
      <c r="V276" s="77">
        <v>133.30000000000001</v>
      </c>
      <c r="W276" s="80" t="s">
        <v>233</v>
      </c>
      <c r="X276" s="81" t="s">
        <v>233</v>
      </c>
      <c r="Y276" s="64" t="s">
        <v>233</v>
      </c>
      <c r="Z276" s="81" t="s">
        <v>233</v>
      </c>
      <c r="AA276" s="64" t="s">
        <v>233</v>
      </c>
      <c r="AB276" s="81" t="s">
        <v>233</v>
      </c>
      <c r="AC276" s="64" t="s">
        <v>240</v>
      </c>
      <c r="AD276" s="64" t="s">
        <v>233</v>
      </c>
      <c r="AE276" s="64" t="s">
        <v>240</v>
      </c>
      <c r="AF276" s="208">
        <v>0</v>
      </c>
      <c r="AG276" s="4">
        <v>1</v>
      </c>
      <c r="AH276" s="64">
        <v>1</v>
      </c>
      <c r="AI276" s="64">
        <v>0</v>
      </c>
      <c r="AJ276" s="64">
        <v>0</v>
      </c>
      <c r="AK276" s="64">
        <v>0</v>
      </c>
    </row>
    <row r="277" spans="1:37" s="65" customFormat="1" outlineLevel="1">
      <c r="A277" s="5">
        <v>270</v>
      </c>
      <c r="B277" s="64" t="s">
        <v>190</v>
      </c>
      <c r="C277" s="4" t="s">
        <v>237</v>
      </c>
      <c r="D277" s="64" t="str">
        <f>[1]Лист2!B270</f>
        <v>ВИТЕБСКАЯ ул.</v>
      </c>
      <c r="E277" s="71">
        <f>[1]Лист2!C270</f>
        <v>4</v>
      </c>
      <c r="F277" s="196" t="str">
        <f>[1]Лист2!D270</f>
        <v>Б</v>
      </c>
      <c r="G277" s="64"/>
      <c r="H277" s="67">
        <v>129270</v>
      </c>
      <c r="I277" s="64" t="s">
        <v>234</v>
      </c>
      <c r="J277" s="64"/>
      <c r="K277" s="64" t="s">
        <v>232</v>
      </c>
      <c r="L277" s="64" t="s">
        <v>232</v>
      </c>
      <c r="M277" s="72">
        <v>1866</v>
      </c>
      <c r="N277" s="64" t="s">
        <v>385</v>
      </c>
      <c r="O277" s="73">
        <v>3</v>
      </c>
      <c r="P277" s="196">
        <v>0</v>
      </c>
      <c r="Q277" s="73">
        <v>1</v>
      </c>
      <c r="R277" s="74">
        <v>13</v>
      </c>
      <c r="S277" s="75">
        <v>270.89999999999998</v>
      </c>
      <c r="T277" s="82">
        <f t="shared" si="8"/>
        <v>270.89999999999998</v>
      </c>
      <c r="U277" s="77">
        <f t="shared" si="9"/>
        <v>270.89999999999998</v>
      </c>
      <c r="V277" s="77">
        <v>0</v>
      </c>
      <c r="W277" s="80" t="s">
        <v>233</v>
      </c>
      <c r="X277" s="81" t="s">
        <v>233</v>
      </c>
      <c r="Y277" s="64" t="s">
        <v>233</v>
      </c>
      <c r="Z277" s="81" t="s">
        <v>233</v>
      </c>
      <c r="AA277" s="64" t="s">
        <v>233</v>
      </c>
      <c r="AB277" s="81" t="s">
        <v>233</v>
      </c>
      <c r="AC277" s="64" t="s">
        <v>240</v>
      </c>
      <c r="AD277" s="64" t="s">
        <v>233</v>
      </c>
      <c r="AE277" s="64" t="s">
        <v>240</v>
      </c>
      <c r="AF277" s="209">
        <v>0</v>
      </c>
      <c r="AG277" s="4">
        <v>1</v>
      </c>
      <c r="AH277" s="64">
        <v>1</v>
      </c>
      <c r="AI277" s="64">
        <v>0</v>
      </c>
      <c r="AJ277" s="64">
        <v>0</v>
      </c>
      <c r="AK277" s="64">
        <v>0</v>
      </c>
    </row>
    <row r="278" spans="1:37" s="65" customFormat="1" outlineLevel="1">
      <c r="A278" s="63">
        <v>271</v>
      </c>
      <c r="B278" s="64" t="s">
        <v>190</v>
      </c>
      <c r="C278" s="4" t="s">
        <v>237</v>
      </c>
      <c r="D278" s="64" t="str">
        <f>[1]Лист2!B271</f>
        <v>ВИТЕБСКАЯ ул.</v>
      </c>
      <c r="E278" s="71" t="s">
        <v>210</v>
      </c>
      <c r="F278" s="196" t="str">
        <f>[1]Лист2!D271</f>
        <v>А</v>
      </c>
      <c r="G278" s="4"/>
      <c r="H278" s="67">
        <v>129271</v>
      </c>
      <c r="I278" s="64" t="s">
        <v>234</v>
      </c>
      <c r="J278" s="64"/>
      <c r="K278" s="64" t="s">
        <v>232</v>
      </c>
      <c r="L278" s="64" t="s">
        <v>232</v>
      </c>
      <c r="M278" s="72">
        <v>1798</v>
      </c>
      <c r="N278" s="64" t="s">
        <v>385</v>
      </c>
      <c r="O278" s="73">
        <v>5</v>
      </c>
      <c r="P278" s="196">
        <v>0</v>
      </c>
      <c r="Q278" s="73">
        <v>3</v>
      </c>
      <c r="R278" s="74">
        <v>41</v>
      </c>
      <c r="S278" s="75">
        <v>1895.86</v>
      </c>
      <c r="T278" s="82">
        <f t="shared" si="8"/>
        <v>1825.86</v>
      </c>
      <c r="U278" s="77">
        <f t="shared" si="9"/>
        <v>1825.86</v>
      </c>
      <c r="V278" s="77">
        <v>70</v>
      </c>
      <c r="W278" s="80" t="s">
        <v>233</v>
      </c>
      <c r="X278" s="81" t="s">
        <v>233</v>
      </c>
      <c r="Y278" s="64" t="s">
        <v>240</v>
      </c>
      <c r="Z278" s="81" t="s">
        <v>233</v>
      </c>
      <c r="AA278" s="64" t="s">
        <v>233</v>
      </c>
      <c r="AB278" s="81" t="s">
        <v>233</v>
      </c>
      <c r="AC278" s="64" t="s">
        <v>233</v>
      </c>
      <c r="AD278" s="64" t="s">
        <v>233</v>
      </c>
      <c r="AE278" s="64" t="s">
        <v>240</v>
      </c>
      <c r="AF278" s="208">
        <v>0</v>
      </c>
      <c r="AG278" s="4">
        <v>1</v>
      </c>
      <c r="AH278" s="64">
        <v>1</v>
      </c>
      <c r="AI278" s="64">
        <v>0</v>
      </c>
      <c r="AJ278" s="64">
        <v>0</v>
      </c>
      <c r="AK278" s="64">
        <v>0</v>
      </c>
    </row>
    <row r="279" spans="1:37" outlineLevel="1">
      <c r="A279" s="63">
        <v>272</v>
      </c>
      <c r="B279" s="64" t="s">
        <v>190</v>
      </c>
      <c r="C279" s="4" t="s">
        <v>237</v>
      </c>
      <c r="D279" s="4" t="str">
        <f>[1]Лист2!B272</f>
        <v>ВИТЕБСКАЯ ул.</v>
      </c>
      <c r="E279" s="69">
        <f>[1]Лист2!C272</f>
        <v>9</v>
      </c>
      <c r="F279" s="197" t="str">
        <f>[1]Лист2!D272</f>
        <v>А</v>
      </c>
      <c r="G279" s="4"/>
      <c r="H279" s="199">
        <v>129272</v>
      </c>
      <c r="I279" s="64" t="s">
        <v>234</v>
      </c>
      <c r="J279" s="4"/>
      <c r="K279" s="64" t="s">
        <v>232</v>
      </c>
      <c r="L279" s="4" t="s">
        <v>232</v>
      </c>
      <c r="M279" s="72">
        <v>1872</v>
      </c>
      <c r="N279" s="64" t="s">
        <v>385</v>
      </c>
      <c r="O279" s="73">
        <v>4</v>
      </c>
      <c r="P279" s="196">
        <v>0</v>
      </c>
      <c r="Q279" s="73">
        <v>3</v>
      </c>
      <c r="R279" s="74">
        <v>42</v>
      </c>
      <c r="S279" s="76">
        <v>1381.3000000000002</v>
      </c>
      <c r="T279" s="82">
        <f t="shared" si="8"/>
        <v>1381.3000000000002</v>
      </c>
      <c r="U279" s="77">
        <f t="shared" si="9"/>
        <v>1381.3000000000002</v>
      </c>
      <c r="V279" s="78">
        <v>0</v>
      </c>
      <c r="W279" s="80" t="s">
        <v>233</v>
      </c>
      <c r="X279" s="81" t="s">
        <v>233</v>
      </c>
      <c r="Y279" s="4" t="s">
        <v>233</v>
      </c>
      <c r="Z279" s="81" t="s">
        <v>233</v>
      </c>
      <c r="AA279" s="64" t="s">
        <v>233</v>
      </c>
      <c r="AB279" s="81" t="s">
        <v>233</v>
      </c>
      <c r="AC279" s="4" t="s">
        <v>240</v>
      </c>
      <c r="AD279" s="64" t="s">
        <v>233</v>
      </c>
      <c r="AE279" s="64" t="s">
        <v>240</v>
      </c>
      <c r="AF279" s="208">
        <v>0</v>
      </c>
      <c r="AG279" s="4">
        <v>1</v>
      </c>
      <c r="AH279" s="64">
        <v>1</v>
      </c>
      <c r="AI279" s="4">
        <v>0</v>
      </c>
      <c r="AJ279" s="4">
        <v>0</v>
      </c>
      <c r="AK279" s="4">
        <v>0</v>
      </c>
    </row>
    <row r="280" spans="1:37" outlineLevel="1">
      <c r="A280" s="5">
        <v>273</v>
      </c>
      <c r="B280" s="64" t="s">
        <v>190</v>
      </c>
      <c r="C280" s="4" t="s">
        <v>237</v>
      </c>
      <c r="D280" s="4" t="str">
        <f>[1]Лист2!B273</f>
        <v>ВИТЕБСКАЯ ул.</v>
      </c>
      <c r="E280" s="69">
        <f>[1]Лист2!C273</f>
        <v>9</v>
      </c>
      <c r="F280" s="197" t="str">
        <f>[1]Лист2!D273</f>
        <v>Б</v>
      </c>
      <c r="G280" s="64"/>
      <c r="H280" s="199">
        <v>129273</v>
      </c>
      <c r="I280" s="64" t="s">
        <v>234</v>
      </c>
      <c r="J280" s="4"/>
      <c r="K280" s="64" t="s">
        <v>232</v>
      </c>
      <c r="L280" s="4" t="s">
        <v>232</v>
      </c>
      <c r="M280" s="72">
        <v>1889</v>
      </c>
      <c r="N280" s="64" t="s">
        <v>385</v>
      </c>
      <c r="O280" s="73">
        <v>4</v>
      </c>
      <c r="P280" s="196">
        <v>0</v>
      </c>
      <c r="Q280" s="73">
        <v>1</v>
      </c>
      <c r="R280" s="74">
        <v>14</v>
      </c>
      <c r="S280" s="76">
        <v>397.8</v>
      </c>
      <c r="T280" s="82">
        <f t="shared" si="8"/>
        <v>348</v>
      </c>
      <c r="U280" s="77">
        <f t="shared" si="9"/>
        <v>348</v>
      </c>
      <c r="V280" s="78">
        <v>49.8</v>
      </c>
      <c r="W280" s="80" t="s">
        <v>233</v>
      </c>
      <c r="X280" s="81" t="s">
        <v>233</v>
      </c>
      <c r="Y280" s="4" t="s">
        <v>233</v>
      </c>
      <c r="Z280" s="81" t="s">
        <v>233</v>
      </c>
      <c r="AA280" s="64" t="s">
        <v>233</v>
      </c>
      <c r="AB280" s="81" t="s">
        <v>233</v>
      </c>
      <c r="AC280" s="4" t="s">
        <v>240</v>
      </c>
      <c r="AD280" s="64" t="s">
        <v>233</v>
      </c>
      <c r="AE280" s="64" t="s">
        <v>240</v>
      </c>
      <c r="AF280" s="209">
        <v>0</v>
      </c>
      <c r="AG280" s="4">
        <v>1</v>
      </c>
      <c r="AH280" s="64">
        <v>1</v>
      </c>
      <c r="AI280" s="4">
        <v>0</v>
      </c>
      <c r="AJ280" s="4">
        <v>0</v>
      </c>
      <c r="AK280" s="4">
        <v>0</v>
      </c>
    </row>
    <row r="281" spans="1:37" outlineLevel="1">
      <c r="A281" s="5">
        <v>274</v>
      </c>
      <c r="B281" s="64" t="s">
        <v>190</v>
      </c>
      <c r="C281" s="4" t="s">
        <v>237</v>
      </c>
      <c r="D281" s="4" t="str">
        <f>[1]Лист2!B274</f>
        <v>ВОЛОДИ ЕРМАКА ул.</v>
      </c>
      <c r="E281" s="69">
        <f>[1]Лист2!C274</f>
        <v>17</v>
      </c>
      <c r="F281" s="197" t="str">
        <f>[1]Лист2!D274</f>
        <v>А</v>
      </c>
      <c r="G281" s="64"/>
      <c r="H281" s="199">
        <v>129274</v>
      </c>
      <c r="I281" s="64" t="s">
        <v>234</v>
      </c>
      <c r="J281" s="4"/>
      <c r="K281" s="64" t="s">
        <v>232</v>
      </c>
      <c r="L281" s="4" t="s">
        <v>232</v>
      </c>
      <c r="M281" s="72">
        <v>1913</v>
      </c>
      <c r="N281" s="64" t="s">
        <v>385</v>
      </c>
      <c r="O281" s="73">
        <v>5</v>
      </c>
      <c r="P281" s="196">
        <v>0</v>
      </c>
      <c r="Q281" s="73">
        <v>3</v>
      </c>
      <c r="R281" s="74">
        <v>74</v>
      </c>
      <c r="S281" s="76">
        <v>2306.8999999999996</v>
      </c>
      <c r="T281" s="82">
        <f t="shared" si="8"/>
        <v>2221.6499999999996</v>
      </c>
      <c r="U281" s="77">
        <f t="shared" si="9"/>
        <v>2221.6499999999996</v>
      </c>
      <c r="V281" s="78">
        <v>85.25</v>
      </c>
      <c r="W281" s="80" t="s">
        <v>233</v>
      </c>
      <c r="X281" s="81" t="s">
        <v>233</v>
      </c>
      <c r="Y281" s="4" t="s">
        <v>233</v>
      </c>
      <c r="Z281" s="81" t="s">
        <v>233</v>
      </c>
      <c r="AA281" s="64" t="s">
        <v>233</v>
      </c>
      <c r="AB281" s="81" t="s">
        <v>233</v>
      </c>
      <c r="AC281" s="4" t="s">
        <v>240</v>
      </c>
      <c r="AD281" s="64" t="s">
        <v>233</v>
      </c>
      <c r="AE281" s="64" t="s">
        <v>240</v>
      </c>
      <c r="AF281" s="208">
        <v>0</v>
      </c>
      <c r="AG281" s="4">
        <v>1</v>
      </c>
      <c r="AH281" s="64">
        <v>1</v>
      </c>
      <c r="AI281" s="4">
        <v>1</v>
      </c>
      <c r="AJ281" s="4">
        <v>1</v>
      </c>
      <c r="AK281" s="4">
        <v>0</v>
      </c>
    </row>
    <row r="282" spans="1:37" outlineLevel="1">
      <c r="A282" s="5">
        <v>275</v>
      </c>
      <c r="B282" s="64" t="s">
        <v>190</v>
      </c>
      <c r="C282" s="4" t="s">
        <v>237</v>
      </c>
      <c r="D282" s="4" t="str">
        <f>[1]Лист2!B275</f>
        <v>ВОЛОДИ ЕРМАКА ул.</v>
      </c>
      <c r="E282" s="69">
        <f>[1]Лист2!C275</f>
        <v>19</v>
      </c>
      <c r="F282" s="197" t="str">
        <f>[1]Лист2!D275</f>
        <v>А</v>
      </c>
      <c r="G282" s="4"/>
      <c r="H282" s="199">
        <v>129275</v>
      </c>
      <c r="I282" s="64" t="s">
        <v>234</v>
      </c>
      <c r="J282" s="4"/>
      <c r="K282" s="64" t="s">
        <v>232</v>
      </c>
      <c r="L282" s="4" t="s">
        <v>232</v>
      </c>
      <c r="M282" s="72">
        <v>1872</v>
      </c>
      <c r="N282" s="64" t="s">
        <v>385</v>
      </c>
      <c r="O282" s="73">
        <v>4</v>
      </c>
      <c r="P282" s="196">
        <v>0</v>
      </c>
      <c r="Q282" s="73">
        <v>1</v>
      </c>
      <c r="R282" s="74">
        <v>13</v>
      </c>
      <c r="S282" s="76">
        <v>328.91999999999996</v>
      </c>
      <c r="T282" s="82">
        <f t="shared" si="8"/>
        <v>328.91999999999996</v>
      </c>
      <c r="U282" s="77">
        <f t="shared" si="9"/>
        <v>328.91999999999996</v>
      </c>
      <c r="V282" s="78">
        <v>0</v>
      </c>
      <c r="W282" s="80" t="s">
        <v>233</v>
      </c>
      <c r="X282" s="81" t="s">
        <v>233</v>
      </c>
      <c r="Y282" s="4" t="s">
        <v>233</v>
      </c>
      <c r="Z282" s="81" t="s">
        <v>233</v>
      </c>
      <c r="AA282" s="64" t="s">
        <v>233</v>
      </c>
      <c r="AB282" s="81" t="s">
        <v>233</v>
      </c>
      <c r="AC282" s="4" t="s">
        <v>240</v>
      </c>
      <c r="AD282" s="64" t="s">
        <v>233</v>
      </c>
      <c r="AE282" s="64" t="s">
        <v>240</v>
      </c>
      <c r="AF282" s="208">
        <v>0</v>
      </c>
      <c r="AG282" s="4">
        <v>1</v>
      </c>
      <c r="AH282" s="64">
        <v>1</v>
      </c>
      <c r="AI282" s="4">
        <v>0</v>
      </c>
      <c r="AJ282" s="4">
        <v>0</v>
      </c>
      <c r="AK282" s="4">
        <v>0</v>
      </c>
    </row>
    <row r="283" spans="1:37" outlineLevel="1">
      <c r="A283" s="5">
        <v>276</v>
      </c>
      <c r="B283" s="64" t="s">
        <v>190</v>
      </c>
      <c r="C283" s="4" t="s">
        <v>237</v>
      </c>
      <c r="D283" s="4" t="str">
        <f>[1]Лист2!B276</f>
        <v>ВОЛОДИ ЕРМАКА ул.</v>
      </c>
      <c r="E283" s="69">
        <f>[1]Лист2!C276</f>
        <v>2</v>
      </c>
      <c r="F283" s="197" t="str">
        <f>[1]Лист2!D276</f>
        <v>А</v>
      </c>
      <c r="G283" s="4"/>
      <c r="H283" s="199">
        <v>129276</v>
      </c>
      <c r="I283" s="64" t="s">
        <v>234</v>
      </c>
      <c r="J283" s="4"/>
      <c r="K283" s="64" t="s">
        <v>232</v>
      </c>
      <c r="L283" s="4" t="s">
        <v>232</v>
      </c>
      <c r="M283" s="72">
        <v>1900</v>
      </c>
      <c r="N283" s="64" t="s">
        <v>385</v>
      </c>
      <c r="O283" s="73">
        <v>5</v>
      </c>
      <c r="P283" s="196">
        <v>0</v>
      </c>
      <c r="Q283" s="73">
        <v>3</v>
      </c>
      <c r="R283" s="74">
        <v>97</v>
      </c>
      <c r="S283" s="76">
        <v>3041</v>
      </c>
      <c r="T283" s="82">
        <f t="shared" si="8"/>
        <v>3041</v>
      </c>
      <c r="U283" s="77">
        <f t="shared" si="9"/>
        <v>3041</v>
      </c>
      <c r="V283" s="78">
        <v>0</v>
      </c>
      <c r="W283" s="80" t="s">
        <v>233</v>
      </c>
      <c r="X283" s="81" t="s">
        <v>233</v>
      </c>
      <c r="Y283" s="4" t="s">
        <v>233</v>
      </c>
      <c r="Z283" s="81" t="s">
        <v>233</v>
      </c>
      <c r="AA283" s="64" t="s">
        <v>233</v>
      </c>
      <c r="AB283" s="81" t="s">
        <v>233</v>
      </c>
      <c r="AC283" s="4" t="s">
        <v>240</v>
      </c>
      <c r="AD283" s="64" t="s">
        <v>233</v>
      </c>
      <c r="AE283" s="64" t="s">
        <v>240</v>
      </c>
      <c r="AF283" s="208">
        <v>0</v>
      </c>
      <c r="AG283" s="4">
        <v>1</v>
      </c>
      <c r="AH283" s="64">
        <v>1</v>
      </c>
      <c r="AI283" s="4">
        <v>1</v>
      </c>
      <c r="AJ283" s="4">
        <v>1</v>
      </c>
      <c r="AK283" s="4">
        <v>0</v>
      </c>
    </row>
    <row r="284" spans="1:37" outlineLevel="1">
      <c r="A284" s="63">
        <v>277</v>
      </c>
      <c r="B284" s="64" t="s">
        <v>190</v>
      </c>
      <c r="C284" s="4" t="s">
        <v>236</v>
      </c>
      <c r="D284" s="4" t="str">
        <f>[1]Лист2!B277</f>
        <v>ГАЛЕРНАЯ ул.</v>
      </c>
      <c r="E284" s="69">
        <f>[1]Лист2!C277</f>
        <v>11</v>
      </c>
      <c r="F284" s="197" t="str">
        <f>[1]Лист2!D277</f>
        <v>А</v>
      </c>
      <c r="G284" s="64"/>
      <c r="H284" s="199">
        <v>129277</v>
      </c>
      <c r="I284" s="64" t="s">
        <v>234</v>
      </c>
      <c r="J284" s="4"/>
      <c r="K284" s="64" t="s">
        <v>232</v>
      </c>
      <c r="L284" s="4" t="s">
        <v>232</v>
      </c>
      <c r="M284" s="72">
        <v>1845</v>
      </c>
      <c r="N284" s="64" t="s">
        <v>385</v>
      </c>
      <c r="O284" s="73">
        <v>4</v>
      </c>
      <c r="P284" s="196">
        <v>0</v>
      </c>
      <c r="Q284" s="73">
        <v>7</v>
      </c>
      <c r="R284" s="74">
        <v>59</v>
      </c>
      <c r="S284" s="76">
        <v>3755.2</v>
      </c>
      <c r="T284" s="82">
        <f t="shared" si="8"/>
        <v>2872.3999999999996</v>
      </c>
      <c r="U284" s="77">
        <f t="shared" si="9"/>
        <v>2872.3999999999996</v>
      </c>
      <c r="V284" s="78">
        <v>882.8</v>
      </c>
      <c r="W284" s="80" t="s">
        <v>233</v>
      </c>
      <c r="X284" s="81" t="s">
        <v>233</v>
      </c>
      <c r="Y284" s="4" t="s">
        <v>233</v>
      </c>
      <c r="Z284" s="81" t="s">
        <v>233</v>
      </c>
      <c r="AA284" s="64" t="s">
        <v>233</v>
      </c>
      <c r="AB284" s="81" t="s">
        <v>233</v>
      </c>
      <c r="AC284" s="4" t="s">
        <v>240</v>
      </c>
      <c r="AD284" s="64" t="s">
        <v>233</v>
      </c>
      <c r="AE284" s="64" t="s">
        <v>240</v>
      </c>
      <c r="AF284" s="208">
        <v>0</v>
      </c>
      <c r="AG284" s="4">
        <v>1</v>
      </c>
      <c r="AH284" s="64">
        <v>1</v>
      </c>
      <c r="AI284" s="4">
        <v>1</v>
      </c>
      <c r="AJ284" s="4">
        <v>1</v>
      </c>
      <c r="AK284" s="4">
        <v>0</v>
      </c>
    </row>
    <row r="285" spans="1:37" outlineLevel="1">
      <c r="A285" s="63">
        <v>278</v>
      </c>
      <c r="B285" s="64" t="s">
        <v>190</v>
      </c>
      <c r="C285" s="4" t="s">
        <v>236</v>
      </c>
      <c r="D285" s="4" t="str">
        <f>[1]Лист2!B278</f>
        <v>ГАЛЕРНАЯ ул.</v>
      </c>
      <c r="E285" s="69">
        <f>[1]Лист2!C278</f>
        <v>16</v>
      </c>
      <c r="F285" s="197" t="str">
        <f>[1]Лист2!D278</f>
        <v>А</v>
      </c>
      <c r="G285" s="64"/>
      <c r="H285" s="199">
        <v>129278</v>
      </c>
      <c r="I285" s="64" t="s">
        <v>234</v>
      </c>
      <c r="J285" s="4"/>
      <c r="K285" s="64" t="s">
        <v>232</v>
      </c>
      <c r="L285" s="4" t="s">
        <v>232</v>
      </c>
      <c r="M285" s="72">
        <v>1860</v>
      </c>
      <c r="N285" s="64" t="s">
        <v>385</v>
      </c>
      <c r="O285" s="73">
        <v>5</v>
      </c>
      <c r="P285" s="196">
        <v>0</v>
      </c>
      <c r="Q285" s="73">
        <v>2</v>
      </c>
      <c r="R285" s="74">
        <v>24</v>
      </c>
      <c r="S285" s="76">
        <v>1648.7</v>
      </c>
      <c r="T285" s="82">
        <f t="shared" si="8"/>
        <v>1133.5</v>
      </c>
      <c r="U285" s="77">
        <f t="shared" si="9"/>
        <v>1133.5</v>
      </c>
      <c r="V285" s="78">
        <v>515.20000000000005</v>
      </c>
      <c r="W285" s="80" t="s">
        <v>233</v>
      </c>
      <c r="X285" s="81" t="s">
        <v>233</v>
      </c>
      <c r="Y285" s="4" t="s">
        <v>233</v>
      </c>
      <c r="Z285" s="81" t="s">
        <v>233</v>
      </c>
      <c r="AA285" s="64" t="s">
        <v>233</v>
      </c>
      <c r="AB285" s="81" t="s">
        <v>233</v>
      </c>
      <c r="AC285" s="4" t="s">
        <v>240</v>
      </c>
      <c r="AD285" s="64" t="s">
        <v>233</v>
      </c>
      <c r="AE285" s="64" t="s">
        <v>240</v>
      </c>
      <c r="AF285" s="208">
        <v>0</v>
      </c>
      <c r="AG285" s="4">
        <v>1</v>
      </c>
      <c r="AH285" s="64">
        <v>1</v>
      </c>
      <c r="AI285" s="4">
        <v>1</v>
      </c>
      <c r="AJ285" s="4">
        <v>1</v>
      </c>
      <c r="AK285" s="4">
        <v>0</v>
      </c>
    </row>
    <row r="286" spans="1:37" outlineLevel="1">
      <c r="A286" s="5">
        <v>279</v>
      </c>
      <c r="B286" s="64" t="s">
        <v>190</v>
      </c>
      <c r="C286" s="4" t="s">
        <v>236</v>
      </c>
      <c r="D286" s="4" t="str">
        <f>[1]Лист2!B279</f>
        <v>ГАЛЕРНАЯ ул.</v>
      </c>
      <c r="E286" s="69">
        <f>[1]Лист2!C279</f>
        <v>17</v>
      </c>
      <c r="F286" s="197" t="str">
        <f>[1]Лист2!D279</f>
        <v>А</v>
      </c>
      <c r="G286" s="4"/>
      <c r="H286" s="199">
        <v>129279</v>
      </c>
      <c r="I286" s="64" t="s">
        <v>234</v>
      </c>
      <c r="J286" s="4"/>
      <c r="K286" s="64" t="s">
        <v>232</v>
      </c>
      <c r="L286" s="4" t="s">
        <v>232</v>
      </c>
      <c r="M286" s="72">
        <v>1822</v>
      </c>
      <c r="N286" s="64" t="s">
        <v>385</v>
      </c>
      <c r="O286" s="73">
        <v>5</v>
      </c>
      <c r="P286" s="196">
        <v>0</v>
      </c>
      <c r="Q286" s="73">
        <v>3</v>
      </c>
      <c r="R286" s="74">
        <v>52</v>
      </c>
      <c r="S286" s="76">
        <v>2637.2</v>
      </c>
      <c r="T286" s="82">
        <f t="shared" si="8"/>
        <v>2494</v>
      </c>
      <c r="U286" s="77">
        <f t="shared" si="9"/>
        <v>2494</v>
      </c>
      <c r="V286" s="78">
        <v>143.19999999999999</v>
      </c>
      <c r="W286" s="80" t="s">
        <v>233</v>
      </c>
      <c r="X286" s="81" t="s">
        <v>233</v>
      </c>
      <c r="Y286" s="4" t="s">
        <v>233</v>
      </c>
      <c r="Z286" s="81" t="s">
        <v>233</v>
      </c>
      <c r="AA286" s="64" t="s">
        <v>233</v>
      </c>
      <c r="AB286" s="81" t="s">
        <v>233</v>
      </c>
      <c r="AC286" s="4" t="s">
        <v>240</v>
      </c>
      <c r="AD286" s="64" t="s">
        <v>233</v>
      </c>
      <c r="AE286" s="64" t="s">
        <v>240</v>
      </c>
      <c r="AF286" s="208">
        <v>0</v>
      </c>
      <c r="AG286" s="4">
        <v>1</v>
      </c>
      <c r="AH286" s="64">
        <v>1</v>
      </c>
      <c r="AI286" s="4">
        <v>1</v>
      </c>
      <c r="AJ286" s="4">
        <v>1</v>
      </c>
      <c r="AK286" s="4">
        <v>0</v>
      </c>
    </row>
    <row r="287" spans="1:37" outlineLevel="1">
      <c r="A287" s="5">
        <v>280</v>
      </c>
      <c r="B287" s="64" t="s">
        <v>190</v>
      </c>
      <c r="C287" s="4" t="s">
        <v>236</v>
      </c>
      <c r="D287" s="4" t="str">
        <f>[1]Лист2!B280</f>
        <v>ГАЛЕРНАЯ ул.</v>
      </c>
      <c r="E287" s="69">
        <f>[1]Лист2!C280</f>
        <v>18</v>
      </c>
      <c r="F287" s="197" t="str">
        <f>[1]Лист2!D280</f>
        <v>А</v>
      </c>
      <c r="G287" s="4"/>
      <c r="H287" s="199">
        <v>129280</v>
      </c>
      <c r="I287" s="64" t="s">
        <v>234</v>
      </c>
      <c r="J287" s="4"/>
      <c r="K287" s="64" t="s">
        <v>232</v>
      </c>
      <c r="L287" s="4" t="s">
        <v>232</v>
      </c>
      <c r="M287" s="72">
        <v>1852</v>
      </c>
      <c r="N287" s="64" t="s">
        <v>385</v>
      </c>
      <c r="O287" s="73">
        <v>4</v>
      </c>
      <c r="P287" s="196">
        <v>0</v>
      </c>
      <c r="Q287" s="73">
        <v>6</v>
      </c>
      <c r="R287" s="74">
        <v>89</v>
      </c>
      <c r="S287" s="76">
        <v>3364.8</v>
      </c>
      <c r="T287" s="82">
        <f t="shared" si="8"/>
        <v>2845.6000000000004</v>
      </c>
      <c r="U287" s="77">
        <f t="shared" si="9"/>
        <v>2845.6000000000004</v>
      </c>
      <c r="V287" s="78">
        <v>519.20000000000005</v>
      </c>
      <c r="W287" s="80" t="s">
        <v>233</v>
      </c>
      <c r="X287" s="81" t="s">
        <v>233</v>
      </c>
      <c r="Y287" s="4" t="s">
        <v>233</v>
      </c>
      <c r="Z287" s="81" t="s">
        <v>233</v>
      </c>
      <c r="AA287" s="64" t="s">
        <v>233</v>
      </c>
      <c r="AB287" s="81" t="s">
        <v>233</v>
      </c>
      <c r="AC287" s="4" t="s">
        <v>240</v>
      </c>
      <c r="AD287" s="64" t="s">
        <v>233</v>
      </c>
      <c r="AE287" s="64" t="s">
        <v>240</v>
      </c>
      <c r="AF287" s="208">
        <v>0</v>
      </c>
      <c r="AG287" s="4">
        <v>2</v>
      </c>
      <c r="AH287" s="64">
        <v>1</v>
      </c>
      <c r="AI287" s="4">
        <v>1</v>
      </c>
      <c r="AJ287" s="4">
        <v>1</v>
      </c>
      <c r="AK287" s="4">
        <v>0</v>
      </c>
    </row>
    <row r="288" spans="1:37" outlineLevel="1">
      <c r="A288" s="5">
        <v>281</v>
      </c>
      <c r="B288" s="64" t="s">
        <v>190</v>
      </c>
      <c r="C288" s="4" t="s">
        <v>236</v>
      </c>
      <c r="D288" s="4" t="str">
        <f>[1]Лист2!B281</f>
        <v>ГАЛЕРНАЯ ул.</v>
      </c>
      <c r="E288" s="69">
        <f>[1]Лист2!C281</f>
        <v>19</v>
      </c>
      <c r="F288" s="197" t="str">
        <f>[1]Лист2!D281</f>
        <v>А</v>
      </c>
      <c r="G288" s="64"/>
      <c r="H288" s="199">
        <v>129281</v>
      </c>
      <c r="I288" s="64" t="s">
        <v>234</v>
      </c>
      <c r="J288" s="4"/>
      <c r="K288" s="64" t="s">
        <v>232</v>
      </c>
      <c r="L288" s="4" t="s">
        <v>232</v>
      </c>
      <c r="M288" s="72">
        <v>1808</v>
      </c>
      <c r="N288" s="64" t="s">
        <v>385</v>
      </c>
      <c r="O288" s="73">
        <v>3</v>
      </c>
      <c r="P288" s="196">
        <v>0</v>
      </c>
      <c r="Q288" s="73">
        <v>8</v>
      </c>
      <c r="R288" s="74">
        <v>139</v>
      </c>
      <c r="S288" s="76">
        <v>6237.9000000000005</v>
      </c>
      <c r="T288" s="82">
        <f t="shared" si="8"/>
        <v>5037.4000000000005</v>
      </c>
      <c r="U288" s="77">
        <f t="shared" si="9"/>
        <v>5037.4000000000005</v>
      </c>
      <c r="V288" s="78">
        <v>1200.5</v>
      </c>
      <c r="W288" s="80" t="s">
        <v>233</v>
      </c>
      <c r="X288" s="81" t="s">
        <v>233</v>
      </c>
      <c r="Y288" s="4" t="s">
        <v>233</v>
      </c>
      <c r="Z288" s="81" t="s">
        <v>233</v>
      </c>
      <c r="AA288" s="64" t="s">
        <v>233</v>
      </c>
      <c r="AB288" s="81" t="s">
        <v>233</v>
      </c>
      <c r="AC288" s="4" t="s">
        <v>240</v>
      </c>
      <c r="AD288" s="64" t="s">
        <v>233</v>
      </c>
      <c r="AE288" s="64" t="s">
        <v>240</v>
      </c>
      <c r="AF288" s="208">
        <v>0</v>
      </c>
      <c r="AG288" s="4">
        <v>1</v>
      </c>
      <c r="AH288" s="64">
        <v>1</v>
      </c>
      <c r="AI288" s="4">
        <v>1</v>
      </c>
      <c r="AJ288" s="4">
        <v>1</v>
      </c>
      <c r="AK288" s="4">
        <v>0</v>
      </c>
    </row>
    <row r="289" spans="1:37" outlineLevel="1">
      <c r="A289" s="5">
        <v>282</v>
      </c>
      <c r="B289" s="64" t="s">
        <v>190</v>
      </c>
      <c r="C289" s="4" t="s">
        <v>236</v>
      </c>
      <c r="D289" s="4" t="str">
        <f>[1]Лист2!B282</f>
        <v>ГАЛЕРНАЯ ул.</v>
      </c>
      <c r="E289" s="69">
        <f>[1]Лист2!C282</f>
        <v>21</v>
      </c>
      <c r="F289" s="197" t="str">
        <f>[1]Лист2!D282</f>
        <v>А</v>
      </c>
      <c r="G289" s="64"/>
      <c r="H289" s="199">
        <v>129282</v>
      </c>
      <c r="I289" s="64" t="s">
        <v>234</v>
      </c>
      <c r="J289" s="4"/>
      <c r="K289" s="64" t="s">
        <v>232</v>
      </c>
      <c r="L289" s="4" t="s">
        <v>232</v>
      </c>
      <c r="M289" s="72">
        <v>1899</v>
      </c>
      <c r="N289" s="64" t="s">
        <v>385</v>
      </c>
      <c r="O289" s="73">
        <v>3</v>
      </c>
      <c r="P289" s="196">
        <v>0</v>
      </c>
      <c r="Q289" s="73">
        <v>2</v>
      </c>
      <c r="R289" s="74">
        <v>33</v>
      </c>
      <c r="S289" s="76">
        <v>1408</v>
      </c>
      <c r="T289" s="82">
        <f t="shared" si="8"/>
        <v>1138</v>
      </c>
      <c r="U289" s="77">
        <f t="shared" si="9"/>
        <v>1138</v>
      </c>
      <c r="V289" s="78">
        <v>270</v>
      </c>
      <c r="W289" s="80" t="s">
        <v>233</v>
      </c>
      <c r="X289" s="81" t="s">
        <v>233</v>
      </c>
      <c r="Y289" s="4" t="s">
        <v>233</v>
      </c>
      <c r="Z289" s="81" t="s">
        <v>233</v>
      </c>
      <c r="AA289" s="64" t="s">
        <v>233</v>
      </c>
      <c r="AB289" s="81" t="s">
        <v>233</v>
      </c>
      <c r="AC289" s="4" t="s">
        <v>240</v>
      </c>
      <c r="AD289" s="64" t="s">
        <v>233</v>
      </c>
      <c r="AE289" s="64" t="s">
        <v>240</v>
      </c>
      <c r="AF289" s="208">
        <v>0</v>
      </c>
      <c r="AG289" s="4">
        <v>1</v>
      </c>
      <c r="AH289" s="64">
        <v>1</v>
      </c>
      <c r="AI289" s="4">
        <v>0</v>
      </c>
      <c r="AJ289" s="4">
        <v>0</v>
      </c>
      <c r="AK289" s="4">
        <v>0</v>
      </c>
    </row>
    <row r="290" spans="1:37" outlineLevel="1">
      <c r="A290" s="63">
        <v>283</v>
      </c>
      <c r="B290" s="64" t="s">
        <v>190</v>
      </c>
      <c r="C290" s="4" t="s">
        <v>236</v>
      </c>
      <c r="D290" s="4" t="str">
        <f>[1]Лист2!B283</f>
        <v>ГАЛЕРНАЯ ул.</v>
      </c>
      <c r="E290" s="69">
        <f>[1]Лист2!C283</f>
        <v>23</v>
      </c>
      <c r="F290" s="197" t="str">
        <f>[1]Лист2!D283</f>
        <v>А</v>
      </c>
      <c r="G290" s="4"/>
      <c r="H290" s="199">
        <v>129283</v>
      </c>
      <c r="I290" s="64" t="s">
        <v>234</v>
      </c>
      <c r="J290" s="4"/>
      <c r="K290" s="64" t="s">
        <v>232</v>
      </c>
      <c r="L290" s="4" t="s">
        <v>232</v>
      </c>
      <c r="M290" s="72">
        <v>1810</v>
      </c>
      <c r="N290" s="64" t="s">
        <v>385</v>
      </c>
      <c r="O290" s="73">
        <v>3</v>
      </c>
      <c r="P290" s="196">
        <v>0</v>
      </c>
      <c r="Q290" s="73">
        <v>5</v>
      </c>
      <c r="R290" s="74">
        <v>44</v>
      </c>
      <c r="S290" s="76">
        <v>3472.3</v>
      </c>
      <c r="T290" s="82">
        <f t="shared" si="8"/>
        <v>2698</v>
      </c>
      <c r="U290" s="77">
        <f t="shared" si="9"/>
        <v>2698</v>
      </c>
      <c r="V290" s="78">
        <v>774.3</v>
      </c>
      <c r="W290" s="80" t="s">
        <v>233</v>
      </c>
      <c r="X290" s="81" t="s">
        <v>233</v>
      </c>
      <c r="Y290" s="4" t="s">
        <v>233</v>
      </c>
      <c r="Z290" s="81" t="s">
        <v>233</v>
      </c>
      <c r="AA290" s="64" t="s">
        <v>233</v>
      </c>
      <c r="AB290" s="81" t="s">
        <v>233</v>
      </c>
      <c r="AC290" s="4" t="s">
        <v>240</v>
      </c>
      <c r="AD290" s="64" t="s">
        <v>233</v>
      </c>
      <c r="AE290" s="64" t="s">
        <v>240</v>
      </c>
      <c r="AF290" s="208">
        <v>0</v>
      </c>
      <c r="AG290" s="4">
        <v>2</v>
      </c>
      <c r="AH290" s="64">
        <v>1</v>
      </c>
      <c r="AI290" s="4">
        <v>1</v>
      </c>
      <c r="AJ290" s="4">
        <v>1</v>
      </c>
      <c r="AK290" s="4">
        <v>0</v>
      </c>
    </row>
    <row r="291" spans="1:37" outlineLevel="1">
      <c r="A291" s="63">
        <v>284</v>
      </c>
      <c r="B291" s="64" t="s">
        <v>190</v>
      </c>
      <c r="C291" s="4" t="s">
        <v>236</v>
      </c>
      <c r="D291" s="4" t="str">
        <f>[1]Лист2!B284</f>
        <v>ГАЛЕРНАЯ ул.</v>
      </c>
      <c r="E291" s="69">
        <f>[1]Лист2!C284</f>
        <v>25</v>
      </c>
      <c r="F291" s="197" t="str">
        <f>[1]Лист2!D284</f>
        <v>А</v>
      </c>
      <c r="G291" s="4"/>
      <c r="H291" s="199">
        <v>129284</v>
      </c>
      <c r="I291" s="64" t="s">
        <v>234</v>
      </c>
      <c r="J291" s="4"/>
      <c r="K291" s="64" t="s">
        <v>232</v>
      </c>
      <c r="L291" s="4" t="s">
        <v>232</v>
      </c>
      <c r="M291" s="72">
        <v>1835</v>
      </c>
      <c r="N291" s="64" t="s">
        <v>385</v>
      </c>
      <c r="O291" s="73">
        <v>3</v>
      </c>
      <c r="P291" s="196">
        <v>0</v>
      </c>
      <c r="Q291" s="73">
        <v>6</v>
      </c>
      <c r="R291" s="74">
        <v>43</v>
      </c>
      <c r="S291" s="76">
        <v>3639.43</v>
      </c>
      <c r="T291" s="82">
        <f t="shared" si="8"/>
        <v>2130.5299999999997</v>
      </c>
      <c r="U291" s="77">
        <f t="shared" si="9"/>
        <v>2130.5299999999997</v>
      </c>
      <c r="V291" s="78">
        <v>1508.9</v>
      </c>
      <c r="W291" s="80" t="s">
        <v>233</v>
      </c>
      <c r="X291" s="81" t="s">
        <v>233</v>
      </c>
      <c r="Y291" s="4" t="s">
        <v>233</v>
      </c>
      <c r="Z291" s="81" t="s">
        <v>233</v>
      </c>
      <c r="AA291" s="64" t="s">
        <v>233</v>
      </c>
      <c r="AB291" s="81" t="s">
        <v>233</v>
      </c>
      <c r="AC291" s="4" t="s">
        <v>240</v>
      </c>
      <c r="AD291" s="64" t="s">
        <v>233</v>
      </c>
      <c r="AE291" s="64" t="s">
        <v>240</v>
      </c>
      <c r="AF291" s="208">
        <v>0</v>
      </c>
      <c r="AG291" s="4">
        <v>2</v>
      </c>
      <c r="AH291" s="64">
        <v>1</v>
      </c>
      <c r="AI291" s="4">
        <v>0</v>
      </c>
      <c r="AJ291" s="4">
        <v>0</v>
      </c>
      <c r="AK291" s="4">
        <v>0</v>
      </c>
    </row>
    <row r="292" spans="1:37" outlineLevel="1">
      <c r="A292" s="5">
        <v>285</v>
      </c>
      <c r="B292" s="64" t="s">
        <v>190</v>
      </c>
      <c r="C292" s="4" t="s">
        <v>236</v>
      </c>
      <c r="D292" s="4" t="str">
        <f>[1]Лист2!B285</f>
        <v>ГАЛЕРНАЯ ул.</v>
      </c>
      <c r="E292" s="69">
        <f>[1]Лист2!C285</f>
        <v>26</v>
      </c>
      <c r="F292" s="197" t="str">
        <f>[1]Лист2!D285</f>
        <v>А</v>
      </c>
      <c r="G292" s="64"/>
      <c r="H292" s="199">
        <v>129285</v>
      </c>
      <c r="I292" s="64" t="s">
        <v>234</v>
      </c>
      <c r="J292" s="4"/>
      <c r="K292" s="64" t="s">
        <v>232</v>
      </c>
      <c r="L292" s="4" t="s">
        <v>232</v>
      </c>
      <c r="M292" s="72">
        <v>1917</v>
      </c>
      <c r="N292" s="64" t="s">
        <v>385</v>
      </c>
      <c r="O292" s="73">
        <v>4</v>
      </c>
      <c r="P292" s="196">
        <v>0</v>
      </c>
      <c r="Q292" s="73">
        <v>7</v>
      </c>
      <c r="R292" s="74">
        <v>118</v>
      </c>
      <c r="S292" s="76">
        <v>4462</v>
      </c>
      <c r="T292" s="82">
        <f t="shared" si="8"/>
        <v>3279.09</v>
      </c>
      <c r="U292" s="77">
        <f t="shared" si="9"/>
        <v>3279.09</v>
      </c>
      <c r="V292" s="78">
        <v>1182.9100000000001</v>
      </c>
      <c r="W292" s="80" t="s">
        <v>233</v>
      </c>
      <c r="X292" s="81" t="s">
        <v>233</v>
      </c>
      <c r="Y292" s="4" t="s">
        <v>233</v>
      </c>
      <c r="Z292" s="81" t="s">
        <v>233</v>
      </c>
      <c r="AA292" s="64" t="s">
        <v>233</v>
      </c>
      <c r="AB292" s="81" t="s">
        <v>233</v>
      </c>
      <c r="AC292" s="4" t="s">
        <v>240</v>
      </c>
      <c r="AD292" s="64" t="s">
        <v>233</v>
      </c>
      <c r="AE292" s="64" t="s">
        <v>240</v>
      </c>
      <c r="AF292" s="208">
        <v>0</v>
      </c>
      <c r="AG292" s="4">
        <v>1</v>
      </c>
      <c r="AH292" s="64">
        <v>1</v>
      </c>
      <c r="AI292" s="4">
        <v>1</v>
      </c>
      <c r="AJ292" s="4">
        <v>1</v>
      </c>
      <c r="AK292" s="4">
        <v>0</v>
      </c>
    </row>
    <row r="293" spans="1:37" outlineLevel="1">
      <c r="A293" s="5">
        <v>286</v>
      </c>
      <c r="B293" s="64" t="s">
        <v>190</v>
      </c>
      <c r="C293" s="4" t="s">
        <v>236</v>
      </c>
      <c r="D293" s="4" t="str">
        <f>[1]Лист2!B286</f>
        <v>ГАЛЕРНАЯ ул.</v>
      </c>
      <c r="E293" s="69">
        <f>[1]Лист2!C286</f>
        <v>28</v>
      </c>
      <c r="F293" s="197" t="str">
        <f>[1]Лист2!D286</f>
        <v>А</v>
      </c>
      <c r="G293" s="64"/>
      <c r="H293" s="199">
        <v>129286</v>
      </c>
      <c r="I293" s="64" t="s">
        <v>234</v>
      </c>
      <c r="J293" s="4"/>
      <c r="K293" s="64" t="s">
        <v>232</v>
      </c>
      <c r="L293" s="4" t="s">
        <v>232</v>
      </c>
      <c r="M293" s="72">
        <v>1798</v>
      </c>
      <c r="N293" s="64" t="s">
        <v>385</v>
      </c>
      <c r="O293" s="73">
        <v>3</v>
      </c>
      <c r="P293" s="196">
        <v>0</v>
      </c>
      <c r="Q293" s="73">
        <v>1</v>
      </c>
      <c r="R293" s="74">
        <v>18</v>
      </c>
      <c r="S293" s="76">
        <v>1001.8000000000001</v>
      </c>
      <c r="T293" s="82">
        <f t="shared" si="8"/>
        <v>752.2</v>
      </c>
      <c r="U293" s="77">
        <f t="shared" si="9"/>
        <v>752.2</v>
      </c>
      <c r="V293" s="78">
        <v>249.6</v>
      </c>
      <c r="W293" s="80" t="s">
        <v>233</v>
      </c>
      <c r="X293" s="81" t="s">
        <v>233</v>
      </c>
      <c r="Y293" s="4" t="s">
        <v>233</v>
      </c>
      <c r="Z293" s="81" t="s">
        <v>233</v>
      </c>
      <c r="AA293" s="64" t="s">
        <v>233</v>
      </c>
      <c r="AB293" s="81" t="s">
        <v>233</v>
      </c>
      <c r="AC293" s="4" t="s">
        <v>240</v>
      </c>
      <c r="AD293" s="64" t="s">
        <v>233</v>
      </c>
      <c r="AE293" s="64" t="s">
        <v>240</v>
      </c>
      <c r="AF293" s="208">
        <v>0</v>
      </c>
      <c r="AG293" s="4">
        <v>1</v>
      </c>
      <c r="AH293" s="64">
        <v>1</v>
      </c>
      <c r="AI293" s="4">
        <v>1</v>
      </c>
      <c r="AJ293" s="4">
        <v>1</v>
      </c>
      <c r="AK293" s="4">
        <v>0</v>
      </c>
    </row>
    <row r="294" spans="1:37" outlineLevel="1">
      <c r="A294" s="5">
        <v>287</v>
      </c>
      <c r="B294" s="64" t="s">
        <v>190</v>
      </c>
      <c r="C294" s="4" t="s">
        <v>236</v>
      </c>
      <c r="D294" s="4" t="str">
        <f>[1]Лист2!B287</f>
        <v>ГАЛЕРНАЯ ул.</v>
      </c>
      <c r="E294" s="69">
        <f>[1]Лист2!C287</f>
        <v>28</v>
      </c>
      <c r="F294" s="197" t="str">
        <f>[1]Лист2!D287</f>
        <v>Б</v>
      </c>
      <c r="G294" s="4"/>
      <c r="H294" s="199">
        <v>129287</v>
      </c>
      <c r="I294" s="64" t="s">
        <v>234</v>
      </c>
      <c r="J294" s="4"/>
      <c r="K294" s="64" t="s">
        <v>232</v>
      </c>
      <c r="L294" s="4" t="s">
        <v>232</v>
      </c>
      <c r="M294" s="72">
        <v>1798</v>
      </c>
      <c r="N294" s="64" t="s">
        <v>385</v>
      </c>
      <c r="O294" s="73">
        <v>4</v>
      </c>
      <c r="P294" s="196">
        <v>0</v>
      </c>
      <c r="Q294" s="73">
        <v>1</v>
      </c>
      <c r="R294" s="74">
        <v>27</v>
      </c>
      <c r="S294" s="76">
        <v>1043.5999999999999</v>
      </c>
      <c r="T294" s="82">
        <f t="shared" si="8"/>
        <v>797.3</v>
      </c>
      <c r="U294" s="77">
        <f t="shared" si="9"/>
        <v>797.3</v>
      </c>
      <c r="V294" s="78">
        <v>246.3</v>
      </c>
      <c r="W294" s="80" t="s">
        <v>233</v>
      </c>
      <c r="X294" s="81" t="s">
        <v>233</v>
      </c>
      <c r="Y294" s="4" t="s">
        <v>233</v>
      </c>
      <c r="Z294" s="81" t="s">
        <v>233</v>
      </c>
      <c r="AA294" s="64" t="s">
        <v>233</v>
      </c>
      <c r="AB294" s="81" t="s">
        <v>233</v>
      </c>
      <c r="AC294" s="4" t="s">
        <v>240</v>
      </c>
      <c r="AD294" s="64" t="s">
        <v>233</v>
      </c>
      <c r="AE294" s="64" t="s">
        <v>240</v>
      </c>
      <c r="AF294" s="209">
        <v>0</v>
      </c>
      <c r="AG294" s="4">
        <v>1</v>
      </c>
      <c r="AH294" s="64">
        <v>1</v>
      </c>
      <c r="AI294" s="4">
        <v>0</v>
      </c>
      <c r="AJ294" s="4">
        <v>0</v>
      </c>
      <c r="AK294" s="4">
        <v>0</v>
      </c>
    </row>
    <row r="295" spans="1:37" outlineLevel="1">
      <c r="A295" s="5">
        <v>288</v>
      </c>
      <c r="B295" s="64" t="s">
        <v>190</v>
      </c>
      <c r="C295" s="4" t="s">
        <v>236</v>
      </c>
      <c r="D295" s="4" t="str">
        <f>[1]Лист2!B288</f>
        <v>ГАЛЕРНАЯ ул.</v>
      </c>
      <c r="E295" s="69">
        <f>[1]Лист2!C288</f>
        <v>28</v>
      </c>
      <c r="F295" s="197" t="str">
        <f>[1]Лист2!D288</f>
        <v>В</v>
      </c>
      <c r="G295" s="4"/>
      <c r="H295" s="199">
        <v>129288</v>
      </c>
      <c r="I295" s="64" t="s">
        <v>234</v>
      </c>
      <c r="J295" s="4"/>
      <c r="K295" s="64" t="s">
        <v>232</v>
      </c>
      <c r="L295" s="4" t="s">
        <v>232</v>
      </c>
      <c r="M295" s="72">
        <v>1798</v>
      </c>
      <c r="N295" s="64" t="s">
        <v>385</v>
      </c>
      <c r="O295" s="73">
        <v>3</v>
      </c>
      <c r="P295" s="196">
        <v>0</v>
      </c>
      <c r="Q295" s="73">
        <v>1</v>
      </c>
      <c r="R295" s="74">
        <v>9</v>
      </c>
      <c r="S295" s="76">
        <v>399.8</v>
      </c>
      <c r="T295" s="82">
        <f t="shared" si="8"/>
        <v>318.60000000000002</v>
      </c>
      <c r="U295" s="77">
        <f t="shared" si="9"/>
        <v>318.60000000000002</v>
      </c>
      <c r="V295" s="78">
        <v>81.2</v>
      </c>
      <c r="W295" s="80" t="s">
        <v>233</v>
      </c>
      <c r="X295" s="81" t="s">
        <v>233</v>
      </c>
      <c r="Y295" s="4" t="s">
        <v>233</v>
      </c>
      <c r="Z295" s="81" t="s">
        <v>233</v>
      </c>
      <c r="AA295" s="64" t="s">
        <v>233</v>
      </c>
      <c r="AB295" s="81" t="s">
        <v>233</v>
      </c>
      <c r="AC295" s="4" t="s">
        <v>240</v>
      </c>
      <c r="AD295" s="64" t="s">
        <v>233</v>
      </c>
      <c r="AE295" s="64" t="s">
        <v>240</v>
      </c>
      <c r="AF295" s="209">
        <v>0</v>
      </c>
      <c r="AG295" s="4">
        <v>1</v>
      </c>
      <c r="AH295" s="64">
        <v>1</v>
      </c>
      <c r="AI295" s="4">
        <v>0</v>
      </c>
      <c r="AJ295" s="4">
        <v>0</v>
      </c>
      <c r="AK295" s="4">
        <v>0</v>
      </c>
    </row>
    <row r="296" spans="1:37" outlineLevel="1">
      <c r="A296" s="63">
        <v>289</v>
      </c>
      <c r="B296" s="64" t="s">
        <v>190</v>
      </c>
      <c r="C296" s="4" t="s">
        <v>236</v>
      </c>
      <c r="D296" s="4" t="str">
        <f>[1]Лист2!B289</f>
        <v>ГАЛЕРНАЯ ул.</v>
      </c>
      <c r="E296" s="69">
        <f>[1]Лист2!C289</f>
        <v>29</v>
      </c>
      <c r="F296" s="197" t="str">
        <f>[1]Лист2!D289</f>
        <v>А</v>
      </c>
      <c r="G296" s="64"/>
      <c r="H296" s="199">
        <v>129289</v>
      </c>
      <c r="I296" s="64" t="s">
        <v>234</v>
      </c>
      <c r="J296" s="4"/>
      <c r="K296" s="64" t="s">
        <v>232</v>
      </c>
      <c r="L296" s="4" t="s">
        <v>232</v>
      </c>
      <c r="M296" s="72">
        <v>1857</v>
      </c>
      <c r="N296" s="64" t="s">
        <v>385</v>
      </c>
      <c r="O296" s="73">
        <v>4</v>
      </c>
      <c r="P296" s="196">
        <v>0</v>
      </c>
      <c r="Q296" s="73">
        <v>7</v>
      </c>
      <c r="R296" s="74">
        <v>89</v>
      </c>
      <c r="S296" s="76">
        <v>3709</v>
      </c>
      <c r="T296" s="82">
        <f t="shared" si="8"/>
        <v>2910.2</v>
      </c>
      <c r="U296" s="77">
        <f t="shared" si="9"/>
        <v>2910.2</v>
      </c>
      <c r="V296" s="78">
        <v>798.8</v>
      </c>
      <c r="W296" s="80" t="s">
        <v>233</v>
      </c>
      <c r="X296" s="81" t="s">
        <v>233</v>
      </c>
      <c r="Y296" s="4" t="s">
        <v>233</v>
      </c>
      <c r="Z296" s="81" t="s">
        <v>233</v>
      </c>
      <c r="AA296" s="64" t="s">
        <v>233</v>
      </c>
      <c r="AB296" s="81" t="s">
        <v>233</v>
      </c>
      <c r="AC296" s="4" t="s">
        <v>240</v>
      </c>
      <c r="AD296" s="64" t="s">
        <v>233</v>
      </c>
      <c r="AE296" s="64" t="s">
        <v>240</v>
      </c>
      <c r="AF296" s="208">
        <v>0</v>
      </c>
      <c r="AG296" s="4">
        <v>1</v>
      </c>
      <c r="AH296" s="64">
        <v>1</v>
      </c>
      <c r="AI296" s="4">
        <v>0</v>
      </c>
      <c r="AJ296" s="4">
        <v>0</v>
      </c>
      <c r="AK296" s="4">
        <v>0</v>
      </c>
    </row>
    <row r="297" spans="1:37" outlineLevel="1">
      <c r="A297" s="63">
        <v>290</v>
      </c>
      <c r="B297" s="64" t="s">
        <v>190</v>
      </c>
      <c r="C297" s="4" t="s">
        <v>236</v>
      </c>
      <c r="D297" s="4" t="str">
        <f>[1]Лист2!B290</f>
        <v>ГАЛЕРНАЯ ул.</v>
      </c>
      <c r="E297" s="69">
        <f>[1]Лист2!C290</f>
        <v>30</v>
      </c>
      <c r="F297" s="197" t="str">
        <f>[1]Лист2!D290</f>
        <v>А</v>
      </c>
      <c r="G297" s="64"/>
      <c r="H297" s="199">
        <v>129290</v>
      </c>
      <c r="I297" s="64" t="s">
        <v>234</v>
      </c>
      <c r="J297" s="4"/>
      <c r="K297" s="64" t="s">
        <v>232</v>
      </c>
      <c r="L297" s="4" t="s">
        <v>232</v>
      </c>
      <c r="M297" s="72">
        <v>1828</v>
      </c>
      <c r="N297" s="64" t="s">
        <v>385</v>
      </c>
      <c r="O297" s="73">
        <v>3</v>
      </c>
      <c r="P297" s="196">
        <v>0</v>
      </c>
      <c r="Q297" s="73">
        <v>3</v>
      </c>
      <c r="R297" s="74">
        <v>35</v>
      </c>
      <c r="S297" s="76">
        <v>1922.6</v>
      </c>
      <c r="T297" s="82">
        <f t="shared" si="8"/>
        <v>1304.0999999999999</v>
      </c>
      <c r="U297" s="77">
        <f t="shared" si="9"/>
        <v>1304.0999999999999</v>
      </c>
      <c r="V297" s="78">
        <v>618.5</v>
      </c>
      <c r="W297" s="80" t="s">
        <v>233</v>
      </c>
      <c r="X297" s="81" t="s">
        <v>233</v>
      </c>
      <c r="Y297" s="4" t="s">
        <v>233</v>
      </c>
      <c r="Z297" s="81" t="s">
        <v>233</v>
      </c>
      <c r="AA297" s="64" t="s">
        <v>233</v>
      </c>
      <c r="AB297" s="81" t="s">
        <v>233</v>
      </c>
      <c r="AC297" s="4" t="s">
        <v>240</v>
      </c>
      <c r="AD297" s="64" t="s">
        <v>233</v>
      </c>
      <c r="AE297" s="64" t="s">
        <v>240</v>
      </c>
      <c r="AF297" s="208">
        <v>0</v>
      </c>
      <c r="AG297" s="4">
        <v>1</v>
      </c>
      <c r="AH297" s="64">
        <v>1</v>
      </c>
      <c r="AI297" s="4">
        <v>1</v>
      </c>
      <c r="AJ297" s="4">
        <v>1</v>
      </c>
      <c r="AK297" s="4">
        <v>0</v>
      </c>
    </row>
    <row r="298" spans="1:37" outlineLevel="1">
      <c r="A298" s="5">
        <v>291</v>
      </c>
      <c r="B298" s="64" t="s">
        <v>190</v>
      </c>
      <c r="C298" s="4" t="s">
        <v>236</v>
      </c>
      <c r="D298" s="4" t="str">
        <f>[1]Лист2!B291</f>
        <v>ГАЛЕРНАЯ ул.</v>
      </c>
      <c r="E298" s="69">
        <f>[1]Лист2!C291</f>
        <v>32</v>
      </c>
      <c r="F298" s="197" t="str">
        <f>[1]Лист2!D291</f>
        <v>А</v>
      </c>
      <c r="G298" s="4"/>
      <c r="H298" s="199">
        <v>129291</v>
      </c>
      <c r="I298" s="64" t="s">
        <v>234</v>
      </c>
      <c r="J298" s="4"/>
      <c r="K298" s="64" t="s">
        <v>232</v>
      </c>
      <c r="L298" s="4" t="s">
        <v>232</v>
      </c>
      <c r="M298" s="72">
        <v>1860</v>
      </c>
      <c r="N298" s="64" t="s">
        <v>385</v>
      </c>
      <c r="O298" s="73">
        <v>4</v>
      </c>
      <c r="P298" s="196">
        <v>0</v>
      </c>
      <c r="Q298" s="73">
        <v>1</v>
      </c>
      <c r="R298" s="74">
        <v>26</v>
      </c>
      <c r="S298" s="76">
        <v>1117.3</v>
      </c>
      <c r="T298" s="82">
        <f t="shared" si="8"/>
        <v>869.69999999999993</v>
      </c>
      <c r="U298" s="77">
        <f t="shared" si="9"/>
        <v>869.69999999999993</v>
      </c>
      <c r="V298" s="78">
        <v>247.6</v>
      </c>
      <c r="W298" s="80" t="s">
        <v>233</v>
      </c>
      <c r="X298" s="81" t="s">
        <v>233</v>
      </c>
      <c r="Y298" s="4" t="s">
        <v>233</v>
      </c>
      <c r="Z298" s="81" t="s">
        <v>233</v>
      </c>
      <c r="AA298" s="64" t="s">
        <v>233</v>
      </c>
      <c r="AB298" s="81" t="s">
        <v>233</v>
      </c>
      <c r="AC298" s="4" t="s">
        <v>240</v>
      </c>
      <c r="AD298" s="64" t="s">
        <v>233</v>
      </c>
      <c r="AE298" s="64" t="s">
        <v>240</v>
      </c>
      <c r="AF298" s="208">
        <v>0</v>
      </c>
      <c r="AG298" s="4">
        <v>1</v>
      </c>
      <c r="AH298" s="64">
        <v>1</v>
      </c>
      <c r="AI298" s="4">
        <v>0</v>
      </c>
      <c r="AJ298" s="4">
        <v>0</v>
      </c>
      <c r="AK298" s="4">
        <v>0</v>
      </c>
    </row>
    <row r="299" spans="1:37" outlineLevel="1">
      <c r="A299" s="5">
        <v>292</v>
      </c>
      <c r="B299" s="64" t="s">
        <v>190</v>
      </c>
      <c r="C299" s="4" t="s">
        <v>236</v>
      </c>
      <c r="D299" s="4" t="str">
        <f>[1]Лист2!B292</f>
        <v>ГАЛЕРНАЯ ул.</v>
      </c>
      <c r="E299" s="69">
        <f>[1]Лист2!C292</f>
        <v>32</v>
      </c>
      <c r="F299" s="197" t="str">
        <f>[1]Лист2!D292</f>
        <v>Б</v>
      </c>
      <c r="G299" s="4"/>
      <c r="H299" s="199">
        <v>129292</v>
      </c>
      <c r="I299" s="64" t="s">
        <v>234</v>
      </c>
      <c r="J299" s="4"/>
      <c r="K299" s="64" t="s">
        <v>232</v>
      </c>
      <c r="L299" s="4" t="s">
        <v>232</v>
      </c>
      <c r="M299" s="72">
        <v>1860</v>
      </c>
      <c r="N299" s="64" t="s">
        <v>385</v>
      </c>
      <c r="O299" s="73">
        <v>3</v>
      </c>
      <c r="P299" s="196">
        <v>0</v>
      </c>
      <c r="Q299" s="73">
        <v>1</v>
      </c>
      <c r="R299" s="74">
        <v>11</v>
      </c>
      <c r="S299" s="76">
        <v>539.70000000000005</v>
      </c>
      <c r="T299" s="82">
        <f t="shared" si="8"/>
        <v>330.40000000000003</v>
      </c>
      <c r="U299" s="77">
        <f t="shared" si="9"/>
        <v>330.40000000000003</v>
      </c>
      <c r="V299" s="78">
        <v>209.3</v>
      </c>
      <c r="W299" s="80" t="s">
        <v>233</v>
      </c>
      <c r="X299" s="81" t="s">
        <v>233</v>
      </c>
      <c r="Y299" s="4" t="s">
        <v>233</v>
      </c>
      <c r="Z299" s="81" t="s">
        <v>233</v>
      </c>
      <c r="AA299" s="64" t="s">
        <v>233</v>
      </c>
      <c r="AB299" s="81" t="s">
        <v>233</v>
      </c>
      <c r="AC299" s="4" t="s">
        <v>240</v>
      </c>
      <c r="AD299" s="64" t="s">
        <v>233</v>
      </c>
      <c r="AE299" s="64" t="s">
        <v>240</v>
      </c>
      <c r="AF299" s="209">
        <v>0</v>
      </c>
      <c r="AG299" s="4">
        <v>1</v>
      </c>
      <c r="AH299" s="64">
        <v>1</v>
      </c>
      <c r="AI299" s="4">
        <v>0</v>
      </c>
      <c r="AJ299" s="4">
        <v>0</v>
      </c>
      <c r="AK299" s="4">
        <v>0</v>
      </c>
    </row>
    <row r="300" spans="1:37" outlineLevel="1">
      <c r="A300" s="5">
        <v>293</v>
      </c>
      <c r="B300" s="64" t="s">
        <v>190</v>
      </c>
      <c r="C300" s="4" t="s">
        <v>236</v>
      </c>
      <c r="D300" s="4" t="str">
        <f>[1]Лист2!B293</f>
        <v>ГАЛЕРНАЯ ул.</v>
      </c>
      <c r="E300" s="69">
        <f>[1]Лист2!C293</f>
        <v>4</v>
      </c>
      <c r="F300" s="197" t="str">
        <f>[1]Лист2!D293</f>
        <v>А</v>
      </c>
      <c r="G300" s="64"/>
      <c r="H300" s="199">
        <v>129293</v>
      </c>
      <c r="I300" s="64" t="s">
        <v>234</v>
      </c>
      <c r="J300" s="4"/>
      <c r="K300" s="64" t="s">
        <v>232</v>
      </c>
      <c r="L300" s="4" t="s">
        <v>232</v>
      </c>
      <c r="M300" s="72">
        <v>1877</v>
      </c>
      <c r="N300" s="64" t="s">
        <v>385</v>
      </c>
      <c r="O300" s="73">
        <v>3</v>
      </c>
      <c r="P300" s="196">
        <v>0</v>
      </c>
      <c r="Q300" s="73">
        <v>3</v>
      </c>
      <c r="R300" s="74">
        <v>14</v>
      </c>
      <c r="S300" s="76">
        <v>1701.6</v>
      </c>
      <c r="T300" s="82">
        <f t="shared" si="8"/>
        <v>1146.1999999999998</v>
      </c>
      <c r="U300" s="77">
        <f t="shared" si="9"/>
        <v>1146.1999999999998</v>
      </c>
      <c r="V300" s="78">
        <v>555.4</v>
      </c>
      <c r="W300" s="80" t="s">
        <v>233</v>
      </c>
      <c r="X300" s="81" t="s">
        <v>233</v>
      </c>
      <c r="Y300" s="4" t="s">
        <v>240</v>
      </c>
      <c r="Z300" s="81" t="s">
        <v>233</v>
      </c>
      <c r="AA300" s="64" t="s">
        <v>233</v>
      </c>
      <c r="AB300" s="81" t="s">
        <v>233</v>
      </c>
      <c r="AC300" s="4" t="s">
        <v>233</v>
      </c>
      <c r="AD300" s="64" t="s">
        <v>233</v>
      </c>
      <c r="AE300" s="64" t="s">
        <v>240</v>
      </c>
      <c r="AF300" s="208">
        <v>0</v>
      </c>
      <c r="AG300" s="4">
        <v>1</v>
      </c>
      <c r="AH300" s="64">
        <v>1</v>
      </c>
      <c r="AI300" s="4">
        <v>0</v>
      </c>
      <c r="AJ300" s="4">
        <v>0</v>
      </c>
      <c r="AK300" s="4">
        <v>0</v>
      </c>
    </row>
    <row r="301" spans="1:37" outlineLevel="1">
      <c r="A301" s="5">
        <v>294</v>
      </c>
      <c r="B301" s="64" t="s">
        <v>190</v>
      </c>
      <c r="C301" s="4" t="s">
        <v>236</v>
      </c>
      <c r="D301" s="4" t="str">
        <f>[1]Лист2!B294</f>
        <v>ГАЛЕРНАЯ ул.</v>
      </c>
      <c r="E301" s="69">
        <f>[1]Лист2!C294</f>
        <v>41</v>
      </c>
      <c r="F301" s="197" t="str">
        <f>[1]Лист2!D294</f>
        <v>А</v>
      </c>
      <c r="G301" s="64"/>
      <c r="H301" s="199">
        <v>129294</v>
      </c>
      <c r="I301" s="64" t="s">
        <v>234</v>
      </c>
      <c r="J301" s="4"/>
      <c r="K301" s="64" t="s">
        <v>232</v>
      </c>
      <c r="L301" s="4" t="s">
        <v>232</v>
      </c>
      <c r="M301" s="72">
        <v>1798</v>
      </c>
      <c r="N301" s="64" t="s">
        <v>385</v>
      </c>
      <c r="O301" s="73">
        <v>3</v>
      </c>
      <c r="P301" s="196">
        <v>0</v>
      </c>
      <c r="Q301" s="73">
        <v>5</v>
      </c>
      <c r="R301" s="74">
        <v>66</v>
      </c>
      <c r="S301" s="76">
        <v>2140.7999999999997</v>
      </c>
      <c r="T301" s="82">
        <f t="shared" si="8"/>
        <v>1974.8999999999996</v>
      </c>
      <c r="U301" s="77">
        <f t="shared" si="9"/>
        <v>1974.8999999999996</v>
      </c>
      <c r="V301" s="78">
        <v>165.9</v>
      </c>
      <c r="W301" s="80" t="s">
        <v>233</v>
      </c>
      <c r="X301" s="81" t="s">
        <v>233</v>
      </c>
      <c r="Y301" s="4" t="s">
        <v>233</v>
      </c>
      <c r="Z301" s="81" t="s">
        <v>233</v>
      </c>
      <c r="AA301" s="64" t="s">
        <v>233</v>
      </c>
      <c r="AB301" s="81" t="s">
        <v>233</v>
      </c>
      <c r="AC301" s="4" t="s">
        <v>240</v>
      </c>
      <c r="AD301" s="64" t="s">
        <v>233</v>
      </c>
      <c r="AE301" s="64" t="s">
        <v>240</v>
      </c>
      <c r="AF301" s="208">
        <v>0</v>
      </c>
      <c r="AG301" s="4">
        <v>1</v>
      </c>
      <c r="AH301" s="64">
        <v>1</v>
      </c>
      <c r="AI301" s="4">
        <v>1</v>
      </c>
      <c r="AJ301" s="4">
        <v>1</v>
      </c>
      <c r="AK301" s="4">
        <v>0</v>
      </c>
    </row>
    <row r="302" spans="1:37" outlineLevel="1">
      <c r="A302" s="63">
        <v>295</v>
      </c>
      <c r="B302" s="64" t="s">
        <v>190</v>
      </c>
      <c r="C302" s="4" t="s">
        <v>236</v>
      </c>
      <c r="D302" s="4" t="str">
        <f>[1]Лист2!B295</f>
        <v>ГАЛЕРНАЯ ул.</v>
      </c>
      <c r="E302" s="69">
        <f>[1]Лист2!C295</f>
        <v>42</v>
      </c>
      <c r="F302" s="197" t="str">
        <f>[1]Лист2!D295</f>
        <v>А</v>
      </c>
      <c r="G302" s="4"/>
      <c r="H302" s="199">
        <v>129295</v>
      </c>
      <c r="I302" s="64" t="s">
        <v>234</v>
      </c>
      <c r="J302" s="4"/>
      <c r="K302" s="64" t="s">
        <v>232</v>
      </c>
      <c r="L302" s="4" t="s">
        <v>232</v>
      </c>
      <c r="M302" s="72">
        <v>1901</v>
      </c>
      <c r="N302" s="64" t="s">
        <v>385</v>
      </c>
      <c r="O302" s="73">
        <v>5</v>
      </c>
      <c r="P302" s="196">
        <v>0</v>
      </c>
      <c r="Q302" s="73">
        <v>4</v>
      </c>
      <c r="R302" s="74">
        <v>89</v>
      </c>
      <c r="S302" s="76">
        <v>3424</v>
      </c>
      <c r="T302" s="82">
        <f t="shared" si="8"/>
        <v>3153</v>
      </c>
      <c r="U302" s="77">
        <f t="shared" si="9"/>
        <v>3153</v>
      </c>
      <c r="V302" s="78">
        <v>271</v>
      </c>
      <c r="W302" s="80" t="s">
        <v>233</v>
      </c>
      <c r="X302" s="81" t="s">
        <v>233</v>
      </c>
      <c r="Y302" s="4" t="s">
        <v>233</v>
      </c>
      <c r="Z302" s="81" t="s">
        <v>233</v>
      </c>
      <c r="AA302" s="64" t="s">
        <v>233</v>
      </c>
      <c r="AB302" s="81" t="s">
        <v>233</v>
      </c>
      <c r="AC302" s="4" t="s">
        <v>240</v>
      </c>
      <c r="AD302" s="64" t="s">
        <v>233</v>
      </c>
      <c r="AE302" s="64" t="s">
        <v>240</v>
      </c>
      <c r="AF302" s="208">
        <v>2</v>
      </c>
      <c r="AG302" s="4">
        <v>2</v>
      </c>
      <c r="AH302" s="64">
        <v>1</v>
      </c>
      <c r="AI302" s="4">
        <v>1</v>
      </c>
      <c r="AJ302" s="4">
        <v>1</v>
      </c>
      <c r="AK302" s="4">
        <v>0</v>
      </c>
    </row>
    <row r="303" spans="1:37" outlineLevel="1">
      <c r="A303" s="63">
        <v>296</v>
      </c>
      <c r="B303" s="64" t="s">
        <v>190</v>
      </c>
      <c r="C303" s="4" t="s">
        <v>236</v>
      </c>
      <c r="D303" s="4" t="str">
        <f>[1]Лист2!B296</f>
        <v>ГАЛЕРНАЯ ул.</v>
      </c>
      <c r="E303" s="69">
        <f>[1]Лист2!C296</f>
        <v>43</v>
      </c>
      <c r="F303" s="197" t="str">
        <f>[1]Лист2!D296</f>
        <v>А</v>
      </c>
      <c r="G303" s="4"/>
      <c r="H303" s="199">
        <v>129296</v>
      </c>
      <c r="I303" s="64" t="s">
        <v>234</v>
      </c>
      <c r="J303" s="4"/>
      <c r="K303" s="64" t="s">
        <v>232</v>
      </c>
      <c r="L303" s="4" t="s">
        <v>232</v>
      </c>
      <c r="M303" s="72">
        <v>1872</v>
      </c>
      <c r="N303" s="64" t="s">
        <v>385</v>
      </c>
      <c r="O303" s="73">
        <v>5</v>
      </c>
      <c r="P303" s="196">
        <v>0</v>
      </c>
      <c r="Q303" s="73">
        <v>5</v>
      </c>
      <c r="R303" s="74">
        <v>24</v>
      </c>
      <c r="S303" s="76">
        <v>2375.8000000000002</v>
      </c>
      <c r="T303" s="82">
        <f t="shared" si="8"/>
        <v>1427.9</v>
      </c>
      <c r="U303" s="77">
        <f t="shared" si="9"/>
        <v>1427.9</v>
      </c>
      <c r="V303" s="78">
        <v>947.9</v>
      </c>
      <c r="W303" s="80" t="s">
        <v>233</v>
      </c>
      <c r="X303" s="81" t="s">
        <v>233</v>
      </c>
      <c r="Y303" s="4" t="s">
        <v>233</v>
      </c>
      <c r="Z303" s="81" t="s">
        <v>233</v>
      </c>
      <c r="AA303" s="64" t="s">
        <v>233</v>
      </c>
      <c r="AB303" s="81" t="s">
        <v>233</v>
      </c>
      <c r="AC303" s="4" t="s">
        <v>240</v>
      </c>
      <c r="AD303" s="64" t="s">
        <v>233</v>
      </c>
      <c r="AE303" s="64" t="s">
        <v>240</v>
      </c>
      <c r="AF303" s="208">
        <v>0</v>
      </c>
      <c r="AG303" s="4">
        <v>1</v>
      </c>
      <c r="AH303" s="64">
        <v>1</v>
      </c>
      <c r="AI303" s="4">
        <v>0</v>
      </c>
      <c r="AJ303" s="4">
        <v>0</v>
      </c>
      <c r="AK303" s="4">
        <v>0</v>
      </c>
    </row>
    <row r="304" spans="1:37" outlineLevel="1">
      <c r="A304" s="5">
        <v>297</v>
      </c>
      <c r="B304" s="64" t="s">
        <v>190</v>
      </c>
      <c r="C304" s="4" t="s">
        <v>236</v>
      </c>
      <c r="D304" s="4" t="str">
        <f>[1]Лист2!B297</f>
        <v>ГАЛЕРНАЯ ул.</v>
      </c>
      <c r="E304" s="69">
        <f>[1]Лист2!C297</f>
        <v>43</v>
      </c>
      <c r="F304" s="197" t="str">
        <f>[1]Лист2!D297</f>
        <v>Б</v>
      </c>
      <c r="G304" s="64"/>
      <c r="H304" s="199">
        <v>129297</v>
      </c>
      <c r="I304" s="64" t="s">
        <v>234</v>
      </c>
      <c r="J304" s="4"/>
      <c r="K304" s="64" t="s">
        <v>232</v>
      </c>
      <c r="L304" s="4" t="s">
        <v>232</v>
      </c>
      <c r="M304" s="72">
        <v>1869</v>
      </c>
      <c r="N304" s="64" t="s">
        <v>385</v>
      </c>
      <c r="O304" s="73">
        <v>2</v>
      </c>
      <c r="P304" s="196">
        <v>0</v>
      </c>
      <c r="Q304" s="73">
        <v>1</v>
      </c>
      <c r="R304" s="74">
        <v>7</v>
      </c>
      <c r="S304" s="76">
        <v>244.3</v>
      </c>
      <c r="T304" s="82">
        <f t="shared" si="8"/>
        <v>244.3</v>
      </c>
      <c r="U304" s="77">
        <f t="shared" si="9"/>
        <v>244.3</v>
      </c>
      <c r="V304" s="78">
        <v>0</v>
      </c>
      <c r="W304" s="80" t="s">
        <v>233</v>
      </c>
      <c r="X304" s="81" t="s">
        <v>233</v>
      </c>
      <c r="Y304" s="4" t="s">
        <v>233</v>
      </c>
      <c r="Z304" s="81" t="s">
        <v>233</v>
      </c>
      <c r="AA304" s="64" t="s">
        <v>233</v>
      </c>
      <c r="AB304" s="81" t="s">
        <v>233</v>
      </c>
      <c r="AC304" s="4" t="s">
        <v>240</v>
      </c>
      <c r="AD304" s="64" t="s">
        <v>233</v>
      </c>
      <c r="AE304" s="64" t="s">
        <v>240</v>
      </c>
      <c r="AF304" s="209">
        <v>0</v>
      </c>
      <c r="AG304" s="4">
        <v>1</v>
      </c>
      <c r="AH304" s="64">
        <v>1</v>
      </c>
      <c r="AI304" s="4">
        <v>0</v>
      </c>
      <c r="AJ304" s="4">
        <v>0</v>
      </c>
      <c r="AK304" s="4">
        <v>0</v>
      </c>
    </row>
    <row r="305" spans="1:37" outlineLevel="1">
      <c r="A305" s="5">
        <v>298</v>
      </c>
      <c r="B305" s="64" t="s">
        <v>190</v>
      </c>
      <c r="C305" s="4" t="s">
        <v>236</v>
      </c>
      <c r="D305" s="4" t="str">
        <f>[1]Лист2!B298</f>
        <v>ГАЛЕРНАЯ ул.</v>
      </c>
      <c r="E305" s="69">
        <f>[1]Лист2!C298</f>
        <v>44</v>
      </c>
      <c r="F305" s="197" t="str">
        <f>[1]Лист2!D298</f>
        <v>А</v>
      </c>
      <c r="G305" s="64"/>
      <c r="H305" s="199">
        <v>129298</v>
      </c>
      <c r="I305" s="64" t="s">
        <v>234</v>
      </c>
      <c r="J305" s="4"/>
      <c r="K305" s="64" t="s">
        <v>232</v>
      </c>
      <c r="L305" s="4" t="s">
        <v>232</v>
      </c>
      <c r="M305" s="72">
        <v>1897</v>
      </c>
      <c r="N305" s="64" t="s">
        <v>385</v>
      </c>
      <c r="O305" s="73">
        <v>5</v>
      </c>
      <c r="P305" s="196">
        <v>0</v>
      </c>
      <c r="Q305" s="73">
        <v>2</v>
      </c>
      <c r="R305" s="74">
        <v>53</v>
      </c>
      <c r="S305" s="76">
        <v>1349</v>
      </c>
      <c r="T305" s="82">
        <f t="shared" si="8"/>
        <v>1349</v>
      </c>
      <c r="U305" s="77">
        <f t="shared" si="9"/>
        <v>1349</v>
      </c>
      <c r="V305" s="78">
        <v>0</v>
      </c>
      <c r="W305" s="80" t="s">
        <v>233</v>
      </c>
      <c r="X305" s="81" t="s">
        <v>233</v>
      </c>
      <c r="Y305" s="4" t="s">
        <v>233</v>
      </c>
      <c r="Z305" s="81" t="s">
        <v>233</v>
      </c>
      <c r="AA305" s="64" t="s">
        <v>233</v>
      </c>
      <c r="AB305" s="81" t="s">
        <v>233</v>
      </c>
      <c r="AC305" s="4" t="s">
        <v>240</v>
      </c>
      <c r="AD305" s="64" t="s">
        <v>233</v>
      </c>
      <c r="AE305" s="64" t="s">
        <v>240</v>
      </c>
      <c r="AF305" s="208">
        <v>0</v>
      </c>
      <c r="AG305" s="4">
        <v>1</v>
      </c>
      <c r="AH305" s="64">
        <v>1</v>
      </c>
      <c r="AI305" s="4">
        <v>0</v>
      </c>
      <c r="AJ305" s="4">
        <v>0</v>
      </c>
      <c r="AK305" s="4">
        <v>0</v>
      </c>
    </row>
    <row r="306" spans="1:37" outlineLevel="1">
      <c r="A306" s="5">
        <v>299</v>
      </c>
      <c r="B306" s="64" t="s">
        <v>190</v>
      </c>
      <c r="C306" s="4" t="s">
        <v>236</v>
      </c>
      <c r="D306" s="4" t="str">
        <f>[1]Лист2!B299</f>
        <v>ГАЛЕРНАЯ ул.</v>
      </c>
      <c r="E306" s="69">
        <f>[1]Лист2!C299</f>
        <v>44</v>
      </c>
      <c r="F306" s="197" t="str">
        <f>[1]Лист2!D299</f>
        <v>Б</v>
      </c>
      <c r="G306" s="4"/>
      <c r="H306" s="199">
        <v>129299</v>
      </c>
      <c r="I306" s="64" t="s">
        <v>234</v>
      </c>
      <c r="J306" s="4"/>
      <c r="K306" s="64" t="s">
        <v>232</v>
      </c>
      <c r="L306" s="4" t="s">
        <v>232</v>
      </c>
      <c r="M306" s="72">
        <v>1899</v>
      </c>
      <c r="N306" s="64" t="s">
        <v>385</v>
      </c>
      <c r="O306" s="73">
        <v>5</v>
      </c>
      <c r="P306" s="196">
        <v>0</v>
      </c>
      <c r="Q306" s="73">
        <v>4</v>
      </c>
      <c r="R306" s="74">
        <v>34</v>
      </c>
      <c r="S306" s="76">
        <v>2485</v>
      </c>
      <c r="T306" s="82">
        <f t="shared" si="8"/>
        <v>2485</v>
      </c>
      <c r="U306" s="77">
        <f t="shared" si="9"/>
        <v>2485</v>
      </c>
      <c r="V306" s="78">
        <v>0</v>
      </c>
      <c r="W306" s="80" t="s">
        <v>233</v>
      </c>
      <c r="X306" s="81" t="s">
        <v>233</v>
      </c>
      <c r="Y306" s="4" t="s">
        <v>233</v>
      </c>
      <c r="Z306" s="81" t="s">
        <v>233</v>
      </c>
      <c r="AA306" s="64" t="s">
        <v>233</v>
      </c>
      <c r="AB306" s="81" t="s">
        <v>233</v>
      </c>
      <c r="AC306" s="4" t="s">
        <v>240</v>
      </c>
      <c r="AD306" s="64" t="s">
        <v>233</v>
      </c>
      <c r="AE306" s="64" t="s">
        <v>240</v>
      </c>
      <c r="AF306" s="209">
        <v>0</v>
      </c>
      <c r="AG306" s="4">
        <v>1</v>
      </c>
      <c r="AH306" s="64">
        <v>1</v>
      </c>
      <c r="AI306" s="4">
        <v>0</v>
      </c>
      <c r="AJ306" s="4">
        <v>0</v>
      </c>
      <c r="AK306" s="4">
        <v>0</v>
      </c>
    </row>
    <row r="307" spans="1:37" outlineLevel="1">
      <c r="A307" s="5">
        <v>300</v>
      </c>
      <c r="B307" s="64" t="s">
        <v>190</v>
      </c>
      <c r="C307" s="4" t="s">
        <v>236</v>
      </c>
      <c r="D307" s="4" t="str">
        <f>[1]Лист2!B300</f>
        <v>ГАЛЕРНАЯ ул.</v>
      </c>
      <c r="E307" s="69">
        <f>[1]Лист2!C300</f>
        <v>46</v>
      </c>
      <c r="F307" s="197" t="str">
        <f>[1]Лист2!D300</f>
        <v>А</v>
      </c>
      <c r="G307" s="4"/>
      <c r="H307" s="199">
        <v>129300</v>
      </c>
      <c r="I307" s="64" t="s">
        <v>234</v>
      </c>
      <c r="J307" s="4"/>
      <c r="K307" s="64" t="s">
        <v>232</v>
      </c>
      <c r="L307" s="4" t="s">
        <v>232</v>
      </c>
      <c r="M307" s="72">
        <v>1777</v>
      </c>
      <c r="N307" s="64" t="s">
        <v>385</v>
      </c>
      <c r="O307" s="73">
        <v>4</v>
      </c>
      <c r="P307" s="196">
        <v>0</v>
      </c>
      <c r="Q307" s="73">
        <v>5</v>
      </c>
      <c r="R307" s="74">
        <v>43</v>
      </c>
      <c r="S307" s="76">
        <v>2628.1</v>
      </c>
      <c r="T307" s="82">
        <f t="shared" si="8"/>
        <v>1901.6</v>
      </c>
      <c r="U307" s="77">
        <f t="shared" si="9"/>
        <v>1901.6</v>
      </c>
      <c r="V307" s="78">
        <v>726.5</v>
      </c>
      <c r="W307" s="80" t="s">
        <v>233</v>
      </c>
      <c r="X307" s="81" t="s">
        <v>233</v>
      </c>
      <c r="Y307" s="4" t="s">
        <v>233</v>
      </c>
      <c r="Z307" s="81" t="s">
        <v>233</v>
      </c>
      <c r="AA307" s="64" t="s">
        <v>233</v>
      </c>
      <c r="AB307" s="81" t="s">
        <v>233</v>
      </c>
      <c r="AC307" s="4" t="s">
        <v>240</v>
      </c>
      <c r="AD307" s="64" t="s">
        <v>233</v>
      </c>
      <c r="AE307" s="64" t="s">
        <v>240</v>
      </c>
      <c r="AF307" s="208">
        <v>0</v>
      </c>
      <c r="AG307" s="4">
        <v>1</v>
      </c>
      <c r="AH307" s="64">
        <v>1</v>
      </c>
      <c r="AI307" s="4">
        <v>1</v>
      </c>
      <c r="AJ307" s="4">
        <v>1</v>
      </c>
      <c r="AK307" s="4">
        <v>0</v>
      </c>
    </row>
    <row r="308" spans="1:37" outlineLevel="1">
      <c r="A308" s="63">
        <v>301</v>
      </c>
      <c r="B308" s="64" t="s">
        <v>190</v>
      </c>
      <c r="C308" s="4" t="s">
        <v>236</v>
      </c>
      <c r="D308" s="4" t="str">
        <f>[1]Лист2!B301</f>
        <v>ГАЛЕРНАЯ ул.</v>
      </c>
      <c r="E308" s="69">
        <f>[1]Лист2!C301</f>
        <v>47</v>
      </c>
      <c r="F308" s="197" t="str">
        <f>[1]Лист2!D301</f>
        <v>А</v>
      </c>
      <c r="G308" s="64"/>
      <c r="H308" s="199">
        <v>129301</v>
      </c>
      <c r="I308" s="64" t="s">
        <v>234</v>
      </c>
      <c r="J308" s="4"/>
      <c r="K308" s="64" t="s">
        <v>232</v>
      </c>
      <c r="L308" s="4" t="s">
        <v>232</v>
      </c>
      <c r="M308" s="72">
        <v>1830</v>
      </c>
      <c r="N308" s="64" t="s">
        <v>385</v>
      </c>
      <c r="O308" s="73">
        <v>4</v>
      </c>
      <c r="P308" s="196">
        <v>0</v>
      </c>
      <c r="Q308" s="73">
        <v>5</v>
      </c>
      <c r="R308" s="74">
        <v>45</v>
      </c>
      <c r="S308" s="76">
        <v>5176.1000000000004</v>
      </c>
      <c r="T308" s="82">
        <f t="shared" si="8"/>
        <v>1430.8000000000002</v>
      </c>
      <c r="U308" s="77">
        <f t="shared" si="9"/>
        <v>1430.8000000000002</v>
      </c>
      <c r="V308" s="78">
        <v>3745.3</v>
      </c>
      <c r="W308" s="80" t="s">
        <v>233</v>
      </c>
      <c r="X308" s="81" t="s">
        <v>233</v>
      </c>
      <c r="Y308" s="4" t="s">
        <v>233</v>
      </c>
      <c r="Z308" s="81" t="s">
        <v>233</v>
      </c>
      <c r="AA308" s="64" t="s">
        <v>233</v>
      </c>
      <c r="AB308" s="81" t="s">
        <v>233</v>
      </c>
      <c r="AC308" s="4" t="s">
        <v>240</v>
      </c>
      <c r="AD308" s="64" t="s">
        <v>233</v>
      </c>
      <c r="AE308" s="64" t="s">
        <v>240</v>
      </c>
      <c r="AF308" s="208">
        <v>0</v>
      </c>
      <c r="AG308" s="4">
        <v>2</v>
      </c>
      <c r="AH308" s="64">
        <v>1</v>
      </c>
      <c r="AI308" s="4">
        <v>1</v>
      </c>
      <c r="AJ308" s="4">
        <v>1</v>
      </c>
      <c r="AK308" s="4">
        <v>0</v>
      </c>
    </row>
    <row r="309" spans="1:37" outlineLevel="1">
      <c r="A309" s="63">
        <v>302</v>
      </c>
      <c r="B309" s="64" t="s">
        <v>190</v>
      </c>
      <c r="C309" s="4" t="s">
        <v>236</v>
      </c>
      <c r="D309" s="4" t="str">
        <f>[1]Лист2!B302</f>
        <v>ГАЛЕРНАЯ ул.</v>
      </c>
      <c r="E309" s="69">
        <f>[1]Лист2!C302</f>
        <v>48</v>
      </c>
      <c r="F309" s="197" t="str">
        <f>[1]Лист2!D302</f>
        <v>А</v>
      </c>
      <c r="G309" s="64"/>
      <c r="H309" s="199">
        <v>129302</v>
      </c>
      <c r="I309" s="64" t="s">
        <v>234</v>
      </c>
      <c r="J309" s="4"/>
      <c r="K309" s="64" t="s">
        <v>232</v>
      </c>
      <c r="L309" s="4" t="s">
        <v>232</v>
      </c>
      <c r="M309" s="72">
        <v>1902</v>
      </c>
      <c r="N309" s="64" t="s">
        <v>385</v>
      </c>
      <c r="O309" s="73">
        <v>5</v>
      </c>
      <c r="P309" s="196">
        <v>0</v>
      </c>
      <c r="Q309" s="73">
        <v>4</v>
      </c>
      <c r="R309" s="74">
        <v>47</v>
      </c>
      <c r="S309" s="76">
        <v>4366.87</v>
      </c>
      <c r="T309" s="82">
        <f t="shared" si="8"/>
        <v>3419.77</v>
      </c>
      <c r="U309" s="77">
        <f t="shared" si="9"/>
        <v>3419.77</v>
      </c>
      <c r="V309" s="78">
        <v>947.1</v>
      </c>
      <c r="W309" s="80" t="s">
        <v>233</v>
      </c>
      <c r="X309" s="81" t="s">
        <v>233</v>
      </c>
      <c r="Y309" s="4" t="s">
        <v>233</v>
      </c>
      <c r="Z309" s="81" t="s">
        <v>233</v>
      </c>
      <c r="AA309" s="64" t="s">
        <v>233</v>
      </c>
      <c r="AB309" s="81" t="s">
        <v>233</v>
      </c>
      <c r="AC309" s="4" t="s">
        <v>240</v>
      </c>
      <c r="AD309" s="64" t="s">
        <v>233</v>
      </c>
      <c r="AE309" s="64" t="s">
        <v>240</v>
      </c>
      <c r="AF309" s="208">
        <v>0</v>
      </c>
      <c r="AG309" s="4">
        <v>1</v>
      </c>
      <c r="AH309" s="64">
        <v>1</v>
      </c>
      <c r="AI309" s="4">
        <v>1</v>
      </c>
      <c r="AJ309" s="4">
        <v>1</v>
      </c>
      <c r="AK309" s="4">
        <v>0</v>
      </c>
    </row>
    <row r="310" spans="1:37" outlineLevel="1">
      <c r="A310" s="5">
        <v>303</v>
      </c>
      <c r="B310" s="64" t="s">
        <v>190</v>
      </c>
      <c r="C310" s="4" t="s">
        <v>236</v>
      </c>
      <c r="D310" s="4" t="str">
        <f>[1]Лист2!B303</f>
        <v>ГАЛЕРНАЯ ул.</v>
      </c>
      <c r="E310" s="69">
        <f>[1]Лист2!C303</f>
        <v>49</v>
      </c>
      <c r="F310" s="197" t="str">
        <f>[1]Лист2!D303</f>
        <v>А</v>
      </c>
      <c r="G310" s="4"/>
      <c r="H310" s="199">
        <v>129303</v>
      </c>
      <c r="I310" s="64" t="s">
        <v>234</v>
      </c>
      <c r="J310" s="4"/>
      <c r="K310" s="64" t="s">
        <v>232</v>
      </c>
      <c r="L310" s="4" t="s">
        <v>232</v>
      </c>
      <c r="M310" s="72">
        <v>1848</v>
      </c>
      <c r="N310" s="64" t="s">
        <v>385</v>
      </c>
      <c r="O310" s="73">
        <v>4</v>
      </c>
      <c r="P310" s="196">
        <v>0</v>
      </c>
      <c r="Q310" s="73">
        <v>4</v>
      </c>
      <c r="R310" s="74">
        <v>34</v>
      </c>
      <c r="S310" s="76">
        <v>1703.9</v>
      </c>
      <c r="T310" s="82">
        <f t="shared" si="8"/>
        <v>1305.5</v>
      </c>
      <c r="U310" s="77">
        <f t="shared" si="9"/>
        <v>1305.5</v>
      </c>
      <c r="V310" s="78">
        <v>398.4</v>
      </c>
      <c r="W310" s="80" t="s">
        <v>233</v>
      </c>
      <c r="X310" s="81" t="s">
        <v>233</v>
      </c>
      <c r="Y310" s="4" t="s">
        <v>233</v>
      </c>
      <c r="Z310" s="81" t="s">
        <v>233</v>
      </c>
      <c r="AA310" s="64" t="s">
        <v>233</v>
      </c>
      <c r="AB310" s="81" t="s">
        <v>233</v>
      </c>
      <c r="AC310" s="4" t="s">
        <v>240</v>
      </c>
      <c r="AD310" s="64" t="s">
        <v>233</v>
      </c>
      <c r="AE310" s="64" t="s">
        <v>240</v>
      </c>
      <c r="AF310" s="208">
        <v>0</v>
      </c>
      <c r="AG310" s="4">
        <v>1</v>
      </c>
      <c r="AH310" s="64">
        <v>1</v>
      </c>
      <c r="AI310" s="4">
        <v>0</v>
      </c>
      <c r="AJ310" s="4">
        <v>0</v>
      </c>
      <c r="AK310" s="4">
        <v>0</v>
      </c>
    </row>
    <row r="311" spans="1:37" outlineLevel="1">
      <c r="A311" s="5">
        <v>304</v>
      </c>
      <c r="B311" s="64" t="s">
        <v>190</v>
      </c>
      <c r="C311" s="4" t="s">
        <v>236</v>
      </c>
      <c r="D311" s="4" t="str">
        <f>[1]Лист2!B304</f>
        <v>ГАЛЕРНАЯ ул.</v>
      </c>
      <c r="E311" s="69">
        <f>[1]Лист2!C304</f>
        <v>49</v>
      </c>
      <c r="F311" s="197" t="str">
        <f>[1]Лист2!D304</f>
        <v>Б</v>
      </c>
      <c r="G311" s="4"/>
      <c r="H311" s="199">
        <v>129304</v>
      </c>
      <c r="I311" s="64" t="s">
        <v>234</v>
      </c>
      <c r="J311" s="4" t="s">
        <v>1422</v>
      </c>
      <c r="K311" s="64" t="s">
        <v>232</v>
      </c>
      <c r="L311" s="4" t="s">
        <v>232</v>
      </c>
      <c r="M311" s="72">
        <v>1798</v>
      </c>
      <c r="N311" s="64" t="s">
        <v>385</v>
      </c>
      <c r="O311" s="73">
        <v>3</v>
      </c>
      <c r="P311" s="196">
        <v>0</v>
      </c>
      <c r="Q311" s="73">
        <v>1</v>
      </c>
      <c r="R311" s="74">
        <v>8</v>
      </c>
      <c r="S311" s="76">
        <v>461.3</v>
      </c>
      <c r="T311" s="82">
        <f t="shared" si="8"/>
        <v>0</v>
      </c>
      <c r="U311" s="77">
        <f t="shared" si="9"/>
        <v>0</v>
      </c>
      <c r="V311" s="78">
        <v>461.3</v>
      </c>
      <c r="W311" s="80" t="s">
        <v>233</v>
      </c>
      <c r="X311" s="81" t="s">
        <v>233</v>
      </c>
      <c r="Y311" s="4" t="s">
        <v>233</v>
      </c>
      <c r="Z311" s="81" t="s">
        <v>233</v>
      </c>
      <c r="AA311" s="64" t="s">
        <v>233</v>
      </c>
      <c r="AB311" s="81" t="s">
        <v>233</v>
      </c>
      <c r="AC311" s="4" t="s">
        <v>240</v>
      </c>
      <c r="AD311" s="64" t="s">
        <v>233</v>
      </c>
      <c r="AE311" s="64" t="s">
        <v>240</v>
      </c>
      <c r="AF311" s="209">
        <v>0</v>
      </c>
      <c r="AG311" s="4">
        <v>1</v>
      </c>
      <c r="AH311" s="64">
        <v>1</v>
      </c>
      <c r="AI311" s="4">
        <v>0</v>
      </c>
      <c r="AJ311" s="4">
        <v>0</v>
      </c>
      <c r="AK311" s="4">
        <v>0</v>
      </c>
    </row>
    <row r="312" spans="1:37" outlineLevel="1">
      <c r="A312" s="5">
        <v>305</v>
      </c>
      <c r="B312" s="64" t="s">
        <v>190</v>
      </c>
      <c r="C312" s="4" t="s">
        <v>236</v>
      </c>
      <c r="D312" s="4" t="str">
        <f>[1]Лист2!B305</f>
        <v>ГАЛЕРНАЯ ул.</v>
      </c>
      <c r="E312" s="69">
        <f>[1]Лист2!C305</f>
        <v>52</v>
      </c>
      <c r="F312" s="197" t="str">
        <f>[1]Лист2!D305</f>
        <v>А</v>
      </c>
      <c r="G312" s="64"/>
      <c r="H312" s="199">
        <v>129305</v>
      </c>
      <c r="I312" s="64" t="s">
        <v>234</v>
      </c>
      <c r="J312" s="4"/>
      <c r="K312" s="64" t="s">
        <v>232</v>
      </c>
      <c r="L312" s="4" t="s">
        <v>232</v>
      </c>
      <c r="M312" s="72">
        <v>1894</v>
      </c>
      <c r="N312" s="64" t="s">
        <v>385</v>
      </c>
      <c r="O312" s="73">
        <v>4</v>
      </c>
      <c r="P312" s="196">
        <v>0</v>
      </c>
      <c r="Q312" s="73">
        <v>3</v>
      </c>
      <c r="R312" s="74">
        <v>33</v>
      </c>
      <c r="S312" s="76">
        <v>2240.1999999999998</v>
      </c>
      <c r="T312" s="82">
        <f t="shared" si="8"/>
        <v>1901.1999999999998</v>
      </c>
      <c r="U312" s="77">
        <f t="shared" si="9"/>
        <v>1901.1999999999998</v>
      </c>
      <c r="V312" s="78">
        <v>339</v>
      </c>
      <c r="W312" s="80" t="s">
        <v>233</v>
      </c>
      <c r="X312" s="81" t="s">
        <v>233</v>
      </c>
      <c r="Y312" s="4" t="s">
        <v>233</v>
      </c>
      <c r="Z312" s="81" t="s">
        <v>233</v>
      </c>
      <c r="AA312" s="64" t="s">
        <v>233</v>
      </c>
      <c r="AB312" s="81" t="s">
        <v>233</v>
      </c>
      <c r="AC312" s="4" t="s">
        <v>240</v>
      </c>
      <c r="AD312" s="64" t="s">
        <v>233</v>
      </c>
      <c r="AE312" s="64" t="s">
        <v>240</v>
      </c>
      <c r="AF312" s="208">
        <v>0</v>
      </c>
      <c r="AG312" s="4">
        <v>1</v>
      </c>
      <c r="AH312" s="64">
        <v>1</v>
      </c>
      <c r="AI312" s="4">
        <v>0</v>
      </c>
      <c r="AJ312" s="4">
        <v>0</v>
      </c>
      <c r="AK312" s="4">
        <v>0</v>
      </c>
    </row>
    <row r="313" spans="1:37" outlineLevel="1">
      <c r="A313" s="5">
        <v>306</v>
      </c>
      <c r="B313" s="64" t="s">
        <v>190</v>
      </c>
      <c r="C313" s="4" t="s">
        <v>236</v>
      </c>
      <c r="D313" s="4" t="str">
        <f>[1]Лист2!B306</f>
        <v>ГАЛЕРНАЯ ул.</v>
      </c>
      <c r="E313" s="69">
        <f>[1]Лист2!C306</f>
        <v>52</v>
      </c>
      <c r="F313" s="197" t="str">
        <f>[1]Лист2!D306</f>
        <v>Б</v>
      </c>
      <c r="G313" s="64"/>
      <c r="H313" s="199">
        <v>129306</v>
      </c>
      <c r="I313" s="64" t="s">
        <v>234</v>
      </c>
      <c r="J313" s="4"/>
      <c r="K313" s="64" t="s">
        <v>232</v>
      </c>
      <c r="L313" s="4" t="s">
        <v>232</v>
      </c>
      <c r="M313" s="72">
        <v>1798</v>
      </c>
      <c r="N313" s="64" t="s">
        <v>385</v>
      </c>
      <c r="O313" s="73">
        <v>3</v>
      </c>
      <c r="P313" s="196">
        <v>0</v>
      </c>
      <c r="Q313" s="73">
        <v>2</v>
      </c>
      <c r="R313" s="74">
        <v>32</v>
      </c>
      <c r="S313" s="76">
        <v>934.7</v>
      </c>
      <c r="T313" s="82">
        <f t="shared" si="8"/>
        <v>934.7</v>
      </c>
      <c r="U313" s="77">
        <f t="shared" si="9"/>
        <v>934.7</v>
      </c>
      <c r="V313" s="78">
        <v>0</v>
      </c>
      <c r="W313" s="80" t="s">
        <v>233</v>
      </c>
      <c r="X313" s="81" t="s">
        <v>233</v>
      </c>
      <c r="Y313" s="4" t="s">
        <v>233</v>
      </c>
      <c r="Z313" s="81" t="s">
        <v>233</v>
      </c>
      <c r="AA313" s="64" t="s">
        <v>233</v>
      </c>
      <c r="AB313" s="81" t="s">
        <v>233</v>
      </c>
      <c r="AC313" s="4" t="s">
        <v>240</v>
      </c>
      <c r="AD313" s="64" t="s">
        <v>233</v>
      </c>
      <c r="AE313" s="64" t="s">
        <v>240</v>
      </c>
      <c r="AF313" s="209">
        <v>0</v>
      </c>
      <c r="AG313" s="4">
        <v>1</v>
      </c>
      <c r="AH313" s="64">
        <v>1</v>
      </c>
      <c r="AI313" s="4">
        <v>0</v>
      </c>
      <c r="AJ313" s="4">
        <v>0</v>
      </c>
      <c r="AK313" s="4">
        <v>0</v>
      </c>
    </row>
    <row r="314" spans="1:37" outlineLevel="1">
      <c r="A314" s="63">
        <v>307</v>
      </c>
      <c r="B314" s="64" t="s">
        <v>190</v>
      </c>
      <c r="C314" s="4" t="s">
        <v>236</v>
      </c>
      <c r="D314" s="4" t="str">
        <f>[1]Лист2!B307</f>
        <v>ГАЛЕРНАЯ ул.</v>
      </c>
      <c r="E314" s="69">
        <f>[1]Лист2!C307</f>
        <v>54</v>
      </c>
      <c r="F314" s="197" t="str">
        <f>[1]Лист2!D307</f>
        <v>А</v>
      </c>
      <c r="G314" s="4"/>
      <c r="H314" s="199">
        <v>129307</v>
      </c>
      <c r="I314" s="64" t="s">
        <v>234</v>
      </c>
      <c r="J314" s="4"/>
      <c r="K314" s="64" t="s">
        <v>232</v>
      </c>
      <c r="L314" s="4" t="s">
        <v>232</v>
      </c>
      <c r="M314" s="72">
        <v>1828</v>
      </c>
      <c r="N314" s="64" t="s">
        <v>385</v>
      </c>
      <c r="O314" s="73">
        <v>4</v>
      </c>
      <c r="P314" s="196">
        <v>0</v>
      </c>
      <c r="Q314" s="73">
        <v>5</v>
      </c>
      <c r="R314" s="74">
        <v>70</v>
      </c>
      <c r="S314" s="76">
        <v>2892.9</v>
      </c>
      <c r="T314" s="82">
        <f t="shared" si="8"/>
        <v>2680.6</v>
      </c>
      <c r="U314" s="77">
        <f t="shared" si="9"/>
        <v>2680.6</v>
      </c>
      <c r="V314" s="78">
        <v>212.3</v>
      </c>
      <c r="W314" s="80" t="s">
        <v>233</v>
      </c>
      <c r="X314" s="81" t="s">
        <v>233</v>
      </c>
      <c r="Y314" s="4" t="s">
        <v>233</v>
      </c>
      <c r="Z314" s="81" t="s">
        <v>233</v>
      </c>
      <c r="AA314" s="64" t="s">
        <v>233</v>
      </c>
      <c r="AB314" s="81" t="s">
        <v>233</v>
      </c>
      <c r="AC314" s="4" t="s">
        <v>240</v>
      </c>
      <c r="AD314" s="64" t="s">
        <v>233</v>
      </c>
      <c r="AE314" s="64" t="s">
        <v>240</v>
      </c>
      <c r="AF314" s="208">
        <v>0</v>
      </c>
      <c r="AG314" s="4">
        <v>1</v>
      </c>
      <c r="AH314" s="64">
        <v>1</v>
      </c>
      <c r="AI314" s="4">
        <v>0</v>
      </c>
      <c r="AJ314" s="4">
        <v>0</v>
      </c>
      <c r="AK314" s="4">
        <v>0</v>
      </c>
    </row>
    <row r="315" spans="1:37" outlineLevel="1">
      <c r="A315" s="63">
        <v>308</v>
      </c>
      <c r="B315" s="64" t="s">
        <v>190</v>
      </c>
      <c r="C315" s="4" t="s">
        <v>236</v>
      </c>
      <c r="D315" s="4" t="str">
        <f>[1]Лист2!B308</f>
        <v>ГАЛЕРНАЯ ул.</v>
      </c>
      <c r="E315" s="69">
        <f>[1]Лист2!C308</f>
        <v>54</v>
      </c>
      <c r="F315" s="197" t="str">
        <f>[1]Лист2!D308</f>
        <v>Б</v>
      </c>
      <c r="G315" s="4"/>
      <c r="H315" s="199">
        <v>129308</v>
      </c>
      <c r="I315" s="64" t="s">
        <v>234</v>
      </c>
      <c r="J315" s="4"/>
      <c r="K315" s="64" t="s">
        <v>232</v>
      </c>
      <c r="L315" s="4" t="s">
        <v>232</v>
      </c>
      <c r="M315" s="72">
        <v>1828</v>
      </c>
      <c r="N315" s="64" t="s">
        <v>385</v>
      </c>
      <c r="O315" s="73">
        <v>3</v>
      </c>
      <c r="P315" s="196">
        <v>0</v>
      </c>
      <c r="Q315" s="73">
        <v>1</v>
      </c>
      <c r="R315" s="74">
        <v>10</v>
      </c>
      <c r="S315" s="76">
        <v>249.1</v>
      </c>
      <c r="T315" s="82">
        <f t="shared" si="8"/>
        <v>249.1</v>
      </c>
      <c r="U315" s="77">
        <f t="shared" si="9"/>
        <v>249.1</v>
      </c>
      <c r="V315" s="78">
        <v>0</v>
      </c>
      <c r="W315" s="80" t="s">
        <v>233</v>
      </c>
      <c r="X315" s="81" t="s">
        <v>233</v>
      </c>
      <c r="Y315" s="4" t="s">
        <v>233</v>
      </c>
      <c r="Z315" s="81" t="s">
        <v>233</v>
      </c>
      <c r="AA315" s="64" t="s">
        <v>233</v>
      </c>
      <c r="AB315" s="81" t="s">
        <v>233</v>
      </c>
      <c r="AC315" s="4" t="s">
        <v>240</v>
      </c>
      <c r="AD315" s="64" t="s">
        <v>233</v>
      </c>
      <c r="AE315" s="64" t="s">
        <v>240</v>
      </c>
      <c r="AF315" s="209">
        <v>0</v>
      </c>
      <c r="AG315" s="4">
        <v>1</v>
      </c>
      <c r="AH315" s="64">
        <v>1</v>
      </c>
      <c r="AI315" s="4">
        <v>1</v>
      </c>
      <c r="AJ315" s="4">
        <v>1</v>
      </c>
      <c r="AK315" s="4">
        <v>0</v>
      </c>
    </row>
    <row r="316" spans="1:37" outlineLevel="1">
      <c r="A316" s="5">
        <v>309</v>
      </c>
      <c r="B316" s="64" t="s">
        <v>190</v>
      </c>
      <c r="C316" s="4" t="s">
        <v>236</v>
      </c>
      <c r="D316" s="4" t="str">
        <f>[1]Лист2!B309</f>
        <v>ГАЛЕРНАЯ ул.</v>
      </c>
      <c r="E316" s="69">
        <f>[1]Лист2!C309</f>
        <v>56</v>
      </c>
      <c r="F316" s="197" t="str">
        <f>[1]Лист2!D309</f>
        <v>А</v>
      </c>
      <c r="G316" s="64"/>
      <c r="H316" s="199">
        <v>129309</v>
      </c>
      <c r="I316" s="64" t="s">
        <v>234</v>
      </c>
      <c r="J316" s="4"/>
      <c r="K316" s="64" t="s">
        <v>232</v>
      </c>
      <c r="L316" s="4" t="s">
        <v>232</v>
      </c>
      <c r="M316" s="72">
        <v>1856</v>
      </c>
      <c r="N316" s="64" t="s">
        <v>385</v>
      </c>
      <c r="O316" s="73">
        <v>4</v>
      </c>
      <c r="P316" s="196">
        <v>0</v>
      </c>
      <c r="Q316" s="73">
        <v>3</v>
      </c>
      <c r="R316" s="74">
        <v>73</v>
      </c>
      <c r="S316" s="76">
        <v>1849.7999999999997</v>
      </c>
      <c r="T316" s="82">
        <f t="shared" si="8"/>
        <v>1580.3999999999996</v>
      </c>
      <c r="U316" s="77">
        <f t="shared" si="9"/>
        <v>1580.3999999999996</v>
      </c>
      <c r="V316" s="78">
        <v>269.39999999999998</v>
      </c>
      <c r="W316" s="80" t="s">
        <v>233</v>
      </c>
      <c r="X316" s="81" t="s">
        <v>233</v>
      </c>
      <c r="Y316" s="4" t="s">
        <v>233</v>
      </c>
      <c r="Z316" s="81" t="s">
        <v>233</v>
      </c>
      <c r="AA316" s="64" t="s">
        <v>233</v>
      </c>
      <c r="AB316" s="81" t="s">
        <v>233</v>
      </c>
      <c r="AC316" s="4" t="s">
        <v>240</v>
      </c>
      <c r="AD316" s="64" t="s">
        <v>233</v>
      </c>
      <c r="AE316" s="64" t="s">
        <v>240</v>
      </c>
      <c r="AF316" s="208">
        <v>0</v>
      </c>
      <c r="AG316" s="4">
        <v>1</v>
      </c>
      <c r="AH316" s="64">
        <v>1</v>
      </c>
      <c r="AI316" s="4">
        <v>1</v>
      </c>
      <c r="AJ316" s="4">
        <v>1</v>
      </c>
      <c r="AK316" s="4">
        <v>0</v>
      </c>
    </row>
    <row r="317" spans="1:37" outlineLevel="1">
      <c r="A317" s="5">
        <v>310</v>
      </c>
      <c r="B317" s="64" t="s">
        <v>190</v>
      </c>
      <c r="C317" s="4" t="s">
        <v>236</v>
      </c>
      <c r="D317" s="4" t="str">
        <f>[1]Лист2!B310</f>
        <v>ГАЛЕРНАЯ ул.</v>
      </c>
      <c r="E317" s="69">
        <f>[1]Лист2!C310</f>
        <v>56</v>
      </c>
      <c r="F317" s="197" t="str">
        <f>[1]Лист2!D310</f>
        <v>Б</v>
      </c>
      <c r="G317" s="64"/>
      <c r="H317" s="199">
        <v>129310</v>
      </c>
      <c r="I317" s="64" t="s">
        <v>234</v>
      </c>
      <c r="J317" s="4"/>
      <c r="K317" s="64" t="s">
        <v>232</v>
      </c>
      <c r="L317" s="4" t="s">
        <v>232</v>
      </c>
      <c r="M317" s="72">
        <v>1798</v>
      </c>
      <c r="N317" s="64" t="s">
        <v>385</v>
      </c>
      <c r="O317" s="73">
        <v>4</v>
      </c>
      <c r="P317" s="196">
        <v>0</v>
      </c>
      <c r="Q317" s="73">
        <v>3</v>
      </c>
      <c r="R317" s="74">
        <v>64</v>
      </c>
      <c r="S317" s="76">
        <v>1999.3999999999999</v>
      </c>
      <c r="T317" s="82">
        <f t="shared" si="8"/>
        <v>1768.6</v>
      </c>
      <c r="U317" s="77">
        <f t="shared" si="9"/>
        <v>1768.6</v>
      </c>
      <c r="V317" s="78">
        <v>230.8</v>
      </c>
      <c r="W317" s="80" t="s">
        <v>233</v>
      </c>
      <c r="X317" s="81" t="s">
        <v>233</v>
      </c>
      <c r="Y317" s="4" t="s">
        <v>233</v>
      </c>
      <c r="Z317" s="81" t="s">
        <v>233</v>
      </c>
      <c r="AA317" s="64" t="s">
        <v>233</v>
      </c>
      <c r="AB317" s="81" t="s">
        <v>233</v>
      </c>
      <c r="AC317" s="4" t="s">
        <v>240</v>
      </c>
      <c r="AD317" s="64" t="s">
        <v>233</v>
      </c>
      <c r="AE317" s="64" t="s">
        <v>240</v>
      </c>
      <c r="AF317" s="209">
        <v>0</v>
      </c>
      <c r="AG317" s="4">
        <v>1</v>
      </c>
      <c r="AH317" s="64">
        <v>1</v>
      </c>
      <c r="AI317" s="4">
        <v>0</v>
      </c>
      <c r="AJ317" s="4">
        <v>0</v>
      </c>
      <c r="AK317" s="4">
        <v>0</v>
      </c>
    </row>
    <row r="318" spans="1:37" outlineLevel="1">
      <c r="A318" s="5">
        <v>311</v>
      </c>
      <c r="B318" s="64" t="s">
        <v>190</v>
      </c>
      <c r="C318" s="4" t="s">
        <v>236</v>
      </c>
      <c r="D318" s="4" t="str">
        <f>[1]Лист2!B311</f>
        <v>ГАЛЕРНАЯ ул.</v>
      </c>
      <c r="E318" s="69">
        <f>[1]Лист2!C311</f>
        <v>59</v>
      </c>
      <c r="F318" s="197" t="str">
        <f>[1]Лист2!D311</f>
        <v>А</v>
      </c>
      <c r="G318" s="4"/>
      <c r="H318" s="199">
        <v>129311</v>
      </c>
      <c r="I318" s="64" t="s">
        <v>234</v>
      </c>
      <c r="J318" s="4"/>
      <c r="K318" s="64" t="s">
        <v>232</v>
      </c>
      <c r="L318" s="4" t="s">
        <v>232</v>
      </c>
      <c r="M318" s="72">
        <v>1858</v>
      </c>
      <c r="N318" s="64" t="s">
        <v>385</v>
      </c>
      <c r="O318" s="73">
        <v>3</v>
      </c>
      <c r="P318" s="196">
        <v>0</v>
      </c>
      <c r="Q318" s="73">
        <v>7</v>
      </c>
      <c r="R318" s="74">
        <v>67</v>
      </c>
      <c r="S318" s="76">
        <v>3130</v>
      </c>
      <c r="T318" s="82">
        <f t="shared" si="8"/>
        <v>2563.41</v>
      </c>
      <c r="U318" s="77">
        <f t="shared" si="9"/>
        <v>2563.41</v>
      </c>
      <c r="V318" s="78">
        <v>566.59</v>
      </c>
      <c r="W318" s="80" t="s">
        <v>233</v>
      </c>
      <c r="X318" s="81" t="s">
        <v>233</v>
      </c>
      <c r="Y318" s="4" t="s">
        <v>233</v>
      </c>
      <c r="Z318" s="81" t="s">
        <v>233</v>
      </c>
      <c r="AA318" s="64" t="s">
        <v>233</v>
      </c>
      <c r="AB318" s="81" t="s">
        <v>233</v>
      </c>
      <c r="AC318" s="4" t="s">
        <v>240</v>
      </c>
      <c r="AD318" s="64" t="s">
        <v>233</v>
      </c>
      <c r="AE318" s="64" t="s">
        <v>240</v>
      </c>
      <c r="AF318" s="208">
        <v>0</v>
      </c>
      <c r="AG318" s="4">
        <v>2</v>
      </c>
      <c r="AH318" s="64">
        <v>1</v>
      </c>
      <c r="AI318" s="4">
        <v>1</v>
      </c>
      <c r="AJ318" s="4">
        <v>1</v>
      </c>
      <c r="AK318" s="4">
        <v>0</v>
      </c>
    </row>
    <row r="319" spans="1:37" outlineLevel="1">
      <c r="A319" s="5">
        <v>312</v>
      </c>
      <c r="B319" s="64" t="s">
        <v>190</v>
      </c>
      <c r="C319" s="4" t="s">
        <v>236</v>
      </c>
      <c r="D319" s="4" t="str">
        <f>[1]Лист2!B312</f>
        <v>ГАЛЕРНАЯ ул.</v>
      </c>
      <c r="E319" s="69">
        <f>[1]Лист2!C312</f>
        <v>61</v>
      </c>
      <c r="F319" s="197" t="str">
        <f>[1]Лист2!D312</f>
        <v>А</v>
      </c>
      <c r="G319" s="4"/>
      <c r="H319" s="199">
        <v>129312</v>
      </c>
      <c r="I319" s="64" t="s">
        <v>234</v>
      </c>
      <c r="J319" s="4"/>
      <c r="K319" s="64" t="s">
        <v>232</v>
      </c>
      <c r="L319" s="4" t="s">
        <v>232</v>
      </c>
      <c r="M319" s="72">
        <v>1864</v>
      </c>
      <c r="N319" s="64" t="s">
        <v>385</v>
      </c>
      <c r="O319" s="73">
        <v>3</v>
      </c>
      <c r="P319" s="196">
        <v>0</v>
      </c>
      <c r="Q319" s="73">
        <v>1</v>
      </c>
      <c r="R319" s="74">
        <v>24</v>
      </c>
      <c r="S319" s="76">
        <v>551</v>
      </c>
      <c r="T319" s="82">
        <f t="shared" si="8"/>
        <v>427</v>
      </c>
      <c r="U319" s="77">
        <f t="shared" si="9"/>
        <v>427</v>
      </c>
      <c r="V319" s="78">
        <v>124</v>
      </c>
      <c r="W319" s="80" t="s">
        <v>233</v>
      </c>
      <c r="X319" s="81" t="s">
        <v>233</v>
      </c>
      <c r="Y319" s="4" t="s">
        <v>233</v>
      </c>
      <c r="Z319" s="81" t="s">
        <v>233</v>
      </c>
      <c r="AA319" s="64" t="s">
        <v>233</v>
      </c>
      <c r="AB319" s="81" t="s">
        <v>233</v>
      </c>
      <c r="AC319" s="4" t="s">
        <v>240</v>
      </c>
      <c r="AD319" s="64" t="s">
        <v>233</v>
      </c>
      <c r="AE319" s="64" t="s">
        <v>240</v>
      </c>
      <c r="AF319" s="208">
        <v>0</v>
      </c>
      <c r="AG319" s="4">
        <v>1</v>
      </c>
      <c r="AH319" s="64">
        <v>1</v>
      </c>
      <c r="AI319" s="4">
        <v>1</v>
      </c>
      <c r="AJ319" s="4">
        <v>1</v>
      </c>
      <c r="AK319" s="4">
        <v>0</v>
      </c>
    </row>
    <row r="320" spans="1:37" outlineLevel="1">
      <c r="A320" s="63">
        <v>313</v>
      </c>
      <c r="B320" s="64" t="s">
        <v>190</v>
      </c>
      <c r="C320" s="4" t="s">
        <v>236</v>
      </c>
      <c r="D320" s="4" t="str">
        <f>[1]Лист2!B313</f>
        <v>ГАЛЕРНАЯ ул.</v>
      </c>
      <c r="E320" s="69">
        <f>[1]Лист2!C313</f>
        <v>61</v>
      </c>
      <c r="F320" s="197" t="str">
        <f>[1]Лист2!D313</f>
        <v>Б</v>
      </c>
      <c r="G320" s="64"/>
      <c r="H320" s="199">
        <v>129313</v>
      </c>
      <c r="I320" s="64" t="s">
        <v>234</v>
      </c>
      <c r="J320" s="4"/>
      <c r="K320" s="64" t="s">
        <v>232</v>
      </c>
      <c r="L320" s="4" t="s">
        <v>232</v>
      </c>
      <c r="M320" s="72">
        <v>1901</v>
      </c>
      <c r="N320" s="64" t="s">
        <v>385</v>
      </c>
      <c r="O320" s="73">
        <v>4</v>
      </c>
      <c r="P320" s="196">
        <v>0</v>
      </c>
      <c r="Q320" s="73">
        <v>5</v>
      </c>
      <c r="R320" s="74">
        <v>24</v>
      </c>
      <c r="S320" s="76">
        <v>2002</v>
      </c>
      <c r="T320" s="82">
        <f t="shared" si="8"/>
        <v>2002</v>
      </c>
      <c r="U320" s="77">
        <f t="shared" si="9"/>
        <v>2002</v>
      </c>
      <c r="V320" s="78">
        <v>0</v>
      </c>
      <c r="W320" s="80" t="s">
        <v>233</v>
      </c>
      <c r="X320" s="81" t="s">
        <v>233</v>
      </c>
      <c r="Y320" s="4" t="s">
        <v>233</v>
      </c>
      <c r="Z320" s="81" t="s">
        <v>233</v>
      </c>
      <c r="AA320" s="64" t="s">
        <v>233</v>
      </c>
      <c r="AB320" s="81" t="s">
        <v>233</v>
      </c>
      <c r="AC320" s="4" t="s">
        <v>240</v>
      </c>
      <c r="AD320" s="64" t="s">
        <v>233</v>
      </c>
      <c r="AE320" s="64" t="s">
        <v>240</v>
      </c>
      <c r="AF320" s="209">
        <v>0</v>
      </c>
      <c r="AG320" s="4">
        <v>1</v>
      </c>
      <c r="AH320" s="64">
        <v>1</v>
      </c>
      <c r="AI320" s="4">
        <v>0</v>
      </c>
      <c r="AJ320" s="4">
        <v>0</v>
      </c>
      <c r="AK320" s="4">
        <v>0</v>
      </c>
    </row>
    <row r="321" spans="1:37" outlineLevel="1">
      <c r="A321" s="63">
        <v>314</v>
      </c>
      <c r="B321" s="64" t="s">
        <v>190</v>
      </c>
      <c r="C321" s="4" t="s">
        <v>236</v>
      </c>
      <c r="D321" s="4" t="str">
        <f>[1]Лист2!B314</f>
        <v>ГАЛЕРНАЯ ул.</v>
      </c>
      <c r="E321" s="69">
        <f>[1]Лист2!C314</f>
        <v>67</v>
      </c>
      <c r="F321" s="197" t="str">
        <f>[1]Лист2!D314</f>
        <v>А</v>
      </c>
      <c r="G321" s="64"/>
      <c r="H321" s="199">
        <v>129314</v>
      </c>
      <c r="I321" s="64" t="s">
        <v>234</v>
      </c>
      <c r="J321" s="4"/>
      <c r="K321" s="64" t="s">
        <v>232</v>
      </c>
      <c r="L321" s="4" t="s">
        <v>232</v>
      </c>
      <c r="M321" s="72">
        <v>1798</v>
      </c>
      <c r="N321" s="64" t="s">
        <v>385</v>
      </c>
      <c r="O321" s="73">
        <v>3</v>
      </c>
      <c r="P321" s="196">
        <v>0</v>
      </c>
      <c r="Q321" s="73">
        <v>6</v>
      </c>
      <c r="R321" s="74">
        <v>51</v>
      </c>
      <c r="S321" s="76">
        <v>3491.4</v>
      </c>
      <c r="T321" s="82">
        <f t="shared" si="8"/>
        <v>2613.5</v>
      </c>
      <c r="U321" s="77">
        <f t="shared" si="9"/>
        <v>2613.5</v>
      </c>
      <c r="V321" s="78">
        <v>877.9</v>
      </c>
      <c r="W321" s="80" t="s">
        <v>233</v>
      </c>
      <c r="X321" s="81" t="s">
        <v>233</v>
      </c>
      <c r="Y321" s="4" t="s">
        <v>233</v>
      </c>
      <c r="Z321" s="81" t="s">
        <v>233</v>
      </c>
      <c r="AA321" s="64" t="s">
        <v>233</v>
      </c>
      <c r="AB321" s="81" t="s">
        <v>233</v>
      </c>
      <c r="AC321" s="4" t="s">
        <v>240</v>
      </c>
      <c r="AD321" s="64" t="s">
        <v>233</v>
      </c>
      <c r="AE321" s="64" t="s">
        <v>240</v>
      </c>
      <c r="AF321" s="208">
        <v>0</v>
      </c>
      <c r="AG321" s="4">
        <v>1</v>
      </c>
      <c r="AH321" s="64">
        <v>1</v>
      </c>
      <c r="AI321" s="4">
        <v>1</v>
      </c>
      <c r="AJ321" s="4">
        <v>1</v>
      </c>
      <c r="AK321" s="4">
        <v>0</v>
      </c>
    </row>
    <row r="322" spans="1:37" outlineLevel="1">
      <c r="A322" s="5">
        <v>315</v>
      </c>
      <c r="B322" s="64" t="s">
        <v>190</v>
      </c>
      <c r="C322" s="4" t="s">
        <v>236</v>
      </c>
      <c r="D322" s="4" t="str">
        <f>[1]Лист2!B315</f>
        <v>ГАЛЕРНАЯ ул.</v>
      </c>
      <c r="E322" s="69">
        <f>[1]Лист2!C315</f>
        <v>77</v>
      </c>
      <c r="F322" s="197" t="str">
        <f>[1]Лист2!D315</f>
        <v>А</v>
      </c>
      <c r="G322" s="4"/>
      <c r="H322" s="199">
        <v>129315</v>
      </c>
      <c r="I322" s="64" t="s">
        <v>234</v>
      </c>
      <c r="J322" s="4"/>
      <c r="K322" s="64" t="s">
        <v>232</v>
      </c>
      <c r="L322" s="4" t="s">
        <v>232</v>
      </c>
      <c r="M322" s="72">
        <v>1828</v>
      </c>
      <c r="N322" s="64" t="s">
        <v>385</v>
      </c>
      <c r="O322" s="73">
        <v>5</v>
      </c>
      <c r="P322" s="196">
        <v>0</v>
      </c>
      <c r="Q322" s="73">
        <v>6</v>
      </c>
      <c r="R322" s="74">
        <v>73</v>
      </c>
      <c r="S322" s="76">
        <v>3213.3999999999996</v>
      </c>
      <c r="T322" s="82">
        <f t="shared" si="8"/>
        <v>3213.3999999999996</v>
      </c>
      <c r="U322" s="77">
        <f t="shared" si="9"/>
        <v>3213.3999999999996</v>
      </c>
      <c r="V322" s="78">
        <v>0</v>
      </c>
      <c r="W322" s="80" t="s">
        <v>233</v>
      </c>
      <c r="X322" s="81" t="s">
        <v>233</v>
      </c>
      <c r="Y322" s="4" t="s">
        <v>233</v>
      </c>
      <c r="Z322" s="81" t="s">
        <v>233</v>
      </c>
      <c r="AA322" s="64" t="s">
        <v>233</v>
      </c>
      <c r="AB322" s="81" t="s">
        <v>233</v>
      </c>
      <c r="AC322" s="4" t="s">
        <v>240</v>
      </c>
      <c r="AD322" s="64" t="s">
        <v>233</v>
      </c>
      <c r="AE322" s="64" t="s">
        <v>240</v>
      </c>
      <c r="AF322" s="208">
        <v>0</v>
      </c>
      <c r="AG322" s="4">
        <v>1</v>
      </c>
      <c r="AH322" s="64">
        <v>1</v>
      </c>
      <c r="AI322" s="4">
        <v>1</v>
      </c>
      <c r="AJ322" s="4">
        <v>1</v>
      </c>
      <c r="AK322" s="4">
        <v>0</v>
      </c>
    </row>
    <row r="323" spans="1:37" outlineLevel="1">
      <c r="A323" s="5">
        <v>316</v>
      </c>
      <c r="B323" s="64" t="s">
        <v>190</v>
      </c>
      <c r="C323" s="4" t="s">
        <v>236</v>
      </c>
      <c r="D323" s="4" t="str">
        <f>[1]Лист2!B316</f>
        <v>ГАЛЕРНАЯ ул.</v>
      </c>
      <c r="E323" s="69">
        <f>[1]Лист2!C316</f>
        <v>77</v>
      </c>
      <c r="F323" s="197" t="str">
        <f>[1]Лист2!D316</f>
        <v>Б</v>
      </c>
      <c r="G323" s="4"/>
      <c r="H323" s="199">
        <v>129316</v>
      </c>
      <c r="I323" s="64" t="s">
        <v>234</v>
      </c>
      <c r="J323" s="4"/>
      <c r="K323" s="64" t="s">
        <v>232</v>
      </c>
      <c r="L323" s="4" t="s">
        <v>232</v>
      </c>
      <c r="M323" s="72">
        <v>1828</v>
      </c>
      <c r="N323" s="64" t="s">
        <v>385</v>
      </c>
      <c r="O323" s="73">
        <v>3</v>
      </c>
      <c r="P323" s="196">
        <v>0</v>
      </c>
      <c r="Q323" s="73">
        <v>1</v>
      </c>
      <c r="R323" s="74">
        <v>15</v>
      </c>
      <c r="S323" s="76">
        <v>366.7</v>
      </c>
      <c r="T323" s="82">
        <f t="shared" si="8"/>
        <v>359.4</v>
      </c>
      <c r="U323" s="77">
        <f t="shared" si="9"/>
        <v>359.4</v>
      </c>
      <c r="V323" s="78">
        <v>7.3</v>
      </c>
      <c r="W323" s="80" t="s">
        <v>233</v>
      </c>
      <c r="X323" s="81" t="s">
        <v>233</v>
      </c>
      <c r="Y323" s="4" t="s">
        <v>233</v>
      </c>
      <c r="Z323" s="81" t="s">
        <v>233</v>
      </c>
      <c r="AA323" s="64" t="s">
        <v>233</v>
      </c>
      <c r="AB323" s="81" t="s">
        <v>233</v>
      </c>
      <c r="AC323" s="4" t="s">
        <v>240</v>
      </c>
      <c r="AD323" s="64" t="s">
        <v>233</v>
      </c>
      <c r="AE323" s="64" t="s">
        <v>240</v>
      </c>
      <c r="AF323" s="209">
        <v>0</v>
      </c>
      <c r="AG323" s="4">
        <v>1</v>
      </c>
      <c r="AH323" s="64">
        <v>1</v>
      </c>
      <c r="AI323" s="4">
        <v>0</v>
      </c>
      <c r="AJ323" s="4">
        <v>0</v>
      </c>
      <c r="AK323" s="4">
        <v>0</v>
      </c>
    </row>
    <row r="324" spans="1:37" outlineLevel="1">
      <c r="A324" s="5">
        <v>317</v>
      </c>
      <c r="B324" s="64" t="s">
        <v>190</v>
      </c>
      <c r="C324" s="4" t="s">
        <v>236</v>
      </c>
      <c r="D324" s="4" t="str">
        <f>[1]Лист2!B317</f>
        <v>ГАЛЕРНАЯ ул.</v>
      </c>
      <c r="E324" s="69">
        <f>[1]Лист2!C317</f>
        <v>8</v>
      </c>
      <c r="F324" s="197" t="str">
        <f>[1]Лист2!D317</f>
        <v>А</v>
      </c>
      <c r="G324" s="64"/>
      <c r="H324" s="199">
        <v>129317</v>
      </c>
      <c r="I324" s="64" t="s">
        <v>234</v>
      </c>
      <c r="J324" s="4"/>
      <c r="K324" s="64" t="s">
        <v>232</v>
      </c>
      <c r="L324" s="4" t="s">
        <v>232</v>
      </c>
      <c r="M324" s="72">
        <v>1900</v>
      </c>
      <c r="N324" s="64" t="s">
        <v>385</v>
      </c>
      <c r="O324" s="73">
        <v>4</v>
      </c>
      <c r="P324" s="196">
        <v>0</v>
      </c>
      <c r="Q324" s="73">
        <v>2</v>
      </c>
      <c r="R324" s="74">
        <v>30</v>
      </c>
      <c r="S324" s="76">
        <v>2067.3000000000002</v>
      </c>
      <c r="T324" s="82">
        <f t="shared" si="8"/>
        <v>1401.3000000000002</v>
      </c>
      <c r="U324" s="77">
        <f t="shared" si="9"/>
        <v>1401.3000000000002</v>
      </c>
      <c r="V324" s="78">
        <v>666</v>
      </c>
      <c r="W324" s="80" t="s">
        <v>233</v>
      </c>
      <c r="X324" s="81" t="s">
        <v>233</v>
      </c>
      <c r="Y324" s="4" t="s">
        <v>233</v>
      </c>
      <c r="Z324" s="81" t="s">
        <v>233</v>
      </c>
      <c r="AA324" s="64" t="s">
        <v>233</v>
      </c>
      <c r="AB324" s="81" t="s">
        <v>233</v>
      </c>
      <c r="AC324" s="4" t="s">
        <v>240</v>
      </c>
      <c r="AD324" s="64" t="s">
        <v>233</v>
      </c>
      <c r="AE324" s="64" t="s">
        <v>240</v>
      </c>
      <c r="AF324" s="208">
        <v>0</v>
      </c>
      <c r="AG324" s="4">
        <v>1</v>
      </c>
      <c r="AH324" s="64">
        <v>1</v>
      </c>
      <c r="AI324" s="4">
        <v>1</v>
      </c>
      <c r="AJ324" s="4">
        <v>1</v>
      </c>
      <c r="AK324" s="4">
        <v>0</v>
      </c>
    </row>
    <row r="325" spans="1:37" outlineLevel="1">
      <c r="A325" s="5">
        <v>318</v>
      </c>
      <c r="B325" s="64" t="s">
        <v>190</v>
      </c>
      <c r="C325" s="4" t="s">
        <v>236</v>
      </c>
      <c r="D325" s="4" t="str">
        <f>[1]Лист2!B318</f>
        <v>ГОРОХОВАЯ ул.</v>
      </c>
      <c r="E325" s="69">
        <f>[1]Лист2!C318</f>
        <v>3</v>
      </c>
      <c r="F325" s="197" t="str">
        <f>[1]Лист2!D318</f>
        <v>А</v>
      </c>
      <c r="G325" s="64"/>
      <c r="H325" s="199">
        <v>129318</v>
      </c>
      <c r="I325" s="64" t="s">
        <v>234</v>
      </c>
      <c r="J325" s="4"/>
      <c r="K325" s="64" t="s">
        <v>232</v>
      </c>
      <c r="L325" s="4" t="s">
        <v>232</v>
      </c>
      <c r="M325" s="72">
        <v>1914</v>
      </c>
      <c r="N325" s="64" t="s">
        <v>385</v>
      </c>
      <c r="O325" s="73">
        <v>7</v>
      </c>
      <c r="P325" s="196">
        <v>0</v>
      </c>
      <c r="Q325" s="73">
        <v>7</v>
      </c>
      <c r="R325" s="74">
        <v>121</v>
      </c>
      <c r="S325" s="76">
        <v>7205.4000000000005</v>
      </c>
      <c r="T325" s="82">
        <f t="shared" si="8"/>
        <v>5428.9000000000005</v>
      </c>
      <c r="U325" s="77">
        <f t="shared" si="9"/>
        <v>5428.9000000000005</v>
      </c>
      <c r="V325" s="78">
        <v>1776.5</v>
      </c>
      <c r="W325" s="80" t="s">
        <v>233</v>
      </c>
      <c r="X325" s="81" t="s">
        <v>233</v>
      </c>
      <c r="Y325" s="4" t="s">
        <v>233</v>
      </c>
      <c r="Z325" s="81" t="s">
        <v>233</v>
      </c>
      <c r="AA325" s="64" t="s">
        <v>233</v>
      </c>
      <c r="AB325" s="81" t="s">
        <v>233</v>
      </c>
      <c r="AC325" s="4" t="s">
        <v>240</v>
      </c>
      <c r="AD325" s="64" t="s">
        <v>233</v>
      </c>
      <c r="AE325" s="64" t="s">
        <v>240</v>
      </c>
      <c r="AF325" s="209">
        <v>0</v>
      </c>
      <c r="AG325" s="4">
        <v>2</v>
      </c>
      <c r="AH325" s="64">
        <v>1</v>
      </c>
      <c r="AI325" s="4">
        <v>1</v>
      </c>
      <c r="AJ325" s="4">
        <v>1</v>
      </c>
      <c r="AK325" s="4">
        <v>0</v>
      </c>
    </row>
    <row r="326" spans="1:37" outlineLevel="1">
      <c r="A326" s="63">
        <v>319</v>
      </c>
      <c r="B326" s="64" t="s">
        <v>190</v>
      </c>
      <c r="C326" s="4" t="s">
        <v>237</v>
      </c>
      <c r="D326" s="4" t="str">
        <f>[1]Лист2!B319</f>
        <v>ГРИБОЕДОВА наб.канала</v>
      </c>
      <c r="E326" s="69">
        <f>[1]Лист2!C319</f>
        <v>124</v>
      </c>
      <c r="F326" s="197" t="str">
        <f>[1]Лист2!D319</f>
        <v>Б</v>
      </c>
      <c r="G326" s="4"/>
      <c r="H326" s="199">
        <v>129319</v>
      </c>
      <c r="I326" s="64" t="s">
        <v>234</v>
      </c>
      <c r="J326" s="4"/>
      <c r="K326" s="64" t="s">
        <v>232</v>
      </c>
      <c r="L326" s="4" t="s">
        <v>232</v>
      </c>
      <c r="M326" s="72">
        <v>1917</v>
      </c>
      <c r="N326" s="64" t="s">
        <v>385</v>
      </c>
      <c r="O326" s="73">
        <v>4</v>
      </c>
      <c r="P326" s="196">
        <v>0</v>
      </c>
      <c r="Q326" s="73">
        <v>5</v>
      </c>
      <c r="R326" s="74">
        <v>89</v>
      </c>
      <c r="S326" s="76">
        <v>2254</v>
      </c>
      <c r="T326" s="82">
        <f t="shared" si="8"/>
        <v>1918.6100000000001</v>
      </c>
      <c r="U326" s="77">
        <f t="shared" si="9"/>
        <v>1918.6100000000001</v>
      </c>
      <c r="V326" s="78">
        <v>335.39</v>
      </c>
      <c r="W326" s="80" t="s">
        <v>233</v>
      </c>
      <c r="X326" s="81" t="s">
        <v>233</v>
      </c>
      <c r="Y326" s="4" t="s">
        <v>233</v>
      </c>
      <c r="Z326" s="81" t="s">
        <v>233</v>
      </c>
      <c r="AA326" s="64" t="s">
        <v>233</v>
      </c>
      <c r="AB326" s="81" t="s">
        <v>233</v>
      </c>
      <c r="AC326" s="4" t="s">
        <v>240</v>
      </c>
      <c r="AD326" s="64" t="s">
        <v>233</v>
      </c>
      <c r="AE326" s="64" t="s">
        <v>240</v>
      </c>
      <c r="AF326" s="208">
        <v>0</v>
      </c>
      <c r="AG326" s="4">
        <v>1</v>
      </c>
      <c r="AH326" s="64">
        <v>1</v>
      </c>
      <c r="AI326" s="4">
        <v>0</v>
      </c>
      <c r="AJ326" s="4">
        <v>0</v>
      </c>
      <c r="AK326" s="4">
        <v>0</v>
      </c>
    </row>
    <row r="327" spans="1:37" outlineLevel="1">
      <c r="A327" s="63">
        <v>320</v>
      </c>
      <c r="B327" s="64" t="s">
        <v>190</v>
      </c>
      <c r="C327" s="4" t="s">
        <v>237</v>
      </c>
      <c r="D327" s="4" t="str">
        <f>[1]Лист2!B320</f>
        <v>ГРИБОЕДОВА наб.канала</v>
      </c>
      <c r="E327" s="69">
        <f>[1]Лист2!C320</f>
        <v>130</v>
      </c>
      <c r="F327" s="197" t="str">
        <f>[1]Лист2!D320</f>
        <v>А</v>
      </c>
      <c r="G327" s="4"/>
      <c r="H327" s="199">
        <v>129320</v>
      </c>
      <c r="I327" s="64" t="s">
        <v>234</v>
      </c>
      <c r="J327" s="4"/>
      <c r="K327" s="64" t="s">
        <v>232</v>
      </c>
      <c r="L327" s="4" t="s">
        <v>232</v>
      </c>
      <c r="M327" s="72">
        <v>1960</v>
      </c>
      <c r="N327" s="64" t="s">
        <v>385</v>
      </c>
      <c r="O327" s="73">
        <v>4</v>
      </c>
      <c r="P327" s="196">
        <v>0</v>
      </c>
      <c r="Q327" s="73">
        <v>1</v>
      </c>
      <c r="R327" s="74">
        <v>8</v>
      </c>
      <c r="S327" s="76">
        <v>3153.4500000000003</v>
      </c>
      <c r="T327" s="82">
        <f t="shared" si="8"/>
        <v>431.05000000000018</v>
      </c>
      <c r="U327" s="77">
        <f t="shared" si="9"/>
        <v>431.05000000000018</v>
      </c>
      <c r="V327" s="78">
        <v>2722.4</v>
      </c>
      <c r="W327" s="80" t="s">
        <v>233</v>
      </c>
      <c r="X327" s="81" t="s">
        <v>233</v>
      </c>
      <c r="Y327" s="4" t="s">
        <v>240</v>
      </c>
      <c r="Z327" s="81" t="s">
        <v>233</v>
      </c>
      <c r="AA327" s="64" t="s">
        <v>233</v>
      </c>
      <c r="AB327" s="81" t="s">
        <v>233</v>
      </c>
      <c r="AC327" s="4" t="s">
        <v>233</v>
      </c>
      <c r="AD327" s="64" t="s">
        <v>233</v>
      </c>
      <c r="AE327" s="64" t="s">
        <v>240</v>
      </c>
      <c r="AF327" s="208">
        <v>0</v>
      </c>
      <c r="AG327" s="4">
        <v>1</v>
      </c>
      <c r="AH327" s="64">
        <v>1</v>
      </c>
      <c r="AI327" s="4">
        <v>0</v>
      </c>
      <c r="AJ327" s="4">
        <v>0</v>
      </c>
      <c r="AK327" s="4">
        <v>0</v>
      </c>
    </row>
    <row r="328" spans="1:37" outlineLevel="1">
      <c r="A328" s="5">
        <v>321</v>
      </c>
      <c r="B328" s="64" t="s">
        <v>190</v>
      </c>
      <c r="C328" s="4" t="s">
        <v>237</v>
      </c>
      <c r="D328" s="4" t="str">
        <f>[1]Лист2!B321</f>
        <v>ГРИБОЕДОВА наб.канала</v>
      </c>
      <c r="E328" s="69">
        <f>[1]Лист2!C321</f>
        <v>136</v>
      </c>
      <c r="F328" s="197" t="str">
        <f>[1]Лист2!D321</f>
        <v>А</v>
      </c>
      <c r="G328" s="64"/>
      <c r="H328" s="199">
        <v>129321</v>
      </c>
      <c r="I328" s="64" t="s">
        <v>234</v>
      </c>
      <c r="J328" s="4"/>
      <c r="K328" s="64" t="s">
        <v>232</v>
      </c>
      <c r="L328" s="4" t="s">
        <v>232</v>
      </c>
      <c r="M328" s="72">
        <v>1866</v>
      </c>
      <c r="N328" s="64" t="s">
        <v>385</v>
      </c>
      <c r="O328" s="73">
        <v>5</v>
      </c>
      <c r="P328" s="196">
        <v>0</v>
      </c>
      <c r="Q328" s="73">
        <v>2</v>
      </c>
      <c r="R328" s="74">
        <v>37</v>
      </c>
      <c r="S328" s="76">
        <v>1392.6</v>
      </c>
      <c r="T328" s="82">
        <f t="shared" si="8"/>
        <v>1242.5999999999999</v>
      </c>
      <c r="U328" s="77">
        <f t="shared" si="9"/>
        <v>1242.5999999999999</v>
      </c>
      <c r="V328" s="78">
        <v>150</v>
      </c>
      <c r="W328" s="80" t="s">
        <v>233</v>
      </c>
      <c r="X328" s="81" t="s">
        <v>233</v>
      </c>
      <c r="Y328" s="4" t="s">
        <v>233</v>
      </c>
      <c r="Z328" s="81" t="s">
        <v>233</v>
      </c>
      <c r="AA328" s="64" t="s">
        <v>233</v>
      </c>
      <c r="AB328" s="81" t="s">
        <v>233</v>
      </c>
      <c r="AC328" s="4" t="s">
        <v>240</v>
      </c>
      <c r="AD328" s="64" t="s">
        <v>233</v>
      </c>
      <c r="AE328" s="64" t="s">
        <v>240</v>
      </c>
      <c r="AF328" s="208">
        <v>1</v>
      </c>
      <c r="AG328" s="4">
        <v>1</v>
      </c>
      <c r="AH328" s="64">
        <v>1</v>
      </c>
      <c r="AI328" s="4">
        <v>1</v>
      </c>
      <c r="AJ328" s="4">
        <v>1</v>
      </c>
      <c r="AK328" s="4">
        <v>0</v>
      </c>
    </row>
    <row r="329" spans="1:37" outlineLevel="1">
      <c r="A329" s="5">
        <v>322</v>
      </c>
      <c r="B329" s="64" t="s">
        <v>190</v>
      </c>
      <c r="C329" s="4" t="s">
        <v>237</v>
      </c>
      <c r="D329" s="4" t="str">
        <f>[1]Лист2!B322</f>
        <v>ГРИБОЕДОВА наб.канала</v>
      </c>
      <c r="E329" s="69">
        <f>[1]Лист2!C322</f>
        <v>138</v>
      </c>
      <c r="F329" s="197" t="str">
        <f>[1]Лист2!D322</f>
        <v>А</v>
      </c>
      <c r="G329" s="64"/>
      <c r="H329" s="199">
        <v>129322</v>
      </c>
      <c r="I329" s="64" t="s">
        <v>234</v>
      </c>
      <c r="J329" s="4"/>
      <c r="K329" s="64" t="s">
        <v>232</v>
      </c>
      <c r="L329" s="4" t="s">
        <v>232</v>
      </c>
      <c r="M329" s="72">
        <v>1917</v>
      </c>
      <c r="N329" s="64" t="s">
        <v>385</v>
      </c>
      <c r="O329" s="73">
        <v>4</v>
      </c>
      <c r="P329" s="196">
        <v>0</v>
      </c>
      <c r="Q329" s="73">
        <v>2</v>
      </c>
      <c r="R329" s="74">
        <v>32</v>
      </c>
      <c r="S329" s="76">
        <v>1107.7</v>
      </c>
      <c r="T329" s="82">
        <f t="shared" ref="T329:T392" si="10">U329</f>
        <v>934.80000000000007</v>
      </c>
      <c r="U329" s="77">
        <f t="shared" ref="U329:U392" si="11">S329-V329</f>
        <v>934.80000000000007</v>
      </c>
      <c r="V329" s="78">
        <v>172.9</v>
      </c>
      <c r="W329" s="80" t="s">
        <v>233</v>
      </c>
      <c r="X329" s="81" t="s">
        <v>233</v>
      </c>
      <c r="Y329" s="4" t="s">
        <v>233</v>
      </c>
      <c r="Z329" s="81" t="s">
        <v>233</v>
      </c>
      <c r="AA329" s="64" t="s">
        <v>233</v>
      </c>
      <c r="AB329" s="81" t="s">
        <v>233</v>
      </c>
      <c r="AC329" s="4" t="s">
        <v>240</v>
      </c>
      <c r="AD329" s="64" t="s">
        <v>233</v>
      </c>
      <c r="AE329" s="64" t="s">
        <v>240</v>
      </c>
      <c r="AF329" s="208">
        <v>0</v>
      </c>
      <c r="AG329" s="4">
        <v>1</v>
      </c>
      <c r="AH329" s="64">
        <v>1</v>
      </c>
      <c r="AI329" s="4">
        <v>1</v>
      </c>
      <c r="AJ329" s="4">
        <v>1</v>
      </c>
      <c r="AK329" s="4">
        <v>0</v>
      </c>
    </row>
    <row r="330" spans="1:37" outlineLevel="1">
      <c r="A330" s="5">
        <v>323</v>
      </c>
      <c r="B330" s="64" t="s">
        <v>190</v>
      </c>
      <c r="C330" s="4" t="s">
        <v>237</v>
      </c>
      <c r="D330" s="4" t="str">
        <f>[1]Лист2!B323</f>
        <v>ГРИБОЕДОВА наб.канала</v>
      </c>
      <c r="E330" s="69">
        <f>[1]Лист2!C323</f>
        <v>140</v>
      </c>
      <c r="F330" s="197" t="str">
        <f>[1]Лист2!D323</f>
        <v>А</v>
      </c>
      <c r="G330" s="4"/>
      <c r="H330" s="199">
        <v>129323</v>
      </c>
      <c r="I330" s="64" t="s">
        <v>234</v>
      </c>
      <c r="J330" s="4"/>
      <c r="K330" s="64" t="s">
        <v>232</v>
      </c>
      <c r="L330" s="4" t="s">
        <v>232</v>
      </c>
      <c r="M330" s="72">
        <v>1828</v>
      </c>
      <c r="N330" s="64" t="s">
        <v>385</v>
      </c>
      <c r="O330" s="73">
        <v>3</v>
      </c>
      <c r="P330" s="196">
        <v>0</v>
      </c>
      <c r="Q330" s="73">
        <v>1</v>
      </c>
      <c r="R330" s="74">
        <v>11</v>
      </c>
      <c r="S330" s="76">
        <v>1156.56</v>
      </c>
      <c r="T330" s="82">
        <f t="shared" si="10"/>
        <v>337</v>
      </c>
      <c r="U330" s="77">
        <f t="shared" si="11"/>
        <v>337</v>
      </c>
      <c r="V330" s="78">
        <v>819.56</v>
      </c>
      <c r="W330" s="80" t="s">
        <v>233</v>
      </c>
      <c r="X330" s="81" t="s">
        <v>233</v>
      </c>
      <c r="Y330" s="4" t="s">
        <v>233</v>
      </c>
      <c r="Z330" s="81" t="s">
        <v>233</v>
      </c>
      <c r="AA330" s="64" t="s">
        <v>233</v>
      </c>
      <c r="AB330" s="81" t="s">
        <v>233</v>
      </c>
      <c r="AC330" s="4" t="s">
        <v>240</v>
      </c>
      <c r="AD330" s="64" t="s">
        <v>233</v>
      </c>
      <c r="AE330" s="64" t="s">
        <v>240</v>
      </c>
      <c r="AF330" s="208">
        <v>0</v>
      </c>
      <c r="AG330" s="4">
        <v>1</v>
      </c>
      <c r="AH330" s="64">
        <v>1</v>
      </c>
      <c r="AI330" s="4">
        <v>0</v>
      </c>
      <c r="AJ330" s="4">
        <v>0</v>
      </c>
      <c r="AK330" s="4">
        <v>0</v>
      </c>
    </row>
    <row r="331" spans="1:37" outlineLevel="1">
      <c r="A331" s="5">
        <v>324</v>
      </c>
      <c r="B331" s="64" t="s">
        <v>190</v>
      </c>
      <c r="C331" s="4" t="s">
        <v>237</v>
      </c>
      <c r="D331" s="4" t="str">
        <f>[1]Лист2!B324</f>
        <v>ГРИБОЕДОВА наб.канала</v>
      </c>
      <c r="E331" s="69">
        <f>[1]Лист2!C324</f>
        <v>142</v>
      </c>
      <c r="F331" s="197" t="str">
        <f>[1]Лист2!D324</f>
        <v>А</v>
      </c>
      <c r="G331" s="4"/>
      <c r="H331" s="199">
        <v>129324</v>
      </c>
      <c r="I331" s="64" t="s">
        <v>234</v>
      </c>
      <c r="J331" s="4"/>
      <c r="K331" s="64" t="s">
        <v>232</v>
      </c>
      <c r="L331" s="4" t="s">
        <v>232</v>
      </c>
      <c r="M331" s="72">
        <v>1845</v>
      </c>
      <c r="N331" s="64" t="s">
        <v>385</v>
      </c>
      <c r="O331" s="73">
        <v>3</v>
      </c>
      <c r="P331" s="196">
        <v>0</v>
      </c>
      <c r="Q331" s="73">
        <v>1</v>
      </c>
      <c r="R331" s="74">
        <v>4</v>
      </c>
      <c r="S331" s="76">
        <v>734.6</v>
      </c>
      <c r="T331" s="82">
        <f t="shared" si="10"/>
        <v>555</v>
      </c>
      <c r="U331" s="77">
        <f t="shared" si="11"/>
        <v>555</v>
      </c>
      <c r="V331" s="78">
        <v>179.6</v>
      </c>
      <c r="W331" s="80" t="s">
        <v>233</v>
      </c>
      <c r="X331" s="81" t="s">
        <v>233</v>
      </c>
      <c r="Y331" s="4" t="s">
        <v>233</v>
      </c>
      <c r="Z331" s="81" t="s">
        <v>233</v>
      </c>
      <c r="AA331" s="64" t="s">
        <v>233</v>
      </c>
      <c r="AB331" s="81" t="s">
        <v>233</v>
      </c>
      <c r="AC331" s="4" t="s">
        <v>240</v>
      </c>
      <c r="AD331" s="64" t="s">
        <v>233</v>
      </c>
      <c r="AE331" s="64" t="s">
        <v>240</v>
      </c>
      <c r="AF331" s="208">
        <v>0</v>
      </c>
      <c r="AG331" s="4">
        <v>1</v>
      </c>
      <c r="AH331" s="64">
        <v>1</v>
      </c>
      <c r="AI331" s="4">
        <v>0</v>
      </c>
      <c r="AJ331" s="4">
        <v>0</v>
      </c>
      <c r="AK331" s="4">
        <v>0</v>
      </c>
    </row>
    <row r="332" spans="1:37" outlineLevel="1">
      <c r="A332" s="63">
        <v>325</v>
      </c>
      <c r="B332" s="64" t="s">
        <v>190</v>
      </c>
      <c r="C332" s="4" t="s">
        <v>237</v>
      </c>
      <c r="D332" s="4" t="str">
        <f>[1]Лист2!B325</f>
        <v>ГРИБОЕДОВА наб.канала</v>
      </c>
      <c r="E332" s="69">
        <f>[1]Лист2!C325</f>
        <v>142</v>
      </c>
      <c r="F332" s="197" t="str">
        <f>[1]Лист2!D325</f>
        <v>Б</v>
      </c>
      <c r="G332" s="64"/>
      <c r="H332" s="199">
        <v>129325</v>
      </c>
      <c r="I332" s="64" t="s">
        <v>234</v>
      </c>
      <c r="J332" s="4"/>
      <c r="K332" s="64" t="s">
        <v>232</v>
      </c>
      <c r="L332" s="4" t="s">
        <v>232</v>
      </c>
      <c r="M332" s="72">
        <v>1845</v>
      </c>
      <c r="N332" s="64" t="s">
        <v>385</v>
      </c>
      <c r="O332" s="73">
        <v>3</v>
      </c>
      <c r="P332" s="196">
        <v>0</v>
      </c>
      <c r="Q332" s="73">
        <v>1</v>
      </c>
      <c r="R332" s="74">
        <v>8</v>
      </c>
      <c r="S332" s="76">
        <v>588</v>
      </c>
      <c r="T332" s="82">
        <f t="shared" si="10"/>
        <v>588</v>
      </c>
      <c r="U332" s="77">
        <f t="shared" si="11"/>
        <v>588</v>
      </c>
      <c r="V332" s="78">
        <v>0</v>
      </c>
      <c r="W332" s="80" t="s">
        <v>233</v>
      </c>
      <c r="X332" s="81" t="s">
        <v>233</v>
      </c>
      <c r="Y332" s="4" t="s">
        <v>233</v>
      </c>
      <c r="Z332" s="81" t="s">
        <v>233</v>
      </c>
      <c r="AA332" s="64" t="s">
        <v>233</v>
      </c>
      <c r="AB332" s="81" t="s">
        <v>233</v>
      </c>
      <c r="AC332" s="4" t="s">
        <v>240</v>
      </c>
      <c r="AD332" s="64" t="s">
        <v>233</v>
      </c>
      <c r="AE332" s="64" t="s">
        <v>240</v>
      </c>
      <c r="AF332" s="209">
        <v>0</v>
      </c>
      <c r="AG332" s="4">
        <v>1</v>
      </c>
      <c r="AH332" s="64">
        <v>1</v>
      </c>
      <c r="AI332" s="4">
        <v>0</v>
      </c>
      <c r="AJ332" s="4">
        <v>0</v>
      </c>
      <c r="AK332" s="4">
        <v>0</v>
      </c>
    </row>
    <row r="333" spans="1:37" outlineLevel="1">
      <c r="A333" s="63">
        <v>326</v>
      </c>
      <c r="B333" s="64" t="s">
        <v>190</v>
      </c>
      <c r="C333" s="4" t="s">
        <v>237</v>
      </c>
      <c r="D333" s="4" t="str">
        <f>[1]Лист2!B326</f>
        <v>ГРИБОЕДОВА наб.канала</v>
      </c>
      <c r="E333" s="69">
        <f>[1]Лист2!C326</f>
        <v>152</v>
      </c>
      <c r="F333" s="197" t="str">
        <f>[1]Лист2!D326</f>
        <v>А</v>
      </c>
      <c r="G333" s="64"/>
      <c r="H333" s="199">
        <v>129326</v>
      </c>
      <c r="I333" s="64" t="s">
        <v>234</v>
      </c>
      <c r="J333" s="4"/>
      <c r="K333" s="64" t="s">
        <v>232</v>
      </c>
      <c r="L333" s="4" t="s">
        <v>232</v>
      </c>
      <c r="M333" s="72">
        <v>1798</v>
      </c>
      <c r="N333" s="64" t="s">
        <v>385</v>
      </c>
      <c r="O333" s="73">
        <v>4</v>
      </c>
      <c r="P333" s="196">
        <v>0</v>
      </c>
      <c r="Q333" s="73">
        <v>4</v>
      </c>
      <c r="R333" s="74">
        <v>66</v>
      </c>
      <c r="S333" s="76">
        <v>3325</v>
      </c>
      <c r="T333" s="82">
        <f t="shared" si="10"/>
        <v>2567</v>
      </c>
      <c r="U333" s="77">
        <f t="shared" si="11"/>
        <v>2567</v>
      </c>
      <c r="V333" s="78">
        <v>758</v>
      </c>
      <c r="W333" s="80" t="s">
        <v>233</v>
      </c>
      <c r="X333" s="81" t="s">
        <v>233</v>
      </c>
      <c r="Y333" s="4" t="s">
        <v>233</v>
      </c>
      <c r="Z333" s="81" t="s">
        <v>233</v>
      </c>
      <c r="AA333" s="64" t="s">
        <v>233</v>
      </c>
      <c r="AB333" s="81" t="s">
        <v>233</v>
      </c>
      <c r="AC333" s="4" t="s">
        <v>240</v>
      </c>
      <c r="AD333" s="64" t="s">
        <v>233</v>
      </c>
      <c r="AE333" s="64" t="s">
        <v>240</v>
      </c>
      <c r="AF333" s="208">
        <v>0</v>
      </c>
      <c r="AG333" s="4">
        <v>1</v>
      </c>
      <c r="AH333" s="64">
        <v>1</v>
      </c>
      <c r="AI333" s="4">
        <v>1</v>
      </c>
      <c r="AJ333" s="4">
        <v>1</v>
      </c>
      <c r="AK333" s="4">
        <v>0</v>
      </c>
    </row>
    <row r="334" spans="1:37" outlineLevel="1">
      <c r="A334" s="5">
        <v>327</v>
      </c>
      <c r="B334" s="64" t="s">
        <v>190</v>
      </c>
      <c r="C334" s="4" t="s">
        <v>237</v>
      </c>
      <c r="D334" s="4" t="str">
        <f>[1]Лист2!B327</f>
        <v>ГРИБОЕДОВА наб.канала</v>
      </c>
      <c r="E334" s="69">
        <f>[1]Лист2!C327</f>
        <v>154</v>
      </c>
      <c r="F334" s="197" t="str">
        <f>[1]Лист2!D327</f>
        <v>А</v>
      </c>
      <c r="G334" s="4"/>
      <c r="H334" s="199">
        <v>129327</v>
      </c>
      <c r="I334" s="64" t="s">
        <v>234</v>
      </c>
      <c r="J334" s="4"/>
      <c r="K334" s="64" t="s">
        <v>232</v>
      </c>
      <c r="L334" s="4" t="s">
        <v>232</v>
      </c>
      <c r="M334" s="72">
        <v>1936</v>
      </c>
      <c r="N334" s="64" t="s">
        <v>385</v>
      </c>
      <c r="O334" s="73">
        <v>5</v>
      </c>
      <c r="P334" s="196">
        <v>0</v>
      </c>
      <c r="Q334" s="73">
        <v>4</v>
      </c>
      <c r="R334" s="74">
        <v>77</v>
      </c>
      <c r="S334" s="76">
        <v>2542.1999999999998</v>
      </c>
      <c r="T334" s="82">
        <f t="shared" si="10"/>
        <v>2109</v>
      </c>
      <c r="U334" s="77">
        <f t="shared" si="11"/>
        <v>2109</v>
      </c>
      <c r="V334" s="78">
        <v>433.2</v>
      </c>
      <c r="W334" s="80" t="s">
        <v>233</v>
      </c>
      <c r="X334" s="81" t="s">
        <v>233</v>
      </c>
      <c r="Y334" s="4" t="s">
        <v>240</v>
      </c>
      <c r="Z334" s="81" t="s">
        <v>233</v>
      </c>
      <c r="AA334" s="64" t="s">
        <v>233</v>
      </c>
      <c r="AB334" s="81" t="s">
        <v>233</v>
      </c>
      <c r="AC334" s="4" t="s">
        <v>233</v>
      </c>
      <c r="AD334" s="64" t="s">
        <v>233</v>
      </c>
      <c r="AE334" s="64" t="s">
        <v>240</v>
      </c>
      <c r="AF334" s="208">
        <v>0</v>
      </c>
      <c r="AG334" s="4">
        <v>1</v>
      </c>
      <c r="AH334" s="64">
        <v>1</v>
      </c>
      <c r="AI334" s="4">
        <v>0</v>
      </c>
      <c r="AJ334" s="4">
        <v>1</v>
      </c>
      <c r="AK334" s="4">
        <v>0</v>
      </c>
    </row>
    <row r="335" spans="1:37" outlineLevel="1">
      <c r="A335" s="5">
        <v>328</v>
      </c>
      <c r="B335" s="64" t="s">
        <v>190</v>
      </c>
      <c r="C335" s="4" t="s">
        <v>237</v>
      </c>
      <c r="D335" s="4" t="str">
        <f>[1]Лист2!B328</f>
        <v>ГРИБОЕДОВА наб.канала</v>
      </c>
      <c r="E335" s="69">
        <f>[1]Лист2!C328</f>
        <v>156</v>
      </c>
      <c r="F335" s="197" t="str">
        <f>[1]Лист2!D328</f>
        <v>А</v>
      </c>
      <c r="G335" s="4"/>
      <c r="H335" s="199">
        <v>129328</v>
      </c>
      <c r="I335" s="64" t="s">
        <v>234</v>
      </c>
      <c r="J335" s="4"/>
      <c r="K335" s="64" t="s">
        <v>232</v>
      </c>
      <c r="L335" s="4" t="s">
        <v>232</v>
      </c>
      <c r="M335" s="72">
        <v>1860</v>
      </c>
      <c r="N335" s="64" t="s">
        <v>385</v>
      </c>
      <c r="O335" s="73">
        <v>3</v>
      </c>
      <c r="P335" s="196">
        <v>0</v>
      </c>
      <c r="Q335" s="73">
        <v>1</v>
      </c>
      <c r="R335" s="74">
        <v>28</v>
      </c>
      <c r="S335" s="76">
        <v>740</v>
      </c>
      <c r="T335" s="82">
        <f t="shared" si="10"/>
        <v>740</v>
      </c>
      <c r="U335" s="77">
        <f t="shared" si="11"/>
        <v>740</v>
      </c>
      <c r="V335" s="78">
        <v>0</v>
      </c>
      <c r="W335" s="80" t="s">
        <v>233</v>
      </c>
      <c r="X335" s="81" t="s">
        <v>233</v>
      </c>
      <c r="Y335" s="4" t="s">
        <v>233</v>
      </c>
      <c r="Z335" s="81" t="s">
        <v>233</v>
      </c>
      <c r="AA335" s="64" t="s">
        <v>233</v>
      </c>
      <c r="AB335" s="81" t="s">
        <v>233</v>
      </c>
      <c r="AC335" s="4" t="s">
        <v>240</v>
      </c>
      <c r="AD335" s="64" t="s">
        <v>233</v>
      </c>
      <c r="AE335" s="64" t="s">
        <v>240</v>
      </c>
      <c r="AF335" s="208">
        <v>0</v>
      </c>
      <c r="AG335" s="4">
        <v>1</v>
      </c>
      <c r="AH335" s="64">
        <v>1</v>
      </c>
      <c r="AI335" s="4">
        <v>0</v>
      </c>
      <c r="AJ335" s="4">
        <v>0</v>
      </c>
      <c r="AK335" s="4">
        <v>0</v>
      </c>
    </row>
    <row r="336" spans="1:37" outlineLevel="1">
      <c r="A336" s="5">
        <v>329</v>
      </c>
      <c r="B336" s="64" t="s">
        <v>190</v>
      </c>
      <c r="C336" s="4" t="s">
        <v>237</v>
      </c>
      <c r="D336" s="4" t="str">
        <f>[1]Лист2!B329</f>
        <v>ГРИБОЕДОВА наб.канала</v>
      </c>
      <c r="E336" s="69">
        <f>[1]Лист2!C329</f>
        <v>158</v>
      </c>
      <c r="F336" s="197" t="str">
        <f>[1]Лист2!D329</f>
        <v>А</v>
      </c>
      <c r="G336" s="64"/>
      <c r="H336" s="199">
        <v>129329</v>
      </c>
      <c r="I336" s="64" t="s">
        <v>234</v>
      </c>
      <c r="J336" s="4"/>
      <c r="K336" s="64" t="s">
        <v>232</v>
      </c>
      <c r="L336" s="4" t="s">
        <v>232</v>
      </c>
      <c r="M336" s="72">
        <v>1912</v>
      </c>
      <c r="N336" s="64" t="s">
        <v>385</v>
      </c>
      <c r="O336" s="73">
        <v>6</v>
      </c>
      <c r="P336" s="196">
        <v>0</v>
      </c>
      <c r="Q336" s="73">
        <v>4</v>
      </c>
      <c r="R336" s="74">
        <v>53</v>
      </c>
      <c r="S336" s="76">
        <v>3450.9999999999995</v>
      </c>
      <c r="T336" s="82">
        <f t="shared" si="10"/>
        <v>3297.9999999999995</v>
      </c>
      <c r="U336" s="77">
        <f t="shared" si="11"/>
        <v>3297.9999999999995</v>
      </c>
      <c r="V336" s="78">
        <v>153</v>
      </c>
      <c r="W336" s="80" t="s">
        <v>233</v>
      </c>
      <c r="X336" s="81" t="s">
        <v>233</v>
      </c>
      <c r="Y336" s="4" t="s">
        <v>233</v>
      </c>
      <c r="Z336" s="81" t="s">
        <v>233</v>
      </c>
      <c r="AA336" s="64" t="s">
        <v>233</v>
      </c>
      <c r="AB336" s="81" t="s">
        <v>233</v>
      </c>
      <c r="AC336" s="4" t="s">
        <v>240</v>
      </c>
      <c r="AD336" s="64" t="s">
        <v>233</v>
      </c>
      <c r="AE336" s="64" t="s">
        <v>240</v>
      </c>
      <c r="AF336" s="208">
        <v>2</v>
      </c>
      <c r="AG336" s="4">
        <v>2</v>
      </c>
      <c r="AH336" s="64">
        <v>1</v>
      </c>
      <c r="AI336" s="4">
        <v>0</v>
      </c>
      <c r="AJ336" s="4">
        <v>0</v>
      </c>
      <c r="AK336" s="4">
        <v>0</v>
      </c>
    </row>
    <row r="337" spans="1:37" outlineLevel="1">
      <c r="A337" s="5">
        <v>330</v>
      </c>
      <c r="B337" s="64" t="s">
        <v>190</v>
      </c>
      <c r="C337" s="4" t="s">
        <v>237</v>
      </c>
      <c r="D337" s="4" t="str">
        <f>[1]Лист2!B330</f>
        <v>ГРИБОЕДОВА наб.канала</v>
      </c>
      <c r="E337" s="69">
        <f>[1]Лист2!C330</f>
        <v>162</v>
      </c>
      <c r="F337" s="197" t="str">
        <f>[1]Лист2!D330</f>
        <v>А</v>
      </c>
      <c r="G337" s="64"/>
      <c r="H337" s="199">
        <v>129330</v>
      </c>
      <c r="I337" s="64" t="s">
        <v>234</v>
      </c>
      <c r="J337" s="4"/>
      <c r="K337" s="64" t="s">
        <v>232</v>
      </c>
      <c r="L337" s="4" t="s">
        <v>232</v>
      </c>
      <c r="M337" s="72">
        <v>1957</v>
      </c>
      <c r="N337" s="64" t="s">
        <v>385</v>
      </c>
      <c r="O337" s="73">
        <v>5</v>
      </c>
      <c r="P337" s="196">
        <v>0</v>
      </c>
      <c r="Q337" s="73">
        <v>2</v>
      </c>
      <c r="R337" s="74">
        <v>51</v>
      </c>
      <c r="S337" s="76">
        <v>1721.1</v>
      </c>
      <c r="T337" s="82">
        <f t="shared" si="10"/>
        <v>1510.3999999999999</v>
      </c>
      <c r="U337" s="77">
        <f t="shared" si="11"/>
        <v>1510.3999999999999</v>
      </c>
      <c r="V337" s="78">
        <v>210.7</v>
      </c>
      <c r="W337" s="80" t="s">
        <v>233</v>
      </c>
      <c r="X337" s="81" t="s">
        <v>233</v>
      </c>
      <c r="Y337" s="4" t="s">
        <v>240</v>
      </c>
      <c r="Z337" s="81" t="s">
        <v>233</v>
      </c>
      <c r="AA337" s="64" t="s">
        <v>233</v>
      </c>
      <c r="AB337" s="81" t="s">
        <v>233</v>
      </c>
      <c r="AC337" s="4" t="s">
        <v>233</v>
      </c>
      <c r="AD337" s="64" t="s">
        <v>233</v>
      </c>
      <c r="AE337" s="64" t="s">
        <v>240</v>
      </c>
      <c r="AF337" s="210">
        <v>0</v>
      </c>
      <c r="AG337" s="4">
        <v>1</v>
      </c>
      <c r="AH337" s="64">
        <v>1</v>
      </c>
      <c r="AI337" s="4">
        <v>0</v>
      </c>
      <c r="AJ337" s="4">
        <v>1</v>
      </c>
      <c r="AK337" s="4">
        <v>0</v>
      </c>
    </row>
    <row r="338" spans="1:37" outlineLevel="1">
      <c r="A338" s="63">
        <v>331</v>
      </c>
      <c r="B338" s="64" t="s">
        <v>190</v>
      </c>
      <c r="C338" s="4" t="s">
        <v>237</v>
      </c>
      <c r="D338" s="4" t="str">
        <f>[1]Лист2!B331</f>
        <v>ГРИБОЕДОВА наб.канала</v>
      </c>
      <c r="E338" s="69">
        <f>[1]Лист2!C331</f>
        <v>164</v>
      </c>
      <c r="F338" s="197" t="str">
        <f>[1]Лист2!D331</f>
        <v>А</v>
      </c>
      <c r="G338" s="4"/>
      <c r="H338" s="199">
        <v>129331</v>
      </c>
      <c r="I338" s="64" t="s">
        <v>234</v>
      </c>
      <c r="J338" s="4"/>
      <c r="K338" s="64" t="s">
        <v>232</v>
      </c>
      <c r="L338" s="4" t="s">
        <v>232</v>
      </c>
      <c r="M338" s="72">
        <v>1857</v>
      </c>
      <c r="N338" s="64" t="s">
        <v>385</v>
      </c>
      <c r="O338" s="73">
        <v>4</v>
      </c>
      <c r="P338" s="196">
        <v>0</v>
      </c>
      <c r="Q338" s="73">
        <v>3</v>
      </c>
      <c r="R338" s="74">
        <v>67</v>
      </c>
      <c r="S338" s="76">
        <v>3449.6800000000003</v>
      </c>
      <c r="T338" s="82">
        <f t="shared" si="10"/>
        <v>2743.78</v>
      </c>
      <c r="U338" s="77">
        <f t="shared" si="11"/>
        <v>2743.78</v>
      </c>
      <c r="V338" s="78">
        <v>705.9</v>
      </c>
      <c r="W338" s="80" t="s">
        <v>233</v>
      </c>
      <c r="X338" s="81" t="s">
        <v>233</v>
      </c>
      <c r="Y338" s="4" t="s">
        <v>240</v>
      </c>
      <c r="Z338" s="81" t="s">
        <v>233</v>
      </c>
      <c r="AA338" s="64" t="s">
        <v>233</v>
      </c>
      <c r="AB338" s="81" t="s">
        <v>233</v>
      </c>
      <c r="AC338" s="4" t="s">
        <v>233</v>
      </c>
      <c r="AD338" s="64" t="s">
        <v>233</v>
      </c>
      <c r="AE338" s="64" t="s">
        <v>240</v>
      </c>
      <c r="AF338" s="210">
        <v>0</v>
      </c>
      <c r="AG338" s="4">
        <v>1</v>
      </c>
      <c r="AH338" s="64">
        <v>1</v>
      </c>
      <c r="AI338" s="4">
        <v>0</v>
      </c>
      <c r="AJ338" s="4">
        <v>0</v>
      </c>
      <c r="AK338" s="4">
        <v>0</v>
      </c>
    </row>
    <row r="339" spans="1:37" outlineLevel="1">
      <c r="A339" s="63">
        <v>332</v>
      </c>
      <c r="B339" s="64" t="s">
        <v>190</v>
      </c>
      <c r="C339" s="4" t="s">
        <v>237</v>
      </c>
      <c r="D339" s="4" t="str">
        <f>[1]Лист2!B332</f>
        <v>ГРИБОЕДОВА наб.канала</v>
      </c>
      <c r="E339" s="69">
        <f>[1]Лист2!C332</f>
        <v>168</v>
      </c>
      <c r="F339" s="197" t="str">
        <f>[1]Лист2!D332</f>
        <v>А</v>
      </c>
      <c r="G339" s="4"/>
      <c r="H339" s="199">
        <v>129332</v>
      </c>
      <c r="I339" s="64" t="s">
        <v>234</v>
      </c>
      <c r="J339" s="4"/>
      <c r="K339" s="64" t="s">
        <v>232</v>
      </c>
      <c r="L339" s="4" t="s">
        <v>232</v>
      </c>
      <c r="M339" s="72">
        <v>1957</v>
      </c>
      <c r="N339" s="64" t="s">
        <v>385</v>
      </c>
      <c r="O339" s="73">
        <v>5</v>
      </c>
      <c r="P339" s="196">
        <v>0</v>
      </c>
      <c r="Q339" s="73">
        <v>1</v>
      </c>
      <c r="R339" s="74">
        <v>44</v>
      </c>
      <c r="S339" s="76">
        <v>1893.04</v>
      </c>
      <c r="T339" s="82">
        <f t="shared" si="10"/>
        <v>1507.04</v>
      </c>
      <c r="U339" s="77">
        <f t="shared" si="11"/>
        <v>1507.04</v>
      </c>
      <c r="V339" s="78">
        <v>386</v>
      </c>
      <c r="W339" s="80" t="s">
        <v>233</v>
      </c>
      <c r="X339" s="81" t="s">
        <v>233</v>
      </c>
      <c r="Y339" s="4" t="s">
        <v>240</v>
      </c>
      <c r="Z339" s="81" t="s">
        <v>233</v>
      </c>
      <c r="AA339" s="64" t="s">
        <v>233</v>
      </c>
      <c r="AB339" s="81" t="s">
        <v>233</v>
      </c>
      <c r="AC339" s="4" t="s">
        <v>233</v>
      </c>
      <c r="AD339" s="64" t="s">
        <v>233</v>
      </c>
      <c r="AE339" s="64" t="s">
        <v>240</v>
      </c>
      <c r="AF339" s="210">
        <v>0</v>
      </c>
      <c r="AG339" s="4">
        <v>2</v>
      </c>
      <c r="AH339" s="64">
        <v>1</v>
      </c>
      <c r="AI339" s="4">
        <v>0</v>
      </c>
      <c r="AJ339" s="4">
        <v>1</v>
      </c>
      <c r="AK339" s="4">
        <v>0</v>
      </c>
    </row>
    <row r="340" spans="1:37" outlineLevel="1">
      <c r="A340" s="5">
        <v>333</v>
      </c>
      <c r="B340" s="64" t="s">
        <v>190</v>
      </c>
      <c r="C340" s="4" t="s">
        <v>237</v>
      </c>
      <c r="D340" s="4" t="str">
        <f>[1]Лист2!B333</f>
        <v>ГРИБОЕДОВА наб.канала</v>
      </c>
      <c r="E340" s="69">
        <f>[1]Лист2!C333</f>
        <v>170</v>
      </c>
      <c r="F340" s="197" t="str">
        <f>[1]Лист2!D333</f>
        <v>А</v>
      </c>
      <c r="G340" s="64"/>
      <c r="H340" s="199">
        <v>129333</v>
      </c>
      <c r="I340" s="64" t="s">
        <v>234</v>
      </c>
      <c r="J340" s="4"/>
      <c r="K340" s="64" t="s">
        <v>232</v>
      </c>
      <c r="L340" s="4" t="s">
        <v>232</v>
      </c>
      <c r="M340" s="72">
        <v>1811</v>
      </c>
      <c r="N340" s="64" t="s">
        <v>385</v>
      </c>
      <c r="O340" s="73">
        <v>5</v>
      </c>
      <c r="P340" s="196">
        <v>0</v>
      </c>
      <c r="Q340" s="73">
        <v>4</v>
      </c>
      <c r="R340" s="74">
        <v>93</v>
      </c>
      <c r="S340" s="76">
        <v>2839</v>
      </c>
      <c r="T340" s="82">
        <f t="shared" si="10"/>
        <v>1945</v>
      </c>
      <c r="U340" s="77">
        <f t="shared" si="11"/>
        <v>1945</v>
      </c>
      <c r="V340" s="78">
        <v>894</v>
      </c>
      <c r="W340" s="80" t="s">
        <v>233</v>
      </c>
      <c r="X340" s="81" t="s">
        <v>233</v>
      </c>
      <c r="Y340" s="4" t="s">
        <v>233</v>
      </c>
      <c r="Z340" s="81" t="s">
        <v>233</v>
      </c>
      <c r="AA340" s="64" t="s">
        <v>233</v>
      </c>
      <c r="AB340" s="81" t="s">
        <v>233</v>
      </c>
      <c r="AC340" s="4" t="s">
        <v>240</v>
      </c>
      <c r="AD340" s="64" t="s">
        <v>233</v>
      </c>
      <c r="AE340" s="64" t="s">
        <v>240</v>
      </c>
      <c r="AF340" s="210">
        <v>0</v>
      </c>
      <c r="AG340" s="4">
        <v>1</v>
      </c>
      <c r="AH340" s="64">
        <v>1</v>
      </c>
      <c r="AI340" s="4">
        <v>0</v>
      </c>
      <c r="AJ340" s="4">
        <v>0</v>
      </c>
      <c r="AK340" s="4">
        <v>0</v>
      </c>
    </row>
    <row r="341" spans="1:37" outlineLevel="1">
      <c r="A341" s="5">
        <v>334</v>
      </c>
      <c r="B341" s="64" t="s">
        <v>190</v>
      </c>
      <c r="C341" s="4" t="s">
        <v>237</v>
      </c>
      <c r="D341" s="4" t="str">
        <f>[1]Лист2!B334</f>
        <v>ГРИБОЕДОВА наб.канала</v>
      </c>
      <c r="E341" s="69">
        <f>[1]Лист2!C334</f>
        <v>170</v>
      </c>
      <c r="F341" s="197" t="str">
        <f>[1]Лист2!D334</f>
        <v>Б</v>
      </c>
      <c r="G341" s="64"/>
      <c r="H341" s="199">
        <v>129334</v>
      </c>
      <c r="I341" s="64" t="s">
        <v>234</v>
      </c>
      <c r="J341" s="4"/>
      <c r="K341" s="64" t="s">
        <v>232</v>
      </c>
      <c r="L341" s="4" t="s">
        <v>232</v>
      </c>
      <c r="M341" s="72">
        <v>1881</v>
      </c>
      <c r="N341" s="64" t="s">
        <v>385</v>
      </c>
      <c r="O341" s="73">
        <v>5</v>
      </c>
      <c r="P341" s="196">
        <v>0</v>
      </c>
      <c r="Q341" s="73">
        <v>2</v>
      </c>
      <c r="R341" s="74">
        <v>80</v>
      </c>
      <c r="S341" s="76">
        <v>1924</v>
      </c>
      <c r="T341" s="82">
        <f t="shared" si="10"/>
        <v>1340</v>
      </c>
      <c r="U341" s="77">
        <f t="shared" si="11"/>
        <v>1340</v>
      </c>
      <c r="V341" s="78">
        <v>584</v>
      </c>
      <c r="W341" s="80" t="s">
        <v>233</v>
      </c>
      <c r="X341" s="81" t="s">
        <v>233</v>
      </c>
      <c r="Y341" s="4" t="s">
        <v>233</v>
      </c>
      <c r="Z341" s="81" t="s">
        <v>233</v>
      </c>
      <c r="AA341" s="64" t="s">
        <v>233</v>
      </c>
      <c r="AB341" s="81" t="s">
        <v>233</v>
      </c>
      <c r="AC341" s="4" t="s">
        <v>240</v>
      </c>
      <c r="AD341" s="64" t="s">
        <v>233</v>
      </c>
      <c r="AE341" s="64" t="s">
        <v>240</v>
      </c>
      <c r="AF341" s="211">
        <v>0</v>
      </c>
      <c r="AG341" s="4">
        <v>1</v>
      </c>
      <c r="AH341" s="64">
        <v>1</v>
      </c>
      <c r="AI341" s="4">
        <v>0</v>
      </c>
      <c r="AJ341" s="4">
        <v>0</v>
      </c>
      <c r="AK341" s="4">
        <v>0</v>
      </c>
    </row>
    <row r="342" spans="1:37" outlineLevel="1">
      <c r="A342" s="5">
        <v>335</v>
      </c>
      <c r="B342" s="64" t="s">
        <v>190</v>
      </c>
      <c r="C342" s="4" t="s">
        <v>237</v>
      </c>
      <c r="D342" s="4" t="str">
        <f>[1]Лист2!B335</f>
        <v>ГРИБОЕДОВА наб.канала</v>
      </c>
      <c r="E342" s="69">
        <f>[1]Лист2!C335</f>
        <v>170</v>
      </c>
      <c r="F342" s="197" t="str">
        <f>[1]Лист2!D335</f>
        <v>В</v>
      </c>
      <c r="G342" s="4"/>
      <c r="H342" s="199">
        <v>129335</v>
      </c>
      <c r="I342" s="64" t="s">
        <v>234</v>
      </c>
      <c r="J342" s="4"/>
      <c r="K342" s="64" t="s">
        <v>232</v>
      </c>
      <c r="L342" s="4" t="s">
        <v>232</v>
      </c>
      <c r="M342" s="72">
        <v>1914</v>
      </c>
      <c r="N342" s="64" t="s">
        <v>385</v>
      </c>
      <c r="O342" s="73">
        <v>3</v>
      </c>
      <c r="P342" s="196">
        <v>0</v>
      </c>
      <c r="Q342" s="73">
        <v>1</v>
      </c>
      <c r="R342" s="74">
        <v>11</v>
      </c>
      <c r="S342" s="76">
        <v>513</v>
      </c>
      <c r="T342" s="82">
        <f t="shared" si="10"/>
        <v>337</v>
      </c>
      <c r="U342" s="77">
        <f t="shared" si="11"/>
        <v>337</v>
      </c>
      <c r="V342" s="78">
        <v>176</v>
      </c>
      <c r="W342" s="80" t="s">
        <v>233</v>
      </c>
      <c r="X342" s="81" t="s">
        <v>233</v>
      </c>
      <c r="Y342" s="4" t="s">
        <v>233</v>
      </c>
      <c r="Z342" s="81" t="s">
        <v>233</v>
      </c>
      <c r="AA342" s="64" t="s">
        <v>233</v>
      </c>
      <c r="AB342" s="81" t="s">
        <v>233</v>
      </c>
      <c r="AC342" s="4" t="s">
        <v>240</v>
      </c>
      <c r="AD342" s="64" t="s">
        <v>233</v>
      </c>
      <c r="AE342" s="64" t="s">
        <v>240</v>
      </c>
      <c r="AF342" s="209">
        <v>0</v>
      </c>
      <c r="AG342" s="4">
        <v>1</v>
      </c>
      <c r="AH342" s="64">
        <v>1</v>
      </c>
      <c r="AI342" s="4">
        <v>0</v>
      </c>
      <c r="AJ342" s="4">
        <v>0</v>
      </c>
      <c r="AK342" s="4">
        <v>0</v>
      </c>
    </row>
    <row r="343" spans="1:37" s="65" customFormat="1" outlineLevel="1">
      <c r="A343" s="63">
        <v>336</v>
      </c>
      <c r="B343" s="64" t="s">
        <v>190</v>
      </c>
      <c r="C343" s="64" t="s">
        <v>237</v>
      </c>
      <c r="D343" s="64" t="str">
        <f>[1]Лист2!B336</f>
        <v>ГРИБОЕДОВА наб.канала</v>
      </c>
      <c r="E343" s="71">
        <f>[1]Лист2!C336</f>
        <v>174</v>
      </c>
      <c r="F343" s="196" t="s">
        <v>191</v>
      </c>
      <c r="G343" s="64"/>
      <c r="H343" s="67">
        <v>129336</v>
      </c>
      <c r="I343" s="64" t="s">
        <v>234</v>
      </c>
      <c r="J343" s="4" t="s">
        <v>1422</v>
      </c>
      <c r="K343" s="64" t="s">
        <v>232</v>
      </c>
      <c r="L343" s="64" t="s">
        <v>232</v>
      </c>
      <c r="M343" s="72">
        <v>1828</v>
      </c>
      <c r="N343" s="64" t="s">
        <v>385</v>
      </c>
      <c r="O343" s="73">
        <v>3</v>
      </c>
      <c r="P343" s="196">
        <v>0</v>
      </c>
      <c r="Q343" s="73">
        <v>1</v>
      </c>
      <c r="R343" s="74">
        <v>7</v>
      </c>
      <c r="S343" s="75">
        <v>878</v>
      </c>
      <c r="T343" s="82">
        <f t="shared" si="10"/>
        <v>0</v>
      </c>
      <c r="U343" s="77">
        <f t="shared" si="11"/>
        <v>0</v>
      </c>
      <c r="V343" s="77">
        <v>878</v>
      </c>
      <c r="W343" s="80" t="s">
        <v>233</v>
      </c>
      <c r="X343" s="81" t="s">
        <v>233</v>
      </c>
      <c r="Y343" s="64" t="s">
        <v>233</v>
      </c>
      <c r="Z343" s="81" t="s">
        <v>233</v>
      </c>
      <c r="AA343" s="64" t="s">
        <v>233</v>
      </c>
      <c r="AB343" s="81" t="s">
        <v>233</v>
      </c>
      <c r="AC343" s="4" t="s">
        <v>240</v>
      </c>
      <c r="AD343" s="64" t="s">
        <v>233</v>
      </c>
      <c r="AE343" s="64" t="s">
        <v>240</v>
      </c>
      <c r="AF343" s="208">
        <v>0</v>
      </c>
      <c r="AG343" s="4">
        <v>1</v>
      </c>
      <c r="AH343" s="64">
        <v>1</v>
      </c>
      <c r="AI343" s="64">
        <v>0</v>
      </c>
      <c r="AJ343" s="64">
        <v>0</v>
      </c>
      <c r="AK343" s="64">
        <v>0</v>
      </c>
    </row>
    <row r="344" spans="1:37" outlineLevel="1">
      <c r="A344" s="63">
        <v>337</v>
      </c>
      <c r="B344" s="64" t="s">
        <v>190</v>
      </c>
      <c r="C344" s="4" t="s">
        <v>237</v>
      </c>
      <c r="D344" s="4" t="str">
        <f>[1]Лист2!B337</f>
        <v>ДЕКАБРИСТОВ ул.</v>
      </c>
      <c r="E344" s="69">
        <f>[1]Лист2!C337</f>
        <v>29</v>
      </c>
      <c r="F344" s="197" t="str">
        <f>[1]Лист2!D337</f>
        <v>А</v>
      </c>
      <c r="G344" s="64"/>
      <c r="H344" s="199">
        <v>129337</v>
      </c>
      <c r="I344" s="64" t="s">
        <v>234</v>
      </c>
      <c r="J344" s="4"/>
      <c r="K344" s="64" t="s">
        <v>232</v>
      </c>
      <c r="L344" s="4" t="s">
        <v>232</v>
      </c>
      <c r="M344" s="72">
        <v>1933</v>
      </c>
      <c r="N344" s="64" t="s">
        <v>385</v>
      </c>
      <c r="O344" s="73">
        <v>7</v>
      </c>
      <c r="P344" s="196">
        <v>0</v>
      </c>
      <c r="Q344" s="73">
        <v>4</v>
      </c>
      <c r="R344" s="74">
        <v>146</v>
      </c>
      <c r="S344" s="76">
        <v>4204.5</v>
      </c>
      <c r="T344" s="82">
        <f t="shared" si="10"/>
        <v>3321.5</v>
      </c>
      <c r="U344" s="77">
        <f t="shared" si="11"/>
        <v>3321.5</v>
      </c>
      <c r="V344" s="78">
        <v>883</v>
      </c>
      <c r="W344" s="80" t="s">
        <v>233</v>
      </c>
      <c r="X344" s="81" t="s">
        <v>233</v>
      </c>
      <c r="Y344" s="4" t="s">
        <v>233</v>
      </c>
      <c r="Z344" s="81" t="s">
        <v>233</v>
      </c>
      <c r="AA344" s="64" t="s">
        <v>233</v>
      </c>
      <c r="AB344" s="81" t="s">
        <v>233</v>
      </c>
      <c r="AC344" s="4" t="s">
        <v>240</v>
      </c>
      <c r="AD344" s="64" t="s">
        <v>233</v>
      </c>
      <c r="AE344" s="64" t="s">
        <v>240</v>
      </c>
      <c r="AF344" s="208">
        <v>12</v>
      </c>
      <c r="AG344" s="4">
        <v>1</v>
      </c>
      <c r="AH344" s="64">
        <v>1</v>
      </c>
      <c r="AI344" s="4">
        <v>4</v>
      </c>
      <c r="AJ344" s="4">
        <v>4</v>
      </c>
      <c r="AK344" s="4">
        <v>0</v>
      </c>
    </row>
    <row r="345" spans="1:37" outlineLevel="1">
      <c r="A345" s="63">
        <v>338</v>
      </c>
      <c r="B345" s="64" t="s">
        <v>190</v>
      </c>
      <c r="C345" s="4" t="s">
        <v>237</v>
      </c>
      <c r="D345" s="4" t="str">
        <f>[1]Лист2!B338</f>
        <v>ДЕКАБРИСТОВ ул.</v>
      </c>
      <c r="E345" s="69">
        <f>[1]Лист2!C338</f>
        <v>29</v>
      </c>
      <c r="F345" s="197" t="str">
        <f>[1]Лист2!D338</f>
        <v>Б</v>
      </c>
      <c r="G345" s="64"/>
      <c r="H345" s="199">
        <v>129338</v>
      </c>
      <c r="I345" s="64" t="s">
        <v>234</v>
      </c>
      <c r="J345" s="4"/>
      <c r="K345" s="64" t="s">
        <v>232</v>
      </c>
      <c r="L345" s="4" t="s">
        <v>232</v>
      </c>
      <c r="M345" s="72">
        <v>1933</v>
      </c>
      <c r="N345" s="64" t="s">
        <v>385</v>
      </c>
      <c r="O345" s="73">
        <v>7</v>
      </c>
      <c r="P345" s="196">
        <v>0</v>
      </c>
      <c r="Q345" s="73">
        <v>7</v>
      </c>
      <c r="R345" s="74">
        <v>200</v>
      </c>
      <c r="S345" s="76">
        <v>5475.7</v>
      </c>
      <c r="T345" s="82">
        <f t="shared" si="10"/>
        <v>4224.3999999999996</v>
      </c>
      <c r="U345" s="77">
        <f t="shared" si="11"/>
        <v>4224.3999999999996</v>
      </c>
      <c r="V345" s="78">
        <v>1251.3</v>
      </c>
      <c r="W345" s="80" t="s">
        <v>233</v>
      </c>
      <c r="X345" s="81" t="s">
        <v>233</v>
      </c>
      <c r="Y345" s="4" t="s">
        <v>233</v>
      </c>
      <c r="Z345" s="81" t="s">
        <v>233</v>
      </c>
      <c r="AA345" s="64" t="s">
        <v>233</v>
      </c>
      <c r="AB345" s="81" t="s">
        <v>233</v>
      </c>
      <c r="AC345" s="4" t="s">
        <v>240</v>
      </c>
      <c r="AD345" s="64" t="s">
        <v>233</v>
      </c>
      <c r="AE345" s="64" t="s">
        <v>240</v>
      </c>
      <c r="AF345" s="209">
        <v>0</v>
      </c>
      <c r="AG345" s="4">
        <v>1</v>
      </c>
      <c r="AH345" s="64">
        <v>1</v>
      </c>
      <c r="AI345" s="4">
        <v>0</v>
      </c>
      <c r="AJ345" s="4">
        <v>0</v>
      </c>
      <c r="AK345" s="4">
        <v>0</v>
      </c>
    </row>
    <row r="346" spans="1:37" outlineLevel="1">
      <c r="A346" s="5">
        <v>339</v>
      </c>
      <c r="B346" s="64" t="s">
        <v>190</v>
      </c>
      <c r="C346" s="4" t="s">
        <v>237</v>
      </c>
      <c r="D346" s="4" t="str">
        <f>[1]Лист2!B339</f>
        <v>ДЕКАБРИСТОВ ул.</v>
      </c>
      <c r="E346" s="69">
        <f>[1]Лист2!C339</f>
        <v>29</v>
      </c>
      <c r="F346" s="197" t="str">
        <f>[1]Лист2!D339</f>
        <v>Г</v>
      </c>
      <c r="G346" s="4"/>
      <c r="H346" s="199">
        <v>129339</v>
      </c>
      <c r="I346" s="64" t="s">
        <v>234</v>
      </c>
      <c r="J346" s="4"/>
      <c r="K346" s="64" t="s">
        <v>232</v>
      </c>
      <c r="L346" s="4" t="s">
        <v>232</v>
      </c>
      <c r="M346" s="72">
        <v>1950</v>
      </c>
      <c r="N346" s="64" t="s">
        <v>385</v>
      </c>
      <c r="O346" s="73">
        <v>7</v>
      </c>
      <c r="P346" s="196">
        <v>0</v>
      </c>
      <c r="Q346" s="73">
        <v>2</v>
      </c>
      <c r="R346" s="74">
        <v>104</v>
      </c>
      <c r="S346" s="76">
        <v>3422.7</v>
      </c>
      <c r="T346" s="82">
        <f t="shared" si="10"/>
        <v>2875.7</v>
      </c>
      <c r="U346" s="77">
        <f t="shared" si="11"/>
        <v>2875.7</v>
      </c>
      <c r="V346" s="78">
        <v>547</v>
      </c>
      <c r="W346" s="80" t="s">
        <v>233</v>
      </c>
      <c r="X346" s="81" t="s">
        <v>233</v>
      </c>
      <c r="Y346" s="4" t="s">
        <v>233</v>
      </c>
      <c r="Z346" s="81" t="s">
        <v>233</v>
      </c>
      <c r="AA346" s="64" t="s">
        <v>233</v>
      </c>
      <c r="AB346" s="81" t="s">
        <v>233</v>
      </c>
      <c r="AC346" s="4" t="s">
        <v>240</v>
      </c>
      <c r="AD346" s="64" t="s">
        <v>233</v>
      </c>
      <c r="AE346" s="64" t="s">
        <v>240</v>
      </c>
      <c r="AF346" s="209">
        <v>0</v>
      </c>
      <c r="AG346" s="4">
        <v>1</v>
      </c>
      <c r="AH346" s="64">
        <v>1</v>
      </c>
      <c r="AI346" s="4">
        <v>0</v>
      </c>
      <c r="AJ346" s="4">
        <v>0</v>
      </c>
      <c r="AK346" s="4">
        <v>0</v>
      </c>
    </row>
    <row r="347" spans="1:37" outlineLevel="1">
      <c r="A347" s="5">
        <v>340</v>
      </c>
      <c r="B347" s="64" t="s">
        <v>190</v>
      </c>
      <c r="C347" s="4" t="s">
        <v>237</v>
      </c>
      <c r="D347" s="4" t="str">
        <f>[1]Лист2!B340</f>
        <v>ДЕКАБРИСТОВ ул.</v>
      </c>
      <c r="E347" s="69">
        <f>[1]Лист2!C340</f>
        <v>31</v>
      </c>
      <c r="F347" s="197" t="str">
        <f>[1]Лист2!D340</f>
        <v>А</v>
      </c>
      <c r="G347" s="4"/>
      <c r="H347" s="199">
        <v>129340</v>
      </c>
      <c r="I347" s="64" t="s">
        <v>234</v>
      </c>
      <c r="J347" s="4"/>
      <c r="K347" s="64" t="s">
        <v>232</v>
      </c>
      <c r="L347" s="4" t="s">
        <v>232</v>
      </c>
      <c r="M347" s="72">
        <v>1850</v>
      </c>
      <c r="N347" s="64" t="s">
        <v>385</v>
      </c>
      <c r="O347" s="73">
        <v>5</v>
      </c>
      <c r="P347" s="196">
        <v>0</v>
      </c>
      <c r="Q347" s="73">
        <v>7</v>
      </c>
      <c r="R347" s="74">
        <v>44</v>
      </c>
      <c r="S347" s="76">
        <v>3928.55</v>
      </c>
      <c r="T347" s="82">
        <f t="shared" si="10"/>
        <v>3277.4500000000003</v>
      </c>
      <c r="U347" s="77">
        <f t="shared" si="11"/>
        <v>3277.4500000000003</v>
      </c>
      <c r="V347" s="78">
        <v>651.1</v>
      </c>
      <c r="W347" s="80" t="s">
        <v>233</v>
      </c>
      <c r="X347" s="81" t="s">
        <v>233</v>
      </c>
      <c r="Y347" s="4" t="s">
        <v>233</v>
      </c>
      <c r="Z347" s="81" t="s">
        <v>233</v>
      </c>
      <c r="AA347" s="64" t="s">
        <v>233</v>
      </c>
      <c r="AB347" s="81" t="s">
        <v>233</v>
      </c>
      <c r="AC347" s="4" t="s">
        <v>240</v>
      </c>
      <c r="AD347" s="64" t="s">
        <v>233</v>
      </c>
      <c r="AE347" s="64" t="s">
        <v>240</v>
      </c>
      <c r="AF347" s="208">
        <v>2</v>
      </c>
      <c r="AG347" s="4">
        <v>3</v>
      </c>
      <c r="AH347" s="64">
        <v>1</v>
      </c>
      <c r="AI347" s="4">
        <v>1</v>
      </c>
      <c r="AJ347" s="4">
        <v>1</v>
      </c>
      <c r="AK347" s="4">
        <v>0</v>
      </c>
    </row>
    <row r="348" spans="1:37" outlineLevel="1">
      <c r="A348" s="5">
        <v>341</v>
      </c>
      <c r="B348" s="64" t="s">
        <v>190</v>
      </c>
      <c r="C348" s="4" t="s">
        <v>237</v>
      </c>
      <c r="D348" s="4" t="str">
        <f>[1]Лист2!B341</f>
        <v>ДЕКАБРИСТОВ ул.</v>
      </c>
      <c r="E348" s="69">
        <f>[1]Лист2!C341</f>
        <v>33</v>
      </c>
      <c r="F348" s="197" t="str">
        <f>[1]Лист2!D341</f>
        <v>А</v>
      </c>
      <c r="G348" s="64"/>
      <c r="H348" s="199">
        <v>129341</v>
      </c>
      <c r="I348" s="64" t="s">
        <v>234</v>
      </c>
      <c r="J348" s="4"/>
      <c r="K348" s="64" t="s">
        <v>232</v>
      </c>
      <c r="L348" s="4" t="s">
        <v>232</v>
      </c>
      <c r="M348" s="72">
        <v>1838</v>
      </c>
      <c r="N348" s="64" t="s">
        <v>385</v>
      </c>
      <c r="O348" s="73">
        <v>5</v>
      </c>
      <c r="P348" s="196">
        <v>0</v>
      </c>
      <c r="Q348" s="73">
        <v>3</v>
      </c>
      <c r="R348" s="74">
        <v>65</v>
      </c>
      <c r="S348" s="76">
        <v>2454.1999999999998</v>
      </c>
      <c r="T348" s="82">
        <f t="shared" si="10"/>
        <v>1907.2999999999997</v>
      </c>
      <c r="U348" s="77">
        <f t="shared" si="11"/>
        <v>1907.2999999999997</v>
      </c>
      <c r="V348" s="78">
        <v>546.9</v>
      </c>
      <c r="W348" s="80" t="s">
        <v>233</v>
      </c>
      <c r="X348" s="81" t="s">
        <v>233</v>
      </c>
      <c r="Y348" s="4" t="s">
        <v>233</v>
      </c>
      <c r="Z348" s="81" t="s">
        <v>233</v>
      </c>
      <c r="AA348" s="64" t="s">
        <v>233</v>
      </c>
      <c r="AB348" s="81" t="s">
        <v>233</v>
      </c>
      <c r="AC348" s="4" t="s">
        <v>240</v>
      </c>
      <c r="AD348" s="64" t="s">
        <v>233</v>
      </c>
      <c r="AE348" s="64" t="s">
        <v>240</v>
      </c>
      <c r="AF348" s="208">
        <v>0</v>
      </c>
      <c r="AG348" s="4">
        <v>1</v>
      </c>
      <c r="AH348" s="64">
        <v>1</v>
      </c>
      <c r="AI348" s="4">
        <v>1</v>
      </c>
      <c r="AJ348" s="4">
        <v>1</v>
      </c>
      <c r="AK348" s="4">
        <v>0</v>
      </c>
    </row>
    <row r="349" spans="1:37" outlineLevel="1">
      <c r="A349" s="5">
        <v>342</v>
      </c>
      <c r="B349" s="64" t="s">
        <v>190</v>
      </c>
      <c r="C349" s="4" t="s">
        <v>237</v>
      </c>
      <c r="D349" s="4" t="str">
        <f>[1]Лист2!B342</f>
        <v>ДЕКАБРИСТОВ ул.</v>
      </c>
      <c r="E349" s="69">
        <f>[1]Лист2!C342</f>
        <v>33</v>
      </c>
      <c r="F349" s="197" t="str">
        <f>[1]Лист2!D342</f>
        <v>Б</v>
      </c>
      <c r="G349" s="64"/>
      <c r="H349" s="199">
        <v>129342</v>
      </c>
      <c r="I349" s="64" t="s">
        <v>234</v>
      </c>
      <c r="J349" s="4"/>
      <c r="K349" s="64" t="s">
        <v>232</v>
      </c>
      <c r="L349" s="4" t="s">
        <v>232</v>
      </c>
      <c r="M349" s="72">
        <v>1838</v>
      </c>
      <c r="N349" s="64" t="s">
        <v>385</v>
      </c>
      <c r="O349" s="73">
        <v>4</v>
      </c>
      <c r="P349" s="196">
        <v>0</v>
      </c>
      <c r="Q349" s="73">
        <v>1</v>
      </c>
      <c r="R349" s="74">
        <v>8</v>
      </c>
      <c r="S349" s="76">
        <v>504.3</v>
      </c>
      <c r="T349" s="82">
        <f t="shared" si="10"/>
        <v>402.6</v>
      </c>
      <c r="U349" s="77">
        <f t="shared" si="11"/>
        <v>402.6</v>
      </c>
      <c r="V349" s="78">
        <v>101.7</v>
      </c>
      <c r="W349" s="80" t="s">
        <v>233</v>
      </c>
      <c r="X349" s="81" t="s">
        <v>233</v>
      </c>
      <c r="Y349" s="4" t="s">
        <v>233</v>
      </c>
      <c r="Z349" s="81" t="s">
        <v>233</v>
      </c>
      <c r="AA349" s="64" t="s">
        <v>233</v>
      </c>
      <c r="AB349" s="81" t="s">
        <v>233</v>
      </c>
      <c r="AC349" s="4" t="s">
        <v>240</v>
      </c>
      <c r="AD349" s="64" t="s">
        <v>233</v>
      </c>
      <c r="AE349" s="64" t="s">
        <v>240</v>
      </c>
      <c r="AF349" s="209">
        <v>0</v>
      </c>
      <c r="AG349" s="4">
        <v>1</v>
      </c>
      <c r="AH349" s="64">
        <v>1</v>
      </c>
      <c r="AI349" s="4">
        <v>0</v>
      </c>
      <c r="AJ349" s="4">
        <v>0</v>
      </c>
      <c r="AK349" s="4">
        <v>0</v>
      </c>
    </row>
    <row r="350" spans="1:37" outlineLevel="1">
      <c r="A350" s="63">
        <v>343</v>
      </c>
      <c r="B350" s="64" t="s">
        <v>190</v>
      </c>
      <c r="C350" s="4" t="s">
        <v>237</v>
      </c>
      <c r="D350" s="4" t="str">
        <f>[1]Лист2!B343</f>
        <v>ДЕКАБРИСТОВ ул.</v>
      </c>
      <c r="E350" s="69" t="str">
        <f>[1]Лист2!C343</f>
        <v>36/1</v>
      </c>
      <c r="F350" s="197" t="str">
        <f>[1]Лист2!D343</f>
        <v>А</v>
      </c>
      <c r="G350" s="4"/>
      <c r="H350" s="199">
        <v>129343</v>
      </c>
      <c r="I350" s="64" t="s">
        <v>234</v>
      </c>
      <c r="J350" s="4"/>
      <c r="K350" s="64" t="s">
        <v>232</v>
      </c>
      <c r="L350" s="4" t="s">
        <v>232</v>
      </c>
      <c r="M350" s="72">
        <v>1841</v>
      </c>
      <c r="N350" s="64" t="s">
        <v>385</v>
      </c>
      <c r="O350" s="73">
        <v>4</v>
      </c>
      <c r="P350" s="196">
        <v>0</v>
      </c>
      <c r="Q350" s="73">
        <v>7</v>
      </c>
      <c r="R350" s="74">
        <v>111</v>
      </c>
      <c r="S350" s="76">
        <v>4686.13</v>
      </c>
      <c r="T350" s="82">
        <f t="shared" si="10"/>
        <v>4083.73</v>
      </c>
      <c r="U350" s="77">
        <f t="shared" si="11"/>
        <v>4083.73</v>
      </c>
      <c r="V350" s="78">
        <v>602.4</v>
      </c>
      <c r="W350" s="80" t="s">
        <v>233</v>
      </c>
      <c r="X350" s="81" t="s">
        <v>233</v>
      </c>
      <c r="Y350" s="4" t="s">
        <v>240</v>
      </c>
      <c r="Z350" s="81" t="s">
        <v>233</v>
      </c>
      <c r="AA350" s="64" t="s">
        <v>233</v>
      </c>
      <c r="AB350" s="81" t="s">
        <v>233</v>
      </c>
      <c r="AC350" s="4" t="s">
        <v>233</v>
      </c>
      <c r="AD350" s="64" t="s">
        <v>233</v>
      </c>
      <c r="AE350" s="64" t="s">
        <v>240</v>
      </c>
      <c r="AF350" s="208">
        <v>0</v>
      </c>
      <c r="AG350" s="4">
        <v>1</v>
      </c>
      <c r="AH350" s="64">
        <v>2</v>
      </c>
      <c r="AI350" s="4">
        <v>0</v>
      </c>
      <c r="AJ350" s="4">
        <v>1</v>
      </c>
      <c r="AK350" s="4">
        <v>0</v>
      </c>
    </row>
    <row r="351" spans="1:37" outlineLevel="1">
      <c r="A351" s="63">
        <v>344</v>
      </c>
      <c r="B351" s="64" t="s">
        <v>190</v>
      </c>
      <c r="C351" s="4" t="s">
        <v>237</v>
      </c>
      <c r="D351" s="4" t="str">
        <f>[1]Лист2!B344</f>
        <v>ДЕКАБРИСТОВ ул.</v>
      </c>
      <c r="E351" s="69">
        <f>[1]Лист2!C344</f>
        <v>37</v>
      </c>
      <c r="F351" s="197" t="str">
        <f>[1]Лист2!D344</f>
        <v>А</v>
      </c>
      <c r="G351" s="4"/>
      <c r="H351" s="199">
        <v>129344</v>
      </c>
      <c r="I351" s="64" t="s">
        <v>234</v>
      </c>
      <c r="J351" s="4"/>
      <c r="K351" s="64" t="s">
        <v>232</v>
      </c>
      <c r="L351" s="4" t="s">
        <v>232</v>
      </c>
      <c r="M351" s="72">
        <v>1828</v>
      </c>
      <c r="N351" s="64" t="s">
        <v>385</v>
      </c>
      <c r="O351" s="73">
        <v>5</v>
      </c>
      <c r="P351" s="196">
        <v>0</v>
      </c>
      <c r="Q351" s="73">
        <v>4</v>
      </c>
      <c r="R351" s="74">
        <v>50</v>
      </c>
      <c r="S351" s="76">
        <v>3006.5</v>
      </c>
      <c r="T351" s="82">
        <f t="shared" si="10"/>
        <v>2330</v>
      </c>
      <c r="U351" s="77">
        <f t="shared" si="11"/>
        <v>2330</v>
      </c>
      <c r="V351" s="78">
        <v>676.5</v>
      </c>
      <c r="W351" s="80" t="s">
        <v>233</v>
      </c>
      <c r="X351" s="81" t="s">
        <v>233</v>
      </c>
      <c r="Y351" s="4" t="s">
        <v>233</v>
      </c>
      <c r="Z351" s="81" t="s">
        <v>233</v>
      </c>
      <c r="AA351" s="64" t="s">
        <v>233</v>
      </c>
      <c r="AB351" s="81" t="s">
        <v>233</v>
      </c>
      <c r="AC351" s="4" t="s">
        <v>240</v>
      </c>
      <c r="AD351" s="64" t="s">
        <v>233</v>
      </c>
      <c r="AE351" s="64" t="s">
        <v>240</v>
      </c>
      <c r="AF351" s="208">
        <v>0</v>
      </c>
      <c r="AG351" s="4">
        <v>1</v>
      </c>
      <c r="AH351" s="64">
        <v>1</v>
      </c>
      <c r="AI351" s="4">
        <v>1</v>
      </c>
      <c r="AJ351" s="4">
        <v>1</v>
      </c>
      <c r="AK351" s="4">
        <v>0</v>
      </c>
    </row>
    <row r="352" spans="1:37" outlineLevel="1">
      <c r="A352" s="5">
        <v>345</v>
      </c>
      <c r="B352" s="64" t="s">
        <v>190</v>
      </c>
      <c r="C352" s="4" t="s">
        <v>237</v>
      </c>
      <c r="D352" s="4" t="str">
        <f>[1]Лист2!B345</f>
        <v>ДЕКАБРИСТОВ ул.</v>
      </c>
      <c r="E352" s="69">
        <f>[1]Лист2!C345</f>
        <v>37</v>
      </c>
      <c r="F352" s="197" t="str">
        <f>[1]Лист2!D345</f>
        <v>Б</v>
      </c>
      <c r="G352" s="64"/>
      <c r="H352" s="199">
        <v>129345</v>
      </c>
      <c r="I352" s="64" t="s">
        <v>234</v>
      </c>
      <c r="J352" s="4"/>
      <c r="K352" s="64" t="s">
        <v>232</v>
      </c>
      <c r="L352" s="4" t="s">
        <v>232</v>
      </c>
      <c r="M352" s="72">
        <v>1828</v>
      </c>
      <c r="N352" s="64" t="s">
        <v>385</v>
      </c>
      <c r="O352" s="73">
        <v>5</v>
      </c>
      <c r="P352" s="196">
        <v>0</v>
      </c>
      <c r="Q352" s="73">
        <v>4</v>
      </c>
      <c r="R352" s="74">
        <v>70</v>
      </c>
      <c r="S352" s="76">
        <v>1871.6</v>
      </c>
      <c r="T352" s="82">
        <f t="shared" si="10"/>
        <v>1798</v>
      </c>
      <c r="U352" s="77">
        <f t="shared" si="11"/>
        <v>1798</v>
      </c>
      <c r="V352" s="78">
        <v>73.599999999999994</v>
      </c>
      <c r="W352" s="80" t="s">
        <v>233</v>
      </c>
      <c r="X352" s="81" t="s">
        <v>233</v>
      </c>
      <c r="Y352" s="4" t="s">
        <v>233</v>
      </c>
      <c r="Z352" s="81" t="s">
        <v>233</v>
      </c>
      <c r="AA352" s="64" t="s">
        <v>233</v>
      </c>
      <c r="AB352" s="81" t="s">
        <v>233</v>
      </c>
      <c r="AC352" s="4" t="s">
        <v>240</v>
      </c>
      <c r="AD352" s="64" t="s">
        <v>233</v>
      </c>
      <c r="AE352" s="64" t="s">
        <v>240</v>
      </c>
      <c r="AF352" s="209">
        <v>0</v>
      </c>
      <c r="AG352" s="4">
        <v>1</v>
      </c>
      <c r="AH352" s="64">
        <v>1</v>
      </c>
      <c r="AI352" s="4">
        <v>0</v>
      </c>
      <c r="AJ352" s="4">
        <v>0</v>
      </c>
      <c r="AK352" s="4">
        <v>0</v>
      </c>
    </row>
    <row r="353" spans="1:37" outlineLevel="1">
      <c r="A353" s="5">
        <v>346</v>
      </c>
      <c r="B353" s="64" t="s">
        <v>190</v>
      </c>
      <c r="C353" s="4" t="s">
        <v>237</v>
      </c>
      <c r="D353" s="4" t="str">
        <f>[1]Лист2!B346</f>
        <v>ДЕКАБРИСТОВ ул.</v>
      </c>
      <c r="E353" s="69">
        <f>[1]Лист2!C346</f>
        <v>39</v>
      </c>
      <c r="F353" s="197" t="str">
        <f>[1]Лист2!D346</f>
        <v>А</v>
      </c>
      <c r="G353" s="64"/>
      <c r="H353" s="199">
        <v>129346</v>
      </c>
      <c r="I353" s="64" t="s">
        <v>234</v>
      </c>
      <c r="J353" s="4"/>
      <c r="K353" s="64" t="s">
        <v>232</v>
      </c>
      <c r="L353" s="4" t="s">
        <v>232</v>
      </c>
      <c r="M353" s="72">
        <v>1893</v>
      </c>
      <c r="N353" s="64" t="s">
        <v>385</v>
      </c>
      <c r="O353" s="73">
        <v>3</v>
      </c>
      <c r="P353" s="196">
        <v>0</v>
      </c>
      <c r="Q353" s="73">
        <v>3</v>
      </c>
      <c r="R353" s="74">
        <v>28</v>
      </c>
      <c r="S353" s="76">
        <v>2256</v>
      </c>
      <c r="T353" s="82">
        <f t="shared" si="10"/>
        <v>1621.1</v>
      </c>
      <c r="U353" s="77">
        <f t="shared" si="11"/>
        <v>1621.1</v>
      </c>
      <c r="V353" s="78">
        <v>634.9</v>
      </c>
      <c r="W353" s="80" t="s">
        <v>233</v>
      </c>
      <c r="X353" s="81" t="s">
        <v>233</v>
      </c>
      <c r="Y353" s="4" t="s">
        <v>233</v>
      </c>
      <c r="Z353" s="81" t="s">
        <v>233</v>
      </c>
      <c r="AA353" s="64" t="s">
        <v>233</v>
      </c>
      <c r="AB353" s="81" t="s">
        <v>233</v>
      </c>
      <c r="AC353" s="4" t="s">
        <v>240</v>
      </c>
      <c r="AD353" s="64" t="s">
        <v>233</v>
      </c>
      <c r="AE353" s="64" t="s">
        <v>240</v>
      </c>
      <c r="AF353" s="208">
        <v>0</v>
      </c>
      <c r="AG353" s="4">
        <v>1</v>
      </c>
      <c r="AH353" s="64">
        <v>1</v>
      </c>
      <c r="AI353" s="4">
        <v>0</v>
      </c>
      <c r="AJ353" s="4">
        <v>0</v>
      </c>
      <c r="AK353" s="4">
        <v>0</v>
      </c>
    </row>
    <row r="354" spans="1:37" outlineLevel="1">
      <c r="A354" s="5">
        <v>347</v>
      </c>
      <c r="B354" s="64" t="s">
        <v>190</v>
      </c>
      <c r="C354" s="4" t="s">
        <v>237</v>
      </c>
      <c r="D354" s="4" t="str">
        <f>[1]Лист2!B347</f>
        <v>ДЕКАБРИСТОВ ул.</v>
      </c>
      <c r="E354" s="69">
        <f>[1]Лист2!C347</f>
        <v>41</v>
      </c>
      <c r="F354" s="197" t="str">
        <f>[1]Лист2!D347</f>
        <v>А</v>
      </c>
      <c r="G354" s="4"/>
      <c r="H354" s="199">
        <v>129347</v>
      </c>
      <c r="I354" s="64" t="s">
        <v>234</v>
      </c>
      <c r="J354" s="4"/>
      <c r="K354" s="64" t="s">
        <v>232</v>
      </c>
      <c r="L354" s="4" t="s">
        <v>232</v>
      </c>
      <c r="M354" s="72">
        <v>1873</v>
      </c>
      <c r="N354" s="64" t="s">
        <v>385</v>
      </c>
      <c r="O354" s="73">
        <v>4</v>
      </c>
      <c r="P354" s="196">
        <v>0</v>
      </c>
      <c r="Q354" s="73">
        <v>4</v>
      </c>
      <c r="R354" s="74">
        <v>18</v>
      </c>
      <c r="S354" s="76">
        <v>1817.5600000000002</v>
      </c>
      <c r="T354" s="82">
        <f t="shared" si="10"/>
        <v>1500.7600000000002</v>
      </c>
      <c r="U354" s="77">
        <f t="shared" si="11"/>
        <v>1500.7600000000002</v>
      </c>
      <c r="V354" s="78">
        <v>316.8</v>
      </c>
      <c r="W354" s="80" t="s">
        <v>233</v>
      </c>
      <c r="X354" s="81" t="s">
        <v>233</v>
      </c>
      <c r="Y354" s="4" t="s">
        <v>233</v>
      </c>
      <c r="Z354" s="81" t="s">
        <v>233</v>
      </c>
      <c r="AA354" s="64" t="s">
        <v>233</v>
      </c>
      <c r="AB354" s="81" t="s">
        <v>233</v>
      </c>
      <c r="AC354" s="4" t="s">
        <v>240</v>
      </c>
      <c r="AD354" s="64" t="s">
        <v>233</v>
      </c>
      <c r="AE354" s="64" t="s">
        <v>240</v>
      </c>
      <c r="AF354" s="208">
        <v>0</v>
      </c>
      <c r="AG354" s="4">
        <v>1</v>
      </c>
      <c r="AH354" s="64">
        <v>1</v>
      </c>
      <c r="AI354" s="4">
        <v>1</v>
      </c>
      <c r="AJ354" s="4">
        <v>1</v>
      </c>
      <c r="AK354" s="4">
        <v>0</v>
      </c>
    </row>
    <row r="355" spans="1:37" outlineLevel="1">
      <c r="A355" s="5">
        <v>348</v>
      </c>
      <c r="B355" s="64" t="s">
        <v>190</v>
      </c>
      <c r="C355" s="4" t="s">
        <v>237</v>
      </c>
      <c r="D355" s="4" t="str">
        <f>[1]Лист2!B348</f>
        <v>ДЕКАБРИСТОВ ул.</v>
      </c>
      <c r="E355" s="69" t="str">
        <f>[1]Лист2!C348</f>
        <v>43-45</v>
      </c>
      <c r="F355" s="197" t="str">
        <f>[1]Лист2!D348</f>
        <v>А</v>
      </c>
      <c r="G355" s="4"/>
      <c r="H355" s="199">
        <v>129348</v>
      </c>
      <c r="I355" s="64" t="s">
        <v>234</v>
      </c>
      <c r="J355" s="4"/>
      <c r="K355" s="64" t="s">
        <v>232</v>
      </c>
      <c r="L355" s="4" t="s">
        <v>232</v>
      </c>
      <c r="M355" s="72">
        <v>1828</v>
      </c>
      <c r="N355" s="64" t="s">
        <v>385</v>
      </c>
      <c r="O355" s="73">
        <v>4</v>
      </c>
      <c r="P355" s="196">
        <v>0</v>
      </c>
      <c r="Q355" s="73">
        <v>3</v>
      </c>
      <c r="R355" s="74">
        <v>51</v>
      </c>
      <c r="S355" s="76">
        <v>1754</v>
      </c>
      <c r="T355" s="82">
        <f t="shared" si="10"/>
        <v>908</v>
      </c>
      <c r="U355" s="77">
        <f t="shared" si="11"/>
        <v>908</v>
      </c>
      <c r="V355" s="78">
        <v>846</v>
      </c>
      <c r="W355" s="80" t="s">
        <v>233</v>
      </c>
      <c r="X355" s="81" t="s">
        <v>233</v>
      </c>
      <c r="Y355" s="4" t="s">
        <v>233</v>
      </c>
      <c r="Z355" s="81" t="s">
        <v>233</v>
      </c>
      <c r="AA355" s="64" t="s">
        <v>233</v>
      </c>
      <c r="AB355" s="81" t="s">
        <v>233</v>
      </c>
      <c r="AC355" s="4" t="s">
        <v>240</v>
      </c>
      <c r="AD355" s="64" t="s">
        <v>233</v>
      </c>
      <c r="AE355" s="64" t="s">
        <v>240</v>
      </c>
      <c r="AF355" s="208">
        <v>0</v>
      </c>
      <c r="AG355" s="4">
        <v>1</v>
      </c>
      <c r="AH355" s="64">
        <v>1</v>
      </c>
      <c r="AI355" s="4">
        <v>1</v>
      </c>
      <c r="AJ355" s="4">
        <v>1</v>
      </c>
      <c r="AK355" s="4">
        <v>0</v>
      </c>
    </row>
    <row r="356" spans="1:37" outlineLevel="1">
      <c r="A356" s="63">
        <v>349</v>
      </c>
      <c r="B356" s="64" t="s">
        <v>190</v>
      </c>
      <c r="C356" s="4" t="s">
        <v>237</v>
      </c>
      <c r="D356" s="4" t="str">
        <f>[1]Лист2!B349</f>
        <v>ДЕКАБРИСТОВ ул.</v>
      </c>
      <c r="E356" s="69" t="str">
        <f>[1]Лист2!C349</f>
        <v>43-45</v>
      </c>
      <c r="F356" s="197" t="str">
        <f>[1]Лист2!D349</f>
        <v>Б</v>
      </c>
      <c r="G356" s="64"/>
      <c r="H356" s="199">
        <v>129349</v>
      </c>
      <c r="I356" s="64" t="s">
        <v>234</v>
      </c>
      <c r="J356" s="4"/>
      <c r="K356" s="64" t="s">
        <v>232</v>
      </c>
      <c r="L356" s="4" t="s">
        <v>232</v>
      </c>
      <c r="M356" s="72">
        <v>1872</v>
      </c>
      <c r="N356" s="64" t="s">
        <v>385</v>
      </c>
      <c r="O356" s="73">
        <v>4</v>
      </c>
      <c r="P356" s="196">
        <v>0</v>
      </c>
      <c r="Q356" s="73">
        <v>1</v>
      </c>
      <c r="R356" s="74">
        <v>27</v>
      </c>
      <c r="S356" s="76">
        <v>796</v>
      </c>
      <c r="T356" s="82">
        <f t="shared" si="10"/>
        <v>439</v>
      </c>
      <c r="U356" s="77">
        <f t="shared" si="11"/>
        <v>439</v>
      </c>
      <c r="V356" s="78">
        <v>357</v>
      </c>
      <c r="W356" s="80" t="s">
        <v>233</v>
      </c>
      <c r="X356" s="81" t="s">
        <v>233</v>
      </c>
      <c r="Y356" s="4" t="s">
        <v>233</v>
      </c>
      <c r="Z356" s="81" t="s">
        <v>233</v>
      </c>
      <c r="AA356" s="64" t="s">
        <v>233</v>
      </c>
      <c r="AB356" s="81" t="s">
        <v>233</v>
      </c>
      <c r="AC356" s="4" t="s">
        <v>240</v>
      </c>
      <c r="AD356" s="64" t="s">
        <v>233</v>
      </c>
      <c r="AE356" s="64" t="s">
        <v>240</v>
      </c>
      <c r="AF356" s="209">
        <v>0</v>
      </c>
      <c r="AG356" s="4">
        <v>1</v>
      </c>
      <c r="AH356" s="64">
        <v>1</v>
      </c>
      <c r="AI356" s="4">
        <v>0</v>
      </c>
      <c r="AJ356" s="4">
        <v>0</v>
      </c>
      <c r="AK356" s="4">
        <v>0</v>
      </c>
    </row>
    <row r="357" spans="1:37" outlineLevel="1">
      <c r="A357" s="63">
        <v>350</v>
      </c>
      <c r="B357" s="64" t="s">
        <v>190</v>
      </c>
      <c r="C357" s="4" t="s">
        <v>237</v>
      </c>
      <c r="D357" s="4" t="str">
        <f>[1]Лист2!B350</f>
        <v>ДЕКАБРИСТОВ ул.</v>
      </c>
      <c r="E357" s="69">
        <f>[1]Лист2!C350</f>
        <v>46</v>
      </c>
      <c r="F357" s="197" t="str">
        <f>[1]Лист2!D350</f>
        <v>А</v>
      </c>
      <c r="G357" s="64"/>
      <c r="H357" s="199">
        <v>129350</v>
      </c>
      <c r="I357" s="64" t="s">
        <v>234</v>
      </c>
      <c r="J357" s="4"/>
      <c r="K357" s="64" t="s">
        <v>232</v>
      </c>
      <c r="L357" s="4" t="s">
        <v>232</v>
      </c>
      <c r="M357" s="72">
        <v>1917</v>
      </c>
      <c r="N357" s="64" t="s">
        <v>385</v>
      </c>
      <c r="O357" s="73">
        <v>5</v>
      </c>
      <c r="P357" s="196">
        <v>0</v>
      </c>
      <c r="Q357" s="73">
        <v>5</v>
      </c>
      <c r="R357" s="74">
        <v>47</v>
      </c>
      <c r="S357" s="76">
        <v>3676.65</v>
      </c>
      <c r="T357" s="82">
        <f t="shared" si="10"/>
        <v>2943.65</v>
      </c>
      <c r="U357" s="77">
        <f t="shared" si="11"/>
        <v>2943.65</v>
      </c>
      <c r="V357" s="78">
        <v>733</v>
      </c>
      <c r="W357" s="80" t="s">
        <v>233</v>
      </c>
      <c r="X357" s="81" t="s">
        <v>233</v>
      </c>
      <c r="Y357" s="4" t="s">
        <v>233</v>
      </c>
      <c r="Z357" s="81" t="s">
        <v>233</v>
      </c>
      <c r="AA357" s="64" t="s">
        <v>233</v>
      </c>
      <c r="AB357" s="81" t="s">
        <v>233</v>
      </c>
      <c r="AC357" s="4" t="s">
        <v>240</v>
      </c>
      <c r="AD357" s="64" t="s">
        <v>233</v>
      </c>
      <c r="AE357" s="64" t="s">
        <v>240</v>
      </c>
      <c r="AF357" s="208">
        <v>0</v>
      </c>
      <c r="AG357" s="4">
        <v>1</v>
      </c>
      <c r="AH357" s="64">
        <v>1</v>
      </c>
      <c r="AI357" s="4">
        <v>1</v>
      </c>
      <c r="AJ357" s="4">
        <v>1</v>
      </c>
      <c r="AK357" s="4">
        <v>0</v>
      </c>
    </row>
    <row r="358" spans="1:37" outlineLevel="1">
      <c r="A358" s="5">
        <v>351</v>
      </c>
      <c r="B358" s="64" t="s">
        <v>190</v>
      </c>
      <c r="C358" s="4" t="s">
        <v>237</v>
      </c>
      <c r="D358" s="4" t="str">
        <f>[1]Лист2!B351</f>
        <v>ДЕКАБРИСТОВ ул.</v>
      </c>
      <c r="E358" s="69">
        <f>[1]Лист2!C351</f>
        <v>48</v>
      </c>
      <c r="F358" s="197" t="str">
        <f>[1]Лист2!D351</f>
        <v>А</v>
      </c>
      <c r="G358" s="4"/>
      <c r="H358" s="199">
        <v>129351</v>
      </c>
      <c r="I358" s="64" t="s">
        <v>234</v>
      </c>
      <c r="J358" s="4"/>
      <c r="K358" s="64" t="s">
        <v>232</v>
      </c>
      <c r="L358" s="4" t="s">
        <v>232</v>
      </c>
      <c r="M358" s="72">
        <v>1917</v>
      </c>
      <c r="N358" s="64" t="s">
        <v>385</v>
      </c>
      <c r="O358" s="73">
        <v>4</v>
      </c>
      <c r="P358" s="196">
        <v>0</v>
      </c>
      <c r="Q358" s="73">
        <v>4</v>
      </c>
      <c r="R358" s="74">
        <v>45</v>
      </c>
      <c r="S358" s="76">
        <v>3260.5099999999998</v>
      </c>
      <c r="T358" s="82">
        <f t="shared" si="10"/>
        <v>1999.4099999999999</v>
      </c>
      <c r="U358" s="77">
        <f t="shared" si="11"/>
        <v>1999.4099999999999</v>
      </c>
      <c r="V358" s="78">
        <v>1261.0999999999999</v>
      </c>
      <c r="W358" s="80" t="s">
        <v>233</v>
      </c>
      <c r="X358" s="81" t="s">
        <v>233</v>
      </c>
      <c r="Y358" s="4" t="s">
        <v>233</v>
      </c>
      <c r="Z358" s="81" t="s">
        <v>233</v>
      </c>
      <c r="AA358" s="64" t="s">
        <v>233</v>
      </c>
      <c r="AB358" s="81" t="s">
        <v>233</v>
      </c>
      <c r="AC358" s="4" t="s">
        <v>240</v>
      </c>
      <c r="AD358" s="64" t="s">
        <v>233</v>
      </c>
      <c r="AE358" s="64" t="s">
        <v>240</v>
      </c>
      <c r="AF358" s="208">
        <v>0</v>
      </c>
      <c r="AG358" s="4">
        <v>1</v>
      </c>
      <c r="AH358" s="64">
        <v>1</v>
      </c>
      <c r="AI358" s="4">
        <v>1</v>
      </c>
      <c r="AJ358" s="4">
        <v>1</v>
      </c>
      <c r="AK358" s="4">
        <v>0</v>
      </c>
    </row>
    <row r="359" spans="1:37" outlineLevel="1">
      <c r="A359" s="5">
        <v>352</v>
      </c>
      <c r="B359" s="64" t="s">
        <v>190</v>
      </c>
      <c r="C359" s="4" t="s">
        <v>237</v>
      </c>
      <c r="D359" s="4" t="str">
        <f>[1]Лист2!B352</f>
        <v>ДЕКАБРИСТОВ ул.</v>
      </c>
      <c r="E359" s="69">
        <f>[1]Лист2!C352</f>
        <v>50</v>
      </c>
      <c r="F359" s="197" t="str">
        <f>[1]Лист2!D352</f>
        <v>А</v>
      </c>
      <c r="G359" s="4"/>
      <c r="H359" s="199">
        <v>129352</v>
      </c>
      <c r="I359" s="64" t="s">
        <v>234</v>
      </c>
      <c r="J359" s="4"/>
      <c r="K359" s="64" t="s">
        <v>232</v>
      </c>
      <c r="L359" s="4" t="s">
        <v>232</v>
      </c>
      <c r="M359" s="72">
        <v>1917</v>
      </c>
      <c r="N359" s="64" t="s">
        <v>385</v>
      </c>
      <c r="O359" s="73">
        <v>5</v>
      </c>
      <c r="P359" s="196">
        <v>0</v>
      </c>
      <c r="Q359" s="73">
        <v>4</v>
      </c>
      <c r="R359" s="74">
        <v>77</v>
      </c>
      <c r="S359" s="76">
        <v>3931.7299999999996</v>
      </c>
      <c r="T359" s="82">
        <f t="shared" si="10"/>
        <v>3537.5299999999997</v>
      </c>
      <c r="U359" s="77">
        <f t="shared" si="11"/>
        <v>3537.5299999999997</v>
      </c>
      <c r="V359" s="78">
        <v>394.2</v>
      </c>
      <c r="W359" s="80" t="s">
        <v>233</v>
      </c>
      <c r="X359" s="81" t="s">
        <v>233</v>
      </c>
      <c r="Y359" s="4" t="s">
        <v>233</v>
      </c>
      <c r="Z359" s="81" t="s">
        <v>233</v>
      </c>
      <c r="AA359" s="64" t="s">
        <v>233</v>
      </c>
      <c r="AB359" s="81" t="s">
        <v>233</v>
      </c>
      <c r="AC359" s="4" t="s">
        <v>240</v>
      </c>
      <c r="AD359" s="64" t="s">
        <v>233</v>
      </c>
      <c r="AE359" s="64" t="s">
        <v>240</v>
      </c>
      <c r="AF359" s="208">
        <v>0</v>
      </c>
      <c r="AG359" s="4">
        <v>1</v>
      </c>
      <c r="AH359" s="64">
        <v>1</v>
      </c>
      <c r="AI359" s="4">
        <v>0</v>
      </c>
      <c r="AJ359" s="4">
        <v>0</v>
      </c>
      <c r="AK359" s="4">
        <v>0</v>
      </c>
    </row>
    <row r="360" spans="1:37" outlineLevel="1">
      <c r="A360" s="5">
        <v>353</v>
      </c>
      <c r="B360" s="64" t="s">
        <v>190</v>
      </c>
      <c r="C360" s="4" t="s">
        <v>237</v>
      </c>
      <c r="D360" s="4" t="str">
        <f>[1]Лист2!B353</f>
        <v>ДЕКАБРИСТОВ ул.</v>
      </c>
      <c r="E360" s="69">
        <f>[1]Лист2!C353</f>
        <v>51</v>
      </c>
      <c r="F360" s="197" t="str">
        <f>[1]Лист2!D353</f>
        <v>А</v>
      </c>
      <c r="G360" s="64"/>
      <c r="H360" s="199">
        <v>129353</v>
      </c>
      <c r="I360" s="64" t="s">
        <v>234</v>
      </c>
      <c r="J360" s="4"/>
      <c r="K360" s="64" t="s">
        <v>232</v>
      </c>
      <c r="L360" s="4" t="s">
        <v>232</v>
      </c>
      <c r="M360" s="72">
        <v>1841</v>
      </c>
      <c r="N360" s="64" t="s">
        <v>385</v>
      </c>
      <c r="O360" s="73">
        <v>3</v>
      </c>
      <c r="P360" s="196">
        <v>0</v>
      </c>
      <c r="Q360" s="73">
        <v>2</v>
      </c>
      <c r="R360" s="74">
        <v>30</v>
      </c>
      <c r="S360" s="76">
        <v>967.40000000000009</v>
      </c>
      <c r="T360" s="82">
        <f t="shared" si="10"/>
        <v>760.2</v>
      </c>
      <c r="U360" s="77">
        <f t="shared" si="11"/>
        <v>760.2</v>
      </c>
      <c r="V360" s="78">
        <v>207.2</v>
      </c>
      <c r="W360" s="80" t="s">
        <v>233</v>
      </c>
      <c r="X360" s="81" t="s">
        <v>233</v>
      </c>
      <c r="Y360" s="4" t="s">
        <v>233</v>
      </c>
      <c r="Z360" s="81" t="s">
        <v>233</v>
      </c>
      <c r="AA360" s="64" t="s">
        <v>233</v>
      </c>
      <c r="AB360" s="81" t="s">
        <v>233</v>
      </c>
      <c r="AC360" s="4" t="s">
        <v>240</v>
      </c>
      <c r="AD360" s="64" t="s">
        <v>233</v>
      </c>
      <c r="AE360" s="64" t="s">
        <v>240</v>
      </c>
      <c r="AF360" s="208">
        <v>0</v>
      </c>
      <c r="AG360" s="4">
        <v>1</v>
      </c>
      <c r="AH360" s="64">
        <v>1</v>
      </c>
      <c r="AI360" s="4">
        <v>1</v>
      </c>
      <c r="AJ360" s="4">
        <v>1</v>
      </c>
      <c r="AK360" s="4">
        <v>0</v>
      </c>
    </row>
    <row r="361" spans="1:37" outlineLevel="1">
      <c r="A361" s="5">
        <v>354</v>
      </c>
      <c r="B361" s="64" t="s">
        <v>190</v>
      </c>
      <c r="C361" s="4" t="s">
        <v>237</v>
      </c>
      <c r="D361" s="4" t="str">
        <f>[1]Лист2!B354</f>
        <v>ДЕКАБРИСТОВ ул.</v>
      </c>
      <c r="E361" s="69">
        <f>[1]Лист2!C354</f>
        <v>51</v>
      </c>
      <c r="F361" s="197" t="str">
        <f>[1]Лист2!D354</f>
        <v>В</v>
      </c>
      <c r="G361" s="64"/>
      <c r="H361" s="199">
        <v>129354</v>
      </c>
      <c r="I361" s="64" t="s">
        <v>234</v>
      </c>
      <c r="J361" s="4"/>
      <c r="K361" s="64" t="s">
        <v>232</v>
      </c>
      <c r="L361" s="4" t="s">
        <v>232</v>
      </c>
      <c r="M361" s="72">
        <v>1841</v>
      </c>
      <c r="N361" s="64" t="s">
        <v>385</v>
      </c>
      <c r="O361" s="73">
        <v>3</v>
      </c>
      <c r="P361" s="196">
        <v>0</v>
      </c>
      <c r="Q361" s="73">
        <v>2</v>
      </c>
      <c r="R361" s="74">
        <v>25</v>
      </c>
      <c r="S361" s="76">
        <v>776.4</v>
      </c>
      <c r="T361" s="82">
        <f t="shared" si="10"/>
        <v>611.9</v>
      </c>
      <c r="U361" s="77">
        <f t="shared" si="11"/>
        <v>611.9</v>
      </c>
      <c r="V361" s="78">
        <v>164.5</v>
      </c>
      <c r="W361" s="80" t="s">
        <v>233</v>
      </c>
      <c r="X361" s="81" t="s">
        <v>233</v>
      </c>
      <c r="Y361" s="4" t="s">
        <v>233</v>
      </c>
      <c r="Z361" s="81" t="s">
        <v>233</v>
      </c>
      <c r="AA361" s="64" t="s">
        <v>233</v>
      </c>
      <c r="AB361" s="81" t="s">
        <v>233</v>
      </c>
      <c r="AC361" s="4" t="s">
        <v>240</v>
      </c>
      <c r="AD361" s="64" t="s">
        <v>233</v>
      </c>
      <c r="AE361" s="64" t="s">
        <v>240</v>
      </c>
      <c r="AF361" s="209">
        <v>0</v>
      </c>
      <c r="AG361" s="4">
        <v>1</v>
      </c>
      <c r="AH361" s="64">
        <v>1</v>
      </c>
      <c r="AI361" s="4">
        <v>0</v>
      </c>
      <c r="AJ361" s="4">
        <v>0</v>
      </c>
      <c r="AK361" s="4">
        <v>0</v>
      </c>
    </row>
    <row r="362" spans="1:37" outlineLevel="1">
      <c r="A362" s="63">
        <v>355</v>
      </c>
      <c r="B362" s="64" t="s">
        <v>190</v>
      </c>
      <c r="C362" s="4" t="s">
        <v>237</v>
      </c>
      <c r="D362" s="4" t="str">
        <f>[1]Лист2!B355</f>
        <v>ДЕКАБРИСТОВ ул.</v>
      </c>
      <c r="E362" s="69">
        <f>[1]Лист2!C355</f>
        <v>52</v>
      </c>
      <c r="F362" s="197" t="str">
        <f>[1]Лист2!D355</f>
        <v>А</v>
      </c>
      <c r="G362" s="4"/>
      <c r="H362" s="199">
        <v>129355</v>
      </c>
      <c r="I362" s="64" t="s">
        <v>234</v>
      </c>
      <c r="J362" s="4"/>
      <c r="K362" s="64" t="s">
        <v>232</v>
      </c>
      <c r="L362" s="4" t="s">
        <v>232</v>
      </c>
      <c r="M362" s="72">
        <v>1917</v>
      </c>
      <c r="N362" s="64" t="s">
        <v>385</v>
      </c>
      <c r="O362" s="73">
        <v>5</v>
      </c>
      <c r="P362" s="196">
        <v>0</v>
      </c>
      <c r="Q362" s="73">
        <v>5</v>
      </c>
      <c r="R362" s="74">
        <v>33</v>
      </c>
      <c r="S362" s="76">
        <v>2759.44</v>
      </c>
      <c r="T362" s="82">
        <f t="shared" si="10"/>
        <v>2389.44</v>
      </c>
      <c r="U362" s="77">
        <f t="shared" si="11"/>
        <v>2389.44</v>
      </c>
      <c r="V362" s="78">
        <v>370</v>
      </c>
      <c r="W362" s="80" t="s">
        <v>233</v>
      </c>
      <c r="X362" s="81" t="s">
        <v>233</v>
      </c>
      <c r="Y362" s="4" t="s">
        <v>233</v>
      </c>
      <c r="Z362" s="81" t="s">
        <v>233</v>
      </c>
      <c r="AA362" s="64" t="s">
        <v>233</v>
      </c>
      <c r="AB362" s="81" t="s">
        <v>233</v>
      </c>
      <c r="AC362" s="4" t="s">
        <v>240</v>
      </c>
      <c r="AD362" s="64" t="s">
        <v>233</v>
      </c>
      <c r="AE362" s="64" t="s">
        <v>240</v>
      </c>
      <c r="AF362" s="208">
        <v>0</v>
      </c>
      <c r="AG362" s="4">
        <v>1</v>
      </c>
      <c r="AH362" s="64">
        <v>1</v>
      </c>
      <c r="AI362" s="4">
        <v>1</v>
      </c>
      <c r="AJ362" s="4">
        <v>1</v>
      </c>
      <c r="AK362" s="4">
        <v>0</v>
      </c>
    </row>
    <row r="363" spans="1:37" outlineLevel="1">
      <c r="A363" s="63">
        <v>356</v>
      </c>
      <c r="B363" s="64" t="s">
        <v>190</v>
      </c>
      <c r="C363" s="4" t="s">
        <v>237</v>
      </c>
      <c r="D363" s="4" t="str">
        <f>[1]Лист2!B356</f>
        <v>ДЕКАБРИСТОВ ул.</v>
      </c>
      <c r="E363" s="69">
        <f>[1]Лист2!C356</f>
        <v>54</v>
      </c>
      <c r="F363" s="197" t="str">
        <f>[1]Лист2!D356</f>
        <v>Б</v>
      </c>
      <c r="G363" s="4"/>
      <c r="H363" s="199">
        <v>129356</v>
      </c>
      <c r="I363" s="64" t="s">
        <v>234</v>
      </c>
      <c r="J363" s="4"/>
      <c r="K363" s="64" t="s">
        <v>232</v>
      </c>
      <c r="L363" s="4" t="s">
        <v>232</v>
      </c>
      <c r="M363" s="72">
        <v>1909</v>
      </c>
      <c r="N363" s="64" t="s">
        <v>385</v>
      </c>
      <c r="O363" s="73">
        <v>7</v>
      </c>
      <c r="P363" s="196">
        <v>0</v>
      </c>
      <c r="Q363" s="73">
        <v>5</v>
      </c>
      <c r="R363" s="74">
        <v>136</v>
      </c>
      <c r="S363" s="76">
        <v>5098.7</v>
      </c>
      <c r="T363" s="82">
        <f t="shared" si="10"/>
        <v>4169.3</v>
      </c>
      <c r="U363" s="77">
        <f t="shared" si="11"/>
        <v>4169.3</v>
      </c>
      <c r="V363" s="78">
        <v>929.4</v>
      </c>
      <c r="W363" s="80" t="s">
        <v>233</v>
      </c>
      <c r="X363" s="81" t="s">
        <v>233</v>
      </c>
      <c r="Y363" s="4" t="s">
        <v>233</v>
      </c>
      <c r="Z363" s="81" t="s">
        <v>233</v>
      </c>
      <c r="AA363" s="64" t="s">
        <v>233</v>
      </c>
      <c r="AB363" s="81" t="s">
        <v>233</v>
      </c>
      <c r="AC363" s="4" t="s">
        <v>240</v>
      </c>
      <c r="AD363" s="64" t="s">
        <v>233</v>
      </c>
      <c r="AE363" s="64" t="s">
        <v>240</v>
      </c>
      <c r="AF363" s="208">
        <v>2</v>
      </c>
      <c r="AG363" s="4">
        <v>2</v>
      </c>
      <c r="AH363" s="64">
        <v>1</v>
      </c>
      <c r="AI363" s="4">
        <v>1</v>
      </c>
      <c r="AJ363" s="4">
        <v>1</v>
      </c>
      <c r="AK363" s="4">
        <v>0</v>
      </c>
    </row>
    <row r="364" spans="1:37" outlineLevel="1">
      <c r="A364" s="5">
        <v>357</v>
      </c>
      <c r="B364" s="64" t="s">
        <v>190</v>
      </c>
      <c r="C364" s="4" t="s">
        <v>237</v>
      </c>
      <c r="D364" s="4" t="str">
        <f>[1]Лист2!B357</f>
        <v>ДЕКАБРИСТОВ ул.</v>
      </c>
      <c r="E364" s="69">
        <f>[1]Лист2!C357</f>
        <v>54</v>
      </c>
      <c r="F364" s="197" t="str">
        <f>[1]Лист2!D357</f>
        <v>В</v>
      </c>
      <c r="G364" s="64"/>
      <c r="H364" s="199">
        <v>129357</v>
      </c>
      <c r="I364" s="64" t="s">
        <v>234</v>
      </c>
      <c r="J364" s="4"/>
      <c r="K364" s="64" t="s">
        <v>232</v>
      </c>
      <c r="L364" s="4" t="s">
        <v>232</v>
      </c>
      <c r="M364" s="72">
        <v>1909</v>
      </c>
      <c r="N364" s="64" t="s">
        <v>385</v>
      </c>
      <c r="O364" s="73">
        <v>4</v>
      </c>
      <c r="P364" s="196">
        <v>0</v>
      </c>
      <c r="Q364" s="73">
        <v>3</v>
      </c>
      <c r="R364" s="74">
        <v>47</v>
      </c>
      <c r="S364" s="76">
        <v>1748.1</v>
      </c>
      <c r="T364" s="82">
        <f t="shared" si="10"/>
        <v>1392.5</v>
      </c>
      <c r="U364" s="77">
        <f t="shared" si="11"/>
        <v>1392.5</v>
      </c>
      <c r="V364" s="78">
        <v>355.6</v>
      </c>
      <c r="W364" s="80" t="s">
        <v>233</v>
      </c>
      <c r="X364" s="81" t="s">
        <v>233</v>
      </c>
      <c r="Y364" s="4" t="s">
        <v>233</v>
      </c>
      <c r="Z364" s="81" t="s">
        <v>233</v>
      </c>
      <c r="AA364" s="64" t="s">
        <v>233</v>
      </c>
      <c r="AB364" s="81" t="s">
        <v>233</v>
      </c>
      <c r="AC364" s="4" t="s">
        <v>240</v>
      </c>
      <c r="AD364" s="64" t="s">
        <v>233</v>
      </c>
      <c r="AE364" s="64" t="s">
        <v>240</v>
      </c>
      <c r="AF364" s="209">
        <v>0</v>
      </c>
      <c r="AG364" s="4">
        <v>1</v>
      </c>
      <c r="AH364" s="64">
        <v>1</v>
      </c>
      <c r="AI364" s="4">
        <v>0</v>
      </c>
      <c r="AJ364" s="4">
        <v>0</v>
      </c>
      <c r="AK364" s="4">
        <v>0</v>
      </c>
    </row>
    <row r="365" spans="1:37" outlineLevel="1">
      <c r="A365" s="5">
        <v>358</v>
      </c>
      <c r="B365" s="64" t="s">
        <v>190</v>
      </c>
      <c r="C365" s="4" t="s">
        <v>237</v>
      </c>
      <c r="D365" s="4" t="str">
        <f>[1]Лист2!B358</f>
        <v>ДЕКАБРИСТОВ ул.</v>
      </c>
      <c r="E365" s="69">
        <f>[1]Лист2!C358</f>
        <v>56</v>
      </c>
      <c r="F365" s="197" t="str">
        <f>[1]Лист2!D358</f>
        <v>А</v>
      </c>
      <c r="G365" s="64"/>
      <c r="H365" s="199">
        <v>129358</v>
      </c>
      <c r="I365" s="64" t="s">
        <v>234</v>
      </c>
      <c r="J365" s="4"/>
      <c r="K365" s="64" t="s">
        <v>232</v>
      </c>
      <c r="L365" s="4" t="s">
        <v>232</v>
      </c>
      <c r="M365" s="72">
        <v>1890</v>
      </c>
      <c r="N365" s="64" t="s">
        <v>385</v>
      </c>
      <c r="O365" s="73">
        <v>4</v>
      </c>
      <c r="P365" s="196">
        <v>0</v>
      </c>
      <c r="Q365" s="73">
        <v>5</v>
      </c>
      <c r="R365" s="74">
        <v>129</v>
      </c>
      <c r="S365" s="76">
        <v>4122.5999999999995</v>
      </c>
      <c r="T365" s="82">
        <f t="shared" si="10"/>
        <v>3430.6999999999994</v>
      </c>
      <c r="U365" s="77">
        <f t="shared" si="11"/>
        <v>3430.6999999999994</v>
      </c>
      <c r="V365" s="78">
        <v>691.9</v>
      </c>
      <c r="W365" s="80" t="s">
        <v>233</v>
      </c>
      <c r="X365" s="81" t="s">
        <v>233</v>
      </c>
      <c r="Y365" s="4" t="s">
        <v>233</v>
      </c>
      <c r="Z365" s="81" t="s">
        <v>233</v>
      </c>
      <c r="AA365" s="64" t="s">
        <v>233</v>
      </c>
      <c r="AB365" s="81" t="s">
        <v>233</v>
      </c>
      <c r="AC365" s="4" t="s">
        <v>240</v>
      </c>
      <c r="AD365" s="64" t="s">
        <v>233</v>
      </c>
      <c r="AE365" s="64" t="s">
        <v>240</v>
      </c>
      <c r="AF365" s="208">
        <v>0</v>
      </c>
      <c r="AG365" s="4">
        <v>1</v>
      </c>
      <c r="AH365" s="64">
        <v>1</v>
      </c>
      <c r="AI365" s="4">
        <v>1</v>
      </c>
      <c r="AJ365" s="4">
        <v>1</v>
      </c>
      <c r="AK365" s="4">
        <v>0</v>
      </c>
    </row>
    <row r="366" spans="1:37" outlineLevel="1">
      <c r="A366" s="5">
        <v>359</v>
      </c>
      <c r="B366" s="64" t="s">
        <v>190</v>
      </c>
      <c r="C366" s="4" t="s">
        <v>237</v>
      </c>
      <c r="D366" s="4" t="str">
        <f>[1]Лист2!B359</f>
        <v>ДЕКАБРИСТОВ ул.</v>
      </c>
      <c r="E366" s="69">
        <f>[1]Лист2!C359</f>
        <v>56</v>
      </c>
      <c r="F366" s="197" t="str">
        <f>[1]Лист2!D359</f>
        <v>В</v>
      </c>
      <c r="G366" s="4"/>
      <c r="H366" s="199">
        <v>129359</v>
      </c>
      <c r="I366" s="64" t="s">
        <v>234</v>
      </c>
      <c r="J366" s="4"/>
      <c r="K366" s="64" t="s">
        <v>232</v>
      </c>
      <c r="L366" s="4" t="s">
        <v>232</v>
      </c>
      <c r="M366" s="72">
        <v>1890</v>
      </c>
      <c r="N366" s="64" t="s">
        <v>385</v>
      </c>
      <c r="O366" s="73">
        <v>2</v>
      </c>
      <c r="P366" s="196">
        <v>0</v>
      </c>
      <c r="Q366" s="73">
        <v>1</v>
      </c>
      <c r="R366" s="74">
        <v>8</v>
      </c>
      <c r="S366" s="76">
        <v>148</v>
      </c>
      <c r="T366" s="82">
        <f t="shared" si="10"/>
        <v>94</v>
      </c>
      <c r="U366" s="77">
        <f t="shared" si="11"/>
        <v>94</v>
      </c>
      <c r="V366" s="78">
        <v>54</v>
      </c>
      <c r="W366" s="80" t="s">
        <v>233</v>
      </c>
      <c r="X366" s="81" t="s">
        <v>233</v>
      </c>
      <c r="Y366" s="4" t="s">
        <v>233</v>
      </c>
      <c r="Z366" s="81" t="s">
        <v>233</v>
      </c>
      <c r="AA366" s="64" t="s">
        <v>233</v>
      </c>
      <c r="AB366" s="81" t="s">
        <v>233</v>
      </c>
      <c r="AC366" s="4" t="s">
        <v>240</v>
      </c>
      <c r="AD366" s="64" t="s">
        <v>233</v>
      </c>
      <c r="AE366" s="64" t="s">
        <v>240</v>
      </c>
      <c r="AF366" s="209">
        <v>0</v>
      </c>
      <c r="AG366" s="4">
        <v>1</v>
      </c>
      <c r="AH366" s="64">
        <v>1</v>
      </c>
      <c r="AI366" s="4">
        <v>0</v>
      </c>
      <c r="AJ366" s="4">
        <v>0</v>
      </c>
      <c r="AK366" s="4">
        <v>0</v>
      </c>
    </row>
    <row r="367" spans="1:37" outlineLevel="1">
      <c r="A367" s="5">
        <v>360</v>
      </c>
      <c r="B367" s="64" t="s">
        <v>190</v>
      </c>
      <c r="C367" s="4" t="s">
        <v>237</v>
      </c>
      <c r="D367" s="4" t="str">
        <f>[1]Лист2!B360</f>
        <v>ДЕКАБРИСТОВ ул.</v>
      </c>
      <c r="E367" s="69">
        <f>[1]Лист2!C360</f>
        <v>57</v>
      </c>
      <c r="F367" s="197" t="str">
        <f>[1]Лист2!D360</f>
        <v>А</v>
      </c>
      <c r="G367" s="4"/>
      <c r="H367" s="199">
        <v>129360</v>
      </c>
      <c r="I367" s="64" t="s">
        <v>234</v>
      </c>
      <c r="J367" s="4"/>
      <c r="K367" s="64" t="s">
        <v>232</v>
      </c>
      <c r="L367" s="4" t="s">
        <v>232</v>
      </c>
      <c r="M367" s="72">
        <v>1914</v>
      </c>
      <c r="N367" s="64" t="s">
        <v>385</v>
      </c>
      <c r="O367" s="73">
        <v>5</v>
      </c>
      <c r="P367" s="196">
        <v>0</v>
      </c>
      <c r="Q367" s="73">
        <v>12</v>
      </c>
      <c r="R367" s="74">
        <v>98</v>
      </c>
      <c r="S367" s="76">
        <v>11451.3</v>
      </c>
      <c r="T367" s="82">
        <f t="shared" si="10"/>
        <v>8369</v>
      </c>
      <c r="U367" s="77">
        <f t="shared" si="11"/>
        <v>8369</v>
      </c>
      <c r="V367" s="78">
        <v>3082.3</v>
      </c>
      <c r="W367" s="80" t="s">
        <v>233</v>
      </c>
      <c r="X367" s="81" t="s">
        <v>233</v>
      </c>
      <c r="Y367" s="4" t="s">
        <v>233</v>
      </c>
      <c r="Z367" s="81" t="s">
        <v>233</v>
      </c>
      <c r="AA367" s="64" t="s">
        <v>233</v>
      </c>
      <c r="AB367" s="81" t="s">
        <v>233</v>
      </c>
      <c r="AC367" s="4" t="s">
        <v>240</v>
      </c>
      <c r="AD367" s="64" t="s">
        <v>233</v>
      </c>
      <c r="AE367" s="64" t="s">
        <v>240</v>
      </c>
      <c r="AF367" s="208">
        <v>1</v>
      </c>
      <c r="AG367" s="4">
        <v>2</v>
      </c>
      <c r="AH367" s="64">
        <v>2</v>
      </c>
      <c r="AI367" s="4">
        <v>1</v>
      </c>
      <c r="AJ367" s="4">
        <v>1</v>
      </c>
      <c r="AK367" s="4">
        <v>0</v>
      </c>
    </row>
    <row r="368" spans="1:37" outlineLevel="1">
      <c r="A368" s="63">
        <v>361</v>
      </c>
      <c r="B368" s="64" t="s">
        <v>190</v>
      </c>
      <c r="C368" s="4" t="s">
        <v>237</v>
      </c>
      <c r="D368" s="4" t="str">
        <f>[1]Лист2!B361</f>
        <v>ДЕКАБРИСТОВ ул.</v>
      </c>
      <c r="E368" s="69">
        <f>[1]Лист2!C361</f>
        <v>58</v>
      </c>
      <c r="F368" s="197" t="str">
        <f>[1]Лист2!D361</f>
        <v>А</v>
      </c>
      <c r="G368" s="64"/>
      <c r="H368" s="199">
        <v>129361</v>
      </c>
      <c r="I368" s="64" t="s">
        <v>234</v>
      </c>
      <c r="J368" s="4"/>
      <c r="K368" s="64" t="s">
        <v>232</v>
      </c>
      <c r="L368" s="4" t="s">
        <v>232</v>
      </c>
      <c r="M368" s="72">
        <v>1917</v>
      </c>
      <c r="N368" s="64" t="s">
        <v>385</v>
      </c>
      <c r="O368" s="73">
        <v>4</v>
      </c>
      <c r="P368" s="196">
        <v>0</v>
      </c>
      <c r="Q368" s="73">
        <v>3</v>
      </c>
      <c r="R368" s="74">
        <v>50</v>
      </c>
      <c r="S368" s="76">
        <v>2326.75</v>
      </c>
      <c r="T368" s="82">
        <f t="shared" si="10"/>
        <v>1825.35</v>
      </c>
      <c r="U368" s="77">
        <f t="shared" si="11"/>
        <v>1825.35</v>
      </c>
      <c r="V368" s="78">
        <v>501.4</v>
      </c>
      <c r="W368" s="80" t="s">
        <v>233</v>
      </c>
      <c r="X368" s="81" t="s">
        <v>233</v>
      </c>
      <c r="Y368" s="4" t="s">
        <v>233</v>
      </c>
      <c r="Z368" s="81" t="s">
        <v>233</v>
      </c>
      <c r="AA368" s="64" t="s">
        <v>233</v>
      </c>
      <c r="AB368" s="81" t="s">
        <v>233</v>
      </c>
      <c r="AC368" s="4" t="s">
        <v>240</v>
      </c>
      <c r="AD368" s="64" t="s">
        <v>233</v>
      </c>
      <c r="AE368" s="64" t="s">
        <v>240</v>
      </c>
      <c r="AF368" s="208">
        <v>0</v>
      </c>
      <c r="AG368" s="4">
        <v>1</v>
      </c>
      <c r="AH368" s="64">
        <v>1</v>
      </c>
      <c r="AI368" s="4">
        <v>0</v>
      </c>
      <c r="AJ368" s="4">
        <v>0</v>
      </c>
      <c r="AK368" s="4">
        <v>0</v>
      </c>
    </row>
    <row r="369" spans="1:37" outlineLevel="1">
      <c r="A369" s="63">
        <v>362</v>
      </c>
      <c r="B369" s="64" t="s">
        <v>190</v>
      </c>
      <c r="C369" s="4" t="s">
        <v>237</v>
      </c>
      <c r="D369" s="4" t="str">
        <f>[1]Лист2!B362</f>
        <v>ДЕКАБРИСТОВ ул.</v>
      </c>
      <c r="E369" s="69" t="str">
        <f>[1]Лист2!C362</f>
        <v>62-64</v>
      </c>
      <c r="F369" s="197" t="str">
        <f>[1]Лист2!D362</f>
        <v>А</v>
      </c>
      <c r="G369" s="64"/>
      <c r="H369" s="199">
        <v>129362</v>
      </c>
      <c r="I369" s="64" t="s">
        <v>234</v>
      </c>
      <c r="J369" s="4"/>
      <c r="K369" s="64" t="s">
        <v>232</v>
      </c>
      <c r="L369" s="4" t="s">
        <v>232</v>
      </c>
      <c r="M369" s="72">
        <v>1911</v>
      </c>
      <c r="N369" s="64" t="s">
        <v>385</v>
      </c>
      <c r="O369" s="73">
        <v>6</v>
      </c>
      <c r="P369" s="196">
        <v>0</v>
      </c>
      <c r="Q369" s="73">
        <v>10</v>
      </c>
      <c r="R369" s="74">
        <v>169</v>
      </c>
      <c r="S369" s="76">
        <v>10754.54</v>
      </c>
      <c r="T369" s="82">
        <f t="shared" si="10"/>
        <v>7821.1400000000012</v>
      </c>
      <c r="U369" s="77">
        <f t="shared" si="11"/>
        <v>7821.1400000000012</v>
      </c>
      <c r="V369" s="78">
        <v>2933.4</v>
      </c>
      <c r="W369" s="80" t="s">
        <v>233</v>
      </c>
      <c r="X369" s="81" t="s">
        <v>233</v>
      </c>
      <c r="Y369" s="4" t="s">
        <v>240</v>
      </c>
      <c r="Z369" s="81" t="s">
        <v>233</v>
      </c>
      <c r="AA369" s="64" t="s">
        <v>233</v>
      </c>
      <c r="AB369" s="81" t="s">
        <v>233</v>
      </c>
      <c r="AC369" s="4" t="s">
        <v>233</v>
      </c>
      <c r="AD369" s="64" t="s">
        <v>233</v>
      </c>
      <c r="AE369" s="64" t="s">
        <v>240</v>
      </c>
      <c r="AF369" s="208">
        <v>3</v>
      </c>
      <c r="AG369" s="4">
        <v>3</v>
      </c>
      <c r="AH369" s="64">
        <v>1</v>
      </c>
      <c r="AI369" s="4">
        <v>0</v>
      </c>
      <c r="AJ369" s="4">
        <v>0</v>
      </c>
      <c r="AK369" s="4">
        <v>0</v>
      </c>
    </row>
    <row r="370" spans="1:37" outlineLevel="1">
      <c r="A370" s="5">
        <v>363</v>
      </c>
      <c r="B370" s="64" t="s">
        <v>190</v>
      </c>
      <c r="C370" s="4" t="s">
        <v>238</v>
      </c>
      <c r="D370" s="4" t="str">
        <f>[1]Лист2!B363</f>
        <v>ДЕРПТСКИЙ пер.</v>
      </c>
      <c r="E370" s="69">
        <f>[1]Лист2!C363</f>
        <v>10</v>
      </c>
      <c r="F370" s="197" t="str">
        <f>[1]Лист2!D363</f>
        <v>А</v>
      </c>
      <c r="G370" s="4"/>
      <c r="H370" s="199">
        <v>129363</v>
      </c>
      <c r="I370" s="64" t="s">
        <v>234</v>
      </c>
      <c r="J370" s="4"/>
      <c r="K370" s="64" t="s">
        <v>232</v>
      </c>
      <c r="L370" s="4" t="s">
        <v>232</v>
      </c>
      <c r="M370" s="72">
        <v>1917</v>
      </c>
      <c r="N370" s="64" t="s">
        <v>385</v>
      </c>
      <c r="O370" s="73">
        <v>4</v>
      </c>
      <c r="P370" s="196">
        <v>0</v>
      </c>
      <c r="Q370" s="73">
        <v>3</v>
      </c>
      <c r="R370" s="74">
        <v>23</v>
      </c>
      <c r="S370" s="76">
        <v>1494</v>
      </c>
      <c r="T370" s="82">
        <f t="shared" si="10"/>
        <v>1454</v>
      </c>
      <c r="U370" s="77">
        <f t="shared" si="11"/>
        <v>1454</v>
      </c>
      <c r="V370" s="78">
        <v>40</v>
      </c>
      <c r="W370" s="80" t="s">
        <v>233</v>
      </c>
      <c r="X370" s="81" t="s">
        <v>233</v>
      </c>
      <c r="Y370" s="4" t="s">
        <v>233</v>
      </c>
      <c r="Z370" s="81" t="s">
        <v>233</v>
      </c>
      <c r="AA370" s="64" t="s">
        <v>233</v>
      </c>
      <c r="AB370" s="81" t="s">
        <v>233</v>
      </c>
      <c r="AC370" s="4" t="s">
        <v>240</v>
      </c>
      <c r="AD370" s="64" t="s">
        <v>233</v>
      </c>
      <c r="AE370" s="64" t="s">
        <v>240</v>
      </c>
      <c r="AF370" s="208">
        <v>0</v>
      </c>
      <c r="AG370" s="4">
        <v>1</v>
      </c>
      <c r="AH370" s="64">
        <v>1</v>
      </c>
      <c r="AI370" s="4">
        <v>0</v>
      </c>
      <c r="AJ370" s="4">
        <v>0</v>
      </c>
      <c r="AK370" s="4">
        <v>0</v>
      </c>
    </row>
    <row r="371" spans="1:37" outlineLevel="1">
      <c r="A371" s="5">
        <v>364</v>
      </c>
      <c r="B371" s="64" t="s">
        <v>190</v>
      </c>
      <c r="C371" s="4" t="s">
        <v>238</v>
      </c>
      <c r="D371" s="4" t="str">
        <f>[1]Лист2!B364</f>
        <v>ДЕРПТСКИЙ пер.</v>
      </c>
      <c r="E371" s="69">
        <f>[1]Лист2!C364</f>
        <v>14</v>
      </c>
      <c r="F371" s="197" t="str">
        <f>[1]Лист2!D364</f>
        <v>А</v>
      </c>
      <c r="G371" s="4"/>
      <c r="H371" s="199">
        <v>129364</v>
      </c>
      <c r="I371" s="64" t="s">
        <v>234</v>
      </c>
      <c r="J371" s="4"/>
      <c r="K371" s="64" t="s">
        <v>232</v>
      </c>
      <c r="L371" s="4" t="s">
        <v>232</v>
      </c>
      <c r="M371" s="72">
        <v>1899</v>
      </c>
      <c r="N371" s="64" t="s">
        <v>385</v>
      </c>
      <c r="O371" s="73">
        <v>5</v>
      </c>
      <c r="P371" s="196">
        <v>0</v>
      </c>
      <c r="Q371" s="73">
        <v>2</v>
      </c>
      <c r="R371" s="74">
        <v>94</v>
      </c>
      <c r="S371" s="76">
        <v>3269.7000000000003</v>
      </c>
      <c r="T371" s="82">
        <f t="shared" si="10"/>
        <v>3208.8</v>
      </c>
      <c r="U371" s="77">
        <f t="shared" si="11"/>
        <v>3208.8</v>
      </c>
      <c r="V371" s="78">
        <v>60.9</v>
      </c>
      <c r="W371" s="80" t="s">
        <v>233</v>
      </c>
      <c r="X371" s="81" t="s">
        <v>233</v>
      </c>
      <c r="Y371" s="4" t="s">
        <v>233</v>
      </c>
      <c r="Z371" s="81" t="s">
        <v>233</v>
      </c>
      <c r="AA371" s="64" t="s">
        <v>233</v>
      </c>
      <c r="AB371" s="81" t="s">
        <v>233</v>
      </c>
      <c r="AC371" s="4" t="s">
        <v>240</v>
      </c>
      <c r="AD371" s="64" t="s">
        <v>233</v>
      </c>
      <c r="AE371" s="64" t="s">
        <v>240</v>
      </c>
      <c r="AF371" s="208">
        <v>2</v>
      </c>
      <c r="AG371" s="4">
        <v>2</v>
      </c>
      <c r="AH371" s="64">
        <v>1</v>
      </c>
      <c r="AI371" s="4">
        <v>1</v>
      </c>
      <c r="AJ371" s="4">
        <v>1</v>
      </c>
      <c r="AK371" s="4">
        <v>0</v>
      </c>
    </row>
    <row r="372" spans="1:37" outlineLevel="1">
      <c r="A372" s="5">
        <v>365</v>
      </c>
      <c r="B372" s="64" t="s">
        <v>190</v>
      </c>
      <c r="C372" s="4" t="s">
        <v>238</v>
      </c>
      <c r="D372" s="4" t="str">
        <f>[1]Лист2!B365</f>
        <v>ДЕРПТСКИЙ пер.</v>
      </c>
      <c r="E372" s="69">
        <f>[1]Лист2!C365</f>
        <v>15</v>
      </c>
      <c r="F372" s="197" t="str">
        <f>[1]Лист2!D365</f>
        <v>А</v>
      </c>
      <c r="G372" s="64"/>
      <c r="H372" s="199">
        <v>129365</v>
      </c>
      <c r="I372" s="64" t="s">
        <v>234</v>
      </c>
      <c r="J372" s="4"/>
      <c r="K372" s="64" t="s">
        <v>232</v>
      </c>
      <c r="L372" s="4" t="s">
        <v>232</v>
      </c>
      <c r="M372" s="72">
        <v>1904</v>
      </c>
      <c r="N372" s="64" t="s">
        <v>385</v>
      </c>
      <c r="O372" s="73">
        <v>5</v>
      </c>
      <c r="P372" s="196">
        <v>0</v>
      </c>
      <c r="Q372" s="73">
        <v>2</v>
      </c>
      <c r="R372" s="74">
        <v>46</v>
      </c>
      <c r="S372" s="76">
        <v>3418.36</v>
      </c>
      <c r="T372" s="82">
        <f t="shared" si="10"/>
        <v>3312.36</v>
      </c>
      <c r="U372" s="77">
        <f t="shared" si="11"/>
        <v>3312.36</v>
      </c>
      <c r="V372" s="78">
        <v>106</v>
      </c>
      <c r="W372" s="80" t="s">
        <v>233</v>
      </c>
      <c r="X372" s="81" t="s">
        <v>233</v>
      </c>
      <c r="Y372" s="4" t="s">
        <v>233</v>
      </c>
      <c r="Z372" s="81" t="s">
        <v>233</v>
      </c>
      <c r="AA372" s="64" t="s">
        <v>233</v>
      </c>
      <c r="AB372" s="81" t="s">
        <v>233</v>
      </c>
      <c r="AC372" s="4" t="s">
        <v>240</v>
      </c>
      <c r="AD372" s="64" t="s">
        <v>233</v>
      </c>
      <c r="AE372" s="64" t="s">
        <v>240</v>
      </c>
      <c r="AF372" s="208">
        <v>1</v>
      </c>
      <c r="AG372" s="4">
        <v>2</v>
      </c>
      <c r="AH372" s="64">
        <v>1</v>
      </c>
      <c r="AI372" s="4">
        <v>1</v>
      </c>
      <c r="AJ372" s="4">
        <v>1</v>
      </c>
      <c r="AK372" s="4">
        <v>0</v>
      </c>
    </row>
    <row r="373" spans="1:37" outlineLevel="1">
      <c r="A373" s="5">
        <v>366</v>
      </c>
      <c r="B373" s="64" t="s">
        <v>190</v>
      </c>
      <c r="C373" s="4" t="s">
        <v>238</v>
      </c>
      <c r="D373" s="4" t="str">
        <f>[1]Лист2!B366</f>
        <v>ДРОВЯНАЯ ул.</v>
      </c>
      <c r="E373" s="69">
        <f>[1]Лист2!C366</f>
        <v>6</v>
      </c>
      <c r="F373" s="197" t="str">
        <f>[1]Лист2!D366</f>
        <v>А</v>
      </c>
      <c r="G373" s="64"/>
      <c r="H373" s="199">
        <v>129366</v>
      </c>
      <c r="I373" s="64" t="s">
        <v>234</v>
      </c>
      <c r="J373" s="4"/>
      <c r="K373" s="64" t="s">
        <v>232</v>
      </c>
      <c r="L373" s="4" t="s">
        <v>232</v>
      </c>
      <c r="M373" s="72">
        <v>1917</v>
      </c>
      <c r="N373" s="64" t="s">
        <v>385</v>
      </c>
      <c r="O373" s="73">
        <v>5</v>
      </c>
      <c r="P373" s="196">
        <v>0</v>
      </c>
      <c r="Q373" s="73">
        <v>3</v>
      </c>
      <c r="R373" s="74">
        <v>22</v>
      </c>
      <c r="S373" s="76">
        <v>3792.2</v>
      </c>
      <c r="T373" s="82">
        <f t="shared" si="10"/>
        <v>1564.1</v>
      </c>
      <c r="U373" s="77">
        <f t="shared" si="11"/>
        <v>1564.1</v>
      </c>
      <c r="V373" s="78">
        <v>2228.1</v>
      </c>
      <c r="W373" s="80" t="s">
        <v>233</v>
      </c>
      <c r="X373" s="81" t="s">
        <v>233</v>
      </c>
      <c r="Y373" s="4" t="s">
        <v>233</v>
      </c>
      <c r="Z373" s="81" t="s">
        <v>233</v>
      </c>
      <c r="AA373" s="64" t="s">
        <v>233</v>
      </c>
      <c r="AB373" s="81" t="s">
        <v>233</v>
      </c>
      <c r="AC373" s="4" t="s">
        <v>240</v>
      </c>
      <c r="AD373" s="64" t="s">
        <v>233</v>
      </c>
      <c r="AE373" s="64" t="s">
        <v>240</v>
      </c>
      <c r="AF373" s="208">
        <v>1</v>
      </c>
      <c r="AG373" s="4">
        <v>2</v>
      </c>
      <c r="AH373" s="64">
        <v>1</v>
      </c>
      <c r="AI373" s="4">
        <v>1</v>
      </c>
      <c r="AJ373" s="4">
        <v>1</v>
      </c>
      <c r="AK373" s="4">
        <v>0</v>
      </c>
    </row>
    <row r="374" spans="1:37" outlineLevel="1">
      <c r="A374" s="63">
        <v>367</v>
      </c>
      <c r="B374" s="64" t="s">
        <v>190</v>
      </c>
      <c r="C374" s="4" t="s">
        <v>238</v>
      </c>
      <c r="D374" s="4" t="str">
        <f>[1]Лист2!B367</f>
        <v>ДРОВЯНАЯ ул.</v>
      </c>
      <c r="E374" s="69">
        <f>[1]Лист2!C367</f>
        <v>8</v>
      </c>
      <c r="F374" s="197" t="str">
        <f>[1]Лист2!D367</f>
        <v>А</v>
      </c>
      <c r="G374" s="4"/>
      <c r="H374" s="199">
        <v>129367</v>
      </c>
      <c r="I374" s="64" t="s">
        <v>234</v>
      </c>
      <c r="J374" s="4"/>
      <c r="K374" s="64" t="s">
        <v>232</v>
      </c>
      <c r="L374" s="4" t="s">
        <v>232</v>
      </c>
      <c r="M374" s="72">
        <v>1917</v>
      </c>
      <c r="N374" s="64" t="s">
        <v>385</v>
      </c>
      <c r="O374" s="73">
        <v>4</v>
      </c>
      <c r="P374" s="196">
        <v>0</v>
      </c>
      <c r="Q374" s="73">
        <v>2</v>
      </c>
      <c r="R374" s="74">
        <v>33</v>
      </c>
      <c r="S374" s="76">
        <v>2183.6799999999998</v>
      </c>
      <c r="T374" s="82">
        <f t="shared" si="10"/>
        <v>1976.2799999999997</v>
      </c>
      <c r="U374" s="77">
        <f t="shared" si="11"/>
        <v>1976.2799999999997</v>
      </c>
      <c r="V374" s="78">
        <v>207.4</v>
      </c>
      <c r="W374" s="80" t="s">
        <v>233</v>
      </c>
      <c r="X374" s="81" t="s">
        <v>233</v>
      </c>
      <c r="Y374" s="4" t="s">
        <v>233</v>
      </c>
      <c r="Z374" s="81" t="s">
        <v>233</v>
      </c>
      <c r="AA374" s="64" t="s">
        <v>233</v>
      </c>
      <c r="AB374" s="81" t="s">
        <v>233</v>
      </c>
      <c r="AC374" s="4" t="s">
        <v>240</v>
      </c>
      <c r="AD374" s="64" t="s">
        <v>233</v>
      </c>
      <c r="AE374" s="64" t="s">
        <v>240</v>
      </c>
      <c r="AF374" s="208">
        <v>0</v>
      </c>
      <c r="AG374" s="4">
        <v>1</v>
      </c>
      <c r="AH374" s="64">
        <v>1</v>
      </c>
      <c r="AI374" s="4">
        <v>0</v>
      </c>
      <c r="AJ374" s="4">
        <v>0</v>
      </c>
      <c r="AK374" s="4">
        <v>0</v>
      </c>
    </row>
    <row r="375" spans="1:37" outlineLevel="1">
      <c r="A375" s="63">
        <v>368</v>
      </c>
      <c r="B375" s="64" t="s">
        <v>190</v>
      </c>
      <c r="C375" s="4" t="s">
        <v>236</v>
      </c>
      <c r="D375" s="4" t="str">
        <f>[1]Лист2!B368</f>
        <v>ДРОВЯНОЙ пер.</v>
      </c>
      <c r="E375" s="69">
        <f>[1]Лист2!C368</f>
        <v>10</v>
      </c>
      <c r="F375" s="197" t="str">
        <f>[1]Лист2!D368</f>
        <v>А</v>
      </c>
      <c r="G375" s="4"/>
      <c r="H375" s="199">
        <v>129368</v>
      </c>
      <c r="I375" s="64" t="s">
        <v>234</v>
      </c>
      <c r="J375" s="4"/>
      <c r="K375" s="64" t="s">
        <v>232</v>
      </c>
      <c r="L375" s="4" t="s">
        <v>232</v>
      </c>
      <c r="M375" s="72">
        <v>1857</v>
      </c>
      <c r="N375" s="64" t="s">
        <v>385</v>
      </c>
      <c r="O375" s="73">
        <v>4</v>
      </c>
      <c r="P375" s="196">
        <v>0</v>
      </c>
      <c r="Q375" s="73">
        <v>4</v>
      </c>
      <c r="R375" s="74">
        <v>43</v>
      </c>
      <c r="S375" s="76">
        <v>1502.4</v>
      </c>
      <c r="T375" s="82">
        <f t="shared" si="10"/>
        <v>1361.3400000000001</v>
      </c>
      <c r="U375" s="77">
        <f t="shared" si="11"/>
        <v>1361.3400000000001</v>
      </c>
      <c r="V375" s="78">
        <v>141.06</v>
      </c>
      <c r="W375" s="80" t="s">
        <v>233</v>
      </c>
      <c r="X375" s="81" t="s">
        <v>233</v>
      </c>
      <c r="Y375" s="4" t="s">
        <v>233</v>
      </c>
      <c r="Z375" s="81" t="s">
        <v>233</v>
      </c>
      <c r="AA375" s="64" t="s">
        <v>233</v>
      </c>
      <c r="AB375" s="81" t="s">
        <v>233</v>
      </c>
      <c r="AC375" s="4" t="s">
        <v>240</v>
      </c>
      <c r="AD375" s="64" t="s">
        <v>233</v>
      </c>
      <c r="AE375" s="64" t="s">
        <v>240</v>
      </c>
      <c r="AF375" s="208">
        <v>0</v>
      </c>
      <c r="AG375" s="4">
        <v>1</v>
      </c>
      <c r="AH375" s="64">
        <v>1</v>
      </c>
      <c r="AI375" s="4">
        <v>1</v>
      </c>
      <c r="AJ375" s="4">
        <v>1</v>
      </c>
      <c r="AK375" s="4">
        <v>0</v>
      </c>
    </row>
    <row r="376" spans="1:37" outlineLevel="1">
      <c r="A376" s="5">
        <v>369</v>
      </c>
      <c r="B376" s="64" t="s">
        <v>190</v>
      </c>
      <c r="C376" s="4" t="s">
        <v>236</v>
      </c>
      <c r="D376" s="4" t="str">
        <f>[1]Лист2!B369</f>
        <v>ДРОВЯНОЙ пер.</v>
      </c>
      <c r="E376" s="69">
        <f>[1]Лист2!C369</f>
        <v>12</v>
      </c>
      <c r="F376" s="197" t="str">
        <f>[1]Лист2!D369</f>
        <v>А</v>
      </c>
      <c r="G376" s="64"/>
      <c r="H376" s="199">
        <v>129369</v>
      </c>
      <c r="I376" s="64" t="s">
        <v>234</v>
      </c>
      <c r="J376" s="4"/>
      <c r="K376" s="64" t="s">
        <v>232</v>
      </c>
      <c r="L376" s="4" t="s">
        <v>232</v>
      </c>
      <c r="M376" s="72">
        <v>1872</v>
      </c>
      <c r="N376" s="64" t="s">
        <v>385</v>
      </c>
      <c r="O376" s="73">
        <v>4</v>
      </c>
      <c r="P376" s="196">
        <v>0</v>
      </c>
      <c r="Q376" s="73">
        <v>1</v>
      </c>
      <c r="R376" s="74">
        <v>30</v>
      </c>
      <c r="S376" s="76">
        <v>1048.3799999999999</v>
      </c>
      <c r="T376" s="82">
        <f t="shared" si="10"/>
        <v>889.77999999999986</v>
      </c>
      <c r="U376" s="77">
        <f t="shared" si="11"/>
        <v>889.77999999999986</v>
      </c>
      <c r="V376" s="78">
        <v>158.6</v>
      </c>
      <c r="W376" s="80" t="s">
        <v>233</v>
      </c>
      <c r="X376" s="81" t="s">
        <v>233</v>
      </c>
      <c r="Y376" s="4" t="s">
        <v>233</v>
      </c>
      <c r="Z376" s="81" t="s">
        <v>233</v>
      </c>
      <c r="AA376" s="64" t="s">
        <v>233</v>
      </c>
      <c r="AB376" s="81" t="s">
        <v>233</v>
      </c>
      <c r="AC376" s="4" t="s">
        <v>240</v>
      </c>
      <c r="AD376" s="64" t="s">
        <v>233</v>
      </c>
      <c r="AE376" s="64" t="s">
        <v>240</v>
      </c>
      <c r="AF376" s="208">
        <v>0</v>
      </c>
      <c r="AG376" s="4">
        <v>1</v>
      </c>
      <c r="AH376" s="64">
        <v>1</v>
      </c>
      <c r="AI376" s="4">
        <v>0</v>
      </c>
      <c r="AJ376" s="4">
        <v>0</v>
      </c>
      <c r="AK376" s="4">
        <v>0</v>
      </c>
    </row>
    <row r="377" spans="1:37" outlineLevel="1">
      <c r="A377" s="5">
        <v>370</v>
      </c>
      <c r="B377" s="64" t="s">
        <v>190</v>
      </c>
      <c r="C377" s="4" t="s">
        <v>236</v>
      </c>
      <c r="D377" s="4" t="str">
        <f>[1]Лист2!B370</f>
        <v>ДРОВЯНОЙ пер.</v>
      </c>
      <c r="E377" s="69">
        <f>[1]Лист2!C370</f>
        <v>14</v>
      </c>
      <c r="F377" s="197" t="str">
        <f>[1]Лист2!D370</f>
        <v>А</v>
      </c>
      <c r="G377" s="64"/>
      <c r="H377" s="199">
        <v>129370</v>
      </c>
      <c r="I377" s="64" t="s">
        <v>234</v>
      </c>
      <c r="J377" s="4"/>
      <c r="K377" s="64" t="s">
        <v>232</v>
      </c>
      <c r="L377" s="4" t="s">
        <v>232</v>
      </c>
      <c r="M377" s="72">
        <v>1881</v>
      </c>
      <c r="N377" s="64" t="s">
        <v>385</v>
      </c>
      <c r="O377" s="73">
        <v>5</v>
      </c>
      <c r="P377" s="196">
        <v>0</v>
      </c>
      <c r="Q377" s="73">
        <v>2</v>
      </c>
      <c r="R377" s="74">
        <v>46</v>
      </c>
      <c r="S377" s="76">
        <v>1650.8000000000002</v>
      </c>
      <c r="T377" s="82">
        <f t="shared" si="10"/>
        <v>1216.2000000000003</v>
      </c>
      <c r="U377" s="77">
        <f t="shared" si="11"/>
        <v>1216.2000000000003</v>
      </c>
      <c r="V377" s="78">
        <v>434.6</v>
      </c>
      <c r="W377" s="80" t="s">
        <v>233</v>
      </c>
      <c r="X377" s="81" t="s">
        <v>233</v>
      </c>
      <c r="Y377" s="4" t="s">
        <v>233</v>
      </c>
      <c r="Z377" s="81" t="s">
        <v>233</v>
      </c>
      <c r="AA377" s="64" t="s">
        <v>233</v>
      </c>
      <c r="AB377" s="81" t="s">
        <v>233</v>
      </c>
      <c r="AC377" s="4" t="s">
        <v>240</v>
      </c>
      <c r="AD377" s="64" t="s">
        <v>233</v>
      </c>
      <c r="AE377" s="64" t="s">
        <v>240</v>
      </c>
      <c r="AF377" s="208">
        <v>0</v>
      </c>
      <c r="AG377" s="4">
        <v>1</v>
      </c>
      <c r="AH377" s="64">
        <v>1</v>
      </c>
      <c r="AI377" s="4">
        <v>0</v>
      </c>
      <c r="AJ377" s="4">
        <v>0</v>
      </c>
      <c r="AK377" s="4">
        <v>0</v>
      </c>
    </row>
    <row r="378" spans="1:37" outlineLevel="1">
      <c r="A378" s="5">
        <v>371</v>
      </c>
      <c r="B378" s="64" t="s">
        <v>190</v>
      </c>
      <c r="C378" s="4" t="s">
        <v>236</v>
      </c>
      <c r="D378" s="4" t="str">
        <f>[1]Лист2!B371</f>
        <v>ДРОВЯНОЙ пер.</v>
      </c>
      <c r="E378" s="69">
        <f>[1]Лист2!C371</f>
        <v>14</v>
      </c>
      <c r="F378" s="197" t="str">
        <f>[1]Лист2!D371</f>
        <v>Б</v>
      </c>
      <c r="G378" s="4"/>
      <c r="H378" s="199">
        <v>129371</v>
      </c>
      <c r="I378" s="64" t="s">
        <v>234</v>
      </c>
      <c r="J378" s="4"/>
      <c r="K378" s="64" t="s">
        <v>232</v>
      </c>
      <c r="L378" s="4" t="s">
        <v>232</v>
      </c>
      <c r="M378" s="72">
        <v>1881</v>
      </c>
      <c r="N378" s="64" t="s">
        <v>385</v>
      </c>
      <c r="O378" s="73">
        <v>5</v>
      </c>
      <c r="P378" s="196">
        <v>0</v>
      </c>
      <c r="Q378" s="73">
        <v>1</v>
      </c>
      <c r="R378" s="74">
        <v>8</v>
      </c>
      <c r="S378" s="76">
        <v>239.4</v>
      </c>
      <c r="T378" s="82">
        <f t="shared" si="10"/>
        <v>193.5</v>
      </c>
      <c r="U378" s="77">
        <f t="shared" si="11"/>
        <v>193.5</v>
      </c>
      <c r="V378" s="78">
        <v>45.9</v>
      </c>
      <c r="W378" s="80" t="s">
        <v>233</v>
      </c>
      <c r="X378" s="81" t="s">
        <v>233</v>
      </c>
      <c r="Y378" s="4" t="s">
        <v>233</v>
      </c>
      <c r="Z378" s="81" t="s">
        <v>233</v>
      </c>
      <c r="AA378" s="64" t="s">
        <v>233</v>
      </c>
      <c r="AB378" s="81" t="s">
        <v>233</v>
      </c>
      <c r="AC378" s="4" t="s">
        <v>240</v>
      </c>
      <c r="AD378" s="64" t="s">
        <v>233</v>
      </c>
      <c r="AE378" s="64" t="s">
        <v>240</v>
      </c>
      <c r="AF378" s="209">
        <v>0</v>
      </c>
      <c r="AG378" s="4">
        <v>1</v>
      </c>
      <c r="AH378" s="64">
        <v>1</v>
      </c>
      <c r="AI378" s="4">
        <v>0</v>
      </c>
      <c r="AJ378" s="4">
        <v>0</v>
      </c>
      <c r="AK378" s="4">
        <v>0</v>
      </c>
    </row>
    <row r="379" spans="1:37" outlineLevel="1">
      <c r="A379" s="5">
        <v>372</v>
      </c>
      <c r="B379" s="64" t="s">
        <v>190</v>
      </c>
      <c r="C379" s="4" t="s">
        <v>236</v>
      </c>
      <c r="D379" s="4" t="str">
        <f>[1]Лист2!B372</f>
        <v>ДРОВЯНОЙ пер.</v>
      </c>
      <c r="E379" s="69">
        <f>[1]Лист2!C372</f>
        <v>20</v>
      </c>
      <c r="F379" s="197" t="str">
        <f>[1]Лист2!D372</f>
        <v>А</v>
      </c>
      <c r="G379" s="4"/>
      <c r="H379" s="199">
        <v>129372</v>
      </c>
      <c r="I379" s="64" t="s">
        <v>234</v>
      </c>
      <c r="J379" s="4"/>
      <c r="K379" s="64" t="s">
        <v>232</v>
      </c>
      <c r="L379" s="4" t="s">
        <v>232</v>
      </c>
      <c r="M379" s="72">
        <v>1872</v>
      </c>
      <c r="N379" s="64" t="s">
        <v>385</v>
      </c>
      <c r="O379" s="73">
        <v>4</v>
      </c>
      <c r="P379" s="196">
        <v>0</v>
      </c>
      <c r="Q379" s="73">
        <v>1</v>
      </c>
      <c r="R379" s="74">
        <v>32</v>
      </c>
      <c r="S379" s="76">
        <v>952</v>
      </c>
      <c r="T379" s="82">
        <f t="shared" si="10"/>
        <v>839</v>
      </c>
      <c r="U379" s="77">
        <f t="shared" si="11"/>
        <v>839</v>
      </c>
      <c r="V379" s="78">
        <v>113</v>
      </c>
      <c r="W379" s="80" t="s">
        <v>233</v>
      </c>
      <c r="X379" s="81" t="s">
        <v>233</v>
      </c>
      <c r="Y379" s="4" t="s">
        <v>233</v>
      </c>
      <c r="Z379" s="81" t="s">
        <v>233</v>
      </c>
      <c r="AA379" s="64" t="s">
        <v>233</v>
      </c>
      <c r="AB379" s="81" t="s">
        <v>233</v>
      </c>
      <c r="AC379" s="4" t="s">
        <v>240</v>
      </c>
      <c r="AD379" s="64" t="s">
        <v>233</v>
      </c>
      <c r="AE379" s="64" t="s">
        <v>240</v>
      </c>
      <c r="AF379" s="208">
        <v>0</v>
      </c>
      <c r="AG379" s="4">
        <v>1</v>
      </c>
      <c r="AH379" s="64">
        <v>1</v>
      </c>
      <c r="AI379" s="4">
        <v>0</v>
      </c>
      <c r="AJ379" s="4">
        <v>0</v>
      </c>
      <c r="AK379" s="4">
        <v>0</v>
      </c>
    </row>
    <row r="380" spans="1:37" outlineLevel="1">
      <c r="A380" s="63">
        <v>373</v>
      </c>
      <c r="B380" s="64" t="s">
        <v>190</v>
      </c>
      <c r="C380" s="4" t="s">
        <v>236</v>
      </c>
      <c r="D380" s="4" t="str">
        <f>[1]Лист2!B373</f>
        <v>ДРОВЯНОЙ пер.</v>
      </c>
      <c r="E380" s="69">
        <f>[1]Лист2!C373</f>
        <v>20</v>
      </c>
      <c r="F380" s="197" t="str">
        <f>[1]Лист2!D373</f>
        <v>Б</v>
      </c>
      <c r="G380" s="64"/>
      <c r="H380" s="199">
        <v>129373</v>
      </c>
      <c r="I380" s="64" t="s">
        <v>234</v>
      </c>
      <c r="J380" s="4"/>
      <c r="K380" s="64" t="s">
        <v>232</v>
      </c>
      <c r="L380" s="4" t="s">
        <v>232</v>
      </c>
      <c r="M380" s="72">
        <v>1872</v>
      </c>
      <c r="N380" s="64" t="s">
        <v>385</v>
      </c>
      <c r="O380" s="73">
        <v>4</v>
      </c>
      <c r="P380" s="196">
        <v>0</v>
      </c>
      <c r="Q380" s="73">
        <v>1</v>
      </c>
      <c r="R380" s="74">
        <v>9</v>
      </c>
      <c r="S380" s="76">
        <v>372.2</v>
      </c>
      <c r="T380" s="82">
        <f t="shared" si="10"/>
        <v>283.5</v>
      </c>
      <c r="U380" s="77">
        <f t="shared" si="11"/>
        <v>283.5</v>
      </c>
      <c r="V380" s="78">
        <v>88.7</v>
      </c>
      <c r="W380" s="80" t="s">
        <v>233</v>
      </c>
      <c r="X380" s="81" t="s">
        <v>233</v>
      </c>
      <c r="Y380" s="4" t="s">
        <v>233</v>
      </c>
      <c r="Z380" s="81" t="s">
        <v>233</v>
      </c>
      <c r="AA380" s="64" t="s">
        <v>233</v>
      </c>
      <c r="AB380" s="81" t="s">
        <v>233</v>
      </c>
      <c r="AC380" s="4" t="s">
        <v>240</v>
      </c>
      <c r="AD380" s="64" t="s">
        <v>233</v>
      </c>
      <c r="AE380" s="64" t="s">
        <v>240</v>
      </c>
      <c r="AF380" s="209">
        <v>0</v>
      </c>
      <c r="AG380" s="4">
        <v>1</v>
      </c>
      <c r="AH380" s="64">
        <v>1</v>
      </c>
      <c r="AI380" s="4">
        <v>0</v>
      </c>
      <c r="AJ380" s="4">
        <v>0</v>
      </c>
      <c r="AK380" s="4">
        <v>0</v>
      </c>
    </row>
    <row r="381" spans="1:37" outlineLevel="1">
      <c r="A381" s="63">
        <v>374</v>
      </c>
      <c r="B381" s="64" t="s">
        <v>190</v>
      </c>
      <c r="C381" s="4" t="s">
        <v>236</v>
      </c>
      <c r="D381" s="4" t="str">
        <f>[1]Лист2!B374</f>
        <v>ДРОВЯНОЙ пер.</v>
      </c>
      <c r="E381" s="69">
        <f>[1]Лист2!C374</f>
        <v>22</v>
      </c>
      <c r="F381" s="197" t="str">
        <f>[1]Лист2!D374</f>
        <v>А</v>
      </c>
      <c r="G381" s="64"/>
      <c r="H381" s="199">
        <v>129374</v>
      </c>
      <c r="I381" s="64" t="s">
        <v>234</v>
      </c>
      <c r="J381" s="4"/>
      <c r="K381" s="64" t="s">
        <v>232</v>
      </c>
      <c r="L381" s="4" t="s">
        <v>232</v>
      </c>
      <c r="M381" s="72">
        <v>1880</v>
      </c>
      <c r="N381" s="64" t="s">
        <v>385</v>
      </c>
      <c r="O381" s="73">
        <v>4</v>
      </c>
      <c r="P381" s="196">
        <v>0</v>
      </c>
      <c r="Q381" s="73">
        <v>3</v>
      </c>
      <c r="R381" s="74">
        <v>61</v>
      </c>
      <c r="S381" s="76">
        <v>2973.29</v>
      </c>
      <c r="T381" s="82">
        <f t="shared" si="10"/>
        <v>2488.59</v>
      </c>
      <c r="U381" s="77">
        <f t="shared" si="11"/>
        <v>2488.59</v>
      </c>
      <c r="V381" s="78">
        <v>484.7</v>
      </c>
      <c r="W381" s="80" t="s">
        <v>233</v>
      </c>
      <c r="X381" s="81" t="s">
        <v>233</v>
      </c>
      <c r="Y381" s="4" t="s">
        <v>233</v>
      </c>
      <c r="Z381" s="81" t="s">
        <v>233</v>
      </c>
      <c r="AA381" s="64" t="s">
        <v>233</v>
      </c>
      <c r="AB381" s="81" t="s">
        <v>233</v>
      </c>
      <c r="AC381" s="4" t="s">
        <v>240</v>
      </c>
      <c r="AD381" s="64" t="s">
        <v>233</v>
      </c>
      <c r="AE381" s="64" t="s">
        <v>240</v>
      </c>
      <c r="AF381" s="208">
        <v>0</v>
      </c>
      <c r="AG381" s="4">
        <v>1</v>
      </c>
      <c r="AH381" s="64">
        <v>1</v>
      </c>
      <c r="AI381" s="4">
        <v>0</v>
      </c>
      <c r="AJ381" s="4">
        <v>0</v>
      </c>
      <c r="AK381" s="4">
        <v>0</v>
      </c>
    </row>
    <row r="382" spans="1:37" outlineLevel="1">
      <c r="A382" s="5">
        <v>375</v>
      </c>
      <c r="B382" s="64" t="s">
        <v>190</v>
      </c>
      <c r="C382" s="4" t="s">
        <v>236</v>
      </c>
      <c r="D382" s="4" t="str">
        <f>[1]Лист2!B375</f>
        <v>ДРОВЯНОЙ пер.</v>
      </c>
      <c r="E382" s="69">
        <f>[1]Лист2!C375</f>
        <v>3</v>
      </c>
      <c r="F382" s="197" t="str">
        <f>[1]Лист2!D375</f>
        <v>А</v>
      </c>
      <c r="G382" s="4"/>
      <c r="H382" s="199">
        <v>129375</v>
      </c>
      <c r="I382" s="64" t="s">
        <v>234</v>
      </c>
      <c r="J382" s="4"/>
      <c r="K382" s="64" t="s">
        <v>232</v>
      </c>
      <c r="L382" s="4" t="s">
        <v>232</v>
      </c>
      <c r="M382" s="72">
        <v>1898</v>
      </c>
      <c r="N382" s="64" t="s">
        <v>385</v>
      </c>
      <c r="O382" s="73">
        <v>5</v>
      </c>
      <c r="P382" s="196">
        <v>0</v>
      </c>
      <c r="Q382" s="73">
        <v>1</v>
      </c>
      <c r="R382" s="74">
        <v>44</v>
      </c>
      <c r="S382" s="76">
        <v>963.6</v>
      </c>
      <c r="T382" s="82">
        <f t="shared" si="10"/>
        <v>930.6</v>
      </c>
      <c r="U382" s="77">
        <f t="shared" si="11"/>
        <v>930.6</v>
      </c>
      <c r="V382" s="78">
        <v>33</v>
      </c>
      <c r="W382" s="80" t="s">
        <v>233</v>
      </c>
      <c r="X382" s="81" t="s">
        <v>233</v>
      </c>
      <c r="Y382" s="4" t="s">
        <v>240</v>
      </c>
      <c r="Z382" s="81" t="s">
        <v>233</v>
      </c>
      <c r="AA382" s="64" t="s">
        <v>233</v>
      </c>
      <c r="AB382" s="81" t="s">
        <v>233</v>
      </c>
      <c r="AC382" s="4" t="s">
        <v>233</v>
      </c>
      <c r="AD382" s="64" t="s">
        <v>233</v>
      </c>
      <c r="AE382" s="64" t="s">
        <v>240</v>
      </c>
      <c r="AF382" s="208">
        <v>0</v>
      </c>
      <c r="AG382" s="4">
        <v>2</v>
      </c>
      <c r="AH382" s="64">
        <v>1</v>
      </c>
      <c r="AI382" s="4">
        <v>0</v>
      </c>
      <c r="AJ382" s="4">
        <v>0</v>
      </c>
      <c r="AK382" s="4">
        <v>0</v>
      </c>
    </row>
    <row r="383" spans="1:37" outlineLevel="1">
      <c r="A383" s="5">
        <v>376</v>
      </c>
      <c r="B383" s="64" t="s">
        <v>190</v>
      </c>
      <c r="C383" s="4" t="s">
        <v>236</v>
      </c>
      <c r="D383" s="4" t="str">
        <f>[1]Лист2!B376</f>
        <v>ДРОВЯНОЙ пер.</v>
      </c>
      <c r="E383" s="69">
        <f>[1]Лист2!C376</f>
        <v>3</v>
      </c>
      <c r="F383" s="197" t="str">
        <f>[1]Лист2!D376</f>
        <v>Б</v>
      </c>
      <c r="G383" s="4"/>
      <c r="H383" s="199">
        <v>129376</v>
      </c>
      <c r="I383" s="64" t="s">
        <v>234</v>
      </c>
      <c r="J383" s="4"/>
      <c r="K383" s="64" t="s">
        <v>232</v>
      </c>
      <c r="L383" s="4" t="s">
        <v>232</v>
      </c>
      <c r="M383" s="72">
        <v>1898</v>
      </c>
      <c r="N383" s="64" t="s">
        <v>385</v>
      </c>
      <c r="O383" s="73">
        <v>4</v>
      </c>
      <c r="P383" s="196">
        <v>0</v>
      </c>
      <c r="Q383" s="73">
        <v>1</v>
      </c>
      <c r="R383" s="74">
        <v>34</v>
      </c>
      <c r="S383" s="76">
        <v>937</v>
      </c>
      <c r="T383" s="82">
        <f t="shared" si="10"/>
        <v>779.4</v>
      </c>
      <c r="U383" s="77">
        <f t="shared" si="11"/>
        <v>779.4</v>
      </c>
      <c r="V383" s="78">
        <v>157.6</v>
      </c>
      <c r="W383" s="80" t="s">
        <v>233</v>
      </c>
      <c r="X383" s="81" t="s">
        <v>233</v>
      </c>
      <c r="Y383" s="4" t="s">
        <v>240</v>
      </c>
      <c r="Z383" s="81" t="s">
        <v>233</v>
      </c>
      <c r="AA383" s="64" t="s">
        <v>233</v>
      </c>
      <c r="AB383" s="81" t="s">
        <v>233</v>
      </c>
      <c r="AC383" s="4" t="s">
        <v>233</v>
      </c>
      <c r="AD383" s="64" t="s">
        <v>233</v>
      </c>
      <c r="AE383" s="64" t="s">
        <v>240</v>
      </c>
      <c r="AF383" s="209">
        <v>0</v>
      </c>
      <c r="AG383" s="4">
        <v>1</v>
      </c>
      <c r="AH383" s="64">
        <v>1</v>
      </c>
      <c r="AI383" s="4">
        <v>0</v>
      </c>
      <c r="AJ383" s="4">
        <v>0</v>
      </c>
      <c r="AK383" s="4">
        <v>0</v>
      </c>
    </row>
    <row r="384" spans="1:37" outlineLevel="1">
      <c r="A384" s="5">
        <v>377</v>
      </c>
      <c r="B384" s="64" t="s">
        <v>190</v>
      </c>
      <c r="C384" s="4" t="s">
        <v>236</v>
      </c>
      <c r="D384" s="4" t="str">
        <f>[1]Лист2!B377</f>
        <v>ДРОВЯНОЙ пер.</v>
      </c>
      <c r="E384" s="69">
        <f>[1]Лист2!C377</f>
        <v>4</v>
      </c>
      <c r="F384" s="197" t="str">
        <f>[1]Лист2!D377</f>
        <v>А</v>
      </c>
      <c r="G384" s="64"/>
      <c r="H384" s="199">
        <v>129377</v>
      </c>
      <c r="I384" s="64" t="s">
        <v>234</v>
      </c>
      <c r="J384" s="4"/>
      <c r="K384" s="64" t="s">
        <v>232</v>
      </c>
      <c r="L384" s="4" t="s">
        <v>232</v>
      </c>
      <c r="M384" s="72">
        <v>1908</v>
      </c>
      <c r="N384" s="64" t="s">
        <v>385</v>
      </c>
      <c r="O384" s="73">
        <v>5</v>
      </c>
      <c r="P384" s="196">
        <v>0</v>
      </c>
      <c r="Q384" s="73">
        <v>2</v>
      </c>
      <c r="R384" s="74">
        <v>12</v>
      </c>
      <c r="S384" s="76">
        <v>1789.8</v>
      </c>
      <c r="T384" s="82">
        <f t="shared" si="10"/>
        <v>1432.1</v>
      </c>
      <c r="U384" s="77">
        <f t="shared" si="11"/>
        <v>1432.1</v>
      </c>
      <c r="V384" s="78">
        <v>357.7</v>
      </c>
      <c r="W384" s="80" t="s">
        <v>233</v>
      </c>
      <c r="X384" s="81" t="s">
        <v>233</v>
      </c>
      <c r="Y384" s="4" t="s">
        <v>240</v>
      </c>
      <c r="Z384" s="81" t="s">
        <v>233</v>
      </c>
      <c r="AA384" s="64" t="s">
        <v>233</v>
      </c>
      <c r="AB384" s="81" t="s">
        <v>233</v>
      </c>
      <c r="AC384" s="4" t="s">
        <v>233</v>
      </c>
      <c r="AD384" s="64" t="s">
        <v>233</v>
      </c>
      <c r="AE384" s="64" t="s">
        <v>240</v>
      </c>
      <c r="AF384" s="208">
        <v>0</v>
      </c>
      <c r="AG384" s="4">
        <v>1</v>
      </c>
      <c r="AH384" s="64">
        <v>1</v>
      </c>
      <c r="AI384" s="4">
        <v>0</v>
      </c>
      <c r="AJ384" s="4">
        <v>0</v>
      </c>
      <c r="AK384" s="4">
        <v>0</v>
      </c>
    </row>
    <row r="385" spans="1:37" outlineLevel="1">
      <c r="A385" s="5">
        <v>378</v>
      </c>
      <c r="B385" s="64" t="s">
        <v>190</v>
      </c>
      <c r="C385" s="4" t="s">
        <v>236</v>
      </c>
      <c r="D385" s="4" t="str">
        <f>[1]Лист2!B378</f>
        <v>ДРОВЯНОЙ пер.</v>
      </c>
      <c r="E385" s="69">
        <f>[1]Лист2!C378</f>
        <v>7</v>
      </c>
      <c r="F385" s="197" t="str">
        <f>[1]Лист2!D378</f>
        <v>А</v>
      </c>
      <c r="G385" s="64"/>
      <c r="H385" s="199">
        <v>129378</v>
      </c>
      <c r="I385" s="64" t="s">
        <v>234</v>
      </c>
      <c r="J385" s="4"/>
      <c r="K385" s="64" t="s">
        <v>232</v>
      </c>
      <c r="L385" s="4" t="s">
        <v>232</v>
      </c>
      <c r="M385" s="72">
        <v>1858</v>
      </c>
      <c r="N385" s="64" t="s">
        <v>385</v>
      </c>
      <c r="O385" s="73">
        <v>5</v>
      </c>
      <c r="P385" s="196">
        <v>0</v>
      </c>
      <c r="Q385" s="73">
        <v>4</v>
      </c>
      <c r="R385" s="74">
        <v>94</v>
      </c>
      <c r="S385" s="76">
        <v>2937.5000000000005</v>
      </c>
      <c r="T385" s="82">
        <f t="shared" si="10"/>
        <v>2558.6000000000004</v>
      </c>
      <c r="U385" s="77">
        <f t="shared" si="11"/>
        <v>2558.6000000000004</v>
      </c>
      <c r="V385" s="78">
        <v>378.9</v>
      </c>
      <c r="W385" s="80" t="s">
        <v>233</v>
      </c>
      <c r="X385" s="81" t="s">
        <v>233</v>
      </c>
      <c r="Y385" s="4" t="s">
        <v>233</v>
      </c>
      <c r="Z385" s="81" t="s">
        <v>233</v>
      </c>
      <c r="AA385" s="64" t="s">
        <v>233</v>
      </c>
      <c r="AB385" s="81" t="s">
        <v>233</v>
      </c>
      <c r="AC385" s="4" t="s">
        <v>240</v>
      </c>
      <c r="AD385" s="64" t="s">
        <v>233</v>
      </c>
      <c r="AE385" s="64" t="s">
        <v>240</v>
      </c>
      <c r="AF385" s="208">
        <v>0</v>
      </c>
      <c r="AG385" s="4">
        <v>1</v>
      </c>
      <c r="AH385" s="64">
        <v>1</v>
      </c>
      <c r="AI385" s="4">
        <v>1</v>
      </c>
      <c r="AJ385" s="4">
        <v>1</v>
      </c>
      <c r="AK385" s="4">
        <v>0</v>
      </c>
    </row>
    <row r="386" spans="1:37" outlineLevel="1">
      <c r="A386" s="63">
        <v>379</v>
      </c>
      <c r="B386" s="64" t="s">
        <v>190</v>
      </c>
      <c r="C386" s="4" t="s">
        <v>236</v>
      </c>
      <c r="D386" s="4" t="str">
        <f>[1]Лист2!B379</f>
        <v>ДРОВЯНОЙ пер.</v>
      </c>
      <c r="E386" s="69">
        <f>[1]Лист2!C379</f>
        <v>8</v>
      </c>
      <c r="F386" s="197" t="str">
        <f>[1]Лист2!D379</f>
        <v>А</v>
      </c>
      <c r="G386" s="4"/>
      <c r="H386" s="199">
        <v>129379</v>
      </c>
      <c r="I386" s="64" t="s">
        <v>234</v>
      </c>
      <c r="J386" s="4"/>
      <c r="K386" s="64" t="s">
        <v>232</v>
      </c>
      <c r="L386" s="4" t="s">
        <v>232</v>
      </c>
      <c r="M386" s="72">
        <v>1902</v>
      </c>
      <c r="N386" s="64" t="s">
        <v>385</v>
      </c>
      <c r="O386" s="73">
        <v>5</v>
      </c>
      <c r="P386" s="196">
        <v>0</v>
      </c>
      <c r="Q386" s="73">
        <v>2</v>
      </c>
      <c r="R386" s="74">
        <v>32</v>
      </c>
      <c r="S386" s="76">
        <v>1018.3</v>
      </c>
      <c r="T386" s="82">
        <f t="shared" si="10"/>
        <v>741.8</v>
      </c>
      <c r="U386" s="77">
        <f t="shared" si="11"/>
        <v>741.8</v>
      </c>
      <c r="V386" s="78">
        <v>276.5</v>
      </c>
      <c r="W386" s="80" t="s">
        <v>233</v>
      </c>
      <c r="X386" s="81" t="s">
        <v>233</v>
      </c>
      <c r="Y386" s="4" t="s">
        <v>233</v>
      </c>
      <c r="Z386" s="81" t="s">
        <v>233</v>
      </c>
      <c r="AA386" s="64" t="s">
        <v>233</v>
      </c>
      <c r="AB386" s="81" t="s">
        <v>233</v>
      </c>
      <c r="AC386" s="4" t="s">
        <v>240</v>
      </c>
      <c r="AD386" s="64" t="s">
        <v>233</v>
      </c>
      <c r="AE386" s="64" t="s">
        <v>240</v>
      </c>
      <c r="AF386" s="208">
        <v>0</v>
      </c>
      <c r="AG386" s="4">
        <v>1</v>
      </c>
      <c r="AH386" s="64">
        <v>1</v>
      </c>
      <c r="AI386" s="4">
        <v>0</v>
      </c>
      <c r="AJ386" s="4">
        <v>0</v>
      </c>
      <c r="AK386" s="4">
        <v>0</v>
      </c>
    </row>
    <row r="387" spans="1:37" outlineLevel="1">
      <c r="A387" s="63">
        <v>380</v>
      </c>
      <c r="B387" s="64" t="s">
        <v>190</v>
      </c>
      <c r="C387" s="4" t="s">
        <v>236</v>
      </c>
      <c r="D387" s="4" t="str">
        <f>[1]Лист2!B380</f>
        <v>ДРОВЯНОЙ пер.</v>
      </c>
      <c r="E387" s="69">
        <f>[1]Лист2!C380</f>
        <v>8</v>
      </c>
      <c r="F387" s="197" t="str">
        <f>[1]Лист2!D380</f>
        <v>В</v>
      </c>
      <c r="G387" s="4"/>
      <c r="H387" s="199">
        <v>129380</v>
      </c>
      <c r="I387" s="64" t="s">
        <v>234</v>
      </c>
      <c r="J387" s="4"/>
      <c r="K387" s="64" t="s">
        <v>232</v>
      </c>
      <c r="L387" s="4" t="s">
        <v>232</v>
      </c>
      <c r="M387" s="72">
        <v>1848</v>
      </c>
      <c r="N387" s="64" t="s">
        <v>385</v>
      </c>
      <c r="O387" s="73">
        <v>3</v>
      </c>
      <c r="P387" s="196">
        <v>0</v>
      </c>
      <c r="Q387" s="73">
        <v>1</v>
      </c>
      <c r="R387" s="74">
        <v>12</v>
      </c>
      <c r="S387" s="76">
        <v>225.8</v>
      </c>
      <c r="T387" s="82">
        <f t="shared" si="10"/>
        <v>225.8</v>
      </c>
      <c r="U387" s="77">
        <f t="shared" si="11"/>
        <v>225.8</v>
      </c>
      <c r="V387" s="78">
        <v>0</v>
      </c>
      <c r="W387" s="80" t="s">
        <v>233</v>
      </c>
      <c r="X387" s="81" t="s">
        <v>233</v>
      </c>
      <c r="Y387" s="4" t="s">
        <v>233</v>
      </c>
      <c r="Z387" s="81" t="s">
        <v>233</v>
      </c>
      <c r="AA387" s="64" t="s">
        <v>233</v>
      </c>
      <c r="AB387" s="81" t="s">
        <v>233</v>
      </c>
      <c r="AC387" s="4" t="s">
        <v>240</v>
      </c>
      <c r="AD387" s="64" t="s">
        <v>233</v>
      </c>
      <c r="AE387" s="64" t="s">
        <v>240</v>
      </c>
      <c r="AF387" s="209">
        <v>0</v>
      </c>
      <c r="AG387" s="4">
        <v>1</v>
      </c>
      <c r="AH387" s="64">
        <v>1</v>
      </c>
      <c r="AI387" s="4">
        <v>0</v>
      </c>
      <c r="AJ387" s="4">
        <v>0</v>
      </c>
      <c r="AK387" s="4">
        <v>0</v>
      </c>
    </row>
    <row r="388" spans="1:37" s="65" customFormat="1" outlineLevel="1">
      <c r="A388" s="5">
        <v>381</v>
      </c>
      <c r="B388" s="64" t="s">
        <v>190</v>
      </c>
      <c r="C388" s="4" t="s">
        <v>236</v>
      </c>
      <c r="D388" s="64" t="str">
        <f>[1]Лист2!B381</f>
        <v>ДРОВЯНОЙ пер.</v>
      </c>
      <c r="E388" s="71" t="s">
        <v>212</v>
      </c>
      <c r="F388" s="196" t="str">
        <f>[1]Лист2!D381</f>
        <v>А</v>
      </c>
      <c r="G388" s="64"/>
      <c r="H388" s="67">
        <v>129381</v>
      </c>
      <c r="I388" s="64" t="s">
        <v>234</v>
      </c>
      <c r="J388" s="64"/>
      <c r="K388" s="64" t="s">
        <v>232</v>
      </c>
      <c r="L388" s="64" t="s">
        <v>232</v>
      </c>
      <c r="M388" s="72">
        <v>1904</v>
      </c>
      <c r="N388" s="64" t="s">
        <v>385</v>
      </c>
      <c r="O388" s="73">
        <v>4</v>
      </c>
      <c r="P388" s="196">
        <v>0</v>
      </c>
      <c r="Q388" s="73">
        <v>3</v>
      </c>
      <c r="R388" s="74">
        <v>36</v>
      </c>
      <c r="S388" s="75">
        <v>2526</v>
      </c>
      <c r="T388" s="82">
        <f t="shared" si="10"/>
        <v>899</v>
      </c>
      <c r="U388" s="77">
        <f t="shared" si="11"/>
        <v>899</v>
      </c>
      <c r="V388" s="77">
        <v>1627</v>
      </c>
      <c r="W388" s="80" t="s">
        <v>233</v>
      </c>
      <c r="X388" s="81" t="s">
        <v>233</v>
      </c>
      <c r="Y388" s="64" t="s">
        <v>233</v>
      </c>
      <c r="Z388" s="81" t="s">
        <v>233</v>
      </c>
      <c r="AA388" s="64" t="s">
        <v>233</v>
      </c>
      <c r="AB388" s="81" t="s">
        <v>233</v>
      </c>
      <c r="AC388" s="4" t="s">
        <v>240</v>
      </c>
      <c r="AD388" s="64" t="s">
        <v>233</v>
      </c>
      <c r="AE388" s="64" t="s">
        <v>240</v>
      </c>
      <c r="AF388" s="209">
        <v>0</v>
      </c>
      <c r="AG388" s="4">
        <v>1</v>
      </c>
      <c r="AH388" s="64">
        <v>1</v>
      </c>
      <c r="AI388" s="64">
        <v>0</v>
      </c>
      <c r="AJ388" s="64">
        <v>0</v>
      </c>
      <c r="AK388" s="64">
        <v>0</v>
      </c>
    </row>
    <row r="389" spans="1:37" s="65" customFormat="1" outlineLevel="1">
      <c r="A389" s="5">
        <v>382</v>
      </c>
      <c r="B389" s="64" t="s">
        <v>190</v>
      </c>
      <c r="C389" s="64" t="s">
        <v>235</v>
      </c>
      <c r="D389" s="64" t="str">
        <f>[1]Лист2!B382</f>
        <v>ЕГОРОВА ул.</v>
      </c>
      <c r="E389" s="71" t="s">
        <v>171</v>
      </c>
      <c r="F389" s="196" t="s">
        <v>191</v>
      </c>
      <c r="G389" s="64"/>
      <c r="H389" s="67">
        <v>129382</v>
      </c>
      <c r="I389" s="64" t="s">
        <v>234</v>
      </c>
      <c r="J389" s="64"/>
      <c r="K389" s="64" t="s">
        <v>232</v>
      </c>
      <c r="L389" s="64" t="s">
        <v>232</v>
      </c>
      <c r="M389" s="72">
        <v>1912</v>
      </c>
      <c r="N389" s="64" t="s">
        <v>385</v>
      </c>
      <c r="O389" s="73">
        <v>5</v>
      </c>
      <c r="P389" s="196">
        <v>0</v>
      </c>
      <c r="Q389" s="73">
        <v>9</v>
      </c>
      <c r="R389" s="74">
        <v>93</v>
      </c>
      <c r="S389" s="75">
        <v>8789.9000000000015</v>
      </c>
      <c r="T389" s="82">
        <f t="shared" si="10"/>
        <v>4618.2700000000013</v>
      </c>
      <c r="U389" s="77">
        <f t="shared" si="11"/>
        <v>4618.2700000000013</v>
      </c>
      <c r="V389" s="77">
        <v>4171.63</v>
      </c>
      <c r="W389" s="80" t="s">
        <v>233</v>
      </c>
      <c r="X389" s="81" t="s">
        <v>233</v>
      </c>
      <c r="Y389" s="64" t="s">
        <v>233</v>
      </c>
      <c r="Z389" s="81" t="s">
        <v>233</v>
      </c>
      <c r="AA389" s="64" t="s">
        <v>233</v>
      </c>
      <c r="AB389" s="81" t="s">
        <v>233</v>
      </c>
      <c r="AC389" s="4" t="s">
        <v>240</v>
      </c>
      <c r="AD389" s="64" t="s">
        <v>233</v>
      </c>
      <c r="AE389" s="64" t="s">
        <v>240</v>
      </c>
      <c r="AF389" s="208">
        <v>0</v>
      </c>
      <c r="AG389" s="4">
        <v>1</v>
      </c>
      <c r="AH389" s="64">
        <v>2</v>
      </c>
      <c r="AI389" s="64">
        <v>1</v>
      </c>
      <c r="AJ389" s="64">
        <v>1</v>
      </c>
      <c r="AK389" s="64">
        <v>0</v>
      </c>
    </row>
    <row r="390" spans="1:37" s="65" customFormat="1" outlineLevel="1">
      <c r="A390" s="5">
        <v>383</v>
      </c>
      <c r="B390" s="64" t="s">
        <v>190</v>
      </c>
      <c r="C390" s="64" t="s">
        <v>235</v>
      </c>
      <c r="D390" s="64" t="str">
        <f>[1]Лист2!B383</f>
        <v>ЕГОРОВА ул.</v>
      </c>
      <c r="E390" s="71">
        <f>[1]Лист2!C383</f>
        <v>28</v>
      </c>
      <c r="F390" s="196" t="str">
        <f>[1]Лист2!D383</f>
        <v>А</v>
      </c>
      <c r="G390" s="4"/>
      <c r="H390" s="67">
        <v>129383</v>
      </c>
      <c r="I390" s="64" t="s">
        <v>234</v>
      </c>
      <c r="J390" s="64"/>
      <c r="K390" s="64" t="s">
        <v>232</v>
      </c>
      <c r="L390" s="64" t="s">
        <v>232</v>
      </c>
      <c r="M390" s="72">
        <v>1902</v>
      </c>
      <c r="N390" s="64" t="s">
        <v>385</v>
      </c>
      <c r="O390" s="73">
        <v>5</v>
      </c>
      <c r="P390" s="196">
        <v>0</v>
      </c>
      <c r="Q390" s="73">
        <v>1</v>
      </c>
      <c r="R390" s="74">
        <v>99</v>
      </c>
      <c r="S390" s="75">
        <v>2507.3000000000002</v>
      </c>
      <c r="T390" s="82">
        <f t="shared" si="10"/>
        <v>2230.8000000000002</v>
      </c>
      <c r="U390" s="77">
        <f t="shared" si="11"/>
        <v>2230.8000000000002</v>
      </c>
      <c r="V390" s="77">
        <v>276.5</v>
      </c>
      <c r="W390" s="80" t="s">
        <v>233</v>
      </c>
      <c r="X390" s="81" t="s">
        <v>233</v>
      </c>
      <c r="Y390" s="64" t="s">
        <v>233</v>
      </c>
      <c r="Z390" s="81" t="s">
        <v>233</v>
      </c>
      <c r="AA390" s="64" t="s">
        <v>233</v>
      </c>
      <c r="AB390" s="81" t="s">
        <v>233</v>
      </c>
      <c r="AC390" s="4" t="s">
        <v>240</v>
      </c>
      <c r="AD390" s="64" t="s">
        <v>233</v>
      </c>
      <c r="AE390" s="64" t="s">
        <v>240</v>
      </c>
      <c r="AF390" s="208">
        <v>0</v>
      </c>
      <c r="AG390" s="4">
        <v>1</v>
      </c>
      <c r="AH390" s="64">
        <v>1</v>
      </c>
      <c r="AI390" s="64">
        <v>1</v>
      </c>
      <c r="AJ390" s="64">
        <v>1</v>
      </c>
      <c r="AK390" s="64">
        <v>0</v>
      </c>
    </row>
    <row r="391" spans="1:37" outlineLevel="1">
      <c r="A391" s="5">
        <v>384</v>
      </c>
      <c r="B391" s="64" t="s">
        <v>190</v>
      </c>
      <c r="C391" s="64" t="s">
        <v>235</v>
      </c>
      <c r="D391" s="4" t="str">
        <f>[1]Лист2!B384</f>
        <v>ЕГОРОВА ул.</v>
      </c>
      <c r="E391" s="69">
        <f>[1]Лист2!C384</f>
        <v>28</v>
      </c>
      <c r="F391" s="197" t="str">
        <f>[1]Лист2!D384</f>
        <v>Г</v>
      </c>
      <c r="G391" s="4"/>
      <c r="H391" s="199">
        <v>129384</v>
      </c>
      <c r="I391" s="64" t="s">
        <v>234</v>
      </c>
      <c r="J391" s="4"/>
      <c r="K391" s="64" t="s">
        <v>232</v>
      </c>
      <c r="L391" s="4" t="s">
        <v>232</v>
      </c>
      <c r="M391" s="72">
        <v>1902</v>
      </c>
      <c r="N391" s="64" t="s">
        <v>385</v>
      </c>
      <c r="O391" s="73">
        <v>5</v>
      </c>
      <c r="P391" s="196">
        <v>0</v>
      </c>
      <c r="Q391" s="73">
        <v>1</v>
      </c>
      <c r="R391" s="74">
        <v>34</v>
      </c>
      <c r="S391" s="76">
        <v>933.5</v>
      </c>
      <c r="T391" s="82">
        <f t="shared" si="10"/>
        <v>933.5</v>
      </c>
      <c r="U391" s="77">
        <f t="shared" si="11"/>
        <v>933.5</v>
      </c>
      <c r="V391" s="78">
        <v>0</v>
      </c>
      <c r="W391" s="80" t="s">
        <v>233</v>
      </c>
      <c r="X391" s="81" t="s">
        <v>233</v>
      </c>
      <c r="Y391" s="4" t="s">
        <v>233</v>
      </c>
      <c r="Z391" s="81" t="s">
        <v>233</v>
      </c>
      <c r="AA391" s="64" t="s">
        <v>233</v>
      </c>
      <c r="AB391" s="81" t="s">
        <v>233</v>
      </c>
      <c r="AC391" s="4" t="s">
        <v>240</v>
      </c>
      <c r="AD391" s="64" t="s">
        <v>233</v>
      </c>
      <c r="AE391" s="64" t="s">
        <v>240</v>
      </c>
      <c r="AF391" s="209">
        <v>0</v>
      </c>
      <c r="AG391" s="4">
        <v>1</v>
      </c>
      <c r="AH391" s="64">
        <v>1</v>
      </c>
      <c r="AI391" s="4">
        <v>0</v>
      </c>
      <c r="AJ391" s="4">
        <v>0</v>
      </c>
      <c r="AK391" s="4">
        <v>0</v>
      </c>
    </row>
    <row r="392" spans="1:37" outlineLevel="1">
      <c r="A392" s="63">
        <v>385</v>
      </c>
      <c r="B392" s="64" t="s">
        <v>190</v>
      </c>
      <c r="C392" s="64" t="s">
        <v>235</v>
      </c>
      <c r="D392" s="4" t="str">
        <f>[1]Лист2!B385</f>
        <v>ИЗМАЙЛОВСКИЙ пр.</v>
      </c>
      <c r="E392" s="69">
        <f>[1]Лист2!C385</f>
        <v>1</v>
      </c>
      <c r="F392" s="197" t="str">
        <f>[1]Лист2!D385</f>
        <v>А</v>
      </c>
      <c r="G392" s="64"/>
      <c r="H392" s="199">
        <v>129385</v>
      </c>
      <c r="I392" s="64" t="s">
        <v>234</v>
      </c>
      <c r="J392" s="4"/>
      <c r="K392" s="64" t="s">
        <v>232</v>
      </c>
      <c r="L392" s="4" t="s">
        <v>232</v>
      </c>
      <c r="M392" s="72">
        <v>1840</v>
      </c>
      <c r="N392" s="64" t="s">
        <v>385</v>
      </c>
      <c r="O392" s="73">
        <v>4</v>
      </c>
      <c r="P392" s="196">
        <v>0</v>
      </c>
      <c r="Q392" s="73">
        <v>4</v>
      </c>
      <c r="R392" s="74">
        <v>76</v>
      </c>
      <c r="S392" s="76">
        <v>3174.02</v>
      </c>
      <c r="T392" s="82">
        <f t="shared" si="10"/>
        <v>2131.62</v>
      </c>
      <c r="U392" s="77">
        <f t="shared" si="11"/>
        <v>2131.62</v>
      </c>
      <c r="V392" s="78">
        <v>1042.4000000000001</v>
      </c>
      <c r="W392" s="80" t="s">
        <v>233</v>
      </c>
      <c r="X392" s="81" t="s">
        <v>233</v>
      </c>
      <c r="Y392" s="4" t="s">
        <v>233</v>
      </c>
      <c r="Z392" s="81" t="s">
        <v>233</v>
      </c>
      <c r="AA392" s="64" t="s">
        <v>233</v>
      </c>
      <c r="AB392" s="81" t="s">
        <v>233</v>
      </c>
      <c r="AC392" s="4" t="s">
        <v>240</v>
      </c>
      <c r="AD392" s="64" t="s">
        <v>233</v>
      </c>
      <c r="AE392" s="64" t="s">
        <v>240</v>
      </c>
      <c r="AF392" s="208">
        <v>0</v>
      </c>
      <c r="AG392" s="4">
        <v>1</v>
      </c>
      <c r="AH392" s="64">
        <v>1</v>
      </c>
      <c r="AI392" s="4">
        <v>1</v>
      </c>
      <c r="AJ392" s="4">
        <v>1</v>
      </c>
      <c r="AK392" s="4">
        <v>0</v>
      </c>
    </row>
    <row r="393" spans="1:37" outlineLevel="1">
      <c r="A393" s="63">
        <v>386</v>
      </c>
      <c r="B393" s="64" t="s">
        <v>190</v>
      </c>
      <c r="C393" s="64" t="s">
        <v>235</v>
      </c>
      <c r="D393" s="4" t="str">
        <f>[1]Лист2!B386</f>
        <v>ИЗМАЙЛОВСКИЙ пр.</v>
      </c>
      <c r="E393" s="69">
        <f>[1]Лист2!C386</f>
        <v>11</v>
      </c>
      <c r="F393" s="197" t="str">
        <f>[1]Лист2!D386</f>
        <v>А</v>
      </c>
      <c r="G393" s="64"/>
      <c r="H393" s="199">
        <v>129386</v>
      </c>
      <c r="I393" s="64" t="s">
        <v>234</v>
      </c>
      <c r="J393" s="4"/>
      <c r="K393" s="64" t="s">
        <v>232</v>
      </c>
      <c r="L393" s="4" t="s">
        <v>232</v>
      </c>
      <c r="M393" s="72">
        <v>1939</v>
      </c>
      <c r="N393" s="64" t="s">
        <v>385</v>
      </c>
      <c r="O393" s="73">
        <v>4</v>
      </c>
      <c r="P393" s="196">
        <v>0</v>
      </c>
      <c r="Q393" s="73">
        <v>7</v>
      </c>
      <c r="R393" s="74">
        <v>172</v>
      </c>
      <c r="S393" s="76">
        <v>5779.65</v>
      </c>
      <c r="T393" s="82">
        <f t="shared" ref="T393:T456" si="12">U393</f>
        <v>4610.95</v>
      </c>
      <c r="U393" s="77">
        <f t="shared" ref="U393:U456" si="13">S393-V393</f>
        <v>4610.95</v>
      </c>
      <c r="V393" s="78">
        <v>1168.7</v>
      </c>
      <c r="W393" s="80" t="s">
        <v>233</v>
      </c>
      <c r="X393" s="81" t="s">
        <v>233</v>
      </c>
      <c r="Y393" s="4" t="s">
        <v>233</v>
      </c>
      <c r="Z393" s="81" t="s">
        <v>233</v>
      </c>
      <c r="AA393" s="64" t="s">
        <v>233</v>
      </c>
      <c r="AB393" s="81" t="s">
        <v>233</v>
      </c>
      <c r="AC393" s="4" t="s">
        <v>240</v>
      </c>
      <c r="AD393" s="64" t="s">
        <v>233</v>
      </c>
      <c r="AE393" s="64" t="s">
        <v>240</v>
      </c>
      <c r="AF393" s="208">
        <v>0</v>
      </c>
      <c r="AG393" s="4">
        <v>1</v>
      </c>
      <c r="AH393" s="64">
        <v>1</v>
      </c>
      <c r="AI393" s="4">
        <v>1</v>
      </c>
      <c r="AJ393" s="4">
        <v>1</v>
      </c>
      <c r="AK393" s="4">
        <v>0</v>
      </c>
    </row>
    <row r="394" spans="1:37" outlineLevel="1">
      <c r="A394" s="5">
        <v>387</v>
      </c>
      <c r="B394" s="64" t="s">
        <v>190</v>
      </c>
      <c r="C394" s="64" t="s">
        <v>235</v>
      </c>
      <c r="D394" s="4" t="str">
        <f>[1]Лист2!B387</f>
        <v>ИЗМАЙЛОВСКИЙ пр.</v>
      </c>
      <c r="E394" s="69">
        <f>[1]Лист2!C387</f>
        <v>18</v>
      </c>
      <c r="F394" s="197" t="str">
        <f>[1]Лист2!D387</f>
        <v>А</v>
      </c>
      <c r="G394" s="4"/>
      <c r="H394" s="199">
        <v>129387</v>
      </c>
      <c r="I394" s="64" t="s">
        <v>234</v>
      </c>
      <c r="J394" s="4"/>
      <c r="K394" s="64" t="s">
        <v>232</v>
      </c>
      <c r="L394" s="4" t="s">
        <v>232</v>
      </c>
      <c r="M394" s="72">
        <v>1876</v>
      </c>
      <c r="N394" s="64" t="s">
        <v>385</v>
      </c>
      <c r="O394" s="73">
        <v>5</v>
      </c>
      <c r="P394" s="196">
        <v>0</v>
      </c>
      <c r="Q394" s="73">
        <v>10</v>
      </c>
      <c r="R394" s="74">
        <v>376</v>
      </c>
      <c r="S394" s="76">
        <v>10659.71</v>
      </c>
      <c r="T394" s="82">
        <f t="shared" si="12"/>
        <v>9856.5</v>
      </c>
      <c r="U394" s="77">
        <f t="shared" si="13"/>
        <v>9856.5</v>
      </c>
      <c r="V394" s="78">
        <v>803.21</v>
      </c>
      <c r="W394" s="80" t="s">
        <v>233</v>
      </c>
      <c r="X394" s="81" t="s">
        <v>233</v>
      </c>
      <c r="Y394" s="4" t="s">
        <v>233</v>
      </c>
      <c r="Z394" s="81" t="s">
        <v>233</v>
      </c>
      <c r="AA394" s="64" t="s">
        <v>233</v>
      </c>
      <c r="AB394" s="81" t="s">
        <v>233</v>
      </c>
      <c r="AC394" s="4" t="s">
        <v>240</v>
      </c>
      <c r="AD394" s="64" t="s">
        <v>233</v>
      </c>
      <c r="AE394" s="64" t="s">
        <v>240</v>
      </c>
      <c r="AF394" s="208">
        <v>9</v>
      </c>
      <c r="AG394" s="4">
        <v>1</v>
      </c>
      <c r="AH394" s="64">
        <v>1</v>
      </c>
      <c r="AI394" s="4">
        <v>1</v>
      </c>
      <c r="AJ394" s="4">
        <v>1</v>
      </c>
      <c r="AK394" s="4">
        <v>0</v>
      </c>
    </row>
    <row r="395" spans="1:37" outlineLevel="1">
      <c r="A395" s="5">
        <v>388</v>
      </c>
      <c r="B395" s="64" t="s">
        <v>190</v>
      </c>
      <c r="C395" s="64" t="s">
        <v>235</v>
      </c>
      <c r="D395" s="4" t="str">
        <f>[1]Лист2!B388</f>
        <v>ИЗМАЙЛОВСКИЙ пр.</v>
      </c>
      <c r="E395" s="69">
        <f>[1]Лист2!C388</f>
        <v>18</v>
      </c>
      <c r="F395" s="197" t="str">
        <f>[1]Лист2!D388</f>
        <v>А1</v>
      </c>
      <c r="G395" s="4"/>
      <c r="H395" s="199">
        <v>129388</v>
      </c>
      <c r="I395" s="64" t="s">
        <v>234</v>
      </c>
      <c r="J395" s="4" t="s">
        <v>1422</v>
      </c>
      <c r="K395" s="64" t="s">
        <v>232</v>
      </c>
      <c r="L395" s="4" t="s">
        <v>232</v>
      </c>
      <c r="M395" s="72">
        <v>1876</v>
      </c>
      <c r="N395" s="64" t="s">
        <v>385</v>
      </c>
      <c r="O395" s="73">
        <v>2</v>
      </c>
      <c r="P395" s="196">
        <v>0</v>
      </c>
      <c r="Q395" s="73">
        <v>1</v>
      </c>
      <c r="R395" s="74">
        <v>8</v>
      </c>
      <c r="S395" s="76">
        <v>0</v>
      </c>
      <c r="T395" s="82">
        <f t="shared" si="12"/>
        <v>0</v>
      </c>
      <c r="U395" s="77">
        <f t="shared" si="13"/>
        <v>0</v>
      </c>
      <c r="V395" s="78">
        <v>0</v>
      </c>
      <c r="W395" s="80" t="s">
        <v>233</v>
      </c>
      <c r="X395" s="81" t="s">
        <v>233</v>
      </c>
      <c r="Y395" s="4" t="s">
        <v>233</v>
      </c>
      <c r="Z395" s="81" t="s">
        <v>233</v>
      </c>
      <c r="AA395" s="64" t="s">
        <v>233</v>
      </c>
      <c r="AB395" s="81" t="s">
        <v>233</v>
      </c>
      <c r="AC395" s="4" t="s">
        <v>240</v>
      </c>
      <c r="AD395" s="64" t="s">
        <v>233</v>
      </c>
      <c r="AE395" s="64" t="s">
        <v>240</v>
      </c>
      <c r="AF395" s="209">
        <v>0</v>
      </c>
      <c r="AG395" s="4">
        <v>1</v>
      </c>
      <c r="AH395" s="64">
        <v>1</v>
      </c>
      <c r="AI395" s="4">
        <v>0</v>
      </c>
      <c r="AJ395" s="4">
        <v>0</v>
      </c>
      <c r="AK395" s="4">
        <v>0</v>
      </c>
    </row>
    <row r="396" spans="1:37" outlineLevel="1">
      <c r="A396" s="5">
        <v>389</v>
      </c>
      <c r="B396" s="64" t="s">
        <v>190</v>
      </c>
      <c r="C396" s="64" t="s">
        <v>235</v>
      </c>
      <c r="D396" s="4" t="str">
        <f>[1]Лист2!B389</f>
        <v>ИЗМАЙЛОВСКИЙ пр.</v>
      </c>
      <c r="E396" s="69">
        <f>[1]Лист2!C389</f>
        <v>18</v>
      </c>
      <c r="F396" s="197" t="str">
        <f>[1]Лист2!D389</f>
        <v>Б</v>
      </c>
      <c r="G396" s="64"/>
      <c r="H396" s="199">
        <v>129389</v>
      </c>
      <c r="I396" s="64" t="s">
        <v>234</v>
      </c>
      <c r="J396" s="4"/>
      <c r="K396" s="64" t="s">
        <v>232</v>
      </c>
      <c r="L396" s="4" t="s">
        <v>232</v>
      </c>
      <c r="M396" s="72">
        <v>1905</v>
      </c>
      <c r="N396" s="64" t="s">
        <v>385</v>
      </c>
      <c r="O396" s="73">
        <v>5</v>
      </c>
      <c r="P396" s="196">
        <v>0</v>
      </c>
      <c r="Q396" s="73">
        <v>1</v>
      </c>
      <c r="R396" s="74">
        <v>39</v>
      </c>
      <c r="S396" s="76">
        <v>752.1</v>
      </c>
      <c r="T396" s="82">
        <f t="shared" si="12"/>
        <v>752.1</v>
      </c>
      <c r="U396" s="77">
        <f t="shared" si="13"/>
        <v>752.1</v>
      </c>
      <c r="V396" s="78">
        <v>0</v>
      </c>
      <c r="W396" s="80" t="s">
        <v>233</v>
      </c>
      <c r="X396" s="81" t="s">
        <v>233</v>
      </c>
      <c r="Y396" s="4" t="s">
        <v>233</v>
      </c>
      <c r="Z396" s="81" t="s">
        <v>233</v>
      </c>
      <c r="AA396" s="64" t="s">
        <v>233</v>
      </c>
      <c r="AB396" s="81" t="s">
        <v>233</v>
      </c>
      <c r="AC396" s="4" t="s">
        <v>240</v>
      </c>
      <c r="AD396" s="64" t="s">
        <v>233</v>
      </c>
      <c r="AE396" s="64" t="s">
        <v>240</v>
      </c>
      <c r="AF396" s="209">
        <v>0</v>
      </c>
      <c r="AG396" s="4">
        <v>1</v>
      </c>
      <c r="AH396" s="64">
        <v>1</v>
      </c>
      <c r="AI396" s="4">
        <v>0</v>
      </c>
      <c r="AJ396" s="4">
        <v>0</v>
      </c>
      <c r="AK396" s="4">
        <v>0</v>
      </c>
    </row>
    <row r="397" spans="1:37" outlineLevel="1">
      <c r="A397" s="5">
        <v>390</v>
      </c>
      <c r="B397" s="64" t="s">
        <v>190</v>
      </c>
      <c r="C397" s="64" t="s">
        <v>235</v>
      </c>
      <c r="D397" s="4" t="str">
        <f>[1]Лист2!B390</f>
        <v>ИЗМАЙЛОВСКИЙ пр.</v>
      </c>
      <c r="E397" s="69">
        <f>[1]Лист2!C390</f>
        <v>18</v>
      </c>
      <c r="F397" s="197" t="str">
        <f>[1]Лист2!D390</f>
        <v>Д</v>
      </c>
      <c r="G397" s="64"/>
      <c r="H397" s="199">
        <v>129390</v>
      </c>
      <c r="I397" s="64" t="s">
        <v>234</v>
      </c>
      <c r="J397" s="4" t="s">
        <v>1422</v>
      </c>
      <c r="K397" s="64" t="s">
        <v>232</v>
      </c>
      <c r="L397" s="4" t="s">
        <v>232</v>
      </c>
      <c r="M397" s="72">
        <v>1896</v>
      </c>
      <c r="N397" s="64" t="s">
        <v>385</v>
      </c>
      <c r="O397" s="73">
        <v>4</v>
      </c>
      <c r="P397" s="196">
        <v>0</v>
      </c>
      <c r="Q397" s="73">
        <v>2</v>
      </c>
      <c r="R397" s="74">
        <v>9</v>
      </c>
      <c r="S397" s="76">
        <v>2137</v>
      </c>
      <c r="T397" s="82">
        <f t="shared" si="12"/>
        <v>0</v>
      </c>
      <c r="U397" s="77">
        <f t="shared" si="13"/>
        <v>0</v>
      </c>
      <c r="V397" s="78">
        <v>2137</v>
      </c>
      <c r="W397" s="80" t="s">
        <v>233</v>
      </c>
      <c r="X397" s="81" t="s">
        <v>233</v>
      </c>
      <c r="Y397" s="4" t="s">
        <v>233</v>
      </c>
      <c r="Z397" s="81" t="s">
        <v>233</v>
      </c>
      <c r="AA397" s="64" t="s">
        <v>233</v>
      </c>
      <c r="AB397" s="81" t="s">
        <v>233</v>
      </c>
      <c r="AC397" s="4" t="s">
        <v>240</v>
      </c>
      <c r="AD397" s="64" t="s">
        <v>233</v>
      </c>
      <c r="AE397" s="64" t="s">
        <v>240</v>
      </c>
      <c r="AF397" s="209">
        <v>0</v>
      </c>
      <c r="AG397" s="4">
        <v>1</v>
      </c>
      <c r="AH397" s="64">
        <v>1</v>
      </c>
      <c r="AI397" s="4">
        <v>0</v>
      </c>
      <c r="AJ397" s="4">
        <v>0</v>
      </c>
      <c r="AK397" s="4">
        <v>0</v>
      </c>
    </row>
    <row r="398" spans="1:37" outlineLevel="1">
      <c r="A398" s="63">
        <v>391</v>
      </c>
      <c r="B398" s="64" t="s">
        <v>190</v>
      </c>
      <c r="C398" s="64" t="s">
        <v>235</v>
      </c>
      <c r="D398" s="4" t="str">
        <f>[1]Лист2!B391</f>
        <v>ИЗМАЙЛОВСКИЙ пр.</v>
      </c>
      <c r="E398" s="69">
        <f>[1]Лист2!C391</f>
        <v>18</v>
      </c>
      <c r="F398" s="197" t="str">
        <f>[1]Лист2!D391</f>
        <v>Е</v>
      </c>
      <c r="G398" s="4"/>
      <c r="H398" s="199">
        <v>129391</v>
      </c>
      <c r="I398" s="64" t="s">
        <v>234</v>
      </c>
      <c r="J398" s="4"/>
      <c r="K398" s="64" t="s">
        <v>232</v>
      </c>
      <c r="L398" s="4" t="s">
        <v>232</v>
      </c>
      <c r="M398" s="72">
        <v>1903</v>
      </c>
      <c r="N398" s="64" t="s">
        <v>385</v>
      </c>
      <c r="O398" s="73">
        <v>4</v>
      </c>
      <c r="P398" s="196">
        <v>0</v>
      </c>
      <c r="Q398" s="73">
        <v>2</v>
      </c>
      <c r="R398" s="74">
        <v>32</v>
      </c>
      <c r="S398" s="76">
        <v>1179</v>
      </c>
      <c r="T398" s="82">
        <f t="shared" si="12"/>
        <v>1179</v>
      </c>
      <c r="U398" s="77">
        <f t="shared" si="13"/>
        <v>1179</v>
      </c>
      <c r="V398" s="78">
        <v>0</v>
      </c>
      <c r="W398" s="80" t="s">
        <v>233</v>
      </c>
      <c r="X398" s="81" t="s">
        <v>233</v>
      </c>
      <c r="Y398" s="4" t="s">
        <v>233</v>
      </c>
      <c r="Z398" s="81" t="s">
        <v>233</v>
      </c>
      <c r="AA398" s="64" t="s">
        <v>233</v>
      </c>
      <c r="AB398" s="81" t="s">
        <v>233</v>
      </c>
      <c r="AC398" s="4" t="s">
        <v>240</v>
      </c>
      <c r="AD398" s="64" t="s">
        <v>233</v>
      </c>
      <c r="AE398" s="64" t="s">
        <v>240</v>
      </c>
      <c r="AF398" s="209">
        <v>0</v>
      </c>
      <c r="AG398" s="4">
        <v>1</v>
      </c>
      <c r="AH398" s="64">
        <v>1</v>
      </c>
      <c r="AI398" s="4">
        <v>0</v>
      </c>
      <c r="AJ398" s="4">
        <v>0</v>
      </c>
      <c r="AK398" s="4">
        <v>0</v>
      </c>
    </row>
    <row r="399" spans="1:37" outlineLevel="1">
      <c r="A399" s="63">
        <v>392</v>
      </c>
      <c r="B399" s="64" t="s">
        <v>190</v>
      </c>
      <c r="C399" s="64" t="s">
        <v>235</v>
      </c>
      <c r="D399" s="4" t="str">
        <f>[1]Лист2!B392</f>
        <v>ИЗМАЙЛОВСКИЙ пр.</v>
      </c>
      <c r="E399" s="69">
        <f>[1]Лист2!C392</f>
        <v>18</v>
      </c>
      <c r="F399" s="197" t="str">
        <f>[1]Лист2!D392</f>
        <v>М</v>
      </c>
      <c r="G399" s="4"/>
      <c r="H399" s="199">
        <v>129392</v>
      </c>
      <c r="I399" s="64" t="s">
        <v>234</v>
      </c>
      <c r="J399" s="4" t="s">
        <v>1422</v>
      </c>
      <c r="K399" s="64" t="s">
        <v>232</v>
      </c>
      <c r="L399" s="4" t="s">
        <v>232</v>
      </c>
      <c r="M399" s="72">
        <v>1896</v>
      </c>
      <c r="N399" s="64" t="s">
        <v>385</v>
      </c>
      <c r="O399" s="73">
        <v>2</v>
      </c>
      <c r="P399" s="196">
        <v>0</v>
      </c>
      <c r="Q399" s="73">
        <v>1</v>
      </c>
      <c r="R399" s="74">
        <v>15</v>
      </c>
      <c r="S399" s="76">
        <v>275.7</v>
      </c>
      <c r="T399" s="82">
        <f t="shared" si="12"/>
        <v>0</v>
      </c>
      <c r="U399" s="77">
        <f t="shared" si="13"/>
        <v>0</v>
      </c>
      <c r="V399" s="78">
        <v>275.7</v>
      </c>
      <c r="W399" s="80" t="s">
        <v>233</v>
      </c>
      <c r="X399" s="81" t="s">
        <v>233</v>
      </c>
      <c r="Y399" s="4" t="s">
        <v>233</v>
      </c>
      <c r="Z399" s="81" t="s">
        <v>233</v>
      </c>
      <c r="AA399" s="64" t="s">
        <v>233</v>
      </c>
      <c r="AB399" s="81" t="s">
        <v>233</v>
      </c>
      <c r="AC399" s="4" t="s">
        <v>240</v>
      </c>
      <c r="AD399" s="64" t="s">
        <v>233</v>
      </c>
      <c r="AE399" s="64" t="s">
        <v>240</v>
      </c>
      <c r="AF399" s="209">
        <v>0</v>
      </c>
      <c r="AG399" s="4">
        <v>1</v>
      </c>
      <c r="AH399" s="64">
        <v>1</v>
      </c>
      <c r="AI399" s="4">
        <v>0</v>
      </c>
      <c r="AJ399" s="4">
        <v>0</v>
      </c>
      <c r="AK399" s="4">
        <v>0</v>
      </c>
    </row>
    <row r="400" spans="1:37" outlineLevel="1">
      <c r="A400" s="5">
        <v>393</v>
      </c>
      <c r="B400" s="64" t="s">
        <v>190</v>
      </c>
      <c r="C400" s="64" t="s">
        <v>235</v>
      </c>
      <c r="D400" s="4" t="str">
        <f>[1]Лист2!B393</f>
        <v>ИЗМАЙЛОВСКИЙ пр.</v>
      </c>
      <c r="E400" s="69">
        <f>[1]Лист2!C393</f>
        <v>19</v>
      </c>
      <c r="F400" s="197" t="str">
        <f>[1]Лист2!D393</f>
        <v>А</v>
      </c>
      <c r="G400" s="64"/>
      <c r="H400" s="199">
        <v>129393</v>
      </c>
      <c r="I400" s="64" t="s">
        <v>234</v>
      </c>
      <c r="J400" s="4"/>
      <c r="K400" s="64" t="s">
        <v>232</v>
      </c>
      <c r="L400" s="4" t="s">
        <v>232</v>
      </c>
      <c r="M400" s="72">
        <v>1871</v>
      </c>
      <c r="N400" s="64" t="s">
        <v>385</v>
      </c>
      <c r="O400" s="73">
        <v>4</v>
      </c>
      <c r="P400" s="196">
        <v>0</v>
      </c>
      <c r="Q400" s="73">
        <v>3</v>
      </c>
      <c r="R400" s="74">
        <v>35</v>
      </c>
      <c r="S400" s="76">
        <v>2129</v>
      </c>
      <c r="T400" s="82">
        <f t="shared" si="12"/>
        <v>1577.3</v>
      </c>
      <c r="U400" s="77">
        <f t="shared" si="13"/>
        <v>1577.3</v>
      </c>
      <c r="V400" s="78">
        <v>551.70000000000005</v>
      </c>
      <c r="W400" s="80" t="s">
        <v>233</v>
      </c>
      <c r="X400" s="81" t="s">
        <v>233</v>
      </c>
      <c r="Y400" s="4" t="s">
        <v>233</v>
      </c>
      <c r="Z400" s="81" t="s">
        <v>233</v>
      </c>
      <c r="AA400" s="64" t="s">
        <v>233</v>
      </c>
      <c r="AB400" s="81" t="s">
        <v>233</v>
      </c>
      <c r="AC400" s="4" t="s">
        <v>240</v>
      </c>
      <c r="AD400" s="64" t="s">
        <v>233</v>
      </c>
      <c r="AE400" s="64" t="s">
        <v>240</v>
      </c>
      <c r="AF400" s="208">
        <v>0</v>
      </c>
      <c r="AG400" s="4">
        <v>1</v>
      </c>
      <c r="AH400" s="64">
        <v>1</v>
      </c>
      <c r="AI400" s="4">
        <v>0</v>
      </c>
      <c r="AJ400" s="4">
        <v>0</v>
      </c>
      <c r="AK400" s="4">
        <v>0</v>
      </c>
    </row>
    <row r="401" spans="1:37" outlineLevel="1">
      <c r="A401" s="5">
        <v>394</v>
      </c>
      <c r="B401" s="64" t="s">
        <v>190</v>
      </c>
      <c r="C401" s="64" t="s">
        <v>235</v>
      </c>
      <c r="D401" s="4" t="str">
        <f>[1]Лист2!B394</f>
        <v>ИЗМАЙЛОВСКИЙ пр.</v>
      </c>
      <c r="E401" s="69">
        <f>[1]Лист2!C394</f>
        <v>2</v>
      </c>
      <c r="F401" s="197" t="str">
        <f>[1]Лист2!D394</f>
        <v>А</v>
      </c>
      <c r="G401" s="64"/>
      <c r="H401" s="199">
        <v>129394</v>
      </c>
      <c r="I401" s="64" t="s">
        <v>234</v>
      </c>
      <c r="J401" s="4" t="s">
        <v>1422</v>
      </c>
      <c r="K401" s="64" t="s">
        <v>232</v>
      </c>
      <c r="L401" s="4" t="s">
        <v>232</v>
      </c>
      <c r="M401" s="72">
        <v>1917</v>
      </c>
      <c r="N401" s="64" t="s">
        <v>385</v>
      </c>
      <c r="O401" s="73">
        <v>4</v>
      </c>
      <c r="P401" s="196">
        <v>0</v>
      </c>
      <c r="Q401" s="73">
        <v>2</v>
      </c>
      <c r="R401" s="74">
        <v>20</v>
      </c>
      <c r="S401" s="76">
        <v>14228</v>
      </c>
      <c r="T401" s="82">
        <f t="shared" si="12"/>
        <v>0</v>
      </c>
      <c r="U401" s="77">
        <f t="shared" si="13"/>
        <v>0</v>
      </c>
      <c r="V401" s="78">
        <v>14228</v>
      </c>
      <c r="W401" s="80" t="s">
        <v>233</v>
      </c>
      <c r="X401" s="81" t="s">
        <v>233</v>
      </c>
      <c r="Y401" s="4" t="s">
        <v>233</v>
      </c>
      <c r="Z401" s="81" t="s">
        <v>233</v>
      </c>
      <c r="AA401" s="64" t="s">
        <v>233</v>
      </c>
      <c r="AB401" s="81" t="s">
        <v>233</v>
      </c>
      <c r="AC401" s="4" t="s">
        <v>240</v>
      </c>
      <c r="AD401" s="64" t="s">
        <v>233</v>
      </c>
      <c r="AE401" s="64" t="s">
        <v>240</v>
      </c>
      <c r="AF401" s="208">
        <v>0</v>
      </c>
      <c r="AG401" s="4">
        <v>1</v>
      </c>
      <c r="AH401" s="64">
        <v>1</v>
      </c>
      <c r="AI401" s="4">
        <v>0</v>
      </c>
      <c r="AJ401" s="4">
        <v>0</v>
      </c>
      <c r="AK401" s="4">
        <v>0</v>
      </c>
    </row>
    <row r="402" spans="1:37" outlineLevel="1">
      <c r="A402" s="5">
        <v>395</v>
      </c>
      <c r="B402" s="64" t="s">
        <v>190</v>
      </c>
      <c r="C402" s="64" t="s">
        <v>235</v>
      </c>
      <c r="D402" s="4" t="str">
        <f>[1]Лист2!B395</f>
        <v>ИЗМАЙЛОВСКИЙ пр.</v>
      </c>
      <c r="E402" s="69">
        <f>[1]Лист2!C395</f>
        <v>20</v>
      </c>
      <c r="F402" s="197" t="str">
        <f>[1]Лист2!D395</f>
        <v>А</v>
      </c>
      <c r="G402" s="4"/>
      <c r="H402" s="199">
        <v>129395</v>
      </c>
      <c r="I402" s="64" t="s">
        <v>234</v>
      </c>
      <c r="J402" s="4"/>
      <c r="K402" s="64" t="s">
        <v>232</v>
      </c>
      <c r="L402" s="4" t="s">
        <v>232</v>
      </c>
      <c r="M402" s="72">
        <v>1885</v>
      </c>
      <c r="N402" s="64" t="s">
        <v>385</v>
      </c>
      <c r="O402" s="73">
        <v>3</v>
      </c>
      <c r="P402" s="196">
        <v>0</v>
      </c>
      <c r="Q402" s="73">
        <v>3</v>
      </c>
      <c r="R402" s="74">
        <v>46</v>
      </c>
      <c r="S402" s="76">
        <v>2515</v>
      </c>
      <c r="T402" s="82">
        <f t="shared" si="12"/>
        <v>1647</v>
      </c>
      <c r="U402" s="77">
        <f t="shared" si="13"/>
        <v>1647</v>
      </c>
      <c r="V402" s="78">
        <v>868</v>
      </c>
      <c r="W402" s="80" t="s">
        <v>233</v>
      </c>
      <c r="X402" s="81" t="s">
        <v>233</v>
      </c>
      <c r="Y402" s="4" t="s">
        <v>233</v>
      </c>
      <c r="Z402" s="81" t="s">
        <v>233</v>
      </c>
      <c r="AA402" s="64" t="s">
        <v>233</v>
      </c>
      <c r="AB402" s="81" t="s">
        <v>233</v>
      </c>
      <c r="AC402" s="4" t="s">
        <v>240</v>
      </c>
      <c r="AD402" s="64" t="s">
        <v>233</v>
      </c>
      <c r="AE402" s="64" t="s">
        <v>240</v>
      </c>
      <c r="AF402" s="208">
        <v>0</v>
      </c>
      <c r="AG402" s="4">
        <v>2</v>
      </c>
      <c r="AH402" s="64">
        <v>1</v>
      </c>
      <c r="AI402" s="4">
        <v>0</v>
      </c>
      <c r="AJ402" s="4">
        <v>0</v>
      </c>
      <c r="AK402" s="4">
        <v>0</v>
      </c>
    </row>
    <row r="403" spans="1:37" outlineLevel="1">
      <c r="A403" s="5">
        <v>396</v>
      </c>
      <c r="B403" s="64" t="s">
        <v>190</v>
      </c>
      <c r="C403" s="64" t="s">
        <v>235</v>
      </c>
      <c r="D403" s="4" t="str">
        <f>[1]Лист2!B396</f>
        <v>ИЗМАЙЛОВСКИЙ пр.</v>
      </c>
      <c r="E403" s="69">
        <f>[1]Лист2!C396</f>
        <v>20</v>
      </c>
      <c r="F403" s="197" t="str">
        <f>[1]Лист2!D396</f>
        <v>Ш</v>
      </c>
      <c r="G403" s="4"/>
      <c r="H403" s="199">
        <v>129396</v>
      </c>
      <c r="I403" s="64" t="s">
        <v>234</v>
      </c>
      <c r="J403" s="4"/>
      <c r="K403" s="64" t="s">
        <v>232</v>
      </c>
      <c r="L403" s="4" t="s">
        <v>232</v>
      </c>
      <c r="M403" s="72">
        <v>1870</v>
      </c>
      <c r="N403" s="64" t="s">
        <v>385</v>
      </c>
      <c r="O403" s="73">
        <v>4</v>
      </c>
      <c r="P403" s="196">
        <v>0</v>
      </c>
      <c r="Q403" s="73">
        <v>1</v>
      </c>
      <c r="R403" s="74">
        <v>16</v>
      </c>
      <c r="S403" s="76">
        <v>412</v>
      </c>
      <c r="T403" s="82">
        <f t="shared" si="12"/>
        <v>412</v>
      </c>
      <c r="U403" s="77">
        <f t="shared" si="13"/>
        <v>412</v>
      </c>
      <c r="V403" s="78">
        <v>0</v>
      </c>
      <c r="W403" s="80" t="s">
        <v>233</v>
      </c>
      <c r="X403" s="81" t="s">
        <v>233</v>
      </c>
      <c r="Y403" s="4" t="s">
        <v>233</v>
      </c>
      <c r="Z403" s="81" t="s">
        <v>233</v>
      </c>
      <c r="AA403" s="64" t="s">
        <v>233</v>
      </c>
      <c r="AB403" s="81" t="s">
        <v>233</v>
      </c>
      <c r="AC403" s="4" t="s">
        <v>240</v>
      </c>
      <c r="AD403" s="64" t="s">
        <v>233</v>
      </c>
      <c r="AE403" s="64" t="s">
        <v>240</v>
      </c>
      <c r="AF403" s="209">
        <v>0</v>
      </c>
      <c r="AG403" s="4">
        <v>1</v>
      </c>
      <c r="AH403" s="64">
        <v>1</v>
      </c>
      <c r="AI403" s="4">
        <v>0</v>
      </c>
      <c r="AJ403" s="4">
        <v>0</v>
      </c>
      <c r="AK403" s="4">
        <v>0</v>
      </c>
    </row>
    <row r="404" spans="1:37" outlineLevel="1">
      <c r="A404" s="63">
        <v>397</v>
      </c>
      <c r="B404" s="64" t="s">
        <v>190</v>
      </c>
      <c r="C404" s="64" t="s">
        <v>235</v>
      </c>
      <c r="D404" s="4" t="str">
        <f>[1]Лист2!B397</f>
        <v>ИЗМАЙЛОВСКИЙ пр.</v>
      </c>
      <c r="E404" s="69">
        <f>[1]Лист2!C397</f>
        <v>20</v>
      </c>
      <c r="F404" s="197" t="str">
        <f>[1]Лист2!D397</f>
        <v>Э</v>
      </c>
      <c r="G404" s="64"/>
      <c r="H404" s="199">
        <v>129397</v>
      </c>
      <c r="I404" s="64" t="s">
        <v>234</v>
      </c>
      <c r="J404" s="4" t="s">
        <v>1422</v>
      </c>
      <c r="K404" s="64" t="s">
        <v>232</v>
      </c>
      <c r="L404" s="4" t="s">
        <v>232</v>
      </c>
      <c r="M404" s="72">
        <v>1885</v>
      </c>
      <c r="N404" s="64" t="s">
        <v>385</v>
      </c>
      <c r="O404" s="73">
        <v>2</v>
      </c>
      <c r="P404" s="196">
        <v>0</v>
      </c>
      <c r="Q404" s="73">
        <v>2</v>
      </c>
      <c r="R404" s="74">
        <v>20</v>
      </c>
      <c r="S404" s="76">
        <v>619</v>
      </c>
      <c r="T404" s="82">
        <f t="shared" si="12"/>
        <v>0</v>
      </c>
      <c r="U404" s="77">
        <f t="shared" si="13"/>
        <v>0</v>
      </c>
      <c r="V404" s="78">
        <v>619</v>
      </c>
      <c r="W404" s="80" t="s">
        <v>233</v>
      </c>
      <c r="X404" s="81" t="s">
        <v>233</v>
      </c>
      <c r="Y404" s="4" t="s">
        <v>233</v>
      </c>
      <c r="Z404" s="81" t="s">
        <v>233</v>
      </c>
      <c r="AA404" s="64" t="s">
        <v>233</v>
      </c>
      <c r="AB404" s="81" t="s">
        <v>233</v>
      </c>
      <c r="AC404" s="4" t="s">
        <v>240</v>
      </c>
      <c r="AD404" s="64" t="s">
        <v>233</v>
      </c>
      <c r="AE404" s="64" t="s">
        <v>240</v>
      </c>
      <c r="AF404" s="209">
        <v>0</v>
      </c>
      <c r="AG404" s="4">
        <v>1</v>
      </c>
      <c r="AH404" s="64">
        <v>1</v>
      </c>
      <c r="AI404" s="4">
        <v>0</v>
      </c>
      <c r="AJ404" s="4">
        <v>0</v>
      </c>
      <c r="AK404" s="4">
        <v>0</v>
      </c>
    </row>
    <row r="405" spans="1:37" outlineLevel="1">
      <c r="A405" s="63">
        <v>398</v>
      </c>
      <c r="B405" s="64" t="s">
        <v>190</v>
      </c>
      <c r="C405" s="64" t="s">
        <v>235</v>
      </c>
      <c r="D405" s="4" t="str">
        <f>[1]Лист2!B398</f>
        <v>ИЗМАЙЛОВСКИЙ пр.</v>
      </c>
      <c r="E405" s="69">
        <f>[1]Лист2!C398</f>
        <v>22</v>
      </c>
      <c r="F405" s="197" t="str">
        <f>[1]Лист2!D398</f>
        <v>М</v>
      </c>
      <c r="G405" s="64"/>
      <c r="H405" s="199">
        <v>129398</v>
      </c>
      <c r="I405" s="64" t="s">
        <v>234</v>
      </c>
      <c r="J405" s="4"/>
      <c r="K405" s="64" t="s">
        <v>232</v>
      </c>
      <c r="L405" s="4" t="s">
        <v>232</v>
      </c>
      <c r="M405" s="72">
        <v>1863</v>
      </c>
      <c r="N405" s="64" t="s">
        <v>385</v>
      </c>
      <c r="O405" s="73">
        <v>4</v>
      </c>
      <c r="P405" s="196">
        <v>0</v>
      </c>
      <c r="Q405" s="73">
        <v>3</v>
      </c>
      <c r="R405" s="74">
        <v>67</v>
      </c>
      <c r="S405" s="76">
        <v>2332.8000000000002</v>
      </c>
      <c r="T405" s="82">
        <f t="shared" si="12"/>
        <v>2010.8000000000002</v>
      </c>
      <c r="U405" s="77">
        <f t="shared" si="13"/>
        <v>2010.8000000000002</v>
      </c>
      <c r="V405" s="78">
        <v>322</v>
      </c>
      <c r="W405" s="80" t="s">
        <v>233</v>
      </c>
      <c r="X405" s="81" t="s">
        <v>233</v>
      </c>
      <c r="Y405" s="4" t="s">
        <v>233</v>
      </c>
      <c r="Z405" s="81" t="s">
        <v>233</v>
      </c>
      <c r="AA405" s="64" t="s">
        <v>233</v>
      </c>
      <c r="AB405" s="81" t="s">
        <v>233</v>
      </c>
      <c r="AC405" s="4" t="s">
        <v>240</v>
      </c>
      <c r="AD405" s="64" t="s">
        <v>233</v>
      </c>
      <c r="AE405" s="64" t="s">
        <v>240</v>
      </c>
      <c r="AF405" s="208">
        <v>0</v>
      </c>
      <c r="AG405" s="4">
        <v>1</v>
      </c>
      <c r="AH405" s="64">
        <v>1</v>
      </c>
      <c r="AI405" s="4">
        <v>0</v>
      </c>
      <c r="AJ405" s="4">
        <v>0</v>
      </c>
      <c r="AK405" s="4">
        <v>0</v>
      </c>
    </row>
    <row r="406" spans="1:37" outlineLevel="1">
      <c r="A406" s="5">
        <v>399</v>
      </c>
      <c r="B406" s="64" t="s">
        <v>190</v>
      </c>
      <c r="C406" s="64" t="s">
        <v>235</v>
      </c>
      <c r="D406" s="4" t="str">
        <f>[1]Лист2!B399</f>
        <v>ИЗМАЙЛОВСКИЙ пр.</v>
      </c>
      <c r="E406" s="69">
        <f>[1]Лист2!C399</f>
        <v>22</v>
      </c>
      <c r="F406" s="197" t="str">
        <f>[1]Лист2!D399</f>
        <v>Н</v>
      </c>
      <c r="G406" s="4"/>
      <c r="H406" s="199">
        <v>129399</v>
      </c>
      <c r="I406" s="64" t="s">
        <v>234</v>
      </c>
      <c r="J406" s="4"/>
      <c r="K406" s="64" t="s">
        <v>232</v>
      </c>
      <c r="L406" s="4" t="s">
        <v>232</v>
      </c>
      <c r="M406" s="72">
        <v>1917</v>
      </c>
      <c r="N406" s="64" t="s">
        <v>385</v>
      </c>
      <c r="O406" s="73">
        <v>2</v>
      </c>
      <c r="P406" s="196">
        <v>0</v>
      </c>
      <c r="Q406" s="73">
        <v>1</v>
      </c>
      <c r="R406" s="74">
        <v>2</v>
      </c>
      <c r="S406" s="76">
        <v>181.89999999999998</v>
      </c>
      <c r="T406" s="82">
        <f t="shared" si="12"/>
        <v>85.59999999999998</v>
      </c>
      <c r="U406" s="77">
        <f t="shared" si="13"/>
        <v>85.59999999999998</v>
      </c>
      <c r="V406" s="78">
        <v>96.3</v>
      </c>
      <c r="W406" s="80" t="s">
        <v>233</v>
      </c>
      <c r="X406" s="81" t="s">
        <v>233</v>
      </c>
      <c r="Y406" s="4" t="s">
        <v>233</v>
      </c>
      <c r="Z406" s="81" t="s">
        <v>233</v>
      </c>
      <c r="AA406" s="64" t="s">
        <v>233</v>
      </c>
      <c r="AB406" s="81" t="s">
        <v>233</v>
      </c>
      <c r="AC406" s="4" t="s">
        <v>240</v>
      </c>
      <c r="AD406" s="64" t="s">
        <v>233</v>
      </c>
      <c r="AE406" s="64" t="s">
        <v>240</v>
      </c>
      <c r="AF406" s="209">
        <v>0</v>
      </c>
      <c r="AG406" s="4">
        <v>1</v>
      </c>
      <c r="AH406" s="64">
        <v>1</v>
      </c>
      <c r="AI406" s="4">
        <v>0</v>
      </c>
      <c r="AJ406" s="4">
        <v>0</v>
      </c>
      <c r="AK406" s="4">
        <v>0</v>
      </c>
    </row>
    <row r="407" spans="1:37" outlineLevel="1">
      <c r="A407" s="5">
        <v>400</v>
      </c>
      <c r="B407" s="64" t="s">
        <v>190</v>
      </c>
      <c r="C407" s="64" t="s">
        <v>235</v>
      </c>
      <c r="D407" s="4" t="str">
        <f>[1]Лист2!B400</f>
        <v>ИЗМАЙЛОВСКИЙ пр.</v>
      </c>
      <c r="E407" s="69">
        <f>[1]Лист2!C400</f>
        <v>23</v>
      </c>
      <c r="F407" s="197" t="str">
        <f>[1]Лист2!D400</f>
        <v>А</v>
      </c>
      <c r="G407" s="4"/>
      <c r="H407" s="199">
        <v>129400</v>
      </c>
      <c r="I407" s="64" t="s">
        <v>234</v>
      </c>
      <c r="J407" s="4"/>
      <c r="K407" s="64" t="s">
        <v>232</v>
      </c>
      <c r="L407" s="4" t="s">
        <v>232</v>
      </c>
      <c r="M407" s="72">
        <v>1861</v>
      </c>
      <c r="N407" s="64" t="s">
        <v>385</v>
      </c>
      <c r="O407" s="73">
        <v>5</v>
      </c>
      <c r="P407" s="196">
        <v>0</v>
      </c>
      <c r="Q407" s="73">
        <v>2</v>
      </c>
      <c r="R407" s="74">
        <v>22</v>
      </c>
      <c r="S407" s="76">
        <v>1594.8999999999999</v>
      </c>
      <c r="T407" s="82">
        <f t="shared" si="12"/>
        <v>1099.6099999999999</v>
      </c>
      <c r="U407" s="77">
        <f t="shared" si="13"/>
        <v>1099.6099999999999</v>
      </c>
      <c r="V407" s="78">
        <v>495.29</v>
      </c>
      <c r="W407" s="80" t="s">
        <v>233</v>
      </c>
      <c r="X407" s="81" t="s">
        <v>233</v>
      </c>
      <c r="Y407" s="4" t="s">
        <v>233</v>
      </c>
      <c r="Z407" s="81" t="s">
        <v>233</v>
      </c>
      <c r="AA407" s="64" t="s">
        <v>233</v>
      </c>
      <c r="AB407" s="81" t="s">
        <v>233</v>
      </c>
      <c r="AC407" s="4" t="s">
        <v>240</v>
      </c>
      <c r="AD407" s="64" t="s">
        <v>233</v>
      </c>
      <c r="AE407" s="64" t="s">
        <v>240</v>
      </c>
      <c r="AF407" s="208">
        <v>0</v>
      </c>
      <c r="AG407" s="4">
        <v>1</v>
      </c>
      <c r="AH407" s="64">
        <v>1</v>
      </c>
      <c r="AI407" s="4">
        <v>1</v>
      </c>
      <c r="AJ407" s="4">
        <v>1</v>
      </c>
      <c r="AK407" s="4">
        <v>0</v>
      </c>
    </row>
    <row r="408" spans="1:37" outlineLevel="1">
      <c r="A408" s="5">
        <v>401</v>
      </c>
      <c r="B408" s="64" t="s">
        <v>190</v>
      </c>
      <c r="C408" s="64" t="s">
        <v>235</v>
      </c>
      <c r="D408" s="4" t="str">
        <f>[1]Лист2!B401</f>
        <v>ИЗМАЙЛОВСКИЙ пр.</v>
      </c>
      <c r="E408" s="69">
        <f>[1]Лист2!C401</f>
        <v>25</v>
      </c>
      <c r="F408" s="197" t="str">
        <f>[1]Лист2!D401</f>
        <v>А</v>
      </c>
      <c r="G408" s="64"/>
      <c r="H408" s="199">
        <v>129401</v>
      </c>
      <c r="I408" s="64" t="s">
        <v>234</v>
      </c>
      <c r="J408" s="4"/>
      <c r="K408" s="64" t="s">
        <v>232</v>
      </c>
      <c r="L408" s="4" t="s">
        <v>232</v>
      </c>
      <c r="M408" s="72">
        <v>1917</v>
      </c>
      <c r="N408" s="64" t="s">
        <v>385</v>
      </c>
      <c r="O408" s="73">
        <v>5</v>
      </c>
      <c r="P408" s="196">
        <v>0</v>
      </c>
      <c r="Q408" s="73">
        <v>4</v>
      </c>
      <c r="R408" s="74">
        <v>33</v>
      </c>
      <c r="S408" s="76">
        <v>2221.9</v>
      </c>
      <c r="T408" s="82">
        <f t="shared" si="12"/>
        <v>1584.1200000000001</v>
      </c>
      <c r="U408" s="77">
        <f t="shared" si="13"/>
        <v>1584.1200000000001</v>
      </c>
      <c r="V408" s="78">
        <v>637.78</v>
      </c>
      <c r="W408" s="80" t="s">
        <v>233</v>
      </c>
      <c r="X408" s="81" t="s">
        <v>233</v>
      </c>
      <c r="Y408" s="4" t="s">
        <v>233</v>
      </c>
      <c r="Z408" s="81" t="s">
        <v>233</v>
      </c>
      <c r="AA408" s="64" t="s">
        <v>233</v>
      </c>
      <c r="AB408" s="81" t="s">
        <v>233</v>
      </c>
      <c r="AC408" s="4" t="s">
        <v>240</v>
      </c>
      <c r="AD408" s="64" t="s">
        <v>233</v>
      </c>
      <c r="AE408" s="64" t="s">
        <v>240</v>
      </c>
      <c r="AF408" s="208">
        <v>0</v>
      </c>
      <c r="AG408" s="4">
        <v>1</v>
      </c>
      <c r="AH408" s="64">
        <v>1</v>
      </c>
      <c r="AI408" s="4">
        <v>0</v>
      </c>
      <c r="AJ408" s="4">
        <v>0</v>
      </c>
      <c r="AK408" s="4">
        <v>0</v>
      </c>
    </row>
    <row r="409" spans="1:37" outlineLevel="1">
      <c r="A409" s="5">
        <v>402</v>
      </c>
      <c r="B409" s="64" t="s">
        <v>190</v>
      </c>
      <c r="C409" s="64" t="s">
        <v>235</v>
      </c>
      <c r="D409" s="4" t="str">
        <f>[1]Лист2!B402</f>
        <v>ИЗМАЙЛОВСКИЙ пр.</v>
      </c>
      <c r="E409" s="69">
        <f>[1]Лист2!C402</f>
        <v>3</v>
      </c>
      <c r="F409" s="197" t="str">
        <f>[1]Лист2!D402</f>
        <v>А</v>
      </c>
      <c r="G409" s="64"/>
      <c r="H409" s="199">
        <v>129402</v>
      </c>
      <c r="I409" s="64" t="s">
        <v>234</v>
      </c>
      <c r="J409" s="4"/>
      <c r="K409" s="64" t="s">
        <v>232</v>
      </c>
      <c r="L409" s="4" t="s">
        <v>232</v>
      </c>
      <c r="M409" s="72">
        <v>1860</v>
      </c>
      <c r="N409" s="64" t="s">
        <v>385</v>
      </c>
      <c r="O409" s="73">
        <v>4</v>
      </c>
      <c r="P409" s="196">
        <v>0</v>
      </c>
      <c r="Q409" s="73">
        <v>4</v>
      </c>
      <c r="R409" s="74">
        <v>57</v>
      </c>
      <c r="S409" s="76">
        <v>3179.6600000000003</v>
      </c>
      <c r="T409" s="82">
        <f t="shared" si="12"/>
        <v>2321.6600000000003</v>
      </c>
      <c r="U409" s="77">
        <f t="shared" si="13"/>
        <v>2321.6600000000003</v>
      </c>
      <c r="V409" s="78">
        <v>858</v>
      </c>
      <c r="W409" s="80" t="s">
        <v>233</v>
      </c>
      <c r="X409" s="81" t="s">
        <v>233</v>
      </c>
      <c r="Y409" s="4" t="s">
        <v>233</v>
      </c>
      <c r="Z409" s="81" t="s">
        <v>233</v>
      </c>
      <c r="AA409" s="64" t="s">
        <v>233</v>
      </c>
      <c r="AB409" s="81" t="s">
        <v>233</v>
      </c>
      <c r="AC409" s="4" t="s">
        <v>240</v>
      </c>
      <c r="AD409" s="64" t="s">
        <v>233</v>
      </c>
      <c r="AE409" s="64" t="s">
        <v>240</v>
      </c>
      <c r="AF409" s="208">
        <v>0</v>
      </c>
      <c r="AG409" s="4">
        <v>1</v>
      </c>
      <c r="AH409" s="64">
        <v>1</v>
      </c>
      <c r="AI409" s="4">
        <v>0</v>
      </c>
      <c r="AJ409" s="4">
        <v>0</v>
      </c>
      <c r="AK409" s="4">
        <v>0</v>
      </c>
    </row>
    <row r="410" spans="1:37" outlineLevel="1">
      <c r="A410" s="63">
        <v>403</v>
      </c>
      <c r="B410" s="64" t="s">
        <v>190</v>
      </c>
      <c r="C410" s="64" t="s">
        <v>235</v>
      </c>
      <c r="D410" s="4" t="str">
        <f>[1]Лист2!B403</f>
        <v>ИЗМАЙЛОВСКИЙ пр.</v>
      </c>
      <c r="E410" s="69">
        <f>[1]Лист2!C403</f>
        <v>31</v>
      </c>
      <c r="F410" s="197" t="str">
        <f>[1]Лист2!D403</f>
        <v>А</v>
      </c>
      <c r="G410" s="4"/>
      <c r="H410" s="199">
        <v>129403</v>
      </c>
      <c r="I410" s="64" t="s">
        <v>234</v>
      </c>
      <c r="J410" s="4"/>
      <c r="K410" s="64" t="s">
        <v>232</v>
      </c>
      <c r="L410" s="4" t="s">
        <v>232</v>
      </c>
      <c r="M410" s="72">
        <v>1877</v>
      </c>
      <c r="N410" s="64" t="s">
        <v>385</v>
      </c>
      <c r="O410" s="73">
        <v>4</v>
      </c>
      <c r="P410" s="196">
        <v>0</v>
      </c>
      <c r="Q410" s="73">
        <v>6</v>
      </c>
      <c r="R410" s="74">
        <v>176</v>
      </c>
      <c r="S410" s="76">
        <v>7635</v>
      </c>
      <c r="T410" s="82">
        <f t="shared" si="12"/>
        <v>5723</v>
      </c>
      <c r="U410" s="77">
        <f t="shared" si="13"/>
        <v>5723</v>
      </c>
      <c r="V410" s="78">
        <v>1912</v>
      </c>
      <c r="W410" s="80" t="s">
        <v>233</v>
      </c>
      <c r="X410" s="81" t="s">
        <v>233</v>
      </c>
      <c r="Y410" s="4" t="s">
        <v>233</v>
      </c>
      <c r="Z410" s="81" t="s">
        <v>233</v>
      </c>
      <c r="AA410" s="64" t="s">
        <v>233</v>
      </c>
      <c r="AB410" s="81" t="s">
        <v>233</v>
      </c>
      <c r="AC410" s="4" t="s">
        <v>240</v>
      </c>
      <c r="AD410" s="64" t="s">
        <v>233</v>
      </c>
      <c r="AE410" s="64" t="s">
        <v>240</v>
      </c>
      <c r="AF410" s="208">
        <v>0</v>
      </c>
      <c r="AG410" s="4">
        <v>1</v>
      </c>
      <c r="AH410" s="64">
        <v>1</v>
      </c>
      <c r="AI410" s="4">
        <v>1</v>
      </c>
      <c r="AJ410" s="4">
        <v>1</v>
      </c>
      <c r="AK410" s="4">
        <v>0</v>
      </c>
    </row>
    <row r="411" spans="1:37" outlineLevel="1">
      <c r="A411" s="63">
        <v>404</v>
      </c>
      <c r="B411" s="64" t="s">
        <v>190</v>
      </c>
      <c r="C411" s="64" t="s">
        <v>235</v>
      </c>
      <c r="D411" s="4" t="str">
        <f>[1]Лист2!B404</f>
        <v>ИЗМАЙЛОВСКИЙ пр.</v>
      </c>
      <c r="E411" s="69">
        <f>[1]Лист2!C404</f>
        <v>31</v>
      </c>
      <c r="F411" s="197" t="str">
        <f>[1]Лист2!D404</f>
        <v>Д</v>
      </c>
      <c r="G411" s="4"/>
      <c r="H411" s="199">
        <v>129404</v>
      </c>
      <c r="I411" s="64" t="s">
        <v>234</v>
      </c>
      <c r="J411" s="4"/>
      <c r="K411" s="64" t="s">
        <v>232</v>
      </c>
      <c r="L411" s="4" t="s">
        <v>232</v>
      </c>
      <c r="M411" s="72">
        <v>1877</v>
      </c>
      <c r="N411" s="64" t="s">
        <v>385</v>
      </c>
      <c r="O411" s="73">
        <v>4</v>
      </c>
      <c r="P411" s="196">
        <v>0</v>
      </c>
      <c r="Q411" s="73">
        <v>1</v>
      </c>
      <c r="R411" s="74">
        <v>34</v>
      </c>
      <c r="S411" s="76">
        <v>972.9</v>
      </c>
      <c r="T411" s="82">
        <f t="shared" si="12"/>
        <v>724.8</v>
      </c>
      <c r="U411" s="77">
        <f t="shared" si="13"/>
        <v>724.8</v>
      </c>
      <c r="V411" s="78">
        <v>248.1</v>
      </c>
      <c r="W411" s="80" t="s">
        <v>233</v>
      </c>
      <c r="X411" s="81" t="s">
        <v>233</v>
      </c>
      <c r="Y411" s="4" t="s">
        <v>233</v>
      </c>
      <c r="Z411" s="81" t="s">
        <v>233</v>
      </c>
      <c r="AA411" s="64" t="s">
        <v>233</v>
      </c>
      <c r="AB411" s="81" t="s">
        <v>233</v>
      </c>
      <c r="AC411" s="4" t="s">
        <v>240</v>
      </c>
      <c r="AD411" s="64" t="s">
        <v>233</v>
      </c>
      <c r="AE411" s="64" t="s">
        <v>240</v>
      </c>
      <c r="AF411" s="209">
        <v>0</v>
      </c>
      <c r="AG411" s="4">
        <v>1</v>
      </c>
      <c r="AH411" s="64">
        <v>1</v>
      </c>
      <c r="AI411" s="4">
        <v>0</v>
      </c>
      <c r="AJ411" s="4">
        <v>0</v>
      </c>
      <c r="AK411" s="4">
        <v>0</v>
      </c>
    </row>
    <row r="412" spans="1:37" outlineLevel="1">
      <c r="A412" s="5">
        <v>405</v>
      </c>
      <c r="B412" s="64" t="s">
        <v>190</v>
      </c>
      <c r="C412" s="64" t="s">
        <v>235</v>
      </c>
      <c r="D412" s="4" t="str">
        <f>[1]Лист2!B405</f>
        <v>ИЗМАЙЛОВСКИЙ пр.</v>
      </c>
      <c r="E412" s="69">
        <f>[1]Лист2!C405</f>
        <v>5</v>
      </c>
      <c r="F412" s="197" t="str">
        <f>[1]Лист2!D405</f>
        <v>А</v>
      </c>
      <c r="G412" s="64"/>
      <c r="H412" s="199">
        <v>129405</v>
      </c>
      <c r="I412" s="64" t="s">
        <v>234</v>
      </c>
      <c r="J412" s="4"/>
      <c r="K412" s="64" t="s">
        <v>232</v>
      </c>
      <c r="L412" s="4" t="s">
        <v>232</v>
      </c>
      <c r="M412" s="72">
        <v>1828</v>
      </c>
      <c r="N412" s="64" t="s">
        <v>385</v>
      </c>
      <c r="O412" s="73">
        <v>4</v>
      </c>
      <c r="P412" s="196">
        <v>0</v>
      </c>
      <c r="Q412" s="73">
        <v>2</v>
      </c>
      <c r="R412" s="74">
        <v>2</v>
      </c>
      <c r="S412" s="76">
        <v>3240.6000000000004</v>
      </c>
      <c r="T412" s="82">
        <f t="shared" si="12"/>
        <v>1728.6000000000004</v>
      </c>
      <c r="U412" s="77">
        <f t="shared" si="13"/>
        <v>1728.6000000000004</v>
      </c>
      <c r="V412" s="78">
        <v>1512</v>
      </c>
      <c r="W412" s="80" t="s">
        <v>233</v>
      </c>
      <c r="X412" s="81" t="s">
        <v>233</v>
      </c>
      <c r="Y412" s="4" t="s">
        <v>233</v>
      </c>
      <c r="Z412" s="81" t="s">
        <v>233</v>
      </c>
      <c r="AA412" s="64" t="s">
        <v>233</v>
      </c>
      <c r="AB412" s="81" t="s">
        <v>233</v>
      </c>
      <c r="AC412" s="4" t="s">
        <v>240</v>
      </c>
      <c r="AD412" s="64" t="s">
        <v>233</v>
      </c>
      <c r="AE412" s="64" t="s">
        <v>240</v>
      </c>
      <c r="AF412" s="208">
        <v>0</v>
      </c>
      <c r="AG412" s="4">
        <v>1</v>
      </c>
      <c r="AH412" s="64">
        <v>1</v>
      </c>
      <c r="AI412" s="4">
        <v>1</v>
      </c>
      <c r="AJ412" s="4">
        <v>1</v>
      </c>
      <c r="AK412" s="4">
        <v>0</v>
      </c>
    </row>
    <row r="413" spans="1:37" outlineLevel="1">
      <c r="A413" s="5">
        <v>406</v>
      </c>
      <c r="B413" s="64" t="s">
        <v>190</v>
      </c>
      <c r="C413" s="64" t="s">
        <v>235</v>
      </c>
      <c r="D413" s="4" t="str">
        <f>[1]Лист2!B406</f>
        <v>ИЗМАЙЛОВСКИЙ пр.</v>
      </c>
      <c r="E413" s="69">
        <f>[1]Лист2!C406</f>
        <v>7</v>
      </c>
      <c r="F413" s="197" t="str">
        <f>[1]Лист2!D406</f>
        <v>А</v>
      </c>
      <c r="G413" s="64"/>
      <c r="H413" s="199">
        <v>129406</v>
      </c>
      <c r="I413" s="64" t="s">
        <v>234</v>
      </c>
      <c r="J413" s="4"/>
      <c r="K413" s="64" t="s">
        <v>232</v>
      </c>
      <c r="L413" s="4" t="s">
        <v>232</v>
      </c>
      <c r="M413" s="72">
        <v>1897</v>
      </c>
      <c r="N413" s="64" t="s">
        <v>385</v>
      </c>
      <c r="O413" s="73">
        <v>5</v>
      </c>
      <c r="P413" s="196">
        <v>0</v>
      </c>
      <c r="Q413" s="73">
        <v>8</v>
      </c>
      <c r="R413" s="74">
        <v>187</v>
      </c>
      <c r="S413" s="76">
        <v>8960.7999999999993</v>
      </c>
      <c r="T413" s="82">
        <f t="shared" si="12"/>
        <v>5884.0999999999995</v>
      </c>
      <c r="U413" s="77">
        <f t="shared" si="13"/>
        <v>5884.0999999999995</v>
      </c>
      <c r="V413" s="78">
        <v>3076.7</v>
      </c>
      <c r="W413" s="80" t="s">
        <v>233</v>
      </c>
      <c r="X413" s="81" t="s">
        <v>233</v>
      </c>
      <c r="Y413" s="4" t="s">
        <v>233</v>
      </c>
      <c r="Z413" s="81" t="s">
        <v>233</v>
      </c>
      <c r="AA413" s="64" t="s">
        <v>233</v>
      </c>
      <c r="AB413" s="81" t="s">
        <v>233</v>
      </c>
      <c r="AC413" s="4" t="s">
        <v>240</v>
      </c>
      <c r="AD413" s="64" t="s">
        <v>233</v>
      </c>
      <c r="AE413" s="64" t="s">
        <v>240</v>
      </c>
      <c r="AF413" s="208">
        <v>4</v>
      </c>
      <c r="AG413" s="4">
        <v>2</v>
      </c>
      <c r="AH413" s="64">
        <v>1</v>
      </c>
      <c r="AI413" s="4">
        <v>1</v>
      </c>
      <c r="AJ413" s="4">
        <v>1</v>
      </c>
      <c r="AK413" s="4">
        <v>0</v>
      </c>
    </row>
    <row r="414" spans="1:37" outlineLevel="1">
      <c r="A414" s="5">
        <v>407</v>
      </c>
      <c r="B414" s="64" t="s">
        <v>190</v>
      </c>
      <c r="C414" s="64" t="s">
        <v>235</v>
      </c>
      <c r="D414" s="4" t="str">
        <f>[1]Лист2!B407</f>
        <v>ИЗМАЙЛОВСКИЙ пр.</v>
      </c>
      <c r="E414" s="69">
        <f>[1]Лист2!C407</f>
        <v>7</v>
      </c>
      <c r="F414" s="197" t="str">
        <f>[1]Лист2!D407</f>
        <v>З</v>
      </c>
      <c r="G414" s="4"/>
      <c r="H414" s="199">
        <v>129407</v>
      </c>
      <c r="I414" s="64" t="s">
        <v>234</v>
      </c>
      <c r="J414" s="4"/>
      <c r="K414" s="64" t="s">
        <v>232</v>
      </c>
      <c r="L414" s="4" t="s">
        <v>232</v>
      </c>
      <c r="M414" s="72">
        <v>1897</v>
      </c>
      <c r="N414" s="64" t="s">
        <v>385</v>
      </c>
      <c r="O414" s="73">
        <v>4</v>
      </c>
      <c r="P414" s="196">
        <v>0</v>
      </c>
      <c r="Q414" s="73">
        <v>1</v>
      </c>
      <c r="R414" s="74">
        <v>29</v>
      </c>
      <c r="S414" s="76">
        <v>1131.9000000000001</v>
      </c>
      <c r="T414" s="82">
        <f t="shared" si="12"/>
        <v>838.10000000000014</v>
      </c>
      <c r="U414" s="77">
        <f t="shared" si="13"/>
        <v>838.10000000000014</v>
      </c>
      <c r="V414" s="78">
        <v>293.8</v>
      </c>
      <c r="W414" s="80" t="s">
        <v>233</v>
      </c>
      <c r="X414" s="81" t="s">
        <v>233</v>
      </c>
      <c r="Y414" s="4" t="s">
        <v>233</v>
      </c>
      <c r="Z414" s="81" t="s">
        <v>233</v>
      </c>
      <c r="AA414" s="64" t="s">
        <v>233</v>
      </c>
      <c r="AB414" s="81" t="s">
        <v>233</v>
      </c>
      <c r="AC414" s="4" t="s">
        <v>240</v>
      </c>
      <c r="AD414" s="64" t="s">
        <v>233</v>
      </c>
      <c r="AE414" s="64" t="s">
        <v>240</v>
      </c>
      <c r="AF414" s="209">
        <v>0</v>
      </c>
      <c r="AG414" s="4">
        <v>1</v>
      </c>
      <c r="AH414" s="64">
        <v>1</v>
      </c>
      <c r="AI414" s="4">
        <v>0</v>
      </c>
      <c r="AJ414" s="4">
        <v>0</v>
      </c>
      <c r="AK414" s="4">
        <v>0</v>
      </c>
    </row>
    <row r="415" spans="1:37" outlineLevel="1">
      <c r="A415" s="5">
        <v>408</v>
      </c>
      <c r="B415" s="64" t="s">
        <v>190</v>
      </c>
      <c r="C415" s="4" t="s">
        <v>237</v>
      </c>
      <c r="D415" s="4" t="str">
        <f>[1]Лист2!B408</f>
        <v>КАЛИНКИН пер.</v>
      </c>
      <c r="E415" s="69">
        <f>[1]Лист2!C408</f>
        <v>4</v>
      </c>
      <c r="F415" s="197" t="str">
        <f>[1]Лист2!D408</f>
        <v>А</v>
      </c>
      <c r="G415" s="4"/>
      <c r="H415" s="199">
        <v>129408</v>
      </c>
      <c r="I415" s="64" t="s">
        <v>234</v>
      </c>
      <c r="J415" s="4"/>
      <c r="K415" s="64" t="s">
        <v>232</v>
      </c>
      <c r="L415" s="4" t="s">
        <v>232</v>
      </c>
      <c r="M415" s="72">
        <v>1813</v>
      </c>
      <c r="N415" s="64" t="s">
        <v>385</v>
      </c>
      <c r="O415" s="73">
        <v>3</v>
      </c>
      <c r="P415" s="196">
        <v>0</v>
      </c>
      <c r="Q415" s="73">
        <v>1</v>
      </c>
      <c r="R415" s="74">
        <v>7</v>
      </c>
      <c r="S415" s="76">
        <v>546.77</v>
      </c>
      <c r="T415" s="82">
        <f t="shared" si="12"/>
        <v>413.77</v>
      </c>
      <c r="U415" s="77">
        <f t="shared" si="13"/>
        <v>413.77</v>
      </c>
      <c r="V415" s="78">
        <v>133</v>
      </c>
      <c r="W415" s="80" t="s">
        <v>233</v>
      </c>
      <c r="X415" s="81" t="s">
        <v>233</v>
      </c>
      <c r="Y415" s="4" t="s">
        <v>233</v>
      </c>
      <c r="Z415" s="81" t="s">
        <v>233</v>
      </c>
      <c r="AA415" s="64" t="s">
        <v>233</v>
      </c>
      <c r="AB415" s="81" t="s">
        <v>233</v>
      </c>
      <c r="AC415" s="4" t="s">
        <v>240</v>
      </c>
      <c r="AD415" s="64" t="s">
        <v>233</v>
      </c>
      <c r="AE415" s="64" t="s">
        <v>240</v>
      </c>
      <c r="AF415" s="208">
        <v>0</v>
      </c>
      <c r="AG415" s="4">
        <v>1</v>
      </c>
      <c r="AH415" s="64">
        <v>1</v>
      </c>
      <c r="AI415" s="4">
        <v>0</v>
      </c>
      <c r="AJ415" s="4">
        <v>0</v>
      </c>
      <c r="AK415" s="4">
        <v>0</v>
      </c>
    </row>
    <row r="416" spans="1:37" s="65" customFormat="1" outlineLevel="1">
      <c r="A416" s="63">
        <v>409</v>
      </c>
      <c r="B416" s="64" t="s">
        <v>190</v>
      </c>
      <c r="C416" s="4" t="s">
        <v>237</v>
      </c>
      <c r="D416" s="64" t="str">
        <f>[1]Лист2!B409</f>
        <v>КАНОНЕРСКАЯ ул.</v>
      </c>
      <c r="E416" s="71" t="s">
        <v>213</v>
      </c>
      <c r="F416" s="196" t="s">
        <v>191</v>
      </c>
      <c r="G416" s="64"/>
      <c r="H416" s="67">
        <v>129409</v>
      </c>
      <c r="I416" s="64" t="s">
        <v>234</v>
      </c>
      <c r="J416" s="64"/>
      <c r="K416" s="64" t="s">
        <v>232</v>
      </c>
      <c r="L416" s="64" t="s">
        <v>232</v>
      </c>
      <c r="M416" s="72">
        <v>1953</v>
      </c>
      <c r="N416" s="64" t="s">
        <v>385</v>
      </c>
      <c r="O416" s="73">
        <v>4</v>
      </c>
      <c r="P416" s="196">
        <v>0</v>
      </c>
      <c r="Q416" s="73">
        <v>1</v>
      </c>
      <c r="R416" s="74">
        <v>21</v>
      </c>
      <c r="S416" s="75">
        <v>1212.3800000000001</v>
      </c>
      <c r="T416" s="82">
        <f t="shared" si="12"/>
        <v>821.38000000000011</v>
      </c>
      <c r="U416" s="77">
        <f t="shared" si="13"/>
        <v>821.38000000000011</v>
      </c>
      <c r="V416" s="77">
        <v>391</v>
      </c>
      <c r="W416" s="80" t="s">
        <v>233</v>
      </c>
      <c r="X416" s="81" t="s">
        <v>233</v>
      </c>
      <c r="Y416" s="64" t="s">
        <v>240</v>
      </c>
      <c r="Z416" s="81" t="s">
        <v>233</v>
      </c>
      <c r="AA416" s="64" t="s">
        <v>233</v>
      </c>
      <c r="AB416" s="81" t="s">
        <v>233</v>
      </c>
      <c r="AC416" s="64" t="s">
        <v>233</v>
      </c>
      <c r="AD416" s="64" t="s">
        <v>233</v>
      </c>
      <c r="AE416" s="64" t="s">
        <v>240</v>
      </c>
      <c r="AF416" s="208">
        <v>0</v>
      </c>
      <c r="AG416" s="4">
        <v>1</v>
      </c>
      <c r="AH416" s="64">
        <v>1</v>
      </c>
      <c r="AI416" s="64">
        <v>0</v>
      </c>
      <c r="AJ416" s="64">
        <v>1</v>
      </c>
      <c r="AK416" s="64">
        <v>0</v>
      </c>
    </row>
    <row r="417" spans="1:37" s="65" customFormat="1" outlineLevel="1">
      <c r="A417" s="63">
        <v>410</v>
      </c>
      <c r="B417" s="64" t="s">
        <v>190</v>
      </c>
      <c r="C417" s="4" t="s">
        <v>237</v>
      </c>
      <c r="D417" s="64" t="str">
        <f>[1]Лист2!B410</f>
        <v>КАНОНЕРСКАЯ ул.</v>
      </c>
      <c r="E417" s="71">
        <f>[1]Лист2!C410</f>
        <v>14</v>
      </c>
      <c r="F417" s="196" t="str">
        <f>[1]Лист2!D410</f>
        <v>А</v>
      </c>
      <c r="G417" s="64"/>
      <c r="H417" s="67">
        <v>129410</v>
      </c>
      <c r="I417" s="64" t="s">
        <v>234</v>
      </c>
      <c r="J417" s="64"/>
      <c r="K417" s="64" t="s">
        <v>232</v>
      </c>
      <c r="L417" s="64" t="s">
        <v>232</v>
      </c>
      <c r="M417" s="72">
        <v>1900</v>
      </c>
      <c r="N417" s="64" t="s">
        <v>385</v>
      </c>
      <c r="O417" s="73">
        <v>5</v>
      </c>
      <c r="P417" s="196">
        <v>0</v>
      </c>
      <c r="Q417" s="73">
        <v>2</v>
      </c>
      <c r="R417" s="74">
        <v>24</v>
      </c>
      <c r="S417" s="75">
        <v>2578.63</v>
      </c>
      <c r="T417" s="82">
        <f t="shared" si="12"/>
        <v>1854.63</v>
      </c>
      <c r="U417" s="77">
        <f t="shared" si="13"/>
        <v>1854.63</v>
      </c>
      <c r="V417" s="77">
        <v>724</v>
      </c>
      <c r="W417" s="80" t="s">
        <v>233</v>
      </c>
      <c r="X417" s="81" t="s">
        <v>233</v>
      </c>
      <c r="Y417" s="64" t="s">
        <v>233</v>
      </c>
      <c r="Z417" s="81" t="s">
        <v>233</v>
      </c>
      <c r="AA417" s="64" t="s">
        <v>233</v>
      </c>
      <c r="AB417" s="81" t="s">
        <v>233</v>
      </c>
      <c r="AC417" s="64" t="s">
        <v>240</v>
      </c>
      <c r="AD417" s="64" t="s">
        <v>233</v>
      </c>
      <c r="AE417" s="64" t="s">
        <v>240</v>
      </c>
      <c r="AF417" s="209">
        <v>0</v>
      </c>
      <c r="AG417" s="4">
        <v>2</v>
      </c>
      <c r="AH417" s="64">
        <v>2</v>
      </c>
      <c r="AI417" s="64">
        <v>1</v>
      </c>
      <c r="AJ417" s="64">
        <v>1</v>
      </c>
      <c r="AK417" s="64">
        <v>0</v>
      </c>
    </row>
    <row r="418" spans="1:37" s="65" customFormat="1" outlineLevel="1">
      <c r="A418" s="5">
        <v>411</v>
      </c>
      <c r="B418" s="64" t="s">
        <v>190</v>
      </c>
      <c r="C418" s="4" t="s">
        <v>237</v>
      </c>
      <c r="D418" s="64" t="str">
        <f>[1]Лист2!B411</f>
        <v>КАНОНЕРСКАЯ ул.</v>
      </c>
      <c r="E418" s="71">
        <f>[1]Лист2!C411</f>
        <v>17</v>
      </c>
      <c r="F418" s="196" t="str">
        <f>[1]Лист2!D411</f>
        <v>А</v>
      </c>
      <c r="G418" s="4"/>
      <c r="H418" s="67">
        <v>129411</v>
      </c>
      <c r="I418" s="64" t="s">
        <v>234</v>
      </c>
      <c r="J418" s="64"/>
      <c r="K418" s="64" t="s">
        <v>232</v>
      </c>
      <c r="L418" s="64" t="s">
        <v>232</v>
      </c>
      <c r="M418" s="72">
        <v>1793</v>
      </c>
      <c r="N418" s="64" t="s">
        <v>385</v>
      </c>
      <c r="O418" s="73">
        <v>4</v>
      </c>
      <c r="P418" s="196">
        <v>0</v>
      </c>
      <c r="Q418" s="73">
        <v>4</v>
      </c>
      <c r="R418" s="74">
        <v>20</v>
      </c>
      <c r="S418" s="75">
        <v>2609.89</v>
      </c>
      <c r="T418" s="82">
        <f t="shared" si="12"/>
        <v>2125.4899999999998</v>
      </c>
      <c r="U418" s="77">
        <f t="shared" si="13"/>
        <v>2125.4899999999998</v>
      </c>
      <c r="V418" s="77">
        <v>484.4</v>
      </c>
      <c r="W418" s="80" t="s">
        <v>233</v>
      </c>
      <c r="X418" s="81" t="s">
        <v>233</v>
      </c>
      <c r="Y418" s="64" t="s">
        <v>233</v>
      </c>
      <c r="Z418" s="81" t="s">
        <v>233</v>
      </c>
      <c r="AA418" s="64" t="s">
        <v>233</v>
      </c>
      <c r="AB418" s="81" t="s">
        <v>233</v>
      </c>
      <c r="AC418" s="64" t="s">
        <v>240</v>
      </c>
      <c r="AD418" s="64" t="s">
        <v>233</v>
      </c>
      <c r="AE418" s="64" t="s">
        <v>240</v>
      </c>
      <c r="AF418" s="208">
        <v>0</v>
      </c>
      <c r="AG418" s="4">
        <v>1</v>
      </c>
      <c r="AH418" s="64">
        <v>1</v>
      </c>
      <c r="AI418" s="64">
        <v>1</v>
      </c>
      <c r="AJ418" s="64">
        <v>1</v>
      </c>
      <c r="AK418" s="64">
        <v>0</v>
      </c>
    </row>
    <row r="419" spans="1:37" s="65" customFormat="1" outlineLevel="1">
      <c r="A419" s="5">
        <v>412</v>
      </c>
      <c r="B419" s="64" t="s">
        <v>190</v>
      </c>
      <c r="C419" s="4" t="s">
        <v>237</v>
      </c>
      <c r="D419" s="64" t="str">
        <f>[1]Лист2!B412</f>
        <v>КАНОНЕРСКАЯ ул.</v>
      </c>
      <c r="E419" s="71" t="str">
        <f>[1]Лист2!C412</f>
        <v>19-21</v>
      </c>
      <c r="F419" s="196" t="str">
        <f>[1]Лист2!D412</f>
        <v>А</v>
      </c>
      <c r="G419" s="4"/>
      <c r="H419" s="67">
        <v>129412</v>
      </c>
      <c r="I419" s="64" t="s">
        <v>234</v>
      </c>
      <c r="J419" s="64"/>
      <c r="K419" s="64" t="s">
        <v>232</v>
      </c>
      <c r="L419" s="64" t="s">
        <v>232</v>
      </c>
      <c r="M419" s="72">
        <v>1917</v>
      </c>
      <c r="N419" s="64" t="s">
        <v>385</v>
      </c>
      <c r="O419" s="73">
        <v>5</v>
      </c>
      <c r="P419" s="196">
        <v>0</v>
      </c>
      <c r="Q419" s="73">
        <v>7</v>
      </c>
      <c r="R419" s="74">
        <v>107</v>
      </c>
      <c r="S419" s="75">
        <v>6578.53</v>
      </c>
      <c r="T419" s="82">
        <f t="shared" si="12"/>
        <v>5934.4299999999994</v>
      </c>
      <c r="U419" s="77">
        <f t="shared" si="13"/>
        <v>5934.4299999999994</v>
      </c>
      <c r="V419" s="77">
        <v>644.1</v>
      </c>
      <c r="W419" s="80" t="s">
        <v>233</v>
      </c>
      <c r="X419" s="81" t="s">
        <v>233</v>
      </c>
      <c r="Y419" s="64" t="s">
        <v>233</v>
      </c>
      <c r="Z419" s="81" t="s">
        <v>233</v>
      </c>
      <c r="AA419" s="64" t="s">
        <v>233</v>
      </c>
      <c r="AB419" s="81" t="s">
        <v>233</v>
      </c>
      <c r="AC419" s="64" t="s">
        <v>240</v>
      </c>
      <c r="AD419" s="64" t="s">
        <v>233</v>
      </c>
      <c r="AE419" s="64" t="s">
        <v>240</v>
      </c>
      <c r="AF419" s="208">
        <v>3</v>
      </c>
      <c r="AG419" s="4">
        <v>2</v>
      </c>
      <c r="AH419" s="64">
        <v>1</v>
      </c>
      <c r="AI419" s="64">
        <v>0</v>
      </c>
      <c r="AJ419" s="64">
        <v>0</v>
      </c>
      <c r="AK419" s="64">
        <v>0</v>
      </c>
    </row>
    <row r="420" spans="1:37" s="65" customFormat="1" outlineLevel="1">
      <c r="A420" s="5">
        <v>413</v>
      </c>
      <c r="B420" s="64" t="s">
        <v>190</v>
      </c>
      <c r="C420" s="4" t="s">
        <v>237</v>
      </c>
      <c r="D420" s="64" t="str">
        <f>[1]Лист2!B413</f>
        <v>КАНОНЕРСКАЯ ул.</v>
      </c>
      <c r="E420" s="71">
        <f>[1]Лист2!C413</f>
        <v>27</v>
      </c>
      <c r="F420" s="196" t="str">
        <f>[1]Лист2!D413</f>
        <v>А</v>
      </c>
      <c r="G420" s="64"/>
      <c r="H420" s="67">
        <v>129413</v>
      </c>
      <c r="I420" s="64" t="s">
        <v>234</v>
      </c>
      <c r="J420" s="64"/>
      <c r="K420" s="64" t="s">
        <v>232</v>
      </c>
      <c r="L420" s="64" t="s">
        <v>232</v>
      </c>
      <c r="M420" s="72">
        <v>1897</v>
      </c>
      <c r="N420" s="64" t="s">
        <v>385</v>
      </c>
      <c r="O420" s="73">
        <v>5</v>
      </c>
      <c r="P420" s="196">
        <v>0</v>
      </c>
      <c r="Q420" s="73">
        <v>4</v>
      </c>
      <c r="R420" s="74">
        <v>37</v>
      </c>
      <c r="S420" s="75">
        <v>2201.36</v>
      </c>
      <c r="T420" s="82">
        <f t="shared" si="12"/>
        <v>1789.46</v>
      </c>
      <c r="U420" s="77">
        <f t="shared" si="13"/>
        <v>1789.46</v>
      </c>
      <c r="V420" s="77">
        <v>411.9</v>
      </c>
      <c r="W420" s="80" t="s">
        <v>233</v>
      </c>
      <c r="X420" s="81" t="s">
        <v>233</v>
      </c>
      <c r="Y420" s="64" t="s">
        <v>233</v>
      </c>
      <c r="Z420" s="81" t="s">
        <v>233</v>
      </c>
      <c r="AA420" s="64" t="s">
        <v>233</v>
      </c>
      <c r="AB420" s="81" t="s">
        <v>233</v>
      </c>
      <c r="AC420" s="64" t="s">
        <v>240</v>
      </c>
      <c r="AD420" s="64" t="s">
        <v>233</v>
      </c>
      <c r="AE420" s="64" t="s">
        <v>240</v>
      </c>
      <c r="AF420" s="208">
        <v>0</v>
      </c>
      <c r="AG420" s="4">
        <v>1</v>
      </c>
      <c r="AH420" s="64">
        <v>1</v>
      </c>
      <c r="AI420" s="64">
        <v>0</v>
      </c>
      <c r="AJ420" s="64">
        <v>0</v>
      </c>
      <c r="AK420" s="64">
        <v>0</v>
      </c>
    </row>
    <row r="421" spans="1:37" s="65" customFormat="1" outlineLevel="1">
      <c r="A421" s="5">
        <v>414</v>
      </c>
      <c r="B421" s="64" t="s">
        <v>190</v>
      </c>
      <c r="C421" s="4" t="s">
        <v>237</v>
      </c>
      <c r="D421" s="64" t="str">
        <f>[1]Лист2!B414</f>
        <v>КАНОНЕРСКАЯ ул.</v>
      </c>
      <c r="E421" s="71">
        <f>[1]Лист2!C414</f>
        <v>29</v>
      </c>
      <c r="F421" s="196" t="str">
        <f>[1]Лист2!D414</f>
        <v>А</v>
      </c>
      <c r="G421" s="64"/>
      <c r="H421" s="67">
        <v>129414</v>
      </c>
      <c r="I421" s="64" t="s">
        <v>234</v>
      </c>
      <c r="J421" s="64"/>
      <c r="K421" s="64" t="s">
        <v>232</v>
      </c>
      <c r="L421" s="64" t="s">
        <v>232</v>
      </c>
      <c r="M421" s="72">
        <v>1859</v>
      </c>
      <c r="N421" s="64" t="s">
        <v>385</v>
      </c>
      <c r="O421" s="73">
        <v>4</v>
      </c>
      <c r="P421" s="196">
        <v>0</v>
      </c>
      <c r="Q421" s="73">
        <v>9</v>
      </c>
      <c r="R421" s="74">
        <v>95</v>
      </c>
      <c r="S421" s="75">
        <v>2720.1000000000004</v>
      </c>
      <c r="T421" s="82">
        <f t="shared" si="12"/>
        <v>2503.8000000000002</v>
      </c>
      <c r="U421" s="77">
        <f t="shared" si="13"/>
        <v>2503.8000000000002</v>
      </c>
      <c r="V421" s="77">
        <v>216.3</v>
      </c>
      <c r="W421" s="80" t="s">
        <v>233</v>
      </c>
      <c r="X421" s="81" t="s">
        <v>233</v>
      </c>
      <c r="Y421" s="64" t="s">
        <v>233</v>
      </c>
      <c r="Z421" s="81" t="s">
        <v>233</v>
      </c>
      <c r="AA421" s="64" t="s">
        <v>233</v>
      </c>
      <c r="AB421" s="81" t="s">
        <v>233</v>
      </c>
      <c r="AC421" s="64" t="s">
        <v>240</v>
      </c>
      <c r="AD421" s="64" t="s">
        <v>233</v>
      </c>
      <c r="AE421" s="64" t="s">
        <v>240</v>
      </c>
      <c r="AF421" s="208">
        <v>0</v>
      </c>
      <c r="AG421" s="4">
        <v>1</v>
      </c>
      <c r="AH421" s="64">
        <v>1</v>
      </c>
      <c r="AI421" s="64">
        <v>0</v>
      </c>
      <c r="AJ421" s="64">
        <v>0</v>
      </c>
      <c r="AK421" s="64">
        <v>0</v>
      </c>
    </row>
    <row r="422" spans="1:37" s="65" customFormat="1" outlineLevel="1">
      <c r="A422" s="63">
        <v>415</v>
      </c>
      <c r="B422" s="64" t="s">
        <v>190</v>
      </c>
      <c r="C422" s="4" t="s">
        <v>237</v>
      </c>
      <c r="D422" s="64" t="str">
        <f>[1]Лист2!B415</f>
        <v>КАНОНЕРСКАЯ ул.</v>
      </c>
      <c r="E422" s="71">
        <f>[1]Лист2!C415</f>
        <v>29</v>
      </c>
      <c r="F422" s="196" t="str">
        <f>[1]Лист2!D415</f>
        <v>В</v>
      </c>
      <c r="G422" s="4"/>
      <c r="H422" s="67">
        <v>129415</v>
      </c>
      <c r="I422" s="64" t="s">
        <v>234</v>
      </c>
      <c r="J422" s="64"/>
      <c r="K422" s="64" t="s">
        <v>232</v>
      </c>
      <c r="L422" s="64" t="s">
        <v>232</v>
      </c>
      <c r="M422" s="72">
        <v>1859</v>
      </c>
      <c r="N422" s="64" t="s">
        <v>385</v>
      </c>
      <c r="O422" s="73">
        <v>4</v>
      </c>
      <c r="P422" s="196">
        <v>0</v>
      </c>
      <c r="Q422" s="73">
        <v>9</v>
      </c>
      <c r="R422" s="74">
        <v>95</v>
      </c>
      <c r="S422" s="75">
        <v>2720.1000000000004</v>
      </c>
      <c r="T422" s="82">
        <f t="shared" si="12"/>
        <v>2503.8000000000002</v>
      </c>
      <c r="U422" s="77">
        <f t="shared" si="13"/>
        <v>2503.8000000000002</v>
      </c>
      <c r="V422" s="77">
        <v>216.3</v>
      </c>
      <c r="W422" s="80" t="s">
        <v>233</v>
      </c>
      <c r="X422" s="81" t="s">
        <v>233</v>
      </c>
      <c r="Y422" s="64" t="s">
        <v>233</v>
      </c>
      <c r="Z422" s="81" t="s">
        <v>233</v>
      </c>
      <c r="AA422" s="64" t="s">
        <v>233</v>
      </c>
      <c r="AB422" s="81" t="s">
        <v>233</v>
      </c>
      <c r="AC422" s="64" t="s">
        <v>240</v>
      </c>
      <c r="AD422" s="64" t="s">
        <v>233</v>
      </c>
      <c r="AE422" s="64" t="s">
        <v>240</v>
      </c>
      <c r="AF422" s="209">
        <v>0</v>
      </c>
      <c r="AG422" s="4">
        <v>1</v>
      </c>
      <c r="AH422" s="64">
        <v>1</v>
      </c>
      <c r="AI422" s="64">
        <v>0</v>
      </c>
      <c r="AJ422" s="64">
        <v>0</v>
      </c>
      <c r="AK422" s="64">
        <v>0</v>
      </c>
    </row>
    <row r="423" spans="1:37" s="65" customFormat="1" outlineLevel="1">
      <c r="A423" s="63">
        <v>416</v>
      </c>
      <c r="B423" s="64" t="s">
        <v>190</v>
      </c>
      <c r="C423" s="4" t="s">
        <v>237</v>
      </c>
      <c r="D423" s="64" t="str">
        <f>[1]Лист2!B416</f>
        <v>КАНОНЕРСКАЯ ул.</v>
      </c>
      <c r="E423" s="71">
        <f>[1]Лист2!C416</f>
        <v>3</v>
      </c>
      <c r="F423" s="196" t="str">
        <f>[1]Лист2!D416</f>
        <v>А</v>
      </c>
      <c r="G423" s="4"/>
      <c r="H423" s="67">
        <v>129416</v>
      </c>
      <c r="I423" s="64" t="s">
        <v>234</v>
      </c>
      <c r="J423" s="64"/>
      <c r="K423" s="64" t="s">
        <v>232</v>
      </c>
      <c r="L423" s="64" t="s">
        <v>232</v>
      </c>
      <c r="M423" s="72">
        <v>1911</v>
      </c>
      <c r="N423" s="64" t="s">
        <v>385</v>
      </c>
      <c r="O423" s="73">
        <v>6</v>
      </c>
      <c r="P423" s="196">
        <v>0</v>
      </c>
      <c r="Q423" s="73">
        <v>3</v>
      </c>
      <c r="R423" s="74">
        <v>66</v>
      </c>
      <c r="S423" s="75">
        <v>3078.69</v>
      </c>
      <c r="T423" s="82">
        <f t="shared" si="12"/>
        <v>2905.69</v>
      </c>
      <c r="U423" s="77">
        <f t="shared" si="13"/>
        <v>2905.69</v>
      </c>
      <c r="V423" s="77">
        <v>173</v>
      </c>
      <c r="W423" s="80" t="s">
        <v>233</v>
      </c>
      <c r="X423" s="81" t="s">
        <v>233</v>
      </c>
      <c r="Y423" s="64" t="s">
        <v>233</v>
      </c>
      <c r="Z423" s="81" t="s">
        <v>233</v>
      </c>
      <c r="AA423" s="64" t="s">
        <v>233</v>
      </c>
      <c r="AB423" s="81" t="s">
        <v>233</v>
      </c>
      <c r="AC423" s="64" t="s">
        <v>240</v>
      </c>
      <c r="AD423" s="64" t="s">
        <v>233</v>
      </c>
      <c r="AE423" s="64" t="s">
        <v>240</v>
      </c>
      <c r="AF423" s="208">
        <v>1</v>
      </c>
      <c r="AG423" s="4">
        <v>1</v>
      </c>
      <c r="AH423" s="64">
        <v>1</v>
      </c>
      <c r="AI423" s="64">
        <v>1</v>
      </c>
      <c r="AJ423" s="64">
        <v>1</v>
      </c>
      <c r="AK423" s="64">
        <v>0</v>
      </c>
    </row>
    <row r="424" spans="1:37" s="65" customFormat="1" outlineLevel="1">
      <c r="A424" s="5">
        <v>417</v>
      </c>
      <c r="B424" s="64" t="s">
        <v>190</v>
      </c>
      <c r="C424" s="4" t="s">
        <v>237</v>
      </c>
      <c r="D424" s="64" t="str">
        <f>[1]Лист2!B417</f>
        <v>КАНОНЕРСКАЯ ул.</v>
      </c>
      <c r="E424" s="71">
        <f>[1]Лист2!C417</f>
        <v>31</v>
      </c>
      <c r="F424" s="196" t="str">
        <f>[1]Лист2!D417</f>
        <v>А</v>
      </c>
      <c r="G424" s="64"/>
      <c r="H424" s="67">
        <v>129417</v>
      </c>
      <c r="I424" s="64" t="s">
        <v>234</v>
      </c>
      <c r="J424" s="64"/>
      <c r="K424" s="64" t="s">
        <v>232</v>
      </c>
      <c r="L424" s="64" t="s">
        <v>232</v>
      </c>
      <c r="M424" s="72">
        <v>1777</v>
      </c>
      <c r="N424" s="64" t="s">
        <v>385</v>
      </c>
      <c r="O424" s="73">
        <v>4</v>
      </c>
      <c r="P424" s="196">
        <v>0</v>
      </c>
      <c r="Q424" s="73">
        <v>2</v>
      </c>
      <c r="R424" s="74">
        <v>16</v>
      </c>
      <c r="S424" s="75">
        <v>1206.25</v>
      </c>
      <c r="T424" s="82">
        <f t="shared" si="12"/>
        <v>954.25</v>
      </c>
      <c r="U424" s="77">
        <f t="shared" si="13"/>
        <v>954.25</v>
      </c>
      <c r="V424" s="77">
        <v>252</v>
      </c>
      <c r="W424" s="80" t="s">
        <v>233</v>
      </c>
      <c r="X424" s="81" t="s">
        <v>233</v>
      </c>
      <c r="Y424" s="64" t="s">
        <v>240</v>
      </c>
      <c r="Z424" s="81" t="s">
        <v>233</v>
      </c>
      <c r="AA424" s="64" t="s">
        <v>233</v>
      </c>
      <c r="AB424" s="81" t="s">
        <v>233</v>
      </c>
      <c r="AC424" s="64" t="s">
        <v>233</v>
      </c>
      <c r="AD424" s="64" t="s">
        <v>233</v>
      </c>
      <c r="AE424" s="64" t="s">
        <v>240</v>
      </c>
      <c r="AF424" s="208">
        <v>0</v>
      </c>
      <c r="AG424" s="4">
        <v>1</v>
      </c>
      <c r="AH424" s="64">
        <v>1</v>
      </c>
      <c r="AI424" s="64">
        <v>0</v>
      </c>
      <c r="AJ424" s="64">
        <v>1</v>
      </c>
      <c r="AK424" s="64">
        <v>0</v>
      </c>
    </row>
    <row r="425" spans="1:37" s="65" customFormat="1" outlineLevel="1">
      <c r="A425" s="5">
        <v>418</v>
      </c>
      <c r="B425" s="64" t="s">
        <v>190</v>
      </c>
      <c r="C425" s="4" t="s">
        <v>237</v>
      </c>
      <c r="D425" s="64" t="str">
        <f>[1]Лист2!B418</f>
        <v>КАНОНЕРСКАЯ ул.</v>
      </c>
      <c r="E425" s="71">
        <f>[1]Лист2!C418</f>
        <v>4</v>
      </c>
      <c r="F425" s="196" t="str">
        <f>[1]Лист2!D418</f>
        <v>А</v>
      </c>
      <c r="G425" s="64"/>
      <c r="H425" s="67">
        <v>129418</v>
      </c>
      <c r="I425" s="64" t="s">
        <v>234</v>
      </c>
      <c r="J425" s="64"/>
      <c r="K425" s="64" t="s">
        <v>232</v>
      </c>
      <c r="L425" s="64" t="s">
        <v>232</v>
      </c>
      <c r="M425" s="72">
        <v>1884</v>
      </c>
      <c r="N425" s="64" t="s">
        <v>385</v>
      </c>
      <c r="O425" s="73">
        <v>3</v>
      </c>
      <c r="P425" s="196">
        <v>0</v>
      </c>
      <c r="Q425" s="73">
        <v>3</v>
      </c>
      <c r="R425" s="74">
        <v>31</v>
      </c>
      <c r="S425" s="75">
        <v>885</v>
      </c>
      <c r="T425" s="82">
        <f t="shared" si="12"/>
        <v>561</v>
      </c>
      <c r="U425" s="77">
        <f t="shared" si="13"/>
        <v>561</v>
      </c>
      <c r="V425" s="77">
        <v>324</v>
      </c>
      <c r="W425" s="80" t="s">
        <v>233</v>
      </c>
      <c r="X425" s="81" t="s">
        <v>233</v>
      </c>
      <c r="Y425" s="64" t="s">
        <v>233</v>
      </c>
      <c r="Z425" s="81" t="s">
        <v>233</v>
      </c>
      <c r="AA425" s="64" t="s">
        <v>233</v>
      </c>
      <c r="AB425" s="81" t="s">
        <v>233</v>
      </c>
      <c r="AC425" s="64" t="s">
        <v>240</v>
      </c>
      <c r="AD425" s="64" t="s">
        <v>233</v>
      </c>
      <c r="AE425" s="64" t="s">
        <v>240</v>
      </c>
      <c r="AF425" s="208">
        <v>0</v>
      </c>
      <c r="AG425" s="4">
        <v>1</v>
      </c>
      <c r="AH425" s="64">
        <v>1</v>
      </c>
      <c r="AI425" s="64">
        <v>0</v>
      </c>
      <c r="AJ425" s="64">
        <v>0</v>
      </c>
      <c r="AK425" s="64">
        <v>0</v>
      </c>
    </row>
    <row r="426" spans="1:37" s="65" customFormat="1" outlineLevel="1">
      <c r="A426" s="5">
        <v>419</v>
      </c>
      <c r="B426" s="64" t="s">
        <v>190</v>
      </c>
      <c r="C426" s="4" t="s">
        <v>237</v>
      </c>
      <c r="D426" s="64" t="str">
        <f>[1]Лист2!B419</f>
        <v>КАНОНЕРСКАЯ ул.</v>
      </c>
      <c r="E426" s="71">
        <f>[1]Лист2!C419</f>
        <v>4</v>
      </c>
      <c r="F426" s="196" t="str">
        <f>[1]Лист2!D419</f>
        <v>Б</v>
      </c>
      <c r="G426" s="4"/>
      <c r="H426" s="67">
        <v>129419</v>
      </c>
      <c r="I426" s="64" t="s">
        <v>234</v>
      </c>
      <c r="J426" s="64"/>
      <c r="K426" s="64" t="s">
        <v>232</v>
      </c>
      <c r="L426" s="64" t="s">
        <v>232</v>
      </c>
      <c r="M426" s="72">
        <v>1884</v>
      </c>
      <c r="N426" s="64" t="s">
        <v>385</v>
      </c>
      <c r="O426" s="73">
        <v>3</v>
      </c>
      <c r="P426" s="196">
        <v>0</v>
      </c>
      <c r="Q426" s="73">
        <v>1</v>
      </c>
      <c r="R426" s="74">
        <v>12</v>
      </c>
      <c r="S426" s="75">
        <v>276</v>
      </c>
      <c r="T426" s="82">
        <f t="shared" si="12"/>
        <v>174</v>
      </c>
      <c r="U426" s="77">
        <f t="shared" si="13"/>
        <v>174</v>
      </c>
      <c r="V426" s="77">
        <v>102</v>
      </c>
      <c r="W426" s="80" t="s">
        <v>233</v>
      </c>
      <c r="X426" s="81" t="s">
        <v>233</v>
      </c>
      <c r="Y426" s="64" t="s">
        <v>233</v>
      </c>
      <c r="Z426" s="81" t="s">
        <v>233</v>
      </c>
      <c r="AA426" s="64" t="s">
        <v>233</v>
      </c>
      <c r="AB426" s="81" t="s">
        <v>233</v>
      </c>
      <c r="AC426" s="64" t="s">
        <v>240</v>
      </c>
      <c r="AD426" s="64" t="s">
        <v>233</v>
      </c>
      <c r="AE426" s="64" t="s">
        <v>240</v>
      </c>
      <c r="AF426" s="209">
        <v>0</v>
      </c>
      <c r="AG426" s="4">
        <v>1</v>
      </c>
      <c r="AH426" s="64">
        <v>1</v>
      </c>
      <c r="AI426" s="64">
        <v>0</v>
      </c>
      <c r="AJ426" s="64">
        <v>0</v>
      </c>
      <c r="AK426" s="64">
        <v>0</v>
      </c>
    </row>
    <row r="427" spans="1:37" s="65" customFormat="1" outlineLevel="1">
      <c r="A427" s="5">
        <v>420</v>
      </c>
      <c r="B427" s="64" t="s">
        <v>190</v>
      </c>
      <c r="C427" s="4" t="s">
        <v>237</v>
      </c>
      <c r="D427" s="64" t="str">
        <f>[1]Лист2!B420</f>
        <v>КАНОНЕРСКАЯ ул.</v>
      </c>
      <c r="E427" s="71">
        <f>[1]Лист2!C420</f>
        <v>5</v>
      </c>
      <c r="F427" s="196" t="str">
        <f>[1]Лист2!D420</f>
        <v>А</v>
      </c>
      <c r="G427" s="4"/>
      <c r="H427" s="67">
        <v>129420</v>
      </c>
      <c r="I427" s="64" t="s">
        <v>234</v>
      </c>
      <c r="J427" s="64"/>
      <c r="K427" s="64" t="s">
        <v>232</v>
      </c>
      <c r="L427" s="64" t="s">
        <v>232</v>
      </c>
      <c r="M427" s="72">
        <v>1860</v>
      </c>
      <c r="N427" s="64" t="s">
        <v>385</v>
      </c>
      <c r="O427" s="73">
        <v>5</v>
      </c>
      <c r="P427" s="196">
        <v>0</v>
      </c>
      <c r="Q427" s="73">
        <v>3</v>
      </c>
      <c r="R427" s="74">
        <v>83</v>
      </c>
      <c r="S427" s="75">
        <v>4468.8999999999996</v>
      </c>
      <c r="T427" s="82">
        <f t="shared" si="12"/>
        <v>3986.9999999999995</v>
      </c>
      <c r="U427" s="77">
        <f t="shared" si="13"/>
        <v>3986.9999999999995</v>
      </c>
      <c r="V427" s="77">
        <v>481.9</v>
      </c>
      <c r="W427" s="80" t="s">
        <v>233</v>
      </c>
      <c r="X427" s="81" t="s">
        <v>233</v>
      </c>
      <c r="Y427" s="64" t="s">
        <v>233</v>
      </c>
      <c r="Z427" s="81" t="s">
        <v>233</v>
      </c>
      <c r="AA427" s="64" t="s">
        <v>233</v>
      </c>
      <c r="AB427" s="81" t="s">
        <v>233</v>
      </c>
      <c r="AC427" s="64" t="s">
        <v>240</v>
      </c>
      <c r="AD427" s="64" t="s">
        <v>233</v>
      </c>
      <c r="AE427" s="64" t="s">
        <v>240</v>
      </c>
      <c r="AF427" s="208">
        <v>1</v>
      </c>
      <c r="AG427" s="4">
        <v>2</v>
      </c>
      <c r="AH427" s="64">
        <v>1</v>
      </c>
      <c r="AI427" s="64">
        <v>0</v>
      </c>
      <c r="AJ427" s="64">
        <v>0</v>
      </c>
      <c r="AK427" s="64">
        <v>0</v>
      </c>
    </row>
    <row r="428" spans="1:37" s="65" customFormat="1" outlineLevel="1">
      <c r="A428" s="63">
        <v>421</v>
      </c>
      <c r="B428" s="64" t="s">
        <v>190</v>
      </c>
      <c r="C428" s="4" t="s">
        <v>237</v>
      </c>
      <c r="D428" s="64" t="str">
        <f>[1]Лист2!B421</f>
        <v>КАНОНЕРСКАЯ ул.</v>
      </c>
      <c r="E428" s="71" t="s">
        <v>214</v>
      </c>
      <c r="F428" s="196" t="str">
        <f>[1]Лист2!D421</f>
        <v>А</v>
      </c>
      <c r="G428" s="64"/>
      <c r="H428" s="67">
        <v>129421</v>
      </c>
      <c r="I428" s="64" t="s">
        <v>234</v>
      </c>
      <c r="J428" s="64"/>
      <c r="K428" s="64" t="s">
        <v>232</v>
      </c>
      <c r="L428" s="64" t="s">
        <v>232</v>
      </c>
      <c r="M428" s="72">
        <v>1884</v>
      </c>
      <c r="N428" s="64" t="s">
        <v>385</v>
      </c>
      <c r="O428" s="73">
        <v>4</v>
      </c>
      <c r="P428" s="196">
        <v>0</v>
      </c>
      <c r="Q428" s="73">
        <v>3</v>
      </c>
      <c r="R428" s="74">
        <v>61</v>
      </c>
      <c r="S428" s="75">
        <v>2392</v>
      </c>
      <c r="T428" s="82">
        <f t="shared" si="12"/>
        <v>1544</v>
      </c>
      <c r="U428" s="77">
        <f t="shared" si="13"/>
        <v>1544</v>
      </c>
      <c r="V428" s="77">
        <v>848</v>
      </c>
      <c r="W428" s="80" t="s">
        <v>233</v>
      </c>
      <c r="X428" s="81" t="s">
        <v>233</v>
      </c>
      <c r="Y428" s="64" t="s">
        <v>233</v>
      </c>
      <c r="Z428" s="81" t="s">
        <v>233</v>
      </c>
      <c r="AA428" s="64" t="s">
        <v>233</v>
      </c>
      <c r="AB428" s="81" t="s">
        <v>233</v>
      </c>
      <c r="AC428" s="64" t="s">
        <v>240</v>
      </c>
      <c r="AD428" s="64" t="s">
        <v>233</v>
      </c>
      <c r="AE428" s="64" t="s">
        <v>240</v>
      </c>
      <c r="AF428" s="208">
        <v>0</v>
      </c>
      <c r="AG428" s="4">
        <v>1</v>
      </c>
      <c r="AH428" s="64">
        <v>1</v>
      </c>
      <c r="AI428" s="64">
        <v>0</v>
      </c>
      <c r="AJ428" s="64">
        <v>0</v>
      </c>
      <c r="AK428" s="64">
        <v>0</v>
      </c>
    </row>
    <row r="429" spans="1:37" s="65" customFormat="1" outlineLevel="1">
      <c r="A429" s="63">
        <v>422</v>
      </c>
      <c r="B429" s="64" t="s">
        <v>190</v>
      </c>
      <c r="C429" s="4" t="s">
        <v>237</v>
      </c>
      <c r="D429" s="64" t="str">
        <f>[1]Лист2!B422</f>
        <v>КАНОНЕРСКАЯ ул.</v>
      </c>
      <c r="E429" s="71" t="s">
        <v>214</v>
      </c>
      <c r="F429" s="196" t="str">
        <f>[1]Лист2!D422</f>
        <v>Б</v>
      </c>
      <c r="G429" s="64"/>
      <c r="H429" s="67">
        <v>129422</v>
      </c>
      <c r="I429" s="64" t="s">
        <v>234</v>
      </c>
      <c r="J429" s="64"/>
      <c r="K429" s="64" t="s">
        <v>232</v>
      </c>
      <c r="L429" s="64" t="s">
        <v>232</v>
      </c>
      <c r="M429" s="72">
        <v>1884</v>
      </c>
      <c r="N429" s="64" t="s">
        <v>385</v>
      </c>
      <c r="O429" s="73">
        <v>3</v>
      </c>
      <c r="P429" s="196">
        <v>0</v>
      </c>
      <c r="Q429" s="73">
        <v>1</v>
      </c>
      <c r="R429" s="74">
        <v>14</v>
      </c>
      <c r="S429" s="75">
        <v>365</v>
      </c>
      <c r="T429" s="82">
        <f t="shared" si="12"/>
        <v>231</v>
      </c>
      <c r="U429" s="77">
        <f t="shared" si="13"/>
        <v>231</v>
      </c>
      <c r="V429" s="77">
        <v>134</v>
      </c>
      <c r="W429" s="80" t="s">
        <v>233</v>
      </c>
      <c r="X429" s="81" t="s">
        <v>233</v>
      </c>
      <c r="Y429" s="64" t="s">
        <v>233</v>
      </c>
      <c r="Z429" s="81" t="s">
        <v>233</v>
      </c>
      <c r="AA429" s="64" t="s">
        <v>233</v>
      </c>
      <c r="AB429" s="81" t="s">
        <v>233</v>
      </c>
      <c r="AC429" s="64" t="s">
        <v>240</v>
      </c>
      <c r="AD429" s="64" t="s">
        <v>233</v>
      </c>
      <c r="AE429" s="64" t="s">
        <v>240</v>
      </c>
      <c r="AF429" s="209">
        <v>0</v>
      </c>
      <c r="AG429" s="4">
        <v>1</v>
      </c>
      <c r="AH429" s="64">
        <v>1</v>
      </c>
      <c r="AI429" s="64">
        <v>0</v>
      </c>
      <c r="AJ429" s="64">
        <v>0</v>
      </c>
      <c r="AK429" s="64">
        <v>0</v>
      </c>
    </row>
    <row r="430" spans="1:37" s="65" customFormat="1" outlineLevel="1">
      <c r="A430" s="5">
        <v>423</v>
      </c>
      <c r="B430" s="64" t="s">
        <v>190</v>
      </c>
      <c r="C430" s="4" t="s">
        <v>237</v>
      </c>
      <c r="D430" s="64" t="str">
        <f>[1]Лист2!B423</f>
        <v>КЛИМОВ пер.</v>
      </c>
      <c r="E430" s="71" t="s">
        <v>215</v>
      </c>
      <c r="F430" s="196" t="str">
        <f>[1]Лист2!D423</f>
        <v>А</v>
      </c>
      <c r="G430" s="4"/>
      <c r="H430" s="67">
        <v>129423</v>
      </c>
      <c r="I430" s="64" t="s">
        <v>234</v>
      </c>
      <c r="J430" s="64"/>
      <c r="K430" s="64" t="s">
        <v>232</v>
      </c>
      <c r="L430" s="64" t="s">
        <v>232</v>
      </c>
      <c r="M430" s="72">
        <v>1798</v>
      </c>
      <c r="N430" s="64" t="s">
        <v>385</v>
      </c>
      <c r="O430" s="73">
        <v>3</v>
      </c>
      <c r="P430" s="196">
        <v>0</v>
      </c>
      <c r="Q430" s="73">
        <v>2</v>
      </c>
      <c r="R430" s="74">
        <v>23</v>
      </c>
      <c r="S430" s="75">
        <v>1481.1399999999999</v>
      </c>
      <c r="T430" s="82">
        <f t="shared" si="12"/>
        <v>1481.1399999999999</v>
      </c>
      <c r="U430" s="77">
        <f t="shared" si="13"/>
        <v>1481.1399999999999</v>
      </c>
      <c r="V430" s="77">
        <v>0</v>
      </c>
      <c r="W430" s="80" t="s">
        <v>233</v>
      </c>
      <c r="X430" s="81" t="s">
        <v>233</v>
      </c>
      <c r="Y430" s="64" t="s">
        <v>240</v>
      </c>
      <c r="Z430" s="81" t="s">
        <v>233</v>
      </c>
      <c r="AA430" s="64" t="s">
        <v>233</v>
      </c>
      <c r="AB430" s="81" t="s">
        <v>233</v>
      </c>
      <c r="AC430" s="64" t="s">
        <v>233</v>
      </c>
      <c r="AD430" s="64" t="s">
        <v>233</v>
      </c>
      <c r="AE430" s="64" t="s">
        <v>240</v>
      </c>
      <c r="AF430" s="208">
        <v>0</v>
      </c>
      <c r="AG430" s="4">
        <v>1</v>
      </c>
      <c r="AH430" s="64">
        <v>1</v>
      </c>
      <c r="AI430" s="64">
        <v>0</v>
      </c>
      <c r="AJ430" s="64">
        <v>0</v>
      </c>
      <c r="AK430" s="64">
        <v>0</v>
      </c>
    </row>
    <row r="431" spans="1:37" outlineLevel="1">
      <c r="A431" s="5">
        <v>424</v>
      </c>
      <c r="B431" s="64" t="s">
        <v>190</v>
      </c>
      <c r="C431" s="4" t="s">
        <v>237</v>
      </c>
      <c r="D431" s="4" t="str">
        <f>[1]Лист2!B424</f>
        <v>КЛИМОВ пер.</v>
      </c>
      <c r="E431" s="69">
        <f>[1]Лист2!C424</f>
        <v>3</v>
      </c>
      <c r="F431" s="197" t="str">
        <f>[1]Лист2!D424</f>
        <v>А</v>
      </c>
      <c r="G431" s="4"/>
      <c r="H431" s="199">
        <v>129424</v>
      </c>
      <c r="I431" s="64" t="s">
        <v>234</v>
      </c>
      <c r="J431" s="4"/>
      <c r="K431" s="64" t="s">
        <v>232</v>
      </c>
      <c r="L431" s="4" t="s">
        <v>232</v>
      </c>
      <c r="M431" s="72">
        <v>1965</v>
      </c>
      <c r="N431" s="64" t="s">
        <v>385</v>
      </c>
      <c r="O431" s="73">
        <v>5</v>
      </c>
      <c r="P431" s="196">
        <v>0</v>
      </c>
      <c r="Q431" s="73">
        <v>2</v>
      </c>
      <c r="R431" s="74">
        <v>27</v>
      </c>
      <c r="S431" s="76">
        <v>1425.8000000000002</v>
      </c>
      <c r="T431" s="82">
        <f t="shared" si="12"/>
        <v>964.80000000000018</v>
      </c>
      <c r="U431" s="77">
        <f t="shared" si="13"/>
        <v>964.80000000000018</v>
      </c>
      <c r="V431" s="78">
        <v>461</v>
      </c>
      <c r="W431" s="80" t="s">
        <v>233</v>
      </c>
      <c r="X431" s="81" t="s">
        <v>233</v>
      </c>
      <c r="Y431" s="4" t="s">
        <v>233</v>
      </c>
      <c r="Z431" s="81" t="s">
        <v>233</v>
      </c>
      <c r="AA431" s="64" t="s">
        <v>233</v>
      </c>
      <c r="AB431" s="81" t="s">
        <v>233</v>
      </c>
      <c r="AC431" s="4" t="s">
        <v>240</v>
      </c>
      <c r="AD431" s="64" t="s">
        <v>233</v>
      </c>
      <c r="AE431" s="64" t="s">
        <v>240</v>
      </c>
      <c r="AF431" s="208">
        <v>0</v>
      </c>
      <c r="AG431" s="4">
        <v>1</v>
      </c>
      <c r="AH431" s="64">
        <v>1</v>
      </c>
      <c r="AI431" s="4">
        <v>1</v>
      </c>
      <c r="AJ431" s="4">
        <v>1</v>
      </c>
      <c r="AK431" s="4">
        <v>0</v>
      </c>
    </row>
    <row r="432" spans="1:37" outlineLevel="1">
      <c r="A432" s="5">
        <v>425</v>
      </c>
      <c r="B432" s="64" t="s">
        <v>190</v>
      </c>
      <c r="C432" s="4" t="s">
        <v>237</v>
      </c>
      <c r="D432" s="4" t="str">
        <f>[1]Лист2!B425</f>
        <v>КЛИМОВ пер.</v>
      </c>
      <c r="E432" s="69">
        <f>[1]Лист2!C425</f>
        <v>4</v>
      </c>
      <c r="F432" s="197" t="str">
        <f>[1]Лист2!D425</f>
        <v>А</v>
      </c>
      <c r="G432" s="64"/>
      <c r="H432" s="199">
        <v>129425</v>
      </c>
      <c r="I432" s="64" t="s">
        <v>234</v>
      </c>
      <c r="J432" s="4"/>
      <c r="K432" s="64" t="s">
        <v>232</v>
      </c>
      <c r="L432" s="4" t="s">
        <v>232</v>
      </c>
      <c r="M432" s="72">
        <v>1862</v>
      </c>
      <c r="N432" s="64" t="s">
        <v>385</v>
      </c>
      <c r="O432" s="73">
        <v>4</v>
      </c>
      <c r="P432" s="196">
        <v>0</v>
      </c>
      <c r="Q432" s="73">
        <v>1</v>
      </c>
      <c r="R432" s="74">
        <v>16</v>
      </c>
      <c r="S432" s="76">
        <v>882.22</v>
      </c>
      <c r="T432" s="82">
        <f t="shared" si="12"/>
        <v>738.22</v>
      </c>
      <c r="U432" s="77">
        <f t="shared" si="13"/>
        <v>738.22</v>
      </c>
      <c r="V432" s="78">
        <v>144</v>
      </c>
      <c r="W432" s="80" t="s">
        <v>233</v>
      </c>
      <c r="X432" s="81" t="s">
        <v>233</v>
      </c>
      <c r="Y432" s="4" t="s">
        <v>233</v>
      </c>
      <c r="Z432" s="81" t="s">
        <v>233</v>
      </c>
      <c r="AA432" s="64" t="s">
        <v>233</v>
      </c>
      <c r="AB432" s="81" t="s">
        <v>233</v>
      </c>
      <c r="AC432" s="4" t="s">
        <v>240</v>
      </c>
      <c r="AD432" s="64" t="s">
        <v>233</v>
      </c>
      <c r="AE432" s="64" t="s">
        <v>240</v>
      </c>
      <c r="AF432" s="208">
        <v>0</v>
      </c>
      <c r="AG432" s="4">
        <v>1</v>
      </c>
      <c r="AH432" s="64">
        <v>1</v>
      </c>
      <c r="AI432" s="4">
        <v>1</v>
      </c>
      <c r="AJ432" s="4">
        <v>1</v>
      </c>
      <c r="AK432" s="4">
        <v>0</v>
      </c>
    </row>
    <row r="433" spans="1:37" outlineLevel="1">
      <c r="A433" s="5">
        <v>426</v>
      </c>
      <c r="B433" s="64" t="s">
        <v>190</v>
      </c>
      <c r="C433" s="4" t="s">
        <v>237</v>
      </c>
      <c r="D433" s="4" t="str">
        <f>[1]Лист2!B426</f>
        <v>КЛИМОВ пер.</v>
      </c>
      <c r="E433" s="69">
        <f>[1]Лист2!C426</f>
        <v>5</v>
      </c>
      <c r="F433" s="197" t="str">
        <f>[1]Лист2!D426</f>
        <v>А</v>
      </c>
      <c r="G433" s="64"/>
      <c r="H433" s="199">
        <v>129426</v>
      </c>
      <c r="I433" s="64" t="s">
        <v>234</v>
      </c>
      <c r="J433" s="4"/>
      <c r="K433" s="64" t="s">
        <v>232</v>
      </c>
      <c r="L433" s="4" t="s">
        <v>232</v>
      </c>
      <c r="M433" s="72">
        <v>1823</v>
      </c>
      <c r="N433" s="64" t="s">
        <v>385</v>
      </c>
      <c r="O433" s="73">
        <v>3</v>
      </c>
      <c r="P433" s="196">
        <v>0</v>
      </c>
      <c r="Q433" s="73">
        <v>7</v>
      </c>
      <c r="R433" s="74">
        <v>59</v>
      </c>
      <c r="S433" s="76">
        <v>2484.5</v>
      </c>
      <c r="T433" s="82">
        <f t="shared" si="12"/>
        <v>2372.6999999999998</v>
      </c>
      <c r="U433" s="77">
        <f t="shared" si="13"/>
        <v>2372.6999999999998</v>
      </c>
      <c r="V433" s="78">
        <v>111.8</v>
      </c>
      <c r="W433" s="80" t="s">
        <v>233</v>
      </c>
      <c r="X433" s="81" t="s">
        <v>233</v>
      </c>
      <c r="Y433" s="4" t="s">
        <v>233</v>
      </c>
      <c r="Z433" s="81" t="s">
        <v>233</v>
      </c>
      <c r="AA433" s="64" t="s">
        <v>233</v>
      </c>
      <c r="AB433" s="81" t="s">
        <v>233</v>
      </c>
      <c r="AC433" s="4" t="s">
        <v>240</v>
      </c>
      <c r="AD433" s="64" t="s">
        <v>233</v>
      </c>
      <c r="AE433" s="64" t="s">
        <v>240</v>
      </c>
      <c r="AF433" s="208">
        <v>0</v>
      </c>
      <c r="AG433" s="4">
        <v>1</v>
      </c>
      <c r="AH433" s="64">
        <v>1</v>
      </c>
      <c r="AI433" s="4">
        <v>0</v>
      </c>
      <c r="AJ433" s="4">
        <v>0</v>
      </c>
      <c r="AK433" s="4">
        <v>0</v>
      </c>
    </row>
    <row r="434" spans="1:37" outlineLevel="1">
      <c r="A434" s="63">
        <v>427</v>
      </c>
      <c r="B434" s="64" t="s">
        <v>190</v>
      </c>
      <c r="C434" s="4" t="s">
        <v>237</v>
      </c>
      <c r="D434" s="4" t="str">
        <f>[1]Лист2!B427</f>
        <v>КЛИМОВ пер.</v>
      </c>
      <c r="E434" s="69">
        <f>[1]Лист2!C427</f>
        <v>7</v>
      </c>
      <c r="F434" s="197" t="str">
        <f>[1]Лист2!D427</f>
        <v>А</v>
      </c>
      <c r="G434" s="4"/>
      <c r="H434" s="199">
        <v>129427</v>
      </c>
      <c r="I434" s="64" t="s">
        <v>234</v>
      </c>
      <c r="J434" s="4"/>
      <c r="K434" s="64" t="s">
        <v>232</v>
      </c>
      <c r="L434" s="4" t="s">
        <v>232</v>
      </c>
      <c r="M434" s="72">
        <v>1840</v>
      </c>
      <c r="N434" s="64" t="s">
        <v>385</v>
      </c>
      <c r="O434" s="73">
        <v>4</v>
      </c>
      <c r="P434" s="196">
        <v>0</v>
      </c>
      <c r="Q434" s="73">
        <v>2</v>
      </c>
      <c r="R434" s="74">
        <v>27</v>
      </c>
      <c r="S434" s="76">
        <v>971.2</v>
      </c>
      <c r="T434" s="82">
        <f t="shared" si="12"/>
        <v>767.90000000000009</v>
      </c>
      <c r="U434" s="77">
        <f t="shared" si="13"/>
        <v>767.90000000000009</v>
      </c>
      <c r="V434" s="78">
        <v>203.3</v>
      </c>
      <c r="W434" s="80" t="s">
        <v>233</v>
      </c>
      <c r="X434" s="81" t="s">
        <v>233</v>
      </c>
      <c r="Y434" s="4" t="s">
        <v>233</v>
      </c>
      <c r="Z434" s="81" t="s">
        <v>233</v>
      </c>
      <c r="AA434" s="64" t="s">
        <v>233</v>
      </c>
      <c r="AB434" s="81" t="s">
        <v>233</v>
      </c>
      <c r="AC434" s="4" t="s">
        <v>240</v>
      </c>
      <c r="AD434" s="64" t="s">
        <v>233</v>
      </c>
      <c r="AE434" s="64" t="s">
        <v>240</v>
      </c>
      <c r="AF434" s="208">
        <v>0</v>
      </c>
      <c r="AG434" s="4">
        <v>1</v>
      </c>
      <c r="AH434" s="64">
        <v>1</v>
      </c>
      <c r="AI434" s="4">
        <v>1</v>
      </c>
      <c r="AJ434" s="4">
        <v>1</v>
      </c>
      <c r="AK434" s="4">
        <v>0</v>
      </c>
    </row>
    <row r="435" spans="1:37" outlineLevel="1">
      <c r="A435" s="63">
        <v>428</v>
      </c>
      <c r="B435" s="64" t="s">
        <v>190</v>
      </c>
      <c r="C435" s="4" t="s">
        <v>237</v>
      </c>
      <c r="D435" s="4" t="str">
        <f>[1]Лист2!B428</f>
        <v>КЛИМОВ пер.</v>
      </c>
      <c r="E435" s="69">
        <f>[1]Лист2!C428</f>
        <v>7</v>
      </c>
      <c r="F435" s="197" t="str">
        <f>[1]Лист2!D428</f>
        <v>Б</v>
      </c>
      <c r="G435" s="4"/>
      <c r="H435" s="199">
        <v>129428</v>
      </c>
      <c r="I435" s="64" t="s">
        <v>234</v>
      </c>
      <c r="J435" s="4"/>
      <c r="K435" s="64" t="s">
        <v>232</v>
      </c>
      <c r="L435" s="4" t="s">
        <v>232</v>
      </c>
      <c r="M435" s="72">
        <v>1840</v>
      </c>
      <c r="N435" s="64" t="s">
        <v>385</v>
      </c>
      <c r="O435" s="73">
        <v>4</v>
      </c>
      <c r="P435" s="196">
        <v>0</v>
      </c>
      <c r="Q435" s="73">
        <v>1</v>
      </c>
      <c r="R435" s="74">
        <v>12</v>
      </c>
      <c r="S435" s="76">
        <v>301.7</v>
      </c>
      <c r="T435" s="82">
        <f t="shared" si="12"/>
        <v>301.7</v>
      </c>
      <c r="U435" s="77">
        <f t="shared" si="13"/>
        <v>301.7</v>
      </c>
      <c r="V435" s="78">
        <v>0</v>
      </c>
      <c r="W435" s="80" t="s">
        <v>233</v>
      </c>
      <c r="X435" s="81" t="s">
        <v>233</v>
      </c>
      <c r="Y435" s="4" t="s">
        <v>233</v>
      </c>
      <c r="Z435" s="81" t="s">
        <v>233</v>
      </c>
      <c r="AA435" s="64" t="s">
        <v>233</v>
      </c>
      <c r="AB435" s="81" t="s">
        <v>233</v>
      </c>
      <c r="AC435" s="4" t="s">
        <v>240</v>
      </c>
      <c r="AD435" s="64" t="s">
        <v>233</v>
      </c>
      <c r="AE435" s="64" t="s">
        <v>240</v>
      </c>
      <c r="AF435" s="209">
        <v>0</v>
      </c>
      <c r="AG435" s="4">
        <v>1</v>
      </c>
      <c r="AH435" s="64">
        <v>1</v>
      </c>
      <c r="AI435" s="4">
        <v>0</v>
      </c>
      <c r="AJ435" s="4">
        <v>0</v>
      </c>
      <c r="AK435" s="4">
        <v>0</v>
      </c>
    </row>
    <row r="436" spans="1:37" outlineLevel="1">
      <c r="A436" s="5">
        <v>429</v>
      </c>
      <c r="B436" s="64" t="s">
        <v>190</v>
      </c>
      <c r="C436" s="4" t="s">
        <v>237</v>
      </c>
      <c r="D436" s="4" t="str">
        <f>[1]Лист2!B429</f>
        <v>КЛИМОВ пер.</v>
      </c>
      <c r="E436" s="69">
        <f>[1]Лист2!C429</f>
        <v>8</v>
      </c>
      <c r="F436" s="197" t="str">
        <f>[1]Лист2!D429</f>
        <v>А</v>
      </c>
      <c r="G436" s="64"/>
      <c r="H436" s="199">
        <v>129429</v>
      </c>
      <c r="I436" s="64" t="s">
        <v>234</v>
      </c>
      <c r="J436" s="4"/>
      <c r="K436" s="64" t="s">
        <v>232</v>
      </c>
      <c r="L436" s="4" t="s">
        <v>232</v>
      </c>
      <c r="M436" s="72">
        <v>1832</v>
      </c>
      <c r="N436" s="64" t="s">
        <v>385</v>
      </c>
      <c r="O436" s="73">
        <v>3</v>
      </c>
      <c r="P436" s="196">
        <v>0</v>
      </c>
      <c r="Q436" s="73">
        <v>5</v>
      </c>
      <c r="R436" s="74">
        <v>42</v>
      </c>
      <c r="S436" s="76">
        <v>2257.7700000000004</v>
      </c>
      <c r="T436" s="82">
        <f t="shared" si="12"/>
        <v>1916.4700000000005</v>
      </c>
      <c r="U436" s="77">
        <f t="shared" si="13"/>
        <v>1916.4700000000005</v>
      </c>
      <c r="V436" s="78">
        <v>341.3</v>
      </c>
      <c r="W436" s="80" t="s">
        <v>233</v>
      </c>
      <c r="X436" s="81" t="s">
        <v>233</v>
      </c>
      <c r="Y436" s="4" t="s">
        <v>233</v>
      </c>
      <c r="Z436" s="81" t="s">
        <v>233</v>
      </c>
      <c r="AA436" s="64" t="s">
        <v>233</v>
      </c>
      <c r="AB436" s="81" t="s">
        <v>233</v>
      </c>
      <c r="AC436" s="4" t="s">
        <v>240</v>
      </c>
      <c r="AD436" s="64" t="s">
        <v>233</v>
      </c>
      <c r="AE436" s="64" t="s">
        <v>240</v>
      </c>
      <c r="AF436" s="208">
        <v>0</v>
      </c>
      <c r="AG436" s="4">
        <v>1</v>
      </c>
      <c r="AH436" s="64">
        <v>1</v>
      </c>
      <c r="AI436" s="4">
        <v>1</v>
      </c>
      <c r="AJ436" s="4">
        <v>1</v>
      </c>
      <c r="AK436" s="4">
        <v>0</v>
      </c>
    </row>
    <row r="437" spans="1:37" outlineLevel="1">
      <c r="A437" s="5">
        <v>430</v>
      </c>
      <c r="B437" s="64" t="s">
        <v>190</v>
      </c>
      <c r="C437" s="4" t="s">
        <v>237</v>
      </c>
      <c r="D437" s="4" t="str">
        <f>[1]Лист2!B430</f>
        <v>КЛИМОВ пер.</v>
      </c>
      <c r="E437" s="69">
        <f>[1]Лист2!C430</f>
        <v>9</v>
      </c>
      <c r="F437" s="197" t="str">
        <f>[1]Лист2!D430</f>
        <v>А</v>
      </c>
      <c r="G437" s="64"/>
      <c r="H437" s="199">
        <v>129430</v>
      </c>
      <c r="I437" s="64" t="s">
        <v>234</v>
      </c>
      <c r="J437" s="4"/>
      <c r="K437" s="64" t="s">
        <v>232</v>
      </c>
      <c r="L437" s="4" t="s">
        <v>232</v>
      </c>
      <c r="M437" s="72">
        <v>1912</v>
      </c>
      <c r="N437" s="64" t="s">
        <v>385</v>
      </c>
      <c r="O437" s="73">
        <v>6</v>
      </c>
      <c r="P437" s="196">
        <v>0</v>
      </c>
      <c r="Q437" s="73">
        <v>8</v>
      </c>
      <c r="R437" s="74">
        <v>140</v>
      </c>
      <c r="S437" s="76">
        <v>6471.7099999999991</v>
      </c>
      <c r="T437" s="82">
        <f t="shared" si="12"/>
        <v>5772.8099999999995</v>
      </c>
      <c r="U437" s="77">
        <f t="shared" si="13"/>
        <v>5772.8099999999995</v>
      </c>
      <c r="V437" s="78">
        <v>698.9</v>
      </c>
      <c r="W437" s="80" t="s">
        <v>233</v>
      </c>
      <c r="X437" s="81" t="s">
        <v>233</v>
      </c>
      <c r="Y437" s="4" t="s">
        <v>233</v>
      </c>
      <c r="Z437" s="81" t="s">
        <v>233</v>
      </c>
      <c r="AA437" s="64" t="s">
        <v>233</v>
      </c>
      <c r="AB437" s="81" t="s">
        <v>233</v>
      </c>
      <c r="AC437" s="4" t="s">
        <v>240</v>
      </c>
      <c r="AD437" s="64" t="s">
        <v>233</v>
      </c>
      <c r="AE437" s="64" t="s">
        <v>240</v>
      </c>
      <c r="AF437" s="208">
        <v>3</v>
      </c>
      <c r="AG437" s="4">
        <v>2</v>
      </c>
      <c r="AH437" s="64">
        <v>1</v>
      </c>
      <c r="AI437" s="4">
        <v>1</v>
      </c>
      <c r="AJ437" s="4">
        <v>1</v>
      </c>
      <c r="AK437" s="4">
        <v>0</v>
      </c>
    </row>
    <row r="438" spans="1:37" outlineLevel="1">
      <c r="A438" s="5">
        <v>431</v>
      </c>
      <c r="B438" s="64" t="s">
        <v>190</v>
      </c>
      <c r="C438" s="4" t="s">
        <v>236</v>
      </c>
      <c r="D438" s="4" t="str">
        <f>[1]Лист2!B431</f>
        <v>КОННОГВАРДЕЙСКИЙ бульвар</v>
      </c>
      <c r="E438" s="69">
        <f>[1]Лист2!C431</f>
        <v>11</v>
      </c>
      <c r="F438" s="197" t="str">
        <f>[1]Лист2!D431</f>
        <v>А</v>
      </c>
      <c r="G438" s="4"/>
      <c r="H438" s="199">
        <v>129431</v>
      </c>
      <c r="I438" s="64" t="s">
        <v>234</v>
      </c>
      <c r="J438" s="4"/>
      <c r="K438" s="64" t="s">
        <v>232</v>
      </c>
      <c r="L438" s="4" t="s">
        <v>232</v>
      </c>
      <c r="M438" s="72">
        <v>1828</v>
      </c>
      <c r="N438" s="64" t="s">
        <v>385</v>
      </c>
      <c r="O438" s="73">
        <v>4</v>
      </c>
      <c r="P438" s="196">
        <v>0</v>
      </c>
      <c r="Q438" s="73">
        <v>4</v>
      </c>
      <c r="R438" s="74">
        <v>48</v>
      </c>
      <c r="S438" s="76">
        <v>3060.74</v>
      </c>
      <c r="T438" s="82">
        <f t="shared" si="12"/>
        <v>2267.8399999999997</v>
      </c>
      <c r="U438" s="77">
        <f t="shared" si="13"/>
        <v>2267.8399999999997</v>
      </c>
      <c r="V438" s="78">
        <v>792.9</v>
      </c>
      <c r="W438" s="80" t="s">
        <v>233</v>
      </c>
      <c r="X438" s="81" t="s">
        <v>233</v>
      </c>
      <c r="Y438" s="4" t="s">
        <v>233</v>
      </c>
      <c r="Z438" s="81" t="s">
        <v>233</v>
      </c>
      <c r="AA438" s="64" t="s">
        <v>233</v>
      </c>
      <c r="AB438" s="81" t="s">
        <v>233</v>
      </c>
      <c r="AC438" s="4" t="s">
        <v>240</v>
      </c>
      <c r="AD438" s="64" t="s">
        <v>233</v>
      </c>
      <c r="AE438" s="64" t="s">
        <v>240</v>
      </c>
      <c r="AF438" s="208">
        <v>0</v>
      </c>
      <c r="AG438" s="4">
        <v>1</v>
      </c>
      <c r="AH438" s="64">
        <v>1</v>
      </c>
      <c r="AI438" s="4">
        <v>0</v>
      </c>
      <c r="AJ438" s="4">
        <v>0</v>
      </c>
      <c r="AK438" s="4">
        <v>0</v>
      </c>
    </row>
    <row r="439" spans="1:37" outlineLevel="1">
      <c r="A439" s="5">
        <v>432</v>
      </c>
      <c r="B439" s="64" t="s">
        <v>190</v>
      </c>
      <c r="C439" s="4" t="s">
        <v>236</v>
      </c>
      <c r="D439" s="4" t="str">
        <f>[1]Лист2!B432</f>
        <v>КОННОГВАРДЕЙСКИЙ бульвар</v>
      </c>
      <c r="E439" s="69">
        <f>[1]Лист2!C432</f>
        <v>9</v>
      </c>
      <c r="F439" s="197" t="str">
        <f>[1]Лист2!D432</f>
        <v>А</v>
      </c>
      <c r="G439" s="4"/>
      <c r="H439" s="199">
        <v>129432</v>
      </c>
      <c r="I439" s="64" t="s">
        <v>234</v>
      </c>
      <c r="J439" s="4"/>
      <c r="K439" s="64" t="s">
        <v>232</v>
      </c>
      <c r="L439" s="4" t="s">
        <v>232</v>
      </c>
      <c r="M439" s="72">
        <v>1846</v>
      </c>
      <c r="N439" s="64" t="s">
        <v>385</v>
      </c>
      <c r="O439" s="73">
        <v>5</v>
      </c>
      <c r="P439" s="196">
        <v>0</v>
      </c>
      <c r="Q439" s="73">
        <v>4</v>
      </c>
      <c r="R439" s="74">
        <v>90</v>
      </c>
      <c r="S439" s="76">
        <v>2923.6</v>
      </c>
      <c r="T439" s="82">
        <f t="shared" si="12"/>
        <v>2392.6</v>
      </c>
      <c r="U439" s="77">
        <f t="shared" si="13"/>
        <v>2392.6</v>
      </c>
      <c r="V439" s="78">
        <v>531</v>
      </c>
      <c r="W439" s="80" t="s">
        <v>233</v>
      </c>
      <c r="X439" s="81" t="s">
        <v>233</v>
      </c>
      <c r="Y439" s="4" t="s">
        <v>233</v>
      </c>
      <c r="Z439" s="81" t="s">
        <v>233</v>
      </c>
      <c r="AA439" s="64" t="s">
        <v>233</v>
      </c>
      <c r="AB439" s="81" t="s">
        <v>233</v>
      </c>
      <c r="AC439" s="4" t="s">
        <v>240</v>
      </c>
      <c r="AD439" s="64" t="s">
        <v>233</v>
      </c>
      <c r="AE439" s="64" t="s">
        <v>240</v>
      </c>
      <c r="AF439" s="208">
        <v>0</v>
      </c>
      <c r="AG439" s="4">
        <v>1</v>
      </c>
      <c r="AH439" s="64">
        <v>1</v>
      </c>
      <c r="AI439" s="4">
        <v>1</v>
      </c>
      <c r="AJ439" s="4">
        <v>1</v>
      </c>
      <c r="AK439" s="4">
        <v>0</v>
      </c>
    </row>
    <row r="440" spans="1:37" outlineLevel="1">
      <c r="A440" s="63">
        <v>433</v>
      </c>
      <c r="B440" s="64" t="s">
        <v>190</v>
      </c>
      <c r="C440" s="4" t="s">
        <v>236</v>
      </c>
      <c r="D440" s="4" t="str">
        <f>[1]Лист2!B433</f>
        <v>КОННОГВАРДЕЙСКИЙ бульвар</v>
      </c>
      <c r="E440" s="69">
        <f>[1]Лист2!C433</f>
        <v>9</v>
      </c>
      <c r="F440" s="197" t="str">
        <f>[1]Лист2!D433</f>
        <v>Б</v>
      </c>
      <c r="G440" s="64"/>
      <c r="H440" s="199">
        <v>129433</v>
      </c>
      <c r="I440" s="64" t="s">
        <v>234</v>
      </c>
      <c r="J440" s="4"/>
      <c r="K440" s="64" t="s">
        <v>232</v>
      </c>
      <c r="L440" s="4" t="s">
        <v>232</v>
      </c>
      <c r="M440" s="72">
        <v>1846</v>
      </c>
      <c r="N440" s="64" t="s">
        <v>385</v>
      </c>
      <c r="O440" s="73">
        <v>5</v>
      </c>
      <c r="P440" s="196">
        <v>0</v>
      </c>
      <c r="Q440" s="73">
        <v>1</v>
      </c>
      <c r="R440" s="74">
        <v>30</v>
      </c>
      <c r="S440" s="76">
        <v>1215.5</v>
      </c>
      <c r="T440" s="82">
        <f t="shared" si="12"/>
        <v>1030.5999999999999</v>
      </c>
      <c r="U440" s="77">
        <f t="shared" si="13"/>
        <v>1030.5999999999999</v>
      </c>
      <c r="V440" s="78">
        <v>184.9</v>
      </c>
      <c r="W440" s="80" t="s">
        <v>233</v>
      </c>
      <c r="X440" s="81" t="s">
        <v>233</v>
      </c>
      <c r="Y440" s="4" t="s">
        <v>233</v>
      </c>
      <c r="Z440" s="81" t="s">
        <v>233</v>
      </c>
      <c r="AA440" s="64" t="s">
        <v>233</v>
      </c>
      <c r="AB440" s="81" t="s">
        <v>233</v>
      </c>
      <c r="AC440" s="4" t="s">
        <v>240</v>
      </c>
      <c r="AD440" s="64" t="s">
        <v>233</v>
      </c>
      <c r="AE440" s="64" t="s">
        <v>240</v>
      </c>
      <c r="AF440" s="209">
        <v>0</v>
      </c>
      <c r="AG440" s="4">
        <v>1</v>
      </c>
      <c r="AH440" s="64">
        <v>1</v>
      </c>
      <c r="AI440" s="4">
        <v>0</v>
      </c>
      <c r="AJ440" s="4">
        <v>0</v>
      </c>
      <c r="AK440" s="4">
        <v>0</v>
      </c>
    </row>
    <row r="441" spans="1:37" outlineLevel="1">
      <c r="A441" s="63">
        <v>434</v>
      </c>
      <c r="B441" s="64" t="s">
        <v>190</v>
      </c>
      <c r="C441" s="4" t="s">
        <v>236</v>
      </c>
      <c r="D441" s="4" t="str">
        <f>[1]Лист2!B434</f>
        <v>КОННОГВАРДЕЙСКИЙ пер.</v>
      </c>
      <c r="E441" s="69">
        <f>[1]Лист2!C434</f>
        <v>6</v>
      </c>
      <c r="F441" s="197" t="str">
        <f>[1]Лист2!D434</f>
        <v>А</v>
      </c>
      <c r="G441" s="64"/>
      <c r="H441" s="199">
        <v>129434</v>
      </c>
      <c r="I441" s="64" t="s">
        <v>234</v>
      </c>
      <c r="J441" s="4"/>
      <c r="K441" s="64" t="s">
        <v>232</v>
      </c>
      <c r="L441" s="4" t="s">
        <v>232</v>
      </c>
      <c r="M441" s="72">
        <v>1841</v>
      </c>
      <c r="N441" s="64" t="s">
        <v>385</v>
      </c>
      <c r="O441" s="73">
        <v>3</v>
      </c>
      <c r="P441" s="196">
        <v>0</v>
      </c>
      <c r="Q441" s="73">
        <v>2</v>
      </c>
      <c r="R441" s="74">
        <v>31</v>
      </c>
      <c r="S441" s="76">
        <v>986.09999999999991</v>
      </c>
      <c r="T441" s="82">
        <f t="shared" si="12"/>
        <v>780.3</v>
      </c>
      <c r="U441" s="77">
        <f t="shared" si="13"/>
        <v>780.3</v>
      </c>
      <c r="V441" s="78">
        <v>205.8</v>
      </c>
      <c r="W441" s="80" t="s">
        <v>233</v>
      </c>
      <c r="X441" s="81" t="s">
        <v>233</v>
      </c>
      <c r="Y441" s="4" t="s">
        <v>233</v>
      </c>
      <c r="Z441" s="81" t="s">
        <v>233</v>
      </c>
      <c r="AA441" s="64" t="s">
        <v>233</v>
      </c>
      <c r="AB441" s="81" t="s">
        <v>233</v>
      </c>
      <c r="AC441" s="4" t="s">
        <v>240</v>
      </c>
      <c r="AD441" s="64" t="s">
        <v>233</v>
      </c>
      <c r="AE441" s="64" t="s">
        <v>240</v>
      </c>
      <c r="AF441" s="209">
        <v>0</v>
      </c>
      <c r="AG441" s="4">
        <v>1</v>
      </c>
      <c r="AH441" s="64">
        <v>1</v>
      </c>
      <c r="AI441" s="4">
        <v>1</v>
      </c>
      <c r="AJ441" s="4">
        <v>1</v>
      </c>
      <c r="AK441" s="4">
        <v>0</v>
      </c>
    </row>
    <row r="442" spans="1:37" outlineLevel="1">
      <c r="A442" s="5">
        <v>435</v>
      </c>
      <c r="B442" s="64" t="s">
        <v>190</v>
      </c>
      <c r="C442" s="64" t="s">
        <v>235</v>
      </c>
      <c r="D442" s="4" t="str">
        <f>[1]Лист2!B435</f>
        <v>КРАСУЦКОГО ул.</v>
      </c>
      <c r="E442" s="69">
        <f>[1]Лист2!C435</f>
        <v>2</v>
      </c>
      <c r="F442" s="197" t="str">
        <f>[1]Лист2!D435</f>
        <v>А</v>
      </c>
      <c r="G442" s="4"/>
      <c r="H442" s="199">
        <v>129435</v>
      </c>
      <c r="I442" s="64" t="s">
        <v>234</v>
      </c>
      <c r="J442" s="4"/>
      <c r="K442" s="64" t="s">
        <v>232</v>
      </c>
      <c r="L442" s="4" t="s">
        <v>232</v>
      </c>
      <c r="M442" s="72">
        <v>1960</v>
      </c>
      <c r="N442" s="64" t="s">
        <v>385</v>
      </c>
      <c r="O442" s="73">
        <v>5</v>
      </c>
      <c r="P442" s="196">
        <v>0</v>
      </c>
      <c r="Q442" s="73">
        <v>5</v>
      </c>
      <c r="R442" s="74">
        <v>182</v>
      </c>
      <c r="S442" s="76">
        <v>4969</v>
      </c>
      <c r="T442" s="82">
        <f t="shared" si="12"/>
        <v>4099.3</v>
      </c>
      <c r="U442" s="77">
        <f t="shared" si="13"/>
        <v>4099.3</v>
      </c>
      <c r="V442" s="78">
        <v>869.7</v>
      </c>
      <c r="W442" s="80" t="s">
        <v>233</v>
      </c>
      <c r="X442" s="81" t="s">
        <v>233</v>
      </c>
      <c r="Y442" s="4" t="s">
        <v>240</v>
      </c>
      <c r="Z442" s="81" t="s">
        <v>233</v>
      </c>
      <c r="AA442" s="64" t="s">
        <v>233</v>
      </c>
      <c r="AB442" s="81" t="s">
        <v>233</v>
      </c>
      <c r="AC442" s="4" t="s">
        <v>233</v>
      </c>
      <c r="AD442" s="64" t="s">
        <v>233</v>
      </c>
      <c r="AE442" s="64" t="s">
        <v>240</v>
      </c>
      <c r="AF442" s="208">
        <v>0</v>
      </c>
      <c r="AG442" s="4">
        <v>1</v>
      </c>
      <c r="AH442" s="64">
        <v>1</v>
      </c>
      <c r="AI442" s="4">
        <v>0</v>
      </c>
      <c r="AJ442" s="4">
        <v>1</v>
      </c>
      <c r="AK442" s="4">
        <v>0</v>
      </c>
    </row>
    <row r="443" spans="1:37" outlineLevel="1">
      <c r="A443" s="5">
        <v>436</v>
      </c>
      <c r="B443" s="64" t="s">
        <v>190</v>
      </c>
      <c r="C443" s="4" t="s">
        <v>237</v>
      </c>
      <c r="D443" s="4" t="str">
        <f>[1]Лист2!B436</f>
        <v>КРЮКОВА наб.канала</v>
      </c>
      <c r="E443" s="69">
        <f>[1]Лист2!C436</f>
        <v>15</v>
      </c>
      <c r="F443" s="197" t="str">
        <f>[1]Лист2!D436</f>
        <v>А</v>
      </c>
      <c r="G443" s="4"/>
      <c r="H443" s="199">
        <v>129436</v>
      </c>
      <c r="I443" s="64" t="s">
        <v>234</v>
      </c>
      <c r="J443" s="4"/>
      <c r="K443" s="64" t="s">
        <v>232</v>
      </c>
      <c r="L443" s="4" t="s">
        <v>232</v>
      </c>
      <c r="M443" s="72">
        <v>1917</v>
      </c>
      <c r="N443" s="64" t="s">
        <v>385</v>
      </c>
      <c r="O443" s="73">
        <v>3</v>
      </c>
      <c r="P443" s="196">
        <v>0</v>
      </c>
      <c r="Q443" s="73">
        <v>2</v>
      </c>
      <c r="R443" s="74">
        <v>20</v>
      </c>
      <c r="S443" s="76">
        <v>5273.5</v>
      </c>
      <c r="T443" s="82">
        <f t="shared" si="12"/>
        <v>897.5</v>
      </c>
      <c r="U443" s="77">
        <f t="shared" si="13"/>
        <v>897.5</v>
      </c>
      <c r="V443" s="78">
        <v>4376</v>
      </c>
      <c r="W443" s="80" t="s">
        <v>233</v>
      </c>
      <c r="X443" s="81" t="s">
        <v>233</v>
      </c>
      <c r="Y443" s="4" t="s">
        <v>240</v>
      </c>
      <c r="Z443" s="81" t="s">
        <v>233</v>
      </c>
      <c r="AA443" s="64" t="s">
        <v>233</v>
      </c>
      <c r="AB443" s="81" t="s">
        <v>233</v>
      </c>
      <c r="AC443" s="4" t="s">
        <v>233</v>
      </c>
      <c r="AD443" s="64" t="s">
        <v>233</v>
      </c>
      <c r="AE443" s="64" t="s">
        <v>240</v>
      </c>
      <c r="AF443" s="208">
        <v>0</v>
      </c>
      <c r="AG443" s="4">
        <v>1</v>
      </c>
      <c r="AH443" s="64">
        <v>1</v>
      </c>
      <c r="AI443" s="4">
        <v>0</v>
      </c>
      <c r="AJ443" s="4">
        <v>1</v>
      </c>
      <c r="AK443" s="4">
        <v>0</v>
      </c>
    </row>
    <row r="444" spans="1:37" outlineLevel="1">
      <c r="A444" s="5">
        <v>437</v>
      </c>
      <c r="B444" s="64" t="s">
        <v>190</v>
      </c>
      <c r="C444" s="4" t="s">
        <v>237</v>
      </c>
      <c r="D444" s="4" t="str">
        <f>[1]Лист2!B437</f>
        <v>КРЮКОВА наб.канала</v>
      </c>
      <c r="E444" s="69">
        <f>[1]Лист2!C437</f>
        <v>17</v>
      </c>
      <c r="F444" s="197" t="str">
        <f>[1]Лист2!D437</f>
        <v>А</v>
      </c>
      <c r="G444" s="64"/>
      <c r="H444" s="199">
        <v>129437</v>
      </c>
      <c r="I444" s="64" t="s">
        <v>234</v>
      </c>
      <c r="J444" s="4"/>
      <c r="K444" s="64" t="s">
        <v>232</v>
      </c>
      <c r="L444" s="4" t="s">
        <v>232</v>
      </c>
      <c r="M444" s="72">
        <v>1917</v>
      </c>
      <c r="N444" s="64" t="s">
        <v>385</v>
      </c>
      <c r="O444" s="73">
        <v>4</v>
      </c>
      <c r="P444" s="196">
        <v>0</v>
      </c>
      <c r="Q444" s="73">
        <v>2</v>
      </c>
      <c r="R444" s="74">
        <v>30</v>
      </c>
      <c r="S444" s="76">
        <v>1394.98</v>
      </c>
      <c r="T444" s="82">
        <f t="shared" si="12"/>
        <v>1085.98</v>
      </c>
      <c r="U444" s="77">
        <f t="shared" si="13"/>
        <v>1085.98</v>
      </c>
      <c r="V444" s="78">
        <v>309</v>
      </c>
      <c r="W444" s="80" t="s">
        <v>233</v>
      </c>
      <c r="X444" s="81" t="s">
        <v>233</v>
      </c>
      <c r="Y444" s="4" t="s">
        <v>240</v>
      </c>
      <c r="Z444" s="81" t="s">
        <v>233</v>
      </c>
      <c r="AA444" s="64" t="s">
        <v>233</v>
      </c>
      <c r="AB444" s="81" t="s">
        <v>233</v>
      </c>
      <c r="AC444" s="4" t="s">
        <v>233</v>
      </c>
      <c r="AD444" s="64" t="s">
        <v>233</v>
      </c>
      <c r="AE444" s="64" t="s">
        <v>240</v>
      </c>
      <c r="AF444" s="208">
        <v>0</v>
      </c>
      <c r="AG444" s="4">
        <v>1</v>
      </c>
      <c r="AH444" s="64">
        <v>1</v>
      </c>
      <c r="AI444" s="4">
        <v>0</v>
      </c>
      <c r="AJ444" s="4">
        <v>0</v>
      </c>
      <c r="AK444" s="4">
        <v>0</v>
      </c>
    </row>
    <row r="445" spans="1:37" outlineLevel="1">
      <c r="A445" s="5">
        <v>438</v>
      </c>
      <c r="B445" s="64" t="s">
        <v>190</v>
      </c>
      <c r="C445" s="4" t="s">
        <v>237</v>
      </c>
      <c r="D445" s="4" t="str">
        <f>[1]Лист2!B438</f>
        <v>КРЮКОВА наб.канала</v>
      </c>
      <c r="E445" s="69">
        <f>[1]Лист2!C438</f>
        <v>19</v>
      </c>
      <c r="F445" s="197" t="str">
        <f>[1]Лист2!D438</f>
        <v>А</v>
      </c>
      <c r="G445" s="64"/>
      <c r="H445" s="199">
        <v>129438</v>
      </c>
      <c r="I445" s="64" t="s">
        <v>234</v>
      </c>
      <c r="J445" s="4"/>
      <c r="K445" s="64" t="s">
        <v>232</v>
      </c>
      <c r="L445" s="4" t="s">
        <v>232</v>
      </c>
      <c r="M445" s="72">
        <v>1836</v>
      </c>
      <c r="N445" s="64" t="s">
        <v>385</v>
      </c>
      <c r="O445" s="73">
        <v>4</v>
      </c>
      <c r="P445" s="196">
        <v>0</v>
      </c>
      <c r="Q445" s="73">
        <v>5</v>
      </c>
      <c r="R445" s="74">
        <v>87</v>
      </c>
      <c r="S445" s="76">
        <v>3219.7000000000003</v>
      </c>
      <c r="T445" s="82">
        <f t="shared" si="12"/>
        <v>2515.9300000000003</v>
      </c>
      <c r="U445" s="77">
        <f t="shared" si="13"/>
        <v>2515.9300000000003</v>
      </c>
      <c r="V445" s="78">
        <v>703.77</v>
      </c>
      <c r="W445" s="80" t="s">
        <v>233</v>
      </c>
      <c r="X445" s="81" t="s">
        <v>233</v>
      </c>
      <c r="Y445" s="4" t="s">
        <v>240</v>
      </c>
      <c r="Z445" s="81" t="s">
        <v>233</v>
      </c>
      <c r="AA445" s="64" t="s">
        <v>233</v>
      </c>
      <c r="AB445" s="81" t="s">
        <v>233</v>
      </c>
      <c r="AC445" s="4" t="s">
        <v>233</v>
      </c>
      <c r="AD445" s="64" t="s">
        <v>233</v>
      </c>
      <c r="AE445" s="64" t="s">
        <v>240</v>
      </c>
      <c r="AF445" s="208">
        <v>0</v>
      </c>
      <c r="AG445" s="4">
        <v>1</v>
      </c>
      <c r="AH445" s="64">
        <v>1</v>
      </c>
      <c r="AI445" s="4">
        <v>0</v>
      </c>
      <c r="AJ445" s="4">
        <v>0</v>
      </c>
      <c r="AK445" s="4">
        <v>0</v>
      </c>
    </row>
    <row r="446" spans="1:37" outlineLevel="1">
      <c r="A446" s="63">
        <v>439</v>
      </c>
      <c r="B446" s="64" t="s">
        <v>190</v>
      </c>
      <c r="C446" s="4" t="s">
        <v>237</v>
      </c>
      <c r="D446" s="4" t="str">
        <f>[1]Лист2!B439</f>
        <v>КРЮКОВА наб.канала</v>
      </c>
      <c r="E446" s="69">
        <f>[1]Лист2!C439</f>
        <v>23</v>
      </c>
      <c r="F446" s="197" t="str">
        <f>[1]Лист2!D439</f>
        <v>А</v>
      </c>
      <c r="G446" s="4"/>
      <c r="H446" s="199">
        <v>129439</v>
      </c>
      <c r="I446" s="64" t="s">
        <v>234</v>
      </c>
      <c r="J446" s="4"/>
      <c r="K446" s="64" t="s">
        <v>232</v>
      </c>
      <c r="L446" s="4" t="s">
        <v>232</v>
      </c>
      <c r="M446" s="72">
        <v>1828</v>
      </c>
      <c r="N446" s="64" t="s">
        <v>385</v>
      </c>
      <c r="O446" s="73">
        <v>4</v>
      </c>
      <c r="P446" s="196">
        <v>0</v>
      </c>
      <c r="Q446" s="73">
        <v>8</v>
      </c>
      <c r="R446" s="74">
        <v>118</v>
      </c>
      <c r="S446" s="76">
        <v>3697.5</v>
      </c>
      <c r="T446" s="82">
        <f t="shared" si="12"/>
        <v>2988.2</v>
      </c>
      <c r="U446" s="77">
        <f t="shared" si="13"/>
        <v>2988.2</v>
      </c>
      <c r="V446" s="78">
        <v>709.3</v>
      </c>
      <c r="W446" s="80" t="s">
        <v>233</v>
      </c>
      <c r="X446" s="81" t="s">
        <v>233</v>
      </c>
      <c r="Y446" s="4" t="s">
        <v>233</v>
      </c>
      <c r="Z446" s="81" t="s">
        <v>233</v>
      </c>
      <c r="AA446" s="64" t="s">
        <v>233</v>
      </c>
      <c r="AB446" s="81" t="s">
        <v>233</v>
      </c>
      <c r="AC446" s="4" t="s">
        <v>240</v>
      </c>
      <c r="AD446" s="64" t="s">
        <v>233</v>
      </c>
      <c r="AE446" s="64" t="s">
        <v>240</v>
      </c>
      <c r="AF446" s="208">
        <v>0</v>
      </c>
      <c r="AG446" s="4">
        <v>1</v>
      </c>
      <c r="AH446" s="64">
        <v>1</v>
      </c>
      <c r="AI446" s="4">
        <v>0</v>
      </c>
      <c r="AJ446" s="4">
        <v>0</v>
      </c>
      <c r="AK446" s="4">
        <v>0</v>
      </c>
    </row>
    <row r="447" spans="1:37" outlineLevel="1">
      <c r="A447" s="63">
        <v>440</v>
      </c>
      <c r="B447" s="64" t="s">
        <v>190</v>
      </c>
      <c r="C447" s="4" t="s">
        <v>237</v>
      </c>
      <c r="D447" s="4" t="str">
        <f>[1]Лист2!B440</f>
        <v>КРЮКОВА наб.канала</v>
      </c>
      <c r="E447" s="69">
        <f>[1]Лист2!C440</f>
        <v>23</v>
      </c>
      <c r="F447" s="197" t="str">
        <f>[1]Лист2!D440</f>
        <v>Н</v>
      </c>
      <c r="G447" s="4"/>
      <c r="H447" s="199">
        <v>129440</v>
      </c>
      <c r="I447" s="64" t="s">
        <v>234</v>
      </c>
      <c r="J447" s="4"/>
      <c r="K447" s="64" t="s">
        <v>232</v>
      </c>
      <c r="L447" s="4" t="s">
        <v>232</v>
      </c>
      <c r="M447" s="72">
        <v>1835</v>
      </c>
      <c r="N447" s="64" t="s">
        <v>385</v>
      </c>
      <c r="O447" s="73">
        <v>2</v>
      </c>
      <c r="P447" s="196">
        <v>0</v>
      </c>
      <c r="Q447" s="73">
        <v>1</v>
      </c>
      <c r="R447" s="74">
        <v>4</v>
      </c>
      <c r="S447" s="76">
        <v>70</v>
      </c>
      <c r="T447" s="82">
        <f t="shared" si="12"/>
        <v>70</v>
      </c>
      <c r="U447" s="77">
        <f t="shared" si="13"/>
        <v>70</v>
      </c>
      <c r="V447" s="78">
        <v>0</v>
      </c>
      <c r="W447" s="80" t="s">
        <v>233</v>
      </c>
      <c r="X447" s="81" t="s">
        <v>233</v>
      </c>
      <c r="Y447" s="4" t="s">
        <v>233</v>
      </c>
      <c r="Z447" s="81" t="s">
        <v>233</v>
      </c>
      <c r="AA447" s="64" t="s">
        <v>233</v>
      </c>
      <c r="AB447" s="81" t="s">
        <v>233</v>
      </c>
      <c r="AC447" s="4" t="s">
        <v>240</v>
      </c>
      <c r="AD447" s="64" t="s">
        <v>233</v>
      </c>
      <c r="AE447" s="64" t="s">
        <v>240</v>
      </c>
      <c r="AF447" s="209">
        <v>0</v>
      </c>
      <c r="AG447" s="4">
        <v>1</v>
      </c>
      <c r="AH447" s="64">
        <v>1</v>
      </c>
      <c r="AI447" s="4">
        <v>0</v>
      </c>
      <c r="AJ447" s="4">
        <v>0</v>
      </c>
      <c r="AK447" s="4">
        <v>0</v>
      </c>
    </row>
    <row r="448" spans="1:37" outlineLevel="1">
      <c r="A448" s="5">
        <v>441</v>
      </c>
      <c r="B448" s="64" t="s">
        <v>190</v>
      </c>
      <c r="C448" s="4" t="s">
        <v>237</v>
      </c>
      <c r="D448" s="4" t="str">
        <f>[1]Лист2!B441</f>
        <v>КРЮКОВА наб.канала</v>
      </c>
      <c r="E448" s="69">
        <f>[1]Лист2!C441</f>
        <v>31</v>
      </c>
      <c r="F448" s="197" t="str">
        <f>[1]Лист2!D441</f>
        <v>А</v>
      </c>
      <c r="G448" s="64"/>
      <c r="H448" s="199">
        <v>129441</v>
      </c>
      <c r="I448" s="64" t="s">
        <v>234</v>
      </c>
      <c r="J448" s="4"/>
      <c r="K448" s="64" t="s">
        <v>232</v>
      </c>
      <c r="L448" s="4" t="s">
        <v>232</v>
      </c>
      <c r="M448" s="72">
        <v>1800</v>
      </c>
      <c r="N448" s="64" t="s">
        <v>385</v>
      </c>
      <c r="O448" s="73">
        <v>4</v>
      </c>
      <c r="P448" s="196">
        <v>0</v>
      </c>
      <c r="Q448" s="73">
        <v>3</v>
      </c>
      <c r="R448" s="74">
        <v>51</v>
      </c>
      <c r="S448" s="76">
        <v>2153.35</v>
      </c>
      <c r="T448" s="82">
        <f t="shared" si="12"/>
        <v>1877.35</v>
      </c>
      <c r="U448" s="77">
        <f t="shared" si="13"/>
        <v>1877.35</v>
      </c>
      <c r="V448" s="78">
        <v>276</v>
      </c>
      <c r="W448" s="80" t="s">
        <v>233</v>
      </c>
      <c r="X448" s="81" t="s">
        <v>233</v>
      </c>
      <c r="Y448" s="4" t="s">
        <v>240</v>
      </c>
      <c r="Z448" s="81" t="s">
        <v>233</v>
      </c>
      <c r="AA448" s="64" t="s">
        <v>233</v>
      </c>
      <c r="AB448" s="81" t="s">
        <v>233</v>
      </c>
      <c r="AC448" s="4" t="s">
        <v>233</v>
      </c>
      <c r="AD448" s="64" t="s">
        <v>233</v>
      </c>
      <c r="AE448" s="64" t="s">
        <v>240</v>
      </c>
      <c r="AF448" s="208">
        <v>0</v>
      </c>
      <c r="AG448" s="4">
        <v>1</v>
      </c>
      <c r="AH448" s="64">
        <v>1</v>
      </c>
      <c r="AI448" s="4">
        <v>0</v>
      </c>
      <c r="AJ448" s="4">
        <v>1</v>
      </c>
      <c r="AK448" s="4">
        <v>0</v>
      </c>
    </row>
    <row r="449" spans="1:37" s="65" customFormat="1" outlineLevel="1">
      <c r="A449" s="5">
        <v>442</v>
      </c>
      <c r="B449" s="64" t="s">
        <v>190</v>
      </c>
      <c r="C449" s="4" t="s">
        <v>237</v>
      </c>
      <c r="D449" s="64" t="str">
        <f>[1]Лист2!B442</f>
        <v>КРЮКОВА наб.канала</v>
      </c>
      <c r="E449" s="71" t="s">
        <v>208</v>
      </c>
      <c r="F449" s="196" t="str">
        <f>[1]Лист2!D442</f>
        <v>А</v>
      </c>
      <c r="G449" s="64"/>
      <c r="H449" s="67">
        <v>129442</v>
      </c>
      <c r="I449" s="64" t="s">
        <v>234</v>
      </c>
      <c r="J449" s="64"/>
      <c r="K449" s="64" t="s">
        <v>232</v>
      </c>
      <c r="L449" s="64" t="s">
        <v>232</v>
      </c>
      <c r="M449" s="72">
        <v>1874</v>
      </c>
      <c r="N449" s="64" t="s">
        <v>385</v>
      </c>
      <c r="O449" s="73">
        <v>5</v>
      </c>
      <c r="P449" s="196">
        <v>0</v>
      </c>
      <c r="Q449" s="73">
        <v>4</v>
      </c>
      <c r="R449" s="74">
        <v>92</v>
      </c>
      <c r="S449" s="75">
        <v>4541.78</v>
      </c>
      <c r="T449" s="82">
        <f t="shared" si="12"/>
        <v>3870.4799999999996</v>
      </c>
      <c r="U449" s="77">
        <f t="shared" si="13"/>
        <v>3870.4799999999996</v>
      </c>
      <c r="V449" s="77">
        <v>671.3</v>
      </c>
      <c r="W449" s="80" t="s">
        <v>233</v>
      </c>
      <c r="X449" s="81" t="s">
        <v>233</v>
      </c>
      <c r="Y449" s="64" t="s">
        <v>240</v>
      </c>
      <c r="Z449" s="81" t="s">
        <v>233</v>
      </c>
      <c r="AA449" s="64" t="s">
        <v>233</v>
      </c>
      <c r="AB449" s="81" t="s">
        <v>233</v>
      </c>
      <c r="AC449" s="64" t="s">
        <v>233</v>
      </c>
      <c r="AD449" s="64" t="s">
        <v>233</v>
      </c>
      <c r="AE449" s="64" t="s">
        <v>240</v>
      </c>
      <c r="AF449" s="208">
        <v>2</v>
      </c>
      <c r="AG449" s="4">
        <v>2</v>
      </c>
      <c r="AH449" s="64">
        <v>1</v>
      </c>
      <c r="AI449" s="64">
        <v>0</v>
      </c>
      <c r="AJ449" s="64">
        <v>1</v>
      </c>
      <c r="AK449" s="64">
        <v>0</v>
      </c>
    </row>
    <row r="450" spans="1:37" outlineLevel="1">
      <c r="A450" s="5">
        <v>443</v>
      </c>
      <c r="B450" s="64" t="s">
        <v>190</v>
      </c>
      <c r="C450" s="4" t="s">
        <v>237</v>
      </c>
      <c r="D450" s="4" t="str">
        <f>[1]Лист2!B443</f>
        <v>КРЮКОВА наб.канала</v>
      </c>
      <c r="E450" s="69">
        <f>[1]Лист2!C443</f>
        <v>9</v>
      </c>
      <c r="F450" s="197" t="str">
        <f>[1]Лист2!D443</f>
        <v>А</v>
      </c>
      <c r="G450" s="4"/>
      <c r="H450" s="199">
        <v>129443</v>
      </c>
      <c r="I450" s="64" t="s">
        <v>234</v>
      </c>
      <c r="J450" s="4"/>
      <c r="K450" s="64" t="s">
        <v>232</v>
      </c>
      <c r="L450" s="4" t="s">
        <v>232</v>
      </c>
      <c r="M450" s="72">
        <v>1840</v>
      </c>
      <c r="N450" s="64" t="s">
        <v>385</v>
      </c>
      <c r="O450" s="73">
        <v>4</v>
      </c>
      <c r="P450" s="196">
        <v>0</v>
      </c>
      <c r="Q450" s="73">
        <v>4</v>
      </c>
      <c r="R450" s="74">
        <v>55</v>
      </c>
      <c r="S450" s="76">
        <v>2023.18</v>
      </c>
      <c r="T450" s="82">
        <f t="shared" si="12"/>
        <v>1812.18</v>
      </c>
      <c r="U450" s="77">
        <f t="shared" si="13"/>
        <v>1812.18</v>
      </c>
      <c r="V450" s="78">
        <v>211</v>
      </c>
      <c r="W450" s="80" t="s">
        <v>233</v>
      </c>
      <c r="X450" s="81" t="s">
        <v>233</v>
      </c>
      <c r="Y450" s="4" t="s">
        <v>240</v>
      </c>
      <c r="Z450" s="81" t="s">
        <v>233</v>
      </c>
      <c r="AA450" s="64" t="s">
        <v>233</v>
      </c>
      <c r="AB450" s="81" t="s">
        <v>233</v>
      </c>
      <c r="AC450" s="4" t="s">
        <v>233</v>
      </c>
      <c r="AD450" s="64" t="s">
        <v>233</v>
      </c>
      <c r="AE450" s="64" t="s">
        <v>240</v>
      </c>
      <c r="AF450" s="208">
        <v>0</v>
      </c>
      <c r="AG450" s="4">
        <v>1</v>
      </c>
      <c r="AH450" s="64">
        <v>1</v>
      </c>
      <c r="AI450" s="4">
        <v>0</v>
      </c>
      <c r="AJ450" s="4">
        <v>1</v>
      </c>
      <c r="AK450" s="4">
        <v>0</v>
      </c>
    </row>
    <row r="451" spans="1:37" outlineLevel="1">
      <c r="A451" s="5">
        <v>444</v>
      </c>
      <c r="B451" s="64" t="s">
        <v>190</v>
      </c>
      <c r="C451" s="4" t="s">
        <v>238</v>
      </c>
      <c r="D451" s="4" t="str">
        <f>[1]Лист2!B444</f>
        <v>КУРЛЯНДСКАЯ ул.</v>
      </c>
      <c r="E451" s="69">
        <f>[1]Лист2!C444</f>
        <v>4</v>
      </c>
      <c r="F451" s="197" t="str">
        <f>[1]Лист2!D444</f>
        <v>Б</v>
      </c>
      <c r="G451" s="4"/>
      <c r="H451" s="199">
        <v>129444</v>
      </c>
      <c r="I451" s="64" t="s">
        <v>234</v>
      </c>
      <c r="J451" s="4"/>
      <c r="K451" s="64" t="s">
        <v>232</v>
      </c>
      <c r="L451" s="4" t="s">
        <v>232</v>
      </c>
      <c r="M451" s="72">
        <v>1897</v>
      </c>
      <c r="N451" s="64" t="s">
        <v>385</v>
      </c>
      <c r="O451" s="73">
        <v>4</v>
      </c>
      <c r="P451" s="196">
        <v>0</v>
      </c>
      <c r="Q451" s="73">
        <v>2</v>
      </c>
      <c r="R451" s="74">
        <v>12</v>
      </c>
      <c r="S451" s="76">
        <v>1321.02</v>
      </c>
      <c r="T451" s="82">
        <f t="shared" si="12"/>
        <v>1141.22</v>
      </c>
      <c r="U451" s="77">
        <f t="shared" si="13"/>
        <v>1141.22</v>
      </c>
      <c r="V451" s="78">
        <v>179.8</v>
      </c>
      <c r="W451" s="80" t="s">
        <v>233</v>
      </c>
      <c r="X451" s="81" t="s">
        <v>233</v>
      </c>
      <c r="Y451" s="4" t="s">
        <v>233</v>
      </c>
      <c r="Z451" s="81" t="s">
        <v>233</v>
      </c>
      <c r="AA451" s="64" t="s">
        <v>233</v>
      </c>
      <c r="AB451" s="81" t="s">
        <v>233</v>
      </c>
      <c r="AC451" s="4" t="s">
        <v>240</v>
      </c>
      <c r="AD451" s="64" t="s">
        <v>233</v>
      </c>
      <c r="AE451" s="64" t="s">
        <v>240</v>
      </c>
      <c r="AF451" s="208">
        <v>0</v>
      </c>
      <c r="AG451" s="4">
        <v>1</v>
      </c>
      <c r="AH451" s="64">
        <v>1</v>
      </c>
      <c r="AI451" s="4">
        <v>0</v>
      </c>
      <c r="AJ451" s="4">
        <v>0</v>
      </c>
      <c r="AK451" s="4">
        <v>0</v>
      </c>
    </row>
    <row r="452" spans="1:37" outlineLevel="1">
      <c r="A452" s="63">
        <v>445</v>
      </c>
      <c r="B452" s="64" t="s">
        <v>190</v>
      </c>
      <c r="C452" s="4" t="s">
        <v>238</v>
      </c>
      <c r="D452" s="4" t="str">
        <f>[1]Лист2!B445</f>
        <v>КУРЛЯНДСКАЯ ул.</v>
      </c>
      <c r="E452" s="69">
        <f>[1]Лист2!C445</f>
        <v>8</v>
      </c>
      <c r="F452" s="197" t="str">
        <f>[1]Лист2!D445</f>
        <v>А</v>
      </c>
      <c r="G452" s="64"/>
      <c r="H452" s="199">
        <v>129445</v>
      </c>
      <c r="I452" s="64" t="s">
        <v>234</v>
      </c>
      <c r="J452" s="4"/>
      <c r="K452" s="64" t="s">
        <v>232</v>
      </c>
      <c r="L452" s="4" t="s">
        <v>232</v>
      </c>
      <c r="M452" s="72">
        <v>1912</v>
      </c>
      <c r="N452" s="64" t="s">
        <v>385</v>
      </c>
      <c r="O452" s="73">
        <v>6</v>
      </c>
      <c r="P452" s="196">
        <v>0</v>
      </c>
      <c r="Q452" s="73">
        <v>4</v>
      </c>
      <c r="R452" s="74">
        <v>98</v>
      </c>
      <c r="S452" s="76">
        <v>2534</v>
      </c>
      <c r="T452" s="82">
        <f t="shared" si="12"/>
        <v>1726</v>
      </c>
      <c r="U452" s="77">
        <f t="shared" si="13"/>
        <v>1726</v>
      </c>
      <c r="V452" s="78">
        <v>808</v>
      </c>
      <c r="W452" s="80" t="s">
        <v>233</v>
      </c>
      <c r="X452" s="81" t="s">
        <v>233</v>
      </c>
      <c r="Y452" s="4" t="s">
        <v>233</v>
      </c>
      <c r="Z452" s="81" t="s">
        <v>233</v>
      </c>
      <c r="AA452" s="64" t="s">
        <v>233</v>
      </c>
      <c r="AB452" s="81" t="s">
        <v>233</v>
      </c>
      <c r="AC452" s="4" t="s">
        <v>240</v>
      </c>
      <c r="AD452" s="64" t="s">
        <v>233</v>
      </c>
      <c r="AE452" s="64" t="s">
        <v>240</v>
      </c>
      <c r="AF452" s="208">
        <v>3</v>
      </c>
      <c r="AG452" s="4">
        <v>1</v>
      </c>
      <c r="AH452" s="64">
        <v>1</v>
      </c>
      <c r="AI452" s="4">
        <v>1</v>
      </c>
      <c r="AJ452" s="4">
        <v>1</v>
      </c>
      <c r="AK452" s="4">
        <v>0</v>
      </c>
    </row>
    <row r="453" spans="1:37" outlineLevel="1">
      <c r="A453" s="63">
        <v>446</v>
      </c>
      <c r="B453" s="64" t="s">
        <v>190</v>
      </c>
      <c r="C453" s="4" t="s">
        <v>238</v>
      </c>
      <c r="D453" s="4" t="str">
        <f>[1]Лист2!B446</f>
        <v>КУРЛЯНДСКАЯ ул.</v>
      </c>
      <c r="E453" s="69">
        <f>[1]Лист2!C446</f>
        <v>8</v>
      </c>
      <c r="F453" s="197" t="str">
        <f>[1]Лист2!D446</f>
        <v>М</v>
      </c>
      <c r="G453" s="64"/>
      <c r="H453" s="199">
        <v>129446</v>
      </c>
      <c r="I453" s="64" t="s">
        <v>234</v>
      </c>
      <c r="J453" s="4"/>
      <c r="K453" s="64" t="s">
        <v>232</v>
      </c>
      <c r="L453" s="4" t="s">
        <v>232</v>
      </c>
      <c r="M453" s="72">
        <v>1912</v>
      </c>
      <c r="N453" s="64" t="s">
        <v>385</v>
      </c>
      <c r="O453" s="73">
        <v>6</v>
      </c>
      <c r="P453" s="196">
        <v>0</v>
      </c>
      <c r="Q453" s="73">
        <v>3</v>
      </c>
      <c r="R453" s="74">
        <v>107</v>
      </c>
      <c r="S453" s="76">
        <v>2666</v>
      </c>
      <c r="T453" s="82">
        <f t="shared" si="12"/>
        <v>1498</v>
      </c>
      <c r="U453" s="77">
        <f t="shared" si="13"/>
        <v>1498</v>
      </c>
      <c r="V453" s="78">
        <v>1168</v>
      </c>
      <c r="W453" s="80" t="s">
        <v>233</v>
      </c>
      <c r="X453" s="81" t="s">
        <v>233</v>
      </c>
      <c r="Y453" s="4" t="s">
        <v>233</v>
      </c>
      <c r="Z453" s="81" t="s">
        <v>233</v>
      </c>
      <c r="AA453" s="64" t="s">
        <v>233</v>
      </c>
      <c r="AB453" s="81" t="s">
        <v>233</v>
      </c>
      <c r="AC453" s="4" t="s">
        <v>240</v>
      </c>
      <c r="AD453" s="64" t="s">
        <v>233</v>
      </c>
      <c r="AE453" s="64" t="s">
        <v>240</v>
      </c>
      <c r="AF453" s="209">
        <v>0</v>
      </c>
      <c r="AG453" s="4">
        <v>1</v>
      </c>
      <c r="AH453" s="64">
        <v>1</v>
      </c>
      <c r="AI453" s="4">
        <v>0</v>
      </c>
      <c r="AJ453" s="4">
        <v>0</v>
      </c>
      <c r="AK453" s="4">
        <v>0</v>
      </c>
    </row>
    <row r="454" spans="1:37" outlineLevel="1">
      <c r="A454" s="5">
        <v>447</v>
      </c>
      <c r="B454" s="64" t="s">
        <v>190</v>
      </c>
      <c r="C454" s="4" t="s">
        <v>237</v>
      </c>
      <c r="D454" s="4" t="str">
        <f>[1]Лист2!B447</f>
        <v>ЛАБУТИНА ул.</v>
      </c>
      <c r="E454" s="69">
        <f>[1]Лист2!C447</f>
        <v>10</v>
      </c>
      <c r="F454" s="197" t="str">
        <f>[1]Лист2!D447</f>
        <v>А</v>
      </c>
      <c r="G454" s="4"/>
      <c r="H454" s="199">
        <v>129447</v>
      </c>
      <c r="I454" s="64" t="s">
        <v>234</v>
      </c>
      <c r="J454" s="4"/>
      <c r="K454" s="64" t="s">
        <v>232</v>
      </c>
      <c r="L454" s="4" t="s">
        <v>232</v>
      </c>
      <c r="M454" s="72">
        <v>1840</v>
      </c>
      <c r="N454" s="64" t="s">
        <v>385</v>
      </c>
      <c r="O454" s="73">
        <v>4</v>
      </c>
      <c r="P454" s="196">
        <v>0</v>
      </c>
      <c r="Q454" s="73">
        <v>1</v>
      </c>
      <c r="R454" s="74">
        <v>24</v>
      </c>
      <c r="S454" s="76">
        <v>775.3</v>
      </c>
      <c r="T454" s="82">
        <f t="shared" si="12"/>
        <v>775.3</v>
      </c>
      <c r="U454" s="77">
        <f t="shared" si="13"/>
        <v>775.3</v>
      </c>
      <c r="V454" s="78">
        <v>0</v>
      </c>
      <c r="W454" s="80" t="s">
        <v>233</v>
      </c>
      <c r="X454" s="81" t="s">
        <v>233</v>
      </c>
      <c r="Y454" s="4" t="s">
        <v>233</v>
      </c>
      <c r="Z454" s="81" t="s">
        <v>233</v>
      </c>
      <c r="AA454" s="64" t="s">
        <v>233</v>
      </c>
      <c r="AB454" s="81" t="s">
        <v>233</v>
      </c>
      <c r="AC454" s="4" t="s">
        <v>240</v>
      </c>
      <c r="AD454" s="64" t="s">
        <v>233</v>
      </c>
      <c r="AE454" s="64" t="s">
        <v>240</v>
      </c>
      <c r="AF454" s="208">
        <v>0</v>
      </c>
      <c r="AG454" s="4">
        <v>1</v>
      </c>
      <c r="AH454" s="64">
        <v>1</v>
      </c>
      <c r="AI454" s="4">
        <v>0</v>
      </c>
      <c r="AJ454" s="4">
        <v>0</v>
      </c>
      <c r="AK454" s="4">
        <v>0</v>
      </c>
    </row>
    <row r="455" spans="1:37" outlineLevel="1">
      <c r="A455" s="5">
        <v>448</v>
      </c>
      <c r="B455" s="64" t="s">
        <v>190</v>
      </c>
      <c r="C455" s="4" t="s">
        <v>237</v>
      </c>
      <c r="D455" s="4" t="str">
        <f>[1]Лист2!B448</f>
        <v>ЛАБУТИНА ул.</v>
      </c>
      <c r="E455" s="69">
        <f>[1]Лист2!C448</f>
        <v>10</v>
      </c>
      <c r="F455" s="197" t="str">
        <f>[1]Лист2!D448</f>
        <v>Б</v>
      </c>
      <c r="G455" s="4"/>
      <c r="H455" s="199">
        <v>129448</v>
      </c>
      <c r="I455" s="64" t="s">
        <v>234</v>
      </c>
      <c r="J455" s="4"/>
      <c r="K455" s="64" t="s">
        <v>232</v>
      </c>
      <c r="L455" s="4" t="s">
        <v>232</v>
      </c>
      <c r="M455" s="72">
        <v>1840</v>
      </c>
      <c r="N455" s="64" t="s">
        <v>385</v>
      </c>
      <c r="O455" s="73">
        <v>4</v>
      </c>
      <c r="P455" s="196">
        <v>0</v>
      </c>
      <c r="Q455" s="73">
        <v>1</v>
      </c>
      <c r="R455" s="74">
        <v>16</v>
      </c>
      <c r="S455" s="76">
        <v>436.1</v>
      </c>
      <c r="T455" s="82">
        <f t="shared" si="12"/>
        <v>436.1</v>
      </c>
      <c r="U455" s="77">
        <f t="shared" si="13"/>
        <v>436.1</v>
      </c>
      <c r="V455" s="78">
        <v>0</v>
      </c>
      <c r="W455" s="80" t="s">
        <v>233</v>
      </c>
      <c r="X455" s="81" t="s">
        <v>233</v>
      </c>
      <c r="Y455" s="4" t="s">
        <v>233</v>
      </c>
      <c r="Z455" s="81" t="s">
        <v>233</v>
      </c>
      <c r="AA455" s="64" t="s">
        <v>233</v>
      </c>
      <c r="AB455" s="81" t="s">
        <v>233</v>
      </c>
      <c r="AC455" s="4" t="s">
        <v>240</v>
      </c>
      <c r="AD455" s="64" t="s">
        <v>233</v>
      </c>
      <c r="AE455" s="64" t="s">
        <v>240</v>
      </c>
      <c r="AF455" s="209">
        <v>0</v>
      </c>
      <c r="AG455" s="4">
        <v>1</v>
      </c>
      <c r="AH455" s="64">
        <v>1</v>
      </c>
      <c r="AI455" s="4">
        <v>0</v>
      </c>
      <c r="AJ455" s="4">
        <v>0</v>
      </c>
      <c r="AK455" s="4">
        <v>0</v>
      </c>
    </row>
    <row r="456" spans="1:37" outlineLevel="1">
      <c r="A456" s="5">
        <v>449</v>
      </c>
      <c r="B456" s="64" t="s">
        <v>190</v>
      </c>
      <c r="C456" s="4" t="s">
        <v>237</v>
      </c>
      <c r="D456" s="4" t="str">
        <f>[1]Лист2!B449</f>
        <v>ЛАБУТИНА ул.</v>
      </c>
      <c r="E456" s="69">
        <f>[1]Лист2!C449</f>
        <v>12</v>
      </c>
      <c r="F456" s="197" t="str">
        <f>[1]Лист2!D449</f>
        <v>А</v>
      </c>
      <c r="G456" s="64"/>
      <c r="H456" s="199">
        <v>129449</v>
      </c>
      <c r="I456" s="64" t="s">
        <v>234</v>
      </c>
      <c r="J456" s="4"/>
      <c r="K456" s="64" t="s">
        <v>232</v>
      </c>
      <c r="L456" s="4" t="s">
        <v>232</v>
      </c>
      <c r="M456" s="72">
        <v>1899</v>
      </c>
      <c r="N456" s="64" t="s">
        <v>385</v>
      </c>
      <c r="O456" s="73">
        <v>4</v>
      </c>
      <c r="P456" s="196">
        <v>0</v>
      </c>
      <c r="Q456" s="73">
        <v>2</v>
      </c>
      <c r="R456" s="74">
        <v>60</v>
      </c>
      <c r="S456" s="76">
        <v>2348.1099999999997</v>
      </c>
      <c r="T456" s="82">
        <f t="shared" si="12"/>
        <v>1949.3099999999997</v>
      </c>
      <c r="U456" s="77">
        <f t="shared" si="13"/>
        <v>1949.3099999999997</v>
      </c>
      <c r="V456" s="78">
        <v>398.8</v>
      </c>
      <c r="W456" s="80" t="s">
        <v>233</v>
      </c>
      <c r="X456" s="81" t="s">
        <v>233</v>
      </c>
      <c r="Y456" s="4" t="s">
        <v>240</v>
      </c>
      <c r="Z456" s="81" t="s">
        <v>233</v>
      </c>
      <c r="AA456" s="64" t="s">
        <v>233</v>
      </c>
      <c r="AB456" s="81" t="s">
        <v>233</v>
      </c>
      <c r="AC456" s="4" t="s">
        <v>233</v>
      </c>
      <c r="AD456" s="64" t="s">
        <v>233</v>
      </c>
      <c r="AE456" s="64" t="s">
        <v>240</v>
      </c>
      <c r="AF456" s="208">
        <v>0</v>
      </c>
      <c r="AG456" s="4">
        <v>1</v>
      </c>
      <c r="AH456" s="64">
        <v>1</v>
      </c>
      <c r="AI456" s="4">
        <v>0</v>
      </c>
      <c r="AJ456" s="4">
        <v>0</v>
      </c>
      <c r="AK456" s="4">
        <v>0</v>
      </c>
    </row>
    <row r="457" spans="1:37" outlineLevel="1">
      <c r="A457" s="5">
        <v>450</v>
      </c>
      <c r="B457" s="64" t="s">
        <v>190</v>
      </c>
      <c r="C457" s="4" t="s">
        <v>237</v>
      </c>
      <c r="D457" s="4" t="str">
        <f>[1]Лист2!B450</f>
        <v>ЛАБУТИНА ул.</v>
      </c>
      <c r="E457" s="69">
        <f>[1]Лист2!C450</f>
        <v>13</v>
      </c>
      <c r="F457" s="197" t="str">
        <f>[1]Лист2!D450</f>
        <v>А</v>
      </c>
      <c r="G457" s="64"/>
      <c r="H457" s="199">
        <v>129450</v>
      </c>
      <c r="I457" s="64" t="s">
        <v>234</v>
      </c>
      <c r="J457" s="4"/>
      <c r="K457" s="64" t="s">
        <v>232</v>
      </c>
      <c r="L457" s="4" t="s">
        <v>232</v>
      </c>
      <c r="M457" s="72">
        <v>1917</v>
      </c>
      <c r="N457" s="64" t="s">
        <v>385</v>
      </c>
      <c r="O457" s="73">
        <v>4</v>
      </c>
      <c r="P457" s="196">
        <v>0</v>
      </c>
      <c r="Q457" s="73">
        <v>1</v>
      </c>
      <c r="R457" s="74">
        <v>29</v>
      </c>
      <c r="S457" s="76">
        <v>755.2</v>
      </c>
      <c r="T457" s="82">
        <f t="shared" ref="T457:T520" si="14">U457</f>
        <v>755.2</v>
      </c>
      <c r="U457" s="77">
        <f t="shared" ref="U457:U520" si="15">S457-V457</f>
        <v>755.2</v>
      </c>
      <c r="V457" s="78">
        <v>0</v>
      </c>
      <c r="W457" s="80" t="s">
        <v>233</v>
      </c>
      <c r="X457" s="81" t="s">
        <v>233</v>
      </c>
      <c r="Y457" s="4" t="s">
        <v>233</v>
      </c>
      <c r="Z457" s="81" t="s">
        <v>233</v>
      </c>
      <c r="AA457" s="64" t="s">
        <v>233</v>
      </c>
      <c r="AB457" s="81" t="s">
        <v>233</v>
      </c>
      <c r="AC457" s="4" t="s">
        <v>240</v>
      </c>
      <c r="AD457" s="64" t="s">
        <v>233</v>
      </c>
      <c r="AE457" s="64" t="s">
        <v>240</v>
      </c>
      <c r="AF457" s="208">
        <v>0</v>
      </c>
      <c r="AG457" s="4">
        <v>1</v>
      </c>
      <c r="AH457" s="64">
        <v>1</v>
      </c>
      <c r="AI457" s="4">
        <v>0</v>
      </c>
      <c r="AJ457" s="4">
        <v>0</v>
      </c>
      <c r="AK457" s="4">
        <v>0</v>
      </c>
    </row>
    <row r="458" spans="1:37" outlineLevel="1">
      <c r="A458" s="63">
        <v>451</v>
      </c>
      <c r="B458" s="64" t="s">
        <v>190</v>
      </c>
      <c r="C458" s="4" t="s">
        <v>237</v>
      </c>
      <c r="D458" s="4" t="str">
        <f>[1]Лист2!B451</f>
        <v>ЛАБУТИНА ул.</v>
      </c>
      <c r="E458" s="69">
        <f>[1]Лист2!C451</f>
        <v>13</v>
      </c>
      <c r="F458" s="197" t="str">
        <f>[1]Лист2!D451</f>
        <v>Б</v>
      </c>
      <c r="G458" s="4"/>
      <c r="H458" s="199">
        <v>129451</v>
      </c>
      <c r="I458" s="64" t="s">
        <v>234</v>
      </c>
      <c r="J458" s="4"/>
      <c r="K458" s="64" t="s">
        <v>232</v>
      </c>
      <c r="L458" s="4" t="s">
        <v>232</v>
      </c>
      <c r="M458" s="72">
        <v>1917</v>
      </c>
      <c r="N458" s="64" t="s">
        <v>385</v>
      </c>
      <c r="O458" s="73">
        <v>3</v>
      </c>
      <c r="P458" s="196">
        <v>0</v>
      </c>
      <c r="Q458" s="73">
        <v>1</v>
      </c>
      <c r="R458" s="74">
        <v>13</v>
      </c>
      <c r="S458" s="76">
        <v>275</v>
      </c>
      <c r="T458" s="82">
        <f t="shared" si="14"/>
        <v>187</v>
      </c>
      <c r="U458" s="77">
        <f t="shared" si="15"/>
        <v>187</v>
      </c>
      <c r="V458" s="78">
        <v>88</v>
      </c>
      <c r="W458" s="80" t="s">
        <v>233</v>
      </c>
      <c r="X458" s="81" t="s">
        <v>233</v>
      </c>
      <c r="Y458" s="4" t="s">
        <v>233</v>
      </c>
      <c r="Z458" s="81" t="s">
        <v>233</v>
      </c>
      <c r="AA458" s="64" t="s">
        <v>233</v>
      </c>
      <c r="AB458" s="81" t="s">
        <v>233</v>
      </c>
      <c r="AC458" s="4" t="s">
        <v>240</v>
      </c>
      <c r="AD458" s="64" t="s">
        <v>233</v>
      </c>
      <c r="AE458" s="64" t="s">
        <v>240</v>
      </c>
      <c r="AF458" s="209">
        <v>0</v>
      </c>
      <c r="AG458" s="4">
        <v>1</v>
      </c>
      <c r="AH458" s="64">
        <v>1</v>
      </c>
      <c r="AI458" s="4">
        <v>0</v>
      </c>
      <c r="AJ458" s="4">
        <v>0</v>
      </c>
      <c r="AK458" s="4">
        <v>0</v>
      </c>
    </row>
    <row r="459" spans="1:37" outlineLevel="1">
      <c r="A459" s="63">
        <v>452</v>
      </c>
      <c r="B459" s="64" t="s">
        <v>190</v>
      </c>
      <c r="C459" s="4" t="s">
        <v>237</v>
      </c>
      <c r="D459" s="4" t="str">
        <f>[1]Лист2!B452</f>
        <v>ЛАБУТИНА ул.</v>
      </c>
      <c r="E459" s="69">
        <f>[1]Лист2!C452</f>
        <v>15</v>
      </c>
      <c r="F459" s="197" t="str">
        <f>[1]Лист2!D452</f>
        <v>А</v>
      </c>
      <c r="G459" s="4"/>
      <c r="H459" s="199">
        <v>129452</v>
      </c>
      <c r="I459" s="64" t="s">
        <v>234</v>
      </c>
      <c r="J459" s="4"/>
      <c r="K459" s="64" t="s">
        <v>232</v>
      </c>
      <c r="L459" s="4" t="s">
        <v>232</v>
      </c>
      <c r="M459" s="72">
        <v>1884</v>
      </c>
      <c r="N459" s="64" t="s">
        <v>385</v>
      </c>
      <c r="O459" s="73">
        <v>3</v>
      </c>
      <c r="P459" s="196">
        <v>0</v>
      </c>
      <c r="Q459" s="73">
        <v>1</v>
      </c>
      <c r="R459" s="74">
        <v>21</v>
      </c>
      <c r="S459" s="76">
        <v>655.6</v>
      </c>
      <c r="T459" s="82">
        <f t="shared" si="14"/>
        <v>655.6</v>
      </c>
      <c r="U459" s="77">
        <f t="shared" si="15"/>
        <v>655.6</v>
      </c>
      <c r="V459" s="78">
        <v>0</v>
      </c>
      <c r="W459" s="80" t="s">
        <v>233</v>
      </c>
      <c r="X459" s="81" t="s">
        <v>233</v>
      </c>
      <c r="Y459" s="4" t="s">
        <v>233</v>
      </c>
      <c r="Z459" s="81" t="s">
        <v>233</v>
      </c>
      <c r="AA459" s="64" t="s">
        <v>233</v>
      </c>
      <c r="AB459" s="81" t="s">
        <v>233</v>
      </c>
      <c r="AC459" s="4" t="s">
        <v>240</v>
      </c>
      <c r="AD459" s="64" t="s">
        <v>233</v>
      </c>
      <c r="AE459" s="64" t="s">
        <v>240</v>
      </c>
      <c r="AF459" s="208">
        <v>0</v>
      </c>
      <c r="AG459" s="4">
        <v>1</v>
      </c>
      <c r="AH459" s="64">
        <v>1</v>
      </c>
      <c r="AI459" s="4">
        <v>0</v>
      </c>
      <c r="AJ459" s="4">
        <v>0</v>
      </c>
      <c r="AK459" s="4">
        <v>0</v>
      </c>
    </row>
    <row r="460" spans="1:37" outlineLevel="1">
      <c r="A460" s="5">
        <v>453</v>
      </c>
      <c r="B460" s="64" t="s">
        <v>190</v>
      </c>
      <c r="C460" s="4" t="s">
        <v>237</v>
      </c>
      <c r="D460" s="4" t="str">
        <f>[1]Лист2!B453</f>
        <v>ЛАБУТИНА ул.</v>
      </c>
      <c r="E460" s="69">
        <f>[1]Лист2!C453</f>
        <v>15</v>
      </c>
      <c r="F460" s="197" t="str">
        <f>[1]Лист2!D453</f>
        <v>Б</v>
      </c>
      <c r="G460" s="64"/>
      <c r="H460" s="199">
        <v>129453</v>
      </c>
      <c r="I460" s="64" t="s">
        <v>234</v>
      </c>
      <c r="J460" s="4"/>
      <c r="K460" s="64" t="s">
        <v>232</v>
      </c>
      <c r="L460" s="4" t="s">
        <v>232</v>
      </c>
      <c r="M460" s="72">
        <v>1884</v>
      </c>
      <c r="N460" s="64" t="s">
        <v>385</v>
      </c>
      <c r="O460" s="73">
        <v>3</v>
      </c>
      <c r="P460" s="196">
        <v>0</v>
      </c>
      <c r="Q460" s="73">
        <v>1</v>
      </c>
      <c r="R460" s="74">
        <v>6</v>
      </c>
      <c r="S460" s="76">
        <v>273.89999999999998</v>
      </c>
      <c r="T460" s="82">
        <f t="shared" si="14"/>
        <v>273.89999999999998</v>
      </c>
      <c r="U460" s="77">
        <f t="shared" si="15"/>
        <v>273.89999999999998</v>
      </c>
      <c r="V460" s="78">
        <v>0</v>
      </c>
      <c r="W460" s="80" t="s">
        <v>233</v>
      </c>
      <c r="X460" s="81" t="s">
        <v>233</v>
      </c>
      <c r="Y460" s="4" t="s">
        <v>233</v>
      </c>
      <c r="Z460" s="81" t="s">
        <v>233</v>
      </c>
      <c r="AA460" s="64" t="s">
        <v>233</v>
      </c>
      <c r="AB460" s="81" t="s">
        <v>233</v>
      </c>
      <c r="AC460" s="4" t="s">
        <v>240</v>
      </c>
      <c r="AD460" s="64" t="s">
        <v>233</v>
      </c>
      <c r="AE460" s="64" t="s">
        <v>240</v>
      </c>
      <c r="AF460" s="209">
        <v>0</v>
      </c>
      <c r="AG460" s="4">
        <v>1</v>
      </c>
      <c r="AH460" s="64">
        <v>1</v>
      </c>
      <c r="AI460" s="4">
        <v>0</v>
      </c>
      <c r="AJ460" s="4">
        <v>0</v>
      </c>
      <c r="AK460" s="4">
        <v>0</v>
      </c>
    </row>
    <row r="461" spans="1:37" outlineLevel="1">
      <c r="A461" s="5">
        <v>454</v>
      </c>
      <c r="B461" s="64" t="s">
        <v>190</v>
      </c>
      <c r="C461" s="4" t="s">
        <v>237</v>
      </c>
      <c r="D461" s="4" t="str">
        <f>[1]Лист2!B454</f>
        <v>ЛАБУТИНА ул.</v>
      </c>
      <c r="E461" s="69">
        <f>[1]Лист2!C454</f>
        <v>16</v>
      </c>
      <c r="F461" s="197" t="str">
        <f>[1]Лист2!D454</f>
        <v>А</v>
      </c>
      <c r="G461" s="64"/>
      <c r="H461" s="199">
        <v>129454</v>
      </c>
      <c r="I461" s="64" t="s">
        <v>234</v>
      </c>
      <c r="J461" s="4"/>
      <c r="K461" s="64" t="s">
        <v>232</v>
      </c>
      <c r="L461" s="4" t="s">
        <v>232</v>
      </c>
      <c r="M461" s="72">
        <v>1883</v>
      </c>
      <c r="N461" s="64" t="s">
        <v>385</v>
      </c>
      <c r="O461" s="73">
        <v>4</v>
      </c>
      <c r="P461" s="196">
        <v>0</v>
      </c>
      <c r="Q461" s="73">
        <v>1</v>
      </c>
      <c r="R461" s="74">
        <v>29</v>
      </c>
      <c r="S461" s="76">
        <v>739</v>
      </c>
      <c r="T461" s="82">
        <f t="shared" si="14"/>
        <v>663.5</v>
      </c>
      <c r="U461" s="77">
        <f t="shared" si="15"/>
        <v>663.5</v>
      </c>
      <c r="V461" s="78">
        <v>75.5</v>
      </c>
      <c r="W461" s="80" t="s">
        <v>233</v>
      </c>
      <c r="X461" s="81" t="s">
        <v>233</v>
      </c>
      <c r="Y461" s="4" t="s">
        <v>240</v>
      </c>
      <c r="Z461" s="81" t="s">
        <v>233</v>
      </c>
      <c r="AA461" s="64" t="s">
        <v>233</v>
      </c>
      <c r="AB461" s="81" t="s">
        <v>233</v>
      </c>
      <c r="AC461" s="4" t="s">
        <v>233</v>
      </c>
      <c r="AD461" s="64" t="s">
        <v>233</v>
      </c>
      <c r="AE461" s="64" t="s">
        <v>240</v>
      </c>
      <c r="AF461" s="208">
        <v>0</v>
      </c>
      <c r="AG461" s="4">
        <v>1</v>
      </c>
      <c r="AH461" s="64">
        <v>1</v>
      </c>
      <c r="AI461" s="4">
        <v>0</v>
      </c>
      <c r="AJ461" s="4">
        <v>0</v>
      </c>
      <c r="AK461" s="4">
        <v>0</v>
      </c>
    </row>
    <row r="462" spans="1:37" outlineLevel="1">
      <c r="A462" s="5">
        <v>455</v>
      </c>
      <c r="B462" s="64" t="s">
        <v>190</v>
      </c>
      <c r="C462" s="4" t="s">
        <v>237</v>
      </c>
      <c r="D462" s="4" t="str">
        <f>[1]Лист2!B455</f>
        <v>ЛАБУТИНА ул.</v>
      </c>
      <c r="E462" s="69">
        <f>[1]Лист2!C455</f>
        <v>16</v>
      </c>
      <c r="F462" s="197" t="str">
        <f>[1]Лист2!D455</f>
        <v>Б</v>
      </c>
      <c r="G462" s="4"/>
      <c r="H462" s="199">
        <v>129455</v>
      </c>
      <c r="I462" s="64" t="s">
        <v>234</v>
      </c>
      <c r="J462" s="4"/>
      <c r="K462" s="64" t="s">
        <v>232</v>
      </c>
      <c r="L462" s="4" t="s">
        <v>232</v>
      </c>
      <c r="M462" s="72">
        <v>1877</v>
      </c>
      <c r="N462" s="64" t="s">
        <v>385</v>
      </c>
      <c r="O462" s="73">
        <v>5</v>
      </c>
      <c r="P462" s="196">
        <v>0</v>
      </c>
      <c r="Q462" s="73">
        <v>1</v>
      </c>
      <c r="R462" s="74">
        <v>35</v>
      </c>
      <c r="S462" s="76">
        <v>937.3</v>
      </c>
      <c r="T462" s="82">
        <f t="shared" si="14"/>
        <v>857</v>
      </c>
      <c r="U462" s="77">
        <f t="shared" si="15"/>
        <v>857</v>
      </c>
      <c r="V462" s="78">
        <v>80.3</v>
      </c>
      <c r="W462" s="80" t="s">
        <v>233</v>
      </c>
      <c r="X462" s="81" t="s">
        <v>233</v>
      </c>
      <c r="Y462" s="4" t="s">
        <v>240</v>
      </c>
      <c r="Z462" s="81" t="s">
        <v>233</v>
      </c>
      <c r="AA462" s="64" t="s">
        <v>233</v>
      </c>
      <c r="AB462" s="81" t="s">
        <v>233</v>
      </c>
      <c r="AC462" s="4" t="s">
        <v>233</v>
      </c>
      <c r="AD462" s="64" t="s">
        <v>233</v>
      </c>
      <c r="AE462" s="64" t="s">
        <v>240</v>
      </c>
      <c r="AF462" s="209">
        <v>0</v>
      </c>
      <c r="AG462" s="4">
        <v>1</v>
      </c>
      <c r="AH462" s="64">
        <v>1</v>
      </c>
      <c r="AI462" s="4">
        <v>0</v>
      </c>
      <c r="AJ462" s="4">
        <v>0</v>
      </c>
      <c r="AK462" s="4">
        <v>0</v>
      </c>
    </row>
    <row r="463" spans="1:37" outlineLevel="1">
      <c r="A463" s="5">
        <v>456</v>
      </c>
      <c r="B463" s="64" t="s">
        <v>190</v>
      </c>
      <c r="C463" s="4" t="s">
        <v>237</v>
      </c>
      <c r="D463" s="4" t="str">
        <f>[1]Лист2!B456</f>
        <v>ЛАБУТИНА ул.</v>
      </c>
      <c r="E463" s="69">
        <f>[1]Лист2!C456</f>
        <v>17</v>
      </c>
      <c r="F463" s="197" t="str">
        <f>[1]Лист2!D456</f>
        <v>А</v>
      </c>
      <c r="G463" s="4"/>
      <c r="H463" s="199">
        <v>129456</v>
      </c>
      <c r="I463" s="64" t="s">
        <v>234</v>
      </c>
      <c r="J463" s="4"/>
      <c r="K463" s="64" t="s">
        <v>232</v>
      </c>
      <c r="L463" s="4" t="s">
        <v>232</v>
      </c>
      <c r="M463" s="72">
        <v>1903</v>
      </c>
      <c r="N463" s="64" t="s">
        <v>385</v>
      </c>
      <c r="O463" s="73">
        <v>3</v>
      </c>
      <c r="P463" s="196">
        <v>0</v>
      </c>
      <c r="Q463" s="73">
        <v>1</v>
      </c>
      <c r="R463" s="74">
        <v>20</v>
      </c>
      <c r="S463" s="76">
        <v>647.55999999999995</v>
      </c>
      <c r="T463" s="82">
        <f t="shared" si="14"/>
        <v>599.95999999999992</v>
      </c>
      <c r="U463" s="77">
        <f t="shared" si="15"/>
        <v>599.95999999999992</v>
      </c>
      <c r="V463" s="78">
        <v>47.6</v>
      </c>
      <c r="W463" s="80" t="s">
        <v>233</v>
      </c>
      <c r="X463" s="81" t="s">
        <v>233</v>
      </c>
      <c r="Y463" s="4" t="s">
        <v>233</v>
      </c>
      <c r="Z463" s="81" t="s">
        <v>233</v>
      </c>
      <c r="AA463" s="64" t="s">
        <v>233</v>
      </c>
      <c r="AB463" s="81" t="s">
        <v>233</v>
      </c>
      <c r="AC463" s="4" t="s">
        <v>240</v>
      </c>
      <c r="AD463" s="64" t="s">
        <v>233</v>
      </c>
      <c r="AE463" s="64" t="s">
        <v>240</v>
      </c>
      <c r="AF463" s="208">
        <v>0</v>
      </c>
      <c r="AG463" s="4">
        <v>1</v>
      </c>
      <c r="AH463" s="64">
        <v>1</v>
      </c>
      <c r="AI463" s="4">
        <v>1</v>
      </c>
      <c r="AJ463" s="4">
        <v>1</v>
      </c>
      <c r="AK463" s="4">
        <v>0</v>
      </c>
    </row>
    <row r="464" spans="1:37" outlineLevel="1">
      <c r="A464" s="63">
        <v>457</v>
      </c>
      <c r="B464" s="64" t="s">
        <v>190</v>
      </c>
      <c r="C464" s="4" t="s">
        <v>237</v>
      </c>
      <c r="D464" s="4" t="str">
        <f>[1]Лист2!B457</f>
        <v>ЛАБУТИНА ул.</v>
      </c>
      <c r="E464" s="69" t="str">
        <f>[1]Лист2!C457</f>
        <v>20-22</v>
      </c>
      <c r="F464" s="197" t="str">
        <f>[1]Лист2!D457</f>
        <v>А</v>
      </c>
      <c r="G464" s="64"/>
      <c r="H464" s="199">
        <v>129457</v>
      </c>
      <c r="I464" s="64" t="s">
        <v>234</v>
      </c>
      <c r="J464" s="4"/>
      <c r="K464" s="64" t="s">
        <v>232</v>
      </c>
      <c r="L464" s="4" t="s">
        <v>232</v>
      </c>
      <c r="M464" s="72">
        <v>1889</v>
      </c>
      <c r="N464" s="64" t="s">
        <v>385</v>
      </c>
      <c r="O464" s="73">
        <v>4</v>
      </c>
      <c r="P464" s="196">
        <v>0</v>
      </c>
      <c r="Q464" s="73">
        <v>5</v>
      </c>
      <c r="R464" s="74">
        <v>65</v>
      </c>
      <c r="S464" s="76">
        <v>2246</v>
      </c>
      <c r="T464" s="82">
        <f t="shared" si="14"/>
        <v>1343</v>
      </c>
      <c r="U464" s="77">
        <f t="shared" si="15"/>
        <v>1343</v>
      </c>
      <c r="V464" s="78">
        <v>903</v>
      </c>
      <c r="W464" s="80" t="s">
        <v>233</v>
      </c>
      <c r="X464" s="81" t="s">
        <v>233</v>
      </c>
      <c r="Y464" s="4" t="s">
        <v>233</v>
      </c>
      <c r="Z464" s="81" t="s">
        <v>233</v>
      </c>
      <c r="AA464" s="64" t="s">
        <v>233</v>
      </c>
      <c r="AB464" s="81" t="s">
        <v>233</v>
      </c>
      <c r="AC464" s="4" t="s">
        <v>240</v>
      </c>
      <c r="AD464" s="64" t="s">
        <v>233</v>
      </c>
      <c r="AE464" s="64" t="s">
        <v>240</v>
      </c>
      <c r="AF464" s="208">
        <v>0</v>
      </c>
      <c r="AG464" s="4">
        <v>1</v>
      </c>
      <c r="AH464" s="64">
        <v>1</v>
      </c>
      <c r="AI464" s="4">
        <v>1</v>
      </c>
      <c r="AJ464" s="4">
        <v>1</v>
      </c>
      <c r="AK464" s="4">
        <v>0</v>
      </c>
    </row>
    <row r="465" spans="1:37" outlineLevel="1">
      <c r="A465" s="63">
        <v>458</v>
      </c>
      <c r="B465" s="64" t="s">
        <v>190</v>
      </c>
      <c r="C465" s="4" t="s">
        <v>237</v>
      </c>
      <c r="D465" s="4" t="str">
        <f>[1]Лист2!B458</f>
        <v>ЛАБУТИНА ул.</v>
      </c>
      <c r="E465" s="69" t="str">
        <f>[1]Лист2!C458</f>
        <v>20-22</v>
      </c>
      <c r="F465" s="197" t="str">
        <f>[1]Лист2!D458</f>
        <v>Б</v>
      </c>
      <c r="G465" s="64"/>
      <c r="H465" s="199">
        <v>129458</v>
      </c>
      <c r="I465" s="64" t="s">
        <v>234</v>
      </c>
      <c r="J465" s="4"/>
      <c r="K465" s="64" t="s">
        <v>232</v>
      </c>
      <c r="L465" s="4" t="s">
        <v>232</v>
      </c>
      <c r="M465" s="72">
        <v>1885</v>
      </c>
      <c r="N465" s="64" t="s">
        <v>385</v>
      </c>
      <c r="O465" s="73">
        <v>5</v>
      </c>
      <c r="P465" s="196">
        <v>0</v>
      </c>
      <c r="Q465" s="73">
        <v>2</v>
      </c>
      <c r="R465" s="74">
        <v>106</v>
      </c>
      <c r="S465" s="76">
        <v>2364</v>
      </c>
      <c r="T465" s="82">
        <f t="shared" si="14"/>
        <v>1545</v>
      </c>
      <c r="U465" s="77">
        <f t="shared" si="15"/>
        <v>1545</v>
      </c>
      <c r="V465" s="78">
        <v>819</v>
      </c>
      <c r="W465" s="80" t="s">
        <v>233</v>
      </c>
      <c r="X465" s="81" t="s">
        <v>233</v>
      </c>
      <c r="Y465" s="4" t="s">
        <v>233</v>
      </c>
      <c r="Z465" s="81" t="s">
        <v>233</v>
      </c>
      <c r="AA465" s="64" t="s">
        <v>233</v>
      </c>
      <c r="AB465" s="81" t="s">
        <v>233</v>
      </c>
      <c r="AC465" s="4" t="s">
        <v>240</v>
      </c>
      <c r="AD465" s="64" t="s">
        <v>233</v>
      </c>
      <c r="AE465" s="64" t="s">
        <v>240</v>
      </c>
      <c r="AF465" s="209">
        <v>0</v>
      </c>
      <c r="AG465" s="4">
        <v>1</v>
      </c>
      <c r="AH465" s="64">
        <v>1</v>
      </c>
      <c r="AI465" s="4">
        <v>0</v>
      </c>
      <c r="AJ465" s="4">
        <v>0</v>
      </c>
      <c r="AK465" s="4">
        <v>0</v>
      </c>
    </row>
    <row r="466" spans="1:37" outlineLevel="1">
      <c r="A466" s="5">
        <v>459</v>
      </c>
      <c r="B466" s="64" t="s">
        <v>190</v>
      </c>
      <c r="C466" s="4" t="s">
        <v>237</v>
      </c>
      <c r="D466" s="4" t="str">
        <f>[1]Лист2!B459</f>
        <v>ЛАБУТИНА ул.</v>
      </c>
      <c r="E466" s="69">
        <f>[1]Лист2!C459</f>
        <v>3</v>
      </c>
      <c r="F466" s="197" t="str">
        <f>[1]Лист2!D459</f>
        <v>Г</v>
      </c>
      <c r="G466" s="4"/>
      <c r="H466" s="199">
        <v>129459</v>
      </c>
      <c r="I466" s="64" t="s">
        <v>234</v>
      </c>
      <c r="J466" s="4"/>
      <c r="K466" s="64" t="s">
        <v>232</v>
      </c>
      <c r="L466" s="4" t="s">
        <v>232</v>
      </c>
      <c r="M466" s="72">
        <v>1899</v>
      </c>
      <c r="N466" s="64" t="s">
        <v>385</v>
      </c>
      <c r="O466" s="73">
        <v>4</v>
      </c>
      <c r="P466" s="196">
        <v>0</v>
      </c>
      <c r="Q466" s="73">
        <v>2</v>
      </c>
      <c r="R466" s="74">
        <v>16</v>
      </c>
      <c r="S466" s="76">
        <v>668.65</v>
      </c>
      <c r="T466" s="82">
        <f t="shared" si="14"/>
        <v>561.65</v>
      </c>
      <c r="U466" s="77">
        <f t="shared" si="15"/>
        <v>561.65</v>
      </c>
      <c r="V466" s="78">
        <v>107</v>
      </c>
      <c r="W466" s="80" t="s">
        <v>233</v>
      </c>
      <c r="X466" s="81" t="s">
        <v>233</v>
      </c>
      <c r="Y466" s="4" t="s">
        <v>233</v>
      </c>
      <c r="Z466" s="81" t="s">
        <v>233</v>
      </c>
      <c r="AA466" s="64" t="s">
        <v>233</v>
      </c>
      <c r="AB466" s="81" t="s">
        <v>233</v>
      </c>
      <c r="AC466" s="4" t="s">
        <v>240</v>
      </c>
      <c r="AD466" s="64" t="s">
        <v>233</v>
      </c>
      <c r="AE466" s="64" t="s">
        <v>240</v>
      </c>
      <c r="AF466" s="208">
        <v>0</v>
      </c>
      <c r="AG466" s="4">
        <v>1</v>
      </c>
      <c r="AH466" s="64">
        <v>1</v>
      </c>
      <c r="AI466" s="4">
        <v>0</v>
      </c>
      <c r="AJ466" s="4">
        <v>0</v>
      </c>
      <c r="AK466" s="4">
        <v>0</v>
      </c>
    </row>
    <row r="467" spans="1:37" outlineLevel="1">
      <c r="A467" s="5">
        <v>460</v>
      </c>
      <c r="B467" s="64" t="s">
        <v>190</v>
      </c>
      <c r="C467" s="4" t="s">
        <v>237</v>
      </c>
      <c r="D467" s="4" t="str">
        <f>[1]Лист2!B460</f>
        <v>ЛАБУТИНА ул.</v>
      </c>
      <c r="E467" s="69">
        <f>[1]Лист2!C460</f>
        <v>30</v>
      </c>
      <c r="F467" s="197" t="str">
        <f>[1]Лист2!D460</f>
        <v>А</v>
      </c>
      <c r="G467" s="4"/>
      <c r="H467" s="199">
        <v>129460</v>
      </c>
      <c r="I467" s="64" t="s">
        <v>234</v>
      </c>
      <c r="J467" s="4"/>
      <c r="K467" s="64" t="s">
        <v>232</v>
      </c>
      <c r="L467" s="4" t="s">
        <v>232</v>
      </c>
      <c r="M467" s="72">
        <v>1890</v>
      </c>
      <c r="N467" s="64" t="s">
        <v>385</v>
      </c>
      <c r="O467" s="73">
        <v>5</v>
      </c>
      <c r="P467" s="196">
        <v>0</v>
      </c>
      <c r="Q467" s="73">
        <v>2</v>
      </c>
      <c r="R467" s="74">
        <v>75</v>
      </c>
      <c r="S467" s="76">
        <v>1919.3999999999999</v>
      </c>
      <c r="T467" s="82">
        <f t="shared" si="14"/>
        <v>1647.1</v>
      </c>
      <c r="U467" s="77">
        <f t="shared" si="15"/>
        <v>1647.1</v>
      </c>
      <c r="V467" s="78">
        <v>272.3</v>
      </c>
      <c r="W467" s="80" t="s">
        <v>233</v>
      </c>
      <c r="X467" s="81" t="s">
        <v>233</v>
      </c>
      <c r="Y467" s="4" t="s">
        <v>233</v>
      </c>
      <c r="Z467" s="81" t="s">
        <v>233</v>
      </c>
      <c r="AA467" s="64" t="s">
        <v>233</v>
      </c>
      <c r="AB467" s="81" t="s">
        <v>233</v>
      </c>
      <c r="AC467" s="4" t="s">
        <v>240</v>
      </c>
      <c r="AD467" s="64" t="s">
        <v>233</v>
      </c>
      <c r="AE467" s="64" t="s">
        <v>240</v>
      </c>
      <c r="AF467" s="208">
        <v>0</v>
      </c>
      <c r="AG467" s="4">
        <v>1</v>
      </c>
      <c r="AH467" s="64">
        <v>1</v>
      </c>
      <c r="AI467" s="4">
        <v>0</v>
      </c>
      <c r="AJ467" s="4">
        <v>0</v>
      </c>
      <c r="AK467" s="4">
        <v>0</v>
      </c>
    </row>
    <row r="468" spans="1:37" outlineLevel="1">
      <c r="A468" s="5">
        <v>461</v>
      </c>
      <c r="B468" s="64" t="s">
        <v>190</v>
      </c>
      <c r="C468" s="4" t="s">
        <v>237</v>
      </c>
      <c r="D468" s="4" t="str">
        <f>[1]Лист2!B461</f>
        <v>ЛАБУТИНА ул.</v>
      </c>
      <c r="E468" s="69">
        <f>[1]Лист2!C461</f>
        <v>30</v>
      </c>
      <c r="F468" s="197" t="str">
        <f>[1]Лист2!D461</f>
        <v>Б</v>
      </c>
      <c r="G468" s="64"/>
      <c r="H468" s="199">
        <v>129461</v>
      </c>
      <c r="I468" s="64" t="s">
        <v>234</v>
      </c>
      <c r="J468" s="4"/>
      <c r="K468" s="64" t="s">
        <v>232</v>
      </c>
      <c r="L468" s="4" t="s">
        <v>232</v>
      </c>
      <c r="M468" s="72">
        <v>1890</v>
      </c>
      <c r="N468" s="64" t="s">
        <v>385</v>
      </c>
      <c r="O468" s="73">
        <v>4</v>
      </c>
      <c r="P468" s="196">
        <v>0</v>
      </c>
      <c r="Q468" s="73">
        <v>3</v>
      </c>
      <c r="R468" s="74">
        <v>29</v>
      </c>
      <c r="S468" s="76">
        <v>754.5</v>
      </c>
      <c r="T468" s="82">
        <f t="shared" si="14"/>
        <v>710.6</v>
      </c>
      <c r="U468" s="77">
        <f t="shared" si="15"/>
        <v>710.6</v>
      </c>
      <c r="V468" s="78">
        <v>43.9</v>
      </c>
      <c r="W468" s="80" t="s">
        <v>233</v>
      </c>
      <c r="X468" s="81" t="s">
        <v>233</v>
      </c>
      <c r="Y468" s="4" t="s">
        <v>233</v>
      </c>
      <c r="Z468" s="81" t="s">
        <v>233</v>
      </c>
      <c r="AA468" s="64" t="s">
        <v>233</v>
      </c>
      <c r="AB468" s="81" t="s">
        <v>233</v>
      </c>
      <c r="AC468" s="4" t="s">
        <v>240</v>
      </c>
      <c r="AD468" s="64" t="s">
        <v>233</v>
      </c>
      <c r="AE468" s="64" t="s">
        <v>240</v>
      </c>
      <c r="AF468" s="209">
        <v>0</v>
      </c>
      <c r="AG468" s="4">
        <v>1</v>
      </c>
      <c r="AH468" s="64">
        <v>1</v>
      </c>
      <c r="AI468" s="4">
        <v>0</v>
      </c>
      <c r="AJ468" s="4">
        <v>0</v>
      </c>
      <c r="AK468" s="4">
        <v>0</v>
      </c>
    </row>
    <row r="469" spans="1:37" outlineLevel="1">
      <c r="A469" s="5">
        <v>462</v>
      </c>
      <c r="B469" s="64" t="s">
        <v>190</v>
      </c>
      <c r="C469" s="4" t="s">
        <v>237</v>
      </c>
      <c r="D469" s="4" t="str">
        <f>[1]Лист2!B462</f>
        <v>ЛАБУТИНА ул.</v>
      </c>
      <c r="E469" s="69">
        <f>[1]Лист2!C462</f>
        <v>36</v>
      </c>
      <c r="F469" s="197" t="str">
        <f>[1]Лист2!D462</f>
        <v>А</v>
      </c>
      <c r="G469" s="64"/>
      <c r="H469" s="199">
        <v>129462</v>
      </c>
      <c r="I469" s="64" t="s">
        <v>234</v>
      </c>
      <c r="J469" s="4"/>
      <c r="K469" s="64" t="s">
        <v>232</v>
      </c>
      <c r="L469" s="4" t="s">
        <v>232</v>
      </c>
      <c r="M469" s="72">
        <v>1828</v>
      </c>
      <c r="N469" s="64" t="s">
        <v>385</v>
      </c>
      <c r="O469" s="73">
        <v>5</v>
      </c>
      <c r="P469" s="196">
        <v>0</v>
      </c>
      <c r="Q469" s="73">
        <v>6</v>
      </c>
      <c r="R469" s="74">
        <v>204</v>
      </c>
      <c r="S469" s="76">
        <v>5716.5599999999995</v>
      </c>
      <c r="T469" s="82">
        <f t="shared" si="14"/>
        <v>5163</v>
      </c>
      <c r="U469" s="77">
        <f t="shared" si="15"/>
        <v>5163</v>
      </c>
      <c r="V469" s="78">
        <v>553.55999999999995</v>
      </c>
      <c r="W469" s="80" t="s">
        <v>233</v>
      </c>
      <c r="X469" s="81" t="s">
        <v>233</v>
      </c>
      <c r="Y469" s="4" t="s">
        <v>233</v>
      </c>
      <c r="Z469" s="81" t="s">
        <v>233</v>
      </c>
      <c r="AA469" s="64" t="s">
        <v>233</v>
      </c>
      <c r="AB469" s="81" t="s">
        <v>233</v>
      </c>
      <c r="AC469" s="4" t="s">
        <v>240</v>
      </c>
      <c r="AD469" s="64" t="s">
        <v>233</v>
      </c>
      <c r="AE469" s="64" t="s">
        <v>240</v>
      </c>
      <c r="AF469" s="208">
        <v>0</v>
      </c>
      <c r="AG469" s="4">
        <v>1</v>
      </c>
      <c r="AH469" s="64">
        <v>2</v>
      </c>
      <c r="AI469" s="4">
        <v>1</v>
      </c>
      <c r="AJ469" s="4">
        <v>1</v>
      </c>
      <c r="AK469" s="4">
        <v>0</v>
      </c>
    </row>
    <row r="470" spans="1:37" outlineLevel="1">
      <c r="A470" s="63">
        <v>463</v>
      </c>
      <c r="B470" s="64" t="s">
        <v>190</v>
      </c>
      <c r="C470" s="4" t="s">
        <v>237</v>
      </c>
      <c r="D470" s="4" t="str">
        <f>[1]Лист2!B463</f>
        <v>ЛАБУТИНА ул.</v>
      </c>
      <c r="E470" s="69">
        <f>[1]Лист2!C463</f>
        <v>36</v>
      </c>
      <c r="F470" s="197" t="str">
        <f>[1]Лист2!D463</f>
        <v>Б</v>
      </c>
      <c r="G470" s="4"/>
      <c r="H470" s="199">
        <v>129463</v>
      </c>
      <c r="I470" s="64" t="s">
        <v>234</v>
      </c>
      <c r="J470" s="4"/>
      <c r="K470" s="64" t="s">
        <v>232</v>
      </c>
      <c r="L470" s="4" t="s">
        <v>232</v>
      </c>
      <c r="M470" s="72">
        <v>1902</v>
      </c>
      <c r="N470" s="64" t="s">
        <v>385</v>
      </c>
      <c r="O470" s="73">
        <v>5</v>
      </c>
      <c r="P470" s="196">
        <v>0</v>
      </c>
      <c r="Q470" s="73">
        <v>2</v>
      </c>
      <c r="R470" s="74">
        <v>95</v>
      </c>
      <c r="S470" s="76">
        <v>2263</v>
      </c>
      <c r="T470" s="82">
        <f t="shared" si="14"/>
        <v>2181</v>
      </c>
      <c r="U470" s="77">
        <f t="shared" si="15"/>
        <v>2181</v>
      </c>
      <c r="V470" s="78">
        <v>82</v>
      </c>
      <c r="W470" s="80" t="s">
        <v>233</v>
      </c>
      <c r="X470" s="81" t="s">
        <v>233</v>
      </c>
      <c r="Y470" s="4" t="s">
        <v>233</v>
      </c>
      <c r="Z470" s="81" t="s">
        <v>233</v>
      </c>
      <c r="AA470" s="64" t="s">
        <v>233</v>
      </c>
      <c r="AB470" s="81" t="s">
        <v>233</v>
      </c>
      <c r="AC470" s="4" t="s">
        <v>240</v>
      </c>
      <c r="AD470" s="64" t="s">
        <v>233</v>
      </c>
      <c r="AE470" s="64" t="s">
        <v>240</v>
      </c>
      <c r="AF470" s="209">
        <v>0</v>
      </c>
      <c r="AG470" s="4">
        <v>1</v>
      </c>
      <c r="AH470" s="64">
        <v>1</v>
      </c>
      <c r="AI470" s="4">
        <v>0</v>
      </c>
      <c r="AJ470" s="4">
        <v>0</v>
      </c>
      <c r="AK470" s="4">
        <v>0</v>
      </c>
    </row>
    <row r="471" spans="1:37" s="65" customFormat="1" outlineLevel="1">
      <c r="A471" s="63">
        <v>464</v>
      </c>
      <c r="B471" s="64" t="s">
        <v>190</v>
      </c>
      <c r="C471" s="4" t="s">
        <v>237</v>
      </c>
      <c r="D471" s="64" t="str">
        <f>[1]Лист2!B464</f>
        <v>ЛАБУТИНА ул.</v>
      </c>
      <c r="E471" s="71" t="s">
        <v>216</v>
      </c>
      <c r="F471" s="196" t="str">
        <f>[1]Лист2!D464</f>
        <v>А</v>
      </c>
      <c r="G471" s="4"/>
      <c r="H471" s="67">
        <v>129464</v>
      </c>
      <c r="I471" s="64" t="s">
        <v>234</v>
      </c>
      <c r="J471" s="64"/>
      <c r="K471" s="64" t="s">
        <v>232</v>
      </c>
      <c r="L471" s="64" t="s">
        <v>232</v>
      </c>
      <c r="M471" s="72">
        <v>1813</v>
      </c>
      <c r="N471" s="64" t="s">
        <v>385</v>
      </c>
      <c r="O471" s="73">
        <v>3</v>
      </c>
      <c r="P471" s="196">
        <v>0</v>
      </c>
      <c r="Q471" s="73">
        <v>3</v>
      </c>
      <c r="R471" s="74">
        <v>41</v>
      </c>
      <c r="S471" s="75">
        <v>1776.4</v>
      </c>
      <c r="T471" s="82">
        <f t="shared" si="14"/>
        <v>1183.4000000000001</v>
      </c>
      <c r="U471" s="77">
        <f t="shared" si="15"/>
        <v>1183.4000000000001</v>
      </c>
      <c r="V471" s="77">
        <v>593</v>
      </c>
      <c r="W471" s="80" t="s">
        <v>233</v>
      </c>
      <c r="X471" s="81" t="s">
        <v>233</v>
      </c>
      <c r="Y471" s="64" t="s">
        <v>233</v>
      </c>
      <c r="Z471" s="81" t="s">
        <v>233</v>
      </c>
      <c r="AA471" s="64" t="s">
        <v>233</v>
      </c>
      <c r="AB471" s="81" t="s">
        <v>233</v>
      </c>
      <c r="AC471" s="4" t="s">
        <v>240</v>
      </c>
      <c r="AD471" s="64" t="s">
        <v>233</v>
      </c>
      <c r="AE471" s="64" t="s">
        <v>240</v>
      </c>
      <c r="AF471" s="208">
        <v>0</v>
      </c>
      <c r="AG471" s="4">
        <v>1</v>
      </c>
      <c r="AH471" s="64">
        <v>1</v>
      </c>
      <c r="AI471" s="64">
        <v>0</v>
      </c>
      <c r="AJ471" s="64">
        <v>0</v>
      </c>
      <c r="AK471" s="64">
        <v>0</v>
      </c>
    </row>
    <row r="472" spans="1:37" s="65" customFormat="1" outlineLevel="1">
      <c r="A472" s="5">
        <v>465</v>
      </c>
      <c r="B472" s="64" t="s">
        <v>190</v>
      </c>
      <c r="C472" s="4" t="s">
        <v>237</v>
      </c>
      <c r="D472" s="64" t="str">
        <f>[1]Лист2!B465</f>
        <v>ЛАБУТИНА ул.</v>
      </c>
      <c r="E472" s="71">
        <f>[1]Лист2!C465</f>
        <v>7</v>
      </c>
      <c r="F472" s="196" t="str">
        <f>[1]Лист2!D465</f>
        <v>А</v>
      </c>
      <c r="G472" s="64"/>
      <c r="H472" s="67">
        <v>129465</v>
      </c>
      <c r="I472" s="64" t="s">
        <v>234</v>
      </c>
      <c r="J472" s="64"/>
      <c r="K472" s="64" t="s">
        <v>232</v>
      </c>
      <c r="L472" s="64" t="s">
        <v>232</v>
      </c>
      <c r="M472" s="72">
        <v>1917</v>
      </c>
      <c r="N472" s="64" t="s">
        <v>385</v>
      </c>
      <c r="O472" s="73">
        <v>3</v>
      </c>
      <c r="P472" s="196">
        <v>0</v>
      </c>
      <c r="Q472" s="73">
        <v>3</v>
      </c>
      <c r="R472" s="74">
        <v>19</v>
      </c>
      <c r="S472" s="75">
        <v>766.87</v>
      </c>
      <c r="T472" s="82">
        <f t="shared" si="14"/>
        <v>766.87</v>
      </c>
      <c r="U472" s="77">
        <f t="shared" si="15"/>
        <v>766.87</v>
      </c>
      <c r="V472" s="77">
        <v>0</v>
      </c>
      <c r="W472" s="80" t="s">
        <v>233</v>
      </c>
      <c r="X472" s="81" t="s">
        <v>233</v>
      </c>
      <c r="Y472" s="64" t="s">
        <v>233</v>
      </c>
      <c r="Z472" s="81" t="s">
        <v>233</v>
      </c>
      <c r="AA472" s="64" t="s">
        <v>233</v>
      </c>
      <c r="AB472" s="81" t="s">
        <v>233</v>
      </c>
      <c r="AC472" s="4" t="s">
        <v>240</v>
      </c>
      <c r="AD472" s="64" t="s">
        <v>233</v>
      </c>
      <c r="AE472" s="64" t="s">
        <v>240</v>
      </c>
      <c r="AF472" s="208">
        <v>0</v>
      </c>
      <c r="AG472" s="4">
        <v>1</v>
      </c>
      <c r="AH472" s="64">
        <v>1</v>
      </c>
      <c r="AI472" s="64">
        <v>1</v>
      </c>
      <c r="AJ472" s="64">
        <v>1</v>
      </c>
      <c r="AK472" s="64">
        <v>0</v>
      </c>
    </row>
    <row r="473" spans="1:37" s="65" customFormat="1" outlineLevel="1">
      <c r="A473" s="5">
        <v>466</v>
      </c>
      <c r="B473" s="64" t="s">
        <v>190</v>
      </c>
      <c r="C473" s="4" t="s">
        <v>237</v>
      </c>
      <c r="D473" s="64" t="str">
        <f>[1]Лист2!B466</f>
        <v>ЛАБУТИНА ул.</v>
      </c>
      <c r="E473" s="71">
        <f>[1]Лист2!C466</f>
        <v>8</v>
      </c>
      <c r="F473" s="196" t="str">
        <f>[1]Лист2!D466</f>
        <v>А</v>
      </c>
      <c r="G473" s="64"/>
      <c r="H473" s="67">
        <v>129466</v>
      </c>
      <c r="I473" s="64" t="s">
        <v>234</v>
      </c>
      <c r="J473" s="64"/>
      <c r="K473" s="64" t="s">
        <v>232</v>
      </c>
      <c r="L473" s="64" t="s">
        <v>232</v>
      </c>
      <c r="M473" s="72">
        <v>1917</v>
      </c>
      <c r="N473" s="64" t="s">
        <v>385</v>
      </c>
      <c r="O473" s="73">
        <v>4</v>
      </c>
      <c r="P473" s="196">
        <v>0</v>
      </c>
      <c r="Q473" s="73">
        <v>1</v>
      </c>
      <c r="R473" s="74">
        <v>16</v>
      </c>
      <c r="S473" s="75">
        <v>1128.48</v>
      </c>
      <c r="T473" s="82">
        <f t="shared" si="14"/>
        <v>403.28</v>
      </c>
      <c r="U473" s="77">
        <f t="shared" si="15"/>
        <v>403.28</v>
      </c>
      <c r="V473" s="77">
        <v>725.2</v>
      </c>
      <c r="W473" s="80" t="s">
        <v>233</v>
      </c>
      <c r="X473" s="81" t="s">
        <v>233</v>
      </c>
      <c r="Y473" s="64" t="s">
        <v>240</v>
      </c>
      <c r="Z473" s="81" t="s">
        <v>233</v>
      </c>
      <c r="AA473" s="64" t="s">
        <v>233</v>
      </c>
      <c r="AB473" s="81" t="s">
        <v>233</v>
      </c>
      <c r="AC473" s="64" t="s">
        <v>233</v>
      </c>
      <c r="AD473" s="64" t="s">
        <v>233</v>
      </c>
      <c r="AE473" s="64" t="s">
        <v>240</v>
      </c>
      <c r="AF473" s="208">
        <v>0</v>
      </c>
      <c r="AG473" s="4">
        <v>1</v>
      </c>
      <c r="AH473" s="64">
        <v>1</v>
      </c>
      <c r="AI473" s="64">
        <v>0</v>
      </c>
      <c r="AJ473" s="64">
        <v>0</v>
      </c>
      <c r="AK473" s="64">
        <v>0</v>
      </c>
    </row>
    <row r="474" spans="1:37" s="65" customFormat="1" outlineLevel="1">
      <c r="A474" s="5">
        <v>467</v>
      </c>
      <c r="B474" s="64" t="s">
        <v>190</v>
      </c>
      <c r="C474" s="4" t="s">
        <v>237</v>
      </c>
      <c r="D474" s="64" t="str">
        <f>[1]Лист2!B467</f>
        <v>ЛЕРМОНТОВСКИЙ пр.</v>
      </c>
      <c r="E474" s="71" t="s">
        <v>217</v>
      </c>
      <c r="F474" s="196" t="str">
        <f>[1]Лист2!D467</f>
        <v>А</v>
      </c>
      <c r="G474" s="4"/>
      <c r="H474" s="67">
        <v>129467</v>
      </c>
      <c r="I474" s="64" t="s">
        <v>234</v>
      </c>
      <c r="J474" s="64"/>
      <c r="K474" s="64" t="s">
        <v>232</v>
      </c>
      <c r="L474" s="64" t="s">
        <v>232</v>
      </c>
      <c r="M474" s="72">
        <v>1838</v>
      </c>
      <c r="N474" s="64" t="s">
        <v>385</v>
      </c>
      <c r="O474" s="73">
        <v>4</v>
      </c>
      <c r="P474" s="196">
        <v>0</v>
      </c>
      <c r="Q474" s="73">
        <v>8</v>
      </c>
      <c r="R474" s="74">
        <v>69</v>
      </c>
      <c r="S474" s="75">
        <v>5040.34</v>
      </c>
      <c r="T474" s="82">
        <f t="shared" si="14"/>
        <v>4184.34</v>
      </c>
      <c r="U474" s="77">
        <f t="shared" si="15"/>
        <v>4184.34</v>
      </c>
      <c r="V474" s="77">
        <v>856</v>
      </c>
      <c r="W474" s="80" t="s">
        <v>233</v>
      </c>
      <c r="X474" s="81" t="s">
        <v>233</v>
      </c>
      <c r="Y474" s="64" t="s">
        <v>233</v>
      </c>
      <c r="Z474" s="81" t="s">
        <v>233</v>
      </c>
      <c r="AA474" s="64" t="s">
        <v>233</v>
      </c>
      <c r="AB474" s="81" t="s">
        <v>233</v>
      </c>
      <c r="AC474" s="4" t="s">
        <v>240</v>
      </c>
      <c r="AD474" s="64" t="s">
        <v>233</v>
      </c>
      <c r="AE474" s="64" t="s">
        <v>240</v>
      </c>
      <c r="AF474" s="208">
        <v>0</v>
      </c>
      <c r="AG474" s="4">
        <v>1</v>
      </c>
      <c r="AH474" s="64">
        <v>1</v>
      </c>
      <c r="AI474" s="64">
        <v>0</v>
      </c>
      <c r="AJ474" s="64">
        <v>0</v>
      </c>
      <c r="AK474" s="64">
        <v>0</v>
      </c>
    </row>
    <row r="475" spans="1:37" outlineLevel="1">
      <c r="A475" s="5">
        <v>468</v>
      </c>
      <c r="B475" s="64" t="s">
        <v>190</v>
      </c>
      <c r="C475" s="4" t="s">
        <v>237</v>
      </c>
      <c r="D475" s="4" t="str">
        <f>[1]Лист2!B468</f>
        <v>ЛЕРМОНТОВСКИЙ пр.</v>
      </c>
      <c r="E475" s="69">
        <f>[1]Лист2!C468</f>
        <v>12</v>
      </c>
      <c r="F475" s="197" t="str">
        <f>[1]Лист2!D468</f>
        <v>А</v>
      </c>
      <c r="G475" s="4"/>
      <c r="H475" s="199">
        <v>129468</v>
      </c>
      <c r="I475" s="64" t="s">
        <v>234</v>
      </c>
      <c r="J475" s="4"/>
      <c r="K475" s="64" t="s">
        <v>232</v>
      </c>
      <c r="L475" s="4" t="s">
        <v>232</v>
      </c>
      <c r="M475" s="72">
        <v>1870</v>
      </c>
      <c r="N475" s="64" t="s">
        <v>385</v>
      </c>
      <c r="O475" s="73">
        <v>4</v>
      </c>
      <c r="P475" s="196">
        <v>0</v>
      </c>
      <c r="Q475" s="73">
        <v>2</v>
      </c>
      <c r="R475" s="74">
        <v>23</v>
      </c>
      <c r="S475" s="76">
        <v>1753.07</v>
      </c>
      <c r="T475" s="82">
        <f t="shared" si="14"/>
        <v>1444.37</v>
      </c>
      <c r="U475" s="77">
        <f t="shared" si="15"/>
        <v>1444.37</v>
      </c>
      <c r="V475" s="78">
        <v>308.7</v>
      </c>
      <c r="W475" s="80" t="s">
        <v>233</v>
      </c>
      <c r="X475" s="81" t="s">
        <v>233</v>
      </c>
      <c r="Y475" s="4" t="s">
        <v>240</v>
      </c>
      <c r="Z475" s="81" t="s">
        <v>233</v>
      </c>
      <c r="AA475" s="64" t="s">
        <v>233</v>
      </c>
      <c r="AB475" s="81" t="s">
        <v>233</v>
      </c>
      <c r="AC475" s="4" t="s">
        <v>233</v>
      </c>
      <c r="AD475" s="64" t="s">
        <v>233</v>
      </c>
      <c r="AE475" s="64" t="s">
        <v>240</v>
      </c>
      <c r="AF475" s="208">
        <v>0</v>
      </c>
      <c r="AG475" s="4">
        <v>1</v>
      </c>
      <c r="AH475" s="64">
        <v>1</v>
      </c>
      <c r="AI475" s="4">
        <v>0</v>
      </c>
      <c r="AJ475" s="4">
        <v>1</v>
      </c>
      <c r="AK475" s="4">
        <v>0</v>
      </c>
    </row>
    <row r="476" spans="1:37" outlineLevel="1">
      <c r="A476" s="63">
        <v>469</v>
      </c>
      <c r="B476" s="64" t="s">
        <v>190</v>
      </c>
      <c r="C476" s="4" t="s">
        <v>237</v>
      </c>
      <c r="D476" s="4" t="str">
        <f>[1]Лист2!B469</f>
        <v>ЛЕРМОНТОВСКИЙ пр.</v>
      </c>
      <c r="E476" s="69">
        <f>[1]Лист2!C469</f>
        <v>14</v>
      </c>
      <c r="F476" s="197" t="str">
        <f>[1]Лист2!D469</f>
        <v>А</v>
      </c>
      <c r="G476" s="64"/>
      <c r="H476" s="199">
        <v>129469</v>
      </c>
      <c r="I476" s="64" t="s">
        <v>234</v>
      </c>
      <c r="J476" s="4" t="s">
        <v>242</v>
      </c>
      <c r="K476" s="64" t="s">
        <v>232</v>
      </c>
      <c r="L476" s="4" t="s">
        <v>232</v>
      </c>
      <c r="M476" s="72">
        <v>1917</v>
      </c>
      <c r="N476" s="64" t="s">
        <v>385</v>
      </c>
      <c r="O476" s="73">
        <v>4</v>
      </c>
      <c r="P476" s="196">
        <v>0</v>
      </c>
      <c r="Q476" s="73">
        <v>2</v>
      </c>
      <c r="R476" s="74">
        <v>8</v>
      </c>
      <c r="S476" s="76">
        <v>1586.39</v>
      </c>
      <c r="T476" s="82">
        <f t="shared" si="14"/>
        <v>0</v>
      </c>
      <c r="U476" s="77">
        <f t="shared" si="15"/>
        <v>0</v>
      </c>
      <c r="V476" s="78">
        <v>1586.39</v>
      </c>
      <c r="W476" s="80" t="s">
        <v>233</v>
      </c>
      <c r="X476" s="81" t="s">
        <v>233</v>
      </c>
      <c r="Y476" s="4" t="s">
        <v>233</v>
      </c>
      <c r="Z476" s="81" t="s">
        <v>233</v>
      </c>
      <c r="AA476" s="64" t="s">
        <v>233</v>
      </c>
      <c r="AB476" s="81" t="s">
        <v>233</v>
      </c>
      <c r="AC476" s="4" t="s">
        <v>240</v>
      </c>
      <c r="AD476" s="64" t="s">
        <v>233</v>
      </c>
      <c r="AE476" s="64" t="s">
        <v>240</v>
      </c>
      <c r="AF476" s="208">
        <v>0</v>
      </c>
      <c r="AG476" s="4">
        <v>1</v>
      </c>
      <c r="AH476" s="64">
        <v>1</v>
      </c>
      <c r="AI476" s="4">
        <v>0</v>
      </c>
      <c r="AJ476" s="4">
        <v>0</v>
      </c>
      <c r="AK476" s="4">
        <v>0</v>
      </c>
    </row>
    <row r="477" spans="1:37" outlineLevel="1">
      <c r="A477" s="63">
        <v>470</v>
      </c>
      <c r="B477" s="64" t="s">
        <v>190</v>
      </c>
      <c r="C477" s="4" t="s">
        <v>237</v>
      </c>
      <c r="D477" s="4" t="str">
        <f>[1]Лист2!B470</f>
        <v>ЛЕРМОНТОВСКИЙ пр.</v>
      </c>
      <c r="E477" s="69">
        <f>[1]Лист2!C470</f>
        <v>15</v>
      </c>
      <c r="F477" s="197" t="str">
        <f>[1]Лист2!D470</f>
        <v>А</v>
      </c>
      <c r="G477" s="64"/>
      <c r="H477" s="199">
        <v>129470</v>
      </c>
      <c r="I477" s="64" t="s">
        <v>234</v>
      </c>
      <c r="J477" s="4"/>
      <c r="K477" s="64" t="s">
        <v>232</v>
      </c>
      <c r="L477" s="4" t="s">
        <v>232</v>
      </c>
      <c r="M477" s="72">
        <v>1831</v>
      </c>
      <c r="N477" s="64" t="s">
        <v>385</v>
      </c>
      <c r="O477" s="73">
        <v>4</v>
      </c>
      <c r="P477" s="196">
        <v>0</v>
      </c>
      <c r="Q477" s="73">
        <v>1</v>
      </c>
      <c r="R477" s="74">
        <v>28</v>
      </c>
      <c r="S477" s="76">
        <v>970.79</v>
      </c>
      <c r="T477" s="82">
        <f t="shared" si="14"/>
        <v>970.79</v>
      </c>
      <c r="U477" s="77">
        <f t="shared" si="15"/>
        <v>970.79</v>
      </c>
      <c r="V477" s="78">
        <v>0</v>
      </c>
      <c r="W477" s="80" t="s">
        <v>233</v>
      </c>
      <c r="X477" s="81" t="s">
        <v>233</v>
      </c>
      <c r="Y477" s="4" t="s">
        <v>233</v>
      </c>
      <c r="Z477" s="81" t="s">
        <v>233</v>
      </c>
      <c r="AA477" s="64" t="s">
        <v>233</v>
      </c>
      <c r="AB477" s="81" t="s">
        <v>233</v>
      </c>
      <c r="AC477" s="4" t="s">
        <v>240</v>
      </c>
      <c r="AD477" s="64" t="s">
        <v>233</v>
      </c>
      <c r="AE477" s="64" t="s">
        <v>240</v>
      </c>
      <c r="AF477" s="208">
        <v>0</v>
      </c>
      <c r="AG477" s="4">
        <v>1</v>
      </c>
      <c r="AH477" s="64">
        <v>1</v>
      </c>
      <c r="AI477" s="4">
        <v>0</v>
      </c>
      <c r="AJ477" s="4">
        <v>0</v>
      </c>
      <c r="AK477" s="4">
        <v>0</v>
      </c>
    </row>
    <row r="478" spans="1:37" outlineLevel="1">
      <c r="A478" s="5">
        <v>471</v>
      </c>
      <c r="B478" s="64" t="s">
        <v>190</v>
      </c>
      <c r="C478" s="4" t="s">
        <v>237</v>
      </c>
      <c r="D478" s="4" t="str">
        <f>[1]Лист2!B471</f>
        <v>ЛЕРМОНТОВСКИЙ пр.</v>
      </c>
      <c r="E478" s="69">
        <f>[1]Лист2!C471</f>
        <v>17</v>
      </c>
      <c r="F478" s="197" t="str">
        <f>[1]Лист2!D471</f>
        <v>А</v>
      </c>
      <c r="G478" s="4"/>
      <c r="H478" s="199">
        <v>129471</v>
      </c>
      <c r="I478" s="64" t="s">
        <v>234</v>
      </c>
      <c r="J478" s="4"/>
      <c r="K478" s="64" t="s">
        <v>232</v>
      </c>
      <c r="L478" s="4" t="s">
        <v>232</v>
      </c>
      <c r="M478" s="72">
        <v>1825</v>
      </c>
      <c r="N478" s="64" t="s">
        <v>385</v>
      </c>
      <c r="O478" s="73">
        <v>4</v>
      </c>
      <c r="P478" s="196">
        <v>0</v>
      </c>
      <c r="Q478" s="73">
        <v>6</v>
      </c>
      <c r="R478" s="74">
        <v>99</v>
      </c>
      <c r="S478" s="76">
        <v>4207.3500000000004</v>
      </c>
      <c r="T478" s="82">
        <f t="shared" si="14"/>
        <v>3935.55</v>
      </c>
      <c r="U478" s="77">
        <f t="shared" si="15"/>
        <v>3935.55</v>
      </c>
      <c r="V478" s="78">
        <v>271.8</v>
      </c>
      <c r="W478" s="80" t="s">
        <v>233</v>
      </c>
      <c r="X478" s="81" t="s">
        <v>233</v>
      </c>
      <c r="Y478" s="4" t="s">
        <v>233</v>
      </c>
      <c r="Z478" s="81" t="s">
        <v>233</v>
      </c>
      <c r="AA478" s="64" t="s">
        <v>233</v>
      </c>
      <c r="AB478" s="81" t="s">
        <v>233</v>
      </c>
      <c r="AC478" s="4" t="s">
        <v>240</v>
      </c>
      <c r="AD478" s="64" t="s">
        <v>233</v>
      </c>
      <c r="AE478" s="64" t="s">
        <v>240</v>
      </c>
      <c r="AF478" s="208">
        <v>0</v>
      </c>
      <c r="AG478" s="4">
        <v>1</v>
      </c>
      <c r="AH478" s="64">
        <v>2</v>
      </c>
      <c r="AI478" s="4">
        <v>1</v>
      </c>
      <c r="AJ478" s="4">
        <v>1</v>
      </c>
      <c r="AK478" s="4">
        <v>0</v>
      </c>
    </row>
    <row r="479" spans="1:37" outlineLevel="1">
      <c r="A479" s="5">
        <v>472</v>
      </c>
      <c r="B479" s="64" t="s">
        <v>190</v>
      </c>
      <c r="C479" s="4" t="s">
        <v>237</v>
      </c>
      <c r="D479" s="4" t="str">
        <f>[1]Лист2!B472</f>
        <v>ЛЕРМОНТОВСКИЙ пр.</v>
      </c>
      <c r="E479" s="69">
        <f>[1]Лист2!C472</f>
        <v>18</v>
      </c>
      <c r="F479" s="197" t="str">
        <f>[1]Лист2!D472</f>
        <v>А</v>
      </c>
      <c r="G479" s="4"/>
      <c r="H479" s="199">
        <v>129472</v>
      </c>
      <c r="I479" s="64" t="s">
        <v>234</v>
      </c>
      <c r="J479" s="4"/>
      <c r="K479" s="64" t="s">
        <v>232</v>
      </c>
      <c r="L479" s="4" t="s">
        <v>232</v>
      </c>
      <c r="M479" s="72">
        <v>1900</v>
      </c>
      <c r="N479" s="64" t="s">
        <v>385</v>
      </c>
      <c r="O479" s="73">
        <v>4</v>
      </c>
      <c r="P479" s="196">
        <v>0</v>
      </c>
      <c r="Q479" s="73">
        <v>2</v>
      </c>
      <c r="R479" s="74">
        <v>19</v>
      </c>
      <c r="S479" s="76">
        <v>1091.8800000000001</v>
      </c>
      <c r="T479" s="82">
        <f t="shared" si="14"/>
        <v>538.88000000000011</v>
      </c>
      <c r="U479" s="77">
        <f t="shared" si="15"/>
        <v>538.88000000000011</v>
      </c>
      <c r="V479" s="78">
        <v>553</v>
      </c>
      <c r="W479" s="80" t="s">
        <v>233</v>
      </c>
      <c r="X479" s="81" t="s">
        <v>233</v>
      </c>
      <c r="Y479" s="4" t="s">
        <v>233</v>
      </c>
      <c r="Z479" s="81" t="s">
        <v>233</v>
      </c>
      <c r="AA479" s="64" t="s">
        <v>233</v>
      </c>
      <c r="AB479" s="81" t="s">
        <v>233</v>
      </c>
      <c r="AC479" s="4" t="s">
        <v>240</v>
      </c>
      <c r="AD479" s="64" t="s">
        <v>233</v>
      </c>
      <c r="AE479" s="64" t="s">
        <v>240</v>
      </c>
      <c r="AF479" s="208">
        <v>0</v>
      </c>
      <c r="AG479" s="4">
        <v>1</v>
      </c>
      <c r="AH479" s="64">
        <v>1</v>
      </c>
      <c r="AI479" s="4">
        <v>0</v>
      </c>
      <c r="AJ479" s="4">
        <v>0</v>
      </c>
      <c r="AK479" s="4">
        <v>0</v>
      </c>
    </row>
    <row r="480" spans="1:37" outlineLevel="1">
      <c r="A480" s="5">
        <v>473</v>
      </c>
      <c r="B480" s="64" t="s">
        <v>190</v>
      </c>
      <c r="C480" s="4" t="s">
        <v>237</v>
      </c>
      <c r="D480" s="4" t="str">
        <f>[1]Лист2!B473</f>
        <v>ЛЕРМОНТОВСКИЙ пр.</v>
      </c>
      <c r="E480" s="69">
        <f>[1]Лист2!C473</f>
        <v>20</v>
      </c>
      <c r="F480" s="197" t="str">
        <f>[1]Лист2!D473</f>
        <v>А</v>
      </c>
      <c r="G480" s="64"/>
      <c r="H480" s="199">
        <v>129473</v>
      </c>
      <c r="I480" s="64" t="s">
        <v>234</v>
      </c>
      <c r="J480" s="4"/>
      <c r="K480" s="64" t="s">
        <v>232</v>
      </c>
      <c r="L480" s="4" t="s">
        <v>232</v>
      </c>
      <c r="M480" s="72">
        <v>1846</v>
      </c>
      <c r="N480" s="64" t="s">
        <v>385</v>
      </c>
      <c r="O480" s="73">
        <v>5</v>
      </c>
      <c r="P480" s="196">
        <v>0</v>
      </c>
      <c r="Q480" s="73">
        <v>3</v>
      </c>
      <c r="R480" s="74">
        <v>52</v>
      </c>
      <c r="S480" s="76">
        <v>2138.11</v>
      </c>
      <c r="T480" s="82">
        <f t="shared" si="14"/>
        <v>1690.71</v>
      </c>
      <c r="U480" s="77">
        <f t="shared" si="15"/>
        <v>1690.71</v>
      </c>
      <c r="V480" s="78">
        <v>447.4</v>
      </c>
      <c r="W480" s="80" t="s">
        <v>233</v>
      </c>
      <c r="X480" s="81" t="s">
        <v>233</v>
      </c>
      <c r="Y480" s="4" t="s">
        <v>233</v>
      </c>
      <c r="Z480" s="81" t="s">
        <v>233</v>
      </c>
      <c r="AA480" s="64" t="s">
        <v>233</v>
      </c>
      <c r="AB480" s="81" t="s">
        <v>233</v>
      </c>
      <c r="AC480" s="4" t="s">
        <v>240</v>
      </c>
      <c r="AD480" s="64" t="s">
        <v>233</v>
      </c>
      <c r="AE480" s="64" t="s">
        <v>240</v>
      </c>
      <c r="AF480" s="208">
        <v>1</v>
      </c>
      <c r="AG480" s="4">
        <v>2</v>
      </c>
      <c r="AH480" s="64">
        <v>1</v>
      </c>
      <c r="AI480" s="4">
        <v>1</v>
      </c>
      <c r="AJ480" s="4">
        <v>1</v>
      </c>
      <c r="AK480" s="4">
        <v>0</v>
      </c>
    </row>
    <row r="481" spans="1:37" outlineLevel="1">
      <c r="A481" s="5">
        <v>474</v>
      </c>
      <c r="B481" s="64" t="s">
        <v>190</v>
      </c>
      <c r="C481" s="4" t="s">
        <v>237</v>
      </c>
      <c r="D481" s="4" t="str">
        <f>[1]Лист2!B474</f>
        <v>ЛЕРМОНТОВСКИЙ пр.</v>
      </c>
      <c r="E481" s="69">
        <f>[1]Лист2!C474</f>
        <v>22</v>
      </c>
      <c r="F481" s="197" t="str">
        <f>[1]Лист2!D474</f>
        <v>А</v>
      </c>
      <c r="G481" s="64"/>
      <c r="H481" s="199">
        <v>129474</v>
      </c>
      <c r="I481" s="64" t="s">
        <v>234</v>
      </c>
      <c r="J481" s="4"/>
      <c r="K481" s="64" t="s">
        <v>232</v>
      </c>
      <c r="L481" s="4" t="s">
        <v>232</v>
      </c>
      <c r="M481" s="72">
        <v>1896</v>
      </c>
      <c r="N481" s="64" t="s">
        <v>385</v>
      </c>
      <c r="O481" s="73">
        <v>5</v>
      </c>
      <c r="P481" s="196">
        <v>0</v>
      </c>
      <c r="Q481" s="73">
        <v>2</v>
      </c>
      <c r="R481" s="74">
        <v>44</v>
      </c>
      <c r="S481" s="76">
        <v>2067.38</v>
      </c>
      <c r="T481" s="82">
        <f t="shared" si="14"/>
        <v>1782.7800000000002</v>
      </c>
      <c r="U481" s="77">
        <f t="shared" si="15"/>
        <v>1782.7800000000002</v>
      </c>
      <c r="V481" s="78">
        <v>284.60000000000002</v>
      </c>
      <c r="W481" s="80" t="s">
        <v>233</v>
      </c>
      <c r="X481" s="81" t="s">
        <v>233</v>
      </c>
      <c r="Y481" s="4" t="s">
        <v>233</v>
      </c>
      <c r="Z481" s="81" t="s">
        <v>233</v>
      </c>
      <c r="AA481" s="64" t="s">
        <v>233</v>
      </c>
      <c r="AB481" s="81" t="s">
        <v>233</v>
      </c>
      <c r="AC481" s="4" t="s">
        <v>240</v>
      </c>
      <c r="AD481" s="64" t="s">
        <v>233</v>
      </c>
      <c r="AE481" s="64" t="s">
        <v>240</v>
      </c>
      <c r="AF481" s="208">
        <v>1</v>
      </c>
      <c r="AG481" s="4">
        <v>2</v>
      </c>
      <c r="AH481" s="64">
        <v>1</v>
      </c>
      <c r="AI481" s="4">
        <v>1</v>
      </c>
      <c r="AJ481" s="4">
        <v>1</v>
      </c>
      <c r="AK481" s="4">
        <v>0</v>
      </c>
    </row>
    <row r="482" spans="1:37" outlineLevel="1">
      <c r="A482" s="63">
        <v>475</v>
      </c>
      <c r="B482" s="64" t="s">
        <v>190</v>
      </c>
      <c r="C482" s="4" t="s">
        <v>237</v>
      </c>
      <c r="D482" s="4" t="str">
        <f>[1]Лист2!B475</f>
        <v>ЛЕРМОНТОВСКИЙ пр.</v>
      </c>
      <c r="E482" s="69">
        <f>[1]Лист2!C475</f>
        <v>23</v>
      </c>
      <c r="F482" s="197" t="str">
        <f>[1]Лист2!D475</f>
        <v>А</v>
      </c>
      <c r="G482" s="4"/>
      <c r="H482" s="199">
        <v>129475</v>
      </c>
      <c r="I482" s="64" t="s">
        <v>234</v>
      </c>
      <c r="J482" s="4"/>
      <c r="K482" s="64" t="s">
        <v>232</v>
      </c>
      <c r="L482" s="4" t="s">
        <v>232</v>
      </c>
      <c r="M482" s="72">
        <v>1876</v>
      </c>
      <c r="N482" s="64" t="s">
        <v>385</v>
      </c>
      <c r="O482" s="73">
        <v>5</v>
      </c>
      <c r="P482" s="196">
        <v>0</v>
      </c>
      <c r="Q482" s="73">
        <v>1</v>
      </c>
      <c r="R482" s="74">
        <v>36</v>
      </c>
      <c r="S482" s="76">
        <v>1148.3</v>
      </c>
      <c r="T482" s="82">
        <f t="shared" si="14"/>
        <v>960.5</v>
      </c>
      <c r="U482" s="77">
        <f t="shared" si="15"/>
        <v>960.5</v>
      </c>
      <c r="V482" s="78">
        <v>187.8</v>
      </c>
      <c r="W482" s="80" t="s">
        <v>233</v>
      </c>
      <c r="X482" s="81" t="s">
        <v>233</v>
      </c>
      <c r="Y482" s="4" t="s">
        <v>233</v>
      </c>
      <c r="Z482" s="81" t="s">
        <v>233</v>
      </c>
      <c r="AA482" s="64" t="s">
        <v>233</v>
      </c>
      <c r="AB482" s="81" t="s">
        <v>233</v>
      </c>
      <c r="AC482" s="4" t="s">
        <v>240</v>
      </c>
      <c r="AD482" s="64" t="s">
        <v>233</v>
      </c>
      <c r="AE482" s="64" t="s">
        <v>240</v>
      </c>
      <c r="AF482" s="208">
        <v>0</v>
      </c>
      <c r="AG482" s="4">
        <v>1</v>
      </c>
      <c r="AH482" s="64">
        <v>1</v>
      </c>
      <c r="AI482" s="4">
        <v>1</v>
      </c>
      <c r="AJ482" s="4">
        <v>1</v>
      </c>
      <c r="AK482" s="4">
        <v>0</v>
      </c>
    </row>
    <row r="483" spans="1:37" outlineLevel="1">
      <c r="A483" s="63">
        <v>476</v>
      </c>
      <c r="B483" s="64" t="s">
        <v>190</v>
      </c>
      <c r="C483" s="4" t="s">
        <v>237</v>
      </c>
      <c r="D483" s="4" t="str">
        <f>[1]Лист2!B476</f>
        <v>ЛЕРМОНТОВСКИЙ пр.</v>
      </c>
      <c r="E483" s="69">
        <f>[1]Лист2!C476</f>
        <v>23</v>
      </c>
      <c r="F483" s="197" t="str">
        <f>[1]Лист2!D476</f>
        <v>Б</v>
      </c>
      <c r="G483" s="4"/>
      <c r="H483" s="199">
        <v>129476</v>
      </c>
      <c r="I483" s="64" t="s">
        <v>234</v>
      </c>
      <c r="J483" s="4"/>
      <c r="K483" s="64" t="s">
        <v>232</v>
      </c>
      <c r="L483" s="4" t="s">
        <v>232</v>
      </c>
      <c r="M483" s="72">
        <v>1876</v>
      </c>
      <c r="N483" s="64" t="s">
        <v>385</v>
      </c>
      <c r="O483" s="73">
        <v>5</v>
      </c>
      <c r="P483" s="196">
        <v>0</v>
      </c>
      <c r="Q483" s="73">
        <v>3</v>
      </c>
      <c r="R483" s="74">
        <v>31</v>
      </c>
      <c r="S483" s="76">
        <v>1350</v>
      </c>
      <c r="T483" s="82">
        <f t="shared" si="14"/>
        <v>1048.9000000000001</v>
      </c>
      <c r="U483" s="77">
        <f t="shared" si="15"/>
        <v>1048.9000000000001</v>
      </c>
      <c r="V483" s="78">
        <v>301.10000000000002</v>
      </c>
      <c r="W483" s="80" t="s">
        <v>233</v>
      </c>
      <c r="X483" s="81" t="s">
        <v>233</v>
      </c>
      <c r="Y483" s="4" t="s">
        <v>233</v>
      </c>
      <c r="Z483" s="81" t="s">
        <v>233</v>
      </c>
      <c r="AA483" s="64" t="s">
        <v>233</v>
      </c>
      <c r="AB483" s="81" t="s">
        <v>233</v>
      </c>
      <c r="AC483" s="4" t="s">
        <v>240</v>
      </c>
      <c r="AD483" s="64" t="s">
        <v>233</v>
      </c>
      <c r="AE483" s="64" t="s">
        <v>240</v>
      </c>
      <c r="AF483" s="209">
        <v>0</v>
      </c>
      <c r="AG483" s="4">
        <v>1</v>
      </c>
      <c r="AH483" s="64">
        <v>1</v>
      </c>
      <c r="AI483" s="4">
        <v>0</v>
      </c>
      <c r="AJ483" s="4">
        <v>0</v>
      </c>
      <c r="AK483" s="4">
        <v>0</v>
      </c>
    </row>
    <row r="484" spans="1:37" outlineLevel="1">
      <c r="A484" s="5">
        <v>477</v>
      </c>
      <c r="B484" s="64" t="s">
        <v>190</v>
      </c>
      <c r="C484" s="4" t="s">
        <v>237</v>
      </c>
      <c r="D484" s="4" t="str">
        <f>[1]Лист2!B477</f>
        <v>ЛЕРМОНТОВСКИЙ пр.</v>
      </c>
      <c r="E484" s="69">
        <f>[1]Лист2!C477</f>
        <v>24</v>
      </c>
      <c r="F484" s="197" t="str">
        <f>[1]Лист2!D477</f>
        <v>А</v>
      </c>
      <c r="G484" s="64"/>
      <c r="H484" s="199">
        <v>129477</v>
      </c>
      <c r="I484" s="64" t="s">
        <v>234</v>
      </c>
      <c r="J484" s="4"/>
      <c r="K484" s="64" t="s">
        <v>232</v>
      </c>
      <c r="L484" s="4" t="s">
        <v>232</v>
      </c>
      <c r="M484" s="72">
        <v>1917</v>
      </c>
      <c r="N484" s="64" t="s">
        <v>385</v>
      </c>
      <c r="O484" s="73">
        <v>3</v>
      </c>
      <c r="P484" s="196">
        <v>0</v>
      </c>
      <c r="Q484" s="73">
        <v>2</v>
      </c>
      <c r="R484" s="74">
        <v>20</v>
      </c>
      <c r="S484" s="76">
        <v>834.03</v>
      </c>
      <c r="T484" s="82">
        <f t="shared" si="14"/>
        <v>562.63</v>
      </c>
      <c r="U484" s="77">
        <f t="shared" si="15"/>
        <v>562.63</v>
      </c>
      <c r="V484" s="78">
        <v>271.39999999999998</v>
      </c>
      <c r="W484" s="80" t="s">
        <v>233</v>
      </c>
      <c r="X484" s="81" t="s">
        <v>233</v>
      </c>
      <c r="Y484" s="4" t="s">
        <v>233</v>
      </c>
      <c r="Z484" s="81" t="s">
        <v>233</v>
      </c>
      <c r="AA484" s="64" t="s">
        <v>233</v>
      </c>
      <c r="AB484" s="81" t="s">
        <v>233</v>
      </c>
      <c r="AC484" s="4" t="s">
        <v>240</v>
      </c>
      <c r="AD484" s="64" t="s">
        <v>233</v>
      </c>
      <c r="AE484" s="64" t="s">
        <v>240</v>
      </c>
      <c r="AF484" s="208">
        <v>0</v>
      </c>
      <c r="AG484" s="4">
        <v>2</v>
      </c>
      <c r="AH484" s="64">
        <v>1</v>
      </c>
      <c r="AI484" s="4">
        <v>0</v>
      </c>
      <c r="AJ484" s="4">
        <v>0</v>
      </c>
      <c r="AK484" s="4">
        <v>0</v>
      </c>
    </row>
    <row r="485" spans="1:37" outlineLevel="1">
      <c r="A485" s="5">
        <v>478</v>
      </c>
      <c r="B485" s="64" t="s">
        <v>190</v>
      </c>
      <c r="C485" s="4" t="s">
        <v>237</v>
      </c>
      <c r="D485" s="4" t="str">
        <f>[1]Лист2!B478</f>
        <v>ЛЕРМОНТОВСКИЙ пр.</v>
      </c>
      <c r="E485" s="69">
        <f>[1]Лист2!C478</f>
        <v>26</v>
      </c>
      <c r="F485" s="197" t="str">
        <f>[1]Лист2!D478</f>
        <v>А</v>
      </c>
      <c r="G485" s="64"/>
      <c r="H485" s="199">
        <v>129478</v>
      </c>
      <c r="I485" s="64" t="s">
        <v>234</v>
      </c>
      <c r="J485" s="4"/>
      <c r="K485" s="64" t="s">
        <v>232</v>
      </c>
      <c r="L485" s="4" t="s">
        <v>232</v>
      </c>
      <c r="M485" s="72">
        <v>1872</v>
      </c>
      <c r="N485" s="64" t="s">
        <v>385</v>
      </c>
      <c r="O485" s="73">
        <v>4</v>
      </c>
      <c r="P485" s="196">
        <v>0</v>
      </c>
      <c r="Q485" s="73">
        <v>1</v>
      </c>
      <c r="R485" s="74">
        <v>18</v>
      </c>
      <c r="S485" s="76">
        <v>962.43000000000006</v>
      </c>
      <c r="T485" s="82">
        <f t="shared" si="14"/>
        <v>694.43000000000006</v>
      </c>
      <c r="U485" s="77">
        <f t="shared" si="15"/>
        <v>694.43000000000006</v>
      </c>
      <c r="V485" s="78">
        <v>268</v>
      </c>
      <c r="W485" s="80" t="s">
        <v>233</v>
      </c>
      <c r="X485" s="81" t="s">
        <v>233</v>
      </c>
      <c r="Y485" s="4" t="s">
        <v>233</v>
      </c>
      <c r="Z485" s="81" t="s">
        <v>233</v>
      </c>
      <c r="AA485" s="64" t="s">
        <v>233</v>
      </c>
      <c r="AB485" s="81" t="s">
        <v>233</v>
      </c>
      <c r="AC485" s="4" t="s">
        <v>240</v>
      </c>
      <c r="AD485" s="64" t="s">
        <v>233</v>
      </c>
      <c r="AE485" s="64" t="s">
        <v>240</v>
      </c>
      <c r="AF485" s="208">
        <v>0</v>
      </c>
      <c r="AG485" s="4">
        <v>1</v>
      </c>
      <c r="AH485" s="64">
        <v>1</v>
      </c>
      <c r="AI485" s="4">
        <v>0</v>
      </c>
      <c r="AJ485" s="4">
        <v>0</v>
      </c>
      <c r="AK485" s="4">
        <v>0</v>
      </c>
    </row>
    <row r="486" spans="1:37" outlineLevel="1">
      <c r="A486" s="5">
        <v>479</v>
      </c>
      <c r="B486" s="64" t="s">
        <v>190</v>
      </c>
      <c r="C486" s="4" t="s">
        <v>237</v>
      </c>
      <c r="D486" s="4" t="str">
        <f>[1]Лист2!B479</f>
        <v>ЛЕРМОНТОВСКИЙ пр.</v>
      </c>
      <c r="E486" s="69">
        <f>[1]Лист2!C479</f>
        <v>27</v>
      </c>
      <c r="F486" s="197" t="str">
        <f>[1]Лист2!D479</f>
        <v>А</v>
      </c>
      <c r="G486" s="4"/>
      <c r="H486" s="199">
        <v>129479</v>
      </c>
      <c r="I486" s="64" t="s">
        <v>234</v>
      </c>
      <c r="J486" s="4"/>
      <c r="K486" s="64" t="s">
        <v>232</v>
      </c>
      <c r="L486" s="4" t="s">
        <v>232</v>
      </c>
      <c r="M486" s="72">
        <v>1917</v>
      </c>
      <c r="N486" s="64" t="s">
        <v>385</v>
      </c>
      <c r="O486" s="73">
        <v>3</v>
      </c>
      <c r="P486" s="196">
        <v>0</v>
      </c>
      <c r="Q486" s="73">
        <v>1</v>
      </c>
      <c r="R486" s="74">
        <v>15</v>
      </c>
      <c r="S486" s="76">
        <v>559.69999999999993</v>
      </c>
      <c r="T486" s="82">
        <f t="shared" si="14"/>
        <v>390.09999999999991</v>
      </c>
      <c r="U486" s="77">
        <f t="shared" si="15"/>
        <v>390.09999999999991</v>
      </c>
      <c r="V486" s="78">
        <v>169.6</v>
      </c>
      <c r="W486" s="80" t="s">
        <v>233</v>
      </c>
      <c r="X486" s="81" t="s">
        <v>233</v>
      </c>
      <c r="Y486" s="4" t="s">
        <v>233</v>
      </c>
      <c r="Z486" s="81" t="s">
        <v>233</v>
      </c>
      <c r="AA486" s="64" t="s">
        <v>233</v>
      </c>
      <c r="AB486" s="81" t="s">
        <v>233</v>
      </c>
      <c r="AC486" s="4" t="s">
        <v>240</v>
      </c>
      <c r="AD486" s="64" t="s">
        <v>233</v>
      </c>
      <c r="AE486" s="64" t="s">
        <v>240</v>
      </c>
      <c r="AF486" s="208">
        <v>0</v>
      </c>
      <c r="AG486" s="4">
        <v>1</v>
      </c>
      <c r="AH486" s="64">
        <v>1</v>
      </c>
      <c r="AI486" s="4">
        <v>0</v>
      </c>
      <c r="AJ486" s="4">
        <v>0</v>
      </c>
      <c r="AK486" s="4">
        <v>0</v>
      </c>
    </row>
    <row r="487" spans="1:37" outlineLevel="1">
      <c r="A487" s="5">
        <v>480</v>
      </c>
      <c r="B487" s="64" t="s">
        <v>190</v>
      </c>
      <c r="C487" s="4" t="s">
        <v>237</v>
      </c>
      <c r="D487" s="4" t="str">
        <f>[1]Лист2!B480</f>
        <v>ЛЕРМОНТОВСКИЙ пр.</v>
      </c>
      <c r="E487" s="69">
        <f>[1]Лист2!C480</f>
        <v>28</v>
      </c>
      <c r="F487" s="197" t="str">
        <f>[1]Лист2!D480</f>
        <v>А</v>
      </c>
      <c r="G487" s="4"/>
      <c r="H487" s="199">
        <v>129480</v>
      </c>
      <c r="I487" s="64" t="s">
        <v>234</v>
      </c>
      <c r="J487" s="4"/>
      <c r="K487" s="64" t="s">
        <v>232</v>
      </c>
      <c r="L487" s="4" t="s">
        <v>232</v>
      </c>
      <c r="M487" s="72">
        <v>1798</v>
      </c>
      <c r="N487" s="64" t="s">
        <v>385</v>
      </c>
      <c r="O487" s="73">
        <v>4</v>
      </c>
      <c r="P487" s="196">
        <v>0</v>
      </c>
      <c r="Q487" s="73">
        <v>1</v>
      </c>
      <c r="R487" s="74">
        <v>19</v>
      </c>
      <c r="S487" s="76">
        <v>723.79</v>
      </c>
      <c r="T487" s="82">
        <f t="shared" si="14"/>
        <v>588.99</v>
      </c>
      <c r="U487" s="77">
        <f t="shared" si="15"/>
        <v>588.99</v>
      </c>
      <c r="V487" s="78">
        <v>134.80000000000001</v>
      </c>
      <c r="W487" s="80" t="s">
        <v>233</v>
      </c>
      <c r="X487" s="81" t="s">
        <v>233</v>
      </c>
      <c r="Y487" s="4" t="s">
        <v>233</v>
      </c>
      <c r="Z487" s="81" t="s">
        <v>233</v>
      </c>
      <c r="AA487" s="64" t="s">
        <v>233</v>
      </c>
      <c r="AB487" s="81" t="s">
        <v>233</v>
      </c>
      <c r="AC487" s="4" t="s">
        <v>240</v>
      </c>
      <c r="AD487" s="64" t="s">
        <v>233</v>
      </c>
      <c r="AE487" s="64" t="s">
        <v>240</v>
      </c>
      <c r="AF487" s="208">
        <v>0</v>
      </c>
      <c r="AG487" s="4">
        <v>1</v>
      </c>
      <c r="AH487" s="64">
        <v>1</v>
      </c>
      <c r="AI487" s="4">
        <v>0</v>
      </c>
      <c r="AJ487" s="4">
        <v>0</v>
      </c>
      <c r="AK487" s="4">
        <v>0</v>
      </c>
    </row>
    <row r="488" spans="1:37" outlineLevel="1">
      <c r="A488" s="63">
        <v>481</v>
      </c>
      <c r="B488" s="64" t="s">
        <v>190</v>
      </c>
      <c r="C488" s="4" t="s">
        <v>237</v>
      </c>
      <c r="D488" s="4" t="str">
        <f>[1]Лист2!B481</f>
        <v>ЛЕРМОНТОВСКИЙ пр.</v>
      </c>
      <c r="E488" s="69">
        <f>[1]Лист2!C481</f>
        <v>29</v>
      </c>
      <c r="F488" s="197" t="str">
        <f>[1]Лист2!D481</f>
        <v>А</v>
      </c>
      <c r="G488" s="64"/>
      <c r="H488" s="199">
        <v>129481</v>
      </c>
      <c r="I488" s="64" t="s">
        <v>234</v>
      </c>
      <c r="J488" s="4"/>
      <c r="K488" s="64" t="s">
        <v>232</v>
      </c>
      <c r="L488" s="4" t="s">
        <v>232</v>
      </c>
      <c r="M488" s="72">
        <v>1876</v>
      </c>
      <c r="N488" s="64" t="s">
        <v>385</v>
      </c>
      <c r="O488" s="73">
        <v>5</v>
      </c>
      <c r="P488" s="196">
        <v>0</v>
      </c>
      <c r="Q488" s="73">
        <v>3</v>
      </c>
      <c r="R488" s="74">
        <v>36</v>
      </c>
      <c r="S488" s="76">
        <v>1639.85</v>
      </c>
      <c r="T488" s="82">
        <f t="shared" si="14"/>
        <v>1448.05</v>
      </c>
      <c r="U488" s="77">
        <f t="shared" si="15"/>
        <v>1448.05</v>
      </c>
      <c r="V488" s="78">
        <v>191.8</v>
      </c>
      <c r="W488" s="80" t="s">
        <v>233</v>
      </c>
      <c r="X488" s="81" t="s">
        <v>233</v>
      </c>
      <c r="Y488" s="4" t="s">
        <v>233</v>
      </c>
      <c r="Z488" s="81" t="s">
        <v>233</v>
      </c>
      <c r="AA488" s="64" t="s">
        <v>233</v>
      </c>
      <c r="AB488" s="81" t="s">
        <v>233</v>
      </c>
      <c r="AC488" s="4" t="s">
        <v>240</v>
      </c>
      <c r="AD488" s="64" t="s">
        <v>233</v>
      </c>
      <c r="AE488" s="64" t="s">
        <v>240</v>
      </c>
      <c r="AF488" s="208">
        <v>0</v>
      </c>
      <c r="AG488" s="4">
        <v>1</v>
      </c>
      <c r="AH488" s="64">
        <v>1</v>
      </c>
      <c r="AI488" s="4">
        <v>0</v>
      </c>
      <c r="AJ488" s="4">
        <v>0</v>
      </c>
      <c r="AK488" s="4">
        <v>0</v>
      </c>
    </row>
    <row r="489" spans="1:37" outlineLevel="1">
      <c r="A489" s="63">
        <v>482</v>
      </c>
      <c r="B489" s="64" t="s">
        <v>190</v>
      </c>
      <c r="C489" s="4" t="s">
        <v>237</v>
      </c>
      <c r="D489" s="4" t="str">
        <f>[1]Лист2!B482</f>
        <v>ЛЕРМОНТОВСКИЙ пр.</v>
      </c>
      <c r="E489" s="69">
        <f>[1]Лист2!C482</f>
        <v>3</v>
      </c>
      <c r="F489" s="197" t="str">
        <f>[1]Лист2!D482</f>
        <v>А</v>
      </c>
      <c r="G489" s="64"/>
      <c r="H489" s="199">
        <v>129482</v>
      </c>
      <c r="I489" s="64" t="s">
        <v>234</v>
      </c>
      <c r="J489" s="4"/>
      <c r="K489" s="64" t="s">
        <v>232</v>
      </c>
      <c r="L489" s="4" t="s">
        <v>232</v>
      </c>
      <c r="M489" s="72">
        <v>1872</v>
      </c>
      <c r="N489" s="64" t="s">
        <v>385</v>
      </c>
      <c r="O489" s="73">
        <v>3</v>
      </c>
      <c r="P489" s="196">
        <v>0</v>
      </c>
      <c r="Q489" s="73">
        <v>1</v>
      </c>
      <c r="R489" s="74">
        <v>29</v>
      </c>
      <c r="S489" s="76">
        <v>865.69999999999993</v>
      </c>
      <c r="T489" s="82">
        <f t="shared" si="14"/>
        <v>549.29999999999995</v>
      </c>
      <c r="U489" s="77">
        <f t="shared" si="15"/>
        <v>549.29999999999995</v>
      </c>
      <c r="V489" s="78">
        <v>316.39999999999998</v>
      </c>
      <c r="W489" s="80" t="s">
        <v>233</v>
      </c>
      <c r="X489" s="81" t="s">
        <v>233</v>
      </c>
      <c r="Y489" s="4" t="s">
        <v>233</v>
      </c>
      <c r="Z489" s="81" t="s">
        <v>233</v>
      </c>
      <c r="AA489" s="64" t="s">
        <v>233</v>
      </c>
      <c r="AB489" s="81" t="s">
        <v>233</v>
      </c>
      <c r="AC489" s="4" t="s">
        <v>240</v>
      </c>
      <c r="AD489" s="64" t="s">
        <v>233</v>
      </c>
      <c r="AE489" s="64" t="s">
        <v>240</v>
      </c>
      <c r="AF489" s="208">
        <v>0</v>
      </c>
      <c r="AG489" s="4">
        <v>1</v>
      </c>
      <c r="AH489" s="64">
        <v>1</v>
      </c>
      <c r="AI489" s="4">
        <v>2</v>
      </c>
      <c r="AJ489" s="4">
        <v>2</v>
      </c>
      <c r="AK489" s="4">
        <v>0</v>
      </c>
    </row>
    <row r="490" spans="1:37" outlineLevel="1">
      <c r="A490" s="5">
        <v>483</v>
      </c>
      <c r="B490" s="64" t="s">
        <v>190</v>
      </c>
      <c r="C490" s="4" t="s">
        <v>237</v>
      </c>
      <c r="D490" s="4" t="str">
        <f>[1]Лист2!B483</f>
        <v>ЛЕРМОНТОВСКИЙ пр.</v>
      </c>
      <c r="E490" s="69">
        <f>[1]Лист2!C483</f>
        <v>3</v>
      </c>
      <c r="F490" s="197" t="str">
        <f>[1]Лист2!D483</f>
        <v>Б</v>
      </c>
      <c r="G490" s="4"/>
      <c r="H490" s="199">
        <v>129483</v>
      </c>
      <c r="I490" s="64" t="s">
        <v>234</v>
      </c>
      <c r="J490" s="4" t="s">
        <v>1422</v>
      </c>
      <c r="K490" s="64" t="s">
        <v>232</v>
      </c>
      <c r="L490" s="4" t="s">
        <v>232</v>
      </c>
      <c r="M490" s="72">
        <v>1872</v>
      </c>
      <c r="N490" s="64" t="s">
        <v>385</v>
      </c>
      <c r="O490" s="73">
        <v>3</v>
      </c>
      <c r="P490" s="196">
        <v>0</v>
      </c>
      <c r="Q490" s="73">
        <v>1</v>
      </c>
      <c r="R490" s="74">
        <v>25</v>
      </c>
      <c r="S490" s="76">
        <v>0</v>
      </c>
      <c r="T490" s="82">
        <f t="shared" si="14"/>
        <v>0</v>
      </c>
      <c r="U490" s="77">
        <f t="shared" si="15"/>
        <v>0</v>
      </c>
      <c r="V490" s="78">
        <v>0</v>
      </c>
      <c r="W490" s="80" t="s">
        <v>233</v>
      </c>
      <c r="X490" s="81" t="s">
        <v>233</v>
      </c>
      <c r="Y490" s="4" t="s">
        <v>233</v>
      </c>
      <c r="Z490" s="81" t="s">
        <v>233</v>
      </c>
      <c r="AA490" s="64" t="s">
        <v>233</v>
      </c>
      <c r="AB490" s="81" t="s">
        <v>233</v>
      </c>
      <c r="AC490" s="4" t="s">
        <v>240</v>
      </c>
      <c r="AD490" s="64" t="s">
        <v>233</v>
      </c>
      <c r="AE490" s="64" t="s">
        <v>240</v>
      </c>
      <c r="AF490" s="209">
        <v>0</v>
      </c>
      <c r="AG490" s="4">
        <v>1</v>
      </c>
      <c r="AH490" s="64">
        <v>1</v>
      </c>
      <c r="AI490" s="4">
        <v>0</v>
      </c>
      <c r="AJ490" s="4">
        <v>0</v>
      </c>
      <c r="AK490" s="4">
        <v>0</v>
      </c>
    </row>
    <row r="491" spans="1:37" outlineLevel="1">
      <c r="A491" s="5">
        <v>484</v>
      </c>
      <c r="B491" s="64" t="s">
        <v>190</v>
      </c>
      <c r="C491" s="4" t="s">
        <v>237</v>
      </c>
      <c r="D491" s="4" t="str">
        <f>[1]Лист2!B484</f>
        <v>ЛЕРМОНТОВСКИЙ пр.</v>
      </c>
      <c r="E491" s="69">
        <f>[1]Лист2!C484</f>
        <v>3</v>
      </c>
      <c r="F491" s="197" t="str">
        <f>[1]Лист2!D484</f>
        <v>В</v>
      </c>
      <c r="G491" s="4"/>
      <c r="H491" s="199">
        <v>129484</v>
      </c>
      <c r="I491" s="64" t="s">
        <v>234</v>
      </c>
      <c r="J491" s="4"/>
      <c r="K491" s="64" t="s">
        <v>232</v>
      </c>
      <c r="L491" s="4" t="s">
        <v>232</v>
      </c>
      <c r="M491" s="72">
        <v>1872</v>
      </c>
      <c r="N491" s="64" t="s">
        <v>385</v>
      </c>
      <c r="O491" s="73">
        <v>5</v>
      </c>
      <c r="P491" s="196">
        <v>0</v>
      </c>
      <c r="Q491" s="73">
        <v>3</v>
      </c>
      <c r="R491" s="74">
        <v>109</v>
      </c>
      <c r="S491" s="76">
        <v>2640</v>
      </c>
      <c r="T491" s="82">
        <f t="shared" si="14"/>
        <v>2248</v>
      </c>
      <c r="U491" s="77">
        <f t="shared" si="15"/>
        <v>2248</v>
      </c>
      <c r="V491" s="78">
        <v>392</v>
      </c>
      <c r="W491" s="80" t="s">
        <v>233</v>
      </c>
      <c r="X491" s="81" t="s">
        <v>233</v>
      </c>
      <c r="Y491" s="4" t="s">
        <v>233</v>
      </c>
      <c r="Z491" s="81" t="s">
        <v>233</v>
      </c>
      <c r="AA491" s="64" t="s">
        <v>233</v>
      </c>
      <c r="AB491" s="81" t="s">
        <v>233</v>
      </c>
      <c r="AC491" s="4" t="s">
        <v>240</v>
      </c>
      <c r="AD491" s="64" t="s">
        <v>233</v>
      </c>
      <c r="AE491" s="64" t="s">
        <v>240</v>
      </c>
      <c r="AF491" s="209">
        <v>0</v>
      </c>
      <c r="AG491" s="4">
        <v>1</v>
      </c>
      <c r="AH491" s="64">
        <v>1</v>
      </c>
      <c r="AI491" s="4">
        <v>0</v>
      </c>
      <c r="AJ491" s="4">
        <v>0</v>
      </c>
      <c r="AK491" s="4">
        <v>0</v>
      </c>
    </row>
    <row r="492" spans="1:37" outlineLevel="1">
      <c r="A492" s="5">
        <v>485</v>
      </c>
      <c r="B492" s="64" t="s">
        <v>190</v>
      </c>
      <c r="C492" s="4" t="s">
        <v>237</v>
      </c>
      <c r="D492" s="4" t="str">
        <f>[1]Лист2!B485</f>
        <v>ЛЕРМОНТОВСКИЙ пр.</v>
      </c>
      <c r="E492" s="69">
        <f>[1]Лист2!C485</f>
        <v>30</v>
      </c>
      <c r="F492" s="197" t="str">
        <f>[1]Лист2!D485</f>
        <v>А</v>
      </c>
      <c r="G492" s="64"/>
      <c r="H492" s="199">
        <v>129485</v>
      </c>
      <c r="I492" s="64" t="s">
        <v>234</v>
      </c>
      <c r="J492" s="4"/>
      <c r="K492" s="64" t="s">
        <v>232</v>
      </c>
      <c r="L492" s="4" t="s">
        <v>232</v>
      </c>
      <c r="M492" s="72">
        <v>1826</v>
      </c>
      <c r="N492" s="64" t="s">
        <v>385</v>
      </c>
      <c r="O492" s="73">
        <v>5</v>
      </c>
      <c r="P492" s="196">
        <v>0</v>
      </c>
      <c r="Q492" s="73">
        <v>6</v>
      </c>
      <c r="R492" s="74">
        <v>107</v>
      </c>
      <c r="S492" s="76">
        <v>6109.9000000000005</v>
      </c>
      <c r="T492" s="82">
        <f t="shared" si="14"/>
        <v>4850.7300000000005</v>
      </c>
      <c r="U492" s="77">
        <f t="shared" si="15"/>
        <v>4850.7300000000005</v>
      </c>
      <c r="V492" s="78">
        <v>1259.17</v>
      </c>
      <c r="W492" s="80" t="s">
        <v>233</v>
      </c>
      <c r="X492" s="81" t="s">
        <v>233</v>
      </c>
      <c r="Y492" s="4" t="s">
        <v>233</v>
      </c>
      <c r="Z492" s="81" t="s">
        <v>233</v>
      </c>
      <c r="AA492" s="64" t="s">
        <v>233</v>
      </c>
      <c r="AB492" s="81" t="s">
        <v>233</v>
      </c>
      <c r="AC492" s="4" t="s">
        <v>240</v>
      </c>
      <c r="AD492" s="64" t="s">
        <v>233</v>
      </c>
      <c r="AE492" s="64" t="s">
        <v>240</v>
      </c>
      <c r="AF492" s="208">
        <v>3</v>
      </c>
      <c r="AG492" s="4">
        <v>2</v>
      </c>
      <c r="AH492" s="64">
        <v>1</v>
      </c>
      <c r="AI492" s="4">
        <v>0</v>
      </c>
      <c r="AJ492" s="4">
        <v>0</v>
      </c>
      <c r="AK492" s="4">
        <v>0</v>
      </c>
    </row>
    <row r="493" spans="1:37" outlineLevel="1">
      <c r="A493" s="5">
        <v>486</v>
      </c>
      <c r="B493" s="64" t="s">
        <v>190</v>
      </c>
      <c r="C493" s="4" t="s">
        <v>237</v>
      </c>
      <c r="D493" s="4" t="str">
        <f>[1]Лист2!B486</f>
        <v>ЛЕРМОНТОВСКИЙ пр.</v>
      </c>
      <c r="E493" s="69">
        <f>[1]Лист2!C486</f>
        <v>31</v>
      </c>
      <c r="F493" s="197" t="str">
        <f>[1]Лист2!D486</f>
        <v>А</v>
      </c>
      <c r="G493" s="64"/>
      <c r="H493" s="199">
        <v>129486</v>
      </c>
      <c r="I493" s="64" t="s">
        <v>234</v>
      </c>
      <c r="J493" s="4"/>
      <c r="K493" s="64" t="s">
        <v>232</v>
      </c>
      <c r="L493" s="4" t="s">
        <v>232</v>
      </c>
      <c r="M493" s="72">
        <v>1838</v>
      </c>
      <c r="N493" s="64" t="s">
        <v>385</v>
      </c>
      <c r="O493" s="73">
        <v>4</v>
      </c>
      <c r="P493" s="196">
        <v>0</v>
      </c>
      <c r="Q493" s="73">
        <v>2</v>
      </c>
      <c r="R493" s="74">
        <v>25</v>
      </c>
      <c r="S493" s="76">
        <v>1692</v>
      </c>
      <c r="T493" s="82">
        <f t="shared" si="14"/>
        <v>1511.01</v>
      </c>
      <c r="U493" s="77">
        <f t="shared" si="15"/>
        <v>1511.01</v>
      </c>
      <c r="V493" s="78">
        <v>180.99</v>
      </c>
      <c r="W493" s="80" t="s">
        <v>233</v>
      </c>
      <c r="X493" s="81" t="s">
        <v>233</v>
      </c>
      <c r="Y493" s="4" t="s">
        <v>233</v>
      </c>
      <c r="Z493" s="81" t="s">
        <v>233</v>
      </c>
      <c r="AA493" s="64" t="s">
        <v>233</v>
      </c>
      <c r="AB493" s="81" t="s">
        <v>233</v>
      </c>
      <c r="AC493" s="4" t="s">
        <v>240</v>
      </c>
      <c r="AD493" s="64" t="s">
        <v>233</v>
      </c>
      <c r="AE493" s="64" t="s">
        <v>240</v>
      </c>
      <c r="AF493" s="208">
        <v>0</v>
      </c>
      <c r="AG493" s="4">
        <v>1</v>
      </c>
      <c r="AH493" s="64">
        <v>1</v>
      </c>
      <c r="AI493" s="4">
        <v>1</v>
      </c>
      <c r="AJ493" s="4">
        <v>1</v>
      </c>
      <c r="AK493" s="4">
        <v>0</v>
      </c>
    </row>
    <row r="494" spans="1:37" outlineLevel="1">
      <c r="A494" s="63">
        <v>487</v>
      </c>
      <c r="B494" s="64" t="s">
        <v>190</v>
      </c>
      <c r="C494" s="4" t="s">
        <v>237</v>
      </c>
      <c r="D494" s="4" t="str">
        <f>[1]Лист2!B487</f>
        <v>ЛЕРМОНТОВСКИЙ пр.</v>
      </c>
      <c r="E494" s="69">
        <f>[1]Лист2!C487</f>
        <v>33</v>
      </c>
      <c r="F494" s="197" t="str">
        <f>[1]Лист2!D487</f>
        <v>А</v>
      </c>
      <c r="G494" s="4"/>
      <c r="H494" s="199">
        <v>129487</v>
      </c>
      <c r="I494" s="64" t="s">
        <v>234</v>
      </c>
      <c r="J494" s="4"/>
      <c r="K494" s="64" t="s">
        <v>232</v>
      </c>
      <c r="L494" s="4" t="s">
        <v>232</v>
      </c>
      <c r="M494" s="72">
        <v>1879</v>
      </c>
      <c r="N494" s="64" t="s">
        <v>385</v>
      </c>
      <c r="O494" s="73">
        <v>4</v>
      </c>
      <c r="P494" s="196">
        <v>0</v>
      </c>
      <c r="Q494" s="73">
        <v>2</v>
      </c>
      <c r="R494" s="74">
        <v>25</v>
      </c>
      <c r="S494" s="76">
        <v>1747.91</v>
      </c>
      <c r="T494" s="82">
        <f t="shared" si="14"/>
        <v>1567.21</v>
      </c>
      <c r="U494" s="77">
        <f t="shared" si="15"/>
        <v>1567.21</v>
      </c>
      <c r="V494" s="78">
        <v>180.7</v>
      </c>
      <c r="W494" s="80" t="s">
        <v>233</v>
      </c>
      <c r="X494" s="81" t="s">
        <v>233</v>
      </c>
      <c r="Y494" s="4" t="s">
        <v>233</v>
      </c>
      <c r="Z494" s="81" t="s">
        <v>233</v>
      </c>
      <c r="AA494" s="64" t="s">
        <v>233</v>
      </c>
      <c r="AB494" s="81" t="s">
        <v>233</v>
      </c>
      <c r="AC494" s="4" t="s">
        <v>240</v>
      </c>
      <c r="AD494" s="64" t="s">
        <v>233</v>
      </c>
      <c r="AE494" s="64" t="s">
        <v>240</v>
      </c>
      <c r="AF494" s="208">
        <v>0</v>
      </c>
      <c r="AG494" s="4">
        <v>1</v>
      </c>
      <c r="AH494" s="64">
        <v>1</v>
      </c>
      <c r="AI494" s="4">
        <v>0</v>
      </c>
      <c r="AJ494" s="4">
        <v>0</v>
      </c>
      <c r="AK494" s="4">
        <v>0</v>
      </c>
    </row>
    <row r="495" spans="1:37" outlineLevel="1">
      <c r="A495" s="63">
        <v>488</v>
      </c>
      <c r="B495" s="64" t="s">
        <v>190</v>
      </c>
      <c r="C495" s="4" t="s">
        <v>237</v>
      </c>
      <c r="D495" s="4" t="str">
        <f>[1]Лист2!B488</f>
        <v>ЛЕРМОНТОВСКИЙ пр.</v>
      </c>
      <c r="E495" s="69">
        <f>[1]Лист2!C488</f>
        <v>35</v>
      </c>
      <c r="F495" s="197" t="str">
        <f>[1]Лист2!D488</f>
        <v>А</v>
      </c>
      <c r="G495" s="4"/>
      <c r="H495" s="199">
        <v>129488</v>
      </c>
      <c r="I495" s="64" t="s">
        <v>234</v>
      </c>
      <c r="J495" s="4"/>
      <c r="K495" s="64" t="s">
        <v>232</v>
      </c>
      <c r="L495" s="4" t="s">
        <v>232</v>
      </c>
      <c r="M495" s="72">
        <v>1883</v>
      </c>
      <c r="N495" s="64" t="s">
        <v>385</v>
      </c>
      <c r="O495" s="73">
        <v>4</v>
      </c>
      <c r="P495" s="196">
        <v>0</v>
      </c>
      <c r="Q495" s="73">
        <v>2</v>
      </c>
      <c r="R495" s="74">
        <v>16</v>
      </c>
      <c r="S495" s="76">
        <v>1722.65</v>
      </c>
      <c r="T495" s="82">
        <f t="shared" si="14"/>
        <v>477.95000000000005</v>
      </c>
      <c r="U495" s="77">
        <f t="shared" si="15"/>
        <v>477.95000000000005</v>
      </c>
      <c r="V495" s="78">
        <v>1244.7</v>
      </c>
      <c r="W495" s="80" t="s">
        <v>233</v>
      </c>
      <c r="X495" s="81" t="s">
        <v>233</v>
      </c>
      <c r="Y495" s="4" t="s">
        <v>233</v>
      </c>
      <c r="Z495" s="81" t="s">
        <v>233</v>
      </c>
      <c r="AA495" s="64" t="s">
        <v>233</v>
      </c>
      <c r="AB495" s="81" t="s">
        <v>233</v>
      </c>
      <c r="AC495" s="4" t="s">
        <v>240</v>
      </c>
      <c r="AD495" s="64" t="s">
        <v>233</v>
      </c>
      <c r="AE495" s="64" t="s">
        <v>240</v>
      </c>
      <c r="AF495" s="208">
        <v>0</v>
      </c>
      <c r="AG495" s="4">
        <v>1</v>
      </c>
      <c r="AH495" s="64">
        <v>1</v>
      </c>
      <c r="AI495" s="4">
        <v>0</v>
      </c>
      <c r="AJ495" s="4">
        <v>0</v>
      </c>
      <c r="AK495" s="4">
        <v>0</v>
      </c>
    </row>
    <row r="496" spans="1:37" outlineLevel="1">
      <c r="A496" s="5">
        <v>489</v>
      </c>
      <c r="B496" s="64" t="s">
        <v>190</v>
      </c>
      <c r="C496" s="4" t="s">
        <v>237</v>
      </c>
      <c r="D496" s="4" t="str">
        <f>[1]Лист2!B489</f>
        <v>ЛЕРМОНТОВСКИЙ пр.</v>
      </c>
      <c r="E496" s="69">
        <f>[1]Лист2!C489</f>
        <v>37</v>
      </c>
      <c r="F496" s="197" t="str">
        <f>[1]Лист2!D489</f>
        <v>А</v>
      </c>
      <c r="G496" s="64"/>
      <c r="H496" s="199">
        <v>129489</v>
      </c>
      <c r="I496" s="64" t="s">
        <v>234</v>
      </c>
      <c r="J496" s="4"/>
      <c r="K496" s="64" t="s">
        <v>232</v>
      </c>
      <c r="L496" s="4" t="s">
        <v>232</v>
      </c>
      <c r="M496" s="72">
        <v>1811</v>
      </c>
      <c r="N496" s="64" t="s">
        <v>385</v>
      </c>
      <c r="O496" s="73">
        <v>3</v>
      </c>
      <c r="P496" s="196">
        <v>0</v>
      </c>
      <c r="Q496" s="73">
        <v>3</v>
      </c>
      <c r="R496" s="74">
        <v>43</v>
      </c>
      <c r="S496" s="76">
        <v>2104.1</v>
      </c>
      <c r="T496" s="82">
        <f t="shared" si="14"/>
        <v>1520.5</v>
      </c>
      <c r="U496" s="77">
        <f t="shared" si="15"/>
        <v>1520.5</v>
      </c>
      <c r="V496" s="78">
        <v>583.6</v>
      </c>
      <c r="W496" s="80" t="s">
        <v>233</v>
      </c>
      <c r="X496" s="81" t="s">
        <v>233</v>
      </c>
      <c r="Y496" s="4" t="s">
        <v>233</v>
      </c>
      <c r="Z496" s="81" t="s">
        <v>233</v>
      </c>
      <c r="AA496" s="64" t="s">
        <v>233</v>
      </c>
      <c r="AB496" s="81" t="s">
        <v>233</v>
      </c>
      <c r="AC496" s="4" t="s">
        <v>240</v>
      </c>
      <c r="AD496" s="64" t="s">
        <v>233</v>
      </c>
      <c r="AE496" s="64" t="s">
        <v>240</v>
      </c>
      <c r="AF496" s="208">
        <v>0</v>
      </c>
      <c r="AG496" s="4">
        <v>1</v>
      </c>
      <c r="AH496" s="64">
        <v>1</v>
      </c>
      <c r="AI496" s="4">
        <v>1</v>
      </c>
      <c r="AJ496" s="4">
        <v>1</v>
      </c>
      <c r="AK496" s="4">
        <v>0</v>
      </c>
    </row>
    <row r="497" spans="1:37" outlineLevel="1">
      <c r="A497" s="5">
        <v>490</v>
      </c>
      <c r="B497" s="64" t="s">
        <v>190</v>
      </c>
      <c r="C497" s="4" t="s">
        <v>237</v>
      </c>
      <c r="D497" s="4" t="str">
        <f>[1]Лист2!B490</f>
        <v>ЛЕРМОНТОВСКИЙ пр.</v>
      </c>
      <c r="E497" s="69">
        <f>[1]Лист2!C490</f>
        <v>4</v>
      </c>
      <c r="F497" s="197" t="str">
        <f>[1]Лист2!D490</f>
        <v>А</v>
      </c>
      <c r="G497" s="64"/>
      <c r="H497" s="199">
        <v>129490</v>
      </c>
      <c r="I497" s="64" t="s">
        <v>234</v>
      </c>
      <c r="J497" s="4"/>
      <c r="K497" s="64" t="s">
        <v>232</v>
      </c>
      <c r="L497" s="4" t="s">
        <v>232</v>
      </c>
      <c r="M497" s="72">
        <v>1844</v>
      </c>
      <c r="N497" s="64" t="s">
        <v>385</v>
      </c>
      <c r="O497" s="73">
        <v>3</v>
      </c>
      <c r="P497" s="196">
        <v>0</v>
      </c>
      <c r="Q497" s="73">
        <v>2</v>
      </c>
      <c r="R497" s="74">
        <v>36</v>
      </c>
      <c r="S497" s="76">
        <v>1501.99</v>
      </c>
      <c r="T497" s="82">
        <f t="shared" si="14"/>
        <v>1200.99</v>
      </c>
      <c r="U497" s="77">
        <f t="shared" si="15"/>
        <v>1200.99</v>
      </c>
      <c r="V497" s="78">
        <v>301</v>
      </c>
      <c r="W497" s="80" t="s">
        <v>233</v>
      </c>
      <c r="X497" s="81" t="s">
        <v>233</v>
      </c>
      <c r="Y497" s="4" t="s">
        <v>233</v>
      </c>
      <c r="Z497" s="81" t="s">
        <v>233</v>
      </c>
      <c r="AA497" s="64" t="s">
        <v>233</v>
      </c>
      <c r="AB497" s="81" t="s">
        <v>233</v>
      </c>
      <c r="AC497" s="4" t="s">
        <v>240</v>
      </c>
      <c r="AD497" s="64" t="s">
        <v>233</v>
      </c>
      <c r="AE497" s="64" t="s">
        <v>240</v>
      </c>
      <c r="AF497" s="208">
        <v>0</v>
      </c>
      <c r="AG497" s="4">
        <v>1</v>
      </c>
      <c r="AH497" s="64">
        <v>1</v>
      </c>
      <c r="AI497" s="4">
        <v>1</v>
      </c>
      <c r="AJ497" s="4">
        <v>1</v>
      </c>
      <c r="AK497" s="4">
        <v>0</v>
      </c>
    </row>
    <row r="498" spans="1:37" outlineLevel="1">
      <c r="A498" s="5">
        <v>491</v>
      </c>
      <c r="B498" s="64" t="s">
        <v>190</v>
      </c>
      <c r="C498" s="4" t="s">
        <v>237</v>
      </c>
      <c r="D498" s="4" t="str">
        <f>[1]Лист2!B491</f>
        <v>ЛЕРМОНТОВСКИЙ пр.</v>
      </c>
      <c r="E498" s="69" t="str">
        <f>[1]Лист2!C491</f>
        <v>40-42</v>
      </c>
      <c r="F498" s="197" t="str">
        <f>[1]Лист2!D491</f>
        <v>А</v>
      </c>
      <c r="G498" s="4"/>
      <c r="H498" s="199">
        <v>129491</v>
      </c>
      <c r="I498" s="64" t="s">
        <v>234</v>
      </c>
      <c r="J498" s="4"/>
      <c r="K498" s="64" t="s">
        <v>232</v>
      </c>
      <c r="L498" s="4" t="s">
        <v>232</v>
      </c>
      <c r="M498" s="72">
        <v>1828</v>
      </c>
      <c r="N498" s="64" t="s">
        <v>385</v>
      </c>
      <c r="O498" s="73">
        <v>4</v>
      </c>
      <c r="P498" s="196">
        <v>0</v>
      </c>
      <c r="Q498" s="73">
        <v>2</v>
      </c>
      <c r="R498" s="74">
        <v>33</v>
      </c>
      <c r="S498" s="76">
        <v>1144</v>
      </c>
      <c r="T498" s="82">
        <f t="shared" si="14"/>
        <v>871</v>
      </c>
      <c r="U498" s="77">
        <f t="shared" si="15"/>
        <v>871</v>
      </c>
      <c r="V498" s="78">
        <v>273</v>
      </c>
      <c r="W498" s="80" t="s">
        <v>233</v>
      </c>
      <c r="X498" s="81" t="s">
        <v>233</v>
      </c>
      <c r="Y498" s="4" t="s">
        <v>233</v>
      </c>
      <c r="Z498" s="81" t="s">
        <v>233</v>
      </c>
      <c r="AA498" s="64" t="s">
        <v>233</v>
      </c>
      <c r="AB498" s="81" t="s">
        <v>233</v>
      </c>
      <c r="AC498" s="4" t="s">
        <v>240</v>
      </c>
      <c r="AD498" s="64" t="s">
        <v>233</v>
      </c>
      <c r="AE498" s="64" t="s">
        <v>240</v>
      </c>
      <c r="AF498" s="208">
        <v>0</v>
      </c>
      <c r="AG498" s="4">
        <v>1</v>
      </c>
      <c r="AH498" s="64">
        <v>1</v>
      </c>
      <c r="AI498" s="4">
        <v>1</v>
      </c>
      <c r="AJ498" s="4">
        <v>1</v>
      </c>
      <c r="AK498" s="4">
        <v>0</v>
      </c>
    </row>
    <row r="499" spans="1:37" outlineLevel="1">
      <c r="A499" s="5">
        <v>492</v>
      </c>
      <c r="B499" s="64" t="s">
        <v>190</v>
      </c>
      <c r="C499" s="4" t="s">
        <v>237</v>
      </c>
      <c r="D499" s="4" t="str">
        <f>[1]Лист2!B492</f>
        <v>ЛЕРМОНТОВСКИЙ пр.</v>
      </c>
      <c r="E499" s="69" t="str">
        <f>[1]Лист2!C492</f>
        <v>40-42</v>
      </c>
      <c r="F499" s="197" t="str">
        <f>[1]Лист2!D492</f>
        <v>Б</v>
      </c>
      <c r="G499" s="4"/>
      <c r="H499" s="199">
        <v>129492</v>
      </c>
      <c r="I499" s="64" t="s">
        <v>234</v>
      </c>
      <c r="J499" s="4"/>
      <c r="K499" s="64" t="s">
        <v>232</v>
      </c>
      <c r="L499" s="4" t="s">
        <v>232</v>
      </c>
      <c r="M499" s="72">
        <v>1855</v>
      </c>
      <c r="N499" s="64" t="s">
        <v>385</v>
      </c>
      <c r="O499" s="73">
        <v>4</v>
      </c>
      <c r="P499" s="196">
        <v>0</v>
      </c>
      <c r="Q499" s="73">
        <v>2</v>
      </c>
      <c r="R499" s="74">
        <v>33</v>
      </c>
      <c r="S499" s="76">
        <v>1175</v>
      </c>
      <c r="T499" s="82">
        <f t="shared" si="14"/>
        <v>881</v>
      </c>
      <c r="U499" s="77">
        <f t="shared" si="15"/>
        <v>881</v>
      </c>
      <c r="V499" s="78">
        <v>294</v>
      </c>
      <c r="W499" s="80" t="s">
        <v>233</v>
      </c>
      <c r="X499" s="81" t="s">
        <v>233</v>
      </c>
      <c r="Y499" s="4" t="s">
        <v>233</v>
      </c>
      <c r="Z499" s="81" t="s">
        <v>233</v>
      </c>
      <c r="AA499" s="64" t="s">
        <v>233</v>
      </c>
      <c r="AB499" s="81" t="s">
        <v>233</v>
      </c>
      <c r="AC499" s="4" t="s">
        <v>240</v>
      </c>
      <c r="AD499" s="64" t="s">
        <v>233</v>
      </c>
      <c r="AE499" s="64" t="s">
        <v>240</v>
      </c>
      <c r="AF499" s="209">
        <v>0</v>
      </c>
      <c r="AG499" s="4">
        <v>1</v>
      </c>
      <c r="AH499" s="64">
        <v>1</v>
      </c>
      <c r="AI499" s="4">
        <v>0</v>
      </c>
      <c r="AJ499" s="4">
        <v>0</v>
      </c>
      <c r="AK499" s="4">
        <v>0</v>
      </c>
    </row>
    <row r="500" spans="1:37" outlineLevel="1">
      <c r="A500" s="63">
        <v>493</v>
      </c>
      <c r="B500" s="64" t="s">
        <v>190</v>
      </c>
      <c r="C500" s="4" t="s">
        <v>237</v>
      </c>
      <c r="D500" s="4" t="str">
        <f>[1]Лист2!B493</f>
        <v>ЛЕРМОНТОВСКИЙ пр.</v>
      </c>
      <c r="E500" s="69" t="str">
        <f>[1]Лист2!C493</f>
        <v>40-42</v>
      </c>
      <c r="F500" s="197" t="str">
        <f>[1]Лист2!D493</f>
        <v>В</v>
      </c>
      <c r="G500" s="64"/>
      <c r="H500" s="199">
        <v>129493</v>
      </c>
      <c r="I500" s="64" t="s">
        <v>234</v>
      </c>
      <c r="J500" s="4"/>
      <c r="K500" s="64" t="s">
        <v>232</v>
      </c>
      <c r="L500" s="4" t="s">
        <v>232</v>
      </c>
      <c r="M500" s="72">
        <v>1900</v>
      </c>
      <c r="N500" s="64" t="s">
        <v>385</v>
      </c>
      <c r="O500" s="73">
        <v>4</v>
      </c>
      <c r="P500" s="196">
        <v>0</v>
      </c>
      <c r="Q500" s="73">
        <v>3</v>
      </c>
      <c r="R500" s="74">
        <v>59</v>
      </c>
      <c r="S500" s="76">
        <v>1551</v>
      </c>
      <c r="T500" s="82">
        <f t="shared" si="14"/>
        <v>1551</v>
      </c>
      <c r="U500" s="77">
        <f t="shared" si="15"/>
        <v>1551</v>
      </c>
      <c r="V500" s="78">
        <v>0</v>
      </c>
      <c r="W500" s="80" t="s">
        <v>233</v>
      </c>
      <c r="X500" s="81" t="s">
        <v>233</v>
      </c>
      <c r="Y500" s="4" t="s">
        <v>233</v>
      </c>
      <c r="Z500" s="81" t="s">
        <v>233</v>
      </c>
      <c r="AA500" s="64" t="s">
        <v>233</v>
      </c>
      <c r="AB500" s="81" t="s">
        <v>233</v>
      </c>
      <c r="AC500" s="4" t="s">
        <v>240</v>
      </c>
      <c r="AD500" s="64" t="s">
        <v>233</v>
      </c>
      <c r="AE500" s="64" t="s">
        <v>240</v>
      </c>
      <c r="AF500" s="209">
        <v>0</v>
      </c>
      <c r="AG500" s="4">
        <v>1</v>
      </c>
      <c r="AH500" s="64">
        <v>1</v>
      </c>
      <c r="AI500" s="4">
        <v>0</v>
      </c>
      <c r="AJ500" s="4">
        <v>0</v>
      </c>
      <c r="AK500" s="4">
        <v>0</v>
      </c>
    </row>
    <row r="501" spans="1:37" outlineLevel="1">
      <c r="A501" s="63">
        <v>494</v>
      </c>
      <c r="B501" s="64" t="s">
        <v>190</v>
      </c>
      <c r="C501" s="4" t="s">
        <v>237</v>
      </c>
      <c r="D501" s="4" t="str">
        <f>[1]Лист2!B494</f>
        <v>ЛЕРМОНТОВСКИЙ пр.</v>
      </c>
      <c r="E501" s="69" t="str">
        <f>[1]Лист2!C494</f>
        <v>40-42</v>
      </c>
      <c r="F501" s="197" t="str">
        <f>[1]Лист2!D494</f>
        <v>Е</v>
      </c>
      <c r="G501" s="64"/>
      <c r="H501" s="199">
        <v>129494</v>
      </c>
      <c r="I501" s="64" t="s">
        <v>234</v>
      </c>
      <c r="J501" s="4" t="s">
        <v>1422</v>
      </c>
      <c r="K501" s="64" t="s">
        <v>232</v>
      </c>
      <c r="L501" s="4" t="s">
        <v>232</v>
      </c>
      <c r="M501" s="72">
        <v>1939</v>
      </c>
      <c r="N501" s="64" t="s">
        <v>385</v>
      </c>
      <c r="O501" s="73">
        <v>1</v>
      </c>
      <c r="P501" s="196">
        <v>0</v>
      </c>
      <c r="Q501" s="73">
        <v>1</v>
      </c>
      <c r="R501" s="74">
        <v>40</v>
      </c>
      <c r="S501" s="76">
        <v>0</v>
      </c>
      <c r="T501" s="82">
        <f t="shared" si="14"/>
        <v>0</v>
      </c>
      <c r="U501" s="77">
        <f t="shared" si="15"/>
        <v>0</v>
      </c>
      <c r="V501" s="78">
        <v>0</v>
      </c>
      <c r="W501" s="80" t="s">
        <v>233</v>
      </c>
      <c r="X501" s="81" t="s">
        <v>233</v>
      </c>
      <c r="Y501" s="4" t="s">
        <v>233</v>
      </c>
      <c r="Z501" s="81" t="s">
        <v>233</v>
      </c>
      <c r="AA501" s="64" t="s">
        <v>233</v>
      </c>
      <c r="AB501" s="81" t="s">
        <v>233</v>
      </c>
      <c r="AC501" s="4" t="s">
        <v>240</v>
      </c>
      <c r="AD501" s="64" t="s">
        <v>233</v>
      </c>
      <c r="AE501" s="64" t="s">
        <v>240</v>
      </c>
      <c r="AF501" s="209">
        <v>0</v>
      </c>
      <c r="AG501" s="4">
        <v>1</v>
      </c>
      <c r="AH501" s="64">
        <v>1</v>
      </c>
      <c r="AI501" s="4">
        <v>0</v>
      </c>
      <c r="AJ501" s="4">
        <v>0</v>
      </c>
      <c r="AK501" s="4">
        <v>0</v>
      </c>
    </row>
    <row r="502" spans="1:37" outlineLevel="1">
      <c r="A502" s="5">
        <v>495</v>
      </c>
      <c r="B502" s="64" t="s">
        <v>190</v>
      </c>
      <c r="C502" s="4" t="s">
        <v>237</v>
      </c>
      <c r="D502" s="4" t="str">
        <f>[1]Лист2!B495</f>
        <v>ЛЕРМОНТОВСКИЙ пр.</v>
      </c>
      <c r="E502" s="69">
        <f>[1]Лист2!C495</f>
        <v>48</v>
      </c>
      <c r="F502" s="197" t="str">
        <f>[1]Лист2!D495</f>
        <v>А</v>
      </c>
      <c r="G502" s="4"/>
      <c r="H502" s="199">
        <v>129495</v>
      </c>
      <c r="I502" s="64" t="s">
        <v>234</v>
      </c>
      <c r="J502" s="4"/>
      <c r="K502" s="64" t="s">
        <v>232</v>
      </c>
      <c r="L502" s="4" t="s">
        <v>232</v>
      </c>
      <c r="M502" s="72">
        <v>1895</v>
      </c>
      <c r="N502" s="64" t="s">
        <v>385</v>
      </c>
      <c r="O502" s="73">
        <v>3</v>
      </c>
      <c r="P502" s="196">
        <v>0</v>
      </c>
      <c r="Q502" s="73">
        <v>1</v>
      </c>
      <c r="R502" s="74">
        <v>16</v>
      </c>
      <c r="S502" s="76">
        <v>1842.8</v>
      </c>
      <c r="T502" s="82">
        <f t="shared" si="14"/>
        <v>686.8</v>
      </c>
      <c r="U502" s="77">
        <f t="shared" si="15"/>
        <v>686.8</v>
      </c>
      <c r="V502" s="78">
        <v>1156</v>
      </c>
      <c r="W502" s="80" t="s">
        <v>233</v>
      </c>
      <c r="X502" s="81" t="s">
        <v>233</v>
      </c>
      <c r="Y502" s="4" t="s">
        <v>233</v>
      </c>
      <c r="Z502" s="81" t="s">
        <v>233</v>
      </c>
      <c r="AA502" s="64" t="s">
        <v>233</v>
      </c>
      <c r="AB502" s="81" t="s">
        <v>233</v>
      </c>
      <c r="AC502" s="4" t="s">
        <v>240</v>
      </c>
      <c r="AD502" s="64" t="s">
        <v>233</v>
      </c>
      <c r="AE502" s="64" t="s">
        <v>240</v>
      </c>
      <c r="AF502" s="208">
        <v>0</v>
      </c>
      <c r="AG502" s="4">
        <v>1</v>
      </c>
      <c r="AH502" s="64">
        <v>1</v>
      </c>
      <c r="AI502" s="4">
        <v>1</v>
      </c>
      <c r="AJ502" s="4">
        <v>1</v>
      </c>
      <c r="AK502" s="4">
        <v>0</v>
      </c>
    </row>
    <row r="503" spans="1:37" outlineLevel="1">
      <c r="A503" s="5">
        <v>496</v>
      </c>
      <c r="B503" s="64" t="s">
        <v>190</v>
      </c>
      <c r="C503" s="4" t="s">
        <v>238</v>
      </c>
      <c r="D503" s="4" t="str">
        <f>[1]Лист2!B496</f>
        <v>ЛЕРМОНТОВСКИЙ пр.</v>
      </c>
      <c r="E503" s="69">
        <f>[1]Лист2!C496</f>
        <v>49</v>
      </c>
      <c r="F503" s="197" t="str">
        <f>[1]Лист2!D496</f>
        <v>А</v>
      </c>
      <c r="G503" s="4"/>
      <c r="H503" s="199">
        <v>129496</v>
      </c>
      <c r="I503" s="64" t="s">
        <v>234</v>
      </c>
      <c r="J503" s="4"/>
      <c r="K503" s="64" t="s">
        <v>232</v>
      </c>
      <c r="L503" s="4" t="s">
        <v>232</v>
      </c>
      <c r="M503" s="72">
        <v>1917</v>
      </c>
      <c r="N503" s="64" t="s">
        <v>385</v>
      </c>
      <c r="O503" s="73">
        <v>6</v>
      </c>
      <c r="P503" s="196">
        <v>0</v>
      </c>
      <c r="Q503" s="73">
        <v>5</v>
      </c>
      <c r="R503" s="74">
        <v>81</v>
      </c>
      <c r="S503" s="76">
        <v>3712.11</v>
      </c>
      <c r="T503" s="82">
        <f t="shared" si="14"/>
        <v>2305.61</v>
      </c>
      <c r="U503" s="77">
        <f t="shared" si="15"/>
        <v>2305.61</v>
      </c>
      <c r="V503" s="78">
        <v>1406.5</v>
      </c>
      <c r="W503" s="80" t="s">
        <v>233</v>
      </c>
      <c r="X503" s="81" t="s">
        <v>233</v>
      </c>
      <c r="Y503" s="4" t="s">
        <v>233</v>
      </c>
      <c r="Z503" s="81" t="s">
        <v>233</v>
      </c>
      <c r="AA503" s="64" t="s">
        <v>233</v>
      </c>
      <c r="AB503" s="81" t="s">
        <v>233</v>
      </c>
      <c r="AC503" s="4" t="s">
        <v>240</v>
      </c>
      <c r="AD503" s="64" t="s">
        <v>233</v>
      </c>
      <c r="AE503" s="64" t="s">
        <v>240</v>
      </c>
      <c r="AF503" s="208">
        <v>2</v>
      </c>
      <c r="AG503" s="4">
        <v>2</v>
      </c>
      <c r="AH503" s="64">
        <v>1</v>
      </c>
      <c r="AI503" s="4">
        <v>1</v>
      </c>
      <c r="AJ503" s="4">
        <v>1</v>
      </c>
      <c r="AK503" s="4">
        <v>0</v>
      </c>
    </row>
    <row r="504" spans="1:37" s="65" customFormat="1" outlineLevel="1">
      <c r="A504" s="5">
        <v>497</v>
      </c>
      <c r="B504" s="64" t="s">
        <v>190</v>
      </c>
      <c r="C504" s="64" t="s">
        <v>237</v>
      </c>
      <c r="D504" s="64" t="str">
        <f>[1]Лист2!B497</f>
        <v>ЛЕРМОНТОВСКИЙ пр.</v>
      </c>
      <c r="E504" s="71" t="s">
        <v>218</v>
      </c>
      <c r="F504" s="196" t="str">
        <f>[1]Лист2!D497</f>
        <v>А</v>
      </c>
      <c r="G504" s="64"/>
      <c r="H504" s="67">
        <v>129497</v>
      </c>
      <c r="I504" s="64" t="s">
        <v>234</v>
      </c>
      <c r="J504" s="64"/>
      <c r="K504" s="64" t="s">
        <v>232</v>
      </c>
      <c r="L504" s="64" t="s">
        <v>232</v>
      </c>
      <c r="M504" s="72">
        <v>1917</v>
      </c>
      <c r="N504" s="64" t="s">
        <v>385</v>
      </c>
      <c r="O504" s="73">
        <v>4</v>
      </c>
      <c r="P504" s="196">
        <v>0</v>
      </c>
      <c r="Q504" s="73">
        <v>5</v>
      </c>
      <c r="R504" s="74">
        <v>75</v>
      </c>
      <c r="S504" s="75">
        <v>3016</v>
      </c>
      <c r="T504" s="82">
        <f t="shared" si="14"/>
        <v>2397</v>
      </c>
      <c r="U504" s="77">
        <f t="shared" si="15"/>
        <v>2397</v>
      </c>
      <c r="V504" s="77">
        <v>619</v>
      </c>
      <c r="W504" s="80" t="s">
        <v>233</v>
      </c>
      <c r="X504" s="81" t="s">
        <v>233</v>
      </c>
      <c r="Y504" s="64" t="s">
        <v>233</v>
      </c>
      <c r="Z504" s="81" t="s">
        <v>233</v>
      </c>
      <c r="AA504" s="64" t="s">
        <v>233</v>
      </c>
      <c r="AB504" s="81" t="s">
        <v>233</v>
      </c>
      <c r="AC504" s="4" t="s">
        <v>240</v>
      </c>
      <c r="AD504" s="64" t="s">
        <v>233</v>
      </c>
      <c r="AE504" s="64" t="s">
        <v>240</v>
      </c>
      <c r="AF504" s="208">
        <v>0</v>
      </c>
      <c r="AG504" s="4">
        <v>2</v>
      </c>
      <c r="AH504" s="64">
        <v>1</v>
      </c>
      <c r="AI504" s="64">
        <v>0</v>
      </c>
      <c r="AJ504" s="64">
        <v>0</v>
      </c>
      <c r="AK504" s="64">
        <v>0</v>
      </c>
    </row>
    <row r="505" spans="1:37" s="65" customFormat="1" outlineLevel="1">
      <c r="A505" s="5">
        <v>498</v>
      </c>
      <c r="B505" s="64" t="s">
        <v>190</v>
      </c>
      <c r="C505" s="64" t="s">
        <v>237</v>
      </c>
      <c r="D505" s="64" t="str">
        <f>[1]Лист2!B498</f>
        <v>ЛЕРМОНТОВСКИЙ пр.</v>
      </c>
      <c r="E505" s="71">
        <f>[1]Лист2!C498</f>
        <v>50</v>
      </c>
      <c r="F505" s="196" t="str">
        <f>[1]Лист2!D498</f>
        <v>А</v>
      </c>
      <c r="G505" s="64"/>
      <c r="H505" s="67">
        <v>129498</v>
      </c>
      <c r="I505" s="64" t="s">
        <v>234</v>
      </c>
      <c r="J505" s="64"/>
      <c r="K505" s="64" t="s">
        <v>232</v>
      </c>
      <c r="L505" s="64" t="s">
        <v>232</v>
      </c>
      <c r="M505" s="72">
        <v>1867</v>
      </c>
      <c r="N505" s="64" t="s">
        <v>385</v>
      </c>
      <c r="O505" s="73">
        <v>6</v>
      </c>
      <c r="P505" s="196">
        <v>0</v>
      </c>
      <c r="Q505" s="73">
        <v>8</v>
      </c>
      <c r="R505" s="74">
        <v>216</v>
      </c>
      <c r="S505" s="75">
        <v>11232.6</v>
      </c>
      <c r="T505" s="82">
        <f t="shared" si="14"/>
        <v>7911.6</v>
      </c>
      <c r="U505" s="77">
        <f t="shared" si="15"/>
        <v>7911.6</v>
      </c>
      <c r="V505" s="77">
        <v>3321</v>
      </c>
      <c r="W505" s="80" t="s">
        <v>233</v>
      </c>
      <c r="X505" s="81" t="s">
        <v>233</v>
      </c>
      <c r="Y505" s="64" t="s">
        <v>233</v>
      </c>
      <c r="Z505" s="81" t="s">
        <v>233</v>
      </c>
      <c r="AA505" s="64" t="s">
        <v>233</v>
      </c>
      <c r="AB505" s="81" t="s">
        <v>233</v>
      </c>
      <c r="AC505" s="4" t="s">
        <v>240</v>
      </c>
      <c r="AD505" s="64" t="s">
        <v>233</v>
      </c>
      <c r="AE505" s="64" t="s">
        <v>240</v>
      </c>
      <c r="AF505" s="208">
        <v>6</v>
      </c>
      <c r="AG505" s="4">
        <v>2</v>
      </c>
      <c r="AH505" s="64">
        <v>1</v>
      </c>
      <c r="AI505" s="64">
        <v>1</v>
      </c>
      <c r="AJ505" s="64">
        <v>1</v>
      </c>
      <c r="AK505" s="64">
        <v>0</v>
      </c>
    </row>
    <row r="506" spans="1:37" s="65" customFormat="1" outlineLevel="1">
      <c r="A506" s="63">
        <v>499</v>
      </c>
      <c r="B506" s="64" t="s">
        <v>190</v>
      </c>
      <c r="C506" s="64" t="s">
        <v>237</v>
      </c>
      <c r="D506" s="64" t="str">
        <f>[1]Лист2!B499</f>
        <v>ЛЕРМОНТОВСКИЙ пр.</v>
      </c>
      <c r="E506" s="71">
        <f>[1]Лист2!C499</f>
        <v>55</v>
      </c>
      <c r="F506" s="196" t="str">
        <f>[1]Лист2!D499</f>
        <v>А</v>
      </c>
      <c r="G506" s="4"/>
      <c r="H506" s="67">
        <v>129499</v>
      </c>
      <c r="I506" s="64" t="s">
        <v>234</v>
      </c>
      <c r="J506" s="64"/>
      <c r="K506" s="64" t="s">
        <v>232</v>
      </c>
      <c r="L506" s="64" t="s">
        <v>232</v>
      </c>
      <c r="M506" s="72">
        <v>1874</v>
      </c>
      <c r="N506" s="64" t="s">
        <v>385</v>
      </c>
      <c r="O506" s="73">
        <v>4</v>
      </c>
      <c r="P506" s="196">
        <v>0</v>
      </c>
      <c r="Q506" s="73">
        <v>7</v>
      </c>
      <c r="R506" s="74">
        <v>91</v>
      </c>
      <c r="S506" s="75">
        <v>4041.4</v>
      </c>
      <c r="T506" s="82">
        <f t="shared" si="14"/>
        <v>3130</v>
      </c>
      <c r="U506" s="77">
        <f t="shared" si="15"/>
        <v>3130</v>
      </c>
      <c r="V506" s="77">
        <v>911.4</v>
      </c>
      <c r="W506" s="80" t="s">
        <v>233</v>
      </c>
      <c r="X506" s="81" t="s">
        <v>233</v>
      </c>
      <c r="Y506" s="64" t="s">
        <v>233</v>
      </c>
      <c r="Z506" s="81" t="s">
        <v>233</v>
      </c>
      <c r="AA506" s="64" t="s">
        <v>233</v>
      </c>
      <c r="AB506" s="81" t="s">
        <v>233</v>
      </c>
      <c r="AC506" s="4" t="s">
        <v>240</v>
      </c>
      <c r="AD506" s="64" t="s">
        <v>233</v>
      </c>
      <c r="AE506" s="64" t="s">
        <v>240</v>
      </c>
      <c r="AF506" s="208">
        <v>0</v>
      </c>
      <c r="AG506" s="4">
        <v>1</v>
      </c>
      <c r="AH506" s="64">
        <v>1</v>
      </c>
      <c r="AI506" s="64">
        <v>0</v>
      </c>
      <c r="AJ506" s="64">
        <v>0</v>
      </c>
      <c r="AK506" s="64">
        <v>0</v>
      </c>
    </row>
    <row r="507" spans="1:37" s="65" customFormat="1" outlineLevel="1">
      <c r="A507" s="63">
        <v>500</v>
      </c>
      <c r="B507" s="64" t="s">
        <v>190</v>
      </c>
      <c r="C507" s="64" t="s">
        <v>237</v>
      </c>
      <c r="D507" s="64" t="str">
        <f>[1]Лист2!B500</f>
        <v>ЛЕРМОНТОВСКИЙ пр.</v>
      </c>
      <c r="E507" s="71" t="s">
        <v>219</v>
      </c>
      <c r="F507" s="196" t="str">
        <f>[1]Лист2!D500</f>
        <v>А</v>
      </c>
      <c r="G507" s="4"/>
      <c r="H507" s="67">
        <v>129500</v>
      </c>
      <c r="I507" s="64" t="s">
        <v>234</v>
      </c>
      <c r="J507" s="64"/>
      <c r="K507" s="64" t="s">
        <v>232</v>
      </c>
      <c r="L507" s="64" t="s">
        <v>232</v>
      </c>
      <c r="M507" s="72">
        <v>1859</v>
      </c>
      <c r="N507" s="64" t="s">
        <v>385</v>
      </c>
      <c r="O507" s="73">
        <v>5</v>
      </c>
      <c r="P507" s="196">
        <v>0</v>
      </c>
      <c r="Q507" s="73">
        <v>3</v>
      </c>
      <c r="R507" s="74">
        <v>39</v>
      </c>
      <c r="S507" s="75">
        <v>3078.8</v>
      </c>
      <c r="T507" s="82">
        <f t="shared" si="14"/>
        <v>2189.8000000000002</v>
      </c>
      <c r="U507" s="77">
        <f t="shared" si="15"/>
        <v>2189.8000000000002</v>
      </c>
      <c r="V507" s="77">
        <v>889</v>
      </c>
      <c r="W507" s="80" t="s">
        <v>233</v>
      </c>
      <c r="X507" s="81" t="s">
        <v>233</v>
      </c>
      <c r="Y507" s="64" t="s">
        <v>233</v>
      </c>
      <c r="Z507" s="81" t="s">
        <v>233</v>
      </c>
      <c r="AA507" s="64" t="s">
        <v>233</v>
      </c>
      <c r="AB507" s="81" t="s">
        <v>233</v>
      </c>
      <c r="AC507" s="4" t="s">
        <v>240</v>
      </c>
      <c r="AD507" s="64" t="s">
        <v>233</v>
      </c>
      <c r="AE507" s="64" t="s">
        <v>240</v>
      </c>
      <c r="AF507" s="208">
        <v>3</v>
      </c>
      <c r="AG507" s="4">
        <v>1</v>
      </c>
      <c r="AH507" s="64">
        <v>1</v>
      </c>
      <c r="AI507" s="64">
        <v>1</v>
      </c>
      <c r="AJ507" s="64">
        <v>1</v>
      </c>
      <c r="AK507" s="64">
        <v>0</v>
      </c>
    </row>
    <row r="508" spans="1:37" s="65" customFormat="1" outlineLevel="1">
      <c r="A508" s="5">
        <v>501</v>
      </c>
      <c r="B508" s="64" t="s">
        <v>190</v>
      </c>
      <c r="C508" s="64" t="s">
        <v>237</v>
      </c>
      <c r="D508" s="64" t="str">
        <f>[1]Лист2!B501</f>
        <v>ЛЕРМОНТОВСКИЙ пр.</v>
      </c>
      <c r="E508" s="71">
        <f>[1]Лист2!C501</f>
        <v>8</v>
      </c>
      <c r="F508" s="196" t="str">
        <f>[1]Лист2!D501</f>
        <v>А</v>
      </c>
      <c r="G508" s="64"/>
      <c r="H508" s="67">
        <v>129501</v>
      </c>
      <c r="I508" s="64" t="s">
        <v>234</v>
      </c>
      <c r="J508" s="64"/>
      <c r="K508" s="64" t="s">
        <v>232</v>
      </c>
      <c r="L508" s="64" t="s">
        <v>232</v>
      </c>
      <c r="M508" s="72">
        <v>1914</v>
      </c>
      <c r="N508" s="64" t="s">
        <v>385</v>
      </c>
      <c r="O508" s="73">
        <v>6</v>
      </c>
      <c r="P508" s="196">
        <v>0</v>
      </c>
      <c r="Q508" s="73">
        <v>5</v>
      </c>
      <c r="R508" s="74">
        <v>80</v>
      </c>
      <c r="S508" s="75">
        <v>7308.97</v>
      </c>
      <c r="T508" s="82">
        <f t="shared" si="14"/>
        <v>6337.97</v>
      </c>
      <c r="U508" s="77">
        <f t="shared" si="15"/>
        <v>6337.97</v>
      </c>
      <c r="V508" s="77">
        <v>971</v>
      </c>
      <c r="W508" s="80" t="s">
        <v>233</v>
      </c>
      <c r="X508" s="81" t="s">
        <v>233</v>
      </c>
      <c r="Y508" s="64" t="s">
        <v>233</v>
      </c>
      <c r="Z508" s="81" t="s">
        <v>233</v>
      </c>
      <c r="AA508" s="64" t="s">
        <v>233</v>
      </c>
      <c r="AB508" s="81" t="s">
        <v>233</v>
      </c>
      <c r="AC508" s="4" t="s">
        <v>240</v>
      </c>
      <c r="AD508" s="64" t="s">
        <v>233</v>
      </c>
      <c r="AE508" s="64" t="s">
        <v>240</v>
      </c>
      <c r="AF508" s="208">
        <v>4</v>
      </c>
      <c r="AG508" s="4">
        <v>2</v>
      </c>
      <c r="AH508" s="64">
        <v>1</v>
      </c>
      <c r="AI508" s="64">
        <v>1</v>
      </c>
      <c r="AJ508" s="64">
        <v>1</v>
      </c>
      <c r="AK508" s="64">
        <v>0</v>
      </c>
    </row>
    <row r="509" spans="1:37" s="65" customFormat="1" outlineLevel="1">
      <c r="A509" s="5">
        <v>502</v>
      </c>
      <c r="B509" s="64" t="s">
        <v>190</v>
      </c>
      <c r="C509" s="64" t="s">
        <v>237</v>
      </c>
      <c r="D509" s="64" t="str">
        <f>[1]Лист2!B502</f>
        <v>ЛЕРМОНТОВСКИЙ пр.</v>
      </c>
      <c r="E509" s="71" t="str">
        <f>[1]Лист2!C502</f>
        <v>8/10а</v>
      </c>
      <c r="F509" s="196" t="str">
        <f>[1]Лист2!D502</f>
        <v>А</v>
      </c>
      <c r="G509" s="64"/>
      <c r="H509" s="67">
        <v>129502</v>
      </c>
      <c r="I509" s="64" t="s">
        <v>234</v>
      </c>
      <c r="J509" s="64"/>
      <c r="K509" s="64" t="s">
        <v>232</v>
      </c>
      <c r="L509" s="64" t="s">
        <v>232</v>
      </c>
      <c r="M509" s="72">
        <v>1917</v>
      </c>
      <c r="N509" s="64" t="s">
        <v>385</v>
      </c>
      <c r="O509" s="73">
        <v>6</v>
      </c>
      <c r="P509" s="196">
        <v>0</v>
      </c>
      <c r="Q509" s="73">
        <v>6</v>
      </c>
      <c r="R509" s="74">
        <v>90</v>
      </c>
      <c r="S509" s="75">
        <v>5622</v>
      </c>
      <c r="T509" s="82">
        <f t="shared" si="14"/>
        <v>4950.3999999999996</v>
      </c>
      <c r="U509" s="77">
        <f t="shared" si="15"/>
        <v>4950.3999999999996</v>
      </c>
      <c r="V509" s="77">
        <v>671.6</v>
      </c>
      <c r="W509" s="80" t="s">
        <v>233</v>
      </c>
      <c r="X509" s="81" t="s">
        <v>233</v>
      </c>
      <c r="Y509" s="64" t="s">
        <v>233</v>
      </c>
      <c r="Z509" s="81" t="s">
        <v>233</v>
      </c>
      <c r="AA509" s="64" t="s">
        <v>233</v>
      </c>
      <c r="AB509" s="81" t="s">
        <v>233</v>
      </c>
      <c r="AC509" s="4" t="s">
        <v>240</v>
      </c>
      <c r="AD509" s="64" t="s">
        <v>233</v>
      </c>
      <c r="AE509" s="64" t="s">
        <v>240</v>
      </c>
      <c r="AF509" s="208">
        <v>2</v>
      </c>
      <c r="AG509" s="4">
        <v>2</v>
      </c>
      <c r="AH509" s="64">
        <v>1</v>
      </c>
      <c r="AI509" s="64">
        <v>0</v>
      </c>
      <c r="AJ509" s="64">
        <v>0</v>
      </c>
      <c r="AK509" s="64">
        <v>0</v>
      </c>
    </row>
    <row r="510" spans="1:37" s="65" customFormat="1" ht="15" customHeight="1" outlineLevel="1">
      <c r="A510" s="5">
        <v>503</v>
      </c>
      <c r="B510" s="64" t="s">
        <v>190</v>
      </c>
      <c r="C510" s="64" t="s">
        <v>237</v>
      </c>
      <c r="D510" s="64" t="str">
        <f>[1]Лист2!B503</f>
        <v>ЛЕРМОНТОВСКИЙ пр.</v>
      </c>
      <c r="E510" s="71" t="s">
        <v>220</v>
      </c>
      <c r="F510" s="196" t="str">
        <f>[1]Лист2!D503</f>
        <v>А</v>
      </c>
      <c r="G510" s="4"/>
      <c r="H510" s="67">
        <v>129503</v>
      </c>
      <c r="I510" s="64" t="s">
        <v>234</v>
      </c>
      <c r="J510" s="64"/>
      <c r="K510" s="64" t="s">
        <v>232</v>
      </c>
      <c r="L510" s="64" t="s">
        <v>232</v>
      </c>
      <c r="M510" s="72">
        <v>1917</v>
      </c>
      <c r="N510" s="64" t="s">
        <v>385</v>
      </c>
      <c r="O510" s="73">
        <v>4</v>
      </c>
      <c r="P510" s="196">
        <v>0</v>
      </c>
      <c r="Q510" s="73">
        <v>6</v>
      </c>
      <c r="R510" s="74">
        <v>132</v>
      </c>
      <c r="S510" s="75">
        <v>5635.01</v>
      </c>
      <c r="T510" s="82">
        <f t="shared" si="14"/>
        <v>5006.01</v>
      </c>
      <c r="U510" s="77">
        <f t="shared" si="15"/>
        <v>5006.01</v>
      </c>
      <c r="V510" s="77">
        <v>629</v>
      </c>
      <c r="W510" s="80" t="s">
        <v>233</v>
      </c>
      <c r="X510" s="81" t="s">
        <v>233</v>
      </c>
      <c r="Y510" s="64" t="s">
        <v>233</v>
      </c>
      <c r="Z510" s="81" t="s">
        <v>233</v>
      </c>
      <c r="AA510" s="64" t="s">
        <v>233</v>
      </c>
      <c r="AB510" s="81" t="s">
        <v>233</v>
      </c>
      <c r="AC510" s="4" t="s">
        <v>240</v>
      </c>
      <c r="AD510" s="64" t="s">
        <v>233</v>
      </c>
      <c r="AE510" s="64" t="s">
        <v>240</v>
      </c>
      <c r="AF510" s="208">
        <v>0</v>
      </c>
      <c r="AG510" s="4">
        <v>1</v>
      </c>
      <c r="AH510" s="64">
        <v>1</v>
      </c>
      <c r="AI510" s="64">
        <v>1</v>
      </c>
      <c r="AJ510" s="64">
        <v>1</v>
      </c>
      <c r="AK510" s="64">
        <v>0</v>
      </c>
    </row>
    <row r="511" spans="1:37" s="65" customFormat="1" outlineLevel="1">
      <c r="A511" s="5">
        <v>504</v>
      </c>
      <c r="B511" s="64" t="s">
        <v>190</v>
      </c>
      <c r="C511" s="64" t="s">
        <v>238</v>
      </c>
      <c r="D511" s="64" t="str">
        <f>[1]Лист2!B504</f>
        <v>ЛОДЫГИНА пер.</v>
      </c>
      <c r="E511" s="71" t="s">
        <v>221</v>
      </c>
      <c r="F511" s="196" t="str">
        <f>[1]Лист2!D504</f>
        <v>А</v>
      </c>
      <c r="G511" s="4"/>
      <c r="H511" s="67">
        <v>129504</v>
      </c>
      <c r="I511" s="64" t="s">
        <v>234</v>
      </c>
      <c r="J511" s="64"/>
      <c r="K511" s="64" t="s">
        <v>232</v>
      </c>
      <c r="L511" s="64" t="s">
        <v>232</v>
      </c>
      <c r="M511" s="72">
        <v>1897</v>
      </c>
      <c r="N511" s="64" t="s">
        <v>385</v>
      </c>
      <c r="O511" s="73">
        <v>4</v>
      </c>
      <c r="P511" s="196">
        <v>0</v>
      </c>
      <c r="Q511" s="73">
        <v>1</v>
      </c>
      <c r="R511" s="74">
        <v>24</v>
      </c>
      <c r="S511" s="75">
        <v>816.31</v>
      </c>
      <c r="T511" s="82">
        <f t="shared" si="14"/>
        <v>714.41</v>
      </c>
      <c r="U511" s="77">
        <f t="shared" si="15"/>
        <v>714.41</v>
      </c>
      <c r="V511" s="77">
        <v>101.9</v>
      </c>
      <c r="W511" s="80" t="s">
        <v>233</v>
      </c>
      <c r="X511" s="81" t="s">
        <v>233</v>
      </c>
      <c r="Y511" s="64" t="s">
        <v>233</v>
      </c>
      <c r="Z511" s="81" t="s">
        <v>233</v>
      </c>
      <c r="AA511" s="64" t="s">
        <v>233</v>
      </c>
      <c r="AB511" s="81" t="s">
        <v>233</v>
      </c>
      <c r="AC511" s="4" t="s">
        <v>240</v>
      </c>
      <c r="AD511" s="64" t="s">
        <v>233</v>
      </c>
      <c r="AE511" s="64" t="s">
        <v>240</v>
      </c>
      <c r="AF511" s="208">
        <v>0</v>
      </c>
      <c r="AG511" s="4">
        <v>1</v>
      </c>
      <c r="AH511" s="64">
        <v>1</v>
      </c>
      <c r="AI511" s="64">
        <v>0</v>
      </c>
      <c r="AJ511" s="64">
        <v>0</v>
      </c>
      <c r="AK511" s="64">
        <v>0</v>
      </c>
    </row>
    <row r="512" spans="1:37" s="65" customFormat="1" outlineLevel="1">
      <c r="A512" s="63">
        <v>505</v>
      </c>
      <c r="B512" s="64" t="s">
        <v>190</v>
      </c>
      <c r="C512" s="64" t="s">
        <v>237</v>
      </c>
      <c r="D512" s="64" t="str">
        <f>[1]Лист2!B505</f>
        <v>ЛЮБЛИНСКИЙ пер.</v>
      </c>
      <c r="E512" s="71" t="s">
        <v>222</v>
      </c>
      <c r="F512" s="196" t="str">
        <f>[1]Лист2!D505</f>
        <v>А</v>
      </c>
      <c r="G512" s="64"/>
      <c r="H512" s="67">
        <v>129505</v>
      </c>
      <c r="I512" s="64" t="s">
        <v>234</v>
      </c>
      <c r="J512" s="64"/>
      <c r="K512" s="64" t="s">
        <v>232</v>
      </c>
      <c r="L512" s="64" t="s">
        <v>232</v>
      </c>
      <c r="M512" s="72">
        <v>1896</v>
      </c>
      <c r="N512" s="64" t="s">
        <v>385</v>
      </c>
      <c r="O512" s="73">
        <v>4</v>
      </c>
      <c r="P512" s="196">
        <v>0</v>
      </c>
      <c r="Q512" s="73">
        <v>2</v>
      </c>
      <c r="R512" s="74">
        <v>78</v>
      </c>
      <c r="S512" s="75">
        <v>3015.71</v>
      </c>
      <c r="T512" s="82">
        <f t="shared" si="14"/>
        <v>2601.71</v>
      </c>
      <c r="U512" s="77">
        <f t="shared" si="15"/>
        <v>2601.71</v>
      </c>
      <c r="V512" s="77">
        <v>414</v>
      </c>
      <c r="W512" s="80" t="s">
        <v>233</v>
      </c>
      <c r="X512" s="81" t="s">
        <v>233</v>
      </c>
      <c r="Y512" s="64" t="s">
        <v>240</v>
      </c>
      <c r="Z512" s="81" t="s">
        <v>233</v>
      </c>
      <c r="AA512" s="64" t="s">
        <v>233</v>
      </c>
      <c r="AB512" s="81" t="s">
        <v>233</v>
      </c>
      <c r="AC512" s="64" t="s">
        <v>233</v>
      </c>
      <c r="AD512" s="64" t="s">
        <v>233</v>
      </c>
      <c r="AE512" s="64" t="s">
        <v>240</v>
      </c>
      <c r="AF512" s="208">
        <v>0</v>
      </c>
      <c r="AG512" s="4">
        <v>2</v>
      </c>
      <c r="AH512" s="64">
        <v>1</v>
      </c>
      <c r="AI512" s="64">
        <v>0</v>
      </c>
      <c r="AJ512" s="64">
        <v>0</v>
      </c>
      <c r="AK512" s="64">
        <v>0</v>
      </c>
    </row>
    <row r="513" spans="1:37" s="65" customFormat="1" outlineLevel="1">
      <c r="A513" s="63">
        <v>506</v>
      </c>
      <c r="B513" s="64" t="s">
        <v>190</v>
      </c>
      <c r="C513" s="64" t="s">
        <v>237</v>
      </c>
      <c r="D513" s="64" t="str">
        <f>[1]Лист2!B506</f>
        <v>ЛЮБЛИНСКИЙ пер.</v>
      </c>
      <c r="E513" s="71" t="s">
        <v>223</v>
      </c>
      <c r="F513" s="196" t="str">
        <f>[1]Лист2!D506</f>
        <v>А</v>
      </c>
      <c r="G513" s="64"/>
      <c r="H513" s="67">
        <v>129506</v>
      </c>
      <c r="I513" s="64" t="s">
        <v>234</v>
      </c>
      <c r="J513" s="64"/>
      <c r="K513" s="64" t="s">
        <v>232</v>
      </c>
      <c r="L513" s="64" t="s">
        <v>232</v>
      </c>
      <c r="M513" s="72">
        <v>1817</v>
      </c>
      <c r="N513" s="64" t="s">
        <v>385</v>
      </c>
      <c r="O513" s="73">
        <v>5</v>
      </c>
      <c r="P513" s="196">
        <v>0</v>
      </c>
      <c r="Q513" s="73">
        <v>2</v>
      </c>
      <c r="R513" s="74">
        <v>78</v>
      </c>
      <c r="S513" s="75">
        <v>2727.26</v>
      </c>
      <c r="T513" s="82">
        <f t="shared" si="14"/>
        <v>2551.2600000000002</v>
      </c>
      <c r="U513" s="77">
        <f t="shared" si="15"/>
        <v>2551.2600000000002</v>
      </c>
      <c r="V513" s="77">
        <v>176</v>
      </c>
      <c r="W513" s="80" t="s">
        <v>233</v>
      </c>
      <c r="X513" s="81" t="s">
        <v>233</v>
      </c>
      <c r="Y513" s="64" t="s">
        <v>233</v>
      </c>
      <c r="Z513" s="81" t="s">
        <v>233</v>
      </c>
      <c r="AA513" s="64" t="s">
        <v>233</v>
      </c>
      <c r="AB513" s="81" t="s">
        <v>233</v>
      </c>
      <c r="AC513" s="4" t="s">
        <v>240</v>
      </c>
      <c r="AD513" s="64" t="s">
        <v>233</v>
      </c>
      <c r="AE513" s="64" t="s">
        <v>240</v>
      </c>
      <c r="AF513" s="208">
        <v>0</v>
      </c>
      <c r="AG513" s="4">
        <v>1</v>
      </c>
      <c r="AH513" s="64">
        <v>1</v>
      </c>
      <c r="AI513" s="64">
        <v>1</v>
      </c>
      <c r="AJ513" s="64">
        <v>1</v>
      </c>
      <c r="AK513" s="64">
        <v>0</v>
      </c>
    </row>
    <row r="514" spans="1:37" s="65" customFormat="1" outlineLevel="1">
      <c r="A514" s="5">
        <v>507</v>
      </c>
      <c r="B514" s="64" t="s">
        <v>190</v>
      </c>
      <c r="C514" s="64" t="s">
        <v>237</v>
      </c>
      <c r="D514" s="64" t="str">
        <f>[1]Лист2!B507</f>
        <v>ЛЮБЛИНСКИЙ пер.</v>
      </c>
      <c r="E514" s="71">
        <f>[1]Лист2!C507</f>
        <v>3</v>
      </c>
      <c r="F514" s="196" t="str">
        <f>[1]Лист2!D507</f>
        <v>А</v>
      </c>
      <c r="G514" s="4"/>
      <c r="H514" s="67">
        <v>129507</v>
      </c>
      <c r="I514" s="64" t="s">
        <v>234</v>
      </c>
      <c r="J514" s="64"/>
      <c r="K514" s="64" t="s">
        <v>232</v>
      </c>
      <c r="L514" s="64" t="s">
        <v>232</v>
      </c>
      <c r="M514" s="72">
        <v>1883</v>
      </c>
      <c r="N514" s="64" t="s">
        <v>385</v>
      </c>
      <c r="O514" s="73">
        <v>4</v>
      </c>
      <c r="P514" s="196">
        <v>0</v>
      </c>
      <c r="Q514" s="73">
        <v>2</v>
      </c>
      <c r="R514" s="74">
        <v>60</v>
      </c>
      <c r="S514" s="75">
        <v>1286</v>
      </c>
      <c r="T514" s="82">
        <f t="shared" si="14"/>
        <v>1269</v>
      </c>
      <c r="U514" s="77">
        <f t="shared" si="15"/>
        <v>1269</v>
      </c>
      <c r="V514" s="77">
        <v>17</v>
      </c>
      <c r="W514" s="80" t="s">
        <v>233</v>
      </c>
      <c r="X514" s="81" t="s">
        <v>233</v>
      </c>
      <c r="Y514" s="64" t="s">
        <v>240</v>
      </c>
      <c r="Z514" s="81" t="s">
        <v>233</v>
      </c>
      <c r="AA514" s="64" t="s">
        <v>233</v>
      </c>
      <c r="AB514" s="81" t="s">
        <v>233</v>
      </c>
      <c r="AC514" s="64" t="s">
        <v>233</v>
      </c>
      <c r="AD514" s="64" t="s">
        <v>233</v>
      </c>
      <c r="AE514" s="64" t="s">
        <v>240</v>
      </c>
      <c r="AF514" s="208">
        <v>0</v>
      </c>
      <c r="AG514" s="4">
        <v>1</v>
      </c>
      <c r="AH514" s="64">
        <v>1</v>
      </c>
      <c r="AI514" s="64">
        <v>0</v>
      </c>
      <c r="AJ514" s="64">
        <v>1</v>
      </c>
      <c r="AK514" s="64">
        <v>0</v>
      </c>
    </row>
    <row r="515" spans="1:37" outlineLevel="1">
      <c r="A515" s="5">
        <v>508</v>
      </c>
      <c r="B515" s="64" t="s">
        <v>190</v>
      </c>
      <c r="C515" s="64" t="s">
        <v>237</v>
      </c>
      <c r="D515" s="4" t="str">
        <f>[1]Лист2!B508</f>
        <v>ЛЮБЛИНСКИЙ пер.</v>
      </c>
      <c r="E515" s="69">
        <f>[1]Лист2!C508</f>
        <v>3</v>
      </c>
      <c r="F515" s="197" t="str">
        <f>[1]Лист2!D508</f>
        <v>Б</v>
      </c>
      <c r="G515" s="4"/>
      <c r="H515" s="199">
        <v>129508</v>
      </c>
      <c r="I515" s="64" t="s">
        <v>234</v>
      </c>
      <c r="J515" s="4"/>
      <c r="K515" s="64" t="s">
        <v>232</v>
      </c>
      <c r="L515" s="4" t="s">
        <v>232</v>
      </c>
      <c r="M515" s="72">
        <v>1906</v>
      </c>
      <c r="N515" s="64" t="s">
        <v>385</v>
      </c>
      <c r="O515" s="73">
        <v>3</v>
      </c>
      <c r="P515" s="196">
        <v>0</v>
      </c>
      <c r="Q515" s="73">
        <v>1</v>
      </c>
      <c r="R515" s="74">
        <v>19</v>
      </c>
      <c r="S515" s="76">
        <v>375</v>
      </c>
      <c r="T515" s="82">
        <f t="shared" si="14"/>
        <v>326</v>
      </c>
      <c r="U515" s="77">
        <f t="shared" si="15"/>
        <v>326</v>
      </c>
      <c r="V515" s="78">
        <v>49</v>
      </c>
      <c r="W515" s="80" t="s">
        <v>233</v>
      </c>
      <c r="X515" s="81" t="s">
        <v>233</v>
      </c>
      <c r="Y515" s="4" t="s">
        <v>240</v>
      </c>
      <c r="Z515" s="81" t="s">
        <v>233</v>
      </c>
      <c r="AA515" s="64" t="s">
        <v>233</v>
      </c>
      <c r="AB515" s="81" t="s">
        <v>233</v>
      </c>
      <c r="AC515" s="4" t="s">
        <v>233</v>
      </c>
      <c r="AD515" s="64" t="s">
        <v>233</v>
      </c>
      <c r="AE515" s="64" t="s">
        <v>240</v>
      </c>
      <c r="AF515" s="209">
        <v>0</v>
      </c>
      <c r="AG515" s="4">
        <v>1</v>
      </c>
      <c r="AH515" s="64">
        <v>1</v>
      </c>
      <c r="AI515" s="4">
        <v>0</v>
      </c>
      <c r="AJ515" s="4">
        <v>0</v>
      </c>
      <c r="AK515" s="4">
        <v>0</v>
      </c>
    </row>
    <row r="516" spans="1:37" outlineLevel="1">
      <c r="A516" s="5">
        <v>509</v>
      </c>
      <c r="B516" s="64" t="s">
        <v>190</v>
      </c>
      <c r="C516" s="64" t="s">
        <v>237</v>
      </c>
      <c r="D516" s="4" t="str">
        <f>[1]Лист2!B509</f>
        <v>ЛЮБЛИНСКИЙ пер.</v>
      </c>
      <c r="E516" s="69">
        <f>[1]Лист2!C509</f>
        <v>4</v>
      </c>
      <c r="F516" s="197" t="str">
        <f>[1]Лист2!D509</f>
        <v>А</v>
      </c>
      <c r="G516" s="64"/>
      <c r="H516" s="199">
        <v>129509</v>
      </c>
      <c r="I516" s="64" t="s">
        <v>234</v>
      </c>
      <c r="J516" s="4"/>
      <c r="K516" s="64" t="s">
        <v>232</v>
      </c>
      <c r="L516" s="4" t="s">
        <v>232</v>
      </c>
      <c r="M516" s="72">
        <v>1917</v>
      </c>
      <c r="N516" s="64" t="s">
        <v>385</v>
      </c>
      <c r="O516" s="73">
        <v>7</v>
      </c>
      <c r="P516" s="196">
        <v>0</v>
      </c>
      <c r="Q516" s="73">
        <v>4</v>
      </c>
      <c r="R516" s="74">
        <v>55</v>
      </c>
      <c r="S516" s="76">
        <v>4348.3099999999995</v>
      </c>
      <c r="T516" s="82">
        <f t="shared" si="14"/>
        <v>4249.3099999999995</v>
      </c>
      <c r="U516" s="77">
        <f t="shared" si="15"/>
        <v>4249.3099999999995</v>
      </c>
      <c r="V516" s="78">
        <v>99</v>
      </c>
      <c r="W516" s="80" t="s">
        <v>233</v>
      </c>
      <c r="X516" s="81" t="s">
        <v>233</v>
      </c>
      <c r="Y516" s="4" t="s">
        <v>233</v>
      </c>
      <c r="Z516" s="81" t="s">
        <v>233</v>
      </c>
      <c r="AA516" s="64" t="s">
        <v>233</v>
      </c>
      <c r="AB516" s="81" t="s">
        <v>233</v>
      </c>
      <c r="AC516" s="4" t="s">
        <v>240</v>
      </c>
      <c r="AD516" s="64" t="s">
        <v>233</v>
      </c>
      <c r="AE516" s="64" t="s">
        <v>240</v>
      </c>
      <c r="AF516" s="208">
        <v>1</v>
      </c>
      <c r="AG516" s="4">
        <v>2</v>
      </c>
      <c r="AH516" s="64">
        <v>1</v>
      </c>
      <c r="AI516" s="4">
        <v>0</v>
      </c>
      <c r="AJ516" s="4">
        <v>0</v>
      </c>
      <c r="AK516" s="4">
        <v>0</v>
      </c>
    </row>
    <row r="517" spans="1:37" outlineLevel="1">
      <c r="A517" s="5">
        <v>510</v>
      </c>
      <c r="B517" s="64" t="s">
        <v>190</v>
      </c>
      <c r="C517" s="64" t="s">
        <v>237</v>
      </c>
      <c r="D517" s="4" t="str">
        <f>[1]Лист2!B510</f>
        <v>ЛЮБЛИНСКИЙ пер.</v>
      </c>
      <c r="E517" s="69">
        <f>[1]Лист2!C510</f>
        <v>7</v>
      </c>
      <c r="F517" s="197" t="str">
        <f>[1]Лист2!D510</f>
        <v>А</v>
      </c>
      <c r="G517" s="64"/>
      <c r="H517" s="199">
        <v>129510</v>
      </c>
      <c r="I517" s="64" t="s">
        <v>234</v>
      </c>
      <c r="J517" s="4"/>
      <c r="K517" s="64" t="s">
        <v>232</v>
      </c>
      <c r="L517" s="4" t="s">
        <v>232</v>
      </c>
      <c r="M517" s="72">
        <v>1907</v>
      </c>
      <c r="N517" s="64" t="s">
        <v>385</v>
      </c>
      <c r="O517" s="73">
        <v>5</v>
      </c>
      <c r="P517" s="196">
        <v>0</v>
      </c>
      <c r="Q517" s="73">
        <v>1</v>
      </c>
      <c r="R517" s="74">
        <v>54</v>
      </c>
      <c r="S517" s="76">
        <v>1189</v>
      </c>
      <c r="T517" s="82">
        <f t="shared" si="14"/>
        <v>608</v>
      </c>
      <c r="U517" s="77">
        <f t="shared" si="15"/>
        <v>608</v>
      </c>
      <c r="V517" s="78">
        <v>581</v>
      </c>
      <c r="W517" s="80" t="s">
        <v>233</v>
      </c>
      <c r="X517" s="81" t="s">
        <v>233</v>
      </c>
      <c r="Y517" s="4" t="s">
        <v>240</v>
      </c>
      <c r="Z517" s="81" t="s">
        <v>233</v>
      </c>
      <c r="AA517" s="64" t="s">
        <v>233</v>
      </c>
      <c r="AB517" s="81" t="s">
        <v>233</v>
      </c>
      <c r="AC517" s="4" t="s">
        <v>233</v>
      </c>
      <c r="AD517" s="64" t="s">
        <v>233</v>
      </c>
      <c r="AE517" s="64" t="s">
        <v>240</v>
      </c>
      <c r="AF517" s="208">
        <v>0</v>
      </c>
      <c r="AG517" s="4">
        <v>1</v>
      </c>
      <c r="AH517" s="64">
        <v>1</v>
      </c>
      <c r="AI517" s="4">
        <v>0</v>
      </c>
      <c r="AJ517" s="4">
        <v>1</v>
      </c>
      <c r="AK517" s="4">
        <v>0</v>
      </c>
    </row>
    <row r="518" spans="1:37" outlineLevel="1">
      <c r="A518" s="63">
        <v>511</v>
      </c>
      <c r="B518" s="64" t="s">
        <v>190</v>
      </c>
      <c r="C518" s="64" t="s">
        <v>237</v>
      </c>
      <c r="D518" s="4" t="str">
        <f>[1]Лист2!B511</f>
        <v>ЛЮБЛИНСКИЙ пер.</v>
      </c>
      <c r="E518" s="69">
        <f>[1]Лист2!C511</f>
        <v>7</v>
      </c>
      <c r="F518" s="197" t="str">
        <f>[1]Лист2!D511</f>
        <v>Б</v>
      </c>
      <c r="G518" s="4"/>
      <c r="H518" s="199">
        <v>129511</v>
      </c>
      <c r="I518" s="64" t="s">
        <v>234</v>
      </c>
      <c r="J518" s="4"/>
      <c r="K518" s="64" t="s">
        <v>232</v>
      </c>
      <c r="L518" s="4" t="s">
        <v>232</v>
      </c>
      <c r="M518" s="72">
        <v>1901</v>
      </c>
      <c r="N518" s="64" t="s">
        <v>385</v>
      </c>
      <c r="O518" s="73">
        <v>5</v>
      </c>
      <c r="P518" s="196">
        <v>0</v>
      </c>
      <c r="Q518" s="73">
        <v>1</v>
      </c>
      <c r="R518" s="74">
        <v>39</v>
      </c>
      <c r="S518" s="76">
        <v>997</v>
      </c>
      <c r="T518" s="82">
        <f t="shared" si="14"/>
        <v>543</v>
      </c>
      <c r="U518" s="77">
        <f t="shared" si="15"/>
        <v>543</v>
      </c>
      <c r="V518" s="78">
        <v>454</v>
      </c>
      <c r="W518" s="80" t="s">
        <v>233</v>
      </c>
      <c r="X518" s="81" t="s">
        <v>233</v>
      </c>
      <c r="Y518" s="4" t="s">
        <v>240</v>
      </c>
      <c r="Z518" s="81" t="s">
        <v>233</v>
      </c>
      <c r="AA518" s="64" t="s">
        <v>233</v>
      </c>
      <c r="AB518" s="81" t="s">
        <v>233</v>
      </c>
      <c r="AC518" s="4" t="s">
        <v>233</v>
      </c>
      <c r="AD518" s="64" t="s">
        <v>233</v>
      </c>
      <c r="AE518" s="64" t="s">
        <v>240</v>
      </c>
      <c r="AF518" s="211">
        <v>0</v>
      </c>
      <c r="AG518" s="4">
        <v>1</v>
      </c>
      <c r="AH518" s="64">
        <v>1</v>
      </c>
      <c r="AI518" s="4">
        <v>0</v>
      </c>
      <c r="AJ518" s="4">
        <v>0</v>
      </c>
      <c r="AK518" s="4">
        <v>0</v>
      </c>
    </row>
    <row r="519" spans="1:37" outlineLevel="1">
      <c r="A519" s="63">
        <v>512</v>
      </c>
      <c r="B519" s="64" t="s">
        <v>190</v>
      </c>
      <c r="C519" s="4" t="s">
        <v>236</v>
      </c>
      <c r="D519" s="4" t="str">
        <f>[1]Лист2!B512</f>
        <v>М.МОРСКАЯ ул.</v>
      </c>
      <c r="E519" s="69">
        <f>[1]Лист2!C512</f>
        <v>19</v>
      </c>
      <c r="F519" s="197" t="str">
        <f>[1]Лист2!D512</f>
        <v>А</v>
      </c>
      <c r="G519" s="4"/>
      <c r="H519" s="199">
        <v>129512</v>
      </c>
      <c r="I519" s="64" t="s">
        <v>234</v>
      </c>
      <c r="J519" s="4"/>
      <c r="K519" s="64" t="s">
        <v>232</v>
      </c>
      <c r="L519" s="4" t="s">
        <v>232</v>
      </c>
      <c r="M519" s="72">
        <v>1905</v>
      </c>
      <c r="N519" s="64" t="s">
        <v>385</v>
      </c>
      <c r="O519" s="73">
        <v>7</v>
      </c>
      <c r="P519" s="196">
        <v>0</v>
      </c>
      <c r="Q519" s="73">
        <v>6</v>
      </c>
      <c r="R519" s="74">
        <v>188</v>
      </c>
      <c r="S519" s="76">
        <v>7071.2999999999993</v>
      </c>
      <c r="T519" s="82">
        <f t="shared" si="14"/>
        <v>5584.4</v>
      </c>
      <c r="U519" s="77">
        <f t="shared" si="15"/>
        <v>5584.4</v>
      </c>
      <c r="V519" s="78">
        <v>1486.9</v>
      </c>
      <c r="W519" s="80" t="s">
        <v>233</v>
      </c>
      <c r="X519" s="81" t="s">
        <v>233</v>
      </c>
      <c r="Y519" s="4" t="s">
        <v>233</v>
      </c>
      <c r="Z519" s="81" t="s">
        <v>233</v>
      </c>
      <c r="AA519" s="64" t="s">
        <v>233</v>
      </c>
      <c r="AB519" s="81" t="s">
        <v>233</v>
      </c>
      <c r="AC519" s="4" t="s">
        <v>240</v>
      </c>
      <c r="AD519" s="64" t="s">
        <v>233</v>
      </c>
      <c r="AE519" s="64" t="s">
        <v>240</v>
      </c>
      <c r="AF519" s="211">
        <v>0</v>
      </c>
      <c r="AG519" s="4">
        <v>2</v>
      </c>
      <c r="AH519" s="64">
        <v>1</v>
      </c>
      <c r="AI519" s="4">
        <v>1</v>
      </c>
      <c r="AJ519" s="4">
        <v>1</v>
      </c>
      <c r="AK519" s="4">
        <v>0</v>
      </c>
    </row>
    <row r="520" spans="1:37" outlineLevel="1">
      <c r="A520" s="5">
        <v>513</v>
      </c>
      <c r="B520" s="64" t="s">
        <v>190</v>
      </c>
      <c r="C520" s="4" t="s">
        <v>237</v>
      </c>
      <c r="D520" s="4" t="str">
        <f>[1]Лист2!B513</f>
        <v>МАКАРЕНКО пер.</v>
      </c>
      <c r="E520" s="69">
        <f>[1]Лист2!C513</f>
        <v>10</v>
      </c>
      <c r="F520" s="197" t="str">
        <f>[1]Лист2!D513</f>
        <v>А</v>
      </c>
      <c r="G520" s="64"/>
      <c r="H520" s="199">
        <v>129513</v>
      </c>
      <c r="I520" s="64" t="s">
        <v>234</v>
      </c>
      <c r="J520" s="4"/>
      <c r="K520" s="64" t="s">
        <v>232</v>
      </c>
      <c r="L520" s="4" t="s">
        <v>232</v>
      </c>
      <c r="M520" s="72">
        <v>1828</v>
      </c>
      <c r="N520" s="64" t="s">
        <v>385</v>
      </c>
      <c r="O520" s="73">
        <v>5</v>
      </c>
      <c r="P520" s="196">
        <v>0</v>
      </c>
      <c r="Q520" s="73">
        <v>7</v>
      </c>
      <c r="R520" s="74">
        <v>56</v>
      </c>
      <c r="S520" s="76">
        <v>2467.92</v>
      </c>
      <c r="T520" s="82">
        <f t="shared" si="14"/>
        <v>2190.3200000000002</v>
      </c>
      <c r="U520" s="77">
        <f t="shared" si="15"/>
        <v>2190.3200000000002</v>
      </c>
      <c r="V520" s="78">
        <v>277.60000000000002</v>
      </c>
      <c r="W520" s="80" t="s">
        <v>233</v>
      </c>
      <c r="X520" s="81" t="s">
        <v>233</v>
      </c>
      <c r="Y520" s="4" t="s">
        <v>233</v>
      </c>
      <c r="Z520" s="81" t="s">
        <v>233</v>
      </c>
      <c r="AA520" s="64" t="s">
        <v>233</v>
      </c>
      <c r="AB520" s="81" t="s">
        <v>233</v>
      </c>
      <c r="AC520" s="4" t="s">
        <v>240</v>
      </c>
      <c r="AD520" s="64" t="s">
        <v>233</v>
      </c>
      <c r="AE520" s="64" t="s">
        <v>240</v>
      </c>
      <c r="AF520" s="208">
        <v>0</v>
      </c>
      <c r="AG520" s="4">
        <v>2</v>
      </c>
      <c r="AH520" s="64">
        <v>1</v>
      </c>
      <c r="AI520" s="4">
        <v>2</v>
      </c>
      <c r="AJ520" s="4">
        <v>2</v>
      </c>
      <c r="AK520" s="4">
        <v>0</v>
      </c>
    </row>
    <row r="521" spans="1:37" outlineLevel="1">
      <c r="A521" s="5">
        <v>514</v>
      </c>
      <c r="B521" s="64" t="s">
        <v>190</v>
      </c>
      <c r="C521" s="4" t="s">
        <v>237</v>
      </c>
      <c r="D521" s="4" t="str">
        <f>[1]Лист2!B514</f>
        <v>МАКАРЕНКО пер.</v>
      </c>
      <c r="E521" s="69">
        <f>[1]Лист2!C514</f>
        <v>11</v>
      </c>
      <c r="F521" s="197" t="str">
        <f>[1]Лист2!D514</f>
        <v>А</v>
      </c>
      <c r="G521" s="64"/>
      <c r="H521" s="199">
        <v>129514</v>
      </c>
      <c r="I521" s="64" t="s">
        <v>234</v>
      </c>
      <c r="J521" s="4"/>
      <c r="K521" s="64" t="s">
        <v>232</v>
      </c>
      <c r="L521" s="4" t="s">
        <v>232</v>
      </c>
      <c r="M521" s="72">
        <v>1878</v>
      </c>
      <c r="N521" s="64" t="s">
        <v>385</v>
      </c>
      <c r="O521" s="73">
        <v>5</v>
      </c>
      <c r="P521" s="196">
        <v>0</v>
      </c>
      <c r="Q521" s="73">
        <v>1</v>
      </c>
      <c r="R521" s="74">
        <v>31</v>
      </c>
      <c r="S521" s="76">
        <v>1038.6100000000001</v>
      </c>
      <c r="T521" s="82">
        <f t="shared" ref="T521:T584" si="16">U521</f>
        <v>818.61000000000013</v>
      </c>
      <c r="U521" s="77">
        <f t="shared" ref="U521:U584" si="17">S521-V521</f>
        <v>818.61000000000013</v>
      </c>
      <c r="V521" s="78">
        <v>220</v>
      </c>
      <c r="W521" s="80" t="s">
        <v>233</v>
      </c>
      <c r="X521" s="81" t="s">
        <v>233</v>
      </c>
      <c r="Y521" s="4" t="s">
        <v>233</v>
      </c>
      <c r="Z521" s="81" t="s">
        <v>233</v>
      </c>
      <c r="AA521" s="64" t="s">
        <v>233</v>
      </c>
      <c r="AB521" s="81" t="s">
        <v>233</v>
      </c>
      <c r="AC521" s="4" t="s">
        <v>240</v>
      </c>
      <c r="AD521" s="64" t="s">
        <v>233</v>
      </c>
      <c r="AE521" s="64" t="s">
        <v>240</v>
      </c>
      <c r="AF521" s="208">
        <v>1</v>
      </c>
      <c r="AG521" s="4">
        <v>1</v>
      </c>
      <c r="AH521" s="64">
        <v>1</v>
      </c>
      <c r="AI521" s="4">
        <v>1</v>
      </c>
      <c r="AJ521" s="4">
        <v>1</v>
      </c>
      <c r="AK521" s="4">
        <v>0</v>
      </c>
    </row>
    <row r="522" spans="1:37" outlineLevel="1">
      <c r="A522" s="5">
        <v>515</v>
      </c>
      <c r="B522" s="64" t="s">
        <v>190</v>
      </c>
      <c r="C522" s="4" t="s">
        <v>237</v>
      </c>
      <c r="D522" s="4" t="str">
        <f>[1]Лист2!B515</f>
        <v>МАКАРЕНКО пер.</v>
      </c>
      <c r="E522" s="69">
        <f>[1]Лист2!C515</f>
        <v>13</v>
      </c>
      <c r="F522" s="197" t="str">
        <f>[1]Лист2!D515</f>
        <v>А</v>
      </c>
      <c r="G522" s="4"/>
      <c r="H522" s="199">
        <v>129515</v>
      </c>
      <c r="I522" s="64" t="s">
        <v>234</v>
      </c>
      <c r="J522" s="4"/>
      <c r="K522" s="64" t="s">
        <v>232</v>
      </c>
      <c r="L522" s="4" t="s">
        <v>232</v>
      </c>
      <c r="M522" s="72">
        <v>1866</v>
      </c>
      <c r="N522" s="64" t="s">
        <v>385</v>
      </c>
      <c r="O522" s="73">
        <v>5</v>
      </c>
      <c r="P522" s="196">
        <v>0</v>
      </c>
      <c r="Q522" s="73">
        <v>6</v>
      </c>
      <c r="R522" s="74">
        <v>126</v>
      </c>
      <c r="S522" s="76">
        <v>4381.93</v>
      </c>
      <c r="T522" s="82">
        <f t="shared" si="16"/>
        <v>4234.93</v>
      </c>
      <c r="U522" s="77">
        <f t="shared" si="17"/>
        <v>4234.93</v>
      </c>
      <c r="V522" s="78">
        <v>147</v>
      </c>
      <c r="W522" s="80" t="s">
        <v>233</v>
      </c>
      <c r="X522" s="81" t="s">
        <v>233</v>
      </c>
      <c r="Y522" s="4" t="s">
        <v>233</v>
      </c>
      <c r="Z522" s="81" t="s">
        <v>233</v>
      </c>
      <c r="AA522" s="64" t="s">
        <v>233</v>
      </c>
      <c r="AB522" s="81" t="s">
        <v>233</v>
      </c>
      <c r="AC522" s="4" t="s">
        <v>240</v>
      </c>
      <c r="AD522" s="64" t="s">
        <v>233</v>
      </c>
      <c r="AE522" s="64" t="s">
        <v>240</v>
      </c>
      <c r="AF522" s="208">
        <v>3</v>
      </c>
      <c r="AG522" s="4">
        <v>2</v>
      </c>
      <c r="AH522" s="64">
        <v>1</v>
      </c>
      <c r="AI522" s="4">
        <v>1</v>
      </c>
      <c r="AJ522" s="4">
        <v>1</v>
      </c>
      <c r="AK522" s="4">
        <v>0</v>
      </c>
    </row>
    <row r="523" spans="1:37" outlineLevel="1">
      <c r="A523" s="5">
        <v>516</v>
      </c>
      <c r="B523" s="64" t="s">
        <v>190</v>
      </c>
      <c r="C523" s="4" t="s">
        <v>237</v>
      </c>
      <c r="D523" s="4" t="str">
        <f>[1]Лист2!B516</f>
        <v>МАКАРЕНКО пер.</v>
      </c>
      <c r="E523" s="69" t="str">
        <f>[1]Лист2!C516</f>
        <v>15/147</v>
      </c>
      <c r="F523" s="197" t="str">
        <f>[1]Лист2!D516</f>
        <v>А</v>
      </c>
      <c r="G523" s="4"/>
      <c r="H523" s="199">
        <v>129516</v>
      </c>
      <c r="I523" s="64" t="s">
        <v>234</v>
      </c>
      <c r="J523" s="4"/>
      <c r="K523" s="64" t="s">
        <v>232</v>
      </c>
      <c r="L523" s="4" t="s">
        <v>232</v>
      </c>
      <c r="M523" s="72">
        <v>1880</v>
      </c>
      <c r="N523" s="64" t="s">
        <v>385</v>
      </c>
      <c r="O523" s="73">
        <v>4</v>
      </c>
      <c r="P523" s="196">
        <v>0</v>
      </c>
      <c r="Q523" s="73">
        <v>4</v>
      </c>
      <c r="R523" s="74">
        <v>39</v>
      </c>
      <c r="S523" s="76">
        <v>3463.8</v>
      </c>
      <c r="T523" s="82">
        <f t="shared" si="16"/>
        <v>3141.7000000000003</v>
      </c>
      <c r="U523" s="77">
        <f t="shared" si="17"/>
        <v>3141.7000000000003</v>
      </c>
      <c r="V523" s="78">
        <v>322.10000000000002</v>
      </c>
      <c r="W523" s="80" t="s">
        <v>233</v>
      </c>
      <c r="X523" s="81" t="s">
        <v>233</v>
      </c>
      <c r="Y523" s="4" t="s">
        <v>233</v>
      </c>
      <c r="Z523" s="81" t="s">
        <v>233</v>
      </c>
      <c r="AA523" s="64" t="s">
        <v>233</v>
      </c>
      <c r="AB523" s="81" t="s">
        <v>233</v>
      </c>
      <c r="AC523" s="4" t="s">
        <v>240</v>
      </c>
      <c r="AD523" s="64" t="s">
        <v>233</v>
      </c>
      <c r="AE523" s="64" t="s">
        <v>240</v>
      </c>
      <c r="AF523" s="208">
        <v>0</v>
      </c>
      <c r="AG523" s="4">
        <v>1</v>
      </c>
      <c r="AH523" s="64">
        <v>1</v>
      </c>
      <c r="AI523" s="4">
        <v>1</v>
      </c>
      <c r="AJ523" s="4">
        <v>1</v>
      </c>
      <c r="AK523" s="4">
        <v>0</v>
      </c>
    </row>
    <row r="524" spans="1:37" outlineLevel="1">
      <c r="A524" s="63">
        <v>517</v>
      </c>
      <c r="B524" s="64" t="s">
        <v>190</v>
      </c>
      <c r="C524" s="4" t="s">
        <v>237</v>
      </c>
      <c r="D524" s="4" t="str">
        <f>[1]Лист2!B517</f>
        <v>МАКАРЕНКО пер.</v>
      </c>
      <c r="E524" s="69">
        <f>[1]Лист2!C517</f>
        <v>3</v>
      </c>
      <c r="F524" s="197" t="str">
        <f>[1]Лист2!D517</f>
        <v>А</v>
      </c>
      <c r="G524" s="64"/>
      <c r="H524" s="199">
        <v>129517</v>
      </c>
      <c r="I524" s="64" t="s">
        <v>234</v>
      </c>
      <c r="J524" s="4"/>
      <c r="K524" s="64" t="s">
        <v>232</v>
      </c>
      <c r="L524" s="4" t="s">
        <v>232</v>
      </c>
      <c r="M524" s="72">
        <v>1828</v>
      </c>
      <c r="N524" s="64" t="s">
        <v>385</v>
      </c>
      <c r="O524" s="73">
        <v>5</v>
      </c>
      <c r="P524" s="196">
        <v>0</v>
      </c>
      <c r="Q524" s="73">
        <v>5</v>
      </c>
      <c r="R524" s="74">
        <v>81</v>
      </c>
      <c r="S524" s="76">
        <v>3404.3500000000004</v>
      </c>
      <c r="T524" s="82">
        <f t="shared" si="16"/>
        <v>3208.4500000000003</v>
      </c>
      <c r="U524" s="77">
        <f t="shared" si="17"/>
        <v>3208.4500000000003</v>
      </c>
      <c r="V524" s="78">
        <v>195.9</v>
      </c>
      <c r="W524" s="80" t="s">
        <v>233</v>
      </c>
      <c r="X524" s="81" t="s">
        <v>233</v>
      </c>
      <c r="Y524" s="4" t="s">
        <v>233</v>
      </c>
      <c r="Z524" s="81" t="s">
        <v>233</v>
      </c>
      <c r="AA524" s="64" t="s">
        <v>233</v>
      </c>
      <c r="AB524" s="81" t="s">
        <v>233</v>
      </c>
      <c r="AC524" s="4" t="s">
        <v>240</v>
      </c>
      <c r="AD524" s="64" t="s">
        <v>233</v>
      </c>
      <c r="AE524" s="64" t="s">
        <v>240</v>
      </c>
      <c r="AF524" s="210">
        <v>2</v>
      </c>
      <c r="AG524" s="4">
        <v>2</v>
      </c>
      <c r="AH524" s="64">
        <v>1</v>
      </c>
      <c r="AI524" s="4">
        <v>1</v>
      </c>
      <c r="AJ524" s="4">
        <v>1</v>
      </c>
      <c r="AK524" s="4">
        <v>0</v>
      </c>
    </row>
    <row r="525" spans="1:37" outlineLevel="1">
      <c r="A525" s="63">
        <v>518</v>
      </c>
      <c r="B525" s="64" t="s">
        <v>190</v>
      </c>
      <c r="C525" s="4" t="s">
        <v>237</v>
      </c>
      <c r="D525" s="4" t="str">
        <f>[1]Лист2!B518</f>
        <v>МАКАРЕНКО пер.</v>
      </c>
      <c r="E525" s="69">
        <f>[1]Лист2!C518</f>
        <v>5</v>
      </c>
      <c r="F525" s="197" t="str">
        <f>[1]Лист2!D518</f>
        <v>А</v>
      </c>
      <c r="G525" s="64"/>
      <c r="H525" s="199">
        <v>129518</v>
      </c>
      <c r="I525" s="64" t="s">
        <v>234</v>
      </c>
      <c r="J525" s="4"/>
      <c r="K525" s="64" t="s">
        <v>232</v>
      </c>
      <c r="L525" s="4" t="s">
        <v>232</v>
      </c>
      <c r="M525" s="72">
        <v>1828</v>
      </c>
      <c r="N525" s="64" t="s">
        <v>385</v>
      </c>
      <c r="O525" s="73">
        <v>6</v>
      </c>
      <c r="P525" s="196">
        <v>0</v>
      </c>
      <c r="Q525" s="73">
        <v>3</v>
      </c>
      <c r="R525" s="74">
        <v>99</v>
      </c>
      <c r="S525" s="76">
        <v>3374.59</v>
      </c>
      <c r="T525" s="82">
        <f t="shared" si="16"/>
        <v>3374.59</v>
      </c>
      <c r="U525" s="77">
        <f t="shared" si="17"/>
        <v>3374.59</v>
      </c>
      <c r="V525" s="78">
        <v>0</v>
      </c>
      <c r="W525" s="80" t="s">
        <v>233</v>
      </c>
      <c r="X525" s="81" t="s">
        <v>233</v>
      </c>
      <c r="Y525" s="4" t="s">
        <v>233</v>
      </c>
      <c r="Z525" s="81" t="s">
        <v>233</v>
      </c>
      <c r="AA525" s="64" t="s">
        <v>233</v>
      </c>
      <c r="AB525" s="81" t="s">
        <v>233</v>
      </c>
      <c r="AC525" s="4" t="s">
        <v>240</v>
      </c>
      <c r="AD525" s="64" t="s">
        <v>233</v>
      </c>
      <c r="AE525" s="64" t="s">
        <v>240</v>
      </c>
      <c r="AF525" s="208">
        <v>2</v>
      </c>
      <c r="AG525" s="4">
        <v>1</v>
      </c>
      <c r="AH525" s="64">
        <v>1</v>
      </c>
      <c r="AI525" s="4">
        <v>1</v>
      </c>
      <c r="AJ525" s="4">
        <v>1</v>
      </c>
      <c r="AK525" s="4">
        <v>0</v>
      </c>
    </row>
    <row r="526" spans="1:37" s="65" customFormat="1" outlineLevel="1">
      <c r="A526" s="5">
        <v>519</v>
      </c>
      <c r="B526" s="64" t="s">
        <v>190</v>
      </c>
      <c r="C526" s="4" t="s">
        <v>237</v>
      </c>
      <c r="D526" s="64" t="str">
        <f>[1]Лист2!B519</f>
        <v>МАКАРЕНКО пер.</v>
      </c>
      <c r="E526" s="71" t="s">
        <v>224</v>
      </c>
      <c r="F526" s="196" t="str">
        <f>[1]Лист2!D519</f>
        <v>А</v>
      </c>
      <c r="G526" s="4"/>
      <c r="H526" s="67">
        <v>129519</v>
      </c>
      <c r="I526" s="64" t="s">
        <v>234</v>
      </c>
      <c r="J526" s="64"/>
      <c r="K526" s="64" t="s">
        <v>232</v>
      </c>
      <c r="L526" s="64" t="s">
        <v>232</v>
      </c>
      <c r="M526" s="72">
        <v>1917</v>
      </c>
      <c r="N526" s="64" t="s">
        <v>385</v>
      </c>
      <c r="O526" s="73">
        <v>4</v>
      </c>
      <c r="P526" s="196">
        <v>0</v>
      </c>
      <c r="Q526" s="73">
        <v>5</v>
      </c>
      <c r="R526" s="74">
        <v>59</v>
      </c>
      <c r="S526" s="75">
        <v>3598.37</v>
      </c>
      <c r="T526" s="82">
        <f t="shared" si="16"/>
        <v>2534.37</v>
      </c>
      <c r="U526" s="77">
        <f t="shared" si="17"/>
        <v>2534.37</v>
      </c>
      <c r="V526" s="77">
        <v>1064</v>
      </c>
      <c r="W526" s="80" t="s">
        <v>233</v>
      </c>
      <c r="X526" s="81" t="s">
        <v>233</v>
      </c>
      <c r="Y526" s="64" t="s">
        <v>240</v>
      </c>
      <c r="Z526" s="81" t="s">
        <v>233</v>
      </c>
      <c r="AA526" s="64" t="s">
        <v>233</v>
      </c>
      <c r="AB526" s="81" t="s">
        <v>233</v>
      </c>
      <c r="AC526" s="64" t="s">
        <v>233</v>
      </c>
      <c r="AD526" s="64" t="s">
        <v>233</v>
      </c>
      <c r="AE526" s="64" t="s">
        <v>240</v>
      </c>
      <c r="AF526" s="208">
        <v>0</v>
      </c>
      <c r="AG526" s="4">
        <v>1</v>
      </c>
      <c r="AH526" s="64">
        <v>1</v>
      </c>
      <c r="AI526" s="64">
        <v>0</v>
      </c>
      <c r="AJ526" s="64">
        <v>0</v>
      </c>
      <c r="AK526" s="64">
        <v>0</v>
      </c>
    </row>
    <row r="527" spans="1:37" outlineLevel="1">
      <c r="A527" s="5">
        <v>520</v>
      </c>
      <c r="B527" s="64" t="s">
        <v>190</v>
      </c>
      <c r="C527" s="4" t="s">
        <v>237</v>
      </c>
      <c r="D527" s="4" t="str">
        <f>[1]Лист2!B520</f>
        <v>МАКАРЕНКО пер.</v>
      </c>
      <c r="E527" s="69">
        <f>[1]Лист2!C520</f>
        <v>7</v>
      </c>
      <c r="F527" s="197" t="str">
        <f>[1]Лист2!D520</f>
        <v>А</v>
      </c>
      <c r="G527" s="4"/>
      <c r="H527" s="199">
        <v>129520</v>
      </c>
      <c r="I527" s="64" t="s">
        <v>234</v>
      </c>
      <c r="J527" s="4"/>
      <c r="K527" s="64" t="s">
        <v>232</v>
      </c>
      <c r="L527" s="4" t="s">
        <v>232</v>
      </c>
      <c r="M527" s="72">
        <v>1871</v>
      </c>
      <c r="N527" s="64" t="s">
        <v>385</v>
      </c>
      <c r="O527" s="73">
        <v>4</v>
      </c>
      <c r="P527" s="196">
        <v>0</v>
      </c>
      <c r="Q527" s="73">
        <v>2</v>
      </c>
      <c r="R527" s="74">
        <v>24</v>
      </c>
      <c r="S527" s="76">
        <v>2042.3000000000002</v>
      </c>
      <c r="T527" s="82">
        <f t="shared" si="16"/>
        <v>906.40000000000009</v>
      </c>
      <c r="U527" s="77">
        <f t="shared" si="17"/>
        <v>906.40000000000009</v>
      </c>
      <c r="V527" s="78">
        <v>1135.9000000000001</v>
      </c>
      <c r="W527" s="80" t="s">
        <v>233</v>
      </c>
      <c r="X527" s="81" t="s">
        <v>233</v>
      </c>
      <c r="Y527" s="4" t="s">
        <v>233</v>
      </c>
      <c r="Z527" s="81" t="s">
        <v>233</v>
      </c>
      <c r="AA527" s="64" t="s">
        <v>233</v>
      </c>
      <c r="AB527" s="81" t="s">
        <v>233</v>
      </c>
      <c r="AC527" s="4" t="s">
        <v>240</v>
      </c>
      <c r="AD527" s="64" t="s">
        <v>233</v>
      </c>
      <c r="AE527" s="64" t="s">
        <v>240</v>
      </c>
      <c r="AF527" s="208">
        <v>0</v>
      </c>
      <c r="AG527" s="4">
        <v>1</v>
      </c>
      <c r="AH527" s="64">
        <v>1</v>
      </c>
      <c r="AI527" s="4">
        <v>0</v>
      </c>
      <c r="AJ527" s="4">
        <v>0</v>
      </c>
      <c r="AK527" s="4">
        <v>0</v>
      </c>
    </row>
    <row r="528" spans="1:37" outlineLevel="1">
      <c r="A528" s="5">
        <v>521</v>
      </c>
      <c r="B528" s="64" t="s">
        <v>190</v>
      </c>
      <c r="C528" s="4" t="s">
        <v>237</v>
      </c>
      <c r="D528" s="4" t="str">
        <f>[1]Лист2!B521</f>
        <v>МАКАРЕНКО пер.</v>
      </c>
      <c r="E528" s="69">
        <f>[1]Лист2!C521</f>
        <v>9</v>
      </c>
      <c r="F528" s="197" t="str">
        <f>[1]Лист2!D521</f>
        <v>А</v>
      </c>
      <c r="G528" s="64"/>
      <c r="H528" s="199">
        <v>129521</v>
      </c>
      <c r="I528" s="64" t="s">
        <v>234</v>
      </c>
      <c r="J528" s="4"/>
      <c r="K528" s="64" t="s">
        <v>232</v>
      </c>
      <c r="L528" s="4" t="s">
        <v>232</v>
      </c>
      <c r="M528" s="72">
        <v>1798</v>
      </c>
      <c r="N528" s="64" t="s">
        <v>385</v>
      </c>
      <c r="O528" s="73">
        <v>4</v>
      </c>
      <c r="P528" s="196">
        <v>0</v>
      </c>
      <c r="Q528" s="73">
        <v>3</v>
      </c>
      <c r="R528" s="74">
        <v>35</v>
      </c>
      <c r="S528" s="76">
        <v>1974.4500000000003</v>
      </c>
      <c r="T528" s="82">
        <f t="shared" si="16"/>
        <v>1544.3500000000004</v>
      </c>
      <c r="U528" s="77">
        <f t="shared" si="17"/>
        <v>1544.3500000000004</v>
      </c>
      <c r="V528" s="78">
        <v>430.1</v>
      </c>
      <c r="W528" s="80" t="s">
        <v>233</v>
      </c>
      <c r="X528" s="81" t="s">
        <v>233</v>
      </c>
      <c r="Y528" s="4" t="s">
        <v>233</v>
      </c>
      <c r="Z528" s="81" t="s">
        <v>233</v>
      </c>
      <c r="AA528" s="64" t="s">
        <v>233</v>
      </c>
      <c r="AB528" s="81" t="s">
        <v>233</v>
      </c>
      <c r="AC528" s="4" t="s">
        <v>240</v>
      </c>
      <c r="AD528" s="64" t="s">
        <v>233</v>
      </c>
      <c r="AE528" s="64" t="s">
        <v>240</v>
      </c>
      <c r="AF528" s="208">
        <v>0</v>
      </c>
      <c r="AG528" s="4">
        <v>1</v>
      </c>
      <c r="AH528" s="64">
        <v>1</v>
      </c>
      <c r="AI528" s="4">
        <v>0</v>
      </c>
      <c r="AJ528" s="4">
        <v>0</v>
      </c>
      <c r="AK528" s="4">
        <v>0</v>
      </c>
    </row>
    <row r="529" spans="1:37" outlineLevel="1">
      <c r="A529" s="5">
        <v>522</v>
      </c>
      <c r="B529" s="64" t="s">
        <v>190</v>
      </c>
      <c r="C529" s="4" t="s">
        <v>237</v>
      </c>
      <c r="D529" s="4" t="str">
        <f>[1]Лист2!B522</f>
        <v>МАСТЕРСКАЯ ул.</v>
      </c>
      <c r="E529" s="69">
        <f>[1]Лист2!C522</f>
        <v>3</v>
      </c>
      <c r="F529" s="197" t="str">
        <f>[1]Лист2!D522</f>
        <v>А</v>
      </c>
      <c r="G529" s="64"/>
      <c r="H529" s="199">
        <v>129522</v>
      </c>
      <c r="I529" s="64" t="s">
        <v>234</v>
      </c>
      <c r="J529" s="4"/>
      <c r="K529" s="64" t="s">
        <v>232</v>
      </c>
      <c r="L529" s="4" t="s">
        <v>232</v>
      </c>
      <c r="M529" s="72">
        <v>1867</v>
      </c>
      <c r="N529" s="64" t="s">
        <v>385</v>
      </c>
      <c r="O529" s="73">
        <v>4</v>
      </c>
      <c r="P529" s="196">
        <v>0</v>
      </c>
      <c r="Q529" s="73">
        <v>4</v>
      </c>
      <c r="R529" s="74">
        <v>49</v>
      </c>
      <c r="S529" s="76">
        <v>2871</v>
      </c>
      <c r="T529" s="82">
        <f t="shared" si="16"/>
        <v>2611.13</v>
      </c>
      <c r="U529" s="77">
        <f t="shared" si="17"/>
        <v>2611.13</v>
      </c>
      <c r="V529" s="78">
        <v>259.87</v>
      </c>
      <c r="W529" s="80" t="s">
        <v>233</v>
      </c>
      <c r="X529" s="81" t="s">
        <v>233</v>
      </c>
      <c r="Y529" s="4" t="s">
        <v>233</v>
      </c>
      <c r="Z529" s="81" t="s">
        <v>233</v>
      </c>
      <c r="AA529" s="64" t="s">
        <v>233</v>
      </c>
      <c r="AB529" s="81" t="s">
        <v>233</v>
      </c>
      <c r="AC529" s="4" t="s">
        <v>240</v>
      </c>
      <c r="AD529" s="64" t="s">
        <v>233</v>
      </c>
      <c r="AE529" s="64" t="s">
        <v>240</v>
      </c>
      <c r="AF529" s="208">
        <v>0</v>
      </c>
      <c r="AG529" s="4">
        <v>1</v>
      </c>
      <c r="AH529" s="64">
        <v>1</v>
      </c>
      <c r="AI529" s="4">
        <v>1</v>
      </c>
      <c r="AJ529" s="4">
        <v>1</v>
      </c>
      <c r="AK529" s="4">
        <v>0</v>
      </c>
    </row>
    <row r="530" spans="1:37" outlineLevel="1">
      <c r="A530" s="63">
        <v>523</v>
      </c>
      <c r="B530" s="64" t="s">
        <v>190</v>
      </c>
      <c r="C530" s="4" t="s">
        <v>237</v>
      </c>
      <c r="D530" s="4" t="str">
        <f>[1]Лист2!B523</f>
        <v>МАСТЕРСКАЯ ул.</v>
      </c>
      <c r="E530" s="69">
        <f>[1]Лист2!C523</f>
        <v>5</v>
      </c>
      <c r="F530" s="197" t="str">
        <f>[1]Лист2!D523</f>
        <v>А</v>
      </c>
      <c r="G530" s="4"/>
      <c r="H530" s="199">
        <v>129523</v>
      </c>
      <c r="I530" s="64" t="s">
        <v>234</v>
      </c>
      <c r="J530" s="4"/>
      <c r="K530" s="64" t="s">
        <v>232</v>
      </c>
      <c r="L530" s="4" t="s">
        <v>232</v>
      </c>
      <c r="M530" s="72">
        <v>1822</v>
      </c>
      <c r="N530" s="64" t="s">
        <v>385</v>
      </c>
      <c r="O530" s="73">
        <v>3</v>
      </c>
      <c r="P530" s="196">
        <v>0</v>
      </c>
      <c r="Q530" s="73">
        <v>3</v>
      </c>
      <c r="R530" s="74">
        <v>33</v>
      </c>
      <c r="S530" s="76">
        <v>1774.11</v>
      </c>
      <c r="T530" s="82">
        <f t="shared" si="16"/>
        <v>1738.11</v>
      </c>
      <c r="U530" s="77">
        <f t="shared" si="17"/>
        <v>1738.11</v>
      </c>
      <c r="V530" s="78">
        <v>36</v>
      </c>
      <c r="W530" s="80" t="s">
        <v>233</v>
      </c>
      <c r="X530" s="81" t="s">
        <v>233</v>
      </c>
      <c r="Y530" s="4" t="s">
        <v>233</v>
      </c>
      <c r="Z530" s="81" t="s">
        <v>233</v>
      </c>
      <c r="AA530" s="64" t="s">
        <v>233</v>
      </c>
      <c r="AB530" s="81" t="s">
        <v>233</v>
      </c>
      <c r="AC530" s="4" t="s">
        <v>240</v>
      </c>
      <c r="AD530" s="64" t="s">
        <v>233</v>
      </c>
      <c r="AE530" s="64" t="s">
        <v>240</v>
      </c>
      <c r="AF530" s="208">
        <v>0</v>
      </c>
      <c r="AG530" s="4">
        <v>1</v>
      </c>
      <c r="AH530" s="64">
        <v>1</v>
      </c>
      <c r="AI530" s="4">
        <v>0</v>
      </c>
      <c r="AJ530" s="4">
        <v>0</v>
      </c>
      <c r="AK530" s="4">
        <v>0</v>
      </c>
    </row>
    <row r="531" spans="1:37" outlineLevel="1">
      <c r="A531" s="63">
        <v>524</v>
      </c>
      <c r="B531" s="64" t="s">
        <v>190</v>
      </c>
      <c r="C531" s="4" t="s">
        <v>237</v>
      </c>
      <c r="D531" s="4" t="str">
        <f>[1]Лист2!B524</f>
        <v>МОЙКИ наб.реки</v>
      </c>
      <c r="E531" s="69">
        <f>[1]Лист2!C524</f>
        <v>104</v>
      </c>
      <c r="F531" s="197" t="str">
        <f>[1]Лист2!D524</f>
        <v>А</v>
      </c>
      <c r="G531" s="4"/>
      <c r="H531" s="199">
        <v>129524</v>
      </c>
      <c r="I531" s="64" t="s">
        <v>234</v>
      </c>
      <c r="J531" s="4"/>
      <c r="K531" s="64" t="s">
        <v>232</v>
      </c>
      <c r="L531" s="4" t="s">
        <v>232</v>
      </c>
      <c r="M531" s="72">
        <v>1836</v>
      </c>
      <c r="N531" s="64" t="s">
        <v>385</v>
      </c>
      <c r="O531" s="73">
        <v>5</v>
      </c>
      <c r="P531" s="196">
        <v>0</v>
      </c>
      <c r="Q531" s="73">
        <v>5</v>
      </c>
      <c r="R531" s="74">
        <v>84</v>
      </c>
      <c r="S531" s="76">
        <v>4064.48</v>
      </c>
      <c r="T531" s="82">
        <f t="shared" si="16"/>
        <v>3401.02</v>
      </c>
      <c r="U531" s="77">
        <f t="shared" si="17"/>
        <v>3401.02</v>
      </c>
      <c r="V531" s="78">
        <v>663.46</v>
      </c>
      <c r="W531" s="80" t="s">
        <v>233</v>
      </c>
      <c r="X531" s="81" t="s">
        <v>233</v>
      </c>
      <c r="Y531" s="4" t="s">
        <v>233</v>
      </c>
      <c r="Z531" s="81" t="s">
        <v>233</v>
      </c>
      <c r="AA531" s="64" t="s">
        <v>233</v>
      </c>
      <c r="AB531" s="81" t="s">
        <v>233</v>
      </c>
      <c r="AC531" s="4" t="s">
        <v>240</v>
      </c>
      <c r="AD531" s="64" t="s">
        <v>233</v>
      </c>
      <c r="AE531" s="64" t="s">
        <v>240</v>
      </c>
      <c r="AF531" s="208">
        <v>0</v>
      </c>
      <c r="AG531" s="4">
        <v>1</v>
      </c>
      <c r="AH531" s="64">
        <v>1</v>
      </c>
      <c r="AI531" s="4">
        <v>1</v>
      </c>
      <c r="AJ531" s="4">
        <v>1</v>
      </c>
      <c r="AK531" s="4">
        <v>0</v>
      </c>
    </row>
    <row r="532" spans="1:37" outlineLevel="1">
      <c r="A532" s="5">
        <v>525</v>
      </c>
      <c r="B532" s="64" t="s">
        <v>190</v>
      </c>
      <c r="C532" s="4" t="s">
        <v>237</v>
      </c>
      <c r="D532" s="4" t="str">
        <f>[1]Лист2!B525</f>
        <v>МОЙКИ наб.реки</v>
      </c>
      <c r="E532" s="69">
        <f>[1]Лист2!C525</f>
        <v>110</v>
      </c>
      <c r="F532" s="197" t="str">
        <f>[1]Лист2!D525</f>
        <v>А</v>
      </c>
      <c r="G532" s="64"/>
      <c r="H532" s="199">
        <v>129525</v>
      </c>
      <c r="I532" s="64" t="s">
        <v>234</v>
      </c>
      <c r="J532" s="4"/>
      <c r="K532" s="64" t="s">
        <v>232</v>
      </c>
      <c r="L532" s="4" t="s">
        <v>232</v>
      </c>
      <c r="M532" s="72">
        <v>1896</v>
      </c>
      <c r="N532" s="64" t="s">
        <v>385</v>
      </c>
      <c r="O532" s="73">
        <v>5</v>
      </c>
      <c r="P532" s="196">
        <v>0</v>
      </c>
      <c r="Q532" s="73">
        <v>6</v>
      </c>
      <c r="R532" s="74">
        <v>121</v>
      </c>
      <c r="S532" s="76">
        <v>5377.7999999999993</v>
      </c>
      <c r="T532" s="82">
        <f t="shared" si="16"/>
        <v>4304.5999999999995</v>
      </c>
      <c r="U532" s="77">
        <f t="shared" si="17"/>
        <v>4304.5999999999995</v>
      </c>
      <c r="V532" s="78">
        <v>1073.2</v>
      </c>
      <c r="W532" s="80" t="s">
        <v>233</v>
      </c>
      <c r="X532" s="81" t="s">
        <v>233</v>
      </c>
      <c r="Y532" s="4" t="s">
        <v>233</v>
      </c>
      <c r="Z532" s="81" t="s">
        <v>233</v>
      </c>
      <c r="AA532" s="64" t="s">
        <v>233</v>
      </c>
      <c r="AB532" s="81" t="s">
        <v>233</v>
      </c>
      <c r="AC532" s="4" t="s">
        <v>240</v>
      </c>
      <c r="AD532" s="64" t="s">
        <v>233</v>
      </c>
      <c r="AE532" s="64" t="s">
        <v>240</v>
      </c>
      <c r="AF532" s="208">
        <v>0</v>
      </c>
      <c r="AG532" s="4">
        <v>1</v>
      </c>
      <c r="AH532" s="64">
        <v>1</v>
      </c>
      <c r="AI532" s="4">
        <v>1</v>
      </c>
      <c r="AJ532" s="4">
        <v>1</v>
      </c>
      <c r="AK532" s="4">
        <v>0</v>
      </c>
    </row>
    <row r="533" spans="1:37" outlineLevel="1">
      <c r="A533" s="5">
        <v>526</v>
      </c>
      <c r="B533" s="64" t="s">
        <v>190</v>
      </c>
      <c r="C533" s="4" t="s">
        <v>237</v>
      </c>
      <c r="D533" s="4" t="str">
        <f>[1]Лист2!B526</f>
        <v>МОЙКИ наб.реки</v>
      </c>
      <c r="E533" s="69">
        <f>[1]Лист2!C526</f>
        <v>112</v>
      </c>
      <c r="F533" s="197" t="str">
        <f>[1]Лист2!D526</f>
        <v>а</v>
      </c>
      <c r="G533" s="64"/>
      <c r="H533" s="199">
        <v>129526</v>
      </c>
      <c r="I533" s="64" t="s">
        <v>234</v>
      </c>
      <c r="J533" s="4"/>
      <c r="K533" s="64" t="s">
        <v>232</v>
      </c>
      <c r="L533" s="4" t="s">
        <v>232</v>
      </c>
      <c r="M533" s="72">
        <v>1890</v>
      </c>
      <c r="N533" s="64" t="s">
        <v>385</v>
      </c>
      <c r="O533" s="73">
        <v>5</v>
      </c>
      <c r="P533" s="196">
        <v>0</v>
      </c>
      <c r="Q533" s="73">
        <v>6</v>
      </c>
      <c r="R533" s="74">
        <v>113</v>
      </c>
      <c r="S533" s="76">
        <v>3845.93</v>
      </c>
      <c r="T533" s="82">
        <f t="shared" si="16"/>
        <v>3845.93</v>
      </c>
      <c r="U533" s="77">
        <f t="shared" si="17"/>
        <v>3845.93</v>
      </c>
      <c r="V533" s="78">
        <v>0</v>
      </c>
      <c r="W533" s="80" t="s">
        <v>233</v>
      </c>
      <c r="X533" s="81" t="s">
        <v>233</v>
      </c>
      <c r="Y533" s="4" t="s">
        <v>233</v>
      </c>
      <c r="Z533" s="81" t="s">
        <v>233</v>
      </c>
      <c r="AA533" s="64" t="s">
        <v>233</v>
      </c>
      <c r="AB533" s="81" t="s">
        <v>233</v>
      </c>
      <c r="AC533" s="4" t="s">
        <v>240</v>
      </c>
      <c r="AD533" s="64" t="s">
        <v>233</v>
      </c>
      <c r="AE533" s="64" t="s">
        <v>240</v>
      </c>
      <c r="AF533" s="209">
        <v>0</v>
      </c>
      <c r="AG533" s="4">
        <v>2</v>
      </c>
      <c r="AH533" s="64">
        <v>1</v>
      </c>
      <c r="AI533" s="4">
        <v>1</v>
      </c>
      <c r="AJ533" s="4">
        <v>1</v>
      </c>
      <c r="AK533" s="4">
        <v>0</v>
      </c>
    </row>
    <row r="534" spans="1:37" outlineLevel="1">
      <c r="A534" s="5">
        <v>527</v>
      </c>
      <c r="B534" s="64" t="s">
        <v>190</v>
      </c>
      <c r="C534" s="4" t="s">
        <v>237</v>
      </c>
      <c r="D534" s="4" t="str">
        <f>[1]Лист2!B527</f>
        <v>МОЙКИ наб.реки</v>
      </c>
      <c r="E534" s="69">
        <f>[1]Лист2!C527</f>
        <v>112</v>
      </c>
      <c r="F534" s="197" t="str">
        <f>[1]Лист2!D527</f>
        <v>А</v>
      </c>
      <c r="G534" s="4"/>
      <c r="H534" s="199">
        <v>129527</v>
      </c>
      <c r="I534" s="64" t="s">
        <v>234</v>
      </c>
      <c r="J534" s="4"/>
      <c r="K534" s="64" t="s">
        <v>232</v>
      </c>
      <c r="L534" s="4" t="s">
        <v>232</v>
      </c>
      <c r="M534" s="72">
        <v>1890</v>
      </c>
      <c r="N534" s="64" t="s">
        <v>385</v>
      </c>
      <c r="O534" s="73">
        <v>5</v>
      </c>
      <c r="P534" s="196">
        <v>0</v>
      </c>
      <c r="Q534" s="73">
        <v>6</v>
      </c>
      <c r="R534" s="74">
        <v>115</v>
      </c>
      <c r="S534" s="76">
        <v>7869.1999999999989</v>
      </c>
      <c r="T534" s="82">
        <f t="shared" si="16"/>
        <v>6471.8799999999992</v>
      </c>
      <c r="U534" s="77">
        <f t="shared" si="17"/>
        <v>6471.8799999999992</v>
      </c>
      <c r="V534" s="78">
        <v>1397.32</v>
      </c>
      <c r="W534" s="80" t="s">
        <v>233</v>
      </c>
      <c r="X534" s="81" t="s">
        <v>233</v>
      </c>
      <c r="Y534" s="4" t="s">
        <v>233</v>
      </c>
      <c r="Z534" s="81" t="s">
        <v>233</v>
      </c>
      <c r="AA534" s="64" t="s">
        <v>233</v>
      </c>
      <c r="AB534" s="81" t="s">
        <v>233</v>
      </c>
      <c r="AC534" s="4" t="s">
        <v>240</v>
      </c>
      <c r="AD534" s="64" t="s">
        <v>233</v>
      </c>
      <c r="AE534" s="64" t="s">
        <v>240</v>
      </c>
      <c r="AF534" s="208">
        <v>3</v>
      </c>
      <c r="AG534" s="4">
        <v>1</v>
      </c>
      <c r="AH534" s="64">
        <v>2</v>
      </c>
      <c r="AI534" s="4">
        <v>0</v>
      </c>
      <c r="AJ534" s="4">
        <v>0</v>
      </c>
      <c r="AK534" s="4">
        <v>0</v>
      </c>
    </row>
    <row r="535" spans="1:37" outlineLevel="1">
      <c r="A535" s="5">
        <v>528</v>
      </c>
      <c r="B535" s="64" t="s">
        <v>190</v>
      </c>
      <c r="C535" s="4" t="s">
        <v>235</v>
      </c>
      <c r="D535" s="4" t="str">
        <f>[1]Лист2!B528</f>
        <v>МОСКОВСКИЙ пр.</v>
      </c>
      <c r="E535" s="69" t="str">
        <f>[1]Лист2!C528</f>
        <v>37/1</v>
      </c>
      <c r="F535" s="197" t="str">
        <f>[1]Лист2!D528</f>
        <v>А</v>
      </c>
      <c r="G535" s="4"/>
      <c r="H535" s="199">
        <v>129528</v>
      </c>
      <c r="I535" s="64" t="s">
        <v>234</v>
      </c>
      <c r="J535" s="4"/>
      <c r="K535" s="64" t="s">
        <v>232</v>
      </c>
      <c r="L535" s="4" t="s">
        <v>232</v>
      </c>
      <c r="M535" s="72">
        <v>1830</v>
      </c>
      <c r="N535" s="64" t="s">
        <v>385</v>
      </c>
      <c r="O535" s="73">
        <v>5</v>
      </c>
      <c r="P535" s="196">
        <v>0</v>
      </c>
      <c r="Q535" s="73">
        <v>5</v>
      </c>
      <c r="R535" s="74">
        <v>120</v>
      </c>
      <c r="S535" s="76">
        <v>4559.16</v>
      </c>
      <c r="T535" s="82">
        <f t="shared" si="16"/>
        <v>3552.16</v>
      </c>
      <c r="U535" s="77">
        <f t="shared" si="17"/>
        <v>3552.16</v>
      </c>
      <c r="V535" s="78">
        <v>1007</v>
      </c>
      <c r="W535" s="80" t="s">
        <v>233</v>
      </c>
      <c r="X535" s="81" t="s">
        <v>233</v>
      </c>
      <c r="Y535" s="4" t="s">
        <v>233</v>
      </c>
      <c r="Z535" s="81" t="s">
        <v>233</v>
      </c>
      <c r="AA535" s="64" t="s">
        <v>233</v>
      </c>
      <c r="AB535" s="81" t="s">
        <v>233</v>
      </c>
      <c r="AC535" s="4" t="s">
        <v>240</v>
      </c>
      <c r="AD535" s="64" t="s">
        <v>233</v>
      </c>
      <c r="AE535" s="64" t="s">
        <v>240</v>
      </c>
      <c r="AF535" s="208">
        <v>1</v>
      </c>
      <c r="AG535" s="4">
        <v>2</v>
      </c>
      <c r="AH535" s="64">
        <v>1</v>
      </c>
      <c r="AI535" s="4">
        <v>1</v>
      </c>
      <c r="AJ535" s="4">
        <v>1</v>
      </c>
      <c r="AK535" s="4">
        <v>0</v>
      </c>
    </row>
    <row r="536" spans="1:37" outlineLevel="1">
      <c r="A536" s="63">
        <v>529</v>
      </c>
      <c r="B536" s="64" t="s">
        <v>190</v>
      </c>
      <c r="C536" s="4" t="s">
        <v>235</v>
      </c>
      <c r="D536" s="4" t="str">
        <f>[1]Лист2!B529</f>
        <v>МОСКОВСКИЙ пр.</v>
      </c>
      <c r="E536" s="69">
        <f>[1]Лист2!C529</f>
        <v>45</v>
      </c>
      <c r="F536" s="197" t="str">
        <f>[1]Лист2!D529</f>
        <v>А</v>
      </c>
      <c r="G536" s="64"/>
      <c r="H536" s="199">
        <v>129529</v>
      </c>
      <c r="I536" s="64" t="s">
        <v>234</v>
      </c>
      <c r="J536" s="4"/>
      <c r="K536" s="64" t="s">
        <v>232</v>
      </c>
      <c r="L536" s="4" t="s">
        <v>232</v>
      </c>
      <c r="M536" s="72">
        <v>1867</v>
      </c>
      <c r="N536" s="64" t="s">
        <v>385</v>
      </c>
      <c r="O536" s="73">
        <v>4</v>
      </c>
      <c r="P536" s="196">
        <v>0</v>
      </c>
      <c r="Q536" s="73">
        <v>1</v>
      </c>
      <c r="R536" s="74">
        <v>30</v>
      </c>
      <c r="S536" s="76">
        <v>1106</v>
      </c>
      <c r="T536" s="82">
        <f t="shared" si="16"/>
        <v>711</v>
      </c>
      <c r="U536" s="77">
        <f t="shared" si="17"/>
        <v>711</v>
      </c>
      <c r="V536" s="78">
        <v>395</v>
      </c>
      <c r="W536" s="80" t="s">
        <v>233</v>
      </c>
      <c r="X536" s="81" t="s">
        <v>233</v>
      </c>
      <c r="Y536" s="4" t="s">
        <v>233</v>
      </c>
      <c r="Z536" s="81" t="s">
        <v>233</v>
      </c>
      <c r="AA536" s="64" t="s">
        <v>233</v>
      </c>
      <c r="AB536" s="81" t="s">
        <v>233</v>
      </c>
      <c r="AC536" s="4" t="s">
        <v>240</v>
      </c>
      <c r="AD536" s="64" t="s">
        <v>233</v>
      </c>
      <c r="AE536" s="64" t="s">
        <v>240</v>
      </c>
      <c r="AF536" s="208">
        <v>0</v>
      </c>
      <c r="AG536" s="4">
        <v>1</v>
      </c>
      <c r="AH536" s="64">
        <v>1</v>
      </c>
      <c r="AI536" s="4">
        <v>0</v>
      </c>
      <c r="AJ536" s="4">
        <v>0</v>
      </c>
      <c r="AK536" s="4">
        <v>0</v>
      </c>
    </row>
    <row r="537" spans="1:37" outlineLevel="1">
      <c r="A537" s="63">
        <v>530</v>
      </c>
      <c r="B537" s="64" t="s">
        <v>190</v>
      </c>
      <c r="C537" s="4" t="s">
        <v>235</v>
      </c>
      <c r="D537" s="4" t="str">
        <f>[1]Лист2!B530</f>
        <v>МОСКОВСКИЙ пр.</v>
      </c>
      <c r="E537" s="69">
        <f>[1]Лист2!C530</f>
        <v>45</v>
      </c>
      <c r="F537" s="197" t="str">
        <f>[1]Лист2!D530</f>
        <v>Б</v>
      </c>
      <c r="G537" s="64"/>
      <c r="H537" s="199">
        <v>129530</v>
      </c>
      <c r="I537" s="64" t="s">
        <v>234</v>
      </c>
      <c r="J537" s="4"/>
      <c r="K537" s="64" t="s">
        <v>232</v>
      </c>
      <c r="L537" s="4" t="s">
        <v>232</v>
      </c>
      <c r="M537" s="72">
        <v>1874</v>
      </c>
      <c r="N537" s="64" t="s">
        <v>385</v>
      </c>
      <c r="O537" s="73">
        <v>4</v>
      </c>
      <c r="P537" s="196">
        <v>0</v>
      </c>
      <c r="Q537" s="73">
        <v>2</v>
      </c>
      <c r="R537" s="74">
        <v>33</v>
      </c>
      <c r="S537" s="76">
        <v>1086</v>
      </c>
      <c r="T537" s="82">
        <f t="shared" si="16"/>
        <v>852.7</v>
      </c>
      <c r="U537" s="77">
        <f t="shared" si="17"/>
        <v>852.7</v>
      </c>
      <c r="V537" s="78">
        <v>233.3</v>
      </c>
      <c r="W537" s="80" t="s">
        <v>233</v>
      </c>
      <c r="X537" s="81" t="s">
        <v>233</v>
      </c>
      <c r="Y537" s="4" t="s">
        <v>233</v>
      </c>
      <c r="Z537" s="81" t="s">
        <v>233</v>
      </c>
      <c r="AA537" s="64" t="s">
        <v>233</v>
      </c>
      <c r="AB537" s="81" t="s">
        <v>233</v>
      </c>
      <c r="AC537" s="4" t="s">
        <v>240</v>
      </c>
      <c r="AD537" s="64" t="s">
        <v>233</v>
      </c>
      <c r="AE537" s="64" t="s">
        <v>240</v>
      </c>
      <c r="AF537" s="209">
        <v>0</v>
      </c>
      <c r="AG537" s="4">
        <v>1</v>
      </c>
      <c r="AH537" s="64">
        <v>1</v>
      </c>
      <c r="AI537" s="4">
        <v>0</v>
      </c>
      <c r="AJ537" s="4">
        <v>0</v>
      </c>
      <c r="AK537" s="4">
        <v>0</v>
      </c>
    </row>
    <row r="538" spans="1:37" outlineLevel="1">
      <c r="A538" s="5">
        <v>531</v>
      </c>
      <c r="B538" s="64" t="s">
        <v>190</v>
      </c>
      <c r="C538" s="4" t="s">
        <v>235</v>
      </c>
      <c r="D538" s="4" t="str">
        <f>[1]Лист2!B531</f>
        <v>МОСКОВСКИЙ пр.</v>
      </c>
      <c r="E538" s="69">
        <f>[1]Лист2!C531</f>
        <v>45</v>
      </c>
      <c r="F538" s="197" t="str">
        <f>[1]Лист2!D531</f>
        <v>В</v>
      </c>
      <c r="G538" s="4"/>
      <c r="H538" s="199">
        <v>129531</v>
      </c>
      <c r="I538" s="64" t="s">
        <v>234</v>
      </c>
      <c r="J538" s="4"/>
      <c r="K538" s="64" t="s">
        <v>232</v>
      </c>
      <c r="L538" s="4" t="s">
        <v>232</v>
      </c>
      <c r="M538" s="72">
        <v>1874</v>
      </c>
      <c r="N538" s="64" t="s">
        <v>385</v>
      </c>
      <c r="O538" s="73">
        <v>3</v>
      </c>
      <c r="P538" s="196">
        <v>0</v>
      </c>
      <c r="Q538" s="73">
        <v>1</v>
      </c>
      <c r="R538" s="74">
        <v>12</v>
      </c>
      <c r="S538" s="76">
        <v>512.29999999999995</v>
      </c>
      <c r="T538" s="82">
        <f t="shared" si="16"/>
        <v>377.99999999999994</v>
      </c>
      <c r="U538" s="77">
        <f t="shared" si="17"/>
        <v>377.99999999999994</v>
      </c>
      <c r="V538" s="78">
        <v>134.30000000000001</v>
      </c>
      <c r="W538" s="80" t="s">
        <v>233</v>
      </c>
      <c r="X538" s="81" t="s">
        <v>233</v>
      </c>
      <c r="Y538" s="4" t="s">
        <v>233</v>
      </c>
      <c r="Z538" s="81" t="s">
        <v>233</v>
      </c>
      <c r="AA538" s="64" t="s">
        <v>233</v>
      </c>
      <c r="AB538" s="81" t="s">
        <v>233</v>
      </c>
      <c r="AC538" s="4" t="s">
        <v>240</v>
      </c>
      <c r="AD538" s="64" t="s">
        <v>233</v>
      </c>
      <c r="AE538" s="64" t="s">
        <v>240</v>
      </c>
      <c r="AF538" s="209">
        <v>0</v>
      </c>
      <c r="AG538" s="4">
        <v>1</v>
      </c>
      <c r="AH538" s="64">
        <v>1</v>
      </c>
      <c r="AI538" s="4">
        <v>0</v>
      </c>
      <c r="AJ538" s="4">
        <v>0</v>
      </c>
      <c r="AK538" s="4">
        <v>0</v>
      </c>
    </row>
    <row r="539" spans="1:37" outlineLevel="1">
      <c r="A539" s="5">
        <v>532</v>
      </c>
      <c r="B539" s="64" t="s">
        <v>190</v>
      </c>
      <c r="C539" s="4" t="s">
        <v>235</v>
      </c>
      <c r="D539" s="4" t="str">
        <f>[1]Лист2!B532</f>
        <v>МОСКОВСКИЙ пр.</v>
      </c>
      <c r="E539" s="69">
        <f>[1]Лист2!C532</f>
        <v>47</v>
      </c>
      <c r="F539" s="197" t="str">
        <f>[1]Лист2!D532</f>
        <v>А</v>
      </c>
      <c r="G539" s="4"/>
      <c r="H539" s="199">
        <v>129532</v>
      </c>
      <c r="I539" s="64" t="s">
        <v>234</v>
      </c>
      <c r="J539" s="4"/>
      <c r="K539" s="64" t="s">
        <v>232</v>
      </c>
      <c r="L539" s="4" t="s">
        <v>232</v>
      </c>
      <c r="M539" s="72">
        <v>1887</v>
      </c>
      <c r="N539" s="64" t="s">
        <v>385</v>
      </c>
      <c r="O539" s="73">
        <v>5</v>
      </c>
      <c r="P539" s="196">
        <v>0</v>
      </c>
      <c r="Q539" s="73">
        <v>2</v>
      </c>
      <c r="R539" s="74">
        <v>54</v>
      </c>
      <c r="S539" s="76">
        <v>2440.3300000000004</v>
      </c>
      <c r="T539" s="82">
        <f t="shared" si="16"/>
        <v>1982.5300000000004</v>
      </c>
      <c r="U539" s="77">
        <f t="shared" si="17"/>
        <v>1982.5300000000004</v>
      </c>
      <c r="V539" s="78">
        <v>457.8</v>
      </c>
      <c r="W539" s="80" t="s">
        <v>233</v>
      </c>
      <c r="X539" s="81" t="s">
        <v>233</v>
      </c>
      <c r="Y539" s="4" t="s">
        <v>233</v>
      </c>
      <c r="Z539" s="81" t="s">
        <v>233</v>
      </c>
      <c r="AA539" s="64" t="s">
        <v>233</v>
      </c>
      <c r="AB539" s="81" t="s">
        <v>233</v>
      </c>
      <c r="AC539" s="4" t="s">
        <v>240</v>
      </c>
      <c r="AD539" s="64" t="s">
        <v>233</v>
      </c>
      <c r="AE539" s="64" t="s">
        <v>240</v>
      </c>
      <c r="AF539" s="208">
        <v>2</v>
      </c>
      <c r="AG539" s="4">
        <v>2</v>
      </c>
      <c r="AH539" s="64">
        <v>1</v>
      </c>
      <c r="AI539" s="4">
        <v>0</v>
      </c>
      <c r="AJ539" s="4">
        <v>0</v>
      </c>
      <c r="AK539" s="4">
        <v>0</v>
      </c>
    </row>
    <row r="540" spans="1:37" outlineLevel="1">
      <c r="A540" s="5">
        <v>533</v>
      </c>
      <c r="B540" s="64" t="s">
        <v>190</v>
      </c>
      <c r="C540" s="4" t="s">
        <v>235</v>
      </c>
      <c r="D540" s="4" t="str">
        <f>[1]Лист2!B533</f>
        <v>МОСКОВСКИЙ пр.</v>
      </c>
      <c r="E540" s="69">
        <f>[1]Лист2!C533</f>
        <v>49</v>
      </c>
      <c r="F540" s="197" t="str">
        <f>[1]Лист2!D533</f>
        <v>А</v>
      </c>
      <c r="G540" s="64"/>
      <c r="H540" s="199">
        <v>129533</v>
      </c>
      <c r="I540" s="64" t="s">
        <v>234</v>
      </c>
      <c r="J540" s="4"/>
      <c r="K540" s="64" t="s">
        <v>232</v>
      </c>
      <c r="L540" s="4" t="s">
        <v>232</v>
      </c>
      <c r="M540" s="72">
        <v>1878</v>
      </c>
      <c r="N540" s="64" t="s">
        <v>385</v>
      </c>
      <c r="O540" s="73">
        <v>5</v>
      </c>
      <c r="P540" s="196">
        <v>0</v>
      </c>
      <c r="Q540" s="73">
        <v>7</v>
      </c>
      <c r="R540" s="74">
        <v>156</v>
      </c>
      <c r="S540" s="76">
        <v>5826.5</v>
      </c>
      <c r="T540" s="82">
        <f t="shared" si="16"/>
        <v>4789.5</v>
      </c>
      <c r="U540" s="77">
        <f t="shared" si="17"/>
        <v>4789.5</v>
      </c>
      <c r="V540" s="78">
        <v>1037</v>
      </c>
      <c r="W540" s="80" t="s">
        <v>233</v>
      </c>
      <c r="X540" s="81" t="s">
        <v>233</v>
      </c>
      <c r="Y540" s="4" t="s">
        <v>233</v>
      </c>
      <c r="Z540" s="81" t="s">
        <v>233</v>
      </c>
      <c r="AA540" s="64" t="s">
        <v>233</v>
      </c>
      <c r="AB540" s="81" t="s">
        <v>233</v>
      </c>
      <c r="AC540" s="4" t="s">
        <v>240</v>
      </c>
      <c r="AD540" s="64" t="s">
        <v>233</v>
      </c>
      <c r="AE540" s="64" t="s">
        <v>240</v>
      </c>
      <c r="AF540" s="208">
        <v>1</v>
      </c>
      <c r="AG540" s="4">
        <v>1</v>
      </c>
      <c r="AH540" s="64">
        <v>1</v>
      </c>
      <c r="AI540" s="4">
        <v>1</v>
      </c>
      <c r="AJ540" s="4">
        <v>1</v>
      </c>
      <c r="AK540" s="4">
        <v>0</v>
      </c>
    </row>
    <row r="541" spans="1:37" outlineLevel="1">
      <c r="A541" s="5">
        <v>534</v>
      </c>
      <c r="B541" s="64" t="s">
        <v>190</v>
      </c>
      <c r="C541" s="4" t="s">
        <v>235</v>
      </c>
      <c r="D541" s="4" t="str">
        <f>[1]Лист2!B534</f>
        <v>МОСКОВСКИЙ пр.</v>
      </c>
      <c r="E541" s="69">
        <f>[1]Лист2!C534</f>
        <v>49</v>
      </c>
      <c r="F541" s="197" t="str">
        <f>[1]Лист2!D534</f>
        <v>Е</v>
      </c>
      <c r="G541" s="64"/>
      <c r="H541" s="199">
        <v>129534</v>
      </c>
      <c r="I541" s="64" t="s">
        <v>234</v>
      </c>
      <c r="J541" s="4"/>
      <c r="K541" s="64" t="s">
        <v>232</v>
      </c>
      <c r="L541" s="4" t="s">
        <v>232</v>
      </c>
      <c r="M541" s="72">
        <v>1879</v>
      </c>
      <c r="N541" s="64" t="s">
        <v>385</v>
      </c>
      <c r="O541" s="73">
        <v>4</v>
      </c>
      <c r="P541" s="196">
        <v>0</v>
      </c>
      <c r="Q541" s="73">
        <v>1</v>
      </c>
      <c r="R541" s="74">
        <v>30</v>
      </c>
      <c r="S541" s="76">
        <v>1077.9000000000001</v>
      </c>
      <c r="T541" s="82">
        <f t="shared" si="16"/>
        <v>835.90000000000009</v>
      </c>
      <c r="U541" s="77">
        <f t="shared" si="17"/>
        <v>835.90000000000009</v>
      </c>
      <c r="V541" s="78">
        <v>242</v>
      </c>
      <c r="W541" s="80" t="s">
        <v>233</v>
      </c>
      <c r="X541" s="81" t="s">
        <v>233</v>
      </c>
      <c r="Y541" s="4" t="s">
        <v>233</v>
      </c>
      <c r="Z541" s="81" t="s">
        <v>233</v>
      </c>
      <c r="AA541" s="64" t="s">
        <v>233</v>
      </c>
      <c r="AB541" s="81" t="s">
        <v>233</v>
      </c>
      <c r="AC541" s="4" t="s">
        <v>240</v>
      </c>
      <c r="AD541" s="64" t="s">
        <v>233</v>
      </c>
      <c r="AE541" s="64" t="s">
        <v>240</v>
      </c>
      <c r="AF541" s="209">
        <v>0</v>
      </c>
      <c r="AG541" s="4">
        <v>1</v>
      </c>
      <c r="AH541" s="64">
        <v>1</v>
      </c>
      <c r="AI541" s="4">
        <v>0</v>
      </c>
      <c r="AJ541" s="4">
        <v>0</v>
      </c>
      <c r="AK541" s="4">
        <v>0</v>
      </c>
    </row>
    <row r="542" spans="1:37" outlineLevel="1">
      <c r="A542" s="63">
        <v>535</v>
      </c>
      <c r="B542" s="64" t="s">
        <v>190</v>
      </c>
      <c r="C542" s="4" t="s">
        <v>235</v>
      </c>
      <c r="D542" s="4" t="str">
        <f>[1]Лист2!B535</f>
        <v>МОСКОВСКИЙ пр.</v>
      </c>
      <c r="E542" s="69">
        <f>[1]Лист2!C535</f>
        <v>49</v>
      </c>
      <c r="F542" s="197" t="str">
        <f>[1]Лист2!D535</f>
        <v>Л</v>
      </c>
      <c r="G542" s="4"/>
      <c r="H542" s="199">
        <v>129535</v>
      </c>
      <c r="I542" s="64" t="s">
        <v>234</v>
      </c>
      <c r="J542" s="4"/>
      <c r="K542" s="64" t="s">
        <v>232</v>
      </c>
      <c r="L542" s="4" t="s">
        <v>232</v>
      </c>
      <c r="M542" s="72">
        <v>1879</v>
      </c>
      <c r="N542" s="64" t="s">
        <v>385</v>
      </c>
      <c r="O542" s="73">
        <v>4</v>
      </c>
      <c r="P542" s="196">
        <v>0</v>
      </c>
      <c r="Q542" s="73">
        <v>1</v>
      </c>
      <c r="R542" s="74">
        <v>30</v>
      </c>
      <c r="S542" s="76">
        <v>1124.5999999999999</v>
      </c>
      <c r="T542" s="82">
        <f t="shared" si="16"/>
        <v>831.89999999999986</v>
      </c>
      <c r="U542" s="77">
        <f t="shared" si="17"/>
        <v>831.89999999999986</v>
      </c>
      <c r="V542" s="78">
        <v>292.7</v>
      </c>
      <c r="W542" s="80" t="s">
        <v>233</v>
      </c>
      <c r="X542" s="81" t="s">
        <v>233</v>
      </c>
      <c r="Y542" s="4" t="s">
        <v>233</v>
      </c>
      <c r="Z542" s="81" t="s">
        <v>233</v>
      </c>
      <c r="AA542" s="64" t="s">
        <v>233</v>
      </c>
      <c r="AB542" s="81" t="s">
        <v>233</v>
      </c>
      <c r="AC542" s="4" t="s">
        <v>240</v>
      </c>
      <c r="AD542" s="64" t="s">
        <v>233</v>
      </c>
      <c r="AE542" s="64" t="s">
        <v>240</v>
      </c>
      <c r="AF542" s="209">
        <v>0</v>
      </c>
      <c r="AG542" s="4">
        <v>1</v>
      </c>
      <c r="AH542" s="64">
        <v>1</v>
      </c>
      <c r="AI542" s="4">
        <v>0</v>
      </c>
      <c r="AJ542" s="4">
        <v>0</v>
      </c>
      <c r="AK542" s="4">
        <v>0</v>
      </c>
    </row>
    <row r="543" spans="1:37" outlineLevel="1">
      <c r="A543" s="63">
        <v>536</v>
      </c>
      <c r="B543" s="64" t="s">
        <v>190</v>
      </c>
      <c r="C543" s="4" t="s">
        <v>235</v>
      </c>
      <c r="D543" s="4" t="str">
        <f>[1]Лист2!B536</f>
        <v>МОСКОВСКИЙ пр.</v>
      </c>
      <c r="E543" s="69">
        <f>[1]Лист2!C536</f>
        <v>51</v>
      </c>
      <c r="F543" s="197" t="str">
        <f>[1]Лист2!D536</f>
        <v>А</v>
      </c>
      <c r="G543" s="4"/>
      <c r="H543" s="199">
        <v>129536</v>
      </c>
      <c r="I543" s="64" t="s">
        <v>234</v>
      </c>
      <c r="J543" s="4"/>
      <c r="K543" s="64" t="s">
        <v>232</v>
      </c>
      <c r="L543" s="4" t="s">
        <v>232</v>
      </c>
      <c r="M543" s="72">
        <v>1879</v>
      </c>
      <c r="N543" s="64" t="s">
        <v>385</v>
      </c>
      <c r="O543" s="73">
        <v>5</v>
      </c>
      <c r="P543" s="196">
        <v>0</v>
      </c>
      <c r="Q543" s="73">
        <v>5</v>
      </c>
      <c r="R543" s="74">
        <v>75</v>
      </c>
      <c r="S543" s="76">
        <v>2851.61</v>
      </c>
      <c r="T543" s="82">
        <f t="shared" si="16"/>
        <v>2620.61</v>
      </c>
      <c r="U543" s="77">
        <f t="shared" si="17"/>
        <v>2620.61</v>
      </c>
      <c r="V543" s="78">
        <v>231</v>
      </c>
      <c r="W543" s="80" t="s">
        <v>233</v>
      </c>
      <c r="X543" s="81" t="s">
        <v>233</v>
      </c>
      <c r="Y543" s="4" t="s">
        <v>233</v>
      </c>
      <c r="Z543" s="81" t="s">
        <v>233</v>
      </c>
      <c r="AA543" s="64" t="s">
        <v>233</v>
      </c>
      <c r="AB543" s="81" t="s">
        <v>233</v>
      </c>
      <c r="AC543" s="4" t="s">
        <v>240</v>
      </c>
      <c r="AD543" s="64" t="s">
        <v>233</v>
      </c>
      <c r="AE543" s="64" t="s">
        <v>240</v>
      </c>
      <c r="AF543" s="210">
        <v>0</v>
      </c>
      <c r="AG543" s="4">
        <v>1</v>
      </c>
      <c r="AH543" s="64">
        <v>1</v>
      </c>
      <c r="AI543" s="4">
        <v>0</v>
      </c>
      <c r="AJ543" s="4">
        <v>0</v>
      </c>
      <c r="AK543" s="4">
        <v>0</v>
      </c>
    </row>
    <row r="544" spans="1:37" outlineLevel="1">
      <c r="A544" s="5">
        <v>537</v>
      </c>
      <c r="B544" s="64" t="s">
        <v>190</v>
      </c>
      <c r="C544" s="4" t="s">
        <v>235</v>
      </c>
      <c r="D544" s="4" t="str">
        <f>[1]Лист2!B537</f>
        <v>МОСКОВСКИЙ пр.</v>
      </c>
      <c r="E544" s="69">
        <f>[1]Лист2!C537</f>
        <v>53</v>
      </c>
      <c r="F544" s="197" t="str">
        <f>[1]Лист2!D537</f>
        <v>А</v>
      </c>
      <c r="G544" s="64"/>
      <c r="H544" s="199">
        <v>129537</v>
      </c>
      <c r="I544" s="64" t="s">
        <v>234</v>
      </c>
      <c r="J544" s="4"/>
      <c r="K544" s="64" t="s">
        <v>232</v>
      </c>
      <c r="L544" s="4" t="s">
        <v>232</v>
      </c>
      <c r="M544" s="72">
        <v>1880</v>
      </c>
      <c r="N544" s="64" t="s">
        <v>385</v>
      </c>
      <c r="O544" s="73">
        <v>4</v>
      </c>
      <c r="P544" s="196">
        <v>0</v>
      </c>
      <c r="Q544" s="73">
        <v>3</v>
      </c>
      <c r="R544" s="74">
        <v>55</v>
      </c>
      <c r="S544" s="76">
        <v>2850</v>
      </c>
      <c r="T544" s="82">
        <f t="shared" si="16"/>
        <v>2172</v>
      </c>
      <c r="U544" s="77">
        <f t="shared" si="17"/>
        <v>2172</v>
      </c>
      <c r="V544" s="78">
        <v>678</v>
      </c>
      <c r="W544" s="80" t="s">
        <v>233</v>
      </c>
      <c r="X544" s="81" t="s">
        <v>233</v>
      </c>
      <c r="Y544" s="4" t="s">
        <v>233</v>
      </c>
      <c r="Z544" s="81" t="s">
        <v>233</v>
      </c>
      <c r="AA544" s="64" t="s">
        <v>233</v>
      </c>
      <c r="AB544" s="81" t="s">
        <v>233</v>
      </c>
      <c r="AC544" s="4" t="s">
        <v>240</v>
      </c>
      <c r="AD544" s="64" t="s">
        <v>233</v>
      </c>
      <c r="AE544" s="64" t="s">
        <v>240</v>
      </c>
      <c r="AF544" s="210">
        <v>0</v>
      </c>
      <c r="AG544" s="4">
        <v>1</v>
      </c>
      <c r="AH544" s="64">
        <v>1</v>
      </c>
      <c r="AI544" s="4">
        <v>1</v>
      </c>
      <c r="AJ544" s="4">
        <v>1</v>
      </c>
      <c r="AK544" s="4">
        <v>0</v>
      </c>
    </row>
    <row r="545" spans="1:37" outlineLevel="1">
      <c r="A545" s="5">
        <v>538</v>
      </c>
      <c r="B545" s="64" t="s">
        <v>190</v>
      </c>
      <c r="C545" s="4" t="s">
        <v>235</v>
      </c>
      <c r="D545" s="4" t="str">
        <f>[1]Лист2!B538</f>
        <v>МОСКОВСКИЙ пр.</v>
      </c>
      <c r="E545" s="69">
        <f>[1]Лист2!C538</f>
        <v>57</v>
      </c>
      <c r="F545" s="197" t="str">
        <f>[1]Лист2!D538</f>
        <v>А</v>
      </c>
      <c r="G545" s="64"/>
      <c r="H545" s="199">
        <v>129538</v>
      </c>
      <c r="I545" s="64" t="s">
        <v>234</v>
      </c>
      <c r="J545" s="4"/>
      <c r="K545" s="64" t="s">
        <v>232</v>
      </c>
      <c r="L545" s="4" t="s">
        <v>232</v>
      </c>
      <c r="M545" s="72">
        <v>1880</v>
      </c>
      <c r="N545" s="64" t="s">
        <v>385</v>
      </c>
      <c r="O545" s="73">
        <v>4</v>
      </c>
      <c r="P545" s="196">
        <v>0</v>
      </c>
      <c r="Q545" s="73">
        <v>3</v>
      </c>
      <c r="R545" s="74">
        <v>33</v>
      </c>
      <c r="S545" s="76">
        <v>1086.9000000000001</v>
      </c>
      <c r="T545" s="82">
        <f t="shared" si="16"/>
        <v>852.2</v>
      </c>
      <c r="U545" s="77">
        <f t="shared" si="17"/>
        <v>852.2</v>
      </c>
      <c r="V545" s="78">
        <v>234.7</v>
      </c>
      <c r="W545" s="80" t="s">
        <v>233</v>
      </c>
      <c r="X545" s="81" t="s">
        <v>233</v>
      </c>
      <c r="Y545" s="4" t="s">
        <v>233</v>
      </c>
      <c r="Z545" s="81" t="s">
        <v>233</v>
      </c>
      <c r="AA545" s="64" t="s">
        <v>233</v>
      </c>
      <c r="AB545" s="81" t="s">
        <v>233</v>
      </c>
      <c r="AC545" s="4" t="s">
        <v>240</v>
      </c>
      <c r="AD545" s="64" t="s">
        <v>233</v>
      </c>
      <c r="AE545" s="64" t="s">
        <v>240</v>
      </c>
      <c r="AF545" s="210">
        <v>0</v>
      </c>
      <c r="AG545" s="4">
        <v>1</v>
      </c>
      <c r="AH545" s="64">
        <v>1</v>
      </c>
      <c r="AI545" s="4">
        <v>0</v>
      </c>
      <c r="AJ545" s="4">
        <v>0</v>
      </c>
      <c r="AK545" s="4">
        <v>0</v>
      </c>
    </row>
    <row r="546" spans="1:37" outlineLevel="1">
      <c r="A546" s="5">
        <v>539</v>
      </c>
      <c r="B546" s="64" t="s">
        <v>190</v>
      </c>
      <c r="C546" s="4" t="s">
        <v>235</v>
      </c>
      <c r="D546" s="4" t="str">
        <f>[1]Лист2!B539</f>
        <v>МОСКОВСКИЙ пр.</v>
      </c>
      <c r="E546" s="69">
        <f>[1]Лист2!C539</f>
        <v>57</v>
      </c>
      <c r="F546" s="197" t="str">
        <f>[1]Лист2!D539</f>
        <v>И</v>
      </c>
      <c r="G546" s="4"/>
      <c r="H546" s="199">
        <v>129539</v>
      </c>
      <c r="I546" s="64" t="s">
        <v>234</v>
      </c>
      <c r="J546" s="4"/>
      <c r="K546" s="64" t="s">
        <v>232</v>
      </c>
      <c r="L546" s="4" t="s">
        <v>232</v>
      </c>
      <c r="M546" s="72">
        <v>1880</v>
      </c>
      <c r="N546" s="64" t="s">
        <v>385</v>
      </c>
      <c r="O546" s="73">
        <v>4</v>
      </c>
      <c r="P546" s="196">
        <v>0</v>
      </c>
      <c r="Q546" s="73">
        <v>3</v>
      </c>
      <c r="R546" s="74">
        <v>37</v>
      </c>
      <c r="S546" s="76">
        <v>1322.7</v>
      </c>
      <c r="T546" s="82">
        <f t="shared" si="16"/>
        <v>1025</v>
      </c>
      <c r="U546" s="77">
        <f t="shared" si="17"/>
        <v>1025</v>
      </c>
      <c r="V546" s="78">
        <v>297.7</v>
      </c>
      <c r="W546" s="80" t="s">
        <v>233</v>
      </c>
      <c r="X546" s="81" t="s">
        <v>233</v>
      </c>
      <c r="Y546" s="4" t="s">
        <v>233</v>
      </c>
      <c r="Z546" s="81" t="s">
        <v>233</v>
      </c>
      <c r="AA546" s="64" t="s">
        <v>233</v>
      </c>
      <c r="AB546" s="81" t="s">
        <v>233</v>
      </c>
      <c r="AC546" s="4" t="s">
        <v>240</v>
      </c>
      <c r="AD546" s="64" t="s">
        <v>233</v>
      </c>
      <c r="AE546" s="64" t="s">
        <v>240</v>
      </c>
      <c r="AF546" s="211">
        <v>0</v>
      </c>
      <c r="AG546" s="4">
        <v>1</v>
      </c>
      <c r="AH546" s="64">
        <v>1</v>
      </c>
      <c r="AI546" s="4">
        <v>0</v>
      </c>
      <c r="AJ546" s="4">
        <v>0</v>
      </c>
      <c r="AK546" s="4">
        <v>0</v>
      </c>
    </row>
    <row r="547" spans="1:37" outlineLevel="1">
      <c r="A547" s="5">
        <v>540</v>
      </c>
      <c r="B547" s="64" t="s">
        <v>190</v>
      </c>
      <c r="C547" s="4" t="s">
        <v>235</v>
      </c>
      <c r="D547" s="4" t="str">
        <f>[1]Лист2!B540</f>
        <v>МОСКОВСКИЙ пр.</v>
      </c>
      <c r="E547" s="69">
        <f>[1]Лист2!C540</f>
        <v>59</v>
      </c>
      <c r="F547" s="197" t="str">
        <f>[1]Лист2!D540</f>
        <v>А</v>
      </c>
      <c r="G547" s="4"/>
      <c r="H547" s="199">
        <v>129540</v>
      </c>
      <c r="I547" s="64" t="s">
        <v>234</v>
      </c>
      <c r="J547" s="4"/>
      <c r="K547" s="64" t="s">
        <v>232</v>
      </c>
      <c r="L547" s="4" t="s">
        <v>232</v>
      </c>
      <c r="M547" s="72">
        <v>1880</v>
      </c>
      <c r="N547" s="64" t="s">
        <v>385</v>
      </c>
      <c r="O547" s="73">
        <v>4</v>
      </c>
      <c r="P547" s="196">
        <v>0</v>
      </c>
      <c r="Q547" s="73">
        <v>7</v>
      </c>
      <c r="R547" s="74">
        <v>84</v>
      </c>
      <c r="S547" s="76">
        <v>5044.1500000000005</v>
      </c>
      <c r="T547" s="82">
        <f t="shared" si="16"/>
        <v>4605.1500000000005</v>
      </c>
      <c r="U547" s="77">
        <f t="shared" si="17"/>
        <v>4605.1500000000005</v>
      </c>
      <c r="V547" s="78">
        <v>439</v>
      </c>
      <c r="W547" s="80" t="s">
        <v>233</v>
      </c>
      <c r="X547" s="81" t="s">
        <v>233</v>
      </c>
      <c r="Y547" s="4" t="s">
        <v>233</v>
      </c>
      <c r="Z547" s="81" t="s">
        <v>233</v>
      </c>
      <c r="AA547" s="64" t="s">
        <v>233</v>
      </c>
      <c r="AB547" s="81" t="s">
        <v>233</v>
      </c>
      <c r="AC547" s="4" t="s">
        <v>240</v>
      </c>
      <c r="AD547" s="64" t="s">
        <v>233</v>
      </c>
      <c r="AE547" s="64" t="s">
        <v>240</v>
      </c>
      <c r="AF547" s="210">
        <v>0</v>
      </c>
      <c r="AG547" s="4">
        <v>2</v>
      </c>
      <c r="AH547" s="64">
        <v>1</v>
      </c>
      <c r="AI547" s="4">
        <v>1</v>
      </c>
      <c r="AJ547" s="4">
        <v>1</v>
      </c>
      <c r="AK547" s="4">
        <v>0</v>
      </c>
    </row>
    <row r="548" spans="1:37" outlineLevel="1">
      <c r="A548" s="63">
        <v>541</v>
      </c>
      <c r="B548" s="64" t="s">
        <v>190</v>
      </c>
      <c r="C548" s="4" t="s">
        <v>235</v>
      </c>
      <c r="D548" s="4" t="str">
        <f>[1]Лист2!B541</f>
        <v>МОСКОВСКИЙ пр.</v>
      </c>
      <c r="E548" s="69">
        <f>[1]Лист2!C541</f>
        <v>61</v>
      </c>
      <c r="F548" s="197" t="str">
        <f>[1]Лист2!D541</f>
        <v>А</v>
      </c>
      <c r="G548" s="64"/>
      <c r="H548" s="199">
        <v>129541</v>
      </c>
      <c r="I548" s="64" t="s">
        <v>234</v>
      </c>
      <c r="J548" s="4"/>
      <c r="K548" s="64" t="s">
        <v>232</v>
      </c>
      <c r="L548" s="4" t="s">
        <v>232</v>
      </c>
      <c r="M548" s="72">
        <v>1875</v>
      </c>
      <c r="N548" s="64" t="s">
        <v>385</v>
      </c>
      <c r="O548" s="73">
        <v>6</v>
      </c>
      <c r="P548" s="196">
        <v>0</v>
      </c>
      <c r="Q548" s="73">
        <v>4</v>
      </c>
      <c r="R548" s="74">
        <v>124</v>
      </c>
      <c r="S548" s="76">
        <v>4663.12</v>
      </c>
      <c r="T548" s="82">
        <f t="shared" si="16"/>
        <v>4076.12</v>
      </c>
      <c r="U548" s="77">
        <f t="shared" si="17"/>
        <v>4076.12</v>
      </c>
      <c r="V548" s="78">
        <v>587</v>
      </c>
      <c r="W548" s="80" t="s">
        <v>233</v>
      </c>
      <c r="X548" s="81" t="s">
        <v>233</v>
      </c>
      <c r="Y548" s="4" t="s">
        <v>233</v>
      </c>
      <c r="Z548" s="81" t="s">
        <v>233</v>
      </c>
      <c r="AA548" s="64" t="s">
        <v>233</v>
      </c>
      <c r="AB548" s="81" t="s">
        <v>233</v>
      </c>
      <c r="AC548" s="4" t="s">
        <v>240</v>
      </c>
      <c r="AD548" s="64" t="s">
        <v>233</v>
      </c>
      <c r="AE548" s="64" t="s">
        <v>240</v>
      </c>
      <c r="AF548" s="210">
        <v>4</v>
      </c>
      <c r="AG548" s="4">
        <v>2</v>
      </c>
      <c r="AH548" s="64">
        <v>1</v>
      </c>
      <c r="AI548" s="4">
        <v>0</v>
      </c>
      <c r="AJ548" s="4">
        <v>0</v>
      </c>
      <c r="AK548" s="4">
        <v>0</v>
      </c>
    </row>
    <row r="549" spans="1:37" outlineLevel="1">
      <c r="A549" s="63">
        <v>542</v>
      </c>
      <c r="B549" s="64" t="s">
        <v>190</v>
      </c>
      <c r="C549" s="4" t="s">
        <v>235</v>
      </c>
      <c r="D549" s="4" t="str">
        <f>[1]Лист2!B542</f>
        <v>МОСКОВСКИЙ пр.</v>
      </c>
      <c r="E549" s="69">
        <f>[1]Лист2!C542</f>
        <v>63</v>
      </c>
      <c r="F549" s="197" t="str">
        <f>[1]Лист2!D542</f>
        <v>А</v>
      </c>
      <c r="G549" s="64"/>
      <c r="H549" s="199">
        <v>129542</v>
      </c>
      <c r="I549" s="64" t="s">
        <v>234</v>
      </c>
      <c r="J549" s="4"/>
      <c r="K549" s="64" t="s">
        <v>232</v>
      </c>
      <c r="L549" s="4" t="s">
        <v>232</v>
      </c>
      <c r="M549" s="72">
        <v>1875</v>
      </c>
      <c r="N549" s="64" t="s">
        <v>385</v>
      </c>
      <c r="O549" s="73">
        <v>6</v>
      </c>
      <c r="P549" s="196">
        <v>0</v>
      </c>
      <c r="Q549" s="73">
        <v>4</v>
      </c>
      <c r="R549" s="74">
        <v>97</v>
      </c>
      <c r="S549" s="76">
        <v>5834.41</v>
      </c>
      <c r="T549" s="82">
        <f t="shared" si="16"/>
        <v>4520.21</v>
      </c>
      <c r="U549" s="77">
        <f t="shared" si="17"/>
        <v>4520.21</v>
      </c>
      <c r="V549" s="78">
        <v>1314.2</v>
      </c>
      <c r="W549" s="80" t="s">
        <v>233</v>
      </c>
      <c r="X549" s="81" t="s">
        <v>233</v>
      </c>
      <c r="Y549" s="4" t="s">
        <v>233</v>
      </c>
      <c r="Z549" s="81" t="s">
        <v>233</v>
      </c>
      <c r="AA549" s="64" t="s">
        <v>233</v>
      </c>
      <c r="AB549" s="81" t="s">
        <v>233</v>
      </c>
      <c r="AC549" s="4" t="s">
        <v>240</v>
      </c>
      <c r="AD549" s="64" t="s">
        <v>233</v>
      </c>
      <c r="AE549" s="64" t="s">
        <v>240</v>
      </c>
      <c r="AF549" s="210">
        <v>0</v>
      </c>
      <c r="AG549" s="4">
        <v>1</v>
      </c>
      <c r="AH549" s="64">
        <v>1</v>
      </c>
      <c r="AI549" s="4">
        <v>1</v>
      </c>
      <c r="AJ549" s="4">
        <v>1</v>
      </c>
      <c r="AK549" s="4">
        <v>0</v>
      </c>
    </row>
    <row r="550" spans="1:37" outlineLevel="1">
      <c r="A550" s="5">
        <v>543</v>
      </c>
      <c r="B550" s="64" t="s">
        <v>190</v>
      </c>
      <c r="C550" s="4" t="s">
        <v>235</v>
      </c>
      <c r="D550" s="4" t="str">
        <f>[1]Лист2!B543</f>
        <v>МОСКОВСКИЙ пр.</v>
      </c>
      <c r="E550" s="69">
        <f>[1]Лист2!C543</f>
        <v>75</v>
      </c>
      <c r="F550" s="197" t="str">
        <f>[1]Лист2!D543</f>
        <v>А</v>
      </c>
      <c r="G550" s="4"/>
      <c r="H550" s="199">
        <v>129543</v>
      </c>
      <c r="I550" s="64" t="s">
        <v>234</v>
      </c>
      <c r="J550" s="4"/>
      <c r="K550" s="64" t="s">
        <v>232</v>
      </c>
      <c r="L550" s="4" t="s">
        <v>232</v>
      </c>
      <c r="M550" s="72">
        <v>1957</v>
      </c>
      <c r="N550" s="64" t="s">
        <v>385</v>
      </c>
      <c r="O550" s="73">
        <v>6</v>
      </c>
      <c r="P550" s="196">
        <v>0</v>
      </c>
      <c r="Q550" s="73">
        <v>11</v>
      </c>
      <c r="R550" s="74">
        <v>451</v>
      </c>
      <c r="S550" s="76">
        <v>17881.599999999999</v>
      </c>
      <c r="T550" s="82">
        <f t="shared" si="16"/>
        <v>13897.999999999998</v>
      </c>
      <c r="U550" s="77">
        <f t="shared" si="17"/>
        <v>13897.999999999998</v>
      </c>
      <c r="V550" s="78">
        <v>3983.6</v>
      </c>
      <c r="W550" s="80" t="s">
        <v>233</v>
      </c>
      <c r="X550" s="81" t="s">
        <v>233</v>
      </c>
      <c r="Y550" s="4" t="s">
        <v>240</v>
      </c>
      <c r="Z550" s="81" t="s">
        <v>233</v>
      </c>
      <c r="AA550" s="64" t="s">
        <v>233</v>
      </c>
      <c r="AB550" s="81" t="s">
        <v>233</v>
      </c>
      <c r="AC550" s="4" t="s">
        <v>233</v>
      </c>
      <c r="AD550" s="64" t="s">
        <v>233</v>
      </c>
      <c r="AE550" s="64" t="s">
        <v>240</v>
      </c>
      <c r="AF550" s="210">
        <v>11</v>
      </c>
      <c r="AG550" s="4">
        <v>6</v>
      </c>
      <c r="AH550" s="64">
        <v>2</v>
      </c>
      <c r="AI550" s="4">
        <v>0</v>
      </c>
      <c r="AJ550" s="4">
        <v>1</v>
      </c>
      <c r="AK550" s="4">
        <v>0</v>
      </c>
    </row>
    <row r="551" spans="1:37" outlineLevel="1">
      <c r="A551" s="5">
        <v>544</v>
      </c>
      <c r="B551" s="64" t="s">
        <v>190</v>
      </c>
      <c r="C551" s="4" t="s">
        <v>235</v>
      </c>
      <c r="D551" s="4" t="str">
        <f>[1]Лист2!B544</f>
        <v>МОСКОВСКИЙ пр.</v>
      </c>
      <c r="E551" s="69">
        <f>[1]Лист2!C544</f>
        <v>79</v>
      </c>
      <c r="F551" s="197" t="str">
        <f>[1]Лист2!D544</f>
        <v>А</v>
      </c>
      <c r="G551" s="4"/>
      <c r="H551" s="199">
        <v>129544</v>
      </c>
      <c r="I551" s="64" t="s">
        <v>234</v>
      </c>
      <c r="J551" s="4"/>
      <c r="K551" s="64" t="s">
        <v>232</v>
      </c>
      <c r="L551" s="4" t="s">
        <v>232</v>
      </c>
      <c r="M551" s="72">
        <v>1940</v>
      </c>
      <c r="N551" s="64" t="s">
        <v>385</v>
      </c>
      <c r="O551" s="73">
        <v>8</v>
      </c>
      <c r="P551" s="196">
        <v>0</v>
      </c>
      <c r="Q551" s="73">
        <v>25</v>
      </c>
      <c r="R551" s="74">
        <v>903</v>
      </c>
      <c r="S551" s="76">
        <v>27241.1</v>
      </c>
      <c r="T551" s="82">
        <f t="shared" si="16"/>
        <v>23248</v>
      </c>
      <c r="U551" s="77">
        <f t="shared" si="17"/>
        <v>23248</v>
      </c>
      <c r="V551" s="78">
        <v>3993.1</v>
      </c>
      <c r="W551" s="80" t="s">
        <v>233</v>
      </c>
      <c r="X551" s="81" t="s">
        <v>233</v>
      </c>
      <c r="Y551" s="4" t="s">
        <v>240</v>
      </c>
      <c r="Z551" s="81" t="s">
        <v>233</v>
      </c>
      <c r="AA551" s="64" t="s">
        <v>233</v>
      </c>
      <c r="AB551" s="81" t="s">
        <v>233</v>
      </c>
      <c r="AC551" s="4" t="s">
        <v>233</v>
      </c>
      <c r="AD551" s="64" t="s">
        <v>233</v>
      </c>
      <c r="AE551" s="64" t="s">
        <v>240</v>
      </c>
      <c r="AF551" s="210">
        <v>26</v>
      </c>
      <c r="AG551" s="4">
        <v>8</v>
      </c>
      <c r="AH551" s="64">
        <v>1</v>
      </c>
      <c r="AI551" s="4">
        <v>0</v>
      </c>
      <c r="AJ551" s="4">
        <v>2</v>
      </c>
      <c r="AK551" s="4">
        <v>0</v>
      </c>
    </row>
    <row r="552" spans="1:37" outlineLevel="1">
      <c r="A552" s="5">
        <v>545</v>
      </c>
      <c r="B552" s="64" t="s">
        <v>190</v>
      </c>
      <c r="C552" s="4" t="s">
        <v>235</v>
      </c>
      <c r="D552" s="4" t="str">
        <f>[1]Лист2!B545</f>
        <v>МОСКОВСКИЙ пр.</v>
      </c>
      <c r="E552" s="69">
        <f>[1]Лист2!C545</f>
        <v>79</v>
      </c>
      <c r="F552" s="197" t="str">
        <f>[1]Лист2!D545</f>
        <v>Б</v>
      </c>
      <c r="G552" s="64"/>
      <c r="H552" s="199">
        <v>129545</v>
      </c>
      <c r="I552" s="64" t="s">
        <v>234</v>
      </c>
      <c r="J552" s="4"/>
      <c r="K552" s="64" t="s">
        <v>232</v>
      </c>
      <c r="L552" s="4" t="s">
        <v>232</v>
      </c>
      <c r="M552" s="72">
        <v>1939</v>
      </c>
      <c r="N552" s="64" t="s">
        <v>385</v>
      </c>
      <c r="O552" s="73">
        <v>6</v>
      </c>
      <c r="P552" s="196">
        <v>0</v>
      </c>
      <c r="Q552" s="73">
        <v>2</v>
      </c>
      <c r="R552" s="74">
        <v>83</v>
      </c>
      <c r="S552" s="76">
        <v>2436.7000000000003</v>
      </c>
      <c r="T552" s="82">
        <f t="shared" si="16"/>
        <v>2347.9</v>
      </c>
      <c r="U552" s="77">
        <f t="shared" si="17"/>
        <v>2347.9</v>
      </c>
      <c r="V552" s="78">
        <v>88.8</v>
      </c>
      <c r="W552" s="80" t="s">
        <v>233</v>
      </c>
      <c r="X552" s="81" t="s">
        <v>233</v>
      </c>
      <c r="Y552" s="4" t="s">
        <v>233</v>
      </c>
      <c r="Z552" s="81" t="s">
        <v>233</v>
      </c>
      <c r="AA552" s="64" t="s">
        <v>233</v>
      </c>
      <c r="AB552" s="81" t="s">
        <v>233</v>
      </c>
      <c r="AC552" s="4" t="s">
        <v>240</v>
      </c>
      <c r="AD552" s="64" t="s">
        <v>233</v>
      </c>
      <c r="AE552" s="64" t="s">
        <v>240</v>
      </c>
      <c r="AF552" s="211">
        <v>0</v>
      </c>
      <c r="AG552" s="4">
        <v>8</v>
      </c>
      <c r="AH552" s="64">
        <v>1</v>
      </c>
      <c r="AI552" s="4">
        <v>0</v>
      </c>
      <c r="AJ552" s="4">
        <v>0</v>
      </c>
      <c r="AK552" s="4">
        <v>0</v>
      </c>
    </row>
    <row r="553" spans="1:37" outlineLevel="1">
      <c r="A553" s="5">
        <v>546</v>
      </c>
      <c r="B553" s="64" t="s">
        <v>190</v>
      </c>
      <c r="C553" s="4" t="s">
        <v>237</v>
      </c>
      <c r="D553" s="4" t="str">
        <f>[1]Лист2!B546</f>
        <v>МЯСНАЯ ул.</v>
      </c>
      <c r="E553" s="69">
        <f>[1]Лист2!C546</f>
        <v>10</v>
      </c>
      <c r="F553" s="197" t="str">
        <f>[1]Лист2!D546</f>
        <v>А</v>
      </c>
      <c r="G553" s="64"/>
      <c r="H553" s="199">
        <v>129546</v>
      </c>
      <c r="I553" s="64" t="s">
        <v>234</v>
      </c>
      <c r="J553" s="4"/>
      <c r="K553" s="64" t="s">
        <v>232</v>
      </c>
      <c r="L553" s="4" t="s">
        <v>232</v>
      </c>
      <c r="M553" s="72">
        <v>1907</v>
      </c>
      <c r="N553" s="64" t="s">
        <v>385</v>
      </c>
      <c r="O553" s="73">
        <v>6</v>
      </c>
      <c r="P553" s="196">
        <v>0</v>
      </c>
      <c r="Q553" s="73">
        <v>2</v>
      </c>
      <c r="R553" s="74">
        <v>52</v>
      </c>
      <c r="S553" s="76">
        <v>2137.9499999999998</v>
      </c>
      <c r="T553" s="82">
        <f t="shared" si="16"/>
        <v>1993.2299999999998</v>
      </c>
      <c r="U553" s="77">
        <f t="shared" si="17"/>
        <v>1993.2299999999998</v>
      </c>
      <c r="V553" s="78">
        <v>144.72</v>
      </c>
      <c r="W553" s="80" t="s">
        <v>233</v>
      </c>
      <c r="X553" s="81" t="s">
        <v>233</v>
      </c>
      <c r="Y553" s="4" t="s">
        <v>233</v>
      </c>
      <c r="Z553" s="81" t="s">
        <v>233</v>
      </c>
      <c r="AA553" s="64" t="s">
        <v>233</v>
      </c>
      <c r="AB553" s="81" t="s">
        <v>233</v>
      </c>
      <c r="AC553" s="4" t="s">
        <v>240</v>
      </c>
      <c r="AD553" s="64" t="s">
        <v>233</v>
      </c>
      <c r="AE553" s="64" t="s">
        <v>240</v>
      </c>
      <c r="AF553" s="210">
        <v>0</v>
      </c>
      <c r="AG553" s="4">
        <v>1</v>
      </c>
      <c r="AH553" s="64">
        <v>1</v>
      </c>
      <c r="AI553" s="4">
        <v>1</v>
      </c>
      <c r="AJ553" s="4">
        <v>1</v>
      </c>
      <c r="AK553" s="4">
        <v>0</v>
      </c>
    </row>
    <row r="554" spans="1:37" outlineLevel="1">
      <c r="A554" s="63">
        <v>547</v>
      </c>
      <c r="B554" s="64" t="s">
        <v>190</v>
      </c>
      <c r="C554" s="4" t="s">
        <v>237</v>
      </c>
      <c r="D554" s="4" t="str">
        <f>[1]Лист2!B547</f>
        <v>МЯСНАЯ ул.</v>
      </c>
      <c r="E554" s="69">
        <f>[1]Лист2!C547</f>
        <v>18</v>
      </c>
      <c r="F554" s="197" t="str">
        <f>[1]Лист2!D547</f>
        <v>А</v>
      </c>
      <c r="G554" s="4"/>
      <c r="H554" s="199">
        <v>129547</v>
      </c>
      <c r="I554" s="64" t="s">
        <v>234</v>
      </c>
      <c r="J554" s="4"/>
      <c r="K554" s="64" t="s">
        <v>232</v>
      </c>
      <c r="L554" s="4" t="s">
        <v>232</v>
      </c>
      <c r="M554" s="72">
        <v>1904</v>
      </c>
      <c r="N554" s="64" t="s">
        <v>385</v>
      </c>
      <c r="O554" s="73">
        <v>5</v>
      </c>
      <c r="P554" s="196">
        <v>0</v>
      </c>
      <c r="Q554" s="73">
        <v>1</v>
      </c>
      <c r="R554" s="74">
        <v>31</v>
      </c>
      <c r="S554" s="76">
        <v>990.9</v>
      </c>
      <c r="T554" s="82">
        <f t="shared" si="16"/>
        <v>919.91</v>
      </c>
      <c r="U554" s="77">
        <f t="shared" si="17"/>
        <v>919.91</v>
      </c>
      <c r="V554" s="78">
        <v>70.989999999999995</v>
      </c>
      <c r="W554" s="80" t="s">
        <v>233</v>
      </c>
      <c r="X554" s="81" t="s">
        <v>233</v>
      </c>
      <c r="Y554" s="4" t="s">
        <v>233</v>
      </c>
      <c r="Z554" s="81" t="s">
        <v>233</v>
      </c>
      <c r="AA554" s="64" t="s">
        <v>233</v>
      </c>
      <c r="AB554" s="81" t="s">
        <v>233</v>
      </c>
      <c r="AC554" s="4" t="s">
        <v>240</v>
      </c>
      <c r="AD554" s="64" t="s">
        <v>233</v>
      </c>
      <c r="AE554" s="64" t="s">
        <v>240</v>
      </c>
      <c r="AF554" s="210">
        <v>0</v>
      </c>
      <c r="AG554" s="4">
        <v>1</v>
      </c>
      <c r="AH554" s="64">
        <v>1</v>
      </c>
      <c r="AI554" s="4">
        <v>1</v>
      </c>
      <c r="AJ554" s="4">
        <v>1</v>
      </c>
      <c r="AK554" s="4">
        <v>0</v>
      </c>
    </row>
    <row r="555" spans="1:37" outlineLevel="1">
      <c r="A555" s="63">
        <v>548</v>
      </c>
      <c r="B555" s="64" t="s">
        <v>190</v>
      </c>
      <c r="C555" s="4" t="s">
        <v>237</v>
      </c>
      <c r="D555" s="4" t="str">
        <f>[1]Лист2!B548</f>
        <v>МЯСНАЯ ул.</v>
      </c>
      <c r="E555" s="69">
        <f>[1]Лист2!C548</f>
        <v>20</v>
      </c>
      <c r="F555" s="197" t="str">
        <f>[1]Лист2!D548</f>
        <v>А</v>
      </c>
      <c r="G555" s="4"/>
      <c r="H555" s="199">
        <v>129548</v>
      </c>
      <c r="I555" s="64" t="s">
        <v>234</v>
      </c>
      <c r="J555" s="4"/>
      <c r="K555" s="64" t="s">
        <v>232</v>
      </c>
      <c r="L555" s="4" t="s">
        <v>232</v>
      </c>
      <c r="M555" s="72">
        <v>1876</v>
      </c>
      <c r="N555" s="64" t="s">
        <v>385</v>
      </c>
      <c r="O555" s="73">
        <v>4</v>
      </c>
      <c r="P555" s="196">
        <v>0</v>
      </c>
      <c r="Q555" s="73">
        <v>1</v>
      </c>
      <c r="R555" s="74">
        <v>24</v>
      </c>
      <c r="S555" s="76">
        <v>1096.3699999999999</v>
      </c>
      <c r="T555" s="82">
        <f t="shared" si="16"/>
        <v>980.36999999999989</v>
      </c>
      <c r="U555" s="77">
        <f t="shared" si="17"/>
        <v>980.36999999999989</v>
      </c>
      <c r="V555" s="78">
        <v>116</v>
      </c>
      <c r="W555" s="80" t="s">
        <v>233</v>
      </c>
      <c r="X555" s="81" t="s">
        <v>233</v>
      </c>
      <c r="Y555" s="4" t="s">
        <v>240</v>
      </c>
      <c r="Z555" s="81" t="s">
        <v>233</v>
      </c>
      <c r="AA555" s="64" t="s">
        <v>233</v>
      </c>
      <c r="AB555" s="81" t="s">
        <v>233</v>
      </c>
      <c r="AC555" s="4" t="s">
        <v>233</v>
      </c>
      <c r="AD555" s="64" t="s">
        <v>233</v>
      </c>
      <c r="AE555" s="64" t="s">
        <v>240</v>
      </c>
      <c r="AF555" s="208">
        <v>0</v>
      </c>
      <c r="AG555" s="4">
        <v>1</v>
      </c>
      <c r="AH555" s="64">
        <v>1</v>
      </c>
      <c r="AI555" s="4">
        <v>0</v>
      </c>
      <c r="AJ555" s="4">
        <v>0</v>
      </c>
      <c r="AK555" s="4">
        <v>0</v>
      </c>
    </row>
    <row r="556" spans="1:37" outlineLevel="1">
      <c r="A556" s="5">
        <v>549</v>
      </c>
      <c r="B556" s="64" t="s">
        <v>190</v>
      </c>
      <c r="C556" s="4" t="s">
        <v>237</v>
      </c>
      <c r="D556" s="4" t="str">
        <f>[1]Лист2!B549</f>
        <v>МЯСНАЯ ул.</v>
      </c>
      <c r="E556" s="69">
        <f>[1]Лист2!C549</f>
        <v>3</v>
      </c>
      <c r="F556" s="197" t="str">
        <f>[1]Лист2!D549</f>
        <v>А</v>
      </c>
      <c r="G556" s="64"/>
      <c r="H556" s="199">
        <v>129549</v>
      </c>
      <c r="I556" s="64" t="s">
        <v>234</v>
      </c>
      <c r="J556" s="4" t="s">
        <v>242</v>
      </c>
      <c r="K556" s="64" t="s">
        <v>232</v>
      </c>
      <c r="L556" s="4" t="s">
        <v>232</v>
      </c>
      <c r="M556" s="72">
        <v>1833</v>
      </c>
      <c r="N556" s="64" t="s">
        <v>385</v>
      </c>
      <c r="O556" s="73">
        <v>4</v>
      </c>
      <c r="P556" s="196">
        <v>0</v>
      </c>
      <c r="Q556" s="73">
        <v>5</v>
      </c>
      <c r="R556" s="74">
        <v>18</v>
      </c>
      <c r="S556" s="76">
        <v>3786</v>
      </c>
      <c r="T556" s="82">
        <f t="shared" si="16"/>
        <v>0</v>
      </c>
      <c r="U556" s="77">
        <f t="shared" si="17"/>
        <v>0</v>
      </c>
      <c r="V556" s="78">
        <v>3786</v>
      </c>
      <c r="W556" s="80" t="s">
        <v>233</v>
      </c>
      <c r="X556" s="81" t="s">
        <v>233</v>
      </c>
      <c r="Y556" s="4" t="s">
        <v>233</v>
      </c>
      <c r="Z556" s="81" t="s">
        <v>233</v>
      </c>
      <c r="AA556" s="64" t="s">
        <v>233</v>
      </c>
      <c r="AB556" s="81" t="s">
        <v>233</v>
      </c>
      <c r="AC556" s="4" t="s">
        <v>240</v>
      </c>
      <c r="AD556" s="64" t="s">
        <v>233</v>
      </c>
      <c r="AE556" s="64" t="s">
        <v>240</v>
      </c>
      <c r="AF556" s="209">
        <v>0</v>
      </c>
      <c r="AG556" s="4">
        <v>1</v>
      </c>
      <c r="AH556" s="64">
        <v>1</v>
      </c>
      <c r="AI556" s="4">
        <v>0</v>
      </c>
      <c r="AJ556" s="4">
        <v>0</v>
      </c>
      <c r="AK556" s="4">
        <v>0</v>
      </c>
    </row>
    <row r="557" spans="1:37" outlineLevel="1">
      <c r="A557" s="5">
        <v>550</v>
      </c>
      <c r="B557" s="64" t="s">
        <v>190</v>
      </c>
      <c r="C557" s="4" t="s">
        <v>237</v>
      </c>
      <c r="D557" s="4" t="str">
        <f>[1]Лист2!B550</f>
        <v>МЯСНАЯ ул.</v>
      </c>
      <c r="E557" s="69">
        <f>[1]Лист2!C550</f>
        <v>3</v>
      </c>
      <c r="F557" s="197" t="str">
        <f>[1]Лист2!D550</f>
        <v>В</v>
      </c>
      <c r="G557" s="64"/>
      <c r="H557" s="199">
        <v>129550</v>
      </c>
      <c r="I557" s="64" t="s">
        <v>234</v>
      </c>
      <c r="J557" s="4" t="s">
        <v>242</v>
      </c>
      <c r="K557" s="64" t="s">
        <v>232</v>
      </c>
      <c r="L557" s="4" t="s">
        <v>232</v>
      </c>
      <c r="M557" s="72">
        <v>1882</v>
      </c>
      <c r="N557" s="64" t="s">
        <v>385</v>
      </c>
      <c r="O557" s="73">
        <v>4</v>
      </c>
      <c r="P557" s="196">
        <v>0</v>
      </c>
      <c r="Q557" s="73">
        <v>1</v>
      </c>
      <c r="R557" s="74">
        <v>36</v>
      </c>
      <c r="S557" s="76">
        <v>807.4</v>
      </c>
      <c r="T557" s="82">
        <f t="shared" si="16"/>
        <v>0</v>
      </c>
      <c r="U557" s="77">
        <f t="shared" si="17"/>
        <v>0</v>
      </c>
      <c r="V557" s="78">
        <v>807.4</v>
      </c>
      <c r="W557" s="80" t="s">
        <v>233</v>
      </c>
      <c r="X557" s="81" t="s">
        <v>233</v>
      </c>
      <c r="Y557" s="4" t="s">
        <v>233</v>
      </c>
      <c r="Z557" s="81" t="s">
        <v>233</v>
      </c>
      <c r="AA557" s="64" t="s">
        <v>233</v>
      </c>
      <c r="AB557" s="81" t="s">
        <v>233</v>
      </c>
      <c r="AC557" s="4" t="s">
        <v>240</v>
      </c>
      <c r="AD557" s="64" t="s">
        <v>233</v>
      </c>
      <c r="AE557" s="64" t="s">
        <v>240</v>
      </c>
      <c r="AF557" s="209">
        <v>0</v>
      </c>
      <c r="AG557" s="4">
        <v>1</v>
      </c>
      <c r="AH557" s="64">
        <v>1</v>
      </c>
      <c r="AI557" s="4">
        <v>0</v>
      </c>
      <c r="AJ557" s="4">
        <v>0</v>
      </c>
      <c r="AK557" s="4">
        <v>0</v>
      </c>
    </row>
    <row r="558" spans="1:37" s="65" customFormat="1" outlineLevel="1">
      <c r="A558" s="5">
        <v>551</v>
      </c>
      <c r="B558" s="64" t="s">
        <v>190</v>
      </c>
      <c r="C558" s="64" t="s">
        <v>235</v>
      </c>
      <c r="D558" s="64" t="str">
        <f>[1]Лист2!B551</f>
        <v>ОБВОДНОГО канала наб.</v>
      </c>
      <c r="E558" s="71">
        <f>[1]Лист2!C551</f>
        <v>114</v>
      </c>
      <c r="F558" s="196" t="s">
        <v>191</v>
      </c>
      <c r="G558" s="4"/>
      <c r="H558" s="67">
        <v>129551</v>
      </c>
      <c r="I558" s="64" t="s">
        <v>234</v>
      </c>
      <c r="J558" s="4" t="s">
        <v>242</v>
      </c>
      <c r="K558" s="64" t="s">
        <v>232</v>
      </c>
      <c r="L558" s="64" t="s">
        <v>232</v>
      </c>
      <c r="M558" s="72">
        <v>1885</v>
      </c>
      <c r="N558" s="64" t="s">
        <v>385</v>
      </c>
      <c r="O558" s="73">
        <v>2</v>
      </c>
      <c r="P558" s="196">
        <v>0</v>
      </c>
      <c r="Q558" s="73">
        <v>1</v>
      </c>
      <c r="R558" s="74">
        <v>24</v>
      </c>
      <c r="S558" s="75">
        <v>81.400000000000006</v>
      </c>
      <c r="T558" s="82">
        <f t="shared" si="16"/>
        <v>0</v>
      </c>
      <c r="U558" s="77">
        <f t="shared" si="17"/>
        <v>0</v>
      </c>
      <c r="V558" s="77">
        <v>81.400000000000006</v>
      </c>
      <c r="W558" s="80" t="s">
        <v>233</v>
      </c>
      <c r="X558" s="81" t="s">
        <v>233</v>
      </c>
      <c r="Y558" s="64" t="s">
        <v>240</v>
      </c>
      <c r="Z558" s="81" t="s">
        <v>233</v>
      </c>
      <c r="AA558" s="64" t="s">
        <v>233</v>
      </c>
      <c r="AB558" s="81" t="s">
        <v>233</v>
      </c>
      <c r="AC558" s="64" t="s">
        <v>233</v>
      </c>
      <c r="AD558" s="64" t="s">
        <v>233</v>
      </c>
      <c r="AE558" s="64" t="s">
        <v>240</v>
      </c>
      <c r="AF558" s="209">
        <v>0</v>
      </c>
      <c r="AG558" s="4">
        <v>1</v>
      </c>
      <c r="AH558" s="64">
        <v>1</v>
      </c>
      <c r="AI558" s="64">
        <v>0</v>
      </c>
      <c r="AJ558" s="64">
        <v>0</v>
      </c>
      <c r="AK558" s="64">
        <v>0</v>
      </c>
    </row>
    <row r="559" spans="1:37" s="65" customFormat="1" outlineLevel="1">
      <c r="A559" s="5">
        <v>552</v>
      </c>
      <c r="B559" s="64" t="s">
        <v>190</v>
      </c>
      <c r="C559" s="64" t="s">
        <v>235</v>
      </c>
      <c r="D559" s="64" t="str">
        <f>[1]Лист2!B552</f>
        <v>ОБВОДНОГО канала наб.</v>
      </c>
      <c r="E559" s="71">
        <f>[1]Лист2!C552</f>
        <v>116</v>
      </c>
      <c r="F559" s="196" t="s">
        <v>191</v>
      </c>
      <c r="G559" s="4"/>
      <c r="H559" s="67">
        <v>129552</v>
      </c>
      <c r="I559" s="64" t="s">
        <v>234</v>
      </c>
      <c r="J559" s="4" t="s">
        <v>242</v>
      </c>
      <c r="K559" s="64" t="s">
        <v>232</v>
      </c>
      <c r="L559" s="64" t="s">
        <v>232</v>
      </c>
      <c r="M559" s="72">
        <v>1885</v>
      </c>
      <c r="N559" s="64" t="s">
        <v>385</v>
      </c>
      <c r="O559" s="73">
        <v>2</v>
      </c>
      <c r="P559" s="196">
        <v>0</v>
      </c>
      <c r="Q559" s="73">
        <v>2</v>
      </c>
      <c r="R559" s="74">
        <v>25</v>
      </c>
      <c r="S559" s="75">
        <v>448</v>
      </c>
      <c r="T559" s="82">
        <f t="shared" si="16"/>
        <v>0</v>
      </c>
      <c r="U559" s="77">
        <f t="shared" si="17"/>
        <v>0</v>
      </c>
      <c r="V559" s="77">
        <v>448</v>
      </c>
      <c r="W559" s="80" t="s">
        <v>233</v>
      </c>
      <c r="X559" s="81" t="s">
        <v>233</v>
      </c>
      <c r="Y559" s="64" t="s">
        <v>233</v>
      </c>
      <c r="Z559" s="81" t="s">
        <v>233</v>
      </c>
      <c r="AA559" s="64" t="s">
        <v>233</v>
      </c>
      <c r="AB559" s="81" t="s">
        <v>233</v>
      </c>
      <c r="AC559" s="4" t="s">
        <v>240</v>
      </c>
      <c r="AD559" s="64" t="s">
        <v>233</v>
      </c>
      <c r="AE559" s="64" t="s">
        <v>240</v>
      </c>
      <c r="AF559" s="209">
        <v>0</v>
      </c>
      <c r="AG559" s="4">
        <v>1</v>
      </c>
      <c r="AH559" s="64">
        <v>1</v>
      </c>
      <c r="AI559" s="64">
        <v>0</v>
      </c>
      <c r="AJ559" s="64">
        <v>0</v>
      </c>
      <c r="AK559" s="64">
        <v>0</v>
      </c>
    </row>
    <row r="560" spans="1:37" outlineLevel="1">
      <c r="A560" s="63">
        <v>553</v>
      </c>
      <c r="B560" s="64" t="s">
        <v>190</v>
      </c>
      <c r="C560" s="64" t="s">
        <v>235</v>
      </c>
      <c r="D560" s="4" t="str">
        <f>[1]Лист2!B553</f>
        <v>ОБВОДНОГО канала наб.</v>
      </c>
      <c r="E560" s="69" t="str">
        <f>[1]Лист2!C553</f>
        <v>118б</v>
      </c>
      <c r="F560" s="197" t="str">
        <f>[1]Лист2!D553</f>
        <v>А</v>
      </c>
      <c r="G560" s="64"/>
      <c r="H560" s="199">
        <v>129553</v>
      </c>
      <c r="I560" s="64" t="s">
        <v>234</v>
      </c>
      <c r="J560" s="4"/>
      <c r="K560" s="64" t="s">
        <v>232</v>
      </c>
      <c r="L560" s="4" t="s">
        <v>232</v>
      </c>
      <c r="M560" s="72">
        <v>1864</v>
      </c>
      <c r="N560" s="64" t="s">
        <v>385</v>
      </c>
      <c r="O560" s="73">
        <v>3</v>
      </c>
      <c r="P560" s="196">
        <v>0</v>
      </c>
      <c r="Q560" s="73">
        <v>5</v>
      </c>
      <c r="R560" s="74">
        <v>39</v>
      </c>
      <c r="S560" s="76">
        <v>4522.82</v>
      </c>
      <c r="T560" s="82">
        <f t="shared" si="16"/>
        <v>3336.12</v>
      </c>
      <c r="U560" s="77">
        <f t="shared" si="17"/>
        <v>3336.12</v>
      </c>
      <c r="V560" s="78">
        <v>1186.7</v>
      </c>
      <c r="W560" s="80" t="s">
        <v>233</v>
      </c>
      <c r="X560" s="81" t="s">
        <v>233</v>
      </c>
      <c r="Y560" s="4" t="s">
        <v>233</v>
      </c>
      <c r="Z560" s="81" t="s">
        <v>233</v>
      </c>
      <c r="AA560" s="64" t="s">
        <v>233</v>
      </c>
      <c r="AB560" s="81" t="s">
        <v>233</v>
      </c>
      <c r="AC560" s="4" t="s">
        <v>240</v>
      </c>
      <c r="AD560" s="64" t="s">
        <v>233</v>
      </c>
      <c r="AE560" s="64" t="s">
        <v>240</v>
      </c>
      <c r="AF560" s="209">
        <v>0</v>
      </c>
      <c r="AG560" s="4">
        <v>1</v>
      </c>
      <c r="AH560" s="64">
        <v>1</v>
      </c>
      <c r="AI560" s="4">
        <v>0</v>
      </c>
      <c r="AJ560" s="4">
        <v>0</v>
      </c>
      <c r="AK560" s="4">
        <v>0</v>
      </c>
    </row>
    <row r="561" spans="1:37" outlineLevel="1">
      <c r="A561" s="63">
        <v>554</v>
      </c>
      <c r="B561" s="64" t="s">
        <v>190</v>
      </c>
      <c r="C561" s="64" t="s">
        <v>235</v>
      </c>
      <c r="D561" s="4" t="str">
        <f>[1]Лист2!B554</f>
        <v>ОБВОДНОГО канала наб.</v>
      </c>
      <c r="E561" s="69">
        <f>[1]Лист2!C554</f>
        <v>135</v>
      </c>
      <c r="F561" s="197" t="str">
        <f>[1]Лист2!D554</f>
        <v>А</v>
      </c>
      <c r="G561" s="64"/>
      <c r="H561" s="199">
        <v>129554</v>
      </c>
      <c r="I561" s="64" t="s">
        <v>234</v>
      </c>
      <c r="J561" s="4"/>
      <c r="K561" s="64" t="s">
        <v>232</v>
      </c>
      <c r="L561" s="4" t="s">
        <v>232</v>
      </c>
      <c r="M561" s="72">
        <v>1875</v>
      </c>
      <c r="N561" s="64" t="s">
        <v>385</v>
      </c>
      <c r="O561" s="73">
        <v>5</v>
      </c>
      <c r="P561" s="196">
        <v>0</v>
      </c>
      <c r="Q561" s="73">
        <v>5</v>
      </c>
      <c r="R561" s="74">
        <v>112</v>
      </c>
      <c r="S561" s="76">
        <v>4494.3999999999996</v>
      </c>
      <c r="T561" s="82">
        <f t="shared" si="16"/>
        <v>3640.5999999999995</v>
      </c>
      <c r="U561" s="77">
        <f t="shared" si="17"/>
        <v>3640.5999999999995</v>
      </c>
      <c r="V561" s="78">
        <v>853.8</v>
      </c>
      <c r="W561" s="80" t="s">
        <v>233</v>
      </c>
      <c r="X561" s="81" t="s">
        <v>233</v>
      </c>
      <c r="Y561" s="4" t="s">
        <v>233</v>
      </c>
      <c r="Z561" s="81" t="s">
        <v>233</v>
      </c>
      <c r="AA561" s="64" t="s">
        <v>233</v>
      </c>
      <c r="AB561" s="81" t="s">
        <v>233</v>
      </c>
      <c r="AC561" s="4" t="s">
        <v>240</v>
      </c>
      <c r="AD561" s="64" t="s">
        <v>233</v>
      </c>
      <c r="AE561" s="64" t="s">
        <v>240</v>
      </c>
      <c r="AF561" s="208">
        <v>5</v>
      </c>
      <c r="AG561" s="4">
        <v>2</v>
      </c>
      <c r="AH561" s="64">
        <v>1</v>
      </c>
      <c r="AI561" s="4">
        <v>0</v>
      </c>
      <c r="AJ561" s="4">
        <v>0</v>
      </c>
      <c r="AK561" s="4">
        <v>0</v>
      </c>
    </row>
    <row r="562" spans="1:37" outlineLevel="1">
      <c r="A562" s="5">
        <v>555</v>
      </c>
      <c r="B562" s="64" t="s">
        <v>190</v>
      </c>
      <c r="C562" s="64" t="s">
        <v>235</v>
      </c>
      <c r="D562" s="4" t="str">
        <f>[1]Лист2!B555</f>
        <v>ОБВОДНОГО канала наб.</v>
      </c>
      <c r="E562" s="69">
        <f>[1]Лист2!C555</f>
        <v>141</v>
      </c>
      <c r="F562" s="197" t="str">
        <f>[1]Лист2!D555</f>
        <v>А</v>
      </c>
      <c r="G562" s="4"/>
      <c r="H562" s="199">
        <v>129555</v>
      </c>
      <c r="I562" s="64" t="s">
        <v>234</v>
      </c>
      <c r="J562" s="4"/>
      <c r="K562" s="64" t="s">
        <v>232</v>
      </c>
      <c r="L562" s="4" t="s">
        <v>232</v>
      </c>
      <c r="M562" s="72">
        <v>1876</v>
      </c>
      <c r="N562" s="64" t="s">
        <v>385</v>
      </c>
      <c r="O562" s="73">
        <v>3</v>
      </c>
      <c r="P562" s="196">
        <v>0</v>
      </c>
      <c r="Q562" s="73">
        <v>7</v>
      </c>
      <c r="R562" s="74">
        <v>123</v>
      </c>
      <c r="S562" s="76">
        <v>4776.8999999999996</v>
      </c>
      <c r="T562" s="82">
        <f t="shared" si="16"/>
        <v>3834.3999999999996</v>
      </c>
      <c r="U562" s="77">
        <f t="shared" si="17"/>
        <v>3834.3999999999996</v>
      </c>
      <c r="V562" s="78">
        <v>942.5</v>
      </c>
      <c r="W562" s="80" t="s">
        <v>233</v>
      </c>
      <c r="X562" s="81" t="s">
        <v>233</v>
      </c>
      <c r="Y562" s="4" t="s">
        <v>233</v>
      </c>
      <c r="Z562" s="81" t="s">
        <v>233</v>
      </c>
      <c r="AA562" s="64" t="s">
        <v>233</v>
      </c>
      <c r="AB562" s="81" t="s">
        <v>233</v>
      </c>
      <c r="AC562" s="4" t="s">
        <v>240</v>
      </c>
      <c r="AD562" s="64" t="s">
        <v>233</v>
      </c>
      <c r="AE562" s="64" t="s">
        <v>240</v>
      </c>
      <c r="AF562" s="208">
        <v>0</v>
      </c>
      <c r="AG562" s="4">
        <v>1</v>
      </c>
      <c r="AH562" s="64">
        <v>1</v>
      </c>
      <c r="AI562" s="4">
        <v>1</v>
      </c>
      <c r="AJ562" s="4">
        <v>1</v>
      </c>
      <c r="AK562" s="4">
        <v>0</v>
      </c>
    </row>
    <row r="563" spans="1:37" outlineLevel="1">
      <c r="A563" s="5">
        <v>556</v>
      </c>
      <c r="B563" s="64" t="s">
        <v>190</v>
      </c>
      <c r="C563" s="64" t="s">
        <v>235</v>
      </c>
      <c r="D563" s="4" t="str">
        <f>[1]Лист2!B556</f>
        <v>ОБВОДНОГО канала наб.</v>
      </c>
      <c r="E563" s="69">
        <f>[1]Лист2!C556</f>
        <v>141</v>
      </c>
      <c r="F563" s="197" t="str">
        <f>[1]Лист2!D556</f>
        <v>Б</v>
      </c>
      <c r="G563" s="4"/>
      <c r="H563" s="199">
        <v>129556</v>
      </c>
      <c r="I563" s="64" t="s">
        <v>234</v>
      </c>
      <c r="J563" s="4" t="s">
        <v>1422</v>
      </c>
      <c r="K563" s="64" t="s">
        <v>232</v>
      </c>
      <c r="L563" s="4" t="s">
        <v>232</v>
      </c>
      <c r="M563" s="72">
        <v>1917</v>
      </c>
      <c r="N563" s="64" t="s">
        <v>385</v>
      </c>
      <c r="O563" s="73">
        <v>1</v>
      </c>
      <c r="P563" s="196">
        <v>0</v>
      </c>
      <c r="Q563" s="73">
        <v>1</v>
      </c>
      <c r="R563" s="74">
        <v>18</v>
      </c>
      <c r="S563" s="76">
        <v>284.2</v>
      </c>
      <c r="T563" s="82">
        <f t="shared" si="16"/>
        <v>0</v>
      </c>
      <c r="U563" s="77">
        <f t="shared" si="17"/>
        <v>0</v>
      </c>
      <c r="V563" s="78">
        <v>284.2</v>
      </c>
      <c r="W563" s="80" t="s">
        <v>233</v>
      </c>
      <c r="X563" s="81" t="s">
        <v>233</v>
      </c>
      <c r="Y563" s="4" t="s">
        <v>233</v>
      </c>
      <c r="Z563" s="81" t="s">
        <v>233</v>
      </c>
      <c r="AA563" s="64" t="s">
        <v>233</v>
      </c>
      <c r="AB563" s="81" t="s">
        <v>233</v>
      </c>
      <c r="AC563" s="4" t="s">
        <v>240</v>
      </c>
      <c r="AD563" s="64" t="s">
        <v>233</v>
      </c>
      <c r="AE563" s="64" t="s">
        <v>240</v>
      </c>
      <c r="AF563" s="209">
        <v>0</v>
      </c>
      <c r="AG563" s="4">
        <v>1</v>
      </c>
      <c r="AH563" s="64">
        <v>1</v>
      </c>
      <c r="AI563" s="4">
        <v>0</v>
      </c>
      <c r="AJ563" s="4">
        <v>0</v>
      </c>
      <c r="AK563" s="4">
        <v>0</v>
      </c>
    </row>
    <row r="564" spans="1:37" outlineLevel="1">
      <c r="A564" s="5">
        <v>557</v>
      </c>
      <c r="B564" s="64" t="s">
        <v>190</v>
      </c>
      <c r="C564" s="64" t="s">
        <v>235</v>
      </c>
      <c r="D564" s="4" t="str">
        <f>[1]Лист2!B557</f>
        <v>ОБВОДНОГО канала наб.</v>
      </c>
      <c r="E564" s="69">
        <f>[1]Лист2!C557</f>
        <v>145</v>
      </c>
      <c r="F564" s="197" t="str">
        <f>[1]Лист2!D557</f>
        <v>А</v>
      </c>
      <c r="G564" s="64"/>
      <c r="H564" s="199">
        <v>129557</v>
      </c>
      <c r="I564" s="64" t="s">
        <v>234</v>
      </c>
      <c r="J564" s="4"/>
      <c r="K564" s="64" t="s">
        <v>232</v>
      </c>
      <c r="L564" s="4" t="s">
        <v>232</v>
      </c>
      <c r="M564" s="72">
        <v>1867</v>
      </c>
      <c r="N564" s="64" t="s">
        <v>385</v>
      </c>
      <c r="O564" s="73">
        <v>4</v>
      </c>
      <c r="P564" s="196">
        <v>0</v>
      </c>
      <c r="Q564" s="73">
        <v>2</v>
      </c>
      <c r="R564" s="74">
        <v>27</v>
      </c>
      <c r="S564" s="76">
        <v>1285.4000000000001</v>
      </c>
      <c r="T564" s="82">
        <f t="shared" si="16"/>
        <v>1192.2</v>
      </c>
      <c r="U564" s="77">
        <f t="shared" si="17"/>
        <v>1192.2</v>
      </c>
      <c r="V564" s="78">
        <v>93.2</v>
      </c>
      <c r="W564" s="80" t="s">
        <v>233</v>
      </c>
      <c r="X564" s="81" t="s">
        <v>233</v>
      </c>
      <c r="Y564" s="4" t="s">
        <v>233</v>
      </c>
      <c r="Z564" s="81" t="s">
        <v>233</v>
      </c>
      <c r="AA564" s="64" t="s">
        <v>233</v>
      </c>
      <c r="AB564" s="81" t="s">
        <v>233</v>
      </c>
      <c r="AC564" s="4" t="s">
        <v>240</v>
      </c>
      <c r="AD564" s="64" t="s">
        <v>233</v>
      </c>
      <c r="AE564" s="64" t="s">
        <v>240</v>
      </c>
      <c r="AF564" s="208">
        <v>0</v>
      </c>
      <c r="AG564" s="4">
        <v>1</v>
      </c>
      <c r="AH564" s="64">
        <v>1</v>
      </c>
      <c r="AI564" s="4">
        <v>1</v>
      </c>
      <c r="AJ564" s="4">
        <v>1</v>
      </c>
      <c r="AK564" s="4">
        <v>0</v>
      </c>
    </row>
    <row r="565" spans="1:37" outlineLevel="1">
      <c r="A565" s="5">
        <v>558</v>
      </c>
      <c r="B565" s="64" t="s">
        <v>190</v>
      </c>
      <c r="C565" s="64" t="s">
        <v>235</v>
      </c>
      <c r="D565" s="4" t="str">
        <f>[1]Лист2!B558</f>
        <v>ОБВОДНОГО канала наб.</v>
      </c>
      <c r="E565" s="69">
        <f>[1]Лист2!C558</f>
        <v>145</v>
      </c>
      <c r="F565" s="197" t="str">
        <f>[1]Лист2!D558</f>
        <v>Г</v>
      </c>
      <c r="G565" s="64"/>
      <c r="H565" s="199">
        <v>129558</v>
      </c>
      <c r="I565" s="64" t="s">
        <v>234</v>
      </c>
      <c r="J565" s="4"/>
      <c r="K565" s="64" t="s">
        <v>232</v>
      </c>
      <c r="L565" s="4" t="s">
        <v>232</v>
      </c>
      <c r="M565" s="72">
        <v>1861</v>
      </c>
      <c r="N565" s="64" t="s">
        <v>385</v>
      </c>
      <c r="O565" s="73">
        <v>3</v>
      </c>
      <c r="P565" s="196">
        <v>0</v>
      </c>
      <c r="Q565" s="73">
        <v>4</v>
      </c>
      <c r="R565" s="74">
        <v>34</v>
      </c>
      <c r="S565" s="76">
        <v>2220.6</v>
      </c>
      <c r="T565" s="82">
        <f t="shared" si="16"/>
        <v>2161.4</v>
      </c>
      <c r="U565" s="77">
        <f t="shared" si="17"/>
        <v>2161.4</v>
      </c>
      <c r="V565" s="78">
        <v>59.2</v>
      </c>
      <c r="W565" s="80" t="s">
        <v>233</v>
      </c>
      <c r="X565" s="81" t="s">
        <v>233</v>
      </c>
      <c r="Y565" s="4" t="s">
        <v>233</v>
      </c>
      <c r="Z565" s="81" t="s">
        <v>233</v>
      </c>
      <c r="AA565" s="64" t="s">
        <v>233</v>
      </c>
      <c r="AB565" s="81" t="s">
        <v>233</v>
      </c>
      <c r="AC565" s="4" t="s">
        <v>240</v>
      </c>
      <c r="AD565" s="64" t="s">
        <v>233</v>
      </c>
      <c r="AE565" s="64" t="s">
        <v>240</v>
      </c>
      <c r="AF565" s="209">
        <v>0</v>
      </c>
      <c r="AG565" s="4">
        <v>1</v>
      </c>
      <c r="AH565" s="64">
        <v>1</v>
      </c>
      <c r="AI565" s="4">
        <v>0</v>
      </c>
      <c r="AJ565" s="4">
        <v>0</v>
      </c>
      <c r="AK565" s="4">
        <v>0</v>
      </c>
    </row>
    <row r="566" spans="1:37" outlineLevel="1">
      <c r="A566" s="63">
        <v>559</v>
      </c>
      <c r="B566" s="64" t="s">
        <v>190</v>
      </c>
      <c r="C566" s="64" t="s">
        <v>235</v>
      </c>
      <c r="D566" s="4" t="str">
        <f>[1]Лист2!B559</f>
        <v>ОБВОДНОГО канала наб.</v>
      </c>
      <c r="E566" s="69" t="str">
        <f>[1]Лист2!C559</f>
        <v>147-149</v>
      </c>
      <c r="F566" s="197" t="str">
        <f>[1]Лист2!D559</f>
        <v>Z</v>
      </c>
      <c r="G566" s="4"/>
      <c r="H566" s="199">
        <v>129559</v>
      </c>
      <c r="I566" s="64" t="s">
        <v>234</v>
      </c>
      <c r="J566" s="4" t="s">
        <v>1422</v>
      </c>
      <c r="K566" s="64" t="s">
        <v>232</v>
      </c>
      <c r="L566" s="4" t="s">
        <v>232</v>
      </c>
      <c r="M566" s="72">
        <v>1881</v>
      </c>
      <c r="N566" s="64" t="s">
        <v>385</v>
      </c>
      <c r="O566" s="73">
        <v>2</v>
      </c>
      <c r="P566" s="196">
        <v>0</v>
      </c>
      <c r="Q566" s="73">
        <v>2</v>
      </c>
      <c r="R566" s="74">
        <v>19</v>
      </c>
      <c r="S566" s="76">
        <v>510</v>
      </c>
      <c r="T566" s="82">
        <f t="shared" si="16"/>
        <v>0</v>
      </c>
      <c r="U566" s="77">
        <f t="shared" si="17"/>
        <v>0</v>
      </c>
      <c r="V566" s="78">
        <v>510</v>
      </c>
      <c r="W566" s="80" t="s">
        <v>233</v>
      </c>
      <c r="X566" s="81" t="s">
        <v>233</v>
      </c>
      <c r="Y566" s="4" t="s">
        <v>233</v>
      </c>
      <c r="Z566" s="81" t="s">
        <v>233</v>
      </c>
      <c r="AA566" s="64" t="s">
        <v>233</v>
      </c>
      <c r="AB566" s="81" t="s">
        <v>233</v>
      </c>
      <c r="AC566" s="4" t="s">
        <v>240</v>
      </c>
      <c r="AD566" s="64" t="s">
        <v>233</v>
      </c>
      <c r="AE566" s="64" t="s">
        <v>240</v>
      </c>
      <c r="AF566" s="209">
        <v>0</v>
      </c>
      <c r="AG566" s="4">
        <v>1</v>
      </c>
      <c r="AH566" s="64">
        <v>1</v>
      </c>
      <c r="AI566" s="4">
        <v>1</v>
      </c>
      <c r="AJ566" s="4">
        <v>1</v>
      </c>
      <c r="AK566" s="4">
        <v>0</v>
      </c>
    </row>
    <row r="567" spans="1:37" outlineLevel="1">
      <c r="A567" s="63">
        <v>560</v>
      </c>
      <c r="B567" s="64" t="s">
        <v>190</v>
      </c>
      <c r="C567" s="64" t="s">
        <v>235</v>
      </c>
      <c r="D567" s="4" t="str">
        <f>[1]Лист2!B560</f>
        <v>ОБВОДНОГО канала наб.</v>
      </c>
      <c r="E567" s="69" t="str">
        <f>[1]Лист2!C560</f>
        <v>147-149</v>
      </c>
      <c r="F567" s="197" t="str">
        <f>[1]Лист2!D560</f>
        <v>А</v>
      </c>
      <c r="G567" s="4"/>
      <c r="H567" s="199">
        <v>129560</v>
      </c>
      <c r="I567" s="64" t="s">
        <v>234</v>
      </c>
      <c r="J567" s="4"/>
      <c r="K567" s="64" t="s">
        <v>232</v>
      </c>
      <c r="L567" s="4" t="s">
        <v>232</v>
      </c>
      <c r="M567" s="72">
        <v>1863</v>
      </c>
      <c r="N567" s="64" t="s">
        <v>385</v>
      </c>
      <c r="O567" s="73">
        <v>4</v>
      </c>
      <c r="P567" s="196">
        <v>0</v>
      </c>
      <c r="Q567" s="73">
        <v>1</v>
      </c>
      <c r="R567" s="74">
        <v>12</v>
      </c>
      <c r="S567" s="76">
        <v>1303.2</v>
      </c>
      <c r="T567" s="82">
        <f t="shared" si="16"/>
        <v>1199</v>
      </c>
      <c r="U567" s="77">
        <f t="shared" si="17"/>
        <v>1199</v>
      </c>
      <c r="V567" s="78">
        <v>104.2</v>
      </c>
      <c r="W567" s="80" t="s">
        <v>233</v>
      </c>
      <c r="X567" s="81" t="s">
        <v>233</v>
      </c>
      <c r="Y567" s="4" t="s">
        <v>233</v>
      </c>
      <c r="Z567" s="81" t="s">
        <v>233</v>
      </c>
      <c r="AA567" s="64" t="s">
        <v>233</v>
      </c>
      <c r="AB567" s="81" t="s">
        <v>233</v>
      </c>
      <c r="AC567" s="4" t="s">
        <v>240</v>
      </c>
      <c r="AD567" s="64" t="s">
        <v>233</v>
      </c>
      <c r="AE567" s="64" t="s">
        <v>240</v>
      </c>
      <c r="AF567" s="208">
        <v>0</v>
      </c>
      <c r="AG567" s="4">
        <v>1</v>
      </c>
      <c r="AH567" s="64">
        <v>1</v>
      </c>
      <c r="AI567" s="4">
        <v>0</v>
      </c>
      <c r="AJ567" s="4">
        <v>0</v>
      </c>
      <c r="AK567" s="4">
        <v>0</v>
      </c>
    </row>
    <row r="568" spans="1:37" outlineLevel="1">
      <c r="A568" s="5">
        <v>561</v>
      </c>
      <c r="B568" s="64" t="s">
        <v>190</v>
      </c>
      <c r="C568" s="64" t="s">
        <v>235</v>
      </c>
      <c r="D568" s="4" t="str">
        <f>[1]Лист2!B561</f>
        <v>ОБВОДНОГО канала наб.</v>
      </c>
      <c r="E568" s="69" t="str">
        <f>[1]Лист2!C561</f>
        <v>147-149</v>
      </c>
      <c r="F568" s="197" t="str">
        <f>[1]Лист2!D561</f>
        <v>Б</v>
      </c>
      <c r="G568" s="64"/>
      <c r="H568" s="199">
        <v>129561</v>
      </c>
      <c r="I568" s="64" t="s">
        <v>234</v>
      </c>
      <c r="J568" s="4"/>
      <c r="K568" s="64" t="s">
        <v>232</v>
      </c>
      <c r="L568" s="4" t="s">
        <v>232</v>
      </c>
      <c r="M568" s="72">
        <v>1862</v>
      </c>
      <c r="N568" s="64" t="s">
        <v>385</v>
      </c>
      <c r="O568" s="73">
        <v>5</v>
      </c>
      <c r="P568" s="196">
        <v>0</v>
      </c>
      <c r="Q568" s="73">
        <v>1</v>
      </c>
      <c r="R568" s="74">
        <v>10</v>
      </c>
      <c r="S568" s="76">
        <v>1438.2</v>
      </c>
      <c r="T568" s="82">
        <f t="shared" si="16"/>
        <v>1204</v>
      </c>
      <c r="U568" s="77">
        <f t="shared" si="17"/>
        <v>1204</v>
      </c>
      <c r="V568" s="78">
        <v>234.2</v>
      </c>
      <c r="W568" s="80" t="s">
        <v>233</v>
      </c>
      <c r="X568" s="81" t="s">
        <v>233</v>
      </c>
      <c r="Y568" s="4" t="s">
        <v>233</v>
      </c>
      <c r="Z568" s="81" t="s">
        <v>233</v>
      </c>
      <c r="AA568" s="64" t="s">
        <v>233</v>
      </c>
      <c r="AB568" s="81" t="s">
        <v>233</v>
      </c>
      <c r="AC568" s="4" t="s">
        <v>240</v>
      </c>
      <c r="AD568" s="64" t="s">
        <v>233</v>
      </c>
      <c r="AE568" s="64" t="s">
        <v>240</v>
      </c>
      <c r="AF568" s="209">
        <v>0</v>
      </c>
      <c r="AG568" s="4">
        <v>1</v>
      </c>
      <c r="AH568" s="64">
        <v>1</v>
      </c>
      <c r="AI568" s="4">
        <v>0</v>
      </c>
      <c r="AJ568" s="4">
        <v>0</v>
      </c>
      <c r="AK568" s="4">
        <v>0</v>
      </c>
    </row>
    <row r="569" spans="1:37" outlineLevel="1">
      <c r="A569" s="5">
        <v>562</v>
      </c>
      <c r="B569" s="64" t="s">
        <v>190</v>
      </c>
      <c r="C569" s="64" t="s">
        <v>235</v>
      </c>
      <c r="D569" s="4" t="str">
        <f>[1]Лист2!B562</f>
        <v>ОБВОДНОГО канала наб.</v>
      </c>
      <c r="E569" s="69" t="str">
        <f>[1]Лист2!C562</f>
        <v>147-149</v>
      </c>
      <c r="F569" s="197" t="str">
        <f>[1]Лист2!D562</f>
        <v>К</v>
      </c>
      <c r="G569" s="64"/>
      <c r="H569" s="199">
        <v>129562</v>
      </c>
      <c r="I569" s="64" t="s">
        <v>234</v>
      </c>
      <c r="J569" s="4"/>
      <c r="K569" s="64" t="s">
        <v>232</v>
      </c>
      <c r="L569" s="4" t="s">
        <v>232</v>
      </c>
      <c r="M569" s="72">
        <v>1853</v>
      </c>
      <c r="N569" s="64" t="s">
        <v>385</v>
      </c>
      <c r="O569" s="73">
        <v>4</v>
      </c>
      <c r="P569" s="196">
        <v>0</v>
      </c>
      <c r="Q569" s="73">
        <v>1</v>
      </c>
      <c r="R569" s="74">
        <v>10</v>
      </c>
      <c r="S569" s="76">
        <v>566</v>
      </c>
      <c r="T569" s="82">
        <f t="shared" si="16"/>
        <v>566</v>
      </c>
      <c r="U569" s="77">
        <f t="shared" si="17"/>
        <v>566</v>
      </c>
      <c r="V569" s="78">
        <v>0</v>
      </c>
      <c r="W569" s="80" t="s">
        <v>233</v>
      </c>
      <c r="X569" s="81" t="s">
        <v>233</v>
      </c>
      <c r="Y569" s="4" t="s">
        <v>233</v>
      </c>
      <c r="Z569" s="81" t="s">
        <v>233</v>
      </c>
      <c r="AA569" s="64" t="s">
        <v>233</v>
      </c>
      <c r="AB569" s="81" t="s">
        <v>233</v>
      </c>
      <c r="AC569" s="4" t="s">
        <v>240</v>
      </c>
      <c r="AD569" s="64" t="s">
        <v>233</v>
      </c>
      <c r="AE569" s="64" t="s">
        <v>240</v>
      </c>
      <c r="AF569" s="209">
        <v>0</v>
      </c>
      <c r="AG569" s="4">
        <v>1</v>
      </c>
      <c r="AH569" s="64">
        <v>1</v>
      </c>
      <c r="AI569" s="4">
        <v>0</v>
      </c>
      <c r="AJ569" s="4">
        <v>0</v>
      </c>
      <c r="AK569" s="4">
        <v>0</v>
      </c>
    </row>
    <row r="570" spans="1:37" outlineLevel="1">
      <c r="A570" s="5">
        <v>563</v>
      </c>
      <c r="B570" s="64" t="s">
        <v>190</v>
      </c>
      <c r="C570" s="64" t="s">
        <v>235</v>
      </c>
      <c r="D570" s="4" t="str">
        <f>[1]Лист2!B563</f>
        <v>ОБВОДНОГО канала наб.</v>
      </c>
      <c r="E570" s="69" t="str">
        <f>[1]Лист2!C563</f>
        <v>147-149</v>
      </c>
      <c r="F570" s="197" t="str">
        <f>[1]Лист2!D563</f>
        <v>Н</v>
      </c>
      <c r="G570" s="4"/>
      <c r="H570" s="199">
        <v>129563</v>
      </c>
      <c r="I570" s="64" t="s">
        <v>234</v>
      </c>
      <c r="J570" s="4"/>
      <c r="K570" s="64" t="s">
        <v>232</v>
      </c>
      <c r="L570" s="4" t="s">
        <v>232</v>
      </c>
      <c r="M570" s="72">
        <v>1863</v>
      </c>
      <c r="N570" s="64" t="s">
        <v>385</v>
      </c>
      <c r="O570" s="73">
        <v>4</v>
      </c>
      <c r="P570" s="196">
        <v>0</v>
      </c>
      <c r="Q570" s="73">
        <v>2</v>
      </c>
      <c r="R570" s="74">
        <v>12</v>
      </c>
      <c r="S570" s="76">
        <v>985.6</v>
      </c>
      <c r="T570" s="82">
        <f t="shared" si="16"/>
        <v>865</v>
      </c>
      <c r="U570" s="77">
        <f t="shared" si="17"/>
        <v>865</v>
      </c>
      <c r="V570" s="78">
        <v>120.6</v>
      </c>
      <c r="W570" s="80" t="s">
        <v>233</v>
      </c>
      <c r="X570" s="81" t="s">
        <v>233</v>
      </c>
      <c r="Y570" s="4" t="s">
        <v>233</v>
      </c>
      <c r="Z570" s="81" t="s">
        <v>233</v>
      </c>
      <c r="AA570" s="64" t="s">
        <v>233</v>
      </c>
      <c r="AB570" s="81" t="s">
        <v>233</v>
      </c>
      <c r="AC570" s="4" t="s">
        <v>240</v>
      </c>
      <c r="AD570" s="64" t="s">
        <v>233</v>
      </c>
      <c r="AE570" s="64" t="s">
        <v>240</v>
      </c>
      <c r="AF570" s="209">
        <v>0</v>
      </c>
      <c r="AG570" s="4">
        <v>1</v>
      </c>
      <c r="AH570" s="64">
        <v>1</v>
      </c>
      <c r="AI570" s="4">
        <v>0</v>
      </c>
      <c r="AJ570" s="4">
        <v>0</v>
      </c>
      <c r="AK570" s="4">
        <v>0</v>
      </c>
    </row>
    <row r="571" spans="1:37" outlineLevel="1">
      <c r="A571" s="5">
        <v>564</v>
      </c>
      <c r="B571" s="64" t="s">
        <v>190</v>
      </c>
      <c r="C571" s="64" t="s">
        <v>235</v>
      </c>
      <c r="D571" s="4" t="str">
        <f>[1]Лист2!B564</f>
        <v>ОБВОДНОГО канала наб.</v>
      </c>
      <c r="E571" s="69" t="str">
        <f>[1]Лист2!C564</f>
        <v>151-153</v>
      </c>
      <c r="F571" s="197" t="str">
        <f>[1]Лист2!D564</f>
        <v>А</v>
      </c>
      <c r="G571" s="4"/>
      <c r="H571" s="199">
        <v>129564</v>
      </c>
      <c r="I571" s="64" t="s">
        <v>234</v>
      </c>
      <c r="J571" s="4"/>
      <c r="K571" s="64" t="s">
        <v>232</v>
      </c>
      <c r="L571" s="4" t="s">
        <v>232</v>
      </c>
      <c r="M571" s="72">
        <v>1916</v>
      </c>
      <c r="N571" s="64" t="s">
        <v>385</v>
      </c>
      <c r="O571" s="73">
        <v>2</v>
      </c>
      <c r="P571" s="196">
        <v>0</v>
      </c>
      <c r="Q571" s="73">
        <v>2</v>
      </c>
      <c r="R571" s="74">
        <v>19</v>
      </c>
      <c r="S571" s="76">
        <v>1148.1099999999999</v>
      </c>
      <c r="T571" s="82">
        <f t="shared" si="16"/>
        <v>734.81</v>
      </c>
      <c r="U571" s="77">
        <f t="shared" si="17"/>
        <v>734.81</v>
      </c>
      <c r="V571" s="78">
        <v>413.3</v>
      </c>
      <c r="W571" s="80" t="s">
        <v>233</v>
      </c>
      <c r="X571" s="81" t="s">
        <v>233</v>
      </c>
      <c r="Y571" s="4" t="s">
        <v>233</v>
      </c>
      <c r="Z571" s="81" t="s">
        <v>233</v>
      </c>
      <c r="AA571" s="64" t="s">
        <v>233</v>
      </c>
      <c r="AB571" s="81" t="s">
        <v>233</v>
      </c>
      <c r="AC571" s="4" t="s">
        <v>240</v>
      </c>
      <c r="AD571" s="64" t="s">
        <v>233</v>
      </c>
      <c r="AE571" s="64" t="s">
        <v>240</v>
      </c>
      <c r="AF571" s="208">
        <v>0</v>
      </c>
      <c r="AG571" s="4">
        <v>3</v>
      </c>
      <c r="AH571" s="64">
        <v>1</v>
      </c>
      <c r="AI571" s="4">
        <v>1</v>
      </c>
      <c r="AJ571" s="4">
        <v>1</v>
      </c>
      <c r="AK571" s="4">
        <v>0</v>
      </c>
    </row>
    <row r="572" spans="1:37" outlineLevel="1">
      <c r="A572" s="63">
        <v>565</v>
      </c>
      <c r="B572" s="64" t="s">
        <v>190</v>
      </c>
      <c r="C572" s="64" t="s">
        <v>235</v>
      </c>
      <c r="D572" s="4" t="str">
        <f>[1]Лист2!B565</f>
        <v>ОБВОДНОГО канала наб.</v>
      </c>
      <c r="E572" s="69">
        <f>[1]Лист2!C565</f>
        <v>155</v>
      </c>
      <c r="F572" s="197" t="str">
        <f>[1]Лист2!D565</f>
        <v>А</v>
      </c>
      <c r="G572" s="64"/>
      <c r="H572" s="199">
        <v>129565</v>
      </c>
      <c r="I572" s="64" t="s">
        <v>234</v>
      </c>
      <c r="J572" s="4"/>
      <c r="K572" s="64" t="s">
        <v>232</v>
      </c>
      <c r="L572" s="4" t="s">
        <v>232</v>
      </c>
      <c r="M572" s="72">
        <v>1849</v>
      </c>
      <c r="N572" s="64" t="s">
        <v>385</v>
      </c>
      <c r="O572" s="73">
        <v>3</v>
      </c>
      <c r="P572" s="196">
        <v>0</v>
      </c>
      <c r="Q572" s="73">
        <v>1</v>
      </c>
      <c r="R572" s="74">
        <v>19</v>
      </c>
      <c r="S572" s="76">
        <v>996.65</v>
      </c>
      <c r="T572" s="82">
        <f t="shared" si="16"/>
        <v>726.55</v>
      </c>
      <c r="U572" s="77">
        <f t="shared" si="17"/>
        <v>726.55</v>
      </c>
      <c r="V572" s="78">
        <v>270.10000000000002</v>
      </c>
      <c r="W572" s="80" t="s">
        <v>233</v>
      </c>
      <c r="X572" s="81" t="s">
        <v>233</v>
      </c>
      <c r="Y572" s="4" t="s">
        <v>233</v>
      </c>
      <c r="Z572" s="81" t="s">
        <v>233</v>
      </c>
      <c r="AA572" s="64" t="s">
        <v>233</v>
      </c>
      <c r="AB572" s="81" t="s">
        <v>233</v>
      </c>
      <c r="AC572" s="4" t="s">
        <v>240</v>
      </c>
      <c r="AD572" s="64" t="s">
        <v>233</v>
      </c>
      <c r="AE572" s="64" t="s">
        <v>240</v>
      </c>
      <c r="AF572" s="208">
        <v>0</v>
      </c>
      <c r="AG572" s="4">
        <v>1</v>
      </c>
      <c r="AH572" s="64">
        <v>1</v>
      </c>
      <c r="AI572" s="4">
        <v>0</v>
      </c>
      <c r="AJ572" s="4">
        <v>0</v>
      </c>
      <c r="AK572" s="4">
        <v>0</v>
      </c>
    </row>
    <row r="573" spans="1:37" outlineLevel="1">
      <c r="A573" s="63">
        <v>566</v>
      </c>
      <c r="B573" s="64" t="s">
        <v>190</v>
      </c>
      <c r="C573" s="64" t="s">
        <v>235</v>
      </c>
      <c r="D573" s="4" t="str">
        <f>[1]Лист2!B566</f>
        <v>ОБВОДНОГО канала наб.</v>
      </c>
      <c r="E573" s="69">
        <f>[1]Лист2!C566</f>
        <v>155</v>
      </c>
      <c r="F573" s="197" t="str">
        <f>[1]Лист2!D566</f>
        <v>Б</v>
      </c>
      <c r="G573" s="64"/>
      <c r="H573" s="199">
        <v>129566</v>
      </c>
      <c r="I573" s="64" t="s">
        <v>234</v>
      </c>
      <c r="J573" s="4"/>
      <c r="K573" s="64" t="s">
        <v>232</v>
      </c>
      <c r="L573" s="4" t="s">
        <v>232</v>
      </c>
      <c r="M573" s="72">
        <v>1867</v>
      </c>
      <c r="N573" s="64" t="s">
        <v>385</v>
      </c>
      <c r="O573" s="73">
        <v>1</v>
      </c>
      <c r="P573" s="196">
        <v>0</v>
      </c>
      <c r="Q573" s="73">
        <v>1</v>
      </c>
      <c r="R573" s="74">
        <v>18</v>
      </c>
      <c r="S573" s="76">
        <v>726.55</v>
      </c>
      <c r="T573" s="82">
        <f t="shared" si="16"/>
        <v>726.55</v>
      </c>
      <c r="U573" s="77">
        <f t="shared" si="17"/>
        <v>726.55</v>
      </c>
      <c r="V573" s="78">
        <v>0</v>
      </c>
      <c r="W573" s="80" t="s">
        <v>233</v>
      </c>
      <c r="X573" s="81" t="s">
        <v>233</v>
      </c>
      <c r="Y573" s="4" t="s">
        <v>233</v>
      </c>
      <c r="Z573" s="81" t="s">
        <v>233</v>
      </c>
      <c r="AA573" s="64" t="s">
        <v>233</v>
      </c>
      <c r="AB573" s="81" t="s">
        <v>233</v>
      </c>
      <c r="AC573" s="4" t="s">
        <v>240</v>
      </c>
      <c r="AD573" s="64" t="s">
        <v>233</v>
      </c>
      <c r="AE573" s="64" t="s">
        <v>240</v>
      </c>
      <c r="AF573" s="209">
        <v>0</v>
      </c>
      <c r="AG573" s="4">
        <v>1</v>
      </c>
      <c r="AH573" s="64">
        <v>1</v>
      </c>
      <c r="AI573" s="4">
        <v>0</v>
      </c>
      <c r="AJ573" s="4">
        <v>0</v>
      </c>
      <c r="AK573" s="4">
        <v>0</v>
      </c>
    </row>
    <row r="574" spans="1:37" outlineLevel="1">
      <c r="A574" s="5">
        <v>567</v>
      </c>
      <c r="B574" s="64" t="s">
        <v>190</v>
      </c>
      <c r="C574" s="64" t="s">
        <v>235</v>
      </c>
      <c r="D574" s="4" t="str">
        <f>[1]Лист2!B567</f>
        <v>ОБВОДНОГО канала наб.</v>
      </c>
      <c r="E574" s="69" t="str">
        <f>[1]Лист2!C567</f>
        <v>157-159</v>
      </c>
      <c r="F574" s="197" t="str">
        <f>[1]Лист2!D567</f>
        <v>А</v>
      </c>
      <c r="G574" s="4"/>
      <c r="H574" s="199">
        <v>129567</v>
      </c>
      <c r="I574" s="64" t="s">
        <v>234</v>
      </c>
      <c r="J574" s="4"/>
      <c r="K574" s="64" t="s">
        <v>232</v>
      </c>
      <c r="L574" s="4" t="s">
        <v>232</v>
      </c>
      <c r="M574" s="72">
        <v>1904</v>
      </c>
      <c r="N574" s="64" t="s">
        <v>385</v>
      </c>
      <c r="O574" s="73">
        <v>6</v>
      </c>
      <c r="P574" s="196">
        <v>0</v>
      </c>
      <c r="Q574" s="73">
        <v>3</v>
      </c>
      <c r="R574" s="74">
        <v>29</v>
      </c>
      <c r="S574" s="76">
        <v>4191.7</v>
      </c>
      <c r="T574" s="82">
        <f t="shared" si="16"/>
        <v>3818.7</v>
      </c>
      <c r="U574" s="77">
        <f t="shared" si="17"/>
        <v>3818.7</v>
      </c>
      <c r="V574" s="78">
        <v>373</v>
      </c>
      <c r="W574" s="80" t="s">
        <v>233</v>
      </c>
      <c r="X574" s="81" t="s">
        <v>233</v>
      </c>
      <c r="Y574" s="4" t="s">
        <v>233</v>
      </c>
      <c r="Z574" s="81" t="s">
        <v>233</v>
      </c>
      <c r="AA574" s="64" t="s">
        <v>233</v>
      </c>
      <c r="AB574" s="81" t="s">
        <v>233</v>
      </c>
      <c r="AC574" s="4" t="s">
        <v>240</v>
      </c>
      <c r="AD574" s="64" t="s">
        <v>233</v>
      </c>
      <c r="AE574" s="64" t="s">
        <v>240</v>
      </c>
      <c r="AF574" s="208">
        <v>2</v>
      </c>
      <c r="AG574" s="4">
        <v>1</v>
      </c>
      <c r="AH574" s="64">
        <v>1</v>
      </c>
      <c r="AI574" s="4">
        <v>1</v>
      </c>
      <c r="AJ574" s="4">
        <v>1</v>
      </c>
      <c r="AK574" s="4">
        <v>0</v>
      </c>
    </row>
    <row r="575" spans="1:37" outlineLevel="1">
      <c r="A575" s="5">
        <v>568</v>
      </c>
      <c r="B575" s="64" t="s">
        <v>190</v>
      </c>
      <c r="C575" s="64" t="s">
        <v>235</v>
      </c>
      <c r="D575" s="4" t="str">
        <f>[1]Лист2!B568</f>
        <v>ОБВОДНОГО канала наб.</v>
      </c>
      <c r="E575" s="69" t="str">
        <f>[1]Лист2!C568</f>
        <v>157-159</v>
      </c>
      <c r="F575" s="197" t="str">
        <f>[1]Лист2!D568</f>
        <v>Г</v>
      </c>
      <c r="G575" s="4"/>
      <c r="H575" s="199">
        <v>129568</v>
      </c>
      <c r="I575" s="64" t="s">
        <v>234</v>
      </c>
      <c r="J575" s="4"/>
      <c r="K575" s="64" t="s">
        <v>232</v>
      </c>
      <c r="L575" s="4" t="s">
        <v>232</v>
      </c>
      <c r="M575" s="72">
        <v>1872</v>
      </c>
      <c r="N575" s="64" t="s">
        <v>385</v>
      </c>
      <c r="O575" s="73">
        <v>5</v>
      </c>
      <c r="P575" s="196">
        <v>0</v>
      </c>
      <c r="Q575" s="73">
        <v>2</v>
      </c>
      <c r="R575" s="74">
        <v>28</v>
      </c>
      <c r="S575" s="76">
        <v>1697.3</v>
      </c>
      <c r="T575" s="82">
        <f t="shared" si="16"/>
        <v>1355.1</v>
      </c>
      <c r="U575" s="77">
        <f t="shared" si="17"/>
        <v>1355.1</v>
      </c>
      <c r="V575" s="78">
        <v>342.2</v>
      </c>
      <c r="W575" s="80" t="s">
        <v>233</v>
      </c>
      <c r="X575" s="81" t="s">
        <v>233</v>
      </c>
      <c r="Y575" s="4" t="s">
        <v>233</v>
      </c>
      <c r="Z575" s="81" t="s">
        <v>233</v>
      </c>
      <c r="AA575" s="64" t="s">
        <v>233</v>
      </c>
      <c r="AB575" s="81" t="s">
        <v>233</v>
      </c>
      <c r="AC575" s="4" t="s">
        <v>240</v>
      </c>
      <c r="AD575" s="64" t="s">
        <v>233</v>
      </c>
      <c r="AE575" s="64" t="s">
        <v>240</v>
      </c>
      <c r="AF575" s="209">
        <v>0</v>
      </c>
      <c r="AG575" s="4">
        <v>1</v>
      </c>
      <c r="AH575" s="64">
        <v>1</v>
      </c>
      <c r="AI575" s="4">
        <v>0</v>
      </c>
      <c r="AJ575" s="4">
        <v>0</v>
      </c>
      <c r="AK575" s="4">
        <v>0</v>
      </c>
    </row>
    <row r="576" spans="1:37" outlineLevel="1">
      <c r="A576" s="5">
        <v>569</v>
      </c>
      <c r="B576" s="64" t="s">
        <v>190</v>
      </c>
      <c r="C576" s="64" t="s">
        <v>235</v>
      </c>
      <c r="D576" s="4" t="str">
        <f>[1]Лист2!B569</f>
        <v>ОБВОДНОГО канала наб.</v>
      </c>
      <c r="E576" s="69" t="str">
        <f>[1]Лист2!C569</f>
        <v>157-159</v>
      </c>
      <c r="F576" s="197" t="str">
        <f>[1]Лист2!D569</f>
        <v>Е</v>
      </c>
      <c r="G576" s="64"/>
      <c r="H576" s="199">
        <v>129569</v>
      </c>
      <c r="I576" s="64" t="s">
        <v>234</v>
      </c>
      <c r="J576" s="4"/>
      <c r="K576" s="64" t="s">
        <v>232</v>
      </c>
      <c r="L576" s="4" t="s">
        <v>232</v>
      </c>
      <c r="M576" s="72">
        <v>1890</v>
      </c>
      <c r="N576" s="64" t="s">
        <v>385</v>
      </c>
      <c r="O576" s="73">
        <v>4</v>
      </c>
      <c r="P576" s="196">
        <v>0</v>
      </c>
      <c r="Q576" s="73">
        <v>3</v>
      </c>
      <c r="R576" s="74">
        <v>27</v>
      </c>
      <c r="S576" s="76">
        <v>1448.7</v>
      </c>
      <c r="T576" s="82">
        <f t="shared" si="16"/>
        <v>1257.7</v>
      </c>
      <c r="U576" s="77">
        <f t="shared" si="17"/>
        <v>1257.7</v>
      </c>
      <c r="V576" s="78">
        <v>191</v>
      </c>
      <c r="W576" s="80" t="s">
        <v>233</v>
      </c>
      <c r="X576" s="81" t="s">
        <v>233</v>
      </c>
      <c r="Y576" s="4" t="s">
        <v>233</v>
      </c>
      <c r="Z576" s="81" t="s">
        <v>233</v>
      </c>
      <c r="AA576" s="64" t="s">
        <v>233</v>
      </c>
      <c r="AB576" s="81" t="s">
        <v>233</v>
      </c>
      <c r="AC576" s="4" t="s">
        <v>240</v>
      </c>
      <c r="AD576" s="64" t="s">
        <v>233</v>
      </c>
      <c r="AE576" s="64" t="s">
        <v>240</v>
      </c>
      <c r="AF576" s="209">
        <v>0</v>
      </c>
      <c r="AG576" s="4">
        <v>1</v>
      </c>
      <c r="AH576" s="64">
        <v>1</v>
      </c>
      <c r="AI576" s="4">
        <v>0</v>
      </c>
      <c r="AJ576" s="4">
        <v>0</v>
      </c>
      <c r="AK576" s="4">
        <v>0</v>
      </c>
    </row>
    <row r="577" spans="1:37" outlineLevel="1">
      <c r="A577" s="5">
        <v>570</v>
      </c>
      <c r="B577" s="64" t="s">
        <v>190</v>
      </c>
      <c r="C577" s="64" t="s">
        <v>235</v>
      </c>
      <c r="D577" s="4" t="str">
        <f>[1]Лист2!B570</f>
        <v>ОБВОДНОГО канала наб.</v>
      </c>
      <c r="E577" s="69" t="str">
        <f>[1]Лист2!C570</f>
        <v>157-159</v>
      </c>
      <c r="F577" s="197" t="str">
        <f>[1]Лист2!D570</f>
        <v>О</v>
      </c>
      <c r="G577" s="64"/>
      <c r="H577" s="199">
        <v>129570</v>
      </c>
      <c r="I577" s="64" t="s">
        <v>234</v>
      </c>
      <c r="J577" s="4"/>
      <c r="K577" s="64" t="s">
        <v>232</v>
      </c>
      <c r="L577" s="4" t="s">
        <v>232</v>
      </c>
      <c r="M577" s="72">
        <v>1890</v>
      </c>
      <c r="N577" s="64" t="s">
        <v>385</v>
      </c>
      <c r="O577" s="73">
        <v>4</v>
      </c>
      <c r="P577" s="196">
        <v>0</v>
      </c>
      <c r="Q577" s="73">
        <v>1</v>
      </c>
      <c r="R577" s="74">
        <v>27</v>
      </c>
      <c r="S577" s="76">
        <v>707.8</v>
      </c>
      <c r="T577" s="82">
        <f t="shared" si="16"/>
        <v>596.79999999999995</v>
      </c>
      <c r="U577" s="77">
        <f t="shared" si="17"/>
        <v>596.79999999999995</v>
      </c>
      <c r="V577" s="78">
        <v>111</v>
      </c>
      <c r="W577" s="80" t="s">
        <v>233</v>
      </c>
      <c r="X577" s="81" t="s">
        <v>233</v>
      </c>
      <c r="Y577" s="4" t="s">
        <v>233</v>
      </c>
      <c r="Z577" s="81" t="s">
        <v>233</v>
      </c>
      <c r="AA577" s="64" t="s">
        <v>233</v>
      </c>
      <c r="AB577" s="81" t="s">
        <v>233</v>
      </c>
      <c r="AC577" s="4" t="s">
        <v>240</v>
      </c>
      <c r="AD577" s="64" t="s">
        <v>233</v>
      </c>
      <c r="AE577" s="64" t="s">
        <v>240</v>
      </c>
      <c r="AF577" s="209">
        <v>0</v>
      </c>
      <c r="AG577" s="4">
        <v>1</v>
      </c>
      <c r="AH577" s="64">
        <v>1</v>
      </c>
      <c r="AI577" s="4">
        <v>0</v>
      </c>
      <c r="AJ577" s="4">
        <v>0</v>
      </c>
      <c r="AK577" s="4">
        <v>0</v>
      </c>
    </row>
    <row r="578" spans="1:37" outlineLevel="1">
      <c r="A578" s="63">
        <v>571</v>
      </c>
      <c r="B578" s="64" t="s">
        <v>190</v>
      </c>
      <c r="C578" s="64" t="s">
        <v>235</v>
      </c>
      <c r="D578" s="4" t="str">
        <f>[1]Лист2!B571</f>
        <v>ОБВОДНОГО канала наб.</v>
      </c>
      <c r="E578" s="69">
        <f>[1]Лист2!C571</f>
        <v>165</v>
      </c>
      <c r="F578" s="197" t="str">
        <f>[1]Лист2!D571</f>
        <v>Б</v>
      </c>
      <c r="G578" s="4"/>
      <c r="H578" s="199">
        <v>129571</v>
      </c>
      <c r="I578" s="64" t="s">
        <v>234</v>
      </c>
      <c r="J578" s="4"/>
      <c r="K578" s="64" t="s">
        <v>232</v>
      </c>
      <c r="L578" s="4" t="s">
        <v>232</v>
      </c>
      <c r="M578" s="72">
        <v>1961</v>
      </c>
      <c r="N578" s="64" t="s">
        <v>385</v>
      </c>
      <c r="O578" s="73">
        <v>5</v>
      </c>
      <c r="P578" s="196">
        <v>0</v>
      </c>
      <c r="Q578" s="73">
        <v>4</v>
      </c>
      <c r="R578" s="74">
        <v>128</v>
      </c>
      <c r="S578" s="76">
        <v>3460.6000000000004</v>
      </c>
      <c r="T578" s="82">
        <f t="shared" si="16"/>
        <v>2735.8</v>
      </c>
      <c r="U578" s="77">
        <f t="shared" si="17"/>
        <v>2735.8</v>
      </c>
      <c r="V578" s="78">
        <v>724.8</v>
      </c>
      <c r="W578" s="80" t="s">
        <v>233</v>
      </c>
      <c r="X578" s="81" t="s">
        <v>233</v>
      </c>
      <c r="Y578" s="4" t="s">
        <v>240</v>
      </c>
      <c r="Z578" s="81" t="s">
        <v>233</v>
      </c>
      <c r="AA578" s="64" t="s">
        <v>233</v>
      </c>
      <c r="AB578" s="81" t="s">
        <v>233</v>
      </c>
      <c r="AC578" s="4" t="s">
        <v>233</v>
      </c>
      <c r="AD578" s="64" t="s">
        <v>233</v>
      </c>
      <c r="AE578" s="64" t="s">
        <v>240</v>
      </c>
      <c r="AF578" s="209">
        <v>0</v>
      </c>
      <c r="AG578" s="4">
        <v>1</v>
      </c>
      <c r="AH578" s="64">
        <v>1</v>
      </c>
      <c r="AI578" s="4">
        <v>0</v>
      </c>
      <c r="AJ578" s="4">
        <v>1</v>
      </c>
      <c r="AK578" s="4">
        <v>0</v>
      </c>
    </row>
    <row r="579" spans="1:37" outlineLevel="1">
      <c r="A579" s="63">
        <v>572</v>
      </c>
      <c r="B579" s="64" t="s">
        <v>190</v>
      </c>
      <c r="C579" s="4" t="s">
        <v>238</v>
      </c>
      <c r="D579" s="4" t="str">
        <f>[1]Лист2!B572</f>
        <v>ОБВОДНОГО канала наб.</v>
      </c>
      <c r="E579" s="69">
        <f>[1]Лист2!C572</f>
        <v>183</v>
      </c>
      <c r="F579" s="197" t="str">
        <f>[1]Лист2!D572</f>
        <v>А</v>
      </c>
      <c r="G579" s="4"/>
      <c r="H579" s="199">
        <v>129572</v>
      </c>
      <c r="I579" s="64" t="s">
        <v>234</v>
      </c>
      <c r="J579" s="4"/>
      <c r="K579" s="64" t="s">
        <v>232</v>
      </c>
      <c r="L579" s="4" t="s">
        <v>232</v>
      </c>
      <c r="M579" s="72">
        <v>1901</v>
      </c>
      <c r="N579" s="64" t="s">
        <v>385</v>
      </c>
      <c r="O579" s="73">
        <v>5</v>
      </c>
      <c r="P579" s="196">
        <v>0</v>
      </c>
      <c r="Q579" s="73">
        <v>6</v>
      </c>
      <c r="R579" s="74">
        <v>194</v>
      </c>
      <c r="S579" s="76">
        <v>7509.45</v>
      </c>
      <c r="T579" s="82">
        <f t="shared" si="16"/>
        <v>6982.75</v>
      </c>
      <c r="U579" s="77">
        <f t="shared" si="17"/>
        <v>6982.75</v>
      </c>
      <c r="V579" s="78">
        <v>526.70000000000005</v>
      </c>
      <c r="W579" s="80" t="s">
        <v>233</v>
      </c>
      <c r="X579" s="81" t="s">
        <v>233</v>
      </c>
      <c r="Y579" s="4" t="s">
        <v>233</v>
      </c>
      <c r="Z579" s="81" t="s">
        <v>233</v>
      </c>
      <c r="AA579" s="64" t="s">
        <v>233</v>
      </c>
      <c r="AB579" s="81" t="s">
        <v>233</v>
      </c>
      <c r="AC579" s="4" t="s">
        <v>240</v>
      </c>
      <c r="AD579" s="64" t="s">
        <v>233</v>
      </c>
      <c r="AE579" s="64" t="s">
        <v>240</v>
      </c>
      <c r="AF579" s="208">
        <v>3</v>
      </c>
      <c r="AG579" s="4">
        <v>3</v>
      </c>
      <c r="AH579" s="64">
        <v>1</v>
      </c>
      <c r="AI579" s="4">
        <v>1</v>
      </c>
      <c r="AJ579" s="4">
        <v>1</v>
      </c>
      <c r="AK579" s="4">
        <v>0</v>
      </c>
    </row>
    <row r="580" spans="1:37" outlineLevel="1">
      <c r="A580" s="5">
        <v>573</v>
      </c>
      <c r="B580" s="64" t="s">
        <v>190</v>
      </c>
      <c r="C580" s="4" t="s">
        <v>237</v>
      </c>
      <c r="D580" s="4" t="str">
        <f>[1]Лист2!B573</f>
        <v>ПАСТОРОВА ул.</v>
      </c>
      <c r="E580" s="69">
        <f>[1]Лист2!C573</f>
        <v>3</v>
      </c>
      <c r="F580" s="197" t="str">
        <f>[1]Лист2!D573</f>
        <v>А</v>
      </c>
      <c r="G580" s="64"/>
      <c r="H580" s="199">
        <v>129573</v>
      </c>
      <c r="I580" s="64" t="s">
        <v>234</v>
      </c>
      <c r="J580" s="4"/>
      <c r="K580" s="64" t="s">
        <v>232</v>
      </c>
      <c r="L580" s="4" t="s">
        <v>232</v>
      </c>
      <c r="M580" s="72">
        <v>1876</v>
      </c>
      <c r="N580" s="64" t="s">
        <v>385</v>
      </c>
      <c r="O580" s="73">
        <v>3</v>
      </c>
      <c r="P580" s="196">
        <v>0</v>
      </c>
      <c r="Q580" s="73">
        <v>3</v>
      </c>
      <c r="R580" s="74">
        <v>23</v>
      </c>
      <c r="S580" s="76">
        <v>1450.1999999999998</v>
      </c>
      <c r="T580" s="82">
        <f t="shared" si="16"/>
        <v>1105.8999999999999</v>
      </c>
      <c r="U580" s="77">
        <f t="shared" si="17"/>
        <v>1105.8999999999999</v>
      </c>
      <c r="V580" s="78">
        <v>344.3</v>
      </c>
      <c r="W580" s="80" t="s">
        <v>233</v>
      </c>
      <c r="X580" s="81" t="s">
        <v>233</v>
      </c>
      <c r="Y580" s="4" t="s">
        <v>233</v>
      </c>
      <c r="Z580" s="81" t="s">
        <v>233</v>
      </c>
      <c r="AA580" s="64" t="s">
        <v>233</v>
      </c>
      <c r="AB580" s="81" t="s">
        <v>233</v>
      </c>
      <c r="AC580" s="4" t="s">
        <v>240</v>
      </c>
      <c r="AD580" s="64" t="s">
        <v>233</v>
      </c>
      <c r="AE580" s="64" t="s">
        <v>240</v>
      </c>
      <c r="AF580" s="208">
        <v>0</v>
      </c>
      <c r="AG580" s="4">
        <v>1</v>
      </c>
      <c r="AH580" s="64">
        <v>1</v>
      </c>
      <c r="AI580" s="4">
        <v>1</v>
      </c>
      <c r="AJ580" s="4">
        <v>1</v>
      </c>
      <c r="AK580" s="4">
        <v>0</v>
      </c>
    </row>
    <row r="581" spans="1:37" outlineLevel="1">
      <c r="A581" s="5">
        <v>574</v>
      </c>
      <c r="B581" s="64" t="s">
        <v>190</v>
      </c>
      <c r="C581" s="4" t="s">
        <v>237</v>
      </c>
      <c r="D581" s="4" t="str">
        <f>[1]Лист2!B574</f>
        <v>ПАСТОРОВА ул.</v>
      </c>
      <c r="E581" s="69">
        <f>[1]Лист2!C574</f>
        <v>4</v>
      </c>
      <c r="F581" s="197" t="str">
        <f>[1]Лист2!D574</f>
        <v>А</v>
      </c>
      <c r="G581" s="64"/>
      <c r="H581" s="199">
        <v>129574</v>
      </c>
      <c r="I581" s="64" t="s">
        <v>234</v>
      </c>
      <c r="J581" s="4"/>
      <c r="K581" s="64" t="s">
        <v>232</v>
      </c>
      <c r="L581" s="4" t="s">
        <v>232</v>
      </c>
      <c r="M581" s="72">
        <v>1909</v>
      </c>
      <c r="N581" s="64" t="s">
        <v>385</v>
      </c>
      <c r="O581" s="73">
        <v>5</v>
      </c>
      <c r="P581" s="196">
        <v>0</v>
      </c>
      <c r="Q581" s="73">
        <v>3</v>
      </c>
      <c r="R581" s="74">
        <v>38</v>
      </c>
      <c r="S581" s="76">
        <v>2425.0700000000002</v>
      </c>
      <c r="T581" s="82">
        <f t="shared" si="16"/>
        <v>2380.77</v>
      </c>
      <c r="U581" s="77">
        <f t="shared" si="17"/>
        <v>2380.77</v>
      </c>
      <c r="V581" s="78">
        <v>44.3</v>
      </c>
      <c r="W581" s="80" t="s">
        <v>233</v>
      </c>
      <c r="X581" s="81" t="s">
        <v>233</v>
      </c>
      <c r="Y581" s="4" t="s">
        <v>233</v>
      </c>
      <c r="Z581" s="81" t="s">
        <v>233</v>
      </c>
      <c r="AA581" s="64" t="s">
        <v>233</v>
      </c>
      <c r="AB581" s="81" t="s">
        <v>233</v>
      </c>
      <c r="AC581" s="4" t="s">
        <v>240</v>
      </c>
      <c r="AD581" s="64" t="s">
        <v>233</v>
      </c>
      <c r="AE581" s="64" t="s">
        <v>240</v>
      </c>
      <c r="AF581" s="208">
        <v>0</v>
      </c>
      <c r="AG581" s="4">
        <v>1</v>
      </c>
      <c r="AH581" s="64">
        <v>1</v>
      </c>
      <c r="AI581" s="4">
        <v>0</v>
      </c>
      <c r="AJ581" s="4">
        <v>0</v>
      </c>
      <c r="AK581" s="4">
        <v>0</v>
      </c>
    </row>
    <row r="582" spans="1:37" outlineLevel="1">
      <c r="A582" s="5">
        <v>575</v>
      </c>
      <c r="B582" s="64" t="s">
        <v>190</v>
      </c>
      <c r="C582" s="4" t="s">
        <v>237</v>
      </c>
      <c r="D582" s="4" t="str">
        <f>[1]Лист2!B575</f>
        <v>ПАСТОРОВА ул.</v>
      </c>
      <c r="E582" s="69">
        <f>[1]Лист2!C575</f>
        <v>5</v>
      </c>
      <c r="F582" s="197" t="str">
        <f>[1]Лист2!D575</f>
        <v>А</v>
      </c>
      <c r="G582" s="4"/>
      <c r="H582" s="199">
        <v>129575</v>
      </c>
      <c r="I582" s="64" t="s">
        <v>234</v>
      </c>
      <c r="J582" s="4"/>
      <c r="K582" s="64" t="s">
        <v>232</v>
      </c>
      <c r="L582" s="4" t="s">
        <v>232</v>
      </c>
      <c r="M582" s="72">
        <v>1876</v>
      </c>
      <c r="N582" s="64" t="s">
        <v>385</v>
      </c>
      <c r="O582" s="73">
        <v>3</v>
      </c>
      <c r="P582" s="196">
        <v>0</v>
      </c>
      <c r="Q582" s="73">
        <v>3</v>
      </c>
      <c r="R582" s="74">
        <v>18</v>
      </c>
      <c r="S582" s="76">
        <v>1126.27</v>
      </c>
      <c r="T582" s="82">
        <f t="shared" si="16"/>
        <v>969.47</v>
      </c>
      <c r="U582" s="77">
        <f t="shared" si="17"/>
        <v>969.47</v>
      </c>
      <c r="V582" s="78">
        <v>156.80000000000001</v>
      </c>
      <c r="W582" s="80" t="s">
        <v>233</v>
      </c>
      <c r="X582" s="81" t="s">
        <v>233</v>
      </c>
      <c r="Y582" s="4" t="s">
        <v>233</v>
      </c>
      <c r="Z582" s="81" t="s">
        <v>233</v>
      </c>
      <c r="AA582" s="64" t="s">
        <v>233</v>
      </c>
      <c r="AB582" s="81" t="s">
        <v>233</v>
      </c>
      <c r="AC582" s="4" t="s">
        <v>240</v>
      </c>
      <c r="AD582" s="64" t="s">
        <v>233</v>
      </c>
      <c r="AE582" s="64" t="s">
        <v>240</v>
      </c>
      <c r="AF582" s="208">
        <v>0</v>
      </c>
      <c r="AG582" s="4">
        <v>1</v>
      </c>
      <c r="AH582" s="64">
        <v>1</v>
      </c>
      <c r="AI582" s="4">
        <v>1</v>
      </c>
      <c r="AJ582" s="4">
        <v>1</v>
      </c>
      <c r="AK582" s="4">
        <v>0</v>
      </c>
    </row>
    <row r="583" spans="1:37" outlineLevel="1">
      <c r="A583" s="5">
        <v>576</v>
      </c>
      <c r="B583" s="64" t="s">
        <v>190</v>
      </c>
      <c r="C583" s="4" t="s">
        <v>237</v>
      </c>
      <c r="D583" s="4" t="str">
        <f>[1]Лист2!B576</f>
        <v>ПАСТОРОВА ул.</v>
      </c>
      <c r="E583" s="69">
        <f>[1]Лист2!C576</f>
        <v>6</v>
      </c>
      <c r="F583" s="197" t="str">
        <f>[1]Лист2!D576</f>
        <v>А</v>
      </c>
      <c r="G583" s="4"/>
      <c r="H583" s="199">
        <v>129576</v>
      </c>
      <c r="I583" s="64" t="s">
        <v>234</v>
      </c>
      <c r="J583" s="4"/>
      <c r="K583" s="64" t="s">
        <v>232</v>
      </c>
      <c r="L583" s="4" t="s">
        <v>232</v>
      </c>
      <c r="M583" s="72">
        <v>1836</v>
      </c>
      <c r="N583" s="64" t="s">
        <v>385</v>
      </c>
      <c r="O583" s="73">
        <v>3</v>
      </c>
      <c r="P583" s="196">
        <v>0</v>
      </c>
      <c r="Q583" s="73">
        <v>3</v>
      </c>
      <c r="R583" s="74">
        <v>21</v>
      </c>
      <c r="S583" s="76">
        <v>1124.01</v>
      </c>
      <c r="T583" s="82">
        <f t="shared" si="16"/>
        <v>937.61</v>
      </c>
      <c r="U583" s="77">
        <f t="shared" si="17"/>
        <v>937.61</v>
      </c>
      <c r="V583" s="78">
        <v>186.4</v>
      </c>
      <c r="W583" s="80" t="s">
        <v>233</v>
      </c>
      <c r="X583" s="81" t="s">
        <v>233</v>
      </c>
      <c r="Y583" s="4" t="s">
        <v>233</v>
      </c>
      <c r="Z583" s="81" t="s">
        <v>233</v>
      </c>
      <c r="AA583" s="64" t="s">
        <v>233</v>
      </c>
      <c r="AB583" s="81" t="s">
        <v>233</v>
      </c>
      <c r="AC583" s="4" t="s">
        <v>240</v>
      </c>
      <c r="AD583" s="64" t="s">
        <v>233</v>
      </c>
      <c r="AE583" s="64" t="s">
        <v>240</v>
      </c>
      <c r="AF583" s="208">
        <v>0</v>
      </c>
      <c r="AG583" s="4">
        <v>1</v>
      </c>
      <c r="AH583" s="64">
        <v>1</v>
      </c>
      <c r="AI583" s="4">
        <v>1</v>
      </c>
      <c r="AJ583" s="4">
        <v>1</v>
      </c>
      <c r="AK583" s="4">
        <v>0</v>
      </c>
    </row>
    <row r="584" spans="1:37" outlineLevel="1">
      <c r="A584" s="63">
        <v>577</v>
      </c>
      <c r="B584" s="64" t="s">
        <v>190</v>
      </c>
      <c r="C584" s="4" t="s">
        <v>237</v>
      </c>
      <c r="D584" s="4" t="str">
        <f>[1]Лист2!B577</f>
        <v>ПАСТОРОВА ул.</v>
      </c>
      <c r="E584" s="69">
        <f>[1]Лист2!C577</f>
        <v>7</v>
      </c>
      <c r="F584" s="197" t="str">
        <f>[1]Лист2!D577</f>
        <v>А</v>
      </c>
      <c r="G584" s="64"/>
      <c r="H584" s="199">
        <v>129577</v>
      </c>
      <c r="I584" s="64" t="s">
        <v>234</v>
      </c>
      <c r="J584" s="4"/>
      <c r="K584" s="64" t="s">
        <v>232</v>
      </c>
      <c r="L584" s="4" t="s">
        <v>232</v>
      </c>
      <c r="M584" s="72">
        <v>1830</v>
      </c>
      <c r="N584" s="64" t="s">
        <v>385</v>
      </c>
      <c r="O584" s="73">
        <v>5</v>
      </c>
      <c r="P584" s="196">
        <v>0</v>
      </c>
      <c r="Q584" s="73">
        <v>2</v>
      </c>
      <c r="R584" s="74">
        <v>41</v>
      </c>
      <c r="S584" s="76">
        <v>2025.29</v>
      </c>
      <c r="T584" s="82">
        <f t="shared" si="16"/>
        <v>2025.29</v>
      </c>
      <c r="U584" s="77">
        <f t="shared" si="17"/>
        <v>2025.29</v>
      </c>
      <c r="V584" s="78">
        <v>0</v>
      </c>
      <c r="W584" s="80" t="s">
        <v>233</v>
      </c>
      <c r="X584" s="81" t="s">
        <v>233</v>
      </c>
      <c r="Y584" s="4" t="s">
        <v>233</v>
      </c>
      <c r="Z584" s="81" t="s">
        <v>233</v>
      </c>
      <c r="AA584" s="64" t="s">
        <v>233</v>
      </c>
      <c r="AB584" s="81" t="s">
        <v>233</v>
      </c>
      <c r="AC584" s="4" t="s">
        <v>240</v>
      </c>
      <c r="AD584" s="64" t="s">
        <v>233</v>
      </c>
      <c r="AE584" s="64" t="s">
        <v>240</v>
      </c>
      <c r="AF584" s="208">
        <v>0</v>
      </c>
      <c r="AG584" s="4">
        <v>1</v>
      </c>
      <c r="AH584" s="64">
        <v>1</v>
      </c>
      <c r="AI584" s="4">
        <v>0</v>
      </c>
      <c r="AJ584" s="4">
        <v>0</v>
      </c>
      <c r="AK584" s="4">
        <v>0</v>
      </c>
    </row>
    <row r="585" spans="1:37" outlineLevel="1">
      <c r="A585" s="63">
        <v>578</v>
      </c>
      <c r="B585" s="64" t="s">
        <v>190</v>
      </c>
      <c r="C585" s="4" t="s">
        <v>237</v>
      </c>
      <c r="D585" s="4" t="str">
        <f>[1]Лист2!B578</f>
        <v>ПИСАРЕВА ул.</v>
      </c>
      <c r="E585" s="69" t="str">
        <f>[1]Лист2!C578</f>
        <v>1/118</v>
      </c>
      <c r="F585" s="197" t="str">
        <f>[1]Лист2!D578</f>
        <v>А</v>
      </c>
      <c r="G585" s="64"/>
      <c r="H585" s="199">
        <v>129578</v>
      </c>
      <c r="I585" s="64" t="s">
        <v>234</v>
      </c>
      <c r="J585" s="4"/>
      <c r="K585" s="64" t="s">
        <v>232</v>
      </c>
      <c r="L585" s="4" t="s">
        <v>232</v>
      </c>
      <c r="M585" s="72">
        <v>1900</v>
      </c>
      <c r="N585" s="64" t="s">
        <v>385</v>
      </c>
      <c r="O585" s="73">
        <v>4</v>
      </c>
      <c r="P585" s="196">
        <v>0</v>
      </c>
      <c r="Q585" s="73">
        <v>3</v>
      </c>
      <c r="R585" s="74">
        <v>24</v>
      </c>
      <c r="S585" s="76">
        <v>1245</v>
      </c>
      <c r="T585" s="82">
        <f t="shared" ref="T585:T648" si="18">U585</f>
        <v>1206</v>
      </c>
      <c r="U585" s="77">
        <f t="shared" ref="U585:U648" si="19">S585-V585</f>
        <v>1206</v>
      </c>
      <c r="V585" s="78">
        <v>39</v>
      </c>
      <c r="W585" s="80" t="s">
        <v>233</v>
      </c>
      <c r="X585" s="81" t="s">
        <v>233</v>
      </c>
      <c r="Y585" s="4" t="s">
        <v>233</v>
      </c>
      <c r="Z585" s="81" t="s">
        <v>233</v>
      </c>
      <c r="AA585" s="64" t="s">
        <v>233</v>
      </c>
      <c r="AB585" s="81" t="s">
        <v>233</v>
      </c>
      <c r="AC585" s="4" t="s">
        <v>240</v>
      </c>
      <c r="AD585" s="64" t="s">
        <v>233</v>
      </c>
      <c r="AE585" s="64" t="s">
        <v>240</v>
      </c>
      <c r="AF585" s="208">
        <v>0</v>
      </c>
      <c r="AG585" s="4">
        <v>1</v>
      </c>
      <c r="AH585" s="64">
        <v>1</v>
      </c>
      <c r="AI585" s="4">
        <v>0</v>
      </c>
      <c r="AJ585" s="4">
        <v>0</v>
      </c>
      <c r="AK585" s="4">
        <v>0</v>
      </c>
    </row>
    <row r="586" spans="1:37" outlineLevel="1">
      <c r="A586" s="5">
        <v>579</v>
      </c>
      <c r="B586" s="64" t="s">
        <v>190</v>
      </c>
      <c r="C586" s="4" t="s">
        <v>237</v>
      </c>
      <c r="D586" s="4" t="str">
        <f>[1]Лист2!B579</f>
        <v>ПИСАРЕВА ул.</v>
      </c>
      <c r="E586" s="69">
        <f>[1]Лист2!C579</f>
        <v>10</v>
      </c>
      <c r="F586" s="197" t="str">
        <f>[1]Лист2!D579</f>
        <v>В</v>
      </c>
      <c r="G586" s="4"/>
      <c r="H586" s="199">
        <v>129579</v>
      </c>
      <c r="I586" s="64" t="s">
        <v>234</v>
      </c>
      <c r="J586" s="4" t="s">
        <v>1422</v>
      </c>
      <c r="K586" s="64" t="s">
        <v>232</v>
      </c>
      <c r="L586" s="4" t="s">
        <v>232</v>
      </c>
      <c r="M586" s="72">
        <v>1912</v>
      </c>
      <c r="N586" s="64" t="s">
        <v>385</v>
      </c>
      <c r="O586" s="73">
        <v>6</v>
      </c>
      <c r="P586" s="196">
        <v>0</v>
      </c>
      <c r="Q586" s="73">
        <v>2</v>
      </c>
      <c r="R586" s="74">
        <v>8</v>
      </c>
      <c r="S586" s="76">
        <v>1328.9</v>
      </c>
      <c r="T586" s="82">
        <f t="shared" si="18"/>
        <v>0</v>
      </c>
      <c r="U586" s="77">
        <f t="shared" si="19"/>
        <v>0</v>
      </c>
      <c r="V586" s="78">
        <v>1328.9</v>
      </c>
      <c r="W586" s="80" t="s">
        <v>233</v>
      </c>
      <c r="X586" s="81" t="s">
        <v>233</v>
      </c>
      <c r="Y586" s="4" t="s">
        <v>240</v>
      </c>
      <c r="Z586" s="81" t="s">
        <v>233</v>
      </c>
      <c r="AA586" s="64" t="s">
        <v>233</v>
      </c>
      <c r="AB586" s="81" t="s">
        <v>233</v>
      </c>
      <c r="AC586" s="4" t="s">
        <v>233</v>
      </c>
      <c r="AD586" s="64" t="s">
        <v>233</v>
      </c>
      <c r="AE586" s="64" t="s">
        <v>240</v>
      </c>
      <c r="AF586" s="208">
        <v>0</v>
      </c>
      <c r="AG586" s="4">
        <v>2</v>
      </c>
      <c r="AH586" s="64">
        <v>1</v>
      </c>
      <c r="AI586" s="4">
        <v>0</v>
      </c>
      <c r="AJ586" s="4">
        <v>1</v>
      </c>
      <c r="AK586" s="4">
        <v>0</v>
      </c>
    </row>
    <row r="587" spans="1:37" outlineLevel="1">
      <c r="A587" s="5">
        <v>580</v>
      </c>
      <c r="B587" s="64" t="s">
        <v>190</v>
      </c>
      <c r="C587" s="4" t="s">
        <v>237</v>
      </c>
      <c r="D587" s="4" t="str">
        <f>[1]Лист2!B580</f>
        <v>ПИСАРЕВА ул.</v>
      </c>
      <c r="E587" s="69">
        <f>[1]Лист2!C580</f>
        <v>14</v>
      </c>
      <c r="F587" s="197" t="str">
        <f>[1]Лист2!D580</f>
        <v>А</v>
      </c>
      <c r="G587" s="4"/>
      <c r="H587" s="199">
        <v>129580</v>
      </c>
      <c r="I587" s="64" t="s">
        <v>234</v>
      </c>
      <c r="J587" s="4"/>
      <c r="K587" s="64" t="s">
        <v>232</v>
      </c>
      <c r="L587" s="4" t="s">
        <v>232</v>
      </c>
      <c r="M587" s="72">
        <v>1898</v>
      </c>
      <c r="N587" s="64" t="s">
        <v>385</v>
      </c>
      <c r="O587" s="73">
        <v>5</v>
      </c>
      <c r="P587" s="196">
        <v>0</v>
      </c>
      <c r="Q587" s="73">
        <v>4</v>
      </c>
      <c r="R587" s="74">
        <v>105</v>
      </c>
      <c r="S587" s="76">
        <v>4540.33</v>
      </c>
      <c r="T587" s="82">
        <f t="shared" si="18"/>
        <v>4525.33</v>
      </c>
      <c r="U587" s="77">
        <f t="shared" si="19"/>
        <v>4525.33</v>
      </c>
      <c r="V587" s="78">
        <v>15</v>
      </c>
      <c r="W587" s="80" t="s">
        <v>233</v>
      </c>
      <c r="X587" s="81" t="s">
        <v>233</v>
      </c>
      <c r="Y587" s="4" t="s">
        <v>233</v>
      </c>
      <c r="Z587" s="81" t="s">
        <v>233</v>
      </c>
      <c r="AA587" s="64" t="s">
        <v>233</v>
      </c>
      <c r="AB587" s="81" t="s">
        <v>233</v>
      </c>
      <c r="AC587" s="4" t="s">
        <v>240</v>
      </c>
      <c r="AD587" s="64" t="s">
        <v>233</v>
      </c>
      <c r="AE587" s="64" t="s">
        <v>240</v>
      </c>
      <c r="AF587" s="208">
        <v>0</v>
      </c>
      <c r="AG587" s="4">
        <v>1</v>
      </c>
      <c r="AH587" s="64">
        <v>1</v>
      </c>
      <c r="AI587" s="4">
        <v>1</v>
      </c>
      <c r="AJ587" s="4">
        <v>1</v>
      </c>
      <c r="AK587" s="4">
        <v>0</v>
      </c>
    </row>
    <row r="588" spans="1:37" outlineLevel="1">
      <c r="A588" s="5">
        <v>581</v>
      </c>
      <c r="B588" s="64" t="s">
        <v>190</v>
      </c>
      <c r="C588" s="4" t="s">
        <v>237</v>
      </c>
      <c r="D588" s="4" t="str">
        <f>[1]Лист2!B581</f>
        <v>ПИСАРЕВА ул.</v>
      </c>
      <c r="E588" s="69">
        <f>[1]Лист2!C581</f>
        <v>5</v>
      </c>
      <c r="F588" s="197" t="str">
        <f>[1]Лист2!D581</f>
        <v>А</v>
      </c>
      <c r="G588" s="64"/>
      <c r="H588" s="199">
        <v>129581</v>
      </c>
      <c r="I588" s="64" t="s">
        <v>234</v>
      </c>
      <c r="J588" s="4"/>
      <c r="K588" s="64" t="s">
        <v>232</v>
      </c>
      <c r="L588" s="4" t="s">
        <v>232</v>
      </c>
      <c r="M588" s="72">
        <v>1899</v>
      </c>
      <c r="N588" s="64" t="s">
        <v>385</v>
      </c>
      <c r="O588" s="73">
        <v>4</v>
      </c>
      <c r="P588" s="196">
        <v>0</v>
      </c>
      <c r="Q588" s="73">
        <v>2</v>
      </c>
      <c r="R588" s="74">
        <v>60</v>
      </c>
      <c r="S588" s="76">
        <v>1729</v>
      </c>
      <c r="T588" s="82">
        <f t="shared" si="18"/>
        <v>1332.5</v>
      </c>
      <c r="U588" s="77">
        <f t="shared" si="19"/>
        <v>1332.5</v>
      </c>
      <c r="V588" s="78">
        <v>396.5</v>
      </c>
      <c r="W588" s="80" t="s">
        <v>233</v>
      </c>
      <c r="X588" s="81" t="s">
        <v>233</v>
      </c>
      <c r="Y588" s="4" t="s">
        <v>233</v>
      </c>
      <c r="Z588" s="81" t="s">
        <v>233</v>
      </c>
      <c r="AA588" s="64" t="s">
        <v>233</v>
      </c>
      <c r="AB588" s="81" t="s">
        <v>233</v>
      </c>
      <c r="AC588" s="4" t="s">
        <v>240</v>
      </c>
      <c r="AD588" s="64" t="s">
        <v>233</v>
      </c>
      <c r="AE588" s="64" t="s">
        <v>240</v>
      </c>
      <c r="AF588" s="208">
        <v>0</v>
      </c>
      <c r="AG588" s="4">
        <v>1</v>
      </c>
      <c r="AH588" s="64">
        <v>1</v>
      </c>
      <c r="AI588" s="4">
        <v>1</v>
      </c>
      <c r="AJ588" s="4">
        <v>1</v>
      </c>
      <c r="AK588" s="4">
        <v>0</v>
      </c>
    </row>
    <row r="589" spans="1:37" outlineLevel="1">
      <c r="A589" s="5">
        <v>582</v>
      </c>
      <c r="B589" s="64" t="s">
        <v>190</v>
      </c>
      <c r="C589" s="4" t="s">
        <v>237</v>
      </c>
      <c r="D589" s="4" t="str">
        <f>[1]Лист2!B582</f>
        <v>ПИСАРЕВА ул.</v>
      </c>
      <c r="E589" s="69">
        <f>[1]Лист2!C582</f>
        <v>5</v>
      </c>
      <c r="F589" s="197" t="str">
        <f>[1]Лист2!D582</f>
        <v>Б</v>
      </c>
      <c r="G589" s="64"/>
      <c r="H589" s="199">
        <v>129582</v>
      </c>
      <c r="I589" s="64" t="s">
        <v>234</v>
      </c>
      <c r="J589" s="4"/>
      <c r="K589" s="64" t="s">
        <v>232</v>
      </c>
      <c r="L589" s="4" t="s">
        <v>232</v>
      </c>
      <c r="M589" s="72">
        <v>1899</v>
      </c>
      <c r="N589" s="64" t="s">
        <v>385</v>
      </c>
      <c r="O589" s="73">
        <v>2</v>
      </c>
      <c r="P589" s="196">
        <v>0</v>
      </c>
      <c r="Q589" s="73">
        <v>1</v>
      </c>
      <c r="R589" s="74">
        <v>7</v>
      </c>
      <c r="S589" s="76">
        <v>128</v>
      </c>
      <c r="T589" s="82">
        <f t="shared" si="18"/>
        <v>87.6</v>
      </c>
      <c r="U589" s="77">
        <f t="shared" si="19"/>
        <v>87.6</v>
      </c>
      <c r="V589" s="78">
        <v>40.4</v>
      </c>
      <c r="W589" s="80" t="s">
        <v>233</v>
      </c>
      <c r="X589" s="81" t="s">
        <v>233</v>
      </c>
      <c r="Y589" s="4" t="s">
        <v>233</v>
      </c>
      <c r="Z589" s="81" t="s">
        <v>233</v>
      </c>
      <c r="AA589" s="64" t="s">
        <v>233</v>
      </c>
      <c r="AB589" s="81" t="s">
        <v>233</v>
      </c>
      <c r="AC589" s="4" t="s">
        <v>240</v>
      </c>
      <c r="AD589" s="64" t="s">
        <v>233</v>
      </c>
      <c r="AE589" s="64" t="s">
        <v>240</v>
      </c>
      <c r="AF589" s="209">
        <v>0</v>
      </c>
      <c r="AG589" s="4">
        <v>1</v>
      </c>
      <c r="AH589" s="64">
        <v>1</v>
      </c>
      <c r="AI589" s="4">
        <v>0</v>
      </c>
      <c r="AJ589" s="4">
        <v>0</v>
      </c>
      <c r="AK589" s="4">
        <v>0</v>
      </c>
    </row>
    <row r="590" spans="1:37" s="65" customFormat="1" outlineLevel="1">
      <c r="A590" s="63">
        <v>583</v>
      </c>
      <c r="B590" s="64" t="s">
        <v>190</v>
      </c>
      <c r="C590" s="4" t="s">
        <v>237</v>
      </c>
      <c r="D590" s="64" t="str">
        <f>[1]Лист2!B583</f>
        <v>ПИСАРЕВА ул.</v>
      </c>
      <c r="E590" s="71" t="s">
        <v>224</v>
      </c>
      <c r="F590" s="196" t="str">
        <f>[1]Лист2!D583</f>
        <v>А</v>
      </c>
      <c r="G590" s="4"/>
      <c r="H590" s="67">
        <v>129583</v>
      </c>
      <c r="I590" s="64" t="s">
        <v>234</v>
      </c>
      <c r="J590" s="64"/>
      <c r="K590" s="64" t="s">
        <v>232</v>
      </c>
      <c r="L590" s="64" t="s">
        <v>232</v>
      </c>
      <c r="M590" s="72">
        <v>1917</v>
      </c>
      <c r="N590" s="64" t="s">
        <v>385</v>
      </c>
      <c r="O590" s="73">
        <v>3</v>
      </c>
      <c r="P590" s="196">
        <v>0</v>
      </c>
      <c r="Q590" s="73">
        <v>2</v>
      </c>
      <c r="R590" s="74">
        <v>43</v>
      </c>
      <c r="S590" s="75">
        <v>1919.1999999999998</v>
      </c>
      <c r="T590" s="82">
        <f t="shared" si="18"/>
        <v>1556.2999999999997</v>
      </c>
      <c r="U590" s="77">
        <f t="shared" si="19"/>
        <v>1556.2999999999997</v>
      </c>
      <c r="V590" s="77">
        <v>362.9</v>
      </c>
      <c r="W590" s="80" t="s">
        <v>233</v>
      </c>
      <c r="X590" s="81" t="s">
        <v>233</v>
      </c>
      <c r="Y590" s="64" t="s">
        <v>233</v>
      </c>
      <c r="Z590" s="81" t="s">
        <v>233</v>
      </c>
      <c r="AA590" s="64" t="s">
        <v>233</v>
      </c>
      <c r="AB590" s="81" t="s">
        <v>233</v>
      </c>
      <c r="AC590" s="4" t="s">
        <v>240</v>
      </c>
      <c r="AD590" s="64" t="s">
        <v>233</v>
      </c>
      <c r="AE590" s="64" t="s">
        <v>240</v>
      </c>
      <c r="AF590" s="208">
        <v>0</v>
      </c>
      <c r="AG590" s="4">
        <v>1</v>
      </c>
      <c r="AH590" s="64">
        <v>1</v>
      </c>
      <c r="AI590" s="64">
        <v>0</v>
      </c>
      <c r="AJ590" s="64">
        <v>0</v>
      </c>
      <c r="AK590" s="64">
        <v>0</v>
      </c>
    </row>
    <row r="591" spans="1:37" s="65" customFormat="1" outlineLevel="1">
      <c r="A591" s="63">
        <v>584</v>
      </c>
      <c r="B591" s="64" t="s">
        <v>190</v>
      </c>
      <c r="C591" s="4" t="s">
        <v>237</v>
      </c>
      <c r="D591" s="64" t="str">
        <f>[1]Лист2!B584</f>
        <v>ПИСАРЕВА ул.</v>
      </c>
      <c r="E591" s="71" t="s">
        <v>224</v>
      </c>
      <c r="F591" s="196" t="str">
        <f>[1]Лист2!D584</f>
        <v>В</v>
      </c>
      <c r="G591" s="4"/>
      <c r="H591" s="67">
        <v>129584</v>
      </c>
      <c r="I591" s="64" t="s">
        <v>234</v>
      </c>
      <c r="J591" s="64"/>
      <c r="K591" s="64" t="s">
        <v>232</v>
      </c>
      <c r="L591" s="64" t="s">
        <v>232</v>
      </c>
      <c r="M591" s="72">
        <v>1917</v>
      </c>
      <c r="N591" s="64" t="s">
        <v>385</v>
      </c>
      <c r="O591" s="73">
        <v>2</v>
      </c>
      <c r="P591" s="196">
        <v>0</v>
      </c>
      <c r="Q591" s="73">
        <v>1</v>
      </c>
      <c r="R591" s="74">
        <v>7</v>
      </c>
      <c r="S591" s="75">
        <v>300</v>
      </c>
      <c r="T591" s="82">
        <f t="shared" si="18"/>
        <v>232.7</v>
      </c>
      <c r="U591" s="77">
        <f t="shared" si="19"/>
        <v>232.7</v>
      </c>
      <c r="V591" s="77">
        <v>67.3</v>
      </c>
      <c r="W591" s="80" t="s">
        <v>233</v>
      </c>
      <c r="X591" s="81" t="s">
        <v>233</v>
      </c>
      <c r="Y591" s="64" t="s">
        <v>233</v>
      </c>
      <c r="Z591" s="81" t="s">
        <v>233</v>
      </c>
      <c r="AA591" s="64" t="s">
        <v>233</v>
      </c>
      <c r="AB591" s="81" t="s">
        <v>233</v>
      </c>
      <c r="AC591" s="4" t="s">
        <v>240</v>
      </c>
      <c r="AD591" s="64" t="s">
        <v>233</v>
      </c>
      <c r="AE591" s="64" t="s">
        <v>240</v>
      </c>
      <c r="AF591" s="209">
        <v>0</v>
      </c>
      <c r="AG591" s="4">
        <v>1</v>
      </c>
      <c r="AH591" s="64">
        <v>1</v>
      </c>
      <c r="AI591" s="64">
        <v>0</v>
      </c>
      <c r="AJ591" s="64">
        <v>0</v>
      </c>
      <c r="AK591" s="64">
        <v>0</v>
      </c>
    </row>
    <row r="592" spans="1:37" s="65" customFormat="1" outlineLevel="1">
      <c r="A592" s="5">
        <v>585</v>
      </c>
      <c r="B592" s="64" t="s">
        <v>190</v>
      </c>
      <c r="C592" s="64" t="s">
        <v>236</v>
      </c>
      <c r="D592" s="64" t="str">
        <f>[1]Лист2!B585</f>
        <v>ПОЧТАМТСКАЯ ул.</v>
      </c>
      <c r="E592" s="71">
        <f>[1]Лист2!C585</f>
        <v>10</v>
      </c>
      <c r="F592" s="196" t="str">
        <f>[1]Лист2!D585</f>
        <v>А</v>
      </c>
      <c r="G592" s="64"/>
      <c r="H592" s="67">
        <v>129585</v>
      </c>
      <c r="I592" s="64" t="s">
        <v>234</v>
      </c>
      <c r="J592" s="64"/>
      <c r="K592" s="64" t="s">
        <v>232</v>
      </c>
      <c r="L592" s="64" t="s">
        <v>232</v>
      </c>
      <c r="M592" s="72">
        <v>1798</v>
      </c>
      <c r="N592" s="64" t="s">
        <v>385</v>
      </c>
      <c r="O592" s="73">
        <v>3</v>
      </c>
      <c r="P592" s="196">
        <v>0</v>
      </c>
      <c r="Q592" s="73">
        <v>4</v>
      </c>
      <c r="R592" s="74">
        <v>33</v>
      </c>
      <c r="S592" s="75">
        <v>2024.2000000000003</v>
      </c>
      <c r="T592" s="82">
        <f t="shared" si="18"/>
        <v>1549.8000000000002</v>
      </c>
      <c r="U592" s="77">
        <f t="shared" si="19"/>
        <v>1549.8000000000002</v>
      </c>
      <c r="V592" s="77">
        <v>474.4</v>
      </c>
      <c r="W592" s="80" t="s">
        <v>233</v>
      </c>
      <c r="X592" s="81" t="s">
        <v>233</v>
      </c>
      <c r="Y592" s="64" t="s">
        <v>233</v>
      </c>
      <c r="Z592" s="81" t="s">
        <v>233</v>
      </c>
      <c r="AA592" s="64" t="s">
        <v>233</v>
      </c>
      <c r="AB592" s="81" t="s">
        <v>233</v>
      </c>
      <c r="AC592" s="4" t="s">
        <v>240</v>
      </c>
      <c r="AD592" s="64" t="s">
        <v>233</v>
      </c>
      <c r="AE592" s="64" t="s">
        <v>240</v>
      </c>
      <c r="AF592" s="208">
        <v>0</v>
      </c>
      <c r="AG592" s="4">
        <v>1</v>
      </c>
      <c r="AH592" s="64">
        <v>1</v>
      </c>
      <c r="AI592" s="64">
        <v>1</v>
      </c>
      <c r="AJ592" s="64">
        <v>1</v>
      </c>
      <c r="AK592" s="64">
        <v>0</v>
      </c>
    </row>
    <row r="593" spans="1:37" s="65" customFormat="1" outlineLevel="1">
      <c r="A593" s="5">
        <v>586</v>
      </c>
      <c r="B593" s="64" t="s">
        <v>190</v>
      </c>
      <c r="C593" s="64" t="s">
        <v>236</v>
      </c>
      <c r="D593" s="64" t="str">
        <f>[1]Лист2!B586</f>
        <v>ПОЧТАМТСКАЯ ул.</v>
      </c>
      <c r="E593" s="71">
        <f>[1]Лист2!C586</f>
        <v>11</v>
      </c>
      <c r="F593" s="196" t="str">
        <f>[1]Лист2!D586</f>
        <v>А</v>
      </c>
      <c r="G593" s="64"/>
      <c r="H593" s="67">
        <v>129586</v>
      </c>
      <c r="I593" s="64" t="s">
        <v>234</v>
      </c>
      <c r="J593" s="64"/>
      <c r="K593" s="64" t="s">
        <v>232</v>
      </c>
      <c r="L593" s="64" t="s">
        <v>232</v>
      </c>
      <c r="M593" s="72">
        <v>1876</v>
      </c>
      <c r="N593" s="64" t="s">
        <v>385</v>
      </c>
      <c r="O593" s="73">
        <v>5</v>
      </c>
      <c r="P593" s="196">
        <v>0</v>
      </c>
      <c r="Q593" s="73">
        <v>5</v>
      </c>
      <c r="R593" s="74">
        <v>83</v>
      </c>
      <c r="S593" s="75">
        <v>4082.1699999999996</v>
      </c>
      <c r="T593" s="82">
        <f t="shared" si="18"/>
        <v>3783.5699999999997</v>
      </c>
      <c r="U593" s="77">
        <f t="shared" si="19"/>
        <v>3783.5699999999997</v>
      </c>
      <c r="V593" s="77">
        <v>298.60000000000002</v>
      </c>
      <c r="W593" s="80" t="s">
        <v>233</v>
      </c>
      <c r="X593" s="81" t="s">
        <v>233</v>
      </c>
      <c r="Y593" s="64" t="s">
        <v>233</v>
      </c>
      <c r="Z593" s="81" t="s">
        <v>233</v>
      </c>
      <c r="AA593" s="64" t="s">
        <v>233</v>
      </c>
      <c r="AB593" s="81" t="s">
        <v>233</v>
      </c>
      <c r="AC593" s="4" t="s">
        <v>240</v>
      </c>
      <c r="AD593" s="64" t="s">
        <v>233</v>
      </c>
      <c r="AE593" s="64" t="s">
        <v>240</v>
      </c>
      <c r="AF593" s="208">
        <v>0</v>
      </c>
      <c r="AG593" s="4">
        <v>4</v>
      </c>
      <c r="AH593" s="64">
        <v>1</v>
      </c>
      <c r="AI593" s="64">
        <v>1</v>
      </c>
      <c r="AJ593" s="64">
        <v>1</v>
      </c>
      <c r="AK593" s="64">
        <v>0</v>
      </c>
    </row>
    <row r="594" spans="1:37" s="65" customFormat="1" outlineLevel="1">
      <c r="A594" s="5">
        <v>587</v>
      </c>
      <c r="B594" s="64" t="s">
        <v>190</v>
      </c>
      <c r="C594" s="64" t="s">
        <v>236</v>
      </c>
      <c r="D594" s="64" t="str">
        <f>[1]Лист2!B587</f>
        <v>ПОЧТАМТСКАЯ ул.</v>
      </c>
      <c r="E594" s="71">
        <f>[1]Лист2!C587</f>
        <v>12</v>
      </c>
      <c r="F594" s="196" t="str">
        <f>[1]Лист2!D587</f>
        <v>А</v>
      </c>
      <c r="G594" s="4"/>
      <c r="H594" s="67">
        <v>129587</v>
      </c>
      <c r="I594" s="64" t="s">
        <v>234</v>
      </c>
      <c r="J594" s="64"/>
      <c r="K594" s="64" t="s">
        <v>232</v>
      </c>
      <c r="L594" s="64" t="s">
        <v>232</v>
      </c>
      <c r="M594" s="72">
        <v>1756</v>
      </c>
      <c r="N594" s="64" t="s">
        <v>385</v>
      </c>
      <c r="O594" s="73">
        <v>2</v>
      </c>
      <c r="P594" s="196">
        <v>0</v>
      </c>
      <c r="Q594" s="73">
        <v>4</v>
      </c>
      <c r="R594" s="74">
        <v>44</v>
      </c>
      <c r="S594" s="75">
        <v>2386.3200000000002</v>
      </c>
      <c r="T594" s="82">
        <f t="shared" si="18"/>
        <v>1666.0200000000002</v>
      </c>
      <c r="U594" s="77">
        <f t="shared" si="19"/>
        <v>1666.0200000000002</v>
      </c>
      <c r="V594" s="77">
        <v>720.3</v>
      </c>
      <c r="W594" s="80" t="s">
        <v>233</v>
      </c>
      <c r="X594" s="81" t="s">
        <v>233</v>
      </c>
      <c r="Y594" s="64" t="s">
        <v>233</v>
      </c>
      <c r="Z594" s="81" t="s">
        <v>233</v>
      </c>
      <c r="AA594" s="64" t="s">
        <v>233</v>
      </c>
      <c r="AB594" s="81" t="s">
        <v>233</v>
      </c>
      <c r="AC594" s="4" t="s">
        <v>240</v>
      </c>
      <c r="AD594" s="64" t="s">
        <v>233</v>
      </c>
      <c r="AE594" s="64" t="s">
        <v>240</v>
      </c>
      <c r="AF594" s="208">
        <v>0</v>
      </c>
      <c r="AG594" s="4">
        <v>1</v>
      </c>
      <c r="AH594" s="64">
        <v>1</v>
      </c>
      <c r="AI594" s="64">
        <v>1</v>
      </c>
      <c r="AJ594" s="64">
        <v>1</v>
      </c>
      <c r="AK594" s="64">
        <v>0</v>
      </c>
    </row>
    <row r="595" spans="1:37" s="65" customFormat="1" outlineLevel="1">
      <c r="A595" s="5">
        <v>588</v>
      </c>
      <c r="B595" s="64" t="s">
        <v>190</v>
      </c>
      <c r="C595" s="64" t="s">
        <v>236</v>
      </c>
      <c r="D595" s="64" t="str">
        <f>[1]Лист2!B588</f>
        <v>ПОЧТАМТСКАЯ ул.</v>
      </c>
      <c r="E595" s="71">
        <f>[1]Лист2!C588</f>
        <v>13</v>
      </c>
      <c r="F595" s="196" t="str">
        <f>[1]Лист2!D588</f>
        <v>А</v>
      </c>
      <c r="G595" s="4"/>
      <c r="H595" s="67">
        <v>129588</v>
      </c>
      <c r="I595" s="64" t="s">
        <v>234</v>
      </c>
      <c r="J595" s="64"/>
      <c r="K595" s="64" t="s">
        <v>232</v>
      </c>
      <c r="L595" s="64" t="s">
        <v>232</v>
      </c>
      <c r="M595" s="72">
        <v>1892</v>
      </c>
      <c r="N595" s="64" t="s">
        <v>385</v>
      </c>
      <c r="O595" s="73">
        <v>6</v>
      </c>
      <c r="P595" s="196">
        <v>0</v>
      </c>
      <c r="Q595" s="73">
        <v>5</v>
      </c>
      <c r="R595" s="74">
        <v>74</v>
      </c>
      <c r="S595" s="75">
        <v>5066.6200000000008</v>
      </c>
      <c r="T595" s="82">
        <f t="shared" si="18"/>
        <v>3685.1200000000008</v>
      </c>
      <c r="U595" s="77">
        <f t="shared" si="19"/>
        <v>3685.1200000000008</v>
      </c>
      <c r="V595" s="77">
        <v>1381.5</v>
      </c>
      <c r="W595" s="80" t="s">
        <v>233</v>
      </c>
      <c r="X595" s="81" t="s">
        <v>233</v>
      </c>
      <c r="Y595" s="64" t="s">
        <v>233</v>
      </c>
      <c r="Z595" s="81" t="s">
        <v>233</v>
      </c>
      <c r="AA595" s="64" t="s">
        <v>233</v>
      </c>
      <c r="AB595" s="81" t="s">
        <v>233</v>
      </c>
      <c r="AC595" s="4" t="s">
        <v>240</v>
      </c>
      <c r="AD595" s="64" t="s">
        <v>233</v>
      </c>
      <c r="AE595" s="64" t="s">
        <v>240</v>
      </c>
      <c r="AF595" s="208">
        <v>5</v>
      </c>
      <c r="AG595" s="4">
        <v>3</v>
      </c>
      <c r="AH595" s="64">
        <v>1</v>
      </c>
      <c r="AI595" s="64">
        <v>1</v>
      </c>
      <c r="AJ595" s="64">
        <v>1</v>
      </c>
      <c r="AK595" s="64">
        <v>0</v>
      </c>
    </row>
    <row r="596" spans="1:37" s="65" customFormat="1" outlineLevel="1">
      <c r="A596" s="63">
        <v>589</v>
      </c>
      <c r="B596" s="64" t="s">
        <v>190</v>
      </c>
      <c r="C596" s="64" t="s">
        <v>236</v>
      </c>
      <c r="D596" s="64" t="str">
        <f>[1]Лист2!B589</f>
        <v>ПОЧТАМТСКАЯ ул.</v>
      </c>
      <c r="E596" s="71">
        <f>[1]Лист2!C589</f>
        <v>2</v>
      </c>
      <c r="F596" s="196" t="str">
        <f>[1]Лист2!D589</f>
        <v>А</v>
      </c>
      <c r="G596" s="64"/>
      <c r="H596" s="67">
        <v>129589</v>
      </c>
      <c r="I596" s="64" t="s">
        <v>234</v>
      </c>
      <c r="J596" s="64"/>
      <c r="K596" s="64" t="s">
        <v>232</v>
      </c>
      <c r="L596" s="64" t="s">
        <v>232</v>
      </c>
      <c r="M596" s="72">
        <v>1798</v>
      </c>
      <c r="N596" s="64" t="s">
        <v>385</v>
      </c>
      <c r="O596" s="73">
        <v>3</v>
      </c>
      <c r="P596" s="196">
        <v>0</v>
      </c>
      <c r="Q596" s="73">
        <v>7</v>
      </c>
      <c r="R596" s="74">
        <v>130</v>
      </c>
      <c r="S596" s="75">
        <v>12818.66</v>
      </c>
      <c r="T596" s="82">
        <f t="shared" si="18"/>
        <v>6448</v>
      </c>
      <c r="U596" s="77">
        <f t="shared" si="19"/>
        <v>6448</v>
      </c>
      <c r="V596" s="77">
        <v>6370.66</v>
      </c>
      <c r="W596" s="80" t="s">
        <v>233</v>
      </c>
      <c r="X596" s="81" t="s">
        <v>233</v>
      </c>
      <c r="Y596" s="64" t="s">
        <v>233</v>
      </c>
      <c r="Z596" s="81" t="s">
        <v>233</v>
      </c>
      <c r="AA596" s="64" t="s">
        <v>233</v>
      </c>
      <c r="AB596" s="81" t="s">
        <v>233</v>
      </c>
      <c r="AC596" s="4" t="s">
        <v>240</v>
      </c>
      <c r="AD596" s="64" t="s">
        <v>233</v>
      </c>
      <c r="AE596" s="64" t="s">
        <v>240</v>
      </c>
      <c r="AF596" s="208">
        <v>0</v>
      </c>
      <c r="AG596" s="4">
        <v>1</v>
      </c>
      <c r="AH596" s="64">
        <v>1</v>
      </c>
      <c r="AI596" s="64">
        <v>1</v>
      </c>
      <c r="AJ596" s="64">
        <v>1</v>
      </c>
      <c r="AK596" s="64">
        <v>0</v>
      </c>
    </row>
    <row r="597" spans="1:37" s="65" customFormat="1" outlineLevel="1">
      <c r="A597" s="63">
        <v>590</v>
      </c>
      <c r="B597" s="64" t="s">
        <v>190</v>
      </c>
      <c r="C597" s="64" t="s">
        <v>236</v>
      </c>
      <c r="D597" s="64" t="str">
        <f>[1]Лист2!B590</f>
        <v>ПОЧТАМТСКАЯ ул.</v>
      </c>
      <c r="E597" s="71">
        <f>[1]Лист2!C590</f>
        <v>2</v>
      </c>
      <c r="F597" s="196" t="str">
        <f>[1]Лист2!D590</f>
        <v>Б</v>
      </c>
      <c r="G597" s="64"/>
      <c r="H597" s="67">
        <v>129590</v>
      </c>
      <c r="I597" s="64" t="s">
        <v>234</v>
      </c>
      <c r="J597" s="4" t="s">
        <v>1422</v>
      </c>
      <c r="K597" s="64" t="s">
        <v>232</v>
      </c>
      <c r="L597" s="64" t="s">
        <v>232</v>
      </c>
      <c r="M597" s="72">
        <v>1828</v>
      </c>
      <c r="N597" s="64" t="s">
        <v>385</v>
      </c>
      <c r="O597" s="73">
        <v>2</v>
      </c>
      <c r="P597" s="196">
        <v>0</v>
      </c>
      <c r="Q597" s="73">
        <v>1</v>
      </c>
      <c r="R597" s="74">
        <v>9</v>
      </c>
      <c r="S597" s="75">
        <v>294.52999999999997</v>
      </c>
      <c r="T597" s="82">
        <f t="shared" si="18"/>
        <v>0</v>
      </c>
      <c r="U597" s="77">
        <f t="shared" si="19"/>
        <v>0</v>
      </c>
      <c r="V597" s="77">
        <v>294.52999999999997</v>
      </c>
      <c r="W597" s="80" t="s">
        <v>233</v>
      </c>
      <c r="X597" s="81" t="s">
        <v>233</v>
      </c>
      <c r="Y597" s="64" t="s">
        <v>233</v>
      </c>
      <c r="Z597" s="81" t="s">
        <v>233</v>
      </c>
      <c r="AA597" s="64" t="s">
        <v>233</v>
      </c>
      <c r="AB597" s="81" t="s">
        <v>233</v>
      </c>
      <c r="AC597" s="4" t="s">
        <v>240</v>
      </c>
      <c r="AD597" s="64" t="s">
        <v>233</v>
      </c>
      <c r="AE597" s="64" t="s">
        <v>240</v>
      </c>
      <c r="AF597" s="209">
        <v>0</v>
      </c>
      <c r="AG597" s="4">
        <v>1</v>
      </c>
      <c r="AH597" s="64">
        <v>1</v>
      </c>
      <c r="AI597" s="64">
        <v>0</v>
      </c>
      <c r="AJ597" s="64">
        <v>0</v>
      </c>
      <c r="AK597" s="64">
        <v>0</v>
      </c>
    </row>
    <row r="598" spans="1:37" s="65" customFormat="1" outlineLevel="1">
      <c r="A598" s="5">
        <v>591</v>
      </c>
      <c r="B598" s="64" t="s">
        <v>190</v>
      </c>
      <c r="C598" s="64" t="s">
        <v>236</v>
      </c>
      <c r="D598" s="64" t="str">
        <f>[1]Лист2!B591</f>
        <v>ПОЧТАМТСКАЯ ул.</v>
      </c>
      <c r="E598" s="71">
        <f>[1]Лист2!C591</f>
        <v>20</v>
      </c>
      <c r="F598" s="196" t="str">
        <f>[1]Лист2!D591</f>
        <v>А</v>
      </c>
      <c r="G598" s="4"/>
      <c r="H598" s="67">
        <v>129591</v>
      </c>
      <c r="I598" s="64" t="s">
        <v>234</v>
      </c>
      <c r="J598" s="64"/>
      <c r="K598" s="64" t="s">
        <v>232</v>
      </c>
      <c r="L598" s="64" t="s">
        <v>232</v>
      </c>
      <c r="M598" s="72">
        <v>1858</v>
      </c>
      <c r="N598" s="64" t="s">
        <v>385</v>
      </c>
      <c r="O598" s="73">
        <v>5</v>
      </c>
      <c r="P598" s="196">
        <v>0</v>
      </c>
      <c r="Q598" s="73">
        <v>7</v>
      </c>
      <c r="R598" s="74">
        <v>107</v>
      </c>
      <c r="S598" s="75">
        <v>7335.9599999999991</v>
      </c>
      <c r="T598" s="82">
        <f t="shared" si="18"/>
        <v>6040.7599999999993</v>
      </c>
      <c r="U598" s="77">
        <f t="shared" si="19"/>
        <v>6040.7599999999993</v>
      </c>
      <c r="V598" s="77">
        <v>1295.2</v>
      </c>
      <c r="W598" s="80" t="s">
        <v>233</v>
      </c>
      <c r="X598" s="81" t="s">
        <v>233</v>
      </c>
      <c r="Y598" s="64" t="s">
        <v>233</v>
      </c>
      <c r="Z598" s="81" t="s">
        <v>233</v>
      </c>
      <c r="AA598" s="64" t="s">
        <v>233</v>
      </c>
      <c r="AB598" s="81" t="s">
        <v>233</v>
      </c>
      <c r="AC598" s="4" t="s">
        <v>240</v>
      </c>
      <c r="AD598" s="64" t="s">
        <v>233</v>
      </c>
      <c r="AE598" s="64" t="s">
        <v>240</v>
      </c>
      <c r="AF598" s="208">
        <v>2</v>
      </c>
      <c r="AG598" s="4">
        <v>2</v>
      </c>
      <c r="AH598" s="64">
        <v>1</v>
      </c>
      <c r="AI598" s="64">
        <v>1</v>
      </c>
      <c r="AJ598" s="64">
        <v>1</v>
      </c>
      <c r="AK598" s="64">
        <v>0</v>
      </c>
    </row>
    <row r="599" spans="1:37" s="65" customFormat="1" outlineLevel="1">
      <c r="A599" s="5">
        <v>592</v>
      </c>
      <c r="B599" s="64" t="s">
        <v>190</v>
      </c>
      <c r="C599" s="64" t="s">
        <v>236</v>
      </c>
      <c r="D599" s="64" t="str">
        <f>[1]Лист2!B592</f>
        <v>ПОЧТАМТСКАЯ ул.</v>
      </c>
      <c r="E599" s="71">
        <f>[1]Лист2!C592</f>
        <v>6</v>
      </c>
      <c r="F599" s="196" t="str">
        <f>[1]Лист2!D592</f>
        <v>А</v>
      </c>
      <c r="G599" s="4"/>
      <c r="H599" s="67">
        <v>129592</v>
      </c>
      <c r="I599" s="64" t="s">
        <v>234</v>
      </c>
      <c r="J599" s="64"/>
      <c r="K599" s="64" t="s">
        <v>232</v>
      </c>
      <c r="L599" s="64" t="s">
        <v>232</v>
      </c>
      <c r="M599" s="72">
        <v>1860</v>
      </c>
      <c r="N599" s="64" t="s">
        <v>385</v>
      </c>
      <c r="O599" s="73">
        <v>4</v>
      </c>
      <c r="P599" s="196">
        <v>0</v>
      </c>
      <c r="Q599" s="73">
        <v>4</v>
      </c>
      <c r="R599" s="74">
        <v>61</v>
      </c>
      <c r="S599" s="75">
        <v>2861.8999999999996</v>
      </c>
      <c r="T599" s="82">
        <f t="shared" si="18"/>
        <v>2325.1999999999998</v>
      </c>
      <c r="U599" s="77">
        <f t="shared" si="19"/>
        <v>2325.1999999999998</v>
      </c>
      <c r="V599" s="77">
        <v>536.70000000000005</v>
      </c>
      <c r="W599" s="80" t="s">
        <v>233</v>
      </c>
      <c r="X599" s="81" t="s">
        <v>233</v>
      </c>
      <c r="Y599" s="64" t="s">
        <v>233</v>
      </c>
      <c r="Z599" s="81" t="s">
        <v>233</v>
      </c>
      <c r="AA599" s="64" t="s">
        <v>233</v>
      </c>
      <c r="AB599" s="81" t="s">
        <v>233</v>
      </c>
      <c r="AC599" s="4" t="s">
        <v>240</v>
      </c>
      <c r="AD599" s="64" t="s">
        <v>233</v>
      </c>
      <c r="AE599" s="64" t="s">
        <v>240</v>
      </c>
      <c r="AF599" s="210">
        <v>0</v>
      </c>
      <c r="AG599" s="4">
        <v>1</v>
      </c>
      <c r="AH599" s="64">
        <v>1</v>
      </c>
      <c r="AI599" s="64">
        <v>1</v>
      </c>
      <c r="AJ599" s="64">
        <v>1</v>
      </c>
      <c r="AK599" s="64">
        <v>0</v>
      </c>
    </row>
    <row r="600" spans="1:37" s="65" customFormat="1" outlineLevel="1">
      <c r="A600" s="5">
        <v>593</v>
      </c>
      <c r="B600" s="64" t="s">
        <v>190</v>
      </c>
      <c r="C600" s="64" t="s">
        <v>236</v>
      </c>
      <c r="D600" s="64" t="str">
        <f>[1]Лист2!B593</f>
        <v>ПОЧТАМТСКИЙ пер.</v>
      </c>
      <c r="E600" s="71">
        <f>[1]Лист2!C593</f>
        <v>2</v>
      </c>
      <c r="F600" s="196" t="str">
        <f>[1]Лист2!D593</f>
        <v>А</v>
      </c>
      <c r="G600" s="64"/>
      <c r="H600" s="67">
        <v>129593</v>
      </c>
      <c r="I600" s="64" t="s">
        <v>234</v>
      </c>
      <c r="J600" s="64"/>
      <c r="K600" s="64" t="s">
        <v>232</v>
      </c>
      <c r="L600" s="64" t="s">
        <v>232</v>
      </c>
      <c r="M600" s="72">
        <v>1904</v>
      </c>
      <c r="N600" s="64" t="s">
        <v>385</v>
      </c>
      <c r="O600" s="73">
        <v>5</v>
      </c>
      <c r="P600" s="196">
        <v>0</v>
      </c>
      <c r="Q600" s="73">
        <v>3</v>
      </c>
      <c r="R600" s="74">
        <v>60</v>
      </c>
      <c r="S600" s="75">
        <v>3981.82</v>
      </c>
      <c r="T600" s="82">
        <f t="shared" si="18"/>
        <v>3341.92</v>
      </c>
      <c r="U600" s="77">
        <f t="shared" si="19"/>
        <v>3341.92</v>
      </c>
      <c r="V600" s="77">
        <v>639.9</v>
      </c>
      <c r="W600" s="80" t="s">
        <v>233</v>
      </c>
      <c r="X600" s="81" t="s">
        <v>233</v>
      </c>
      <c r="Y600" s="64" t="s">
        <v>233</v>
      </c>
      <c r="Z600" s="81" t="s">
        <v>233</v>
      </c>
      <c r="AA600" s="64" t="s">
        <v>233</v>
      </c>
      <c r="AB600" s="81" t="s">
        <v>233</v>
      </c>
      <c r="AC600" s="4" t="s">
        <v>240</v>
      </c>
      <c r="AD600" s="64" t="s">
        <v>233</v>
      </c>
      <c r="AE600" s="64" t="s">
        <v>240</v>
      </c>
      <c r="AF600" s="208">
        <v>2</v>
      </c>
      <c r="AG600" s="4">
        <v>1</v>
      </c>
      <c r="AH600" s="64">
        <v>1</v>
      </c>
      <c r="AI600" s="64">
        <v>1</v>
      </c>
      <c r="AJ600" s="64">
        <v>1</v>
      </c>
      <c r="AK600" s="64">
        <v>0</v>
      </c>
    </row>
    <row r="601" spans="1:37" s="65" customFormat="1" outlineLevel="1">
      <c r="A601" s="5">
        <v>594</v>
      </c>
      <c r="B601" s="64" t="s">
        <v>190</v>
      </c>
      <c r="C601" s="64" t="s">
        <v>237</v>
      </c>
      <c r="D601" s="64" t="str">
        <f>[1]Лист2!B594</f>
        <v>ПРЯДИЛЬНЫЙ пер.</v>
      </c>
      <c r="E601" s="71">
        <f>[1]Лист2!C594</f>
        <v>12</v>
      </c>
      <c r="F601" s="196" t="str">
        <f>[1]Лист2!D594</f>
        <v>А</v>
      </c>
      <c r="G601" s="64"/>
      <c r="H601" s="67">
        <v>129594</v>
      </c>
      <c r="I601" s="64" t="s">
        <v>234</v>
      </c>
      <c r="J601" s="4" t="s">
        <v>1422</v>
      </c>
      <c r="K601" s="64" t="s">
        <v>232</v>
      </c>
      <c r="L601" s="64" t="s">
        <v>232</v>
      </c>
      <c r="M601" s="72">
        <v>1817</v>
      </c>
      <c r="N601" s="64" t="s">
        <v>385</v>
      </c>
      <c r="O601" s="73">
        <v>3</v>
      </c>
      <c r="P601" s="196">
        <v>0</v>
      </c>
      <c r="Q601" s="73">
        <v>3</v>
      </c>
      <c r="R601" s="74">
        <v>14</v>
      </c>
      <c r="S601" s="75">
        <v>1412.66</v>
      </c>
      <c r="T601" s="82">
        <f t="shared" si="18"/>
        <v>0</v>
      </c>
      <c r="U601" s="77">
        <f t="shared" si="19"/>
        <v>0</v>
      </c>
      <c r="V601" s="77">
        <v>1412.66</v>
      </c>
      <c r="W601" s="80" t="s">
        <v>233</v>
      </c>
      <c r="X601" s="81" t="s">
        <v>233</v>
      </c>
      <c r="Y601" s="64" t="s">
        <v>233</v>
      </c>
      <c r="Z601" s="81" t="s">
        <v>233</v>
      </c>
      <c r="AA601" s="64" t="s">
        <v>233</v>
      </c>
      <c r="AB601" s="81" t="s">
        <v>233</v>
      </c>
      <c r="AC601" s="4" t="s">
        <v>240</v>
      </c>
      <c r="AD601" s="64" t="s">
        <v>233</v>
      </c>
      <c r="AE601" s="64" t="s">
        <v>240</v>
      </c>
      <c r="AF601" s="208">
        <v>0</v>
      </c>
      <c r="AG601" s="4">
        <v>1</v>
      </c>
      <c r="AH601" s="64">
        <v>1</v>
      </c>
      <c r="AI601" s="64">
        <v>0</v>
      </c>
      <c r="AJ601" s="64">
        <v>0</v>
      </c>
      <c r="AK601" s="64">
        <v>0</v>
      </c>
    </row>
    <row r="602" spans="1:37" s="65" customFormat="1" outlineLevel="1">
      <c r="A602" s="63">
        <v>595</v>
      </c>
      <c r="B602" s="64" t="s">
        <v>190</v>
      </c>
      <c r="C602" s="64" t="s">
        <v>237</v>
      </c>
      <c r="D602" s="64" t="str">
        <f>[1]Лист2!B595</f>
        <v>ПРЯДИЛЬНЫЙ пер.</v>
      </c>
      <c r="E602" s="71">
        <f>[1]Лист2!C595</f>
        <v>4</v>
      </c>
      <c r="F602" s="196" t="str">
        <f>[1]Лист2!D595</f>
        <v>А</v>
      </c>
      <c r="G602" s="4"/>
      <c r="H602" s="67">
        <v>129595</v>
      </c>
      <c r="I602" s="64" t="s">
        <v>234</v>
      </c>
      <c r="J602" s="64"/>
      <c r="K602" s="64" t="s">
        <v>232</v>
      </c>
      <c r="L602" s="64" t="s">
        <v>232</v>
      </c>
      <c r="M602" s="72">
        <v>1897</v>
      </c>
      <c r="N602" s="64" t="s">
        <v>385</v>
      </c>
      <c r="O602" s="73">
        <v>4</v>
      </c>
      <c r="P602" s="196">
        <v>0</v>
      </c>
      <c r="Q602" s="73">
        <v>1</v>
      </c>
      <c r="R602" s="74">
        <v>26</v>
      </c>
      <c r="S602" s="75">
        <v>707.3</v>
      </c>
      <c r="T602" s="82">
        <f t="shared" si="18"/>
        <v>707.3</v>
      </c>
      <c r="U602" s="77">
        <f t="shared" si="19"/>
        <v>707.3</v>
      </c>
      <c r="V602" s="77">
        <v>0</v>
      </c>
      <c r="W602" s="80" t="s">
        <v>233</v>
      </c>
      <c r="X602" s="81" t="s">
        <v>233</v>
      </c>
      <c r="Y602" s="64" t="s">
        <v>233</v>
      </c>
      <c r="Z602" s="81" t="s">
        <v>233</v>
      </c>
      <c r="AA602" s="64" t="s">
        <v>233</v>
      </c>
      <c r="AB602" s="81" t="s">
        <v>233</v>
      </c>
      <c r="AC602" s="4" t="s">
        <v>240</v>
      </c>
      <c r="AD602" s="64" t="s">
        <v>233</v>
      </c>
      <c r="AE602" s="64" t="s">
        <v>240</v>
      </c>
      <c r="AF602" s="208">
        <v>0</v>
      </c>
      <c r="AG602" s="4">
        <v>1</v>
      </c>
      <c r="AH602" s="64">
        <v>1</v>
      </c>
      <c r="AI602" s="64">
        <v>0</v>
      </c>
      <c r="AJ602" s="64">
        <v>0</v>
      </c>
      <c r="AK602" s="64">
        <v>0</v>
      </c>
    </row>
    <row r="603" spans="1:37" s="65" customFormat="1" outlineLevel="1">
      <c r="A603" s="63">
        <v>596</v>
      </c>
      <c r="B603" s="64" t="s">
        <v>190</v>
      </c>
      <c r="C603" s="64" t="s">
        <v>237</v>
      </c>
      <c r="D603" s="64" t="str">
        <f>[1]Лист2!B596</f>
        <v>ПРЯДИЛЬНЫЙ пер.</v>
      </c>
      <c r="E603" s="71">
        <f>[1]Лист2!C596</f>
        <v>4</v>
      </c>
      <c r="F603" s="196" t="str">
        <f>[1]Лист2!D596</f>
        <v>Б</v>
      </c>
      <c r="G603" s="4"/>
      <c r="H603" s="67">
        <v>129596</v>
      </c>
      <c r="I603" s="64" t="s">
        <v>234</v>
      </c>
      <c r="J603" s="64"/>
      <c r="K603" s="64" t="s">
        <v>232</v>
      </c>
      <c r="L603" s="64" t="s">
        <v>232</v>
      </c>
      <c r="M603" s="72">
        <v>1858</v>
      </c>
      <c r="N603" s="64" t="s">
        <v>385</v>
      </c>
      <c r="O603" s="73">
        <v>3</v>
      </c>
      <c r="P603" s="196">
        <v>0</v>
      </c>
      <c r="Q603" s="73">
        <v>1</v>
      </c>
      <c r="R603" s="74">
        <v>15</v>
      </c>
      <c r="S603" s="75">
        <v>456.9</v>
      </c>
      <c r="T603" s="82">
        <f t="shared" si="18"/>
        <v>456.9</v>
      </c>
      <c r="U603" s="77">
        <f t="shared" si="19"/>
        <v>456.9</v>
      </c>
      <c r="V603" s="77">
        <v>0</v>
      </c>
      <c r="W603" s="80" t="s">
        <v>233</v>
      </c>
      <c r="X603" s="81" t="s">
        <v>233</v>
      </c>
      <c r="Y603" s="64" t="s">
        <v>233</v>
      </c>
      <c r="Z603" s="81" t="s">
        <v>233</v>
      </c>
      <c r="AA603" s="64" t="s">
        <v>233</v>
      </c>
      <c r="AB603" s="81" t="s">
        <v>233</v>
      </c>
      <c r="AC603" s="4" t="s">
        <v>240</v>
      </c>
      <c r="AD603" s="64" t="s">
        <v>233</v>
      </c>
      <c r="AE603" s="64" t="s">
        <v>240</v>
      </c>
      <c r="AF603" s="209">
        <v>0</v>
      </c>
      <c r="AG603" s="4">
        <v>1</v>
      </c>
      <c r="AH603" s="64">
        <v>1</v>
      </c>
      <c r="AI603" s="64">
        <v>0</v>
      </c>
      <c r="AJ603" s="64">
        <v>0</v>
      </c>
      <c r="AK603" s="64">
        <v>0</v>
      </c>
    </row>
    <row r="604" spans="1:37" s="65" customFormat="1" outlineLevel="1">
      <c r="A604" s="5">
        <v>597</v>
      </c>
      <c r="B604" s="64" t="s">
        <v>190</v>
      </c>
      <c r="C604" s="64" t="s">
        <v>237</v>
      </c>
      <c r="D604" s="64" t="str">
        <f>[1]Лист2!B597</f>
        <v>ПРЯДИЛЬНЫЙ пер.</v>
      </c>
      <c r="E604" s="71" t="str">
        <f>[1]Лист2!C597</f>
        <v>7/165</v>
      </c>
      <c r="F604" s="196" t="str">
        <f>[1]Лист2!D597</f>
        <v>А</v>
      </c>
      <c r="G604" s="64"/>
      <c r="H604" s="67">
        <v>129597</v>
      </c>
      <c r="I604" s="64" t="s">
        <v>234</v>
      </c>
      <c r="J604" s="64"/>
      <c r="K604" s="64" t="s">
        <v>232</v>
      </c>
      <c r="L604" s="64" t="s">
        <v>232</v>
      </c>
      <c r="M604" s="72">
        <v>1873</v>
      </c>
      <c r="N604" s="64" t="s">
        <v>385</v>
      </c>
      <c r="O604" s="73">
        <v>5</v>
      </c>
      <c r="P604" s="196">
        <v>0</v>
      </c>
      <c r="Q604" s="73">
        <v>2</v>
      </c>
      <c r="R604" s="74">
        <v>40</v>
      </c>
      <c r="S604" s="75">
        <v>3468.42</v>
      </c>
      <c r="T604" s="82">
        <f t="shared" si="18"/>
        <v>3397.42</v>
      </c>
      <c r="U604" s="77">
        <f t="shared" si="19"/>
        <v>3397.42</v>
      </c>
      <c r="V604" s="77">
        <v>71</v>
      </c>
      <c r="W604" s="80" t="s">
        <v>233</v>
      </c>
      <c r="X604" s="81" t="s">
        <v>233</v>
      </c>
      <c r="Y604" s="64" t="s">
        <v>233</v>
      </c>
      <c r="Z604" s="81" t="s">
        <v>233</v>
      </c>
      <c r="AA604" s="64" t="s">
        <v>233</v>
      </c>
      <c r="AB604" s="81" t="s">
        <v>233</v>
      </c>
      <c r="AC604" s="4" t="s">
        <v>240</v>
      </c>
      <c r="AD604" s="64" t="s">
        <v>233</v>
      </c>
      <c r="AE604" s="64" t="s">
        <v>240</v>
      </c>
      <c r="AF604" s="208">
        <v>1</v>
      </c>
      <c r="AG604" s="4">
        <v>1</v>
      </c>
      <c r="AH604" s="64">
        <v>1</v>
      </c>
      <c r="AI604" s="64">
        <v>0</v>
      </c>
      <c r="AJ604" s="64">
        <v>0</v>
      </c>
      <c r="AK604" s="64">
        <v>0</v>
      </c>
    </row>
    <row r="605" spans="1:37" s="65" customFormat="1" outlineLevel="1">
      <c r="A605" s="5">
        <v>598</v>
      </c>
      <c r="B605" s="64" t="s">
        <v>190</v>
      </c>
      <c r="C605" s="64" t="s">
        <v>237</v>
      </c>
      <c r="D605" s="64" t="str">
        <f>[1]Лист2!B598</f>
        <v>ПРЯДИЛЬНЫЙ пер.</v>
      </c>
      <c r="E605" s="71" t="s">
        <v>194</v>
      </c>
      <c r="F605" s="196" t="str">
        <f>[1]Лист2!D598</f>
        <v>А</v>
      </c>
      <c r="G605" s="64"/>
      <c r="H605" s="67">
        <v>129598</v>
      </c>
      <c r="I605" s="64" t="s">
        <v>234</v>
      </c>
      <c r="J605" s="64"/>
      <c r="K605" s="64" t="s">
        <v>232</v>
      </c>
      <c r="L605" s="64" t="s">
        <v>232</v>
      </c>
      <c r="M605" s="72">
        <v>1840</v>
      </c>
      <c r="N605" s="64" t="s">
        <v>385</v>
      </c>
      <c r="O605" s="73">
        <v>4</v>
      </c>
      <c r="P605" s="196">
        <v>0</v>
      </c>
      <c r="Q605" s="73">
        <v>4</v>
      </c>
      <c r="R605" s="74">
        <v>111</v>
      </c>
      <c r="S605" s="75">
        <v>4161.6099999999997</v>
      </c>
      <c r="T605" s="82">
        <f t="shared" si="18"/>
        <v>3652.5099999999998</v>
      </c>
      <c r="U605" s="77">
        <f t="shared" si="19"/>
        <v>3652.5099999999998</v>
      </c>
      <c r="V605" s="77">
        <v>509.1</v>
      </c>
      <c r="W605" s="80" t="s">
        <v>233</v>
      </c>
      <c r="X605" s="81" t="s">
        <v>233</v>
      </c>
      <c r="Y605" s="64" t="s">
        <v>233</v>
      </c>
      <c r="Z605" s="81" t="s">
        <v>233</v>
      </c>
      <c r="AA605" s="64" t="s">
        <v>233</v>
      </c>
      <c r="AB605" s="81" t="s">
        <v>233</v>
      </c>
      <c r="AC605" s="4" t="s">
        <v>240</v>
      </c>
      <c r="AD605" s="64" t="s">
        <v>233</v>
      </c>
      <c r="AE605" s="64" t="s">
        <v>240</v>
      </c>
      <c r="AF605" s="208">
        <v>2</v>
      </c>
      <c r="AG605" s="4">
        <v>1</v>
      </c>
      <c r="AH605" s="64">
        <v>1</v>
      </c>
      <c r="AI605" s="64">
        <v>1</v>
      </c>
      <c r="AJ605" s="64">
        <v>1</v>
      </c>
      <c r="AK605" s="64">
        <v>0</v>
      </c>
    </row>
    <row r="606" spans="1:37" s="65" customFormat="1" outlineLevel="1">
      <c r="A606" s="5">
        <v>599</v>
      </c>
      <c r="B606" s="64" t="s">
        <v>190</v>
      </c>
      <c r="C606" s="64" t="s">
        <v>237</v>
      </c>
      <c r="D606" s="64" t="str">
        <f>[1]Лист2!B599</f>
        <v>ПРЯЖКИ наб.реки</v>
      </c>
      <c r="E606" s="71" t="str">
        <f>[1]Лист2!C599</f>
        <v>18-20</v>
      </c>
      <c r="F606" s="196" t="str">
        <f>[1]Лист2!D599</f>
        <v>А</v>
      </c>
      <c r="G606" s="4"/>
      <c r="H606" s="67">
        <v>129599</v>
      </c>
      <c r="I606" s="64" t="s">
        <v>234</v>
      </c>
      <c r="J606" s="64"/>
      <c r="K606" s="64" t="s">
        <v>232</v>
      </c>
      <c r="L606" s="64" t="s">
        <v>232</v>
      </c>
      <c r="M606" s="72">
        <v>1890</v>
      </c>
      <c r="N606" s="64" t="s">
        <v>385</v>
      </c>
      <c r="O606" s="73">
        <v>5</v>
      </c>
      <c r="P606" s="196">
        <v>0</v>
      </c>
      <c r="Q606" s="73">
        <v>2</v>
      </c>
      <c r="R606" s="74">
        <v>4</v>
      </c>
      <c r="S606" s="75">
        <v>2596.06</v>
      </c>
      <c r="T606" s="82">
        <f t="shared" si="18"/>
        <v>1648.05</v>
      </c>
      <c r="U606" s="77">
        <f t="shared" si="19"/>
        <v>1648.05</v>
      </c>
      <c r="V606" s="77">
        <v>948.01</v>
      </c>
      <c r="W606" s="80" t="s">
        <v>233</v>
      </c>
      <c r="X606" s="81" t="s">
        <v>233</v>
      </c>
      <c r="Y606" s="64" t="s">
        <v>233</v>
      </c>
      <c r="Z606" s="81" t="s">
        <v>233</v>
      </c>
      <c r="AA606" s="64" t="s">
        <v>233</v>
      </c>
      <c r="AB606" s="81" t="s">
        <v>233</v>
      </c>
      <c r="AC606" s="4" t="s">
        <v>240</v>
      </c>
      <c r="AD606" s="64" t="s">
        <v>233</v>
      </c>
      <c r="AE606" s="64" t="s">
        <v>240</v>
      </c>
      <c r="AF606" s="209">
        <v>0</v>
      </c>
      <c r="AG606" s="4">
        <v>2</v>
      </c>
      <c r="AH606" s="64">
        <v>1</v>
      </c>
      <c r="AI606" s="64">
        <v>0</v>
      </c>
      <c r="AJ606" s="64">
        <v>0</v>
      </c>
      <c r="AK606" s="64">
        <v>0</v>
      </c>
    </row>
    <row r="607" spans="1:37" outlineLevel="1">
      <c r="A607" s="5">
        <v>600</v>
      </c>
      <c r="B607" s="64" t="s">
        <v>190</v>
      </c>
      <c r="C607" s="64" t="s">
        <v>237</v>
      </c>
      <c r="D607" s="4" t="str">
        <f>[1]Лист2!B600</f>
        <v>ПРЯЖКИ наб.реки</v>
      </c>
      <c r="E607" s="69">
        <f>[1]Лист2!C600</f>
        <v>28</v>
      </c>
      <c r="F607" s="197" t="str">
        <f>[1]Лист2!D600</f>
        <v>Б</v>
      </c>
      <c r="G607" s="4"/>
      <c r="H607" s="199">
        <v>129600</v>
      </c>
      <c r="I607" s="64" t="s">
        <v>234</v>
      </c>
      <c r="J607" s="4"/>
      <c r="K607" s="64" t="s">
        <v>232</v>
      </c>
      <c r="L607" s="4" t="s">
        <v>232</v>
      </c>
      <c r="M607" s="72">
        <v>1905</v>
      </c>
      <c r="N607" s="64" t="s">
        <v>385</v>
      </c>
      <c r="O607" s="73">
        <v>4</v>
      </c>
      <c r="P607" s="196">
        <v>0</v>
      </c>
      <c r="Q607" s="73">
        <v>1</v>
      </c>
      <c r="R607" s="74">
        <v>40</v>
      </c>
      <c r="S607" s="76">
        <v>1054.6000000000001</v>
      </c>
      <c r="T607" s="82">
        <f t="shared" si="18"/>
        <v>878.20000000000016</v>
      </c>
      <c r="U607" s="77">
        <f t="shared" si="19"/>
        <v>878.20000000000016</v>
      </c>
      <c r="V607" s="78">
        <v>176.4</v>
      </c>
      <c r="W607" s="80" t="s">
        <v>233</v>
      </c>
      <c r="X607" s="81" t="s">
        <v>233</v>
      </c>
      <c r="Y607" s="4" t="s">
        <v>233</v>
      </c>
      <c r="Z607" s="81" t="s">
        <v>233</v>
      </c>
      <c r="AA607" s="64" t="s">
        <v>233</v>
      </c>
      <c r="AB607" s="81" t="s">
        <v>233</v>
      </c>
      <c r="AC607" s="4" t="s">
        <v>240</v>
      </c>
      <c r="AD607" s="64" t="s">
        <v>233</v>
      </c>
      <c r="AE607" s="64" t="s">
        <v>240</v>
      </c>
      <c r="AF607" s="208">
        <v>0</v>
      </c>
      <c r="AG607" s="4">
        <v>1</v>
      </c>
      <c r="AH607" s="64">
        <v>1</v>
      </c>
      <c r="AI607" s="4">
        <v>1</v>
      </c>
      <c r="AJ607" s="4">
        <v>1</v>
      </c>
      <c r="AK607" s="4">
        <v>0</v>
      </c>
    </row>
    <row r="608" spans="1:37" outlineLevel="1">
      <c r="A608" s="63">
        <v>601</v>
      </c>
      <c r="B608" s="64" t="s">
        <v>190</v>
      </c>
      <c r="C608" s="64" t="s">
        <v>237</v>
      </c>
      <c r="D608" s="4" t="str">
        <f>[1]Лист2!B601</f>
        <v>ПРЯЖКИ наб.реки</v>
      </c>
      <c r="E608" s="69">
        <f>[1]Лист2!C601</f>
        <v>28</v>
      </c>
      <c r="F608" s="197" t="str">
        <f>[1]Лист2!D601</f>
        <v>В</v>
      </c>
      <c r="G608" s="64"/>
      <c r="H608" s="199">
        <v>129601</v>
      </c>
      <c r="I608" s="64" t="s">
        <v>234</v>
      </c>
      <c r="J608" s="4"/>
      <c r="K608" s="64" t="s">
        <v>232</v>
      </c>
      <c r="L608" s="4" t="s">
        <v>232</v>
      </c>
      <c r="M608" s="72">
        <v>1901</v>
      </c>
      <c r="N608" s="64" t="s">
        <v>385</v>
      </c>
      <c r="O608" s="73">
        <v>4</v>
      </c>
      <c r="P608" s="196">
        <v>0</v>
      </c>
      <c r="Q608" s="73">
        <v>1</v>
      </c>
      <c r="R608" s="74">
        <v>16</v>
      </c>
      <c r="S608" s="76">
        <v>405.8</v>
      </c>
      <c r="T608" s="82">
        <f t="shared" si="18"/>
        <v>405.8</v>
      </c>
      <c r="U608" s="77">
        <f t="shared" si="19"/>
        <v>405.8</v>
      </c>
      <c r="V608" s="78">
        <v>0</v>
      </c>
      <c r="W608" s="80" t="s">
        <v>233</v>
      </c>
      <c r="X608" s="81" t="s">
        <v>233</v>
      </c>
      <c r="Y608" s="4" t="s">
        <v>233</v>
      </c>
      <c r="Z608" s="81" t="s">
        <v>233</v>
      </c>
      <c r="AA608" s="64" t="s">
        <v>233</v>
      </c>
      <c r="AB608" s="81" t="s">
        <v>233</v>
      </c>
      <c r="AC608" s="4" t="s">
        <v>240</v>
      </c>
      <c r="AD608" s="64" t="s">
        <v>233</v>
      </c>
      <c r="AE608" s="64" t="s">
        <v>240</v>
      </c>
      <c r="AF608" s="211">
        <v>0</v>
      </c>
      <c r="AG608" s="4">
        <v>1</v>
      </c>
      <c r="AH608" s="64">
        <v>1</v>
      </c>
      <c r="AI608" s="4">
        <v>0</v>
      </c>
      <c r="AJ608" s="4">
        <v>0</v>
      </c>
      <c r="AK608" s="4">
        <v>0</v>
      </c>
    </row>
    <row r="609" spans="1:37" outlineLevel="1">
      <c r="A609" s="63">
        <v>602</v>
      </c>
      <c r="B609" s="64" t="s">
        <v>190</v>
      </c>
      <c r="C609" s="64" t="s">
        <v>237</v>
      </c>
      <c r="D609" s="4" t="str">
        <f>[1]Лист2!B602</f>
        <v>ПРЯЖКИ наб.реки</v>
      </c>
      <c r="E609" s="69">
        <f>[1]Лист2!C602</f>
        <v>34</v>
      </c>
      <c r="F609" s="197" t="str">
        <f>[1]Лист2!D602</f>
        <v>А</v>
      </c>
      <c r="G609" s="64"/>
      <c r="H609" s="199">
        <v>129602</v>
      </c>
      <c r="I609" s="64" t="s">
        <v>234</v>
      </c>
      <c r="J609" s="4"/>
      <c r="K609" s="64" t="s">
        <v>232</v>
      </c>
      <c r="L609" s="4" t="s">
        <v>232</v>
      </c>
      <c r="M609" s="72">
        <v>1903</v>
      </c>
      <c r="N609" s="64" t="s">
        <v>385</v>
      </c>
      <c r="O609" s="73">
        <v>5</v>
      </c>
      <c r="P609" s="196">
        <v>0</v>
      </c>
      <c r="Q609" s="73">
        <v>4</v>
      </c>
      <c r="R609" s="74">
        <v>72</v>
      </c>
      <c r="S609" s="76">
        <v>2579</v>
      </c>
      <c r="T609" s="82">
        <f t="shared" si="18"/>
        <v>2179.41</v>
      </c>
      <c r="U609" s="77">
        <f t="shared" si="19"/>
        <v>2179.41</v>
      </c>
      <c r="V609" s="78">
        <v>399.59</v>
      </c>
      <c r="W609" s="80" t="s">
        <v>233</v>
      </c>
      <c r="X609" s="81" t="s">
        <v>233</v>
      </c>
      <c r="Y609" s="4" t="s">
        <v>240</v>
      </c>
      <c r="Z609" s="81" t="s">
        <v>233</v>
      </c>
      <c r="AA609" s="64" t="s">
        <v>233</v>
      </c>
      <c r="AB609" s="81" t="s">
        <v>233</v>
      </c>
      <c r="AC609" s="4" t="s">
        <v>233</v>
      </c>
      <c r="AD609" s="64" t="s">
        <v>233</v>
      </c>
      <c r="AE609" s="64" t="s">
        <v>240</v>
      </c>
      <c r="AF609" s="208">
        <v>0</v>
      </c>
      <c r="AG609" s="4">
        <v>1</v>
      </c>
      <c r="AH609" s="64">
        <v>2</v>
      </c>
      <c r="AI609" s="4">
        <v>0</v>
      </c>
      <c r="AJ609" s="4">
        <v>0</v>
      </c>
      <c r="AK609" s="4">
        <v>0</v>
      </c>
    </row>
    <row r="610" spans="1:37" outlineLevel="1">
      <c r="A610" s="5">
        <v>603</v>
      </c>
      <c r="B610" s="64" t="s">
        <v>190</v>
      </c>
      <c r="C610" s="64" t="s">
        <v>237</v>
      </c>
      <c r="D610" s="4" t="str">
        <f>[1]Лист2!B603</f>
        <v>ПРЯЖКИ наб.реки</v>
      </c>
      <c r="E610" s="69">
        <f>[1]Лист2!C603</f>
        <v>36</v>
      </c>
      <c r="F610" s="197" t="str">
        <f>[1]Лист2!D603</f>
        <v>А</v>
      </c>
      <c r="G610" s="4"/>
      <c r="H610" s="199">
        <v>129603</v>
      </c>
      <c r="I610" s="64" t="s">
        <v>234</v>
      </c>
      <c r="J610" s="4"/>
      <c r="K610" s="64" t="s">
        <v>232</v>
      </c>
      <c r="L610" s="4" t="s">
        <v>232</v>
      </c>
      <c r="M610" s="72">
        <v>1856</v>
      </c>
      <c r="N610" s="64" t="s">
        <v>385</v>
      </c>
      <c r="O610" s="73">
        <v>3</v>
      </c>
      <c r="P610" s="196">
        <v>0</v>
      </c>
      <c r="Q610" s="73">
        <v>3</v>
      </c>
      <c r="R610" s="74">
        <v>15</v>
      </c>
      <c r="S610" s="76">
        <v>1186.22</v>
      </c>
      <c r="T610" s="82">
        <f t="shared" si="18"/>
        <v>982.22</v>
      </c>
      <c r="U610" s="77">
        <f t="shared" si="19"/>
        <v>982.22</v>
      </c>
      <c r="V610" s="78">
        <v>204</v>
      </c>
      <c r="W610" s="80" t="s">
        <v>233</v>
      </c>
      <c r="X610" s="81" t="s">
        <v>233</v>
      </c>
      <c r="Y610" s="4" t="s">
        <v>233</v>
      </c>
      <c r="Z610" s="81" t="s">
        <v>233</v>
      </c>
      <c r="AA610" s="64" t="s">
        <v>233</v>
      </c>
      <c r="AB610" s="81" t="s">
        <v>233</v>
      </c>
      <c r="AC610" s="4" t="s">
        <v>240</v>
      </c>
      <c r="AD610" s="64" t="s">
        <v>233</v>
      </c>
      <c r="AE610" s="64" t="s">
        <v>240</v>
      </c>
      <c r="AF610" s="208">
        <v>0</v>
      </c>
      <c r="AG610" s="4">
        <v>1</v>
      </c>
      <c r="AH610" s="64">
        <v>1</v>
      </c>
      <c r="AI610" s="4">
        <v>1</v>
      </c>
      <c r="AJ610" s="4">
        <v>1</v>
      </c>
      <c r="AK610" s="4">
        <v>0</v>
      </c>
    </row>
    <row r="611" spans="1:37" outlineLevel="1">
      <c r="A611" s="5">
        <v>604</v>
      </c>
      <c r="B611" s="64" t="s">
        <v>190</v>
      </c>
      <c r="C611" s="64" t="s">
        <v>237</v>
      </c>
      <c r="D611" s="4" t="str">
        <f>[1]Лист2!B604</f>
        <v>ПРЯЖКИ наб.реки</v>
      </c>
      <c r="E611" s="69">
        <f>[1]Лист2!C604</f>
        <v>38</v>
      </c>
      <c r="F611" s="197" t="str">
        <f>[1]Лист2!D604</f>
        <v>А</v>
      </c>
      <c r="G611" s="4"/>
      <c r="H611" s="199">
        <v>129604</v>
      </c>
      <c r="I611" s="64" t="s">
        <v>234</v>
      </c>
      <c r="J611" s="4"/>
      <c r="K611" s="64" t="s">
        <v>232</v>
      </c>
      <c r="L611" s="4" t="s">
        <v>232</v>
      </c>
      <c r="M611" s="72">
        <v>1902</v>
      </c>
      <c r="N611" s="64" t="s">
        <v>385</v>
      </c>
      <c r="O611" s="73">
        <v>6</v>
      </c>
      <c r="P611" s="196">
        <v>0</v>
      </c>
      <c r="Q611" s="73">
        <v>1</v>
      </c>
      <c r="R611" s="74">
        <v>51</v>
      </c>
      <c r="S611" s="76">
        <v>1410</v>
      </c>
      <c r="T611" s="82">
        <f t="shared" si="18"/>
        <v>1252</v>
      </c>
      <c r="U611" s="77">
        <f t="shared" si="19"/>
        <v>1252</v>
      </c>
      <c r="V611" s="78">
        <v>158</v>
      </c>
      <c r="W611" s="80" t="s">
        <v>233</v>
      </c>
      <c r="X611" s="81" t="s">
        <v>233</v>
      </c>
      <c r="Y611" s="4" t="s">
        <v>233</v>
      </c>
      <c r="Z611" s="81" t="s">
        <v>233</v>
      </c>
      <c r="AA611" s="64" t="s">
        <v>233</v>
      </c>
      <c r="AB611" s="81" t="s">
        <v>233</v>
      </c>
      <c r="AC611" s="4" t="s">
        <v>240</v>
      </c>
      <c r="AD611" s="64" t="s">
        <v>233</v>
      </c>
      <c r="AE611" s="64" t="s">
        <v>240</v>
      </c>
      <c r="AF611" s="208">
        <v>2</v>
      </c>
      <c r="AG611" s="4">
        <v>1</v>
      </c>
      <c r="AH611" s="64">
        <v>1</v>
      </c>
      <c r="AI611" s="4">
        <v>0</v>
      </c>
      <c r="AJ611" s="4">
        <v>0</v>
      </c>
      <c r="AK611" s="4">
        <v>0</v>
      </c>
    </row>
    <row r="612" spans="1:37" outlineLevel="1">
      <c r="A612" s="5">
        <v>605</v>
      </c>
      <c r="B612" s="64" t="s">
        <v>190</v>
      </c>
      <c r="C612" s="64" t="s">
        <v>237</v>
      </c>
      <c r="D612" s="4" t="str">
        <f>[1]Лист2!B605</f>
        <v>ПРЯЖКИ наб.реки</v>
      </c>
      <c r="E612" s="69">
        <f>[1]Лист2!C605</f>
        <v>38</v>
      </c>
      <c r="F612" s="197" t="str">
        <f>[1]Лист2!D605</f>
        <v>Б</v>
      </c>
      <c r="G612" s="64"/>
      <c r="H612" s="199">
        <v>129605</v>
      </c>
      <c r="I612" s="64" t="s">
        <v>234</v>
      </c>
      <c r="J612" s="4"/>
      <c r="K612" s="64" t="s">
        <v>232</v>
      </c>
      <c r="L612" s="4" t="s">
        <v>232</v>
      </c>
      <c r="M612" s="72">
        <v>1902</v>
      </c>
      <c r="N612" s="64" t="s">
        <v>385</v>
      </c>
      <c r="O612" s="73">
        <v>6</v>
      </c>
      <c r="P612" s="196">
        <v>0</v>
      </c>
      <c r="Q612" s="73">
        <v>1</v>
      </c>
      <c r="R612" s="74">
        <v>41</v>
      </c>
      <c r="S612" s="76">
        <v>1346.3</v>
      </c>
      <c r="T612" s="82">
        <f t="shared" si="18"/>
        <v>1193.7</v>
      </c>
      <c r="U612" s="77">
        <f t="shared" si="19"/>
        <v>1193.7</v>
      </c>
      <c r="V612" s="78">
        <v>152.6</v>
      </c>
      <c r="W612" s="80" t="s">
        <v>233</v>
      </c>
      <c r="X612" s="81" t="s">
        <v>233</v>
      </c>
      <c r="Y612" s="4" t="s">
        <v>233</v>
      </c>
      <c r="Z612" s="81" t="s">
        <v>233</v>
      </c>
      <c r="AA612" s="64" t="s">
        <v>233</v>
      </c>
      <c r="AB612" s="81" t="s">
        <v>233</v>
      </c>
      <c r="AC612" s="4" t="s">
        <v>240</v>
      </c>
      <c r="AD612" s="64" t="s">
        <v>233</v>
      </c>
      <c r="AE612" s="64" t="s">
        <v>240</v>
      </c>
      <c r="AF612" s="209">
        <v>0</v>
      </c>
      <c r="AG612" s="4">
        <v>1</v>
      </c>
      <c r="AH612" s="64">
        <v>1</v>
      </c>
      <c r="AI612" s="4">
        <v>0</v>
      </c>
      <c r="AJ612" s="4">
        <v>0</v>
      </c>
      <c r="AK612" s="4">
        <v>0</v>
      </c>
    </row>
    <row r="613" spans="1:37" outlineLevel="1">
      <c r="A613" s="5">
        <v>606</v>
      </c>
      <c r="B613" s="64" t="s">
        <v>190</v>
      </c>
      <c r="C613" s="64" t="s">
        <v>237</v>
      </c>
      <c r="D613" s="4" t="str">
        <f>[1]Лист2!B606</f>
        <v>ПРЯЖКИ наб.реки</v>
      </c>
      <c r="E613" s="69">
        <f>[1]Лист2!C606</f>
        <v>40</v>
      </c>
      <c r="F613" s="197" t="str">
        <f>[1]Лист2!D606</f>
        <v>А</v>
      </c>
      <c r="G613" s="64"/>
      <c r="H613" s="199">
        <v>129606</v>
      </c>
      <c r="I613" s="64" t="s">
        <v>234</v>
      </c>
      <c r="J613" s="4"/>
      <c r="K613" s="64" t="s">
        <v>232</v>
      </c>
      <c r="L613" s="4" t="s">
        <v>232</v>
      </c>
      <c r="M613" s="72">
        <v>1911</v>
      </c>
      <c r="N613" s="64" t="s">
        <v>385</v>
      </c>
      <c r="O613" s="73">
        <v>5</v>
      </c>
      <c r="P613" s="196">
        <v>0</v>
      </c>
      <c r="Q613" s="73">
        <v>2</v>
      </c>
      <c r="R613" s="74">
        <v>38</v>
      </c>
      <c r="S613" s="76">
        <v>1057.2</v>
      </c>
      <c r="T613" s="82">
        <f t="shared" si="18"/>
        <v>942.6</v>
      </c>
      <c r="U613" s="77">
        <f t="shared" si="19"/>
        <v>942.6</v>
      </c>
      <c r="V613" s="78">
        <v>114.6</v>
      </c>
      <c r="W613" s="80" t="s">
        <v>233</v>
      </c>
      <c r="X613" s="81" t="s">
        <v>233</v>
      </c>
      <c r="Y613" s="4" t="s">
        <v>233</v>
      </c>
      <c r="Z613" s="81" t="s">
        <v>233</v>
      </c>
      <c r="AA613" s="64" t="s">
        <v>233</v>
      </c>
      <c r="AB613" s="81" t="s">
        <v>233</v>
      </c>
      <c r="AC613" s="4" t="s">
        <v>240</v>
      </c>
      <c r="AD613" s="64" t="s">
        <v>233</v>
      </c>
      <c r="AE613" s="64" t="s">
        <v>240</v>
      </c>
      <c r="AF613" s="208">
        <v>0</v>
      </c>
      <c r="AG613" s="4">
        <v>1</v>
      </c>
      <c r="AH613" s="64">
        <v>1</v>
      </c>
      <c r="AI613" s="4">
        <v>1</v>
      </c>
      <c r="AJ613" s="4">
        <v>1</v>
      </c>
      <c r="AK613" s="4">
        <v>0</v>
      </c>
    </row>
    <row r="614" spans="1:37" outlineLevel="1">
      <c r="A614" s="63">
        <v>607</v>
      </c>
      <c r="B614" s="64" t="s">
        <v>190</v>
      </c>
      <c r="C614" s="64" t="s">
        <v>237</v>
      </c>
      <c r="D614" s="4" t="str">
        <f>[1]Лист2!B607</f>
        <v>ПРЯЖКИ наб.реки</v>
      </c>
      <c r="E614" s="69">
        <f>[1]Лист2!C607</f>
        <v>40</v>
      </c>
      <c r="F614" s="197" t="str">
        <f>[1]Лист2!D607</f>
        <v>Б</v>
      </c>
      <c r="G614" s="4"/>
      <c r="H614" s="199">
        <v>129607</v>
      </c>
      <c r="I614" s="64" t="s">
        <v>234</v>
      </c>
      <c r="J614" s="4"/>
      <c r="K614" s="64" t="s">
        <v>232</v>
      </c>
      <c r="L614" s="4" t="s">
        <v>232</v>
      </c>
      <c r="M614" s="72">
        <v>1887</v>
      </c>
      <c r="N614" s="64" t="s">
        <v>385</v>
      </c>
      <c r="O614" s="73">
        <v>4</v>
      </c>
      <c r="P614" s="196">
        <v>0</v>
      </c>
      <c r="Q614" s="73">
        <v>2</v>
      </c>
      <c r="R614" s="74">
        <v>34</v>
      </c>
      <c r="S614" s="76">
        <v>1134.9000000000001</v>
      </c>
      <c r="T614" s="82">
        <f t="shared" si="18"/>
        <v>906.50000000000011</v>
      </c>
      <c r="U614" s="77">
        <f t="shared" si="19"/>
        <v>906.50000000000011</v>
      </c>
      <c r="V614" s="78">
        <v>228.4</v>
      </c>
      <c r="W614" s="80" t="s">
        <v>233</v>
      </c>
      <c r="X614" s="81" t="s">
        <v>233</v>
      </c>
      <c r="Y614" s="4" t="s">
        <v>233</v>
      </c>
      <c r="Z614" s="81" t="s">
        <v>233</v>
      </c>
      <c r="AA614" s="64" t="s">
        <v>233</v>
      </c>
      <c r="AB614" s="81" t="s">
        <v>233</v>
      </c>
      <c r="AC614" s="4" t="s">
        <v>240</v>
      </c>
      <c r="AD614" s="64" t="s">
        <v>233</v>
      </c>
      <c r="AE614" s="64" t="s">
        <v>240</v>
      </c>
      <c r="AF614" s="209">
        <v>0</v>
      </c>
      <c r="AG614" s="4">
        <v>1</v>
      </c>
      <c r="AH614" s="64">
        <v>1</v>
      </c>
      <c r="AI614" s="4">
        <v>0</v>
      </c>
      <c r="AJ614" s="4">
        <v>0</v>
      </c>
      <c r="AK614" s="4">
        <v>0</v>
      </c>
    </row>
    <row r="615" spans="1:37" outlineLevel="1">
      <c r="A615" s="63">
        <v>608</v>
      </c>
      <c r="B615" s="64" t="s">
        <v>190</v>
      </c>
      <c r="C615" s="64" t="s">
        <v>237</v>
      </c>
      <c r="D615" s="4" t="str">
        <f>[1]Лист2!B608</f>
        <v>ПРЯЖКИ наб.реки</v>
      </c>
      <c r="E615" s="69">
        <f>[1]Лист2!C608</f>
        <v>40</v>
      </c>
      <c r="F615" s="197" t="str">
        <f>[1]Лист2!D608</f>
        <v>В</v>
      </c>
      <c r="G615" s="4"/>
      <c r="H615" s="199">
        <v>129608</v>
      </c>
      <c r="I615" s="64" t="s">
        <v>234</v>
      </c>
      <c r="J615" s="4"/>
      <c r="K615" s="64" t="s">
        <v>232</v>
      </c>
      <c r="L615" s="4" t="s">
        <v>232</v>
      </c>
      <c r="M615" s="72">
        <v>1884</v>
      </c>
      <c r="N615" s="64" t="s">
        <v>385</v>
      </c>
      <c r="O615" s="73">
        <v>4</v>
      </c>
      <c r="P615" s="196">
        <v>0</v>
      </c>
      <c r="Q615" s="73">
        <v>1</v>
      </c>
      <c r="R615" s="74">
        <v>16</v>
      </c>
      <c r="S615" s="76">
        <v>463</v>
      </c>
      <c r="T615" s="82">
        <f t="shared" si="18"/>
        <v>463</v>
      </c>
      <c r="U615" s="77">
        <f t="shared" si="19"/>
        <v>463</v>
      </c>
      <c r="V615" s="78">
        <v>0</v>
      </c>
      <c r="W615" s="80" t="s">
        <v>233</v>
      </c>
      <c r="X615" s="81" t="s">
        <v>233</v>
      </c>
      <c r="Y615" s="4" t="s">
        <v>233</v>
      </c>
      <c r="Z615" s="81" t="s">
        <v>233</v>
      </c>
      <c r="AA615" s="64" t="s">
        <v>233</v>
      </c>
      <c r="AB615" s="81" t="s">
        <v>233</v>
      </c>
      <c r="AC615" s="4" t="s">
        <v>240</v>
      </c>
      <c r="AD615" s="64" t="s">
        <v>233</v>
      </c>
      <c r="AE615" s="64" t="s">
        <v>240</v>
      </c>
      <c r="AF615" s="209">
        <v>0</v>
      </c>
      <c r="AG615" s="4">
        <v>1</v>
      </c>
      <c r="AH615" s="64">
        <v>1</v>
      </c>
      <c r="AI615" s="4">
        <v>0</v>
      </c>
      <c r="AJ615" s="4">
        <v>0</v>
      </c>
      <c r="AK615" s="4">
        <v>0</v>
      </c>
    </row>
    <row r="616" spans="1:37" outlineLevel="1">
      <c r="A616" s="5">
        <v>609</v>
      </c>
      <c r="B616" s="64" t="s">
        <v>190</v>
      </c>
      <c r="C616" s="64" t="s">
        <v>237</v>
      </c>
      <c r="D616" s="4" t="str">
        <f>[1]Лист2!B609</f>
        <v>ПРЯЖКИ наб.реки</v>
      </c>
      <c r="E616" s="69">
        <f>[1]Лист2!C609</f>
        <v>46</v>
      </c>
      <c r="F616" s="197" t="str">
        <f>[1]Лист2!D609</f>
        <v>А</v>
      </c>
      <c r="G616" s="64"/>
      <c r="H616" s="199">
        <v>129609</v>
      </c>
      <c r="I616" s="64" t="s">
        <v>234</v>
      </c>
      <c r="J616" s="4"/>
      <c r="K616" s="64" t="s">
        <v>232</v>
      </c>
      <c r="L616" s="4" t="s">
        <v>232</v>
      </c>
      <c r="M616" s="72">
        <v>1900</v>
      </c>
      <c r="N616" s="64" t="s">
        <v>385</v>
      </c>
      <c r="O616" s="73">
        <v>5</v>
      </c>
      <c r="P616" s="196">
        <v>0</v>
      </c>
      <c r="Q616" s="73">
        <v>3</v>
      </c>
      <c r="R616" s="74">
        <v>61</v>
      </c>
      <c r="S616" s="76">
        <v>2912.03</v>
      </c>
      <c r="T616" s="82">
        <f t="shared" si="18"/>
        <v>2912.03</v>
      </c>
      <c r="U616" s="77">
        <f t="shared" si="19"/>
        <v>2912.03</v>
      </c>
      <c r="V616" s="78">
        <v>0</v>
      </c>
      <c r="W616" s="80" t="s">
        <v>233</v>
      </c>
      <c r="X616" s="81" t="s">
        <v>233</v>
      </c>
      <c r="Y616" s="4" t="s">
        <v>233</v>
      </c>
      <c r="Z616" s="81" t="s">
        <v>233</v>
      </c>
      <c r="AA616" s="64" t="s">
        <v>233</v>
      </c>
      <c r="AB616" s="81" t="s">
        <v>233</v>
      </c>
      <c r="AC616" s="4" t="s">
        <v>240</v>
      </c>
      <c r="AD616" s="64" t="s">
        <v>233</v>
      </c>
      <c r="AE616" s="64" t="s">
        <v>240</v>
      </c>
      <c r="AF616" s="208">
        <v>0</v>
      </c>
      <c r="AG616" s="4">
        <v>1</v>
      </c>
      <c r="AH616" s="64">
        <v>1</v>
      </c>
      <c r="AI616" s="4">
        <v>0</v>
      </c>
      <c r="AJ616" s="4">
        <v>0</v>
      </c>
      <c r="AK616" s="4">
        <v>0</v>
      </c>
    </row>
    <row r="617" spans="1:37" outlineLevel="1">
      <c r="A617" s="5">
        <v>610</v>
      </c>
      <c r="B617" s="64" t="s">
        <v>190</v>
      </c>
      <c r="C617" s="64" t="s">
        <v>237</v>
      </c>
      <c r="D617" s="4" t="str">
        <f>[1]Лист2!B610</f>
        <v>ПРЯЖКИ наб.реки</v>
      </c>
      <c r="E617" s="69">
        <f>[1]Лист2!C610</f>
        <v>50</v>
      </c>
      <c r="F617" s="197" t="str">
        <f>[1]Лист2!D610</f>
        <v>А</v>
      </c>
      <c r="G617" s="64"/>
      <c r="H617" s="199">
        <v>129610</v>
      </c>
      <c r="I617" s="64" t="s">
        <v>234</v>
      </c>
      <c r="J617" s="4"/>
      <c r="K617" s="64" t="s">
        <v>232</v>
      </c>
      <c r="L617" s="4" t="s">
        <v>232</v>
      </c>
      <c r="M617" s="72">
        <v>1843</v>
      </c>
      <c r="N617" s="64" t="s">
        <v>385</v>
      </c>
      <c r="O617" s="73">
        <v>4</v>
      </c>
      <c r="P617" s="196">
        <v>0</v>
      </c>
      <c r="Q617" s="73">
        <v>4</v>
      </c>
      <c r="R617" s="74">
        <v>46</v>
      </c>
      <c r="S617" s="76">
        <v>1811.57</v>
      </c>
      <c r="T617" s="82">
        <f t="shared" si="18"/>
        <v>1483.07</v>
      </c>
      <c r="U617" s="77">
        <f t="shared" si="19"/>
        <v>1483.07</v>
      </c>
      <c r="V617" s="78">
        <v>328.5</v>
      </c>
      <c r="W617" s="80" t="s">
        <v>233</v>
      </c>
      <c r="X617" s="81" t="s">
        <v>233</v>
      </c>
      <c r="Y617" s="4" t="s">
        <v>240</v>
      </c>
      <c r="Z617" s="81" t="s">
        <v>233</v>
      </c>
      <c r="AA617" s="64" t="s">
        <v>233</v>
      </c>
      <c r="AB617" s="81" t="s">
        <v>233</v>
      </c>
      <c r="AC617" s="4" t="s">
        <v>233</v>
      </c>
      <c r="AD617" s="64" t="s">
        <v>233</v>
      </c>
      <c r="AE617" s="64" t="s">
        <v>240</v>
      </c>
      <c r="AF617" s="208">
        <v>0</v>
      </c>
      <c r="AG617" s="4">
        <v>1</v>
      </c>
      <c r="AH617" s="64">
        <v>1</v>
      </c>
      <c r="AI617" s="4">
        <v>0</v>
      </c>
      <c r="AJ617" s="4">
        <v>0</v>
      </c>
      <c r="AK617" s="4">
        <v>0</v>
      </c>
    </row>
    <row r="618" spans="1:37" s="65" customFormat="1" outlineLevel="1">
      <c r="A618" s="5">
        <v>611</v>
      </c>
      <c r="B618" s="64" t="s">
        <v>190</v>
      </c>
      <c r="C618" s="64" t="s">
        <v>237</v>
      </c>
      <c r="D618" s="64" t="str">
        <f>[1]Лист2!B611</f>
        <v>ПСКОВСКАЯ ул.</v>
      </c>
      <c r="E618" s="71" t="s">
        <v>226</v>
      </c>
      <c r="F618" s="196" t="str">
        <f>[1]Лист2!D611</f>
        <v>А</v>
      </c>
      <c r="G618" s="4"/>
      <c r="H618" s="67">
        <v>129611</v>
      </c>
      <c r="I618" s="64" t="s">
        <v>234</v>
      </c>
      <c r="J618" s="64"/>
      <c r="K618" s="64" t="s">
        <v>232</v>
      </c>
      <c r="L618" s="64" t="s">
        <v>232</v>
      </c>
      <c r="M618" s="72">
        <v>1846</v>
      </c>
      <c r="N618" s="64" t="s">
        <v>385</v>
      </c>
      <c r="O618" s="73">
        <v>4</v>
      </c>
      <c r="P618" s="196">
        <v>0</v>
      </c>
      <c r="Q618" s="73">
        <v>3</v>
      </c>
      <c r="R618" s="74">
        <v>15</v>
      </c>
      <c r="S618" s="75">
        <v>1205.2</v>
      </c>
      <c r="T618" s="82">
        <f t="shared" si="18"/>
        <v>873.3900000000001</v>
      </c>
      <c r="U618" s="77">
        <f t="shared" si="19"/>
        <v>873.3900000000001</v>
      </c>
      <c r="V618" s="77">
        <v>331.81</v>
      </c>
      <c r="W618" s="80" t="s">
        <v>233</v>
      </c>
      <c r="X618" s="81" t="s">
        <v>233</v>
      </c>
      <c r="Y618" s="64" t="s">
        <v>233</v>
      </c>
      <c r="Z618" s="81" t="s">
        <v>233</v>
      </c>
      <c r="AA618" s="64" t="s">
        <v>233</v>
      </c>
      <c r="AB618" s="81" t="s">
        <v>233</v>
      </c>
      <c r="AC618" s="64" t="s">
        <v>240</v>
      </c>
      <c r="AD618" s="64" t="s">
        <v>233</v>
      </c>
      <c r="AE618" s="64" t="s">
        <v>240</v>
      </c>
      <c r="AF618" s="208">
        <v>0</v>
      </c>
      <c r="AG618" s="4">
        <v>1</v>
      </c>
      <c r="AH618" s="64">
        <v>1</v>
      </c>
      <c r="AI618" s="64">
        <v>0</v>
      </c>
      <c r="AJ618" s="64">
        <v>0</v>
      </c>
      <c r="AK618" s="64">
        <v>0</v>
      </c>
    </row>
    <row r="619" spans="1:37" s="65" customFormat="1" outlineLevel="1">
      <c r="A619" s="5">
        <v>612</v>
      </c>
      <c r="B619" s="64" t="s">
        <v>190</v>
      </c>
      <c r="C619" s="64" t="s">
        <v>237</v>
      </c>
      <c r="D619" s="64" t="str">
        <f>[1]Лист2!B612</f>
        <v>ПСКОВСКАЯ ул.</v>
      </c>
      <c r="E619" s="71" t="s">
        <v>225</v>
      </c>
      <c r="F619" s="196" t="str">
        <f>[1]Лист2!D612</f>
        <v>А</v>
      </c>
      <c r="G619" s="4"/>
      <c r="H619" s="67">
        <v>129612</v>
      </c>
      <c r="I619" s="64" t="s">
        <v>234</v>
      </c>
      <c r="J619" s="64"/>
      <c r="K619" s="64" t="s">
        <v>232</v>
      </c>
      <c r="L619" s="64" t="s">
        <v>232</v>
      </c>
      <c r="M619" s="72">
        <v>1946</v>
      </c>
      <c r="N619" s="64" t="s">
        <v>385</v>
      </c>
      <c r="O619" s="73">
        <v>4</v>
      </c>
      <c r="P619" s="196">
        <v>0</v>
      </c>
      <c r="Q619" s="73">
        <v>3</v>
      </c>
      <c r="R619" s="74">
        <v>47</v>
      </c>
      <c r="S619" s="75">
        <v>2315.8999999999996</v>
      </c>
      <c r="T619" s="82">
        <f t="shared" si="18"/>
        <v>1721.6999999999996</v>
      </c>
      <c r="U619" s="77">
        <f t="shared" si="19"/>
        <v>1721.6999999999996</v>
      </c>
      <c r="V619" s="77">
        <v>594.20000000000005</v>
      </c>
      <c r="W619" s="80" t="s">
        <v>233</v>
      </c>
      <c r="X619" s="81" t="s">
        <v>233</v>
      </c>
      <c r="Y619" s="64" t="s">
        <v>233</v>
      </c>
      <c r="Z619" s="81" t="s">
        <v>233</v>
      </c>
      <c r="AA619" s="64" t="s">
        <v>233</v>
      </c>
      <c r="AB619" s="81" t="s">
        <v>233</v>
      </c>
      <c r="AC619" s="64" t="s">
        <v>240</v>
      </c>
      <c r="AD619" s="64" t="s">
        <v>233</v>
      </c>
      <c r="AE619" s="64" t="s">
        <v>240</v>
      </c>
      <c r="AF619" s="208">
        <v>0</v>
      </c>
      <c r="AG619" s="4">
        <v>1</v>
      </c>
      <c r="AH619" s="64">
        <v>1</v>
      </c>
      <c r="AI619" s="64">
        <v>0</v>
      </c>
      <c r="AJ619" s="64">
        <v>0</v>
      </c>
      <c r="AK619" s="64">
        <v>0</v>
      </c>
    </row>
    <row r="620" spans="1:37" s="65" customFormat="1" outlineLevel="1">
      <c r="A620" s="63">
        <v>613</v>
      </c>
      <c r="B620" s="64" t="s">
        <v>190</v>
      </c>
      <c r="C620" s="64" t="s">
        <v>237</v>
      </c>
      <c r="D620" s="64" t="str">
        <f>[1]Лист2!B613</f>
        <v>ПСКОВСКАЯ ул.</v>
      </c>
      <c r="E620" s="71" t="s">
        <v>227</v>
      </c>
      <c r="F620" s="196" t="str">
        <f>[1]Лист2!D613</f>
        <v>А</v>
      </c>
      <c r="G620" s="64"/>
      <c r="H620" s="67">
        <v>129613</v>
      </c>
      <c r="I620" s="64" t="s">
        <v>234</v>
      </c>
      <c r="J620" s="64"/>
      <c r="K620" s="64" t="s">
        <v>232</v>
      </c>
      <c r="L620" s="64" t="s">
        <v>232</v>
      </c>
      <c r="M620" s="72">
        <v>1846</v>
      </c>
      <c r="N620" s="64" t="s">
        <v>385</v>
      </c>
      <c r="O620" s="73">
        <v>4</v>
      </c>
      <c r="P620" s="196">
        <v>0</v>
      </c>
      <c r="Q620" s="73">
        <v>3</v>
      </c>
      <c r="R620" s="74">
        <v>25</v>
      </c>
      <c r="S620" s="75">
        <v>2392.66</v>
      </c>
      <c r="T620" s="82">
        <f t="shared" si="18"/>
        <v>2197.66</v>
      </c>
      <c r="U620" s="77">
        <f t="shared" si="19"/>
        <v>2197.66</v>
      </c>
      <c r="V620" s="77">
        <v>195</v>
      </c>
      <c r="W620" s="80" t="s">
        <v>233</v>
      </c>
      <c r="X620" s="81" t="s">
        <v>233</v>
      </c>
      <c r="Y620" s="64" t="s">
        <v>233</v>
      </c>
      <c r="Z620" s="81" t="s">
        <v>233</v>
      </c>
      <c r="AA620" s="64" t="s">
        <v>233</v>
      </c>
      <c r="AB620" s="81" t="s">
        <v>233</v>
      </c>
      <c r="AC620" s="64" t="s">
        <v>240</v>
      </c>
      <c r="AD620" s="64" t="s">
        <v>233</v>
      </c>
      <c r="AE620" s="64" t="s">
        <v>240</v>
      </c>
      <c r="AF620" s="208">
        <v>0</v>
      </c>
      <c r="AG620" s="4">
        <v>1</v>
      </c>
      <c r="AH620" s="64">
        <v>1</v>
      </c>
      <c r="AI620" s="64">
        <v>0</v>
      </c>
      <c r="AJ620" s="64">
        <v>0</v>
      </c>
      <c r="AK620" s="64">
        <v>0</v>
      </c>
    </row>
    <row r="621" spans="1:37" s="65" customFormat="1" outlineLevel="1">
      <c r="A621" s="63">
        <v>614</v>
      </c>
      <c r="B621" s="64" t="s">
        <v>190</v>
      </c>
      <c r="C621" s="64" t="s">
        <v>237</v>
      </c>
      <c r="D621" s="64" t="str">
        <f>[1]Лист2!B614</f>
        <v>ПСКОВСКАЯ ул.</v>
      </c>
      <c r="E621" s="71">
        <f>[1]Лист2!C614</f>
        <v>16</v>
      </c>
      <c r="F621" s="196" t="str">
        <f>[1]Лист2!D614</f>
        <v>А</v>
      </c>
      <c r="G621" s="64"/>
      <c r="H621" s="67">
        <v>129614</v>
      </c>
      <c r="I621" s="64" t="s">
        <v>234</v>
      </c>
      <c r="J621" s="64"/>
      <c r="K621" s="64" t="s">
        <v>232</v>
      </c>
      <c r="L621" s="64" t="s">
        <v>232</v>
      </c>
      <c r="M621" s="72">
        <v>1906</v>
      </c>
      <c r="N621" s="64" t="s">
        <v>385</v>
      </c>
      <c r="O621" s="73">
        <v>5</v>
      </c>
      <c r="P621" s="196">
        <v>0</v>
      </c>
      <c r="Q621" s="73">
        <v>1</v>
      </c>
      <c r="R621" s="74">
        <v>36</v>
      </c>
      <c r="S621" s="75">
        <v>973</v>
      </c>
      <c r="T621" s="82">
        <f t="shared" si="18"/>
        <v>973</v>
      </c>
      <c r="U621" s="77">
        <f t="shared" si="19"/>
        <v>973</v>
      </c>
      <c r="V621" s="77">
        <v>0</v>
      </c>
      <c r="W621" s="80" t="s">
        <v>233</v>
      </c>
      <c r="X621" s="81" t="s">
        <v>233</v>
      </c>
      <c r="Y621" s="64" t="s">
        <v>233</v>
      </c>
      <c r="Z621" s="81" t="s">
        <v>233</v>
      </c>
      <c r="AA621" s="64" t="s">
        <v>233</v>
      </c>
      <c r="AB621" s="81" t="s">
        <v>233</v>
      </c>
      <c r="AC621" s="64" t="s">
        <v>240</v>
      </c>
      <c r="AD621" s="64" t="s">
        <v>233</v>
      </c>
      <c r="AE621" s="64" t="s">
        <v>240</v>
      </c>
      <c r="AF621" s="210">
        <v>0</v>
      </c>
      <c r="AG621" s="4">
        <v>1</v>
      </c>
      <c r="AH621" s="64">
        <v>1</v>
      </c>
      <c r="AI621" s="64">
        <v>1</v>
      </c>
      <c r="AJ621" s="64">
        <v>1</v>
      </c>
      <c r="AK621" s="64">
        <v>0</v>
      </c>
    </row>
    <row r="622" spans="1:37" s="65" customFormat="1" outlineLevel="1">
      <c r="A622" s="5">
        <v>615</v>
      </c>
      <c r="B622" s="64" t="s">
        <v>190</v>
      </c>
      <c r="C622" s="64" t="s">
        <v>237</v>
      </c>
      <c r="D622" s="64" t="str">
        <f>[1]Лист2!B615</f>
        <v>ПСКОВСКАЯ ул.</v>
      </c>
      <c r="E622" s="71">
        <f>[1]Лист2!C615</f>
        <v>16</v>
      </c>
      <c r="F622" s="196" t="str">
        <f>[1]Лист2!D615</f>
        <v>Б</v>
      </c>
      <c r="G622" s="4"/>
      <c r="H622" s="67">
        <v>129615</v>
      </c>
      <c r="I622" s="64" t="s">
        <v>234</v>
      </c>
      <c r="J622" s="64"/>
      <c r="K622" s="64" t="s">
        <v>232</v>
      </c>
      <c r="L622" s="64" t="s">
        <v>232</v>
      </c>
      <c r="M622" s="72">
        <v>1906</v>
      </c>
      <c r="N622" s="64" t="s">
        <v>385</v>
      </c>
      <c r="O622" s="73">
        <v>5</v>
      </c>
      <c r="P622" s="196">
        <v>0</v>
      </c>
      <c r="Q622" s="73">
        <v>1</v>
      </c>
      <c r="R622" s="74">
        <v>37</v>
      </c>
      <c r="S622" s="75">
        <v>1020.2</v>
      </c>
      <c r="T622" s="82">
        <f t="shared" si="18"/>
        <v>976</v>
      </c>
      <c r="U622" s="77">
        <f t="shared" si="19"/>
        <v>976</v>
      </c>
      <c r="V622" s="77">
        <v>44.2</v>
      </c>
      <c r="W622" s="80" t="s">
        <v>233</v>
      </c>
      <c r="X622" s="81" t="s">
        <v>233</v>
      </c>
      <c r="Y622" s="64" t="s">
        <v>233</v>
      </c>
      <c r="Z622" s="81" t="s">
        <v>233</v>
      </c>
      <c r="AA622" s="64" t="s">
        <v>233</v>
      </c>
      <c r="AB622" s="81" t="s">
        <v>233</v>
      </c>
      <c r="AC622" s="64" t="s">
        <v>240</v>
      </c>
      <c r="AD622" s="64" t="s">
        <v>233</v>
      </c>
      <c r="AE622" s="64" t="s">
        <v>240</v>
      </c>
      <c r="AF622" s="211">
        <v>0</v>
      </c>
      <c r="AG622" s="4">
        <v>1</v>
      </c>
      <c r="AH622" s="64">
        <v>1</v>
      </c>
      <c r="AI622" s="64">
        <v>0</v>
      </c>
      <c r="AJ622" s="64">
        <v>0</v>
      </c>
      <c r="AK622" s="64">
        <v>0</v>
      </c>
    </row>
    <row r="623" spans="1:37" s="65" customFormat="1" outlineLevel="1">
      <c r="A623" s="5">
        <v>616</v>
      </c>
      <c r="B623" s="64" t="s">
        <v>190</v>
      </c>
      <c r="C623" s="64" t="s">
        <v>237</v>
      </c>
      <c r="D623" s="64" t="str">
        <f>[1]Лист2!B616</f>
        <v>ПСКОВСКАЯ ул.</v>
      </c>
      <c r="E623" s="71">
        <f>[1]Лист2!C616</f>
        <v>20</v>
      </c>
      <c r="F623" s="196" t="str">
        <f>[1]Лист2!D616</f>
        <v>А</v>
      </c>
      <c r="G623" s="4"/>
      <c r="H623" s="67">
        <v>129616</v>
      </c>
      <c r="I623" s="64" t="s">
        <v>234</v>
      </c>
      <c r="J623" s="64"/>
      <c r="K623" s="64" t="s">
        <v>232</v>
      </c>
      <c r="L623" s="64" t="s">
        <v>232</v>
      </c>
      <c r="M623" s="72">
        <v>1875</v>
      </c>
      <c r="N623" s="64" t="s">
        <v>385</v>
      </c>
      <c r="O623" s="73">
        <v>4</v>
      </c>
      <c r="P623" s="196">
        <v>0</v>
      </c>
      <c r="Q623" s="73">
        <v>4</v>
      </c>
      <c r="R623" s="74">
        <v>25</v>
      </c>
      <c r="S623" s="75">
        <v>1548.88</v>
      </c>
      <c r="T623" s="82">
        <f t="shared" si="18"/>
        <v>1548.88</v>
      </c>
      <c r="U623" s="77">
        <f t="shared" si="19"/>
        <v>1548.88</v>
      </c>
      <c r="V623" s="77">
        <v>0</v>
      </c>
      <c r="W623" s="80" t="s">
        <v>233</v>
      </c>
      <c r="X623" s="81" t="s">
        <v>233</v>
      </c>
      <c r="Y623" s="64" t="s">
        <v>233</v>
      </c>
      <c r="Z623" s="81" t="s">
        <v>233</v>
      </c>
      <c r="AA623" s="64" t="s">
        <v>233</v>
      </c>
      <c r="AB623" s="81" t="s">
        <v>233</v>
      </c>
      <c r="AC623" s="64" t="s">
        <v>240</v>
      </c>
      <c r="AD623" s="64" t="s">
        <v>233</v>
      </c>
      <c r="AE623" s="64" t="s">
        <v>240</v>
      </c>
      <c r="AF623" s="210">
        <v>0</v>
      </c>
      <c r="AG623" s="4">
        <v>1</v>
      </c>
      <c r="AH623" s="64">
        <v>1</v>
      </c>
      <c r="AI623" s="64">
        <v>0</v>
      </c>
      <c r="AJ623" s="64">
        <v>0</v>
      </c>
      <c r="AK623" s="64">
        <v>0</v>
      </c>
    </row>
    <row r="624" spans="1:37" s="65" customFormat="1" outlineLevel="1">
      <c r="A624" s="5">
        <v>617</v>
      </c>
      <c r="B624" s="64" t="s">
        <v>190</v>
      </c>
      <c r="C624" s="64" t="s">
        <v>237</v>
      </c>
      <c r="D624" s="64" t="str">
        <f>[1]Лист2!B617</f>
        <v>ПСКОВСКАЯ ул.</v>
      </c>
      <c r="E624" s="71">
        <f>[1]Лист2!C617</f>
        <v>22</v>
      </c>
      <c r="F624" s="196" t="str">
        <f>[1]Лист2!D617</f>
        <v>А</v>
      </c>
      <c r="G624" s="64"/>
      <c r="H624" s="67">
        <v>129617</v>
      </c>
      <c r="I624" s="64" t="s">
        <v>234</v>
      </c>
      <c r="J624" s="64"/>
      <c r="K624" s="64" t="s">
        <v>232</v>
      </c>
      <c r="L624" s="64" t="s">
        <v>232</v>
      </c>
      <c r="M624" s="72">
        <v>1967</v>
      </c>
      <c r="N624" s="64" t="s">
        <v>385</v>
      </c>
      <c r="O624" s="73">
        <v>6</v>
      </c>
      <c r="P624" s="196">
        <v>0</v>
      </c>
      <c r="Q624" s="73">
        <v>4</v>
      </c>
      <c r="R624" s="74">
        <v>122</v>
      </c>
      <c r="S624" s="75">
        <v>3690.6099999999997</v>
      </c>
      <c r="T624" s="82">
        <f t="shared" si="18"/>
        <v>2929.2099999999996</v>
      </c>
      <c r="U624" s="77">
        <f t="shared" si="19"/>
        <v>2929.2099999999996</v>
      </c>
      <c r="V624" s="77">
        <v>761.4</v>
      </c>
      <c r="W624" s="80" t="s">
        <v>233</v>
      </c>
      <c r="X624" s="81" t="s">
        <v>233</v>
      </c>
      <c r="Y624" s="64" t="s">
        <v>240</v>
      </c>
      <c r="Z624" s="81" t="s">
        <v>233</v>
      </c>
      <c r="AA624" s="64" t="s">
        <v>233</v>
      </c>
      <c r="AB624" s="81" t="s">
        <v>233</v>
      </c>
      <c r="AC624" s="64" t="s">
        <v>233</v>
      </c>
      <c r="AD624" s="64" t="s">
        <v>233</v>
      </c>
      <c r="AE624" s="64" t="s">
        <v>240</v>
      </c>
      <c r="AF624" s="210">
        <v>0</v>
      </c>
      <c r="AG624" s="4">
        <v>1</v>
      </c>
      <c r="AH624" s="64">
        <v>1</v>
      </c>
      <c r="AI624" s="64">
        <v>0</v>
      </c>
      <c r="AJ624" s="64">
        <v>1</v>
      </c>
      <c r="AK624" s="64">
        <v>0</v>
      </c>
    </row>
    <row r="625" spans="1:37" s="65" customFormat="1" outlineLevel="1">
      <c r="A625" s="5">
        <v>618</v>
      </c>
      <c r="B625" s="64" t="s">
        <v>190</v>
      </c>
      <c r="C625" s="64" t="s">
        <v>237</v>
      </c>
      <c r="D625" s="64" t="str">
        <f>[1]Лист2!B618</f>
        <v>ПСКОВСКАЯ ул.</v>
      </c>
      <c r="E625" s="71">
        <f>[1]Лист2!C618</f>
        <v>3</v>
      </c>
      <c r="F625" s="196" t="str">
        <f>[1]Лист2!D618</f>
        <v>А</v>
      </c>
      <c r="G625" s="64"/>
      <c r="H625" s="67">
        <v>129618</v>
      </c>
      <c r="I625" s="64" t="s">
        <v>234</v>
      </c>
      <c r="J625" s="64"/>
      <c r="K625" s="64" t="s">
        <v>232</v>
      </c>
      <c r="L625" s="64" t="s">
        <v>232</v>
      </c>
      <c r="M625" s="72">
        <v>1896</v>
      </c>
      <c r="N625" s="64" t="s">
        <v>385</v>
      </c>
      <c r="O625" s="73">
        <v>4</v>
      </c>
      <c r="P625" s="196">
        <v>0</v>
      </c>
      <c r="Q625" s="73">
        <v>2</v>
      </c>
      <c r="R625" s="74">
        <v>44</v>
      </c>
      <c r="S625" s="75">
        <v>1612.1</v>
      </c>
      <c r="T625" s="82">
        <f t="shared" si="18"/>
        <v>1261</v>
      </c>
      <c r="U625" s="77">
        <f t="shared" si="19"/>
        <v>1261</v>
      </c>
      <c r="V625" s="77">
        <v>351.1</v>
      </c>
      <c r="W625" s="80" t="s">
        <v>233</v>
      </c>
      <c r="X625" s="81" t="s">
        <v>233</v>
      </c>
      <c r="Y625" s="64" t="s">
        <v>233</v>
      </c>
      <c r="Z625" s="81" t="s">
        <v>233</v>
      </c>
      <c r="AA625" s="64" t="s">
        <v>233</v>
      </c>
      <c r="AB625" s="81" t="s">
        <v>233</v>
      </c>
      <c r="AC625" s="64" t="s">
        <v>240</v>
      </c>
      <c r="AD625" s="64" t="s">
        <v>233</v>
      </c>
      <c r="AE625" s="64" t="s">
        <v>240</v>
      </c>
      <c r="AF625" s="210">
        <v>0</v>
      </c>
      <c r="AG625" s="4">
        <v>1</v>
      </c>
      <c r="AH625" s="64">
        <v>1</v>
      </c>
      <c r="AI625" s="64">
        <v>1</v>
      </c>
      <c r="AJ625" s="64">
        <v>1</v>
      </c>
      <c r="AK625" s="64">
        <v>0</v>
      </c>
    </row>
    <row r="626" spans="1:37" s="65" customFormat="1" outlineLevel="1">
      <c r="A626" s="63">
        <v>619</v>
      </c>
      <c r="B626" s="64" t="s">
        <v>190</v>
      </c>
      <c r="C626" s="64" t="s">
        <v>237</v>
      </c>
      <c r="D626" s="64" t="str">
        <f>[1]Лист2!B619</f>
        <v>ПСКОВСКАЯ ул.</v>
      </c>
      <c r="E626" s="71">
        <f>[1]Лист2!C619</f>
        <v>3</v>
      </c>
      <c r="F626" s="196" t="str">
        <f>[1]Лист2!D619</f>
        <v>Б</v>
      </c>
      <c r="G626" s="4"/>
      <c r="H626" s="67">
        <v>129619</v>
      </c>
      <c r="I626" s="64" t="s">
        <v>234</v>
      </c>
      <c r="J626" s="64"/>
      <c r="K626" s="64" t="s">
        <v>232</v>
      </c>
      <c r="L626" s="64" t="s">
        <v>232</v>
      </c>
      <c r="M626" s="72">
        <v>1896</v>
      </c>
      <c r="N626" s="64" t="s">
        <v>385</v>
      </c>
      <c r="O626" s="73">
        <v>4</v>
      </c>
      <c r="P626" s="196">
        <v>0</v>
      </c>
      <c r="Q626" s="73">
        <v>2</v>
      </c>
      <c r="R626" s="74">
        <v>38</v>
      </c>
      <c r="S626" s="75">
        <v>1075.7</v>
      </c>
      <c r="T626" s="82">
        <f t="shared" si="18"/>
        <v>1007</v>
      </c>
      <c r="U626" s="77">
        <f t="shared" si="19"/>
        <v>1007</v>
      </c>
      <c r="V626" s="77">
        <v>68.7</v>
      </c>
      <c r="W626" s="80" t="s">
        <v>233</v>
      </c>
      <c r="X626" s="81" t="s">
        <v>233</v>
      </c>
      <c r="Y626" s="64" t="s">
        <v>233</v>
      </c>
      <c r="Z626" s="81" t="s">
        <v>233</v>
      </c>
      <c r="AA626" s="64" t="s">
        <v>233</v>
      </c>
      <c r="AB626" s="81" t="s">
        <v>233</v>
      </c>
      <c r="AC626" s="64" t="s">
        <v>240</v>
      </c>
      <c r="AD626" s="64" t="s">
        <v>233</v>
      </c>
      <c r="AE626" s="64" t="s">
        <v>240</v>
      </c>
      <c r="AF626" s="209">
        <v>0</v>
      </c>
      <c r="AG626" s="4">
        <v>1</v>
      </c>
      <c r="AH626" s="64">
        <v>1</v>
      </c>
      <c r="AI626" s="64">
        <v>0</v>
      </c>
      <c r="AJ626" s="64">
        <v>0</v>
      </c>
      <c r="AK626" s="64">
        <v>0</v>
      </c>
    </row>
    <row r="627" spans="1:37" s="65" customFormat="1" outlineLevel="1">
      <c r="A627" s="63">
        <v>620</v>
      </c>
      <c r="B627" s="64" t="s">
        <v>190</v>
      </c>
      <c r="C627" s="64" t="s">
        <v>237</v>
      </c>
      <c r="D627" s="64" t="str">
        <f>[1]Лист2!B620</f>
        <v>ПСКОВСКАЯ ул.</v>
      </c>
      <c r="E627" s="71">
        <f>[1]Лист2!C620</f>
        <v>5</v>
      </c>
      <c r="F627" s="196" t="str">
        <f>[1]Лист2!D620</f>
        <v>А</v>
      </c>
      <c r="G627" s="4"/>
      <c r="H627" s="67">
        <v>129620</v>
      </c>
      <c r="I627" s="64" t="s">
        <v>234</v>
      </c>
      <c r="J627" s="64"/>
      <c r="K627" s="64" t="s">
        <v>232</v>
      </c>
      <c r="L627" s="64" t="s">
        <v>232</v>
      </c>
      <c r="M627" s="72">
        <v>1910</v>
      </c>
      <c r="N627" s="64" t="s">
        <v>385</v>
      </c>
      <c r="O627" s="73">
        <v>4</v>
      </c>
      <c r="P627" s="196">
        <v>0</v>
      </c>
      <c r="Q627" s="73">
        <v>3</v>
      </c>
      <c r="R627" s="74">
        <v>33</v>
      </c>
      <c r="S627" s="75">
        <v>2545.7099999999996</v>
      </c>
      <c r="T627" s="82">
        <f t="shared" si="18"/>
        <v>2316.6099999999997</v>
      </c>
      <c r="U627" s="77">
        <f t="shared" si="19"/>
        <v>2316.6099999999997</v>
      </c>
      <c r="V627" s="77">
        <v>229.1</v>
      </c>
      <c r="W627" s="80" t="s">
        <v>233</v>
      </c>
      <c r="X627" s="81" t="s">
        <v>233</v>
      </c>
      <c r="Y627" s="64" t="s">
        <v>233</v>
      </c>
      <c r="Z627" s="81" t="s">
        <v>233</v>
      </c>
      <c r="AA627" s="64" t="s">
        <v>233</v>
      </c>
      <c r="AB627" s="81" t="s">
        <v>233</v>
      </c>
      <c r="AC627" s="64" t="s">
        <v>240</v>
      </c>
      <c r="AD627" s="64" t="s">
        <v>233</v>
      </c>
      <c r="AE627" s="64" t="s">
        <v>240</v>
      </c>
      <c r="AF627" s="208">
        <v>0</v>
      </c>
      <c r="AG627" s="4">
        <v>1</v>
      </c>
      <c r="AH627" s="64">
        <v>1</v>
      </c>
      <c r="AI627" s="64">
        <v>0</v>
      </c>
      <c r="AJ627" s="64">
        <v>0</v>
      </c>
      <c r="AK627" s="64">
        <v>0</v>
      </c>
    </row>
    <row r="628" spans="1:37" s="65" customFormat="1" outlineLevel="1">
      <c r="A628" s="5">
        <v>621</v>
      </c>
      <c r="B628" s="64" t="s">
        <v>190</v>
      </c>
      <c r="C628" s="64" t="s">
        <v>237</v>
      </c>
      <c r="D628" s="64" t="str">
        <f>[1]Лист2!B621</f>
        <v>ПСКОВСКАЯ ул.</v>
      </c>
      <c r="E628" s="71">
        <f>[1]Лист2!C621</f>
        <v>6</v>
      </c>
      <c r="F628" s="196" t="str">
        <f>[1]Лист2!D621</f>
        <v>А</v>
      </c>
      <c r="G628" s="64"/>
      <c r="H628" s="67">
        <v>129621</v>
      </c>
      <c r="I628" s="64" t="s">
        <v>234</v>
      </c>
      <c r="J628" s="64"/>
      <c r="K628" s="64" t="s">
        <v>232</v>
      </c>
      <c r="L628" s="64" t="s">
        <v>232</v>
      </c>
      <c r="M628" s="72">
        <v>1902</v>
      </c>
      <c r="N628" s="64" t="s">
        <v>385</v>
      </c>
      <c r="O628" s="73">
        <v>5</v>
      </c>
      <c r="P628" s="196">
        <v>0</v>
      </c>
      <c r="Q628" s="73">
        <v>3</v>
      </c>
      <c r="R628" s="74">
        <v>48</v>
      </c>
      <c r="S628" s="75">
        <v>1862.65</v>
      </c>
      <c r="T628" s="82">
        <f t="shared" si="18"/>
        <v>1804.65</v>
      </c>
      <c r="U628" s="77">
        <f t="shared" si="19"/>
        <v>1804.65</v>
      </c>
      <c r="V628" s="77">
        <v>58</v>
      </c>
      <c r="W628" s="80" t="s">
        <v>233</v>
      </c>
      <c r="X628" s="81" t="s">
        <v>233</v>
      </c>
      <c r="Y628" s="64" t="s">
        <v>233</v>
      </c>
      <c r="Z628" s="81" t="s">
        <v>233</v>
      </c>
      <c r="AA628" s="64" t="s">
        <v>233</v>
      </c>
      <c r="AB628" s="81" t="s">
        <v>233</v>
      </c>
      <c r="AC628" s="64" t="s">
        <v>240</v>
      </c>
      <c r="AD628" s="64" t="s">
        <v>233</v>
      </c>
      <c r="AE628" s="64" t="s">
        <v>240</v>
      </c>
      <c r="AF628" s="210">
        <v>0</v>
      </c>
      <c r="AG628" s="4">
        <v>1</v>
      </c>
      <c r="AH628" s="64">
        <v>1</v>
      </c>
      <c r="AI628" s="64">
        <v>1</v>
      </c>
      <c r="AJ628" s="64">
        <v>1</v>
      </c>
      <c r="AK628" s="64">
        <v>0</v>
      </c>
    </row>
    <row r="629" spans="1:37" s="65" customFormat="1" outlineLevel="1">
      <c r="A629" s="5">
        <v>622</v>
      </c>
      <c r="B629" s="64" t="s">
        <v>190</v>
      </c>
      <c r="C629" s="64" t="s">
        <v>237</v>
      </c>
      <c r="D629" s="64" t="str">
        <f>[1]Лист2!B622</f>
        <v>ПСКОВСКАЯ ул.</v>
      </c>
      <c r="E629" s="71">
        <f>[1]Лист2!C622</f>
        <v>7</v>
      </c>
      <c r="F629" s="196" t="str">
        <f>[1]Лист2!D622</f>
        <v>А</v>
      </c>
      <c r="G629" s="64"/>
      <c r="H629" s="67">
        <v>129622</v>
      </c>
      <c r="I629" s="64" t="s">
        <v>234</v>
      </c>
      <c r="J629" s="64"/>
      <c r="K629" s="64" t="s">
        <v>232</v>
      </c>
      <c r="L629" s="64" t="s">
        <v>232</v>
      </c>
      <c r="M629" s="72">
        <v>1909</v>
      </c>
      <c r="N629" s="64" t="s">
        <v>385</v>
      </c>
      <c r="O629" s="73">
        <v>4</v>
      </c>
      <c r="P629" s="196">
        <v>0</v>
      </c>
      <c r="Q629" s="73">
        <v>1</v>
      </c>
      <c r="R629" s="74">
        <v>25</v>
      </c>
      <c r="S629" s="75">
        <v>810.18999999999994</v>
      </c>
      <c r="T629" s="82">
        <f t="shared" si="18"/>
        <v>764.78</v>
      </c>
      <c r="U629" s="77">
        <f t="shared" si="19"/>
        <v>764.78</v>
      </c>
      <c r="V629" s="77">
        <v>45.41</v>
      </c>
      <c r="W629" s="80" t="s">
        <v>233</v>
      </c>
      <c r="X629" s="81" t="s">
        <v>233</v>
      </c>
      <c r="Y629" s="64" t="s">
        <v>233</v>
      </c>
      <c r="Z629" s="81" t="s">
        <v>233</v>
      </c>
      <c r="AA629" s="64" t="s">
        <v>233</v>
      </c>
      <c r="AB629" s="81" t="s">
        <v>233</v>
      </c>
      <c r="AC629" s="64" t="s">
        <v>240</v>
      </c>
      <c r="AD629" s="64" t="s">
        <v>233</v>
      </c>
      <c r="AE629" s="64" t="s">
        <v>240</v>
      </c>
      <c r="AF629" s="210">
        <v>0</v>
      </c>
      <c r="AG629" s="4">
        <v>1</v>
      </c>
      <c r="AH629" s="64">
        <v>1</v>
      </c>
      <c r="AI629" s="64">
        <v>0</v>
      </c>
      <c r="AJ629" s="64">
        <v>0</v>
      </c>
      <c r="AK629" s="64">
        <v>0</v>
      </c>
    </row>
    <row r="630" spans="1:37" s="65" customFormat="1" outlineLevel="1">
      <c r="A630" s="5">
        <v>623</v>
      </c>
      <c r="B630" s="64" t="s">
        <v>190</v>
      </c>
      <c r="C630" s="64" t="s">
        <v>237</v>
      </c>
      <c r="D630" s="64" t="str">
        <f>[1]Лист2!B623</f>
        <v>ПСКОВСКАЯ ул.</v>
      </c>
      <c r="E630" s="71">
        <f>[1]Лист2!C623</f>
        <v>8</v>
      </c>
      <c r="F630" s="196" t="str">
        <f>[1]Лист2!D623</f>
        <v>А</v>
      </c>
      <c r="G630" s="4"/>
      <c r="H630" s="67">
        <v>129623</v>
      </c>
      <c r="I630" s="64" t="s">
        <v>234</v>
      </c>
      <c r="J630" s="64"/>
      <c r="K630" s="64" t="s">
        <v>232</v>
      </c>
      <c r="L630" s="64" t="s">
        <v>232</v>
      </c>
      <c r="M630" s="72">
        <v>1913</v>
      </c>
      <c r="N630" s="64" t="s">
        <v>385</v>
      </c>
      <c r="O630" s="73">
        <v>7</v>
      </c>
      <c r="P630" s="196">
        <v>0</v>
      </c>
      <c r="Q630" s="73">
        <v>2</v>
      </c>
      <c r="R630" s="74">
        <v>108</v>
      </c>
      <c r="S630" s="75">
        <v>3932.99</v>
      </c>
      <c r="T630" s="82">
        <f t="shared" si="18"/>
        <v>3315.99</v>
      </c>
      <c r="U630" s="77">
        <f t="shared" si="19"/>
        <v>3315.99</v>
      </c>
      <c r="V630" s="77">
        <v>617</v>
      </c>
      <c r="W630" s="80" t="s">
        <v>233</v>
      </c>
      <c r="X630" s="81" t="s">
        <v>233</v>
      </c>
      <c r="Y630" s="64" t="s">
        <v>233</v>
      </c>
      <c r="Z630" s="81" t="s">
        <v>233</v>
      </c>
      <c r="AA630" s="64" t="s">
        <v>233</v>
      </c>
      <c r="AB630" s="81" t="s">
        <v>233</v>
      </c>
      <c r="AC630" s="64" t="s">
        <v>240</v>
      </c>
      <c r="AD630" s="64" t="s">
        <v>233</v>
      </c>
      <c r="AE630" s="64" t="s">
        <v>240</v>
      </c>
      <c r="AF630" s="210">
        <v>2</v>
      </c>
      <c r="AG630" s="4">
        <v>2</v>
      </c>
      <c r="AH630" s="64">
        <v>1</v>
      </c>
      <c r="AI630" s="64">
        <v>0</v>
      </c>
      <c r="AJ630" s="64">
        <v>0</v>
      </c>
      <c r="AK630" s="64">
        <v>0</v>
      </c>
    </row>
    <row r="631" spans="1:37" s="65" customFormat="1" outlineLevel="1">
      <c r="A631" s="5">
        <v>624</v>
      </c>
      <c r="B631" s="64" t="s">
        <v>190</v>
      </c>
      <c r="C631" s="64" t="s">
        <v>237</v>
      </c>
      <c r="D631" s="64" t="str">
        <f>[1]Лист2!B624</f>
        <v>РАБОЧИЙ пер.</v>
      </c>
      <c r="E631" s="71" t="s">
        <v>228</v>
      </c>
      <c r="F631" s="196" t="str">
        <f>[1]Лист2!D624</f>
        <v>А</v>
      </c>
      <c r="G631" s="4"/>
      <c r="H631" s="67">
        <v>129624</v>
      </c>
      <c r="I631" s="64" t="s">
        <v>234</v>
      </c>
      <c r="J631" s="64"/>
      <c r="K631" s="64" t="s">
        <v>232</v>
      </c>
      <c r="L631" s="64" t="s">
        <v>232</v>
      </c>
      <c r="M631" s="72">
        <v>1977</v>
      </c>
      <c r="N631" s="64" t="s">
        <v>385</v>
      </c>
      <c r="O631" s="73">
        <v>6</v>
      </c>
      <c r="P631" s="196">
        <v>0</v>
      </c>
      <c r="Q631" s="73">
        <v>3</v>
      </c>
      <c r="R631" s="74">
        <v>153</v>
      </c>
      <c r="S631" s="75">
        <v>4198</v>
      </c>
      <c r="T631" s="82">
        <f t="shared" si="18"/>
        <v>3695</v>
      </c>
      <c r="U631" s="77">
        <f t="shared" si="19"/>
        <v>3695</v>
      </c>
      <c r="V631" s="77">
        <v>503</v>
      </c>
      <c r="W631" s="80" t="s">
        <v>233</v>
      </c>
      <c r="X631" s="81" t="s">
        <v>233</v>
      </c>
      <c r="Y631" s="64" t="s">
        <v>233</v>
      </c>
      <c r="Z631" s="81" t="s">
        <v>233</v>
      </c>
      <c r="AA631" s="64" t="s">
        <v>233</v>
      </c>
      <c r="AB631" s="81" t="s">
        <v>233</v>
      </c>
      <c r="AC631" s="64" t="s">
        <v>240</v>
      </c>
      <c r="AD631" s="64" t="s">
        <v>233</v>
      </c>
      <c r="AE631" s="64" t="s">
        <v>240</v>
      </c>
      <c r="AF631" s="210">
        <v>0</v>
      </c>
      <c r="AG631" s="4">
        <v>1</v>
      </c>
      <c r="AH631" s="64">
        <v>1</v>
      </c>
      <c r="AI631" s="64">
        <v>1</v>
      </c>
      <c r="AJ631" s="64">
        <v>1</v>
      </c>
      <c r="AK631" s="64">
        <v>0</v>
      </c>
    </row>
    <row r="632" spans="1:37" s="65" customFormat="1" outlineLevel="1">
      <c r="A632" s="63">
        <v>625</v>
      </c>
      <c r="B632" s="64" t="s">
        <v>190</v>
      </c>
      <c r="C632" s="64" t="s">
        <v>238</v>
      </c>
      <c r="D632" s="64" t="str">
        <f>[1]Лист2!B625</f>
        <v>РИЖСКИЙ пр.</v>
      </c>
      <c r="E632" s="71">
        <f>[1]Лист2!C625</f>
        <v>10</v>
      </c>
      <c r="F632" s="196" t="str">
        <f>[1]Лист2!D625</f>
        <v>А</v>
      </c>
      <c r="G632" s="64"/>
      <c r="H632" s="67">
        <v>129625</v>
      </c>
      <c r="I632" s="64" t="s">
        <v>234</v>
      </c>
      <c r="J632" s="64"/>
      <c r="K632" s="64" t="s">
        <v>232</v>
      </c>
      <c r="L632" s="64" t="s">
        <v>232</v>
      </c>
      <c r="M632" s="72">
        <v>1899</v>
      </c>
      <c r="N632" s="64" t="s">
        <v>385</v>
      </c>
      <c r="O632" s="73">
        <v>4</v>
      </c>
      <c r="P632" s="196">
        <v>0</v>
      </c>
      <c r="Q632" s="73">
        <v>2</v>
      </c>
      <c r="R632" s="74">
        <v>9</v>
      </c>
      <c r="S632" s="75">
        <v>1525.1</v>
      </c>
      <c r="T632" s="82">
        <f t="shared" si="18"/>
        <v>1148</v>
      </c>
      <c r="U632" s="77">
        <f t="shared" si="19"/>
        <v>1148</v>
      </c>
      <c r="V632" s="77">
        <v>377.1</v>
      </c>
      <c r="W632" s="80" t="s">
        <v>233</v>
      </c>
      <c r="X632" s="81" t="s">
        <v>233</v>
      </c>
      <c r="Y632" s="64" t="s">
        <v>233</v>
      </c>
      <c r="Z632" s="81" t="s">
        <v>233</v>
      </c>
      <c r="AA632" s="64" t="s">
        <v>233</v>
      </c>
      <c r="AB632" s="81" t="s">
        <v>233</v>
      </c>
      <c r="AC632" s="64" t="s">
        <v>240</v>
      </c>
      <c r="AD632" s="64" t="s">
        <v>233</v>
      </c>
      <c r="AE632" s="64" t="s">
        <v>240</v>
      </c>
      <c r="AF632" s="210">
        <v>0</v>
      </c>
      <c r="AG632" s="4">
        <v>2</v>
      </c>
      <c r="AH632" s="64">
        <v>1</v>
      </c>
      <c r="AI632" s="64">
        <v>0</v>
      </c>
      <c r="AJ632" s="64">
        <v>0</v>
      </c>
      <c r="AK632" s="64">
        <v>0</v>
      </c>
    </row>
    <row r="633" spans="1:37" outlineLevel="1">
      <c r="A633" s="63">
        <v>626</v>
      </c>
      <c r="B633" s="64" t="s">
        <v>190</v>
      </c>
      <c r="C633" s="64" t="s">
        <v>238</v>
      </c>
      <c r="D633" s="4" t="str">
        <f>[1]Лист2!B626</f>
        <v>РИЖСКИЙ пр.</v>
      </c>
      <c r="E633" s="69">
        <f>[1]Лист2!C626</f>
        <v>12</v>
      </c>
      <c r="F633" s="197" t="str">
        <f>[1]Лист2!D626</f>
        <v>А</v>
      </c>
      <c r="G633" s="64"/>
      <c r="H633" s="199">
        <v>129626</v>
      </c>
      <c r="I633" s="64" t="s">
        <v>234</v>
      </c>
      <c r="J633" s="4"/>
      <c r="K633" s="64" t="s">
        <v>232</v>
      </c>
      <c r="L633" s="4" t="s">
        <v>232</v>
      </c>
      <c r="M633" s="72">
        <v>1880</v>
      </c>
      <c r="N633" s="64" t="s">
        <v>385</v>
      </c>
      <c r="O633" s="73">
        <v>4</v>
      </c>
      <c r="P633" s="196">
        <v>0</v>
      </c>
      <c r="Q633" s="73">
        <v>4</v>
      </c>
      <c r="R633" s="74">
        <v>30</v>
      </c>
      <c r="S633" s="76">
        <v>2436</v>
      </c>
      <c r="T633" s="82">
        <f t="shared" si="18"/>
        <v>957.2</v>
      </c>
      <c r="U633" s="77">
        <f t="shared" si="19"/>
        <v>957.2</v>
      </c>
      <c r="V633" s="78">
        <v>1478.8</v>
      </c>
      <c r="W633" s="80" t="s">
        <v>233</v>
      </c>
      <c r="X633" s="81" t="s">
        <v>233</v>
      </c>
      <c r="Y633" s="4" t="s">
        <v>233</v>
      </c>
      <c r="Z633" s="81" t="s">
        <v>233</v>
      </c>
      <c r="AA633" s="64" t="s">
        <v>233</v>
      </c>
      <c r="AB633" s="81" t="s">
        <v>233</v>
      </c>
      <c r="AC633" s="64" t="s">
        <v>240</v>
      </c>
      <c r="AD633" s="64" t="s">
        <v>233</v>
      </c>
      <c r="AE633" s="64" t="s">
        <v>240</v>
      </c>
      <c r="AF633" s="210">
        <v>0</v>
      </c>
      <c r="AG633" s="4">
        <v>1</v>
      </c>
      <c r="AH633" s="64">
        <v>1</v>
      </c>
      <c r="AI633" s="4">
        <v>0</v>
      </c>
      <c r="AJ633" s="4">
        <v>0</v>
      </c>
      <c r="AK633" s="4">
        <v>0</v>
      </c>
    </row>
    <row r="634" spans="1:37" outlineLevel="1">
      <c r="A634" s="5">
        <v>627</v>
      </c>
      <c r="B634" s="64" t="s">
        <v>190</v>
      </c>
      <c r="C634" s="64" t="s">
        <v>238</v>
      </c>
      <c r="D634" s="4" t="str">
        <f>[1]Лист2!B627</f>
        <v>РИЖСКИЙ пр.</v>
      </c>
      <c r="E634" s="69">
        <f>[1]Лист2!C627</f>
        <v>14</v>
      </c>
      <c r="F634" s="197" t="str">
        <f>[1]Лист2!D627</f>
        <v>А</v>
      </c>
      <c r="G634" s="4"/>
      <c r="H634" s="199">
        <v>129627</v>
      </c>
      <c r="I634" s="64" t="s">
        <v>234</v>
      </c>
      <c r="J634" s="4"/>
      <c r="K634" s="64" t="s">
        <v>232</v>
      </c>
      <c r="L634" s="4" t="s">
        <v>232</v>
      </c>
      <c r="M634" s="72">
        <v>1889</v>
      </c>
      <c r="N634" s="64" t="s">
        <v>385</v>
      </c>
      <c r="O634" s="73">
        <v>4</v>
      </c>
      <c r="P634" s="196">
        <v>0</v>
      </c>
      <c r="Q634" s="73">
        <v>3</v>
      </c>
      <c r="R634" s="74">
        <v>42</v>
      </c>
      <c r="S634" s="76">
        <v>1938.5</v>
      </c>
      <c r="T634" s="82">
        <f t="shared" si="18"/>
        <v>1740</v>
      </c>
      <c r="U634" s="77">
        <f t="shared" si="19"/>
        <v>1740</v>
      </c>
      <c r="V634" s="78">
        <v>198.5</v>
      </c>
      <c r="W634" s="80" t="s">
        <v>233</v>
      </c>
      <c r="X634" s="81" t="s">
        <v>233</v>
      </c>
      <c r="Y634" s="4" t="s">
        <v>233</v>
      </c>
      <c r="Z634" s="81" t="s">
        <v>233</v>
      </c>
      <c r="AA634" s="64" t="s">
        <v>233</v>
      </c>
      <c r="AB634" s="81" t="s">
        <v>233</v>
      </c>
      <c r="AC634" s="64" t="s">
        <v>240</v>
      </c>
      <c r="AD634" s="64" t="s">
        <v>233</v>
      </c>
      <c r="AE634" s="64" t="s">
        <v>240</v>
      </c>
      <c r="AF634" s="210">
        <v>0</v>
      </c>
      <c r="AG634" s="4">
        <v>1</v>
      </c>
      <c r="AH634" s="64">
        <v>1</v>
      </c>
      <c r="AI634" s="4">
        <v>0</v>
      </c>
      <c r="AJ634" s="4">
        <v>0</v>
      </c>
      <c r="AK634" s="4">
        <v>0</v>
      </c>
    </row>
    <row r="635" spans="1:37" outlineLevel="1">
      <c r="A635" s="5">
        <v>628</v>
      </c>
      <c r="B635" s="64" t="s">
        <v>190</v>
      </c>
      <c r="C635" s="64" t="s">
        <v>238</v>
      </c>
      <c r="D635" s="4" t="str">
        <f>[1]Лист2!B628</f>
        <v>РИЖСКИЙ пр.</v>
      </c>
      <c r="E635" s="69">
        <f>[1]Лист2!C628</f>
        <v>18</v>
      </c>
      <c r="F635" s="197" t="str">
        <f>[1]Лист2!D628</f>
        <v>К</v>
      </c>
      <c r="G635" s="4"/>
      <c r="H635" s="199">
        <v>129628</v>
      </c>
      <c r="I635" s="64" t="s">
        <v>234</v>
      </c>
      <c r="J635" s="4"/>
      <c r="K635" s="64" t="s">
        <v>232</v>
      </c>
      <c r="L635" s="4" t="s">
        <v>232</v>
      </c>
      <c r="M635" s="72">
        <v>1880</v>
      </c>
      <c r="N635" s="64" t="s">
        <v>385</v>
      </c>
      <c r="O635" s="73">
        <v>4</v>
      </c>
      <c r="P635" s="196">
        <v>0</v>
      </c>
      <c r="Q635" s="73">
        <v>1</v>
      </c>
      <c r="R635" s="74">
        <v>6</v>
      </c>
      <c r="S635" s="76">
        <v>900.1</v>
      </c>
      <c r="T635" s="82">
        <f t="shared" si="18"/>
        <v>727</v>
      </c>
      <c r="U635" s="77">
        <f t="shared" si="19"/>
        <v>727</v>
      </c>
      <c r="V635" s="78">
        <v>173.1</v>
      </c>
      <c r="W635" s="80" t="s">
        <v>233</v>
      </c>
      <c r="X635" s="81" t="s">
        <v>233</v>
      </c>
      <c r="Y635" s="4" t="s">
        <v>233</v>
      </c>
      <c r="Z635" s="81" t="s">
        <v>233</v>
      </c>
      <c r="AA635" s="64" t="s">
        <v>233</v>
      </c>
      <c r="AB635" s="81" t="s">
        <v>233</v>
      </c>
      <c r="AC635" s="64" t="s">
        <v>240</v>
      </c>
      <c r="AD635" s="64" t="s">
        <v>233</v>
      </c>
      <c r="AE635" s="64" t="s">
        <v>240</v>
      </c>
      <c r="AF635" s="210">
        <v>0</v>
      </c>
      <c r="AG635" s="4">
        <v>1</v>
      </c>
      <c r="AH635" s="64">
        <v>1</v>
      </c>
      <c r="AI635" s="4">
        <v>0</v>
      </c>
      <c r="AJ635" s="4">
        <v>0</v>
      </c>
      <c r="AK635" s="4">
        <v>0</v>
      </c>
    </row>
    <row r="636" spans="1:37" outlineLevel="1">
      <c r="A636" s="5">
        <v>629</v>
      </c>
      <c r="B636" s="64" t="s">
        <v>190</v>
      </c>
      <c r="C636" s="64" t="s">
        <v>238</v>
      </c>
      <c r="D636" s="4" t="str">
        <f>[1]Лист2!B629</f>
        <v>РИЖСКИЙ пр.</v>
      </c>
      <c r="E636" s="69">
        <f>[1]Лист2!C629</f>
        <v>19</v>
      </c>
      <c r="F636" s="197" t="str">
        <f>[1]Лист2!D629</f>
        <v>А</v>
      </c>
      <c r="G636" s="64"/>
      <c r="H636" s="199">
        <v>129629</v>
      </c>
      <c r="I636" s="64" t="s">
        <v>234</v>
      </c>
      <c r="J636" s="4"/>
      <c r="K636" s="64" t="s">
        <v>232</v>
      </c>
      <c r="L636" s="4" t="s">
        <v>232</v>
      </c>
      <c r="M636" s="72">
        <v>1846</v>
      </c>
      <c r="N636" s="64" t="s">
        <v>385</v>
      </c>
      <c r="O636" s="73">
        <v>4</v>
      </c>
      <c r="P636" s="196">
        <v>0</v>
      </c>
      <c r="Q636" s="73">
        <v>2</v>
      </c>
      <c r="R636" s="74">
        <v>26</v>
      </c>
      <c r="S636" s="76">
        <v>1025.0999999999999</v>
      </c>
      <c r="T636" s="82">
        <f t="shared" si="18"/>
        <v>802.49999999999989</v>
      </c>
      <c r="U636" s="77">
        <f t="shared" si="19"/>
        <v>802.49999999999989</v>
      </c>
      <c r="V636" s="78">
        <v>222.6</v>
      </c>
      <c r="W636" s="80" t="s">
        <v>233</v>
      </c>
      <c r="X636" s="81" t="s">
        <v>233</v>
      </c>
      <c r="Y636" s="4" t="s">
        <v>240</v>
      </c>
      <c r="Z636" s="81" t="s">
        <v>233</v>
      </c>
      <c r="AA636" s="64" t="s">
        <v>233</v>
      </c>
      <c r="AB636" s="81" t="s">
        <v>233</v>
      </c>
      <c r="AC636" s="4" t="s">
        <v>233</v>
      </c>
      <c r="AD636" s="64" t="s">
        <v>233</v>
      </c>
      <c r="AE636" s="64" t="s">
        <v>240</v>
      </c>
      <c r="AF636" s="210">
        <v>0</v>
      </c>
      <c r="AG636" s="4">
        <v>1</v>
      </c>
      <c r="AH636" s="64">
        <v>1</v>
      </c>
      <c r="AI636" s="4">
        <v>0</v>
      </c>
      <c r="AJ636" s="4">
        <v>1</v>
      </c>
      <c r="AK636" s="4">
        <v>0</v>
      </c>
    </row>
    <row r="637" spans="1:37" outlineLevel="1">
      <c r="A637" s="5">
        <v>630</v>
      </c>
      <c r="B637" s="64" t="s">
        <v>190</v>
      </c>
      <c r="C637" s="64" t="s">
        <v>238</v>
      </c>
      <c r="D637" s="4" t="str">
        <f>[1]Лист2!B630</f>
        <v>РИЖСКИЙ пр.</v>
      </c>
      <c r="E637" s="69">
        <f>[1]Лист2!C630</f>
        <v>19</v>
      </c>
      <c r="F637" s="197" t="str">
        <f>[1]Лист2!D630</f>
        <v>Б</v>
      </c>
      <c r="G637" s="64"/>
      <c r="H637" s="199">
        <v>129630</v>
      </c>
      <c r="I637" s="64" t="s">
        <v>234</v>
      </c>
      <c r="J637" s="4"/>
      <c r="K637" s="64" t="s">
        <v>232</v>
      </c>
      <c r="L637" s="4" t="s">
        <v>232</v>
      </c>
      <c r="M637" s="72">
        <v>1846</v>
      </c>
      <c r="N637" s="64" t="s">
        <v>385</v>
      </c>
      <c r="O637" s="73">
        <v>4</v>
      </c>
      <c r="P637" s="196">
        <v>0</v>
      </c>
      <c r="Q637" s="73">
        <v>3</v>
      </c>
      <c r="R637" s="74">
        <v>36</v>
      </c>
      <c r="S637" s="76">
        <v>1020.5</v>
      </c>
      <c r="T637" s="82">
        <f t="shared" si="18"/>
        <v>1020.5</v>
      </c>
      <c r="U637" s="77">
        <f t="shared" si="19"/>
        <v>1020.5</v>
      </c>
      <c r="V637" s="78">
        <v>0</v>
      </c>
      <c r="W637" s="80" t="s">
        <v>233</v>
      </c>
      <c r="X637" s="81" t="s">
        <v>233</v>
      </c>
      <c r="Y637" s="4" t="s">
        <v>240</v>
      </c>
      <c r="Z637" s="81" t="s">
        <v>233</v>
      </c>
      <c r="AA637" s="64" t="s">
        <v>233</v>
      </c>
      <c r="AB637" s="81" t="s">
        <v>233</v>
      </c>
      <c r="AC637" s="4" t="s">
        <v>233</v>
      </c>
      <c r="AD637" s="64" t="s">
        <v>233</v>
      </c>
      <c r="AE637" s="64" t="s">
        <v>240</v>
      </c>
      <c r="AF637" s="211">
        <v>0</v>
      </c>
      <c r="AG637" s="4">
        <v>1</v>
      </c>
      <c r="AH637" s="64">
        <v>1</v>
      </c>
      <c r="AI637" s="4">
        <v>0</v>
      </c>
      <c r="AJ637" s="4">
        <v>0</v>
      </c>
      <c r="AK637" s="4">
        <v>0</v>
      </c>
    </row>
    <row r="638" spans="1:37" outlineLevel="1">
      <c r="A638" s="63">
        <v>631</v>
      </c>
      <c r="B638" s="64" t="s">
        <v>190</v>
      </c>
      <c r="C638" s="64" t="s">
        <v>238</v>
      </c>
      <c r="D638" s="4" t="str">
        <f>[1]Лист2!B631</f>
        <v>РИЖСКИЙ пр.</v>
      </c>
      <c r="E638" s="69">
        <f>[1]Лист2!C631</f>
        <v>19</v>
      </c>
      <c r="F638" s="197" t="str">
        <f>[1]Лист2!D631</f>
        <v>В</v>
      </c>
      <c r="G638" s="4"/>
      <c r="H638" s="199">
        <v>129631</v>
      </c>
      <c r="I638" s="64" t="s">
        <v>234</v>
      </c>
      <c r="J638" s="4"/>
      <c r="K638" s="64" t="s">
        <v>232</v>
      </c>
      <c r="L638" s="4" t="s">
        <v>232</v>
      </c>
      <c r="M638" s="72">
        <v>1846</v>
      </c>
      <c r="N638" s="64" t="s">
        <v>385</v>
      </c>
      <c r="O638" s="73">
        <v>4</v>
      </c>
      <c r="P638" s="196">
        <v>0</v>
      </c>
      <c r="Q638" s="73">
        <v>1</v>
      </c>
      <c r="R638" s="74">
        <v>16</v>
      </c>
      <c r="S638" s="76">
        <v>522.79999999999995</v>
      </c>
      <c r="T638" s="82">
        <f t="shared" si="18"/>
        <v>522.79999999999995</v>
      </c>
      <c r="U638" s="77">
        <f t="shared" si="19"/>
        <v>522.79999999999995</v>
      </c>
      <c r="V638" s="78">
        <v>0</v>
      </c>
      <c r="W638" s="80" t="s">
        <v>233</v>
      </c>
      <c r="X638" s="81" t="s">
        <v>233</v>
      </c>
      <c r="Y638" s="4" t="s">
        <v>240</v>
      </c>
      <c r="Z638" s="81" t="s">
        <v>233</v>
      </c>
      <c r="AA638" s="64" t="s">
        <v>233</v>
      </c>
      <c r="AB638" s="81" t="s">
        <v>233</v>
      </c>
      <c r="AC638" s="4" t="s">
        <v>233</v>
      </c>
      <c r="AD638" s="64" t="s">
        <v>233</v>
      </c>
      <c r="AE638" s="64" t="s">
        <v>240</v>
      </c>
      <c r="AF638" s="211">
        <v>0</v>
      </c>
      <c r="AG638" s="4">
        <v>1</v>
      </c>
      <c r="AH638" s="64">
        <v>1</v>
      </c>
      <c r="AI638" s="4">
        <v>0</v>
      </c>
      <c r="AJ638" s="4">
        <v>0</v>
      </c>
      <c r="AK638" s="4">
        <v>0</v>
      </c>
    </row>
    <row r="639" spans="1:37" outlineLevel="1">
      <c r="A639" s="63">
        <v>632</v>
      </c>
      <c r="B639" s="64" t="s">
        <v>190</v>
      </c>
      <c r="C639" s="64" t="s">
        <v>238</v>
      </c>
      <c r="D639" s="4" t="str">
        <f>[1]Лист2!B632</f>
        <v>РИЖСКИЙ пр.</v>
      </c>
      <c r="E639" s="69">
        <f>[1]Лист2!C632</f>
        <v>19</v>
      </c>
      <c r="F639" s="197" t="str">
        <f>[1]Лист2!D632</f>
        <v>Г</v>
      </c>
      <c r="G639" s="4"/>
      <c r="H639" s="199">
        <v>129632</v>
      </c>
      <c r="I639" s="64" t="s">
        <v>234</v>
      </c>
      <c r="J639" s="4"/>
      <c r="K639" s="64" t="s">
        <v>232</v>
      </c>
      <c r="L639" s="4" t="s">
        <v>232</v>
      </c>
      <c r="M639" s="72">
        <v>1846</v>
      </c>
      <c r="N639" s="64" t="s">
        <v>385</v>
      </c>
      <c r="O639" s="73">
        <v>4</v>
      </c>
      <c r="P639" s="196">
        <v>0</v>
      </c>
      <c r="Q639" s="73">
        <v>2</v>
      </c>
      <c r="R639" s="74">
        <v>32</v>
      </c>
      <c r="S639" s="76">
        <v>1173.5</v>
      </c>
      <c r="T639" s="82">
        <f t="shared" si="18"/>
        <v>903.1</v>
      </c>
      <c r="U639" s="77">
        <f t="shared" si="19"/>
        <v>903.1</v>
      </c>
      <c r="V639" s="78">
        <v>270.39999999999998</v>
      </c>
      <c r="W639" s="80" t="s">
        <v>233</v>
      </c>
      <c r="X639" s="81" t="s">
        <v>233</v>
      </c>
      <c r="Y639" s="4" t="s">
        <v>240</v>
      </c>
      <c r="Z639" s="81" t="s">
        <v>233</v>
      </c>
      <c r="AA639" s="64" t="s">
        <v>233</v>
      </c>
      <c r="AB639" s="81" t="s">
        <v>233</v>
      </c>
      <c r="AC639" s="4" t="s">
        <v>233</v>
      </c>
      <c r="AD639" s="64" t="s">
        <v>233</v>
      </c>
      <c r="AE639" s="64" t="s">
        <v>240</v>
      </c>
      <c r="AF639" s="211">
        <v>0</v>
      </c>
      <c r="AG639" s="4">
        <v>1</v>
      </c>
      <c r="AH639" s="64">
        <v>1</v>
      </c>
      <c r="AI639" s="4">
        <v>0</v>
      </c>
      <c r="AJ639" s="4">
        <v>0</v>
      </c>
      <c r="AK639" s="4">
        <v>0</v>
      </c>
    </row>
    <row r="640" spans="1:37" outlineLevel="1">
      <c r="A640" s="5">
        <v>633</v>
      </c>
      <c r="B640" s="64" t="s">
        <v>190</v>
      </c>
      <c r="C640" s="64" t="s">
        <v>238</v>
      </c>
      <c r="D640" s="4" t="str">
        <f>[1]Лист2!B633</f>
        <v>РИЖСКИЙ пр.</v>
      </c>
      <c r="E640" s="69">
        <f>[1]Лист2!C633</f>
        <v>20</v>
      </c>
      <c r="F640" s="197" t="str">
        <f>[1]Лист2!D633</f>
        <v>И</v>
      </c>
      <c r="G640" s="64"/>
      <c r="H640" s="199">
        <v>129633</v>
      </c>
      <c r="I640" s="64" t="s">
        <v>234</v>
      </c>
      <c r="J640" s="4"/>
      <c r="K640" s="64" t="s">
        <v>232</v>
      </c>
      <c r="L640" s="4" t="s">
        <v>232</v>
      </c>
      <c r="M640" s="72">
        <v>1911</v>
      </c>
      <c r="N640" s="64" t="s">
        <v>385</v>
      </c>
      <c r="O640" s="73">
        <v>6</v>
      </c>
      <c r="P640" s="196">
        <v>0</v>
      </c>
      <c r="Q640" s="73">
        <v>3</v>
      </c>
      <c r="R640" s="74">
        <v>143</v>
      </c>
      <c r="S640" s="76">
        <v>3474</v>
      </c>
      <c r="T640" s="82">
        <f t="shared" si="18"/>
        <v>2936.8</v>
      </c>
      <c r="U640" s="77">
        <f t="shared" si="19"/>
        <v>2936.8</v>
      </c>
      <c r="V640" s="78">
        <v>537.20000000000005</v>
      </c>
      <c r="W640" s="80" t="s">
        <v>233</v>
      </c>
      <c r="X640" s="81" t="s">
        <v>233</v>
      </c>
      <c r="Y640" s="4" t="s">
        <v>233</v>
      </c>
      <c r="Z640" s="81" t="s">
        <v>233</v>
      </c>
      <c r="AA640" s="64" t="s">
        <v>233</v>
      </c>
      <c r="AB640" s="81" t="s">
        <v>233</v>
      </c>
      <c r="AC640" s="4" t="s">
        <v>240</v>
      </c>
      <c r="AD640" s="64" t="s">
        <v>233</v>
      </c>
      <c r="AE640" s="64" t="s">
        <v>240</v>
      </c>
      <c r="AF640" s="211">
        <v>0</v>
      </c>
      <c r="AG640" s="4">
        <v>2</v>
      </c>
      <c r="AH640" s="64">
        <v>1</v>
      </c>
      <c r="AI640" s="4">
        <v>1</v>
      </c>
      <c r="AJ640" s="4">
        <v>1</v>
      </c>
      <c r="AK640" s="4">
        <v>0</v>
      </c>
    </row>
    <row r="641" spans="1:37" outlineLevel="1">
      <c r="A641" s="5">
        <v>634</v>
      </c>
      <c r="B641" s="64" t="s">
        <v>190</v>
      </c>
      <c r="C641" s="64" t="s">
        <v>238</v>
      </c>
      <c r="D641" s="4" t="str">
        <f>[1]Лист2!B634</f>
        <v>РИЖСКИЙ пр.</v>
      </c>
      <c r="E641" s="69">
        <f>[1]Лист2!C634</f>
        <v>22</v>
      </c>
      <c r="F641" s="197" t="str">
        <f>[1]Лист2!D634</f>
        <v>А</v>
      </c>
      <c r="G641" s="64"/>
      <c r="H641" s="199">
        <v>129634</v>
      </c>
      <c r="I641" s="64" t="s">
        <v>234</v>
      </c>
      <c r="J641" s="4"/>
      <c r="K641" s="64" t="s">
        <v>232</v>
      </c>
      <c r="L641" s="4" t="s">
        <v>232</v>
      </c>
      <c r="M641" s="72">
        <v>1893</v>
      </c>
      <c r="N641" s="64" t="s">
        <v>385</v>
      </c>
      <c r="O641" s="73">
        <v>5</v>
      </c>
      <c r="P641" s="196">
        <v>0</v>
      </c>
      <c r="Q641" s="73">
        <v>2</v>
      </c>
      <c r="R641" s="74">
        <v>56</v>
      </c>
      <c r="S641" s="76">
        <v>1810</v>
      </c>
      <c r="T641" s="82">
        <f t="shared" si="18"/>
        <v>1456</v>
      </c>
      <c r="U641" s="77">
        <f t="shared" si="19"/>
        <v>1456</v>
      </c>
      <c r="V641" s="78">
        <v>354</v>
      </c>
      <c r="W641" s="80" t="s">
        <v>233</v>
      </c>
      <c r="X641" s="81" t="s">
        <v>233</v>
      </c>
      <c r="Y641" s="4" t="s">
        <v>233</v>
      </c>
      <c r="Z641" s="81" t="s">
        <v>233</v>
      </c>
      <c r="AA641" s="64" t="s">
        <v>233</v>
      </c>
      <c r="AB641" s="81" t="s">
        <v>233</v>
      </c>
      <c r="AC641" s="4" t="s">
        <v>240</v>
      </c>
      <c r="AD641" s="64" t="s">
        <v>233</v>
      </c>
      <c r="AE641" s="64" t="s">
        <v>240</v>
      </c>
      <c r="AF641" s="210">
        <v>2</v>
      </c>
      <c r="AG641" s="4">
        <v>1</v>
      </c>
      <c r="AH641" s="64">
        <v>1</v>
      </c>
      <c r="AI641" s="4">
        <v>0</v>
      </c>
      <c r="AJ641" s="4">
        <v>0</v>
      </c>
      <c r="AK641" s="4">
        <v>0</v>
      </c>
    </row>
    <row r="642" spans="1:37" outlineLevel="1">
      <c r="A642" s="5">
        <v>635</v>
      </c>
      <c r="B642" s="64" t="s">
        <v>190</v>
      </c>
      <c r="C642" s="64" t="s">
        <v>238</v>
      </c>
      <c r="D642" s="4" t="str">
        <f>[1]Лист2!B635</f>
        <v>РИЖСКИЙ пр.</v>
      </c>
      <c r="E642" s="69">
        <f>[1]Лист2!C635</f>
        <v>36</v>
      </c>
      <c r="F642" s="197" t="str">
        <f>[1]Лист2!D635</f>
        <v>А</v>
      </c>
      <c r="G642" s="4"/>
      <c r="H642" s="199">
        <v>129635</v>
      </c>
      <c r="I642" s="64" t="s">
        <v>234</v>
      </c>
      <c r="J642" s="4"/>
      <c r="K642" s="64" t="s">
        <v>232</v>
      </c>
      <c r="L642" s="4" t="s">
        <v>232</v>
      </c>
      <c r="M642" s="72">
        <v>1928</v>
      </c>
      <c r="N642" s="64" t="s">
        <v>385</v>
      </c>
      <c r="O642" s="73">
        <v>4</v>
      </c>
      <c r="P642" s="196">
        <v>0</v>
      </c>
      <c r="Q642" s="73">
        <v>4</v>
      </c>
      <c r="R642" s="74">
        <v>20</v>
      </c>
      <c r="S642" s="76">
        <v>2067.1999999999998</v>
      </c>
      <c r="T642" s="82">
        <f t="shared" si="18"/>
        <v>1983.6999999999998</v>
      </c>
      <c r="U642" s="77">
        <f t="shared" si="19"/>
        <v>1983.6999999999998</v>
      </c>
      <c r="V642" s="78">
        <v>83.5</v>
      </c>
      <c r="W642" s="80" t="s">
        <v>233</v>
      </c>
      <c r="X642" s="81" t="s">
        <v>233</v>
      </c>
      <c r="Y642" s="4" t="s">
        <v>233</v>
      </c>
      <c r="Z642" s="81" t="s">
        <v>233</v>
      </c>
      <c r="AA642" s="64" t="s">
        <v>233</v>
      </c>
      <c r="AB642" s="81" t="s">
        <v>233</v>
      </c>
      <c r="AC642" s="4" t="s">
        <v>240</v>
      </c>
      <c r="AD642" s="64" t="s">
        <v>233</v>
      </c>
      <c r="AE642" s="64" t="s">
        <v>240</v>
      </c>
      <c r="AF642" s="210">
        <v>0</v>
      </c>
      <c r="AG642" s="4">
        <v>1</v>
      </c>
      <c r="AH642" s="64">
        <v>1</v>
      </c>
      <c r="AI642" s="4">
        <v>0</v>
      </c>
      <c r="AJ642" s="4">
        <v>0</v>
      </c>
      <c r="AK642" s="4">
        <v>0</v>
      </c>
    </row>
    <row r="643" spans="1:37" s="66" customFormat="1" outlineLevel="1">
      <c r="A643" s="5">
        <v>636</v>
      </c>
      <c r="B643" s="64" t="s">
        <v>190</v>
      </c>
      <c r="C643" s="64" t="s">
        <v>238</v>
      </c>
      <c r="D643" s="64" t="str">
        <f>[1]Лист2!B636</f>
        <v>РИЖСКИЙ пр.</v>
      </c>
      <c r="E643" s="71">
        <f>[1]Лист2!C636</f>
        <v>8</v>
      </c>
      <c r="F643" s="196" t="s">
        <v>191</v>
      </c>
      <c r="G643" s="64"/>
      <c r="H643" s="67">
        <v>129636</v>
      </c>
      <c r="I643" s="64" t="s">
        <v>234</v>
      </c>
      <c r="J643" s="4" t="s">
        <v>1422</v>
      </c>
      <c r="K643" s="64" t="s">
        <v>232</v>
      </c>
      <c r="L643" s="64" t="s">
        <v>232</v>
      </c>
      <c r="M643" s="72">
        <v>1917</v>
      </c>
      <c r="N643" s="64" t="s">
        <v>385</v>
      </c>
      <c r="O643" s="73">
        <v>4</v>
      </c>
      <c r="P643" s="196">
        <v>0</v>
      </c>
      <c r="Q643" s="73">
        <v>4</v>
      </c>
      <c r="R643" s="203">
        <v>22</v>
      </c>
      <c r="S643" s="75">
        <v>2587</v>
      </c>
      <c r="T643" s="82">
        <f t="shared" si="18"/>
        <v>0</v>
      </c>
      <c r="U643" s="77">
        <f t="shared" si="19"/>
        <v>0</v>
      </c>
      <c r="V643" s="77">
        <v>2587</v>
      </c>
      <c r="W643" s="80" t="s">
        <v>233</v>
      </c>
      <c r="X643" s="81" t="s">
        <v>233</v>
      </c>
      <c r="Y643" s="64" t="s">
        <v>233</v>
      </c>
      <c r="Z643" s="81" t="s">
        <v>233</v>
      </c>
      <c r="AA643" s="64" t="s">
        <v>233</v>
      </c>
      <c r="AB643" s="81" t="s">
        <v>233</v>
      </c>
      <c r="AC643" s="4" t="s">
        <v>240</v>
      </c>
      <c r="AD643" s="64" t="s">
        <v>233</v>
      </c>
      <c r="AE643" s="64" t="s">
        <v>240</v>
      </c>
      <c r="AF643" s="210">
        <v>0</v>
      </c>
      <c r="AG643" s="4">
        <v>1</v>
      </c>
      <c r="AH643" s="64">
        <v>1</v>
      </c>
      <c r="AI643" s="64">
        <v>0</v>
      </c>
      <c r="AJ643" s="64">
        <v>0</v>
      </c>
      <c r="AK643" s="64">
        <v>0</v>
      </c>
    </row>
    <row r="644" spans="1:37" outlineLevel="1">
      <c r="A644" s="63">
        <v>637</v>
      </c>
      <c r="B644" s="64" t="s">
        <v>190</v>
      </c>
      <c r="C644" s="4" t="s">
        <v>237</v>
      </c>
      <c r="D644" s="4" t="str">
        <f>[1]Лист2!B637</f>
        <v>РИМСКОГО-КОРСАКОВА пр.</v>
      </c>
      <c r="E644" s="69">
        <f>[1]Лист2!C637</f>
        <v>103</v>
      </c>
      <c r="F644" s="197" t="str">
        <f>[1]Лист2!D637</f>
        <v>А</v>
      </c>
      <c r="G644" s="64"/>
      <c r="H644" s="199">
        <v>129637</v>
      </c>
      <c r="I644" s="64" t="s">
        <v>234</v>
      </c>
      <c r="J644" s="4"/>
      <c r="K644" s="64" t="s">
        <v>232</v>
      </c>
      <c r="L644" s="4" t="s">
        <v>232</v>
      </c>
      <c r="M644" s="72">
        <v>1825</v>
      </c>
      <c r="N644" s="64" t="s">
        <v>385</v>
      </c>
      <c r="O644" s="73">
        <v>5</v>
      </c>
      <c r="P644" s="196">
        <v>0</v>
      </c>
      <c r="Q644" s="73">
        <v>5</v>
      </c>
      <c r="R644" s="74">
        <v>41</v>
      </c>
      <c r="S644" s="76">
        <v>3395.39</v>
      </c>
      <c r="T644" s="82">
        <f t="shared" si="18"/>
        <v>3023.39</v>
      </c>
      <c r="U644" s="77">
        <f t="shared" si="19"/>
        <v>3023.39</v>
      </c>
      <c r="V644" s="78">
        <v>372</v>
      </c>
      <c r="W644" s="80" t="s">
        <v>233</v>
      </c>
      <c r="X644" s="81" t="s">
        <v>233</v>
      </c>
      <c r="Y644" s="4" t="s">
        <v>233</v>
      </c>
      <c r="Z644" s="81" t="s">
        <v>233</v>
      </c>
      <c r="AA644" s="64" t="s">
        <v>233</v>
      </c>
      <c r="AB644" s="81" t="s">
        <v>233</v>
      </c>
      <c r="AC644" s="4" t="s">
        <v>240</v>
      </c>
      <c r="AD644" s="64" t="s">
        <v>233</v>
      </c>
      <c r="AE644" s="64" t="s">
        <v>240</v>
      </c>
      <c r="AF644" s="210">
        <v>0</v>
      </c>
      <c r="AG644" s="4">
        <v>1</v>
      </c>
      <c r="AH644" s="64">
        <v>1</v>
      </c>
      <c r="AI644" s="4">
        <v>0</v>
      </c>
      <c r="AJ644" s="4">
        <v>0</v>
      </c>
      <c r="AK644" s="4">
        <v>0</v>
      </c>
    </row>
    <row r="645" spans="1:37" outlineLevel="1">
      <c r="A645" s="63">
        <v>638</v>
      </c>
      <c r="B645" s="64" t="s">
        <v>190</v>
      </c>
      <c r="C645" s="4" t="s">
        <v>237</v>
      </c>
      <c r="D645" s="4" t="str">
        <f>[1]Лист2!B638</f>
        <v>РИМСКОГО-КОРСАКОВА пр.</v>
      </c>
      <c r="E645" s="69">
        <f>[1]Лист2!C638</f>
        <v>20</v>
      </c>
      <c r="F645" s="197" t="str">
        <f>[1]Лист2!D638</f>
        <v>А</v>
      </c>
      <c r="G645" s="64"/>
      <c r="H645" s="199">
        <v>129638</v>
      </c>
      <c r="I645" s="64" t="s">
        <v>234</v>
      </c>
      <c r="J645" s="4"/>
      <c r="K645" s="64" t="s">
        <v>232</v>
      </c>
      <c r="L645" s="4" t="s">
        <v>232</v>
      </c>
      <c r="M645" s="72">
        <v>1851</v>
      </c>
      <c r="N645" s="64" t="s">
        <v>385</v>
      </c>
      <c r="O645" s="73">
        <v>3</v>
      </c>
      <c r="P645" s="196">
        <v>0</v>
      </c>
      <c r="Q645" s="73">
        <v>5</v>
      </c>
      <c r="R645" s="74">
        <v>30</v>
      </c>
      <c r="S645" s="76">
        <v>2607.9300000000003</v>
      </c>
      <c r="T645" s="82">
        <f t="shared" si="18"/>
        <v>2006.1300000000003</v>
      </c>
      <c r="U645" s="77">
        <f t="shared" si="19"/>
        <v>2006.1300000000003</v>
      </c>
      <c r="V645" s="78">
        <v>601.79999999999995</v>
      </c>
      <c r="W645" s="80" t="s">
        <v>233</v>
      </c>
      <c r="X645" s="81" t="s">
        <v>233</v>
      </c>
      <c r="Y645" s="4" t="s">
        <v>240</v>
      </c>
      <c r="Z645" s="81" t="s">
        <v>233</v>
      </c>
      <c r="AA645" s="64" t="s">
        <v>233</v>
      </c>
      <c r="AB645" s="81" t="s">
        <v>233</v>
      </c>
      <c r="AC645" s="4" t="s">
        <v>233</v>
      </c>
      <c r="AD645" s="64" t="s">
        <v>233</v>
      </c>
      <c r="AE645" s="64" t="s">
        <v>240</v>
      </c>
      <c r="AF645" s="210">
        <v>0</v>
      </c>
      <c r="AG645" s="4">
        <v>1</v>
      </c>
      <c r="AH645" s="64">
        <v>1</v>
      </c>
      <c r="AI645" s="4">
        <v>0</v>
      </c>
      <c r="AJ645" s="4">
        <v>1</v>
      </c>
      <c r="AK645" s="4">
        <v>0</v>
      </c>
    </row>
    <row r="646" spans="1:37" outlineLevel="1">
      <c r="A646" s="5">
        <v>639</v>
      </c>
      <c r="B646" s="64" t="s">
        <v>190</v>
      </c>
      <c r="C646" s="4" t="s">
        <v>237</v>
      </c>
      <c r="D646" s="4" t="str">
        <f>[1]Лист2!B639</f>
        <v>РИМСКОГО-КОРСАКОВА пр.</v>
      </c>
      <c r="E646" s="69">
        <f>[1]Лист2!C639</f>
        <v>24</v>
      </c>
      <c r="F646" s="197" t="str">
        <f>[1]Лист2!D639</f>
        <v>А</v>
      </c>
      <c r="G646" s="4"/>
      <c r="H646" s="199">
        <v>129639</v>
      </c>
      <c r="I646" s="64" t="s">
        <v>234</v>
      </c>
      <c r="J646" s="4" t="s">
        <v>1422</v>
      </c>
      <c r="K646" s="64" t="s">
        <v>232</v>
      </c>
      <c r="L646" s="4" t="s">
        <v>232</v>
      </c>
      <c r="M646" s="72">
        <v>1917</v>
      </c>
      <c r="N646" s="64" t="s">
        <v>385</v>
      </c>
      <c r="O646" s="73">
        <v>3</v>
      </c>
      <c r="P646" s="196">
        <v>0</v>
      </c>
      <c r="Q646" s="73">
        <v>3</v>
      </c>
      <c r="R646" s="203">
        <v>15</v>
      </c>
      <c r="S646" s="76">
        <v>1664.29</v>
      </c>
      <c r="T646" s="82">
        <f t="shared" si="18"/>
        <v>0</v>
      </c>
      <c r="U646" s="77">
        <f t="shared" si="19"/>
        <v>0</v>
      </c>
      <c r="V646" s="78">
        <v>1664.29</v>
      </c>
      <c r="W646" s="80" t="s">
        <v>233</v>
      </c>
      <c r="X646" s="81" t="s">
        <v>233</v>
      </c>
      <c r="Y646" s="4" t="s">
        <v>233</v>
      </c>
      <c r="Z646" s="81" t="s">
        <v>233</v>
      </c>
      <c r="AA646" s="64" t="s">
        <v>233</v>
      </c>
      <c r="AB646" s="81" t="s">
        <v>233</v>
      </c>
      <c r="AC646" s="4" t="s">
        <v>240</v>
      </c>
      <c r="AD646" s="64" t="s">
        <v>233</v>
      </c>
      <c r="AE646" s="64" t="s">
        <v>240</v>
      </c>
      <c r="AF646" s="210">
        <v>0</v>
      </c>
      <c r="AG646" s="4">
        <v>1</v>
      </c>
      <c r="AH646" s="64">
        <v>1</v>
      </c>
      <c r="AI646" s="4">
        <v>0</v>
      </c>
      <c r="AJ646" s="4">
        <v>0</v>
      </c>
      <c r="AK646" s="4">
        <v>0</v>
      </c>
    </row>
    <row r="647" spans="1:37" outlineLevel="1">
      <c r="A647" s="5">
        <v>640</v>
      </c>
      <c r="B647" s="64" t="s">
        <v>190</v>
      </c>
      <c r="C647" s="4" t="s">
        <v>237</v>
      </c>
      <c r="D647" s="4" t="str">
        <f>[1]Лист2!B640</f>
        <v>РИМСКОГО-КОРСАКОВА пр.</v>
      </c>
      <c r="E647" s="69">
        <f>[1]Лист2!C640</f>
        <v>49</v>
      </c>
      <c r="F647" s="197" t="str">
        <f>[1]Лист2!D640</f>
        <v>А</v>
      </c>
      <c r="G647" s="4"/>
      <c r="H647" s="199">
        <v>129640</v>
      </c>
      <c r="I647" s="64" t="s">
        <v>234</v>
      </c>
      <c r="J647" s="4"/>
      <c r="K647" s="64" t="s">
        <v>232</v>
      </c>
      <c r="L647" s="4" t="s">
        <v>232</v>
      </c>
      <c r="M647" s="72">
        <v>1798</v>
      </c>
      <c r="N647" s="64" t="s">
        <v>385</v>
      </c>
      <c r="O647" s="73">
        <v>3</v>
      </c>
      <c r="P647" s="196">
        <v>0</v>
      </c>
      <c r="Q647" s="73">
        <v>5</v>
      </c>
      <c r="R647" s="74">
        <v>14</v>
      </c>
      <c r="S647" s="76">
        <v>3296.1</v>
      </c>
      <c r="T647" s="82">
        <f t="shared" si="18"/>
        <v>2365.96</v>
      </c>
      <c r="U647" s="77">
        <f t="shared" si="19"/>
        <v>2365.96</v>
      </c>
      <c r="V647" s="78">
        <v>930.14</v>
      </c>
      <c r="W647" s="80" t="s">
        <v>233</v>
      </c>
      <c r="X647" s="81" t="s">
        <v>233</v>
      </c>
      <c r="Y647" s="4" t="s">
        <v>233</v>
      </c>
      <c r="Z647" s="81" t="s">
        <v>233</v>
      </c>
      <c r="AA647" s="64" t="s">
        <v>233</v>
      </c>
      <c r="AB647" s="81" t="s">
        <v>233</v>
      </c>
      <c r="AC647" s="4" t="s">
        <v>240</v>
      </c>
      <c r="AD647" s="64" t="s">
        <v>233</v>
      </c>
      <c r="AE647" s="64" t="s">
        <v>240</v>
      </c>
      <c r="AF647" s="210">
        <v>0</v>
      </c>
      <c r="AG647" s="4">
        <v>1</v>
      </c>
      <c r="AH647" s="64">
        <v>1</v>
      </c>
      <c r="AI647" s="4">
        <v>0</v>
      </c>
      <c r="AJ647" s="4">
        <v>0</v>
      </c>
      <c r="AK647" s="4">
        <v>0</v>
      </c>
    </row>
    <row r="648" spans="1:37" outlineLevel="1">
      <c r="A648" s="5">
        <v>641</v>
      </c>
      <c r="B648" s="64" t="s">
        <v>190</v>
      </c>
      <c r="C648" s="4" t="s">
        <v>237</v>
      </c>
      <c r="D648" s="4" t="str">
        <f>[1]Лист2!B641</f>
        <v>РИМСКОГО-КОРСАКОВА пр.</v>
      </c>
      <c r="E648" s="69">
        <f>[1]Лист2!C641</f>
        <v>51</v>
      </c>
      <c r="F648" s="197" t="str">
        <f>[1]Лист2!D641</f>
        <v>А</v>
      </c>
      <c r="G648" s="64"/>
      <c r="H648" s="199">
        <v>129641</v>
      </c>
      <c r="I648" s="64" t="s">
        <v>234</v>
      </c>
      <c r="J648" s="4"/>
      <c r="K648" s="64" t="s">
        <v>232</v>
      </c>
      <c r="L648" s="4" t="s">
        <v>232</v>
      </c>
      <c r="M648" s="72">
        <v>1917</v>
      </c>
      <c r="N648" s="64" t="s">
        <v>385</v>
      </c>
      <c r="O648" s="73">
        <v>3</v>
      </c>
      <c r="P648" s="196">
        <v>0</v>
      </c>
      <c r="Q648" s="73">
        <v>7</v>
      </c>
      <c r="R648" s="74">
        <v>81</v>
      </c>
      <c r="S648" s="76">
        <v>4287.2</v>
      </c>
      <c r="T648" s="82">
        <f t="shared" si="18"/>
        <v>3317.77</v>
      </c>
      <c r="U648" s="77">
        <f t="shared" si="19"/>
        <v>3317.77</v>
      </c>
      <c r="V648" s="78">
        <v>969.43</v>
      </c>
      <c r="W648" s="80" t="s">
        <v>233</v>
      </c>
      <c r="X648" s="81" t="s">
        <v>233</v>
      </c>
      <c r="Y648" s="4" t="s">
        <v>233</v>
      </c>
      <c r="Z648" s="81" t="s">
        <v>233</v>
      </c>
      <c r="AA648" s="64" t="s">
        <v>233</v>
      </c>
      <c r="AB648" s="81" t="s">
        <v>233</v>
      </c>
      <c r="AC648" s="4" t="s">
        <v>240</v>
      </c>
      <c r="AD648" s="64" t="s">
        <v>233</v>
      </c>
      <c r="AE648" s="64" t="s">
        <v>240</v>
      </c>
      <c r="AF648" s="210">
        <v>0</v>
      </c>
      <c r="AG648" s="4">
        <v>1</v>
      </c>
      <c r="AH648" s="64">
        <v>1</v>
      </c>
      <c r="AI648" s="4">
        <v>1</v>
      </c>
      <c r="AJ648" s="4">
        <v>1</v>
      </c>
      <c r="AK648" s="4">
        <v>0</v>
      </c>
    </row>
    <row r="649" spans="1:37" outlineLevel="1">
      <c r="A649" s="5">
        <v>642</v>
      </c>
      <c r="B649" s="64" t="s">
        <v>190</v>
      </c>
      <c r="C649" s="4" t="s">
        <v>237</v>
      </c>
      <c r="D649" s="4" t="str">
        <f>[1]Лист2!B642</f>
        <v>РИМСКОГО-КОРСАКОВА пр.</v>
      </c>
      <c r="E649" s="69">
        <f>[1]Лист2!C642</f>
        <v>57</v>
      </c>
      <c r="F649" s="197" t="str">
        <f>[1]Лист2!D642</f>
        <v>А</v>
      </c>
      <c r="G649" s="64"/>
      <c r="H649" s="199">
        <v>129642</v>
      </c>
      <c r="I649" s="64" t="s">
        <v>234</v>
      </c>
      <c r="J649" s="4"/>
      <c r="K649" s="64" t="s">
        <v>232</v>
      </c>
      <c r="L649" s="4" t="s">
        <v>232</v>
      </c>
      <c r="M649" s="72">
        <v>1847</v>
      </c>
      <c r="N649" s="64" t="s">
        <v>385</v>
      </c>
      <c r="O649" s="73">
        <v>5</v>
      </c>
      <c r="P649" s="196">
        <v>0</v>
      </c>
      <c r="Q649" s="73">
        <v>1</v>
      </c>
      <c r="R649" s="74">
        <v>23</v>
      </c>
      <c r="S649" s="76">
        <v>815.8</v>
      </c>
      <c r="T649" s="82">
        <f t="shared" ref="T649:T712" si="20">U649</f>
        <v>783.8</v>
      </c>
      <c r="U649" s="77">
        <f t="shared" ref="U649:U712" si="21">S649-V649</f>
        <v>783.8</v>
      </c>
      <c r="V649" s="78">
        <v>32</v>
      </c>
      <c r="W649" s="80" t="s">
        <v>233</v>
      </c>
      <c r="X649" s="81" t="s">
        <v>233</v>
      </c>
      <c r="Y649" s="4" t="s">
        <v>233</v>
      </c>
      <c r="Z649" s="81" t="s">
        <v>233</v>
      </c>
      <c r="AA649" s="64" t="s">
        <v>233</v>
      </c>
      <c r="AB649" s="81" t="s">
        <v>233</v>
      </c>
      <c r="AC649" s="4" t="s">
        <v>240</v>
      </c>
      <c r="AD649" s="64" t="s">
        <v>233</v>
      </c>
      <c r="AE649" s="64" t="s">
        <v>240</v>
      </c>
      <c r="AF649" s="210">
        <v>1</v>
      </c>
      <c r="AG649" s="4">
        <v>1</v>
      </c>
      <c r="AH649" s="64">
        <v>1</v>
      </c>
      <c r="AI649" s="4">
        <v>0</v>
      </c>
      <c r="AJ649" s="4">
        <v>0</v>
      </c>
      <c r="AK649" s="4">
        <v>0</v>
      </c>
    </row>
    <row r="650" spans="1:37" outlineLevel="1">
      <c r="A650" s="63">
        <v>643</v>
      </c>
      <c r="B650" s="64" t="s">
        <v>190</v>
      </c>
      <c r="C650" s="4" t="s">
        <v>237</v>
      </c>
      <c r="D650" s="4" t="str">
        <f>[1]Лист2!B643</f>
        <v>РИМСКОГО-КОРСАКОВА пр.</v>
      </c>
      <c r="E650" s="69">
        <f>[1]Лист2!C643</f>
        <v>59</v>
      </c>
      <c r="F650" s="197" t="str">
        <f>[1]Лист2!D643</f>
        <v>А</v>
      </c>
      <c r="G650" s="4"/>
      <c r="H650" s="199">
        <v>129643</v>
      </c>
      <c r="I650" s="64" t="s">
        <v>234</v>
      </c>
      <c r="J650" s="4"/>
      <c r="K650" s="64" t="s">
        <v>232</v>
      </c>
      <c r="L650" s="4" t="s">
        <v>232</v>
      </c>
      <c r="M650" s="72">
        <v>1878</v>
      </c>
      <c r="N650" s="64" t="s">
        <v>385</v>
      </c>
      <c r="O650" s="73">
        <v>4</v>
      </c>
      <c r="P650" s="196">
        <v>0</v>
      </c>
      <c r="Q650" s="73">
        <v>1</v>
      </c>
      <c r="R650" s="74">
        <v>33</v>
      </c>
      <c r="S650" s="76">
        <v>1071.7</v>
      </c>
      <c r="T650" s="82">
        <f t="shared" si="20"/>
        <v>820.7</v>
      </c>
      <c r="U650" s="77">
        <f t="shared" si="21"/>
        <v>820.7</v>
      </c>
      <c r="V650" s="78">
        <v>251</v>
      </c>
      <c r="W650" s="80" t="s">
        <v>233</v>
      </c>
      <c r="X650" s="81" t="s">
        <v>233</v>
      </c>
      <c r="Y650" s="4" t="s">
        <v>233</v>
      </c>
      <c r="Z650" s="81" t="s">
        <v>233</v>
      </c>
      <c r="AA650" s="64" t="s">
        <v>233</v>
      </c>
      <c r="AB650" s="81" t="s">
        <v>233</v>
      </c>
      <c r="AC650" s="4" t="s">
        <v>240</v>
      </c>
      <c r="AD650" s="64" t="s">
        <v>233</v>
      </c>
      <c r="AE650" s="64" t="s">
        <v>240</v>
      </c>
      <c r="AF650" s="210">
        <v>0</v>
      </c>
      <c r="AG650" s="4">
        <v>1</v>
      </c>
      <c r="AH650" s="64">
        <v>1</v>
      </c>
      <c r="AI650" s="4">
        <v>1</v>
      </c>
      <c r="AJ650" s="4">
        <v>1</v>
      </c>
      <c r="AK650" s="4">
        <v>0</v>
      </c>
    </row>
    <row r="651" spans="1:37" outlineLevel="1">
      <c r="A651" s="63">
        <v>644</v>
      </c>
      <c r="B651" s="64" t="s">
        <v>190</v>
      </c>
      <c r="C651" s="4" t="s">
        <v>237</v>
      </c>
      <c r="D651" s="4" t="str">
        <f>[1]Лист2!B644</f>
        <v>РИМСКОГО-КОРСАКОВА пр.</v>
      </c>
      <c r="E651" s="69">
        <f>[1]Лист2!C644</f>
        <v>59</v>
      </c>
      <c r="F651" s="197" t="str">
        <f>[1]Лист2!D644</f>
        <v>Б</v>
      </c>
      <c r="G651" s="4"/>
      <c r="H651" s="199">
        <v>129644</v>
      </c>
      <c r="I651" s="64" t="s">
        <v>234</v>
      </c>
      <c r="J651" s="4"/>
      <c r="K651" s="64" t="s">
        <v>232</v>
      </c>
      <c r="L651" s="4" t="s">
        <v>232</v>
      </c>
      <c r="M651" s="72">
        <v>1878</v>
      </c>
      <c r="N651" s="64" t="s">
        <v>385</v>
      </c>
      <c r="O651" s="73">
        <v>4</v>
      </c>
      <c r="P651" s="196">
        <v>0</v>
      </c>
      <c r="Q651" s="73">
        <v>2</v>
      </c>
      <c r="R651" s="74">
        <v>49</v>
      </c>
      <c r="S651" s="76">
        <v>1254.0999999999999</v>
      </c>
      <c r="T651" s="82">
        <f t="shared" si="20"/>
        <v>1234</v>
      </c>
      <c r="U651" s="77">
        <f t="shared" si="21"/>
        <v>1234</v>
      </c>
      <c r="V651" s="78">
        <v>20.100000000000001</v>
      </c>
      <c r="W651" s="80" t="s">
        <v>233</v>
      </c>
      <c r="X651" s="81" t="s">
        <v>233</v>
      </c>
      <c r="Y651" s="4" t="s">
        <v>233</v>
      </c>
      <c r="Z651" s="81" t="s">
        <v>233</v>
      </c>
      <c r="AA651" s="64" t="s">
        <v>233</v>
      </c>
      <c r="AB651" s="81" t="s">
        <v>233</v>
      </c>
      <c r="AC651" s="4" t="s">
        <v>240</v>
      </c>
      <c r="AD651" s="64" t="s">
        <v>233</v>
      </c>
      <c r="AE651" s="64" t="s">
        <v>240</v>
      </c>
      <c r="AF651" s="211">
        <v>0</v>
      </c>
      <c r="AG651" s="4">
        <v>1</v>
      </c>
      <c r="AH651" s="64">
        <v>1</v>
      </c>
      <c r="AI651" s="4">
        <v>0</v>
      </c>
      <c r="AJ651" s="4">
        <v>0</v>
      </c>
      <c r="AK651" s="4">
        <v>0</v>
      </c>
    </row>
    <row r="652" spans="1:37" outlineLevel="1">
      <c r="A652" s="5">
        <v>645</v>
      </c>
      <c r="B652" s="64" t="s">
        <v>190</v>
      </c>
      <c r="C652" s="4" t="s">
        <v>237</v>
      </c>
      <c r="D652" s="4" t="str">
        <f>[1]Лист2!B645</f>
        <v>РИМСКОГО-КОРСАКОВА пр.</v>
      </c>
      <c r="E652" s="69">
        <f>[1]Лист2!C645</f>
        <v>61</v>
      </c>
      <c r="F652" s="197" t="str">
        <f>[1]Лист2!D645</f>
        <v>А</v>
      </c>
      <c r="G652" s="64"/>
      <c r="H652" s="199">
        <v>129645</v>
      </c>
      <c r="I652" s="64" t="s">
        <v>234</v>
      </c>
      <c r="J652" s="4"/>
      <c r="K652" s="64" t="s">
        <v>232</v>
      </c>
      <c r="L652" s="4" t="s">
        <v>232</v>
      </c>
      <c r="M652" s="72">
        <v>1851</v>
      </c>
      <c r="N652" s="64" t="s">
        <v>385</v>
      </c>
      <c r="O652" s="73">
        <v>4</v>
      </c>
      <c r="P652" s="196">
        <v>0</v>
      </c>
      <c r="Q652" s="73">
        <v>4</v>
      </c>
      <c r="R652" s="74">
        <v>110</v>
      </c>
      <c r="S652" s="76">
        <v>3030.26</v>
      </c>
      <c r="T652" s="82">
        <f t="shared" si="20"/>
        <v>3030.26</v>
      </c>
      <c r="U652" s="77">
        <f t="shared" si="21"/>
        <v>3030.26</v>
      </c>
      <c r="V652" s="78">
        <v>0</v>
      </c>
      <c r="W652" s="80" t="s">
        <v>233</v>
      </c>
      <c r="X652" s="81" t="s">
        <v>233</v>
      </c>
      <c r="Y652" s="4" t="s">
        <v>240</v>
      </c>
      <c r="Z652" s="81" t="s">
        <v>233</v>
      </c>
      <c r="AA652" s="64" t="s">
        <v>233</v>
      </c>
      <c r="AB652" s="81" t="s">
        <v>233</v>
      </c>
      <c r="AC652" s="4" t="s">
        <v>233</v>
      </c>
      <c r="AD652" s="64" t="s">
        <v>233</v>
      </c>
      <c r="AE652" s="64" t="s">
        <v>240</v>
      </c>
      <c r="AF652" s="210">
        <v>0</v>
      </c>
      <c r="AG652" s="4">
        <v>1</v>
      </c>
      <c r="AH652" s="64">
        <v>1</v>
      </c>
      <c r="AI652" s="4">
        <v>0</v>
      </c>
      <c r="AJ652" s="4">
        <v>0</v>
      </c>
      <c r="AK652" s="4">
        <v>0</v>
      </c>
    </row>
    <row r="653" spans="1:37" outlineLevel="1">
      <c r="A653" s="5">
        <v>646</v>
      </c>
      <c r="B653" s="64" t="s">
        <v>190</v>
      </c>
      <c r="C653" s="4" t="s">
        <v>237</v>
      </c>
      <c r="D653" s="4" t="str">
        <f>[1]Лист2!B646</f>
        <v>РИМСКОГО-КОРСАКОВА пр.</v>
      </c>
      <c r="E653" s="69">
        <f>[1]Лист2!C646</f>
        <v>61</v>
      </c>
      <c r="F653" s="197" t="str">
        <f>[1]Лист2!D646</f>
        <v>Б</v>
      </c>
      <c r="G653" s="64"/>
      <c r="H653" s="199">
        <v>129646</v>
      </c>
      <c r="I653" s="64" t="s">
        <v>234</v>
      </c>
      <c r="J653" s="4"/>
      <c r="K653" s="64" t="s">
        <v>232</v>
      </c>
      <c r="L653" s="4" t="s">
        <v>232</v>
      </c>
      <c r="M653" s="72">
        <v>1851</v>
      </c>
      <c r="N653" s="64" t="s">
        <v>385</v>
      </c>
      <c r="O653" s="73">
        <v>4</v>
      </c>
      <c r="P653" s="196">
        <v>0</v>
      </c>
      <c r="Q653" s="73">
        <v>1</v>
      </c>
      <c r="R653" s="74">
        <v>30</v>
      </c>
      <c r="S653" s="76">
        <v>731.48</v>
      </c>
      <c r="T653" s="82">
        <f t="shared" si="20"/>
        <v>731.48</v>
      </c>
      <c r="U653" s="77">
        <f t="shared" si="21"/>
        <v>731.48</v>
      </c>
      <c r="V653" s="78">
        <v>0</v>
      </c>
      <c r="W653" s="80" t="s">
        <v>233</v>
      </c>
      <c r="X653" s="81" t="s">
        <v>233</v>
      </c>
      <c r="Y653" s="4" t="s">
        <v>240</v>
      </c>
      <c r="Z653" s="81" t="s">
        <v>233</v>
      </c>
      <c r="AA653" s="64" t="s">
        <v>233</v>
      </c>
      <c r="AB653" s="81" t="s">
        <v>233</v>
      </c>
      <c r="AC653" s="4" t="s">
        <v>233</v>
      </c>
      <c r="AD653" s="64" t="s">
        <v>233</v>
      </c>
      <c r="AE653" s="64" t="s">
        <v>240</v>
      </c>
      <c r="AF653" s="211">
        <v>0</v>
      </c>
      <c r="AG653" s="4">
        <v>1</v>
      </c>
      <c r="AH653" s="64">
        <v>1</v>
      </c>
      <c r="AI653" s="4">
        <v>0</v>
      </c>
      <c r="AJ653" s="4">
        <v>0</v>
      </c>
      <c r="AK653" s="4">
        <v>0</v>
      </c>
    </row>
    <row r="654" spans="1:37" outlineLevel="1">
      <c r="A654" s="5">
        <v>647</v>
      </c>
      <c r="B654" s="64" t="s">
        <v>190</v>
      </c>
      <c r="C654" s="4" t="s">
        <v>237</v>
      </c>
      <c r="D654" s="4" t="str">
        <f>[1]Лист2!B647</f>
        <v>РИМСКОГО-КОРСАКОВА пр.</v>
      </c>
      <c r="E654" s="69">
        <f>[1]Лист2!C647</f>
        <v>63</v>
      </c>
      <c r="F654" s="197" t="str">
        <f>[1]Лист2!D647</f>
        <v>А</v>
      </c>
      <c r="G654" s="4"/>
      <c r="H654" s="199">
        <v>129647</v>
      </c>
      <c r="I654" s="64" t="s">
        <v>234</v>
      </c>
      <c r="J654" s="4"/>
      <c r="K654" s="64" t="s">
        <v>232</v>
      </c>
      <c r="L654" s="4" t="s">
        <v>232</v>
      </c>
      <c r="M654" s="72">
        <v>1849</v>
      </c>
      <c r="N654" s="64" t="s">
        <v>385</v>
      </c>
      <c r="O654" s="73">
        <v>3</v>
      </c>
      <c r="P654" s="196">
        <v>0</v>
      </c>
      <c r="Q654" s="73">
        <v>4</v>
      </c>
      <c r="R654" s="74">
        <v>77</v>
      </c>
      <c r="S654" s="76">
        <v>2370.5</v>
      </c>
      <c r="T654" s="82">
        <f t="shared" si="20"/>
        <v>2106.5</v>
      </c>
      <c r="U654" s="77">
        <f t="shared" si="21"/>
        <v>2106.5</v>
      </c>
      <c r="V654" s="78">
        <v>264</v>
      </c>
      <c r="W654" s="80" t="s">
        <v>233</v>
      </c>
      <c r="X654" s="81" t="s">
        <v>233</v>
      </c>
      <c r="Y654" s="4" t="s">
        <v>240</v>
      </c>
      <c r="Z654" s="81" t="s">
        <v>233</v>
      </c>
      <c r="AA654" s="64" t="s">
        <v>233</v>
      </c>
      <c r="AB654" s="81" t="s">
        <v>233</v>
      </c>
      <c r="AC654" s="4" t="s">
        <v>233</v>
      </c>
      <c r="AD654" s="64" t="s">
        <v>233</v>
      </c>
      <c r="AE654" s="64" t="s">
        <v>240</v>
      </c>
      <c r="AF654" s="210">
        <v>0</v>
      </c>
      <c r="AG654" s="4">
        <v>1</v>
      </c>
      <c r="AH654" s="64">
        <v>1</v>
      </c>
      <c r="AI654" s="4">
        <v>0</v>
      </c>
      <c r="AJ654" s="4">
        <v>1</v>
      </c>
      <c r="AK654" s="4">
        <v>0</v>
      </c>
    </row>
    <row r="655" spans="1:37" outlineLevel="1">
      <c r="A655" s="5">
        <v>648</v>
      </c>
      <c r="B655" s="64" t="s">
        <v>190</v>
      </c>
      <c r="C655" s="4" t="s">
        <v>237</v>
      </c>
      <c r="D655" s="4" t="str">
        <f>[1]Лист2!B648</f>
        <v>РИМСКОГО-КОРСАКОВА пр.</v>
      </c>
      <c r="E655" s="69">
        <f>[1]Лист2!C648</f>
        <v>63</v>
      </c>
      <c r="F655" s="197" t="str">
        <f>[1]Лист2!D648</f>
        <v>Б</v>
      </c>
      <c r="G655" s="4"/>
      <c r="H655" s="199">
        <v>129648</v>
      </c>
      <c r="I655" s="64" t="s">
        <v>234</v>
      </c>
      <c r="J655" s="4"/>
      <c r="K655" s="64" t="s">
        <v>232</v>
      </c>
      <c r="L655" s="4" t="s">
        <v>232</v>
      </c>
      <c r="M655" s="72">
        <v>1849</v>
      </c>
      <c r="N655" s="64" t="s">
        <v>385</v>
      </c>
      <c r="O655" s="73">
        <v>3</v>
      </c>
      <c r="P655" s="196">
        <v>0</v>
      </c>
      <c r="Q655" s="73">
        <v>3</v>
      </c>
      <c r="R655" s="74">
        <v>26</v>
      </c>
      <c r="S655" s="76">
        <v>715.8</v>
      </c>
      <c r="T655" s="82">
        <f t="shared" si="20"/>
        <v>715.8</v>
      </c>
      <c r="U655" s="77">
        <f t="shared" si="21"/>
        <v>715.8</v>
      </c>
      <c r="V655" s="78">
        <v>0</v>
      </c>
      <c r="W655" s="80" t="s">
        <v>233</v>
      </c>
      <c r="X655" s="81" t="s">
        <v>233</v>
      </c>
      <c r="Y655" s="4" t="s">
        <v>240</v>
      </c>
      <c r="Z655" s="81" t="s">
        <v>233</v>
      </c>
      <c r="AA655" s="64" t="s">
        <v>233</v>
      </c>
      <c r="AB655" s="81" t="s">
        <v>233</v>
      </c>
      <c r="AC655" s="4" t="s">
        <v>233</v>
      </c>
      <c r="AD655" s="64" t="s">
        <v>233</v>
      </c>
      <c r="AE655" s="64" t="s">
        <v>240</v>
      </c>
      <c r="AF655" s="211">
        <v>0</v>
      </c>
      <c r="AG655" s="4">
        <v>1</v>
      </c>
      <c r="AH655" s="64">
        <v>1</v>
      </c>
      <c r="AI655" s="4">
        <v>0</v>
      </c>
      <c r="AJ655" s="4">
        <v>0</v>
      </c>
      <c r="AK655" s="4">
        <v>0</v>
      </c>
    </row>
    <row r="656" spans="1:37" outlineLevel="1">
      <c r="A656" s="63">
        <v>649</v>
      </c>
      <c r="B656" s="64" t="s">
        <v>190</v>
      </c>
      <c r="C656" s="4" t="s">
        <v>237</v>
      </c>
      <c r="D656" s="4" t="str">
        <f>[1]Лист2!B649</f>
        <v>РИМСКОГО-КОРСАКОВА пр.</v>
      </c>
      <c r="E656" s="69" t="str">
        <f>[1]Лист2!C649</f>
        <v>65/11</v>
      </c>
      <c r="F656" s="197" t="str">
        <f>[1]Лист2!D649</f>
        <v>А</v>
      </c>
      <c r="G656" s="64"/>
      <c r="H656" s="199">
        <v>129649</v>
      </c>
      <c r="I656" s="64" t="s">
        <v>234</v>
      </c>
      <c r="J656" s="4"/>
      <c r="K656" s="64" t="s">
        <v>232</v>
      </c>
      <c r="L656" s="4" t="s">
        <v>232</v>
      </c>
      <c r="M656" s="72">
        <v>1896</v>
      </c>
      <c r="N656" s="64" t="s">
        <v>385</v>
      </c>
      <c r="O656" s="73">
        <v>6</v>
      </c>
      <c r="P656" s="196">
        <v>0</v>
      </c>
      <c r="Q656" s="73">
        <v>12</v>
      </c>
      <c r="R656" s="74">
        <v>115</v>
      </c>
      <c r="S656" s="76">
        <v>11096</v>
      </c>
      <c r="T656" s="82">
        <f t="shared" si="20"/>
        <v>10007</v>
      </c>
      <c r="U656" s="77">
        <f t="shared" si="21"/>
        <v>10007</v>
      </c>
      <c r="V656" s="78">
        <v>1089</v>
      </c>
      <c r="W656" s="80" t="s">
        <v>233</v>
      </c>
      <c r="X656" s="81" t="s">
        <v>233</v>
      </c>
      <c r="Y656" s="4" t="s">
        <v>233</v>
      </c>
      <c r="Z656" s="81" t="s">
        <v>233</v>
      </c>
      <c r="AA656" s="64" t="s">
        <v>233</v>
      </c>
      <c r="AB656" s="81" t="s">
        <v>233</v>
      </c>
      <c r="AC656" s="4" t="s">
        <v>240</v>
      </c>
      <c r="AD656" s="64" t="s">
        <v>233</v>
      </c>
      <c r="AE656" s="64" t="s">
        <v>240</v>
      </c>
      <c r="AF656" s="210">
        <v>6</v>
      </c>
      <c r="AG656" s="4">
        <v>2</v>
      </c>
      <c r="AH656" s="64">
        <v>2</v>
      </c>
      <c r="AI656" s="4">
        <v>2</v>
      </c>
      <c r="AJ656" s="4">
        <v>2</v>
      </c>
      <c r="AK656" s="4">
        <v>0</v>
      </c>
    </row>
    <row r="657" spans="1:37" outlineLevel="1">
      <c r="A657" s="63">
        <v>650</v>
      </c>
      <c r="B657" s="64" t="s">
        <v>190</v>
      </c>
      <c r="C657" s="4" t="s">
        <v>237</v>
      </c>
      <c r="D657" s="4" t="str">
        <f>[1]Лист2!B650</f>
        <v>РИМСКОГО-КОРСАКОВА пр.</v>
      </c>
      <c r="E657" s="69">
        <f>[1]Лист2!C650</f>
        <v>75</v>
      </c>
      <c r="F657" s="197" t="str">
        <f>[1]Лист2!D650</f>
        <v>А</v>
      </c>
      <c r="G657" s="64"/>
      <c r="H657" s="199">
        <v>129650</v>
      </c>
      <c r="I657" s="64" t="s">
        <v>234</v>
      </c>
      <c r="J657" s="4"/>
      <c r="K657" s="64" t="s">
        <v>232</v>
      </c>
      <c r="L657" s="4" t="s">
        <v>232</v>
      </c>
      <c r="M657" s="72">
        <v>1798</v>
      </c>
      <c r="N657" s="64" t="s">
        <v>385</v>
      </c>
      <c r="O657" s="73">
        <v>5</v>
      </c>
      <c r="P657" s="196">
        <v>0</v>
      </c>
      <c r="Q657" s="73">
        <v>3</v>
      </c>
      <c r="R657" s="74">
        <v>32</v>
      </c>
      <c r="S657" s="76">
        <v>1683.7599999999998</v>
      </c>
      <c r="T657" s="82">
        <f t="shared" si="20"/>
        <v>1295.9599999999998</v>
      </c>
      <c r="U657" s="77">
        <f t="shared" si="21"/>
        <v>1295.9599999999998</v>
      </c>
      <c r="V657" s="78">
        <v>387.8</v>
      </c>
      <c r="W657" s="80" t="s">
        <v>233</v>
      </c>
      <c r="X657" s="81" t="s">
        <v>233</v>
      </c>
      <c r="Y657" s="4" t="s">
        <v>233</v>
      </c>
      <c r="Z657" s="81" t="s">
        <v>233</v>
      </c>
      <c r="AA657" s="64" t="s">
        <v>233</v>
      </c>
      <c r="AB657" s="81" t="s">
        <v>233</v>
      </c>
      <c r="AC657" s="4" t="s">
        <v>240</v>
      </c>
      <c r="AD657" s="64" t="s">
        <v>233</v>
      </c>
      <c r="AE657" s="64" t="s">
        <v>240</v>
      </c>
      <c r="AF657" s="210">
        <v>2</v>
      </c>
      <c r="AG657" s="4">
        <v>2</v>
      </c>
      <c r="AH657" s="64">
        <v>1</v>
      </c>
      <c r="AI657" s="4">
        <v>0</v>
      </c>
      <c r="AJ657" s="4">
        <v>0</v>
      </c>
      <c r="AK657" s="4">
        <v>0</v>
      </c>
    </row>
    <row r="658" spans="1:37" outlineLevel="1">
      <c r="A658" s="5">
        <v>651</v>
      </c>
      <c r="B658" s="64" t="s">
        <v>190</v>
      </c>
      <c r="C658" s="4" t="s">
        <v>237</v>
      </c>
      <c r="D658" s="4" t="str">
        <f>[1]Лист2!B651</f>
        <v>РИМСКОГО-КОРСАКОВА пр.</v>
      </c>
      <c r="E658" s="69">
        <f>[1]Лист2!C651</f>
        <v>81</v>
      </c>
      <c r="F658" s="197" t="str">
        <f>[1]Лист2!D651</f>
        <v>А</v>
      </c>
      <c r="G658" s="4"/>
      <c r="H658" s="199">
        <v>129651</v>
      </c>
      <c r="I658" s="64" t="s">
        <v>234</v>
      </c>
      <c r="J658" s="4"/>
      <c r="K658" s="64" t="s">
        <v>232</v>
      </c>
      <c r="L658" s="4" t="s">
        <v>232</v>
      </c>
      <c r="M658" s="72">
        <v>1987</v>
      </c>
      <c r="N658" s="64" t="s">
        <v>385</v>
      </c>
      <c r="O658" s="73">
        <v>4</v>
      </c>
      <c r="P658" s="196">
        <v>0</v>
      </c>
      <c r="Q658" s="73">
        <v>1</v>
      </c>
      <c r="R658" s="74">
        <v>25</v>
      </c>
      <c r="S658" s="76">
        <v>815.2</v>
      </c>
      <c r="T658" s="82">
        <f t="shared" si="20"/>
        <v>651</v>
      </c>
      <c r="U658" s="77">
        <f t="shared" si="21"/>
        <v>651</v>
      </c>
      <c r="V658" s="78">
        <v>164.2</v>
      </c>
      <c r="W658" s="80" t="s">
        <v>233</v>
      </c>
      <c r="X658" s="81" t="s">
        <v>233</v>
      </c>
      <c r="Y658" s="4" t="s">
        <v>233</v>
      </c>
      <c r="Z658" s="81" t="s">
        <v>233</v>
      </c>
      <c r="AA658" s="64" t="s">
        <v>233</v>
      </c>
      <c r="AB658" s="81" t="s">
        <v>233</v>
      </c>
      <c r="AC658" s="4" t="s">
        <v>240</v>
      </c>
      <c r="AD658" s="64" t="s">
        <v>233</v>
      </c>
      <c r="AE658" s="64" t="s">
        <v>240</v>
      </c>
      <c r="AF658" s="210">
        <v>0</v>
      </c>
      <c r="AG658" s="4">
        <v>1</v>
      </c>
      <c r="AH658" s="64">
        <v>1</v>
      </c>
      <c r="AI658" s="4">
        <v>0</v>
      </c>
      <c r="AJ658" s="4">
        <v>0</v>
      </c>
      <c r="AK658" s="4">
        <v>0</v>
      </c>
    </row>
    <row r="659" spans="1:37" outlineLevel="1">
      <c r="A659" s="5">
        <v>652</v>
      </c>
      <c r="B659" s="64" t="s">
        <v>190</v>
      </c>
      <c r="C659" s="4" t="s">
        <v>237</v>
      </c>
      <c r="D659" s="4" t="str">
        <f>[1]Лист2!B652</f>
        <v>РИМСКОГО-КОРСАКОВА пр.</v>
      </c>
      <c r="E659" s="69" t="str">
        <f>[1]Лист2!C652</f>
        <v>89-91</v>
      </c>
      <c r="F659" s="197" t="str">
        <f>[1]Лист2!D652</f>
        <v>В</v>
      </c>
      <c r="G659" s="4"/>
      <c r="H659" s="199">
        <v>129652</v>
      </c>
      <c r="I659" s="64" t="s">
        <v>234</v>
      </c>
      <c r="J659" s="4"/>
      <c r="K659" s="64" t="s">
        <v>232</v>
      </c>
      <c r="L659" s="4" t="s">
        <v>232</v>
      </c>
      <c r="M659" s="72">
        <v>1858</v>
      </c>
      <c r="N659" s="64" t="s">
        <v>385</v>
      </c>
      <c r="O659" s="73">
        <v>4</v>
      </c>
      <c r="P659" s="196">
        <v>0</v>
      </c>
      <c r="Q659" s="73">
        <v>5</v>
      </c>
      <c r="R659" s="74">
        <v>65</v>
      </c>
      <c r="S659" s="76">
        <v>3436.7099999999996</v>
      </c>
      <c r="T659" s="82">
        <f t="shared" si="20"/>
        <v>3026.1099999999997</v>
      </c>
      <c r="U659" s="77">
        <f t="shared" si="21"/>
        <v>3026.1099999999997</v>
      </c>
      <c r="V659" s="78">
        <v>410.6</v>
      </c>
      <c r="W659" s="80" t="s">
        <v>233</v>
      </c>
      <c r="X659" s="81" t="s">
        <v>233</v>
      </c>
      <c r="Y659" s="4" t="s">
        <v>233</v>
      </c>
      <c r="Z659" s="81" t="s">
        <v>233</v>
      </c>
      <c r="AA659" s="64" t="s">
        <v>233</v>
      </c>
      <c r="AB659" s="81" t="s">
        <v>233</v>
      </c>
      <c r="AC659" s="4" t="s">
        <v>240</v>
      </c>
      <c r="AD659" s="64" t="s">
        <v>233</v>
      </c>
      <c r="AE659" s="64" t="s">
        <v>240</v>
      </c>
      <c r="AF659" s="210">
        <v>0</v>
      </c>
      <c r="AG659" s="4">
        <v>1</v>
      </c>
      <c r="AH659" s="64">
        <v>1</v>
      </c>
      <c r="AI659" s="4">
        <v>0</v>
      </c>
      <c r="AJ659" s="4">
        <v>0</v>
      </c>
      <c r="AK659" s="4">
        <v>0</v>
      </c>
    </row>
    <row r="660" spans="1:37" outlineLevel="1">
      <c r="A660" s="5">
        <v>653</v>
      </c>
      <c r="B660" s="64" t="s">
        <v>190</v>
      </c>
      <c r="C660" s="4" t="s">
        <v>237</v>
      </c>
      <c r="D660" s="4" t="str">
        <f>[1]Лист2!B653</f>
        <v>РИМСКОГО-КОРСАКОВА пр.</v>
      </c>
      <c r="E660" s="69">
        <f>[1]Лист2!C653</f>
        <v>93</v>
      </c>
      <c r="F660" s="197" t="str">
        <f>[1]Лист2!D653</f>
        <v>А</v>
      </c>
      <c r="G660" s="64"/>
      <c r="H660" s="199">
        <v>129653</v>
      </c>
      <c r="I660" s="64" t="s">
        <v>234</v>
      </c>
      <c r="J660" s="4"/>
      <c r="K660" s="64" t="s">
        <v>232</v>
      </c>
      <c r="L660" s="4" t="s">
        <v>232</v>
      </c>
      <c r="M660" s="72">
        <v>1902</v>
      </c>
      <c r="N660" s="64" t="s">
        <v>385</v>
      </c>
      <c r="O660" s="73">
        <v>5</v>
      </c>
      <c r="P660" s="196">
        <v>0</v>
      </c>
      <c r="Q660" s="73">
        <v>5</v>
      </c>
      <c r="R660" s="74">
        <v>58</v>
      </c>
      <c r="S660" s="76">
        <v>2077.8000000000002</v>
      </c>
      <c r="T660" s="82">
        <f t="shared" si="20"/>
        <v>1875.2400000000002</v>
      </c>
      <c r="U660" s="77">
        <f t="shared" si="21"/>
        <v>1875.2400000000002</v>
      </c>
      <c r="V660" s="78">
        <v>202.56</v>
      </c>
      <c r="W660" s="80" t="s">
        <v>233</v>
      </c>
      <c r="X660" s="81" t="s">
        <v>233</v>
      </c>
      <c r="Y660" s="4" t="s">
        <v>233</v>
      </c>
      <c r="Z660" s="81" t="s">
        <v>233</v>
      </c>
      <c r="AA660" s="64" t="s">
        <v>233</v>
      </c>
      <c r="AB660" s="81" t="s">
        <v>233</v>
      </c>
      <c r="AC660" s="4" t="s">
        <v>240</v>
      </c>
      <c r="AD660" s="64" t="s">
        <v>233</v>
      </c>
      <c r="AE660" s="64" t="s">
        <v>240</v>
      </c>
      <c r="AF660" s="210">
        <v>0</v>
      </c>
      <c r="AG660" s="4">
        <v>1</v>
      </c>
      <c r="AH660" s="64">
        <v>1</v>
      </c>
      <c r="AI660" s="4">
        <v>1</v>
      </c>
      <c r="AJ660" s="4">
        <v>1</v>
      </c>
      <c r="AK660" s="4">
        <v>0</v>
      </c>
    </row>
    <row r="661" spans="1:37" outlineLevel="1">
      <c r="A661" s="5">
        <v>654</v>
      </c>
      <c r="B661" s="64" t="s">
        <v>190</v>
      </c>
      <c r="C661" s="4" t="s">
        <v>237</v>
      </c>
      <c r="D661" s="4" t="str">
        <f>[1]Лист2!B654</f>
        <v>РИМСКОГО-КОРСАКОВА пр.</v>
      </c>
      <c r="E661" s="69">
        <f>[1]Лист2!C654</f>
        <v>95</v>
      </c>
      <c r="F661" s="197" t="str">
        <f>[1]Лист2!D654</f>
        <v>А</v>
      </c>
      <c r="G661" s="64"/>
      <c r="H661" s="199">
        <v>129654</v>
      </c>
      <c r="I661" s="64" t="s">
        <v>234</v>
      </c>
      <c r="J661" s="4" t="s">
        <v>1422</v>
      </c>
      <c r="K661" s="64" t="s">
        <v>232</v>
      </c>
      <c r="L661" s="4" t="s">
        <v>232</v>
      </c>
      <c r="M661" s="72">
        <v>1756</v>
      </c>
      <c r="N661" s="64" t="s">
        <v>385</v>
      </c>
      <c r="O661" s="73">
        <v>3</v>
      </c>
      <c r="P661" s="196">
        <v>0</v>
      </c>
      <c r="Q661" s="73">
        <v>3</v>
      </c>
      <c r="R661" s="203">
        <v>28</v>
      </c>
      <c r="S661" s="76">
        <v>683.39</v>
      </c>
      <c r="T661" s="82">
        <f t="shared" si="20"/>
        <v>0</v>
      </c>
      <c r="U661" s="77">
        <f t="shared" si="21"/>
        <v>0</v>
      </c>
      <c r="V661" s="78">
        <v>683.39</v>
      </c>
      <c r="W661" s="80" t="s">
        <v>233</v>
      </c>
      <c r="X661" s="81" t="s">
        <v>233</v>
      </c>
      <c r="Y661" s="4" t="s">
        <v>233</v>
      </c>
      <c r="Z661" s="81" t="s">
        <v>233</v>
      </c>
      <c r="AA661" s="64" t="s">
        <v>233</v>
      </c>
      <c r="AB661" s="81" t="s">
        <v>233</v>
      </c>
      <c r="AC661" s="4" t="s">
        <v>240</v>
      </c>
      <c r="AD661" s="64" t="s">
        <v>233</v>
      </c>
      <c r="AE661" s="64" t="s">
        <v>240</v>
      </c>
      <c r="AF661" s="210">
        <v>0</v>
      </c>
      <c r="AG661" s="4">
        <v>1</v>
      </c>
      <c r="AH661" s="64">
        <v>1</v>
      </c>
      <c r="AI661" s="4">
        <v>0</v>
      </c>
      <c r="AJ661" s="4">
        <v>0</v>
      </c>
      <c r="AK661" s="4">
        <v>0</v>
      </c>
    </row>
    <row r="662" spans="1:37" outlineLevel="1">
      <c r="A662" s="63">
        <v>655</v>
      </c>
      <c r="B662" s="64" t="s">
        <v>190</v>
      </c>
      <c r="C662" s="4" t="s">
        <v>237</v>
      </c>
      <c r="D662" s="4" t="str">
        <f>[1]Лист2!B655</f>
        <v>РИМСКОГО-КОРСАКОВА пр.</v>
      </c>
      <c r="E662" s="69">
        <f>[1]Лист2!C655</f>
        <v>97</v>
      </c>
      <c r="F662" s="197" t="str">
        <f>[1]Лист2!D655</f>
        <v>А</v>
      </c>
      <c r="G662" s="4"/>
      <c r="H662" s="199">
        <v>129655</v>
      </c>
      <c r="I662" s="64" t="s">
        <v>234</v>
      </c>
      <c r="J662" s="4"/>
      <c r="K662" s="64" t="s">
        <v>232</v>
      </c>
      <c r="L662" s="4" t="s">
        <v>232</v>
      </c>
      <c r="M662" s="72">
        <v>1843</v>
      </c>
      <c r="N662" s="64" t="s">
        <v>385</v>
      </c>
      <c r="O662" s="73">
        <v>4</v>
      </c>
      <c r="P662" s="196">
        <v>0</v>
      </c>
      <c r="Q662" s="73">
        <v>2</v>
      </c>
      <c r="R662" s="74">
        <v>29</v>
      </c>
      <c r="S662" s="76">
        <v>1271.24</v>
      </c>
      <c r="T662" s="82">
        <f t="shared" si="20"/>
        <v>1132.24</v>
      </c>
      <c r="U662" s="77">
        <f t="shared" si="21"/>
        <v>1132.24</v>
      </c>
      <c r="V662" s="78">
        <v>139</v>
      </c>
      <c r="W662" s="80" t="s">
        <v>233</v>
      </c>
      <c r="X662" s="81" t="s">
        <v>233</v>
      </c>
      <c r="Y662" s="4" t="s">
        <v>233</v>
      </c>
      <c r="Z662" s="81" t="s">
        <v>233</v>
      </c>
      <c r="AA662" s="64" t="s">
        <v>233</v>
      </c>
      <c r="AB662" s="81" t="s">
        <v>233</v>
      </c>
      <c r="AC662" s="4" t="s">
        <v>240</v>
      </c>
      <c r="AD662" s="64" t="s">
        <v>233</v>
      </c>
      <c r="AE662" s="64" t="s">
        <v>240</v>
      </c>
      <c r="AF662" s="210">
        <v>0</v>
      </c>
      <c r="AG662" s="4">
        <v>1</v>
      </c>
      <c r="AH662" s="64">
        <v>1</v>
      </c>
      <c r="AI662" s="4">
        <v>1</v>
      </c>
      <c r="AJ662" s="4">
        <v>1</v>
      </c>
      <c r="AK662" s="4">
        <v>0</v>
      </c>
    </row>
    <row r="663" spans="1:37" outlineLevel="1">
      <c r="A663" s="63">
        <v>656</v>
      </c>
      <c r="B663" s="64" t="s">
        <v>190</v>
      </c>
      <c r="C663" s="4" t="s">
        <v>237</v>
      </c>
      <c r="D663" s="4" t="str">
        <f>[1]Лист2!B656</f>
        <v>РИМСКОГО-КОРСАКОВА пр.</v>
      </c>
      <c r="E663" s="69">
        <f>[1]Лист2!C656</f>
        <v>99</v>
      </c>
      <c r="F663" s="197" t="str">
        <f>[1]Лист2!D656</f>
        <v>А</v>
      </c>
      <c r="G663" s="4"/>
      <c r="H663" s="199">
        <v>129656</v>
      </c>
      <c r="I663" s="64" t="s">
        <v>234</v>
      </c>
      <c r="J663" s="4"/>
      <c r="K663" s="64" t="s">
        <v>232</v>
      </c>
      <c r="L663" s="4" t="s">
        <v>232</v>
      </c>
      <c r="M663" s="72">
        <v>1877</v>
      </c>
      <c r="N663" s="64" t="s">
        <v>385</v>
      </c>
      <c r="O663" s="73">
        <v>5</v>
      </c>
      <c r="P663" s="196">
        <v>0</v>
      </c>
      <c r="Q663" s="73">
        <v>3</v>
      </c>
      <c r="R663" s="74">
        <v>49</v>
      </c>
      <c r="S663" s="76">
        <v>1780.1900000000003</v>
      </c>
      <c r="T663" s="82">
        <f t="shared" si="20"/>
        <v>1599.4500000000003</v>
      </c>
      <c r="U663" s="77">
        <f t="shared" si="21"/>
        <v>1599.4500000000003</v>
      </c>
      <c r="V663" s="78">
        <v>180.74</v>
      </c>
      <c r="W663" s="80" t="s">
        <v>233</v>
      </c>
      <c r="X663" s="81" t="s">
        <v>233</v>
      </c>
      <c r="Y663" s="4" t="s">
        <v>233</v>
      </c>
      <c r="Z663" s="81" t="s">
        <v>233</v>
      </c>
      <c r="AA663" s="64" t="s">
        <v>233</v>
      </c>
      <c r="AB663" s="81" t="s">
        <v>233</v>
      </c>
      <c r="AC663" s="4" t="s">
        <v>240</v>
      </c>
      <c r="AD663" s="64" t="s">
        <v>233</v>
      </c>
      <c r="AE663" s="64" t="s">
        <v>240</v>
      </c>
      <c r="AF663" s="210">
        <v>0</v>
      </c>
      <c r="AG663" s="4">
        <v>1</v>
      </c>
      <c r="AH663" s="64">
        <v>1</v>
      </c>
      <c r="AI663" s="4">
        <v>1</v>
      </c>
      <c r="AJ663" s="4">
        <v>1</v>
      </c>
      <c r="AK663" s="4">
        <v>0</v>
      </c>
    </row>
    <row r="664" spans="1:37" outlineLevel="1">
      <c r="A664" s="5">
        <v>657</v>
      </c>
      <c r="B664" s="64" t="s">
        <v>190</v>
      </c>
      <c r="C664" s="4" t="s">
        <v>237</v>
      </c>
      <c r="D664" s="4" t="str">
        <f>[1]Лист2!B657</f>
        <v>САДОВАЯ ул.</v>
      </c>
      <c r="E664" s="69">
        <f>[1]Лист2!C657</f>
        <v>101</v>
      </c>
      <c r="F664" s="197" t="str">
        <f>[1]Лист2!D657</f>
        <v>А</v>
      </c>
      <c r="G664" s="64"/>
      <c r="H664" s="199">
        <v>129657</v>
      </c>
      <c r="I664" s="64" t="s">
        <v>234</v>
      </c>
      <c r="J664" s="4"/>
      <c r="K664" s="64" t="s">
        <v>232</v>
      </c>
      <c r="L664" s="4" t="s">
        <v>232</v>
      </c>
      <c r="M664" s="72">
        <v>1852</v>
      </c>
      <c r="N664" s="64" t="s">
        <v>385</v>
      </c>
      <c r="O664" s="73">
        <v>3</v>
      </c>
      <c r="P664" s="196">
        <v>0</v>
      </c>
      <c r="Q664" s="73">
        <v>4</v>
      </c>
      <c r="R664" s="74">
        <v>34</v>
      </c>
      <c r="S664" s="76">
        <v>1911.13</v>
      </c>
      <c r="T664" s="82">
        <f t="shared" si="20"/>
        <v>1409.5300000000002</v>
      </c>
      <c r="U664" s="77">
        <f t="shared" si="21"/>
        <v>1409.5300000000002</v>
      </c>
      <c r="V664" s="78">
        <v>501.6</v>
      </c>
      <c r="W664" s="80" t="s">
        <v>233</v>
      </c>
      <c r="X664" s="81" t="s">
        <v>233</v>
      </c>
      <c r="Y664" s="4" t="s">
        <v>233</v>
      </c>
      <c r="Z664" s="81" t="s">
        <v>233</v>
      </c>
      <c r="AA664" s="64" t="s">
        <v>233</v>
      </c>
      <c r="AB664" s="81" t="s">
        <v>233</v>
      </c>
      <c r="AC664" s="4" t="s">
        <v>240</v>
      </c>
      <c r="AD664" s="64" t="s">
        <v>233</v>
      </c>
      <c r="AE664" s="64" t="s">
        <v>240</v>
      </c>
      <c r="AF664" s="210">
        <v>0</v>
      </c>
      <c r="AG664" s="4">
        <v>1</v>
      </c>
      <c r="AH664" s="64">
        <v>1</v>
      </c>
      <c r="AI664" s="4">
        <v>1</v>
      </c>
      <c r="AJ664" s="4">
        <v>1</v>
      </c>
      <c r="AK664" s="4">
        <v>0</v>
      </c>
    </row>
    <row r="665" spans="1:37" outlineLevel="1">
      <c r="A665" s="5">
        <v>658</v>
      </c>
      <c r="B665" s="64" t="s">
        <v>190</v>
      </c>
      <c r="C665" s="4" t="s">
        <v>237</v>
      </c>
      <c r="D665" s="4" t="str">
        <f>[1]Лист2!B658</f>
        <v>САДОВАЯ ул.</v>
      </c>
      <c r="E665" s="69">
        <f>[1]Лист2!C658</f>
        <v>102</v>
      </c>
      <c r="F665" s="197" t="str">
        <f>[1]Лист2!D658</f>
        <v>А</v>
      </c>
      <c r="G665" s="64"/>
      <c r="H665" s="199">
        <v>129658</v>
      </c>
      <c r="I665" s="64" t="s">
        <v>234</v>
      </c>
      <c r="J665" s="4"/>
      <c r="K665" s="64" t="s">
        <v>232</v>
      </c>
      <c r="L665" s="4" t="s">
        <v>232</v>
      </c>
      <c r="M665" s="72">
        <v>1917</v>
      </c>
      <c r="N665" s="64" t="s">
        <v>385</v>
      </c>
      <c r="O665" s="73">
        <v>3</v>
      </c>
      <c r="P665" s="196">
        <v>0</v>
      </c>
      <c r="Q665" s="73">
        <v>3</v>
      </c>
      <c r="R665" s="74">
        <v>15</v>
      </c>
      <c r="S665" s="76">
        <v>1048.99</v>
      </c>
      <c r="T665" s="82">
        <f t="shared" si="20"/>
        <v>774.99</v>
      </c>
      <c r="U665" s="77">
        <f t="shared" si="21"/>
        <v>774.99</v>
      </c>
      <c r="V665" s="78">
        <v>274</v>
      </c>
      <c r="W665" s="80" t="s">
        <v>233</v>
      </c>
      <c r="X665" s="81" t="s">
        <v>233</v>
      </c>
      <c r="Y665" s="4" t="s">
        <v>233</v>
      </c>
      <c r="Z665" s="81" t="s">
        <v>233</v>
      </c>
      <c r="AA665" s="64" t="s">
        <v>233</v>
      </c>
      <c r="AB665" s="81" t="s">
        <v>233</v>
      </c>
      <c r="AC665" s="4" t="s">
        <v>240</v>
      </c>
      <c r="AD665" s="64" t="s">
        <v>233</v>
      </c>
      <c r="AE665" s="64" t="s">
        <v>240</v>
      </c>
      <c r="AF665" s="210">
        <v>0</v>
      </c>
      <c r="AG665" s="4">
        <v>1</v>
      </c>
      <c r="AH665" s="64">
        <v>1</v>
      </c>
      <c r="AI665" s="4">
        <v>1</v>
      </c>
      <c r="AJ665" s="4">
        <v>1</v>
      </c>
      <c r="AK665" s="4">
        <v>0</v>
      </c>
    </row>
    <row r="666" spans="1:37" outlineLevel="1">
      <c r="A666" s="5">
        <v>659</v>
      </c>
      <c r="B666" s="64" t="s">
        <v>190</v>
      </c>
      <c r="C666" s="4" t="s">
        <v>237</v>
      </c>
      <c r="D666" s="4" t="str">
        <f>[1]Лист2!B659</f>
        <v>САДОВАЯ ул.</v>
      </c>
      <c r="E666" s="69">
        <f>[1]Лист2!C659</f>
        <v>103</v>
      </c>
      <c r="F666" s="197" t="str">
        <f>[1]Лист2!D659</f>
        <v>А</v>
      </c>
      <c r="G666" s="4"/>
      <c r="H666" s="199">
        <v>129659</v>
      </c>
      <c r="I666" s="64" t="s">
        <v>234</v>
      </c>
      <c r="J666" s="4"/>
      <c r="K666" s="64" t="s">
        <v>232</v>
      </c>
      <c r="L666" s="4" t="s">
        <v>232</v>
      </c>
      <c r="M666" s="72">
        <v>1913</v>
      </c>
      <c r="N666" s="64" t="s">
        <v>385</v>
      </c>
      <c r="O666" s="73">
        <v>6</v>
      </c>
      <c r="P666" s="196">
        <v>0</v>
      </c>
      <c r="Q666" s="73">
        <v>5</v>
      </c>
      <c r="R666" s="74">
        <v>9</v>
      </c>
      <c r="S666" s="76">
        <v>3642.31</v>
      </c>
      <c r="T666" s="82">
        <f t="shared" si="20"/>
        <v>2930.31</v>
      </c>
      <c r="U666" s="77">
        <f t="shared" si="21"/>
        <v>2930.31</v>
      </c>
      <c r="V666" s="78">
        <v>712</v>
      </c>
      <c r="W666" s="80" t="s">
        <v>233</v>
      </c>
      <c r="X666" s="81" t="s">
        <v>233</v>
      </c>
      <c r="Y666" s="4" t="s">
        <v>233</v>
      </c>
      <c r="Z666" s="81" t="s">
        <v>233</v>
      </c>
      <c r="AA666" s="64" t="s">
        <v>233</v>
      </c>
      <c r="AB666" s="81" t="s">
        <v>233</v>
      </c>
      <c r="AC666" s="4" t="s">
        <v>240</v>
      </c>
      <c r="AD666" s="64" t="s">
        <v>233</v>
      </c>
      <c r="AE666" s="64" t="s">
        <v>240</v>
      </c>
      <c r="AF666" s="210">
        <v>2</v>
      </c>
      <c r="AG666" s="4">
        <v>2</v>
      </c>
      <c r="AH666" s="64">
        <v>1</v>
      </c>
      <c r="AI666" s="4">
        <v>0</v>
      </c>
      <c r="AJ666" s="4">
        <v>0</v>
      </c>
      <c r="AK666" s="4">
        <v>0</v>
      </c>
    </row>
    <row r="667" spans="1:37" outlineLevel="1">
      <c r="A667" s="5">
        <v>660</v>
      </c>
      <c r="B667" s="64" t="s">
        <v>190</v>
      </c>
      <c r="C667" s="4" t="s">
        <v>237</v>
      </c>
      <c r="D667" s="4" t="str">
        <f>[1]Лист2!B660</f>
        <v>САДОВАЯ ул.</v>
      </c>
      <c r="E667" s="69">
        <f>[1]Лист2!C660</f>
        <v>105</v>
      </c>
      <c r="F667" s="197" t="str">
        <f>[1]Лист2!D660</f>
        <v>А</v>
      </c>
      <c r="G667" s="4"/>
      <c r="H667" s="199">
        <v>129660</v>
      </c>
      <c r="I667" s="64" t="s">
        <v>234</v>
      </c>
      <c r="J667" s="4"/>
      <c r="K667" s="64" t="s">
        <v>232</v>
      </c>
      <c r="L667" s="4" t="s">
        <v>232</v>
      </c>
      <c r="M667" s="72">
        <v>1903</v>
      </c>
      <c r="N667" s="64" t="s">
        <v>385</v>
      </c>
      <c r="O667" s="73">
        <v>5</v>
      </c>
      <c r="P667" s="196">
        <v>0</v>
      </c>
      <c r="Q667" s="73">
        <v>7</v>
      </c>
      <c r="R667" s="74">
        <v>45</v>
      </c>
      <c r="S667" s="76">
        <v>4231.66</v>
      </c>
      <c r="T667" s="82">
        <f t="shared" si="20"/>
        <v>2888.3599999999997</v>
      </c>
      <c r="U667" s="77">
        <f t="shared" si="21"/>
        <v>2888.3599999999997</v>
      </c>
      <c r="V667" s="78">
        <v>1343.3</v>
      </c>
      <c r="W667" s="80" t="s">
        <v>233</v>
      </c>
      <c r="X667" s="81" t="s">
        <v>233</v>
      </c>
      <c r="Y667" s="4" t="s">
        <v>233</v>
      </c>
      <c r="Z667" s="81" t="s">
        <v>233</v>
      </c>
      <c r="AA667" s="64" t="s">
        <v>233</v>
      </c>
      <c r="AB667" s="81" t="s">
        <v>233</v>
      </c>
      <c r="AC667" s="4" t="s">
        <v>240</v>
      </c>
      <c r="AD667" s="64" t="s">
        <v>233</v>
      </c>
      <c r="AE667" s="64" t="s">
        <v>240</v>
      </c>
      <c r="AF667" s="210">
        <v>0</v>
      </c>
      <c r="AG667" s="4">
        <v>1</v>
      </c>
      <c r="AH667" s="64">
        <v>1</v>
      </c>
      <c r="AI667" s="4">
        <v>1</v>
      </c>
      <c r="AJ667" s="4">
        <v>1</v>
      </c>
      <c r="AK667" s="4">
        <v>0</v>
      </c>
    </row>
    <row r="668" spans="1:37" outlineLevel="1">
      <c r="A668" s="63">
        <v>661</v>
      </c>
      <c r="B668" s="64" t="s">
        <v>190</v>
      </c>
      <c r="C668" s="4" t="s">
        <v>237</v>
      </c>
      <c r="D668" s="4" t="str">
        <f>[1]Лист2!B661</f>
        <v>САДОВАЯ ул.</v>
      </c>
      <c r="E668" s="69">
        <f>[1]Лист2!C661</f>
        <v>106</v>
      </c>
      <c r="F668" s="197" t="str">
        <f>[1]Лист2!D661</f>
        <v>А</v>
      </c>
      <c r="G668" s="64"/>
      <c r="H668" s="199">
        <v>129661</v>
      </c>
      <c r="I668" s="64" t="s">
        <v>234</v>
      </c>
      <c r="J668" s="4"/>
      <c r="K668" s="64" t="s">
        <v>232</v>
      </c>
      <c r="L668" s="4" t="s">
        <v>232</v>
      </c>
      <c r="M668" s="72">
        <v>1917</v>
      </c>
      <c r="N668" s="64" t="s">
        <v>385</v>
      </c>
      <c r="O668" s="73">
        <v>5</v>
      </c>
      <c r="P668" s="196">
        <v>0</v>
      </c>
      <c r="Q668" s="73">
        <v>2</v>
      </c>
      <c r="R668" s="74">
        <v>89</v>
      </c>
      <c r="S668" s="76">
        <v>2958</v>
      </c>
      <c r="T668" s="82">
        <f t="shared" si="20"/>
        <v>2705</v>
      </c>
      <c r="U668" s="77">
        <f t="shared" si="21"/>
        <v>2705</v>
      </c>
      <c r="V668" s="78">
        <v>253</v>
      </c>
      <c r="W668" s="80" t="s">
        <v>233</v>
      </c>
      <c r="X668" s="81" t="s">
        <v>233</v>
      </c>
      <c r="Y668" s="4" t="s">
        <v>233</v>
      </c>
      <c r="Z668" s="81" t="s">
        <v>233</v>
      </c>
      <c r="AA668" s="64" t="s">
        <v>233</v>
      </c>
      <c r="AB668" s="81" t="s">
        <v>233</v>
      </c>
      <c r="AC668" s="4" t="s">
        <v>240</v>
      </c>
      <c r="AD668" s="64" t="s">
        <v>233</v>
      </c>
      <c r="AE668" s="64" t="s">
        <v>240</v>
      </c>
      <c r="AF668" s="210">
        <v>0</v>
      </c>
      <c r="AG668" s="4">
        <v>1</v>
      </c>
      <c r="AH668" s="64">
        <v>1</v>
      </c>
      <c r="AI668" s="4">
        <v>1</v>
      </c>
      <c r="AJ668" s="4">
        <v>1</v>
      </c>
      <c r="AK668" s="4">
        <v>0</v>
      </c>
    </row>
    <row r="669" spans="1:37" outlineLevel="1">
      <c r="A669" s="63">
        <v>662</v>
      </c>
      <c r="B669" s="64" t="s">
        <v>190</v>
      </c>
      <c r="C669" s="4" t="s">
        <v>237</v>
      </c>
      <c r="D669" s="4" t="str">
        <f>[1]Лист2!B662</f>
        <v>САДОВАЯ ул.</v>
      </c>
      <c r="E669" s="69">
        <f>[1]Лист2!C662</f>
        <v>107</v>
      </c>
      <c r="F669" s="197" t="str">
        <f>[1]Лист2!D662</f>
        <v>А</v>
      </c>
      <c r="G669" s="64"/>
      <c r="H669" s="199">
        <v>129662</v>
      </c>
      <c r="I669" s="64" t="s">
        <v>234</v>
      </c>
      <c r="J669" s="4"/>
      <c r="K669" s="64" t="s">
        <v>232</v>
      </c>
      <c r="L669" s="4" t="s">
        <v>232</v>
      </c>
      <c r="M669" s="72">
        <v>1852</v>
      </c>
      <c r="N669" s="64" t="s">
        <v>385</v>
      </c>
      <c r="O669" s="73">
        <v>4</v>
      </c>
      <c r="P669" s="196">
        <v>0</v>
      </c>
      <c r="Q669" s="73">
        <v>4</v>
      </c>
      <c r="R669" s="74">
        <v>22</v>
      </c>
      <c r="S669" s="76">
        <v>2385.83</v>
      </c>
      <c r="T669" s="82">
        <f t="shared" si="20"/>
        <v>1895.83</v>
      </c>
      <c r="U669" s="77">
        <f t="shared" si="21"/>
        <v>1895.83</v>
      </c>
      <c r="V669" s="78">
        <v>490</v>
      </c>
      <c r="W669" s="80" t="s">
        <v>233</v>
      </c>
      <c r="X669" s="81" t="s">
        <v>233</v>
      </c>
      <c r="Y669" s="4" t="s">
        <v>233</v>
      </c>
      <c r="Z669" s="81" t="s">
        <v>233</v>
      </c>
      <c r="AA669" s="64" t="s">
        <v>233</v>
      </c>
      <c r="AB669" s="81" t="s">
        <v>233</v>
      </c>
      <c r="AC669" s="4" t="s">
        <v>240</v>
      </c>
      <c r="AD669" s="64" t="s">
        <v>233</v>
      </c>
      <c r="AE669" s="64" t="s">
        <v>240</v>
      </c>
      <c r="AF669" s="210">
        <v>0</v>
      </c>
      <c r="AG669" s="4">
        <v>1</v>
      </c>
      <c r="AH669" s="64">
        <v>1</v>
      </c>
      <c r="AI669" s="4">
        <v>0</v>
      </c>
      <c r="AJ669" s="4">
        <v>0</v>
      </c>
      <c r="AK669" s="4">
        <v>0</v>
      </c>
    </row>
    <row r="670" spans="1:37" outlineLevel="1">
      <c r="A670" s="5">
        <v>663</v>
      </c>
      <c r="B670" s="64" t="s">
        <v>190</v>
      </c>
      <c r="C670" s="4" t="s">
        <v>237</v>
      </c>
      <c r="D670" s="4" t="str">
        <f>[1]Лист2!B663</f>
        <v>САДОВАЯ ул.</v>
      </c>
      <c r="E670" s="69">
        <f>[1]Лист2!C663</f>
        <v>109</v>
      </c>
      <c r="F670" s="197" t="str">
        <f>[1]Лист2!D663</f>
        <v>А</v>
      </c>
      <c r="G670" s="4"/>
      <c r="H670" s="199">
        <v>129663</v>
      </c>
      <c r="I670" s="64" t="s">
        <v>234</v>
      </c>
      <c r="J670" s="4"/>
      <c r="K670" s="64" t="s">
        <v>232</v>
      </c>
      <c r="L670" s="4" t="s">
        <v>232</v>
      </c>
      <c r="M670" s="72">
        <v>1951</v>
      </c>
      <c r="N670" s="64" t="s">
        <v>385</v>
      </c>
      <c r="O670" s="73">
        <v>4</v>
      </c>
      <c r="P670" s="196">
        <v>0</v>
      </c>
      <c r="Q670" s="73">
        <v>4</v>
      </c>
      <c r="R670" s="74">
        <v>53</v>
      </c>
      <c r="S670" s="76">
        <v>2866.19</v>
      </c>
      <c r="T670" s="82">
        <f t="shared" si="20"/>
        <v>2188.19</v>
      </c>
      <c r="U670" s="77">
        <f t="shared" si="21"/>
        <v>2188.19</v>
      </c>
      <c r="V670" s="78">
        <v>678</v>
      </c>
      <c r="W670" s="80" t="s">
        <v>233</v>
      </c>
      <c r="X670" s="81" t="s">
        <v>233</v>
      </c>
      <c r="Y670" s="4" t="s">
        <v>240</v>
      </c>
      <c r="Z670" s="81" t="s">
        <v>233</v>
      </c>
      <c r="AA670" s="64" t="s">
        <v>233</v>
      </c>
      <c r="AB670" s="81" t="s">
        <v>233</v>
      </c>
      <c r="AC670" s="4" t="s">
        <v>233</v>
      </c>
      <c r="AD670" s="64" t="s">
        <v>233</v>
      </c>
      <c r="AE670" s="64" t="s">
        <v>240</v>
      </c>
      <c r="AF670" s="210">
        <v>0</v>
      </c>
      <c r="AG670" s="4">
        <v>2</v>
      </c>
      <c r="AH670" s="64">
        <v>1</v>
      </c>
      <c r="AI670" s="4">
        <v>0</v>
      </c>
      <c r="AJ670" s="4">
        <v>1</v>
      </c>
      <c r="AK670" s="4">
        <v>0</v>
      </c>
    </row>
    <row r="671" spans="1:37" outlineLevel="1">
      <c r="A671" s="5">
        <v>664</v>
      </c>
      <c r="B671" s="64" t="s">
        <v>190</v>
      </c>
      <c r="C671" s="4" t="s">
        <v>237</v>
      </c>
      <c r="D671" s="4" t="str">
        <f>[1]Лист2!B664</f>
        <v>САДОВАЯ ул.</v>
      </c>
      <c r="E671" s="69" t="str">
        <f>[1]Лист2!C664</f>
        <v>111-113</v>
      </c>
      <c r="F671" s="197" t="str">
        <f>[1]Лист2!D664</f>
        <v>А</v>
      </c>
      <c r="G671" s="4"/>
      <c r="H671" s="199">
        <v>129664</v>
      </c>
      <c r="I671" s="64" t="s">
        <v>234</v>
      </c>
      <c r="J671" s="4"/>
      <c r="K671" s="64" t="s">
        <v>232</v>
      </c>
      <c r="L671" s="4" t="s">
        <v>232</v>
      </c>
      <c r="M671" s="72">
        <v>1872</v>
      </c>
      <c r="N671" s="64" t="s">
        <v>385</v>
      </c>
      <c r="O671" s="73">
        <v>5</v>
      </c>
      <c r="P671" s="196">
        <v>0</v>
      </c>
      <c r="Q671" s="73">
        <v>4</v>
      </c>
      <c r="R671" s="74">
        <v>88</v>
      </c>
      <c r="S671" s="76">
        <v>3827.65</v>
      </c>
      <c r="T671" s="82">
        <f t="shared" si="20"/>
        <v>3459.53</v>
      </c>
      <c r="U671" s="77">
        <f t="shared" si="21"/>
        <v>3459.53</v>
      </c>
      <c r="V671" s="78">
        <v>368.12</v>
      </c>
      <c r="W671" s="80" t="s">
        <v>233</v>
      </c>
      <c r="X671" s="81" t="s">
        <v>233</v>
      </c>
      <c r="Y671" s="4" t="s">
        <v>233</v>
      </c>
      <c r="Z671" s="81" t="s">
        <v>233</v>
      </c>
      <c r="AA671" s="64" t="s">
        <v>233</v>
      </c>
      <c r="AB671" s="81" t="s">
        <v>233</v>
      </c>
      <c r="AC671" s="4" t="s">
        <v>240</v>
      </c>
      <c r="AD671" s="64" t="s">
        <v>233</v>
      </c>
      <c r="AE671" s="64" t="s">
        <v>240</v>
      </c>
      <c r="AF671" s="210">
        <v>2</v>
      </c>
      <c r="AG671" s="4">
        <v>2</v>
      </c>
      <c r="AH671" s="64">
        <v>1</v>
      </c>
      <c r="AI671" s="4">
        <v>0</v>
      </c>
      <c r="AJ671" s="4">
        <v>0</v>
      </c>
      <c r="AK671" s="4">
        <v>0</v>
      </c>
    </row>
    <row r="672" spans="1:37" outlineLevel="1">
      <c r="A672" s="5">
        <v>665</v>
      </c>
      <c r="B672" s="64" t="s">
        <v>190</v>
      </c>
      <c r="C672" s="4" t="s">
        <v>237</v>
      </c>
      <c r="D672" s="4" t="str">
        <f>[1]Лист2!B665</f>
        <v>САДОВАЯ ул.</v>
      </c>
      <c r="E672" s="69" t="str">
        <f>[1]Лист2!C665</f>
        <v>112-114</v>
      </c>
      <c r="F672" s="197" t="str">
        <f>[1]Лист2!D665</f>
        <v>А</v>
      </c>
      <c r="G672" s="64"/>
      <c r="H672" s="199">
        <v>129665</v>
      </c>
      <c r="I672" s="64" t="s">
        <v>234</v>
      </c>
      <c r="J672" s="4"/>
      <c r="K672" s="64" t="s">
        <v>232</v>
      </c>
      <c r="L672" s="4" t="s">
        <v>232</v>
      </c>
      <c r="M672" s="72">
        <v>1896</v>
      </c>
      <c r="N672" s="64" t="s">
        <v>385</v>
      </c>
      <c r="O672" s="73">
        <v>4</v>
      </c>
      <c r="P672" s="196">
        <v>0</v>
      </c>
      <c r="Q672" s="73">
        <v>4</v>
      </c>
      <c r="R672" s="74">
        <v>138</v>
      </c>
      <c r="S672" s="76">
        <v>3466</v>
      </c>
      <c r="T672" s="82">
        <f t="shared" si="20"/>
        <v>3303</v>
      </c>
      <c r="U672" s="77">
        <f t="shared" si="21"/>
        <v>3303</v>
      </c>
      <c r="V672" s="78">
        <v>163</v>
      </c>
      <c r="W672" s="80" t="s">
        <v>233</v>
      </c>
      <c r="X672" s="81" t="s">
        <v>233</v>
      </c>
      <c r="Y672" s="4" t="s">
        <v>233</v>
      </c>
      <c r="Z672" s="81" t="s">
        <v>233</v>
      </c>
      <c r="AA672" s="64" t="s">
        <v>233</v>
      </c>
      <c r="AB672" s="81" t="s">
        <v>233</v>
      </c>
      <c r="AC672" s="4" t="s">
        <v>240</v>
      </c>
      <c r="AD672" s="64" t="s">
        <v>233</v>
      </c>
      <c r="AE672" s="64" t="s">
        <v>240</v>
      </c>
      <c r="AF672" s="210">
        <v>0</v>
      </c>
      <c r="AG672" s="4">
        <v>1</v>
      </c>
      <c r="AH672" s="64">
        <v>1</v>
      </c>
      <c r="AI672" s="4">
        <v>1</v>
      </c>
      <c r="AJ672" s="4">
        <v>1</v>
      </c>
      <c r="AK672" s="4">
        <v>0</v>
      </c>
    </row>
    <row r="673" spans="1:37" outlineLevel="1">
      <c r="A673" s="5">
        <v>666</v>
      </c>
      <c r="B673" s="64" t="s">
        <v>190</v>
      </c>
      <c r="C673" s="4" t="s">
        <v>237</v>
      </c>
      <c r="D673" s="4" t="str">
        <f>[1]Лист2!B666</f>
        <v>САДОВАЯ ул.</v>
      </c>
      <c r="E673" s="69" t="str">
        <f>[1]Лист2!C666</f>
        <v>112-114</v>
      </c>
      <c r="F673" s="197" t="str">
        <f>[1]Лист2!D666</f>
        <v>Б</v>
      </c>
      <c r="G673" s="64"/>
      <c r="H673" s="199">
        <v>129666</v>
      </c>
      <c r="I673" s="64" t="s">
        <v>234</v>
      </c>
      <c r="J673" s="4"/>
      <c r="K673" s="64" t="s">
        <v>232</v>
      </c>
      <c r="L673" s="4" t="s">
        <v>232</v>
      </c>
      <c r="M673" s="72">
        <v>1896</v>
      </c>
      <c r="N673" s="64" t="s">
        <v>385</v>
      </c>
      <c r="O673" s="73">
        <v>5</v>
      </c>
      <c r="P673" s="196">
        <v>0</v>
      </c>
      <c r="Q673" s="73">
        <v>1</v>
      </c>
      <c r="R673" s="74">
        <v>44</v>
      </c>
      <c r="S673" s="76">
        <v>900</v>
      </c>
      <c r="T673" s="82">
        <f t="shared" si="20"/>
        <v>900</v>
      </c>
      <c r="U673" s="77">
        <f t="shared" si="21"/>
        <v>900</v>
      </c>
      <c r="V673" s="78">
        <v>0</v>
      </c>
      <c r="W673" s="80" t="s">
        <v>233</v>
      </c>
      <c r="X673" s="81" t="s">
        <v>233</v>
      </c>
      <c r="Y673" s="4" t="s">
        <v>233</v>
      </c>
      <c r="Z673" s="81" t="s">
        <v>233</v>
      </c>
      <c r="AA673" s="64" t="s">
        <v>233</v>
      </c>
      <c r="AB673" s="81" t="s">
        <v>233</v>
      </c>
      <c r="AC673" s="4" t="s">
        <v>240</v>
      </c>
      <c r="AD673" s="64" t="s">
        <v>233</v>
      </c>
      <c r="AE673" s="64" t="s">
        <v>240</v>
      </c>
      <c r="AF673" s="211">
        <v>0</v>
      </c>
      <c r="AG673" s="4">
        <v>1</v>
      </c>
      <c r="AH673" s="64">
        <v>1</v>
      </c>
      <c r="AI673" s="4">
        <v>0</v>
      </c>
      <c r="AJ673" s="4">
        <v>0</v>
      </c>
      <c r="AK673" s="4">
        <v>0</v>
      </c>
    </row>
    <row r="674" spans="1:37" outlineLevel="1">
      <c r="A674" s="63">
        <v>667</v>
      </c>
      <c r="B674" s="64" t="s">
        <v>190</v>
      </c>
      <c r="C674" s="4" t="s">
        <v>237</v>
      </c>
      <c r="D674" s="4" t="str">
        <f>[1]Лист2!B667</f>
        <v>САДОВАЯ ул.</v>
      </c>
      <c r="E674" s="69">
        <f>[1]Лист2!C667</f>
        <v>115</v>
      </c>
      <c r="F674" s="197" t="str">
        <f>[1]Лист2!D667</f>
        <v>А</v>
      </c>
      <c r="G674" s="4"/>
      <c r="H674" s="199">
        <v>129667</v>
      </c>
      <c r="I674" s="64" t="s">
        <v>234</v>
      </c>
      <c r="J674" s="4"/>
      <c r="K674" s="64" t="s">
        <v>232</v>
      </c>
      <c r="L674" s="4" t="s">
        <v>232</v>
      </c>
      <c r="M674" s="72">
        <v>1907</v>
      </c>
      <c r="N674" s="64" t="s">
        <v>385</v>
      </c>
      <c r="O674" s="73">
        <v>4</v>
      </c>
      <c r="P674" s="196">
        <v>0</v>
      </c>
      <c r="Q674" s="73">
        <v>3</v>
      </c>
      <c r="R674" s="74">
        <v>27</v>
      </c>
      <c r="S674" s="76">
        <v>1424.55</v>
      </c>
      <c r="T674" s="82">
        <f t="shared" si="20"/>
        <v>1360.55</v>
      </c>
      <c r="U674" s="77">
        <f t="shared" si="21"/>
        <v>1360.55</v>
      </c>
      <c r="V674" s="78">
        <v>64</v>
      </c>
      <c r="W674" s="80" t="s">
        <v>233</v>
      </c>
      <c r="X674" s="81" t="s">
        <v>233</v>
      </c>
      <c r="Y674" s="4" t="s">
        <v>233</v>
      </c>
      <c r="Z674" s="81" t="s">
        <v>233</v>
      </c>
      <c r="AA674" s="64" t="s">
        <v>233</v>
      </c>
      <c r="AB674" s="81" t="s">
        <v>233</v>
      </c>
      <c r="AC674" s="4" t="s">
        <v>240</v>
      </c>
      <c r="AD674" s="64" t="s">
        <v>233</v>
      </c>
      <c r="AE674" s="64" t="s">
        <v>240</v>
      </c>
      <c r="AF674" s="210">
        <v>0</v>
      </c>
      <c r="AG674" s="4">
        <v>1</v>
      </c>
      <c r="AH674" s="64">
        <v>1</v>
      </c>
      <c r="AI674" s="4">
        <v>1</v>
      </c>
      <c r="AJ674" s="4">
        <v>1</v>
      </c>
      <c r="AK674" s="4">
        <v>0</v>
      </c>
    </row>
    <row r="675" spans="1:37" outlineLevel="1">
      <c r="A675" s="63">
        <v>668</v>
      </c>
      <c r="B675" s="64" t="s">
        <v>190</v>
      </c>
      <c r="C675" s="4" t="s">
        <v>237</v>
      </c>
      <c r="D675" s="4" t="str">
        <f>[1]Лист2!B668</f>
        <v>САДОВАЯ ул.</v>
      </c>
      <c r="E675" s="69">
        <f>[1]Лист2!C668</f>
        <v>116</v>
      </c>
      <c r="F675" s="197" t="str">
        <f>[1]Лист2!D668</f>
        <v>А</v>
      </c>
      <c r="G675" s="4"/>
      <c r="H675" s="199">
        <v>129668</v>
      </c>
      <c r="I675" s="64" t="s">
        <v>234</v>
      </c>
      <c r="J675" s="4"/>
      <c r="K675" s="64" t="s">
        <v>232</v>
      </c>
      <c r="L675" s="4" t="s">
        <v>232</v>
      </c>
      <c r="M675" s="72">
        <v>1840</v>
      </c>
      <c r="N675" s="64" t="s">
        <v>385</v>
      </c>
      <c r="O675" s="73">
        <v>4</v>
      </c>
      <c r="P675" s="196">
        <v>0</v>
      </c>
      <c r="Q675" s="73">
        <v>2</v>
      </c>
      <c r="R675" s="74">
        <v>22</v>
      </c>
      <c r="S675" s="76">
        <v>1030.17</v>
      </c>
      <c r="T675" s="82">
        <f t="shared" si="20"/>
        <v>895.17000000000007</v>
      </c>
      <c r="U675" s="77">
        <f t="shared" si="21"/>
        <v>895.17000000000007</v>
      </c>
      <c r="V675" s="78">
        <v>135</v>
      </c>
      <c r="W675" s="80" t="s">
        <v>233</v>
      </c>
      <c r="X675" s="81" t="s">
        <v>233</v>
      </c>
      <c r="Y675" s="4" t="s">
        <v>233</v>
      </c>
      <c r="Z675" s="81" t="s">
        <v>233</v>
      </c>
      <c r="AA675" s="64" t="s">
        <v>233</v>
      </c>
      <c r="AB675" s="81" t="s">
        <v>233</v>
      </c>
      <c r="AC675" s="4" t="s">
        <v>240</v>
      </c>
      <c r="AD675" s="64" t="s">
        <v>233</v>
      </c>
      <c r="AE675" s="64" t="s">
        <v>240</v>
      </c>
      <c r="AF675" s="210">
        <v>0</v>
      </c>
      <c r="AG675" s="4">
        <v>1</v>
      </c>
      <c r="AH675" s="64">
        <v>1</v>
      </c>
      <c r="AI675" s="4">
        <v>0</v>
      </c>
      <c r="AJ675" s="4">
        <v>0</v>
      </c>
      <c r="AK675" s="4">
        <v>0</v>
      </c>
    </row>
    <row r="676" spans="1:37" outlineLevel="1">
      <c r="A676" s="5">
        <v>669</v>
      </c>
      <c r="B676" s="64" t="s">
        <v>190</v>
      </c>
      <c r="C676" s="4" t="s">
        <v>237</v>
      </c>
      <c r="D676" s="4" t="str">
        <f>[1]Лист2!B669</f>
        <v>САДОВАЯ ул.</v>
      </c>
      <c r="E676" s="69">
        <f>[1]Лист2!C669</f>
        <v>117</v>
      </c>
      <c r="F676" s="197" t="str">
        <f>[1]Лист2!D669</f>
        <v>А</v>
      </c>
      <c r="G676" s="64"/>
      <c r="H676" s="199">
        <v>129669</v>
      </c>
      <c r="I676" s="64" t="s">
        <v>234</v>
      </c>
      <c r="J676" s="4"/>
      <c r="K676" s="64" t="s">
        <v>232</v>
      </c>
      <c r="L676" s="4" t="s">
        <v>232</v>
      </c>
      <c r="M676" s="72">
        <v>1907</v>
      </c>
      <c r="N676" s="64" t="s">
        <v>385</v>
      </c>
      <c r="O676" s="73">
        <v>5</v>
      </c>
      <c r="P676" s="196">
        <v>0</v>
      </c>
      <c r="Q676" s="73">
        <v>1</v>
      </c>
      <c r="R676" s="74">
        <v>30</v>
      </c>
      <c r="S676" s="76">
        <v>944</v>
      </c>
      <c r="T676" s="82">
        <f t="shared" si="20"/>
        <v>944</v>
      </c>
      <c r="U676" s="77">
        <f t="shared" si="21"/>
        <v>944</v>
      </c>
      <c r="V676" s="78">
        <v>0</v>
      </c>
      <c r="W676" s="80" t="s">
        <v>233</v>
      </c>
      <c r="X676" s="81" t="s">
        <v>233</v>
      </c>
      <c r="Y676" s="4" t="s">
        <v>233</v>
      </c>
      <c r="Z676" s="81" t="s">
        <v>233</v>
      </c>
      <c r="AA676" s="64" t="s">
        <v>233</v>
      </c>
      <c r="AB676" s="81" t="s">
        <v>233</v>
      </c>
      <c r="AC676" s="4" t="s">
        <v>240</v>
      </c>
      <c r="AD676" s="64" t="s">
        <v>233</v>
      </c>
      <c r="AE676" s="64" t="s">
        <v>240</v>
      </c>
      <c r="AF676" s="210">
        <v>0</v>
      </c>
      <c r="AG676" s="4">
        <v>1</v>
      </c>
      <c r="AH676" s="64">
        <v>1</v>
      </c>
      <c r="AI676" s="4">
        <v>1</v>
      </c>
      <c r="AJ676" s="4">
        <v>1</v>
      </c>
      <c r="AK676" s="4">
        <v>0</v>
      </c>
    </row>
    <row r="677" spans="1:37" outlineLevel="1">
      <c r="A677" s="5">
        <v>670</v>
      </c>
      <c r="B677" s="64" t="s">
        <v>190</v>
      </c>
      <c r="C677" s="4" t="s">
        <v>237</v>
      </c>
      <c r="D677" s="4" t="str">
        <f>[1]Лист2!B670</f>
        <v>САДОВАЯ ул.</v>
      </c>
      <c r="E677" s="69">
        <f>[1]Лист2!C670</f>
        <v>117</v>
      </c>
      <c r="F677" s="197" t="str">
        <f>[1]Лист2!D670</f>
        <v>Б</v>
      </c>
      <c r="G677" s="64"/>
      <c r="H677" s="199">
        <v>129670</v>
      </c>
      <c r="I677" s="64" t="s">
        <v>234</v>
      </c>
      <c r="J677" s="4"/>
      <c r="K677" s="64" t="s">
        <v>232</v>
      </c>
      <c r="L677" s="4" t="s">
        <v>232</v>
      </c>
      <c r="M677" s="72">
        <v>1907</v>
      </c>
      <c r="N677" s="64" t="s">
        <v>385</v>
      </c>
      <c r="O677" s="73">
        <v>5</v>
      </c>
      <c r="P677" s="196">
        <v>0</v>
      </c>
      <c r="Q677" s="73">
        <v>1</v>
      </c>
      <c r="R677" s="74">
        <v>30</v>
      </c>
      <c r="S677" s="76">
        <v>900.8</v>
      </c>
      <c r="T677" s="82">
        <f t="shared" si="20"/>
        <v>849.4</v>
      </c>
      <c r="U677" s="77">
        <f t="shared" si="21"/>
        <v>849.4</v>
      </c>
      <c r="V677" s="78">
        <v>51.4</v>
      </c>
      <c r="W677" s="80" t="s">
        <v>233</v>
      </c>
      <c r="X677" s="81" t="s">
        <v>233</v>
      </c>
      <c r="Y677" s="4" t="s">
        <v>233</v>
      </c>
      <c r="Z677" s="81" t="s">
        <v>233</v>
      </c>
      <c r="AA677" s="64" t="s">
        <v>233</v>
      </c>
      <c r="AB677" s="81" t="s">
        <v>233</v>
      </c>
      <c r="AC677" s="4" t="s">
        <v>240</v>
      </c>
      <c r="AD677" s="64" t="s">
        <v>233</v>
      </c>
      <c r="AE677" s="64" t="s">
        <v>240</v>
      </c>
      <c r="AF677" s="211">
        <v>0</v>
      </c>
      <c r="AG677" s="4">
        <v>1</v>
      </c>
      <c r="AH677" s="64">
        <v>1</v>
      </c>
      <c r="AI677" s="4">
        <v>0</v>
      </c>
      <c r="AJ677" s="4">
        <v>0</v>
      </c>
      <c r="AK677" s="4">
        <v>0</v>
      </c>
    </row>
    <row r="678" spans="1:37" outlineLevel="1">
      <c r="A678" s="5">
        <v>671</v>
      </c>
      <c r="B678" s="64" t="s">
        <v>190</v>
      </c>
      <c r="C678" s="4" t="s">
        <v>237</v>
      </c>
      <c r="D678" s="4" t="str">
        <f>[1]Лист2!B671</f>
        <v>САДОВАЯ ул.</v>
      </c>
      <c r="E678" s="69">
        <f>[1]Лист2!C671</f>
        <v>118</v>
      </c>
      <c r="F678" s="197" t="str">
        <f>[1]Лист2!D671</f>
        <v>А</v>
      </c>
      <c r="G678" s="4"/>
      <c r="H678" s="199">
        <v>129671</v>
      </c>
      <c r="I678" s="64" t="s">
        <v>234</v>
      </c>
      <c r="J678" s="4"/>
      <c r="K678" s="64" t="s">
        <v>232</v>
      </c>
      <c r="L678" s="4" t="s">
        <v>232</v>
      </c>
      <c r="M678" s="72">
        <v>1853</v>
      </c>
      <c r="N678" s="64" t="s">
        <v>385</v>
      </c>
      <c r="O678" s="73">
        <v>5</v>
      </c>
      <c r="P678" s="196">
        <v>0</v>
      </c>
      <c r="Q678" s="73">
        <v>3</v>
      </c>
      <c r="R678" s="74">
        <v>36</v>
      </c>
      <c r="S678" s="76">
        <v>1873.0899999999997</v>
      </c>
      <c r="T678" s="82">
        <f t="shared" si="20"/>
        <v>1863.0899999999997</v>
      </c>
      <c r="U678" s="77">
        <f t="shared" si="21"/>
        <v>1863.0899999999997</v>
      </c>
      <c r="V678" s="78">
        <v>10</v>
      </c>
      <c r="W678" s="80" t="s">
        <v>233</v>
      </c>
      <c r="X678" s="81" t="s">
        <v>233</v>
      </c>
      <c r="Y678" s="4" t="s">
        <v>233</v>
      </c>
      <c r="Z678" s="81" t="s">
        <v>233</v>
      </c>
      <c r="AA678" s="64" t="s">
        <v>233</v>
      </c>
      <c r="AB678" s="81" t="s">
        <v>233</v>
      </c>
      <c r="AC678" s="4" t="s">
        <v>240</v>
      </c>
      <c r="AD678" s="64" t="s">
        <v>233</v>
      </c>
      <c r="AE678" s="64" t="s">
        <v>240</v>
      </c>
      <c r="AF678" s="210">
        <v>0</v>
      </c>
      <c r="AG678" s="4">
        <v>1</v>
      </c>
      <c r="AH678" s="64">
        <v>1</v>
      </c>
      <c r="AI678" s="4">
        <v>0</v>
      </c>
      <c r="AJ678" s="4">
        <v>0</v>
      </c>
      <c r="AK678" s="4">
        <v>0</v>
      </c>
    </row>
    <row r="679" spans="1:37" outlineLevel="1">
      <c r="A679" s="5">
        <v>672</v>
      </c>
      <c r="B679" s="64" t="s">
        <v>190</v>
      </c>
      <c r="C679" s="4" t="s">
        <v>237</v>
      </c>
      <c r="D679" s="4" t="str">
        <f>[1]Лист2!B672</f>
        <v>САДОВАЯ ул.</v>
      </c>
      <c r="E679" s="69">
        <f>[1]Лист2!C672</f>
        <v>119</v>
      </c>
      <c r="F679" s="197" t="str">
        <f>[1]Лист2!D672</f>
        <v>А</v>
      </c>
      <c r="G679" s="4"/>
      <c r="H679" s="199">
        <v>129672</v>
      </c>
      <c r="I679" s="64" t="s">
        <v>234</v>
      </c>
      <c r="J679" s="4"/>
      <c r="K679" s="64" t="s">
        <v>232</v>
      </c>
      <c r="L679" s="4" t="s">
        <v>232</v>
      </c>
      <c r="M679" s="72">
        <v>1846</v>
      </c>
      <c r="N679" s="64" t="s">
        <v>385</v>
      </c>
      <c r="O679" s="73">
        <v>4</v>
      </c>
      <c r="P679" s="196">
        <v>0</v>
      </c>
      <c r="Q679" s="73">
        <v>2</v>
      </c>
      <c r="R679" s="74">
        <v>27</v>
      </c>
      <c r="S679" s="76">
        <v>1244.31</v>
      </c>
      <c r="T679" s="82">
        <f t="shared" si="20"/>
        <v>1214.31</v>
      </c>
      <c r="U679" s="77">
        <f t="shared" si="21"/>
        <v>1214.31</v>
      </c>
      <c r="V679" s="78">
        <v>30</v>
      </c>
      <c r="W679" s="80" t="s">
        <v>233</v>
      </c>
      <c r="X679" s="81" t="s">
        <v>233</v>
      </c>
      <c r="Y679" s="4" t="s">
        <v>233</v>
      </c>
      <c r="Z679" s="81" t="s">
        <v>233</v>
      </c>
      <c r="AA679" s="64" t="s">
        <v>233</v>
      </c>
      <c r="AB679" s="81" t="s">
        <v>233</v>
      </c>
      <c r="AC679" s="4" t="s">
        <v>240</v>
      </c>
      <c r="AD679" s="64" t="s">
        <v>233</v>
      </c>
      <c r="AE679" s="64" t="s">
        <v>240</v>
      </c>
      <c r="AF679" s="210">
        <v>0</v>
      </c>
      <c r="AG679" s="4">
        <v>1</v>
      </c>
      <c r="AH679" s="64">
        <v>1</v>
      </c>
      <c r="AI679" s="4">
        <v>0</v>
      </c>
      <c r="AJ679" s="4">
        <v>0</v>
      </c>
      <c r="AK679" s="4">
        <v>0</v>
      </c>
    </row>
    <row r="680" spans="1:37" outlineLevel="1">
      <c r="A680" s="63">
        <v>673</v>
      </c>
      <c r="B680" s="64" t="s">
        <v>190</v>
      </c>
      <c r="C680" s="4" t="s">
        <v>237</v>
      </c>
      <c r="D680" s="4" t="str">
        <f>[1]Лист2!B673</f>
        <v>САДОВАЯ ул.</v>
      </c>
      <c r="E680" s="69">
        <f>[1]Лист2!C673</f>
        <v>119</v>
      </c>
      <c r="F680" s="197" t="str">
        <f>[1]Лист2!D673</f>
        <v>Б</v>
      </c>
      <c r="G680" s="64"/>
      <c r="H680" s="199">
        <v>129673</v>
      </c>
      <c r="I680" s="64" t="s">
        <v>234</v>
      </c>
      <c r="J680" s="4"/>
      <c r="K680" s="64" t="s">
        <v>232</v>
      </c>
      <c r="L680" s="4" t="s">
        <v>232</v>
      </c>
      <c r="M680" s="72">
        <v>1846</v>
      </c>
      <c r="N680" s="64" t="s">
        <v>385</v>
      </c>
      <c r="O680" s="73">
        <v>4</v>
      </c>
      <c r="P680" s="196">
        <v>0</v>
      </c>
      <c r="Q680" s="73">
        <v>2</v>
      </c>
      <c r="R680" s="74">
        <v>25</v>
      </c>
      <c r="S680" s="76">
        <v>776.2</v>
      </c>
      <c r="T680" s="82">
        <f t="shared" si="20"/>
        <v>776.2</v>
      </c>
      <c r="U680" s="77">
        <f t="shared" si="21"/>
        <v>776.2</v>
      </c>
      <c r="V680" s="78">
        <v>0</v>
      </c>
      <c r="W680" s="80" t="s">
        <v>233</v>
      </c>
      <c r="X680" s="81" t="s">
        <v>233</v>
      </c>
      <c r="Y680" s="4" t="s">
        <v>233</v>
      </c>
      <c r="Z680" s="81" t="s">
        <v>233</v>
      </c>
      <c r="AA680" s="64" t="s">
        <v>233</v>
      </c>
      <c r="AB680" s="81" t="s">
        <v>233</v>
      </c>
      <c r="AC680" s="4" t="s">
        <v>240</v>
      </c>
      <c r="AD680" s="64" t="s">
        <v>233</v>
      </c>
      <c r="AE680" s="64" t="s">
        <v>240</v>
      </c>
      <c r="AF680" s="211">
        <v>0</v>
      </c>
      <c r="AG680" s="4">
        <v>1</v>
      </c>
      <c r="AH680" s="64">
        <v>1</v>
      </c>
      <c r="AI680" s="4">
        <v>0</v>
      </c>
      <c r="AJ680" s="4">
        <v>0</v>
      </c>
      <c r="AK680" s="4">
        <v>0</v>
      </c>
    </row>
    <row r="681" spans="1:37" outlineLevel="1">
      <c r="A681" s="63">
        <v>674</v>
      </c>
      <c r="B681" s="64" t="s">
        <v>190</v>
      </c>
      <c r="C681" s="4" t="s">
        <v>237</v>
      </c>
      <c r="D681" s="4" t="str">
        <f>[1]Лист2!B674</f>
        <v>САДОВАЯ ул.</v>
      </c>
      <c r="E681" s="69">
        <f>[1]Лист2!C674</f>
        <v>120</v>
      </c>
      <c r="F681" s="197" t="str">
        <f>[1]Лист2!D674</f>
        <v>А</v>
      </c>
      <c r="G681" s="64"/>
      <c r="H681" s="199">
        <v>129674</v>
      </c>
      <c r="I681" s="64" t="s">
        <v>234</v>
      </c>
      <c r="J681" s="4"/>
      <c r="K681" s="64" t="s">
        <v>232</v>
      </c>
      <c r="L681" s="4" t="s">
        <v>232</v>
      </c>
      <c r="M681" s="72">
        <v>1917</v>
      </c>
      <c r="N681" s="64" t="s">
        <v>385</v>
      </c>
      <c r="O681" s="73">
        <v>4</v>
      </c>
      <c r="P681" s="196">
        <v>0</v>
      </c>
      <c r="Q681" s="73">
        <v>4</v>
      </c>
      <c r="R681" s="74">
        <v>33</v>
      </c>
      <c r="S681" s="76">
        <v>2320</v>
      </c>
      <c r="T681" s="82">
        <f t="shared" si="20"/>
        <v>1900.26</v>
      </c>
      <c r="U681" s="77">
        <f t="shared" si="21"/>
        <v>1900.26</v>
      </c>
      <c r="V681" s="78">
        <v>419.74</v>
      </c>
      <c r="W681" s="80" t="s">
        <v>233</v>
      </c>
      <c r="X681" s="81" t="s">
        <v>233</v>
      </c>
      <c r="Y681" s="4" t="s">
        <v>233</v>
      </c>
      <c r="Z681" s="81" t="s">
        <v>233</v>
      </c>
      <c r="AA681" s="64" t="s">
        <v>233</v>
      </c>
      <c r="AB681" s="81" t="s">
        <v>233</v>
      </c>
      <c r="AC681" s="4" t="s">
        <v>240</v>
      </c>
      <c r="AD681" s="64" t="s">
        <v>233</v>
      </c>
      <c r="AE681" s="64" t="s">
        <v>240</v>
      </c>
      <c r="AF681" s="210">
        <v>0</v>
      </c>
      <c r="AG681" s="4">
        <v>1</v>
      </c>
      <c r="AH681" s="64">
        <v>1</v>
      </c>
      <c r="AI681" s="4">
        <v>1</v>
      </c>
      <c r="AJ681" s="4">
        <v>1</v>
      </c>
      <c r="AK681" s="4">
        <v>0</v>
      </c>
    </row>
    <row r="682" spans="1:37" outlineLevel="1">
      <c r="A682" s="5">
        <v>675</v>
      </c>
      <c r="B682" s="64" t="s">
        <v>190</v>
      </c>
      <c r="C682" s="4" t="s">
        <v>237</v>
      </c>
      <c r="D682" s="4" t="str">
        <f>[1]Лист2!B675</f>
        <v>САДОВАЯ ул.</v>
      </c>
      <c r="E682" s="69" t="str">
        <f>[1]Лист2!C675</f>
        <v>122/193</v>
      </c>
      <c r="F682" s="197" t="str">
        <f>[1]Лист2!D675</f>
        <v>Б</v>
      </c>
      <c r="G682" s="4"/>
      <c r="H682" s="199">
        <v>129675</v>
      </c>
      <c r="I682" s="64" t="s">
        <v>234</v>
      </c>
      <c r="J682" s="4"/>
      <c r="K682" s="64" t="s">
        <v>232</v>
      </c>
      <c r="L682" s="4" t="s">
        <v>232</v>
      </c>
      <c r="M682" s="72">
        <v>1917</v>
      </c>
      <c r="N682" s="64" t="s">
        <v>385</v>
      </c>
      <c r="O682" s="73">
        <v>4</v>
      </c>
      <c r="P682" s="196">
        <v>0</v>
      </c>
      <c r="Q682" s="73">
        <v>4</v>
      </c>
      <c r="R682" s="74">
        <v>33</v>
      </c>
      <c r="S682" s="76">
        <v>874.5</v>
      </c>
      <c r="T682" s="82">
        <f t="shared" si="20"/>
        <v>874.5</v>
      </c>
      <c r="U682" s="77">
        <f t="shared" si="21"/>
        <v>874.5</v>
      </c>
      <c r="V682" s="78">
        <v>0</v>
      </c>
      <c r="W682" s="80" t="s">
        <v>233</v>
      </c>
      <c r="X682" s="81" t="s">
        <v>233</v>
      </c>
      <c r="Y682" s="4" t="s">
        <v>233</v>
      </c>
      <c r="Z682" s="81" t="s">
        <v>233</v>
      </c>
      <c r="AA682" s="64" t="s">
        <v>233</v>
      </c>
      <c r="AB682" s="81" t="s">
        <v>233</v>
      </c>
      <c r="AC682" s="4" t="s">
        <v>240</v>
      </c>
      <c r="AD682" s="64" t="s">
        <v>233</v>
      </c>
      <c r="AE682" s="64" t="s">
        <v>240</v>
      </c>
      <c r="AF682" s="211">
        <v>0</v>
      </c>
      <c r="AG682" s="4">
        <v>1</v>
      </c>
      <c r="AH682" s="64">
        <v>1</v>
      </c>
      <c r="AI682" s="4">
        <v>1</v>
      </c>
      <c r="AJ682" s="4">
        <v>1</v>
      </c>
      <c r="AK682" s="4">
        <v>0</v>
      </c>
    </row>
    <row r="683" spans="1:37" outlineLevel="1">
      <c r="A683" s="5">
        <v>676</v>
      </c>
      <c r="B683" s="64" t="s">
        <v>190</v>
      </c>
      <c r="C683" s="4" t="s">
        <v>237</v>
      </c>
      <c r="D683" s="4" t="str">
        <f>[1]Лист2!B676</f>
        <v>САДОВАЯ ул.</v>
      </c>
      <c r="E683" s="69">
        <f>[1]Лист2!C676</f>
        <v>123</v>
      </c>
      <c r="F683" s="197" t="str">
        <f>[1]Лист2!D676</f>
        <v>А</v>
      </c>
      <c r="G683" s="4"/>
      <c r="H683" s="199">
        <v>129676</v>
      </c>
      <c r="I683" s="64" t="s">
        <v>234</v>
      </c>
      <c r="J683" s="4"/>
      <c r="K683" s="64" t="s">
        <v>232</v>
      </c>
      <c r="L683" s="4" t="s">
        <v>232</v>
      </c>
      <c r="M683" s="72">
        <v>1874</v>
      </c>
      <c r="N683" s="64" t="s">
        <v>385</v>
      </c>
      <c r="O683" s="73">
        <v>5</v>
      </c>
      <c r="P683" s="196">
        <v>0</v>
      </c>
      <c r="Q683" s="73">
        <v>2</v>
      </c>
      <c r="R683" s="74">
        <v>59</v>
      </c>
      <c r="S683" s="76">
        <v>1709.1</v>
      </c>
      <c r="T683" s="82">
        <f t="shared" si="20"/>
        <v>1709.1</v>
      </c>
      <c r="U683" s="77">
        <f t="shared" si="21"/>
        <v>1709.1</v>
      </c>
      <c r="V683" s="78">
        <v>0</v>
      </c>
      <c r="W683" s="80" t="s">
        <v>233</v>
      </c>
      <c r="X683" s="81" t="s">
        <v>233</v>
      </c>
      <c r="Y683" s="4" t="s">
        <v>233</v>
      </c>
      <c r="Z683" s="81" t="s">
        <v>233</v>
      </c>
      <c r="AA683" s="64" t="s">
        <v>233</v>
      </c>
      <c r="AB683" s="81" t="s">
        <v>233</v>
      </c>
      <c r="AC683" s="4" t="s">
        <v>240</v>
      </c>
      <c r="AD683" s="64" t="s">
        <v>233</v>
      </c>
      <c r="AE683" s="64" t="s">
        <v>240</v>
      </c>
      <c r="AF683" s="210">
        <v>0</v>
      </c>
      <c r="AG683" s="4">
        <v>1</v>
      </c>
      <c r="AH683" s="64">
        <v>1</v>
      </c>
      <c r="AI683" s="4">
        <v>0</v>
      </c>
      <c r="AJ683" s="4">
        <v>0</v>
      </c>
      <c r="AK683" s="4">
        <v>0</v>
      </c>
    </row>
    <row r="684" spans="1:37" outlineLevel="1">
      <c r="A684" s="5">
        <v>677</v>
      </c>
      <c r="B684" s="64" t="s">
        <v>190</v>
      </c>
      <c r="C684" s="4" t="s">
        <v>237</v>
      </c>
      <c r="D684" s="4" t="str">
        <f>[1]Лист2!B677</f>
        <v>САДОВАЯ ул.</v>
      </c>
      <c r="E684" s="69">
        <f>[1]Лист2!C677</f>
        <v>123</v>
      </c>
      <c r="F684" s="197" t="str">
        <f>[1]Лист2!D677</f>
        <v>Б</v>
      </c>
      <c r="G684" s="64"/>
      <c r="H684" s="199">
        <v>129677</v>
      </c>
      <c r="I684" s="64" t="s">
        <v>234</v>
      </c>
      <c r="J684" s="4"/>
      <c r="K684" s="64" t="s">
        <v>232</v>
      </c>
      <c r="L684" s="4" t="s">
        <v>232</v>
      </c>
      <c r="M684" s="72">
        <v>1874</v>
      </c>
      <c r="N684" s="64" t="s">
        <v>385</v>
      </c>
      <c r="O684" s="73">
        <v>5</v>
      </c>
      <c r="P684" s="196">
        <v>0</v>
      </c>
      <c r="Q684" s="73">
        <v>2</v>
      </c>
      <c r="R684" s="74">
        <v>64</v>
      </c>
      <c r="S684" s="76">
        <v>1507.4</v>
      </c>
      <c r="T684" s="82">
        <f t="shared" si="20"/>
        <v>1507.4</v>
      </c>
      <c r="U684" s="77">
        <f t="shared" si="21"/>
        <v>1507.4</v>
      </c>
      <c r="V684" s="78">
        <v>0</v>
      </c>
      <c r="W684" s="80" t="s">
        <v>233</v>
      </c>
      <c r="X684" s="81" t="s">
        <v>233</v>
      </c>
      <c r="Y684" s="4" t="s">
        <v>233</v>
      </c>
      <c r="Z684" s="81" t="s">
        <v>233</v>
      </c>
      <c r="AA684" s="64" t="s">
        <v>233</v>
      </c>
      <c r="AB684" s="81" t="s">
        <v>233</v>
      </c>
      <c r="AC684" s="4" t="s">
        <v>240</v>
      </c>
      <c r="AD684" s="64" t="s">
        <v>233</v>
      </c>
      <c r="AE684" s="64" t="s">
        <v>240</v>
      </c>
      <c r="AF684" s="211">
        <v>0</v>
      </c>
      <c r="AG684" s="4">
        <v>1</v>
      </c>
      <c r="AH684" s="64">
        <v>1</v>
      </c>
      <c r="AI684" s="4">
        <v>0</v>
      </c>
      <c r="AJ684" s="4">
        <v>0</v>
      </c>
      <c r="AK684" s="4">
        <v>0</v>
      </c>
    </row>
    <row r="685" spans="1:37" outlineLevel="1">
      <c r="A685" s="5">
        <v>678</v>
      </c>
      <c r="B685" s="64" t="s">
        <v>190</v>
      </c>
      <c r="C685" s="4" t="s">
        <v>237</v>
      </c>
      <c r="D685" s="4" t="str">
        <f>[1]Лист2!B678</f>
        <v>САДОВАЯ ул.</v>
      </c>
      <c r="E685" s="69">
        <f>[1]Лист2!C678</f>
        <v>124</v>
      </c>
      <c r="F685" s="197" t="str">
        <f>[1]Лист2!D678</f>
        <v>А</v>
      </c>
      <c r="G685" s="64"/>
      <c r="H685" s="199">
        <v>129678</v>
      </c>
      <c r="I685" s="64" t="s">
        <v>234</v>
      </c>
      <c r="J685" s="4"/>
      <c r="K685" s="64" t="s">
        <v>232</v>
      </c>
      <c r="L685" s="4" t="s">
        <v>232</v>
      </c>
      <c r="M685" s="72">
        <v>1798</v>
      </c>
      <c r="N685" s="64" t="s">
        <v>385</v>
      </c>
      <c r="O685" s="73">
        <v>3</v>
      </c>
      <c r="P685" s="196">
        <v>0</v>
      </c>
      <c r="Q685" s="73">
        <v>5</v>
      </c>
      <c r="R685" s="74">
        <v>41</v>
      </c>
      <c r="S685" s="76">
        <v>2115.6999999999998</v>
      </c>
      <c r="T685" s="82">
        <f t="shared" si="20"/>
        <v>1740.6999999999998</v>
      </c>
      <c r="U685" s="77">
        <f t="shared" si="21"/>
        <v>1740.6999999999998</v>
      </c>
      <c r="V685" s="78">
        <v>375</v>
      </c>
      <c r="W685" s="80" t="s">
        <v>233</v>
      </c>
      <c r="X685" s="81" t="s">
        <v>233</v>
      </c>
      <c r="Y685" s="4" t="s">
        <v>233</v>
      </c>
      <c r="Z685" s="81" t="s">
        <v>233</v>
      </c>
      <c r="AA685" s="64" t="s">
        <v>233</v>
      </c>
      <c r="AB685" s="81" t="s">
        <v>233</v>
      </c>
      <c r="AC685" s="4" t="s">
        <v>240</v>
      </c>
      <c r="AD685" s="64" t="s">
        <v>233</v>
      </c>
      <c r="AE685" s="64" t="s">
        <v>240</v>
      </c>
      <c r="AF685" s="210">
        <v>0</v>
      </c>
      <c r="AG685" s="4">
        <v>1</v>
      </c>
      <c r="AH685" s="64">
        <v>1</v>
      </c>
      <c r="AI685" s="4">
        <v>0</v>
      </c>
      <c r="AJ685" s="4">
        <v>0</v>
      </c>
      <c r="AK685" s="4">
        <v>0</v>
      </c>
    </row>
    <row r="686" spans="1:37" outlineLevel="1">
      <c r="A686" s="63">
        <v>679</v>
      </c>
      <c r="B686" s="64" t="s">
        <v>190</v>
      </c>
      <c r="C686" s="4" t="s">
        <v>237</v>
      </c>
      <c r="D686" s="4" t="str">
        <f>[1]Лист2!B679</f>
        <v>САДОВАЯ ул.</v>
      </c>
      <c r="E686" s="69">
        <f>[1]Лист2!C679</f>
        <v>125</v>
      </c>
      <c r="F686" s="197" t="str">
        <f>[1]Лист2!D679</f>
        <v>А</v>
      </c>
      <c r="G686" s="4"/>
      <c r="H686" s="199">
        <v>129679</v>
      </c>
      <c r="I686" s="64" t="s">
        <v>234</v>
      </c>
      <c r="J686" s="4"/>
      <c r="K686" s="64" t="s">
        <v>232</v>
      </c>
      <c r="L686" s="4" t="s">
        <v>232</v>
      </c>
      <c r="M686" s="72">
        <v>1828</v>
      </c>
      <c r="N686" s="64" t="s">
        <v>385</v>
      </c>
      <c r="O686" s="73">
        <v>3</v>
      </c>
      <c r="P686" s="196">
        <v>0</v>
      </c>
      <c r="Q686" s="73">
        <v>3</v>
      </c>
      <c r="R686" s="74">
        <v>54</v>
      </c>
      <c r="S686" s="76">
        <v>1748</v>
      </c>
      <c r="T686" s="82">
        <f t="shared" si="20"/>
        <v>1357</v>
      </c>
      <c r="U686" s="77">
        <f t="shared" si="21"/>
        <v>1357</v>
      </c>
      <c r="V686" s="78">
        <v>391</v>
      </c>
      <c r="W686" s="80" t="s">
        <v>233</v>
      </c>
      <c r="X686" s="81" t="s">
        <v>233</v>
      </c>
      <c r="Y686" s="4" t="s">
        <v>233</v>
      </c>
      <c r="Z686" s="81" t="s">
        <v>233</v>
      </c>
      <c r="AA686" s="64" t="s">
        <v>233</v>
      </c>
      <c r="AB686" s="81" t="s">
        <v>233</v>
      </c>
      <c r="AC686" s="4" t="s">
        <v>240</v>
      </c>
      <c r="AD686" s="64" t="s">
        <v>233</v>
      </c>
      <c r="AE686" s="64" t="s">
        <v>240</v>
      </c>
      <c r="AF686" s="210">
        <v>0</v>
      </c>
      <c r="AG686" s="4">
        <v>1</v>
      </c>
      <c r="AH686" s="64">
        <v>1</v>
      </c>
      <c r="AI686" s="4">
        <v>2</v>
      </c>
      <c r="AJ686" s="4">
        <v>2</v>
      </c>
      <c r="AK686" s="4">
        <v>0</v>
      </c>
    </row>
    <row r="687" spans="1:37" outlineLevel="1">
      <c r="A687" s="63">
        <v>680</v>
      </c>
      <c r="B687" s="64" t="s">
        <v>190</v>
      </c>
      <c r="C687" s="4" t="s">
        <v>237</v>
      </c>
      <c r="D687" s="4" t="str">
        <f>[1]Лист2!B680</f>
        <v>САДОВАЯ ул.</v>
      </c>
      <c r="E687" s="69">
        <f>[1]Лист2!C680</f>
        <v>125</v>
      </c>
      <c r="F687" s="197" t="str">
        <f>[1]Лист2!D680</f>
        <v>Б</v>
      </c>
      <c r="G687" s="4"/>
      <c r="H687" s="199">
        <v>129680</v>
      </c>
      <c r="I687" s="64" t="s">
        <v>234</v>
      </c>
      <c r="J687" s="4"/>
      <c r="K687" s="64" t="s">
        <v>232</v>
      </c>
      <c r="L687" s="4" t="s">
        <v>232</v>
      </c>
      <c r="M687" s="72">
        <v>1840</v>
      </c>
      <c r="N687" s="64" t="s">
        <v>385</v>
      </c>
      <c r="O687" s="73">
        <v>4</v>
      </c>
      <c r="P687" s="196">
        <v>0</v>
      </c>
      <c r="Q687" s="73">
        <v>6</v>
      </c>
      <c r="R687" s="74">
        <v>106</v>
      </c>
      <c r="S687" s="76">
        <v>3655</v>
      </c>
      <c r="T687" s="82">
        <f t="shared" si="20"/>
        <v>3354</v>
      </c>
      <c r="U687" s="77">
        <f t="shared" si="21"/>
        <v>3354</v>
      </c>
      <c r="V687" s="78">
        <v>301</v>
      </c>
      <c r="W687" s="80" t="s">
        <v>233</v>
      </c>
      <c r="X687" s="81" t="s">
        <v>233</v>
      </c>
      <c r="Y687" s="4" t="s">
        <v>233</v>
      </c>
      <c r="Z687" s="81" t="s">
        <v>233</v>
      </c>
      <c r="AA687" s="64" t="s">
        <v>233</v>
      </c>
      <c r="AB687" s="81" t="s">
        <v>233</v>
      </c>
      <c r="AC687" s="4" t="s">
        <v>240</v>
      </c>
      <c r="AD687" s="64" t="s">
        <v>233</v>
      </c>
      <c r="AE687" s="64" t="s">
        <v>240</v>
      </c>
      <c r="AF687" s="211">
        <v>0</v>
      </c>
      <c r="AG687" s="4">
        <v>1</v>
      </c>
      <c r="AH687" s="64">
        <v>1</v>
      </c>
      <c r="AI687" s="4">
        <v>0</v>
      </c>
      <c r="AJ687" s="4">
        <v>0</v>
      </c>
      <c r="AK687" s="4">
        <v>0</v>
      </c>
    </row>
    <row r="688" spans="1:37" outlineLevel="1">
      <c r="A688" s="5">
        <v>681</v>
      </c>
      <c r="B688" s="64" t="s">
        <v>190</v>
      </c>
      <c r="C688" s="4" t="s">
        <v>237</v>
      </c>
      <c r="D688" s="4" t="str">
        <f>[1]Лист2!B681</f>
        <v>САДОВАЯ ул.</v>
      </c>
      <c r="E688" s="69">
        <f>[1]Лист2!C681</f>
        <v>125</v>
      </c>
      <c r="F688" s="197" t="str">
        <f>[1]Лист2!D681</f>
        <v>К</v>
      </c>
      <c r="G688" s="64"/>
      <c r="H688" s="199">
        <v>129681</v>
      </c>
      <c r="I688" s="64" t="s">
        <v>234</v>
      </c>
      <c r="J688" s="4"/>
      <c r="K688" s="64" t="s">
        <v>232</v>
      </c>
      <c r="L688" s="4" t="s">
        <v>232</v>
      </c>
      <c r="M688" s="72">
        <v>1958</v>
      </c>
      <c r="N688" s="64" t="s">
        <v>385</v>
      </c>
      <c r="O688" s="73">
        <v>3</v>
      </c>
      <c r="P688" s="196">
        <v>0</v>
      </c>
      <c r="Q688" s="73">
        <v>2</v>
      </c>
      <c r="R688" s="74">
        <v>15</v>
      </c>
      <c r="S688" s="76">
        <v>346</v>
      </c>
      <c r="T688" s="82">
        <f t="shared" si="20"/>
        <v>346</v>
      </c>
      <c r="U688" s="77">
        <f t="shared" si="21"/>
        <v>346</v>
      </c>
      <c r="V688" s="78">
        <v>0</v>
      </c>
      <c r="W688" s="80" t="s">
        <v>233</v>
      </c>
      <c r="X688" s="81" t="s">
        <v>233</v>
      </c>
      <c r="Y688" s="4" t="s">
        <v>233</v>
      </c>
      <c r="Z688" s="81" t="s">
        <v>233</v>
      </c>
      <c r="AA688" s="64" t="s">
        <v>233</v>
      </c>
      <c r="AB688" s="81" t="s">
        <v>233</v>
      </c>
      <c r="AC688" s="4" t="s">
        <v>240</v>
      </c>
      <c r="AD688" s="64" t="s">
        <v>233</v>
      </c>
      <c r="AE688" s="64" t="s">
        <v>240</v>
      </c>
      <c r="AF688" s="211">
        <v>0</v>
      </c>
      <c r="AG688" s="4">
        <v>1</v>
      </c>
      <c r="AH688" s="64">
        <v>1</v>
      </c>
      <c r="AI688" s="4">
        <v>0</v>
      </c>
      <c r="AJ688" s="4">
        <v>0</v>
      </c>
      <c r="AK688" s="4">
        <v>0</v>
      </c>
    </row>
    <row r="689" spans="1:37" outlineLevel="1">
      <c r="A689" s="5">
        <v>682</v>
      </c>
      <c r="B689" s="64" t="s">
        <v>190</v>
      </c>
      <c r="C689" s="4" t="s">
        <v>237</v>
      </c>
      <c r="D689" s="4" t="str">
        <f>[1]Лист2!B682</f>
        <v>САДОВАЯ ул.</v>
      </c>
      <c r="E689" s="69">
        <f>[1]Лист2!C682</f>
        <v>127</v>
      </c>
      <c r="F689" s="197" t="str">
        <f>[1]Лист2!D682</f>
        <v>А</v>
      </c>
      <c r="G689" s="64"/>
      <c r="H689" s="199">
        <v>129682</v>
      </c>
      <c r="I689" s="64" t="s">
        <v>234</v>
      </c>
      <c r="J689" s="4"/>
      <c r="K689" s="64" t="s">
        <v>232</v>
      </c>
      <c r="L689" s="4" t="s">
        <v>232</v>
      </c>
      <c r="M689" s="72">
        <v>1879</v>
      </c>
      <c r="N689" s="64" t="s">
        <v>385</v>
      </c>
      <c r="O689" s="73">
        <v>5</v>
      </c>
      <c r="P689" s="196">
        <v>0</v>
      </c>
      <c r="Q689" s="73">
        <v>1</v>
      </c>
      <c r="R689" s="74">
        <v>67</v>
      </c>
      <c r="S689" s="76">
        <v>1559</v>
      </c>
      <c r="T689" s="82">
        <f t="shared" si="20"/>
        <v>1559</v>
      </c>
      <c r="U689" s="77">
        <f t="shared" si="21"/>
        <v>1559</v>
      </c>
      <c r="V689" s="78">
        <v>0</v>
      </c>
      <c r="W689" s="80" t="s">
        <v>233</v>
      </c>
      <c r="X689" s="81" t="s">
        <v>233</v>
      </c>
      <c r="Y689" s="4" t="s">
        <v>233</v>
      </c>
      <c r="Z689" s="81" t="s">
        <v>233</v>
      </c>
      <c r="AA689" s="64" t="s">
        <v>233</v>
      </c>
      <c r="AB689" s="81" t="s">
        <v>233</v>
      </c>
      <c r="AC689" s="4" t="s">
        <v>240</v>
      </c>
      <c r="AD689" s="64" t="s">
        <v>233</v>
      </c>
      <c r="AE689" s="64" t="s">
        <v>240</v>
      </c>
      <c r="AF689" s="210">
        <v>1</v>
      </c>
      <c r="AG689" s="4">
        <v>1</v>
      </c>
      <c r="AH689" s="64">
        <v>1</v>
      </c>
      <c r="AI689" s="4">
        <v>0</v>
      </c>
      <c r="AJ689" s="4">
        <v>0</v>
      </c>
      <c r="AK689" s="4">
        <v>0</v>
      </c>
    </row>
    <row r="690" spans="1:37" outlineLevel="1">
      <c r="A690" s="5">
        <v>683</v>
      </c>
      <c r="B690" s="64" t="s">
        <v>190</v>
      </c>
      <c r="C690" s="4" t="s">
        <v>237</v>
      </c>
      <c r="D690" s="4" t="str">
        <f>[1]Лист2!B683</f>
        <v>САДОВАЯ ул.</v>
      </c>
      <c r="E690" s="69">
        <f>[1]Лист2!C683</f>
        <v>127</v>
      </c>
      <c r="F690" s="197" t="str">
        <f>[1]Лист2!D683</f>
        <v>Б</v>
      </c>
      <c r="G690" s="4"/>
      <c r="H690" s="199">
        <v>129683</v>
      </c>
      <c r="I690" s="64" t="s">
        <v>234</v>
      </c>
      <c r="J690" s="4"/>
      <c r="K690" s="64" t="s">
        <v>232</v>
      </c>
      <c r="L690" s="4" t="s">
        <v>232</v>
      </c>
      <c r="M690" s="72">
        <v>1879</v>
      </c>
      <c r="N690" s="64" t="s">
        <v>385</v>
      </c>
      <c r="O690" s="73">
        <v>5</v>
      </c>
      <c r="P690" s="196">
        <v>0</v>
      </c>
      <c r="Q690" s="73">
        <v>4</v>
      </c>
      <c r="R690" s="74">
        <v>77</v>
      </c>
      <c r="S690" s="76">
        <v>2329</v>
      </c>
      <c r="T690" s="82">
        <f t="shared" si="20"/>
        <v>2329</v>
      </c>
      <c r="U690" s="77">
        <f t="shared" si="21"/>
        <v>2329</v>
      </c>
      <c r="V690" s="78">
        <v>0</v>
      </c>
      <c r="W690" s="80" t="s">
        <v>233</v>
      </c>
      <c r="X690" s="81" t="s">
        <v>233</v>
      </c>
      <c r="Y690" s="4" t="s">
        <v>233</v>
      </c>
      <c r="Z690" s="81" t="s">
        <v>233</v>
      </c>
      <c r="AA690" s="64" t="s">
        <v>233</v>
      </c>
      <c r="AB690" s="81" t="s">
        <v>233</v>
      </c>
      <c r="AC690" s="4" t="s">
        <v>240</v>
      </c>
      <c r="AD690" s="64" t="s">
        <v>233</v>
      </c>
      <c r="AE690" s="64" t="s">
        <v>240</v>
      </c>
      <c r="AF690" s="211">
        <v>4</v>
      </c>
      <c r="AG690" s="4">
        <v>1</v>
      </c>
      <c r="AH690" s="64">
        <v>1</v>
      </c>
      <c r="AI690" s="4">
        <v>0</v>
      </c>
      <c r="AJ690" s="4">
        <v>0</v>
      </c>
      <c r="AK690" s="4">
        <v>0</v>
      </c>
    </row>
    <row r="691" spans="1:37" outlineLevel="1">
      <c r="A691" s="5">
        <v>684</v>
      </c>
      <c r="B691" s="64" t="s">
        <v>190</v>
      </c>
      <c r="C691" s="4" t="s">
        <v>237</v>
      </c>
      <c r="D691" s="4" t="str">
        <f>[1]Лист2!B684</f>
        <v>САДОВАЯ ул.</v>
      </c>
      <c r="E691" s="69">
        <f>[1]Лист2!C684</f>
        <v>129</v>
      </c>
      <c r="F691" s="197" t="str">
        <f>[1]Лист2!D684</f>
        <v>А</v>
      </c>
      <c r="G691" s="4"/>
      <c r="H691" s="199">
        <v>129684</v>
      </c>
      <c r="I691" s="64" t="s">
        <v>234</v>
      </c>
      <c r="J691" s="4"/>
      <c r="K691" s="64" t="s">
        <v>232</v>
      </c>
      <c r="L691" s="4" t="s">
        <v>232</v>
      </c>
      <c r="M691" s="72">
        <v>1910</v>
      </c>
      <c r="N691" s="64" t="s">
        <v>385</v>
      </c>
      <c r="O691" s="73">
        <v>5</v>
      </c>
      <c r="P691" s="196">
        <v>0</v>
      </c>
      <c r="Q691" s="73">
        <v>4</v>
      </c>
      <c r="R691" s="74">
        <v>8</v>
      </c>
      <c r="S691" s="76">
        <v>4259</v>
      </c>
      <c r="T691" s="82">
        <f t="shared" si="20"/>
        <v>2035.56</v>
      </c>
      <c r="U691" s="77">
        <f t="shared" si="21"/>
        <v>2035.56</v>
      </c>
      <c r="V691" s="78">
        <v>2223.44</v>
      </c>
      <c r="W691" s="80" t="s">
        <v>233</v>
      </c>
      <c r="X691" s="81" t="s">
        <v>233</v>
      </c>
      <c r="Y691" s="4" t="s">
        <v>233</v>
      </c>
      <c r="Z691" s="81" t="s">
        <v>233</v>
      </c>
      <c r="AA691" s="64" t="s">
        <v>233</v>
      </c>
      <c r="AB691" s="81" t="s">
        <v>233</v>
      </c>
      <c r="AC691" s="4" t="s">
        <v>240</v>
      </c>
      <c r="AD691" s="64" t="s">
        <v>233</v>
      </c>
      <c r="AE691" s="64" t="s">
        <v>240</v>
      </c>
      <c r="AF691" s="210">
        <v>1</v>
      </c>
      <c r="AG691" s="4">
        <v>2</v>
      </c>
      <c r="AH691" s="64">
        <v>1</v>
      </c>
      <c r="AI691" s="4">
        <v>1</v>
      </c>
      <c r="AJ691" s="4">
        <v>1</v>
      </c>
      <c r="AK691" s="4">
        <v>0</v>
      </c>
    </row>
    <row r="692" spans="1:37" s="65" customFormat="1" outlineLevel="1">
      <c r="A692" s="63">
        <v>685</v>
      </c>
      <c r="B692" s="64" t="s">
        <v>190</v>
      </c>
      <c r="C692" s="64" t="s">
        <v>237</v>
      </c>
      <c r="D692" s="64" t="str">
        <f>[1]Лист2!B685</f>
        <v>САДОВАЯ ул.</v>
      </c>
      <c r="E692" s="71" t="str">
        <f>[1]Лист2!C685</f>
        <v>64/21</v>
      </c>
      <c r="F692" s="196" t="s">
        <v>211</v>
      </c>
      <c r="G692" s="64"/>
      <c r="H692" s="67">
        <v>129685</v>
      </c>
      <c r="I692" s="64" t="s">
        <v>234</v>
      </c>
      <c r="J692" s="4" t="s">
        <v>1422</v>
      </c>
      <c r="K692" s="64" t="s">
        <v>232</v>
      </c>
      <c r="L692" s="64" t="s">
        <v>232</v>
      </c>
      <c r="M692" s="72">
        <v>1813</v>
      </c>
      <c r="N692" s="64" t="s">
        <v>385</v>
      </c>
      <c r="O692" s="73">
        <v>2</v>
      </c>
      <c r="P692" s="196">
        <v>0</v>
      </c>
      <c r="Q692" s="73">
        <v>1</v>
      </c>
      <c r="R692" s="203">
        <v>46</v>
      </c>
      <c r="S692" s="75">
        <v>1757</v>
      </c>
      <c r="T692" s="82">
        <f t="shared" si="20"/>
        <v>0</v>
      </c>
      <c r="U692" s="77">
        <f t="shared" si="21"/>
        <v>0</v>
      </c>
      <c r="V692" s="77">
        <v>1757</v>
      </c>
      <c r="W692" s="80" t="s">
        <v>233</v>
      </c>
      <c r="X692" s="81" t="s">
        <v>233</v>
      </c>
      <c r="Y692" s="64" t="s">
        <v>233</v>
      </c>
      <c r="Z692" s="81" t="s">
        <v>233</v>
      </c>
      <c r="AA692" s="64" t="s">
        <v>233</v>
      </c>
      <c r="AB692" s="81" t="s">
        <v>233</v>
      </c>
      <c r="AC692" s="4" t="s">
        <v>240</v>
      </c>
      <c r="AD692" s="64" t="s">
        <v>233</v>
      </c>
      <c r="AE692" s="64" t="s">
        <v>240</v>
      </c>
      <c r="AF692" s="210">
        <v>0</v>
      </c>
      <c r="AG692" s="4">
        <v>1</v>
      </c>
      <c r="AH692" s="64">
        <v>1</v>
      </c>
      <c r="AI692" s="64">
        <v>0</v>
      </c>
      <c r="AJ692" s="64">
        <v>0</v>
      </c>
      <c r="AK692" s="64">
        <v>0</v>
      </c>
    </row>
    <row r="693" spans="1:37" outlineLevel="1">
      <c r="A693" s="63">
        <v>686</v>
      </c>
      <c r="B693" s="64" t="s">
        <v>190</v>
      </c>
      <c r="C693" s="4" t="s">
        <v>237</v>
      </c>
      <c r="D693" s="4" t="str">
        <f>[1]Лист2!B686</f>
        <v>САДОВАЯ ул.</v>
      </c>
      <c r="E693" s="69">
        <f>[1]Лист2!C686</f>
        <v>66</v>
      </c>
      <c r="F693" s="197" t="str">
        <f>[1]Лист2!D686</f>
        <v>А</v>
      </c>
      <c r="G693" s="64"/>
      <c r="H693" s="199">
        <v>129686</v>
      </c>
      <c r="I693" s="64" t="s">
        <v>234</v>
      </c>
      <c r="J693" s="4"/>
      <c r="K693" s="64" t="s">
        <v>232</v>
      </c>
      <c r="L693" s="4" t="s">
        <v>232</v>
      </c>
      <c r="M693" s="72">
        <v>1882</v>
      </c>
      <c r="N693" s="64" t="s">
        <v>385</v>
      </c>
      <c r="O693" s="73">
        <v>4</v>
      </c>
      <c r="P693" s="196">
        <v>0</v>
      </c>
      <c r="Q693" s="73">
        <v>4</v>
      </c>
      <c r="R693" s="74">
        <v>10</v>
      </c>
      <c r="S693" s="76">
        <v>3301.1800000000003</v>
      </c>
      <c r="T693" s="82">
        <f t="shared" si="20"/>
        <v>2676.1800000000003</v>
      </c>
      <c r="U693" s="77">
        <f t="shared" si="21"/>
        <v>2676.1800000000003</v>
      </c>
      <c r="V693" s="78">
        <v>625</v>
      </c>
      <c r="W693" s="80" t="s">
        <v>233</v>
      </c>
      <c r="X693" s="81" t="s">
        <v>233</v>
      </c>
      <c r="Y693" s="4" t="s">
        <v>233</v>
      </c>
      <c r="Z693" s="81" t="s">
        <v>233</v>
      </c>
      <c r="AA693" s="64" t="s">
        <v>233</v>
      </c>
      <c r="AB693" s="81" t="s">
        <v>233</v>
      </c>
      <c r="AC693" s="4" t="s">
        <v>240</v>
      </c>
      <c r="AD693" s="64" t="s">
        <v>233</v>
      </c>
      <c r="AE693" s="64" t="s">
        <v>240</v>
      </c>
      <c r="AF693" s="210">
        <v>0</v>
      </c>
      <c r="AG693" s="4">
        <v>1</v>
      </c>
      <c r="AH693" s="64">
        <v>1</v>
      </c>
      <c r="AI693" s="4">
        <v>1</v>
      </c>
      <c r="AJ693" s="4">
        <v>1</v>
      </c>
      <c r="AK693" s="4">
        <v>0</v>
      </c>
    </row>
    <row r="694" spans="1:37" outlineLevel="1">
      <c r="A694" s="5">
        <v>687</v>
      </c>
      <c r="B694" s="64" t="s">
        <v>190</v>
      </c>
      <c r="C694" s="4" t="s">
        <v>237</v>
      </c>
      <c r="D694" s="4" t="str">
        <f>[1]Лист2!B687</f>
        <v>САДОВАЯ ул.</v>
      </c>
      <c r="E694" s="69">
        <f>[1]Лист2!C687</f>
        <v>68</v>
      </c>
      <c r="F694" s="197" t="str">
        <f>[1]Лист2!D687</f>
        <v>А</v>
      </c>
      <c r="G694" s="4"/>
      <c r="H694" s="199">
        <v>129687</v>
      </c>
      <c r="I694" s="64" t="s">
        <v>234</v>
      </c>
      <c r="J694" s="4"/>
      <c r="K694" s="64" t="s">
        <v>232</v>
      </c>
      <c r="L694" s="4" t="s">
        <v>232</v>
      </c>
      <c r="M694" s="72">
        <v>1828</v>
      </c>
      <c r="N694" s="64" t="s">
        <v>385</v>
      </c>
      <c r="O694" s="73">
        <v>4</v>
      </c>
      <c r="P694" s="196">
        <v>0</v>
      </c>
      <c r="Q694" s="73">
        <v>4</v>
      </c>
      <c r="R694" s="74">
        <v>85</v>
      </c>
      <c r="S694" s="76">
        <v>3299.8900000000003</v>
      </c>
      <c r="T694" s="82">
        <f t="shared" si="20"/>
        <v>2515.8900000000003</v>
      </c>
      <c r="U694" s="77">
        <f t="shared" si="21"/>
        <v>2515.8900000000003</v>
      </c>
      <c r="V694" s="78">
        <v>784</v>
      </c>
      <c r="W694" s="80" t="s">
        <v>233</v>
      </c>
      <c r="X694" s="81" t="s">
        <v>233</v>
      </c>
      <c r="Y694" s="4" t="s">
        <v>233</v>
      </c>
      <c r="Z694" s="81" t="s">
        <v>233</v>
      </c>
      <c r="AA694" s="64" t="s">
        <v>233</v>
      </c>
      <c r="AB694" s="81" t="s">
        <v>233</v>
      </c>
      <c r="AC694" s="4" t="s">
        <v>240</v>
      </c>
      <c r="AD694" s="64" t="s">
        <v>233</v>
      </c>
      <c r="AE694" s="64" t="s">
        <v>240</v>
      </c>
      <c r="AF694" s="211">
        <v>0</v>
      </c>
      <c r="AG694" s="4">
        <v>1</v>
      </c>
      <c r="AH694" s="64">
        <v>1</v>
      </c>
      <c r="AI694" s="4">
        <v>0</v>
      </c>
      <c r="AJ694" s="4">
        <v>0</v>
      </c>
      <c r="AK694" s="4">
        <v>0</v>
      </c>
    </row>
    <row r="695" spans="1:37" outlineLevel="1">
      <c r="A695" s="5">
        <v>688</v>
      </c>
      <c r="B695" s="64" t="s">
        <v>190</v>
      </c>
      <c r="C695" s="4" t="s">
        <v>237</v>
      </c>
      <c r="D695" s="4" t="str">
        <f>[1]Лист2!B688</f>
        <v>САДОВАЯ ул.</v>
      </c>
      <c r="E695" s="69">
        <f>[1]Лист2!C688</f>
        <v>69</v>
      </c>
      <c r="F695" s="197" t="str">
        <f>[1]Лист2!D688</f>
        <v>А</v>
      </c>
      <c r="G695" s="4"/>
      <c r="H695" s="199">
        <v>129688</v>
      </c>
      <c r="I695" s="64" t="s">
        <v>234</v>
      </c>
      <c r="J695" s="4"/>
      <c r="K695" s="64" t="s">
        <v>232</v>
      </c>
      <c r="L695" s="4" t="s">
        <v>232</v>
      </c>
      <c r="M695" s="72">
        <v>1846</v>
      </c>
      <c r="N695" s="64" t="s">
        <v>385</v>
      </c>
      <c r="O695" s="73">
        <v>5</v>
      </c>
      <c r="P695" s="196">
        <v>0</v>
      </c>
      <c r="Q695" s="73">
        <v>3</v>
      </c>
      <c r="R695" s="74">
        <v>97</v>
      </c>
      <c r="S695" s="76">
        <v>3601.58</v>
      </c>
      <c r="T695" s="82">
        <f t="shared" si="20"/>
        <v>2858.7799999999997</v>
      </c>
      <c r="U695" s="77">
        <f t="shared" si="21"/>
        <v>2858.7799999999997</v>
      </c>
      <c r="V695" s="78">
        <v>742.8</v>
      </c>
      <c r="W695" s="80" t="s">
        <v>233</v>
      </c>
      <c r="X695" s="81" t="s">
        <v>233</v>
      </c>
      <c r="Y695" s="4" t="s">
        <v>240</v>
      </c>
      <c r="Z695" s="81" t="s">
        <v>233</v>
      </c>
      <c r="AA695" s="64" t="s">
        <v>233</v>
      </c>
      <c r="AB695" s="81" t="s">
        <v>233</v>
      </c>
      <c r="AC695" s="4" t="s">
        <v>233</v>
      </c>
      <c r="AD695" s="64" t="s">
        <v>233</v>
      </c>
      <c r="AE695" s="64" t="s">
        <v>240</v>
      </c>
      <c r="AF695" s="210">
        <v>0</v>
      </c>
      <c r="AG695" s="4">
        <v>1</v>
      </c>
      <c r="AH695" s="64">
        <v>1</v>
      </c>
      <c r="AI695" s="4">
        <v>0</v>
      </c>
      <c r="AJ695" s="4">
        <v>1</v>
      </c>
      <c r="AK695" s="4">
        <v>0</v>
      </c>
    </row>
    <row r="696" spans="1:37" outlineLevel="1">
      <c r="A696" s="5">
        <v>689</v>
      </c>
      <c r="B696" s="64" t="s">
        <v>190</v>
      </c>
      <c r="C696" s="4" t="s">
        <v>237</v>
      </c>
      <c r="D696" s="4" t="str">
        <f>[1]Лист2!B689</f>
        <v>САДОВАЯ ул.</v>
      </c>
      <c r="E696" s="69">
        <f>[1]Лист2!C689</f>
        <v>70</v>
      </c>
      <c r="F696" s="197" t="str">
        <f>[1]Лист2!D689</f>
        <v>А</v>
      </c>
      <c r="G696" s="64"/>
      <c r="H696" s="199">
        <v>129689</v>
      </c>
      <c r="I696" s="64" t="s">
        <v>234</v>
      </c>
      <c r="J696" s="4"/>
      <c r="K696" s="64" t="s">
        <v>232</v>
      </c>
      <c r="L696" s="4" t="s">
        <v>232</v>
      </c>
      <c r="M696" s="72">
        <v>1828</v>
      </c>
      <c r="N696" s="64" t="s">
        <v>385</v>
      </c>
      <c r="O696" s="73">
        <v>5</v>
      </c>
      <c r="P696" s="196">
        <v>0</v>
      </c>
      <c r="Q696" s="73">
        <v>6</v>
      </c>
      <c r="R696" s="74">
        <v>46</v>
      </c>
      <c r="S696" s="76">
        <v>2134.71</v>
      </c>
      <c r="T696" s="82">
        <f t="shared" si="20"/>
        <v>1866.3700000000001</v>
      </c>
      <c r="U696" s="77">
        <f t="shared" si="21"/>
        <v>1866.3700000000001</v>
      </c>
      <c r="V696" s="78">
        <v>268.33999999999997</v>
      </c>
      <c r="W696" s="80" t="s">
        <v>233</v>
      </c>
      <c r="X696" s="81" t="s">
        <v>233</v>
      </c>
      <c r="Y696" s="4" t="s">
        <v>233</v>
      </c>
      <c r="Z696" s="81" t="s">
        <v>233</v>
      </c>
      <c r="AA696" s="64" t="s">
        <v>233</v>
      </c>
      <c r="AB696" s="81" t="s">
        <v>233</v>
      </c>
      <c r="AC696" s="4" t="s">
        <v>240</v>
      </c>
      <c r="AD696" s="64" t="s">
        <v>233</v>
      </c>
      <c r="AE696" s="64" t="s">
        <v>240</v>
      </c>
      <c r="AF696" s="210">
        <v>2</v>
      </c>
      <c r="AG696" s="4">
        <v>2</v>
      </c>
      <c r="AH696" s="64">
        <v>1</v>
      </c>
      <c r="AI696" s="4">
        <v>1</v>
      </c>
      <c r="AJ696" s="4">
        <v>1</v>
      </c>
      <c r="AK696" s="4">
        <v>0</v>
      </c>
    </row>
    <row r="697" spans="1:37" outlineLevel="1">
      <c r="A697" s="5">
        <v>690</v>
      </c>
      <c r="B697" s="64" t="s">
        <v>190</v>
      </c>
      <c r="C697" s="4" t="s">
        <v>237</v>
      </c>
      <c r="D697" s="4" t="str">
        <f>[1]Лист2!B690</f>
        <v>САДОВАЯ ул.</v>
      </c>
      <c r="E697" s="69">
        <f>[1]Лист2!C690</f>
        <v>71</v>
      </c>
      <c r="F697" s="197" t="str">
        <f>[1]Лист2!D690</f>
        <v>А</v>
      </c>
      <c r="G697" s="64"/>
      <c r="H697" s="199">
        <v>129690</v>
      </c>
      <c r="I697" s="64" t="s">
        <v>234</v>
      </c>
      <c r="J697" s="4"/>
      <c r="K697" s="64" t="s">
        <v>232</v>
      </c>
      <c r="L697" s="4" t="s">
        <v>232</v>
      </c>
      <c r="M697" s="72">
        <v>1917</v>
      </c>
      <c r="N697" s="64" t="s">
        <v>385</v>
      </c>
      <c r="O697" s="73">
        <v>4</v>
      </c>
      <c r="P697" s="196">
        <v>0</v>
      </c>
      <c r="Q697" s="73">
        <v>6</v>
      </c>
      <c r="R697" s="74">
        <v>10</v>
      </c>
      <c r="S697" s="76">
        <v>2961.6099999999997</v>
      </c>
      <c r="T697" s="82">
        <f t="shared" si="20"/>
        <v>2393.6099999999997</v>
      </c>
      <c r="U697" s="77">
        <f t="shared" si="21"/>
        <v>2393.6099999999997</v>
      </c>
      <c r="V697" s="78">
        <v>568</v>
      </c>
      <c r="W697" s="80" t="s">
        <v>233</v>
      </c>
      <c r="X697" s="81" t="s">
        <v>233</v>
      </c>
      <c r="Y697" s="4" t="s">
        <v>233</v>
      </c>
      <c r="Z697" s="81" t="s">
        <v>233</v>
      </c>
      <c r="AA697" s="64" t="s">
        <v>233</v>
      </c>
      <c r="AB697" s="81" t="s">
        <v>233</v>
      </c>
      <c r="AC697" s="4" t="s">
        <v>240</v>
      </c>
      <c r="AD697" s="64" t="s">
        <v>233</v>
      </c>
      <c r="AE697" s="64" t="s">
        <v>240</v>
      </c>
      <c r="AF697" s="210">
        <v>0</v>
      </c>
      <c r="AG697" s="4">
        <v>1</v>
      </c>
      <c r="AH697" s="64">
        <v>1</v>
      </c>
      <c r="AI697" s="4">
        <v>0</v>
      </c>
      <c r="AJ697" s="4">
        <v>0</v>
      </c>
      <c r="AK697" s="4">
        <v>0</v>
      </c>
    </row>
    <row r="698" spans="1:37" outlineLevel="1">
      <c r="A698" s="63">
        <v>691</v>
      </c>
      <c r="B698" s="64" t="s">
        <v>190</v>
      </c>
      <c r="C698" s="4" t="s">
        <v>237</v>
      </c>
      <c r="D698" s="4" t="str">
        <f>[1]Лист2!B691</f>
        <v>САДОВАЯ ул.</v>
      </c>
      <c r="E698" s="69">
        <f>[1]Лист2!C691</f>
        <v>73</v>
      </c>
      <c r="F698" s="197" t="str">
        <f>[1]Лист2!D691</f>
        <v>А</v>
      </c>
      <c r="G698" s="4"/>
      <c r="H698" s="199">
        <v>129691</v>
      </c>
      <c r="I698" s="64" t="s">
        <v>234</v>
      </c>
      <c r="J698" s="4" t="s">
        <v>242</v>
      </c>
      <c r="K698" s="64" t="s">
        <v>232</v>
      </c>
      <c r="L698" s="4" t="s">
        <v>232</v>
      </c>
      <c r="M698" s="72">
        <v>1863</v>
      </c>
      <c r="N698" s="64" t="s">
        <v>385</v>
      </c>
      <c r="O698" s="73">
        <v>4</v>
      </c>
      <c r="P698" s="196">
        <v>0</v>
      </c>
      <c r="Q698" s="73">
        <v>2</v>
      </c>
      <c r="R698" s="203">
        <v>25</v>
      </c>
      <c r="S698" s="76">
        <v>0</v>
      </c>
      <c r="T698" s="82">
        <f t="shared" si="20"/>
        <v>0</v>
      </c>
      <c r="U698" s="77">
        <f t="shared" si="21"/>
        <v>0</v>
      </c>
      <c r="V698" s="78">
        <v>0</v>
      </c>
      <c r="W698" s="80" t="s">
        <v>233</v>
      </c>
      <c r="X698" s="81" t="s">
        <v>233</v>
      </c>
      <c r="Y698" s="4" t="s">
        <v>233</v>
      </c>
      <c r="Z698" s="81" t="s">
        <v>233</v>
      </c>
      <c r="AA698" s="64" t="s">
        <v>233</v>
      </c>
      <c r="AB698" s="81" t="s">
        <v>233</v>
      </c>
      <c r="AC698" s="4" t="s">
        <v>240</v>
      </c>
      <c r="AD698" s="64" t="s">
        <v>233</v>
      </c>
      <c r="AE698" s="64" t="s">
        <v>240</v>
      </c>
      <c r="AF698" s="210">
        <v>0</v>
      </c>
      <c r="AG698" s="4">
        <v>1</v>
      </c>
      <c r="AH698" s="64">
        <v>1</v>
      </c>
      <c r="AI698" s="4">
        <v>0</v>
      </c>
      <c r="AJ698" s="4">
        <v>0</v>
      </c>
      <c r="AK698" s="4">
        <v>0</v>
      </c>
    </row>
    <row r="699" spans="1:37" outlineLevel="1">
      <c r="A699" s="63">
        <v>692</v>
      </c>
      <c r="B699" s="64" t="s">
        <v>190</v>
      </c>
      <c r="C699" s="4" t="s">
        <v>237</v>
      </c>
      <c r="D699" s="4" t="str">
        <f>[1]Лист2!B692</f>
        <v>САДОВАЯ ул.</v>
      </c>
      <c r="E699" s="69">
        <f>[1]Лист2!C692</f>
        <v>76</v>
      </c>
      <c r="F699" s="197" t="str">
        <f>[1]Лист2!D692</f>
        <v>А</v>
      </c>
      <c r="G699" s="4"/>
      <c r="H699" s="199">
        <v>129692</v>
      </c>
      <c r="I699" s="64" t="s">
        <v>234</v>
      </c>
      <c r="J699" s="4"/>
      <c r="K699" s="64" t="s">
        <v>232</v>
      </c>
      <c r="L699" s="4" t="s">
        <v>232</v>
      </c>
      <c r="M699" s="72">
        <v>1870</v>
      </c>
      <c r="N699" s="64" t="s">
        <v>385</v>
      </c>
      <c r="O699" s="73">
        <v>3</v>
      </c>
      <c r="P699" s="196">
        <v>0</v>
      </c>
      <c r="Q699" s="73">
        <v>1</v>
      </c>
      <c r="R699" s="74">
        <v>5</v>
      </c>
      <c r="S699" s="76">
        <v>571.84</v>
      </c>
      <c r="T699" s="82">
        <f t="shared" si="20"/>
        <v>490.14000000000004</v>
      </c>
      <c r="U699" s="77">
        <f t="shared" si="21"/>
        <v>490.14000000000004</v>
      </c>
      <c r="V699" s="78">
        <v>81.7</v>
      </c>
      <c r="W699" s="80" t="s">
        <v>233</v>
      </c>
      <c r="X699" s="81" t="s">
        <v>233</v>
      </c>
      <c r="Y699" s="4" t="s">
        <v>233</v>
      </c>
      <c r="Z699" s="81" t="s">
        <v>233</v>
      </c>
      <c r="AA699" s="64" t="s">
        <v>233</v>
      </c>
      <c r="AB699" s="81" t="s">
        <v>233</v>
      </c>
      <c r="AC699" s="4" t="s">
        <v>240</v>
      </c>
      <c r="AD699" s="64" t="s">
        <v>233</v>
      </c>
      <c r="AE699" s="64" t="s">
        <v>240</v>
      </c>
      <c r="AF699" s="210">
        <v>0</v>
      </c>
      <c r="AG699" s="4">
        <v>1</v>
      </c>
      <c r="AH699" s="64">
        <v>1</v>
      </c>
      <c r="AI699" s="4">
        <v>0</v>
      </c>
      <c r="AJ699" s="4">
        <v>0</v>
      </c>
      <c r="AK699" s="4">
        <v>0</v>
      </c>
    </row>
    <row r="700" spans="1:37" outlineLevel="1">
      <c r="A700" s="5">
        <v>693</v>
      </c>
      <c r="B700" s="64" t="s">
        <v>190</v>
      </c>
      <c r="C700" s="4" t="s">
        <v>237</v>
      </c>
      <c r="D700" s="4" t="str">
        <f>[1]Лист2!B693</f>
        <v>САДОВАЯ ул.</v>
      </c>
      <c r="E700" s="69">
        <f>[1]Лист2!C693</f>
        <v>77</v>
      </c>
      <c r="F700" s="197" t="str">
        <f>[1]Лист2!D693</f>
        <v>А</v>
      </c>
      <c r="G700" s="64"/>
      <c r="H700" s="199">
        <v>129693</v>
      </c>
      <c r="I700" s="64" t="s">
        <v>234</v>
      </c>
      <c r="J700" s="4"/>
      <c r="K700" s="64" t="s">
        <v>232</v>
      </c>
      <c r="L700" s="4" t="s">
        <v>232</v>
      </c>
      <c r="M700" s="72">
        <v>1846</v>
      </c>
      <c r="N700" s="64" t="s">
        <v>385</v>
      </c>
      <c r="O700" s="73">
        <v>3</v>
      </c>
      <c r="P700" s="196">
        <v>0</v>
      </c>
      <c r="Q700" s="73">
        <v>6</v>
      </c>
      <c r="R700" s="74">
        <v>67</v>
      </c>
      <c r="S700" s="76">
        <v>3821.71</v>
      </c>
      <c r="T700" s="82">
        <f t="shared" si="20"/>
        <v>2871.71</v>
      </c>
      <c r="U700" s="77">
        <f t="shared" si="21"/>
        <v>2871.71</v>
      </c>
      <c r="V700" s="78">
        <v>950</v>
      </c>
      <c r="W700" s="80" t="s">
        <v>233</v>
      </c>
      <c r="X700" s="81" t="s">
        <v>233</v>
      </c>
      <c r="Y700" s="4" t="s">
        <v>233</v>
      </c>
      <c r="Z700" s="81" t="s">
        <v>233</v>
      </c>
      <c r="AA700" s="64" t="s">
        <v>233</v>
      </c>
      <c r="AB700" s="81" t="s">
        <v>233</v>
      </c>
      <c r="AC700" s="4" t="s">
        <v>240</v>
      </c>
      <c r="AD700" s="64" t="s">
        <v>233</v>
      </c>
      <c r="AE700" s="64" t="s">
        <v>240</v>
      </c>
      <c r="AF700" s="210">
        <v>0</v>
      </c>
      <c r="AG700" s="4">
        <v>1</v>
      </c>
      <c r="AH700" s="64">
        <v>1</v>
      </c>
      <c r="AI700" s="4">
        <v>1</v>
      </c>
      <c r="AJ700" s="4">
        <v>1</v>
      </c>
      <c r="AK700" s="4">
        <v>0</v>
      </c>
    </row>
    <row r="701" spans="1:37" outlineLevel="1">
      <c r="A701" s="5">
        <v>694</v>
      </c>
      <c r="B701" s="64" t="s">
        <v>190</v>
      </c>
      <c r="C701" s="4" t="s">
        <v>237</v>
      </c>
      <c r="D701" s="4" t="str">
        <f>[1]Лист2!B694</f>
        <v>САДОВАЯ ул.</v>
      </c>
      <c r="E701" s="69">
        <f>[1]Лист2!C694</f>
        <v>78</v>
      </c>
      <c r="F701" s="197" t="str">
        <f>[1]Лист2!D694</f>
        <v>А</v>
      </c>
      <c r="G701" s="64"/>
      <c r="H701" s="199">
        <v>129694</v>
      </c>
      <c r="I701" s="64" t="s">
        <v>234</v>
      </c>
      <c r="J701" s="4"/>
      <c r="K701" s="64" t="s">
        <v>232</v>
      </c>
      <c r="L701" s="4" t="s">
        <v>232</v>
      </c>
      <c r="M701" s="72">
        <v>1817</v>
      </c>
      <c r="N701" s="64" t="s">
        <v>385</v>
      </c>
      <c r="O701" s="73">
        <v>4</v>
      </c>
      <c r="P701" s="196">
        <v>0</v>
      </c>
      <c r="Q701" s="73">
        <v>3</v>
      </c>
      <c r="R701" s="74">
        <v>40</v>
      </c>
      <c r="S701" s="76">
        <v>1638.1</v>
      </c>
      <c r="T701" s="82">
        <f t="shared" si="20"/>
        <v>1097.0999999999999</v>
      </c>
      <c r="U701" s="77">
        <f t="shared" si="21"/>
        <v>1097.0999999999999</v>
      </c>
      <c r="V701" s="78">
        <v>541</v>
      </c>
      <c r="W701" s="80" t="s">
        <v>233</v>
      </c>
      <c r="X701" s="81" t="s">
        <v>233</v>
      </c>
      <c r="Y701" s="4" t="s">
        <v>233</v>
      </c>
      <c r="Z701" s="81" t="s">
        <v>233</v>
      </c>
      <c r="AA701" s="64" t="s">
        <v>233</v>
      </c>
      <c r="AB701" s="81" t="s">
        <v>233</v>
      </c>
      <c r="AC701" s="4" t="s">
        <v>240</v>
      </c>
      <c r="AD701" s="64" t="s">
        <v>233</v>
      </c>
      <c r="AE701" s="64" t="s">
        <v>240</v>
      </c>
      <c r="AF701" s="210">
        <v>0</v>
      </c>
      <c r="AG701" s="4">
        <v>1</v>
      </c>
      <c r="AH701" s="64">
        <v>1</v>
      </c>
      <c r="AI701" s="4">
        <v>0</v>
      </c>
      <c r="AJ701" s="4">
        <v>0</v>
      </c>
      <c r="AK701" s="4">
        <v>0</v>
      </c>
    </row>
    <row r="702" spans="1:37" outlineLevel="1">
      <c r="A702" s="5">
        <v>695</v>
      </c>
      <c r="B702" s="64" t="s">
        <v>190</v>
      </c>
      <c r="C702" s="4" t="s">
        <v>237</v>
      </c>
      <c r="D702" s="4" t="str">
        <f>[1]Лист2!B695</f>
        <v>САДОВАЯ ул.</v>
      </c>
      <c r="E702" s="69">
        <f>[1]Лист2!C695</f>
        <v>80</v>
      </c>
      <c r="F702" s="197" t="str">
        <f>[1]Лист2!D695</f>
        <v>А</v>
      </c>
      <c r="G702" s="4"/>
      <c r="H702" s="199">
        <v>129695</v>
      </c>
      <c r="I702" s="64" t="s">
        <v>234</v>
      </c>
      <c r="J702" s="4"/>
      <c r="K702" s="64" t="s">
        <v>232</v>
      </c>
      <c r="L702" s="4" t="s">
        <v>232</v>
      </c>
      <c r="M702" s="72">
        <v>1872</v>
      </c>
      <c r="N702" s="64" t="s">
        <v>385</v>
      </c>
      <c r="O702" s="73">
        <v>4</v>
      </c>
      <c r="P702" s="196">
        <v>0</v>
      </c>
      <c r="Q702" s="73">
        <v>6</v>
      </c>
      <c r="R702" s="74">
        <v>52</v>
      </c>
      <c r="S702" s="76">
        <v>3929.4300000000003</v>
      </c>
      <c r="T702" s="82">
        <f t="shared" si="20"/>
        <v>2757.63</v>
      </c>
      <c r="U702" s="77">
        <f t="shared" si="21"/>
        <v>2757.63</v>
      </c>
      <c r="V702" s="78">
        <v>1171.8</v>
      </c>
      <c r="W702" s="80" t="s">
        <v>233</v>
      </c>
      <c r="X702" s="81" t="s">
        <v>233</v>
      </c>
      <c r="Y702" s="4" t="s">
        <v>233</v>
      </c>
      <c r="Z702" s="81" t="s">
        <v>233</v>
      </c>
      <c r="AA702" s="64" t="s">
        <v>233</v>
      </c>
      <c r="AB702" s="81" t="s">
        <v>233</v>
      </c>
      <c r="AC702" s="4" t="s">
        <v>240</v>
      </c>
      <c r="AD702" s="64" t="s">
        <v>233</v>
      </c>
      <c r="AE702" s="64" t="s">
        <v>240</v>
      </c>
      <c r="AF702" s="210">
        <v>0</v>
      </c>
      <c r="AG702" s="4">
        <v>1</v>
      </c>
      <c r="AH702" s="64">
        <v>1</v>
      </c>
      <c r="AI702" s="4">
        <v>0</v>
      </c>
      <c r="AJ702" s="4">
        <v>0</v>
      </c>
      <c r="AK702" s="4">
        <v>0</v>
      </c>
    </row>
    <row r="703" spans="1:37" outlineLevel="1">
      <c r="A703" s="5">
        <v>696</v>
      </c>
      <c r="B703" s="64" t="s">
        <v>190</v>
      </c>
      <c r="C703" s="4" t="s">
        <v>237</v>
      </c>
      <c r="D703" s="4" t="str">
        <f>[1]Лист2!B696</f>
        <v>САДОВАЯ ул.</v>
      </c>
      <c r="E703" s="69">
        <f>[1]Лист2!C696</f>
        <v>81</v>
      </c>
      <c r="F703" s="197" t="str">
        <f>[1]Лист2!D696</f>
        <v>А</v>
      </c>
      <c r="G703" s="4"/>
      <c r="H703" s="199">
        <v>129696</v>
      </c>
      <c r="I703" s="64" t="s">
        <v>234</v>
      </c>
      <c r="J703" s="4"/>
      <c r="K703" s="64" t="s">
        <v>232</v>
      </c>
      <c r="L703" s="4" t="s">
        <v>232</v>
      </c>
      <c r="M703" s="72">
        <v>1879</v>
      </c>
      <c r="N703" s="64" t="s">
        <v>385</v>
      </c>
      <c r="O703" s="73">
        <v>4</v>
      </c>
      <c r="P703" s="196">
        <v>0</v>
      </c>
      <c r="Q703" s="73">
        <v>3</v>
      </c>
      <c r="R703" s="74">
        <v>25</v>
      </c>
      <c r="S703" s="76">
        <v>1667.31</v>
      </c>
      <c r="T703" s="82">
        <f t="shared" si="20"/>
        <v>1610.31</v>
      </c>
      <c r="U703" s="77">
        <f t="shared" si="21"/>
        <v>1610.31</v>
      </c>
      <c r="V703" s="78">
        <v>57</v>
      </c>
      <c r="W703" s="80" t="s">
        <v>233</v>
      </c>
      <c r="X703" s="81" t="s">
        <v>233</v>
      </c>
      <c r="Y703" s="4" t="s">
        <v>233</v>
      </c>
      <c r="Z703" s="81" t="s">
        <v>233</v>
      </c>
      <c r="AA703" s="64" t="s">
        <v>233</v>
      </c>
      <c r="AB703" s="81" t="s">
        <v>233</v>
      </c>
      <c r="AC703" s="4" t="s">
        <v>240</v>
      </c>
      <c r="AD703" s="64" t="s">
        <v>233</v>
      </c>
      <c r="AE703" s="64" t="s">
        <v>240</v>
      </c>
      <c r="AF703" s="210">
        <v>1</v>
      </c>
      <c r="AG703" s="4">
        <v>2</v>
      </c>
      <c r="AH703" s="64">
        <v>1</v>
      </c>
      <c r="AI703" s="4">
        <v>1</v>
      </c>
      <c r="AJ703" s="4">
        <v>1</v>
      </c>
      <c r="AK703" s="4">
        <v>0</v>
      </c>
    </row>
    <row r="704" spans="1:37" outlineLevel="1">
      <c r="A704" s="63">
        <v>697</v>
      </c>
      <c r="B704" s="64" t="s">
        <v>190</v>
      </c>
      <c r="C704" s="4" t="s">
        <v>237</v>
      </c>
      <c r="D704" s="4" t="str">
        <f>[1]Лист2!B697</f>
        <v>САДОВАЯ ул.</v>
      </c>
      <c r="E704" s="69">
        <f>[1]Лист2!C697</f>
        <v>82</v>
      </c>
      <c r="F704" s="197" t="str">
        <f>[1]Лист2!D697</f>
        <v>А</v>
      </c>
      <c r="G704" s="64"/>
      <c r="H704" s="199">
        <v>129697</v>
      </c>
      <c r="I704" s="64" t="s">
        <v>234</v>
      </c>
      <c r="J704" s="4"/>
      <c r="K704" s="64" t="s">
        <v>232</v>
      </c>
      <c r="L704" s="4" t="s">
        <v>232</v>
      </c>
      <c r="M704" s="72">
        <v>1827</v>
      </c>
      <c r="N704" s="64" t="s">
        <v>385</v>
      </c>
      <c r="O704" s="73">
        <v>3</v>
      </c>
      <c r="P704" s="196">
        <v>0</v>
      </c>
      <c r="Q704" s="73">
        <v>1</v>
      </c>
      <c r="R704" s="74">
        <v>16</v>
      </c>
      <c r="S704" s="76">
        <v>626.6</v>
      </c>
      <c r="T704" s="82">
        <f t="shared" si="20"/>
        <v>491.5</v>
      </c>
      <c r="U704" s="77">
        <f t="shared" si="21"/>
        <v>491.5</v>
      </c>
      <c r="V704" s="78">
        <v>135.1</v>
      </c>
      <c r="W704" s="80" t="s">
        <v>233</v>
      </c>
      <c r="X704" s="81" t="s">
        <v>233</v>
      </c>
      <c r="Y704" s="4" t="s">
        <v>233</v>
      </c>
      <c r="Z704" s="81" t="s">
        <v>233</v>
      </c>
      <c r="AA704" s="64" t="s">
        <v>233</v>
      </c>
      <c r="AB704" s="81" t="s">
        <v>233</v>
      </c>
      <c r="AC704" s="4" t="s">
        <v>240</v>
      </c>
      <c r="AD704" s="64" t="s">
        <v>233</v>
      </c>
      <c r="AE704" s="64" t="s">
        <v>240</v>
      </c>
      <c r="AF704" s="210">
        <v>0</v>
      </c>
      <c r="AG704" s="4">
        <v>1</v>
      </c>
      <c r="AH704" s="64">
        <v>1</v>
      </c>
      <c r="AI704" s="4">
        <v>1</v>
      </c>
      <c r="AJ704" s="4">
        <v>1</v>
      </c>
      <c r="AK704" s="4">
        <v>0</v>
      </c>
    </row>
    <row r="705" spans="1:37" outlineLevel="1">
      <c r="A705" s="63">
        <v>698</v>
      </c>
      <c r="B705" s="64" t="s">
        <v>190</v>
      </c>
      <c r="C705" s="4" t="s">
        <v>237</v>
      </c>
      <c r="D705" s="4" t="str">
        <f>[1]Лист2!B698</f>
        <v>САДОВАЯ ул.</v>
      </c>
      <c r="E705" s="69">
        <f>[1]Лист2!C698</f>
        <v>82</v>
      </c>
      <c r="F705" s="197" t="str">
        <f>[1]Лист2!D698</f>
        <v>Б</v>
      </c>
      <c r="G705" s="64"/>
      <c r="H705" s="199">
        <v>129698</v>
      </c>
      <c r="I705" s="64" t="s">
        <v>234</v>
      </c>
      <c r="J705" s="4"/>
      <c r="K705" s="64" t="s">
        <v>232</v>
      </c>
      <c r="L705" s="4" t="s">
        <v>232</v>
      </c>
      <c r="M705" s="72">
        <v>1827</v>
      </c>
      <c r="N705" s="64" t="s">
        <v>385</v>
      </c>
      <c r="O705" s="73">
        <v>3</v>
      </c>
      <c r="P705" s="196">
        <v>0</v>
      </c>
      <c r="Q705" s="73">
        <v>2</v>
      </c>
      <c r="R705" s="74">
        <v>20</v>
      </c>
      <c r="S705" s="76">
        <v>649.09999999999991</v>
      </c>
      <c r="T705" s="82">
        <f t="shared" si="20"/>
        <v>570.79999999999995</v>
      </c>
      <c r="U705" s="77">
        <f t="shared" si="21"/>
        <v>570.79999999999995</v>
      </c>
      <c r="V705" s="78">
        <v>78.3</v>
      </c>
      <c r="W705" s="80" t="s">
        <v>233</v>
      </c>
      <c r="X705" s="81" t="s">
        <v>233</v>
      </c>
      <c r="Y705" s="4" t="s">
        <v>233</v>
      </c>
      <c r="Z705" s="81" t="s">
        <v>233</v>
      </c>
      <c r="AA705" s="64" t="s">
        <v>233</v>
      </c>
      <c r="AB705" s="81" t="s">
        <v>233</v>
      </c>
      <c r="AC705" s="4" t="s">
        <v>240</v>
      </c>
      <c r="AD705" s="64" t="s">
        <v>233</v>
      </c>
      <c r="AE705" s="64" t="s">
        <v>240</v>
      </c>
      <c r="AF705" s="211">
        <v>0</v>
      </c>
      <c r="AG705" s="4">
        <v>1</v>
      </c>
      <c r="AH705" s="64">
        <v>1</v>
      </c>
      <c r="AI705" s="4">
        <v>0</v>
      </c>
      <c r="AJ705" s="4">
        <v>0</v>
      </c>
      <c r="AK705" s="4">
        <v>0</v>
      </c>
    </row>
    <row r="706" spans="1:37" outlineLevel="1">
      <c r="A706" s="5">
        <v>699</v>
      </c>
      <c r="B706" s="64" t="s">
        <v>190</v>
      </c>
      <c r="C706" s="4" t="s">
        <v>237</v>
      </c>
      <c r="D706" s="4" t="str">
        <f>[1]Лист2!B699</f>
        <v>САДОВАЯ ул.</v>
      </c>
      <c r="E706" s="69">
        <f>[1]Лист2!C699</f>
        <v>83</v>
      </c>
      <c r="F706" s="197" t="str">
        <f>[1]Лист2!D699</f>
        <v>А</v>
      </c>
      <c r="G706" s="4"/>
      <c r="H706" s="199">
        <v>129699</v>
      </c>
      <c r="I706" s="64" t="s">
        <v>234</v>
      </c>
      <c r="J706" s="4"/>
      <c r="K706" s="64" t="s">
        <v>232</v>
      </c>
      <c r="L706" s="4" t="s">
        <v>232</v>
      </c>
      <c r="M706" s="72">
        <v>1863</v>
      </c>
      <c r="N706" s="64" t="s">
        <v>385</v>
      </c>
      <c r="O706" s="73">
        <v>6</v>
      </c>
      <c r="P706" s="196">
        <v>0</v>
      </c>
      <c r="Q706" s="73">
        <v>1</v>
      </c>
      <c r="R706" s="74">
        <v>30</v>
      </c>
      <c r="S706" s="76">
        <v>1234.4000000000001</v>
      </c>
      <c r="T706" s="82">
        <f t="shared" si="20"/>
        <v>1035.5</v>
      </c>
      <c r="U706" s="77">
        <f t="shared" si="21"/>
        <v>1035.5</v>
      </c>
      <c r="V706" s="78">
        <v>198.9</v>
      </c>
      <c r="W706" s="80" t="s">
        <v>233</v>
      </c>
      <c r="X706" s="81" t="s">
        <v>233</v>
      </c>
      <c r="Y706" s="4" t="s">
        <v>233</v>
      </c>
      <c r="Z706" s="81" t="s">
        <v>233</v>
      </c>
      <c r="AA706" s="64" t="s">
        <v>233</v>
      </c>
      <c r="AB706" s="81" t="s">
        <v>233</v>
      </c>
      <c r="AC706" s="4" t="s">
        <v>240</v>
      </c>
      <c r="AD706" s="64" t="s">
        <v>233</v>
      </c>
      <c r="AE706" s="64" t="s">
        <v>240</v>
      </c>
      <c r="AF706" s="210">
        <v>1</v>
      </c>
      <c r="AG706" s="4">
        <v>1</v>
      </c>
      <c r="AH706" s="64">
        <v>1</v>
      </c>
      <c r="AI706" s="4">
        <v>0</v>
      </c>
      <c r="AJ706" s="4">
        <v>0</v>
      </c>
      <c r="AK706" s="4">
        <v>0</v>
      </c>
    </row>
    <row r="707" spans="1:37" outlineLevel="1">
      <c r="A707" s="5">
        <v>700</v>
      </c>
      <c r="B707" s="64" t="s">
        <v>190</v>
      </c>
      <c r="C707" s="4" t="s">
        <v>237</v>
      </c>
      <c r="D707" s="4" t="str">
        <f>[1]Лист2!B700</f>
        <v>САДОВАЯ ул.</v>
      </c>
      <c r="E707" s="69">
        <f>[1]Лист2!C700</f>
        <v>83</v>
      </c>
      <c r="F707" s="197" t="str">
        <f>[1]Лист2!D700</f>
        <v>Б</v>
      </c>
      <c r="G707" s="4"/>
      <c r="H707" s="199">
        <v>129700</v>
      </c>
      <c r="I707" s="64" t="s">
        <v>234</v>
      </c>
      <c r="J707" s="4"/>
      <c r="K707" s="64" t="s">
        <v>232</v>
      </c>
      <c r="L707" s="4" t="s">
        <v>232</v>
      </c>
      <c r="M707" s="72">
        <v>1863</v>
      </c>
      <c r="N707" s="64" t="s">
        <v>385</v>
      </c>
      <c r="O707" s="73">
        <v>6</v>
      </c>
      <c r="P707" s="196">
        <v>0</v>
      </c>
      <c r="Q707" s="73">
        <v>1</v>
      </c>
      <c r="R707" s="74">
        <v>33</v>
      </c>
      <c r="S707" s="76">
        <v>1039.5999999999999</v>
      </c>
      <c r="T707" s="82">
        <f t="shared" si="20"/>
        <v>1039.5999999999999</v>
      </c>
      <c r="U707" s="77">
        <f t="shared" si="21"/>
        <v>1039.5999999999999</v>
      </c>
      <c r="V707" s="78">
        <v>0</v>
      </c>
      <c r="W707" s="80" t="s">
        <v>233</v>
      </c>
      <c r="X707" s="81" t="s">
        <v>233</v>
      </c>
      <c r="Y707" s="4" t="s">
        <v>233</v>
      </c>
      <c r="Z707" s="81" t="s">
        <v>233</v>
      </c>
      <c r="AA707" s="64" t="s">
        <v>233</v>
      </c>
      <c r="AB707" s="81" t="s">
        <v>233</v>
      </c>
      <c r="AC707" s="4" t="s">
        <v>240</v>
      </c>
      <c r="AD707" s="64" t="s">
        <v>233</v>
      </c>
      <c r="AE707" s="64" t="s">
        <v>240</v>
      </c>
      <c r="AF707" s="211">
        <v>1</v>
      </c>
      <c r="AG707" s="4">
        <v>1</v>
      </c>
      <c r="AH707" s="64">
        <v>1</v>
      </c>
      <c r="AI707" s="4">
        <v>0</v>
      </c>
      <c r="AJ707" s="4">
        <v>0</v>
      </c>
      <c r="AK707" s="4">
        <v>0</v>
      </c>
    </row>
    <row r="708" spans="1:37" outlineLevel="1">
      <c r="A708" s="5">
        <v>701</v>
      </c>
      <c r="B708" s="64" t="s">
        <v>190</v>
      </c>
      <c r="C708" s="4" t="s">
        <v>237</v>
      </c>
      <c r="D708" s="4" t="str">
        <f>[1]Лист2!B701</f>
        <v>САДОВАЯ ул.</v>
      </c>
      <c r="E708" s="69">
        <f>[1]Лист2!C701</f>
        <v>84</v>
      </c>
      <c r="F708" s="197" t="str">
        <f>[1]Лист2!D701</f>
        <v>А</v>
      </c>
      <c r="G708" s="64"/>
      <c r="H708" s="199">
        <v>129701</v>
      </c>
      <c r="I708" s="64" t="s">
        <v>234</v>
      </c>
      <c r="J708" s="4"/>
      <c r="K708" s="64" t="s">
        <v>232</v>
      </c>
      <c r="L708" s="4" t="s">
        <v>232</v>
      </c>
      <c r="M708" s="72">
        <v>1898</v>
      </c>
      <c r="N708" s="64" t="s">
        <v>385</v>
      </c>
      <c r="O708" s="73">
        <v>4</v>
      </c>
      <c r="P708" s="196">
        <v>0</v>
      </c>
      <c r="Q708" s="73">
        <v>2</v>
      </c>
      <c r="R708" s="74">
        <v>30</v>
      </c>
      <c r="S708" s="76">
        <v>1020.4</v>
      </c>
      <c r="T708" s="82">
        <f t="shared" si="20"/>
        <v>850.4</v>
      </c>
      <c r="U708" s="77">
        <f t="shared" si="21"/>
        <v>850.4</v>
      </c>
      <c r="V708" s="78">
        <v>170</v>
      </c>
      <c r="W708" s="80" t="s">
        <v>233</v>
      </c>
      <c r="X708" s="81" t="s">
        <v>233</v>
      </c>
      <c r="Y708" s="4" t="s">
        <v>233</v>
      </c>
      <c r="Z708" s="81" t="s">
        <v>233</v>
      </c>
      <c r="AA708" s="64" t="s">
        <v>233</v>
      </c>
      <c r="AB708" s="81" t="s">
        <v>233</v>
      </c>
      <c r="AC708" s="4" t="s">
        <v>240</v>
      </c>
      <c r="AD708" s="64" t="s">
        <v>233</v>
      </c>
      <c r="AE708" s="64" t="s">
        <v>240</v>
      </c>
      <c r="AF708" s="210">
        <v>0</v>
      </c>
      <c r="AG708" s="4">
        <v>1</v>
      </c>
      <c r="AH708" s="64">
        <v>1</v>
      </c>
      <c r="AI708" s="4">
        <v>0</v>
      </c>
      <c r="AJ708" s="4">
        <v>0</v>
      </c>
      <c r="AK708" s="4">
        <v>0</v>
      </c>
    </row>
    <row r="709" spans="1:37" outlineLevel="1">
      <c r="A709" s="5">
        <v>702</v>
      </c>
      <c r="B709" s="64" t="s">
        <v>190</v>
      </c>
      <c r="C709" s="4" t="s">
        <v>237</v>
      </c>
      <c r="D709" s="4" t="str">
        <f>[1]Лист2!B702</f>
        <v>САДОВАЯ ул.</v>
      </c>
      <c r="E709" s="69">
        <f>[1]Лист2!C702</f>
        <v>84</v>
      </c>
      <c r="F709" s="197" t="str">
        <f>[1]Лист2!D702</f>
        <v>Б</v>
      </c>
      <c r="G709" s="64"/>
      <c r="H709" s="199">
        <v>129702</v>
      </c>
      <c r="I709" s="64" t="s">
        <v>234</v>
      </c>
      <c r="J709" s="4"/>
      <c r="K709" s="64" t="s">
        <v>232</v>
      </c>
      <c r="L709" s="4" t="s">
        <v>232</v>
      </c>
      <c r="M709" s="72">
        <v>1898</v>
      </c>
      <c r="N709" s="64" t="s">
        <v>385</v>
      </c>
      <c r="O709" s="73">
        <v>4</v>
      </c>
      <c r="P709" s="196">
        <v>0</v>
      </c>
      <c r="Q709" s="73">
        <v>1</v>
      </c>
      <c r="R709" s="74">
        <v>8</v>
      </c>
      <c r="S709" s="76">
        <v>353.7</v>
      </c>
      <c r="T709" s="82">
        <f t="shared" si="20"/>
        <v>353.7</v>
      </c>
      <c r="U709" s="77">
        <f t="shared" si="21"/>
        <v>353.7</v>
      </c>
      <c r="V709" s="78">
        <v>0</v>
      </c>
      <c r="W709" s="80" t="s">
        <v>233</v>
      </c>
      <c r="X709" s="81" t="s">
        <v>233</v>
      </c>
      <c r="Y709" s="4" t="s">
        <v>233</v>
      </c>
      <c r="Z709" s="81" t="s">
        <v>233</v>
      </c>
      <c r="AA709" s="64" t="s">
        <v>233</v>
      </c>
      <c r="AB709" s="81" t="s">
        <v>233</v>
      </c>
      <c r="AC709" s="4" t="s">
        <v>240</v>
      </c>
      <c r="AD709" s="64" t="s">
        <v>233</v>
      </c>
      <c r="AE709" s="64" t="s">
        <v>240</v>
      </c>
      <c r="AF709" s="211">
        <v>0</v>
      </c>
      <c r="AG709" s="4">
        <v>1</v>
      </c>
      <c r="AH709" s="64">
        <v>1</v>
      </c>
      <c r="AI709" s="4">
        <v>0</v>
      </c>
      <c r="AJ709" s="4">
        <v>0</v>
      </c>
      <c r="AK709" s="4">
        <v>0</v>
      </c>
    </row>
    <row r="710" spans="1:37" outlineLevel="1">
      <c r="A710" s="63">
        <v>703</v>
      </c>
      <c r="B710" s="64" t="s">
        <v>190</v>
      </c>
      <c r="C710" s="4" t="s">
        <v>237</v>
      </c>
      <c r="D710" s="4" t="str">
        <f>[1]Лист2!B703</f>
        <v>САДОВАЯ ул.</v>
      </c>
      <c r="E710" s="69">
        <f>[1]Лист2!C703</f>
        <v>85</v>
      </c>
      <c r="F710" s="197" t="str">
        <f>[1]Лист2!D703</f>
        <v>А</v>
      </c>
      <c r="G710" s="4"/>
      <c r="H710" s="199">
        <v>129703</v>
      </c>
      <c r="I710" s="64" t="s">
        <v>234</v>
      </c>
      <c r="J710" s="4"/>
      <c r="K710" s="64" t="s">
        <v>232</v>
      </c>
      <c r="L710" s="4" t="s">
        <v>232</v>
      </c>
      <c r="M710" s="72">
        <v>1917</v>
      </c>
      <c r="N710" s="64" t="s">
        <v>385</v>
      </c>
      <c r="O710" s="73">
        <v>4</v>
      </c>
      <c r="P710" s="196">
        <v>0</v>
      </c>
      <c r="Q710" s="73">
        <v>1</v>
      </c>
      <c r="R710" s="74">
        <v>22</v>
      </c>
      <c r="S710" s="76">
        <v>894.2</v>
      </c>
      <c r="T710" s="82">
        <f t="shared" si="20"/>
        <v>683.6</v>
      </c>
      <c r="U710" s="77">
        <f t="shared" si="21"/>
        <v>683.6</v>
      </c>
      <c r="V710" s="78">
        <v>210.6</v>
      </c>
      <c r="W710" s="80" t="s">
        <v>233</v>
      </c>
      <c r="X710" s="81" t="s">
        <v>233</v>
      </c>
      <c r="Y710" s="4" t="s">
        <v>233</v>
      </c>
      <c r="Z710" s="81" t="s">
        <v>233</v>
      </c>
      <c r="AA710" s="64" t="s">
        <v>233</v>
      </c>
      <c r="AB710" s="81" t="s">
        <v>233</v>
      </c>
      <c r="AC710" s="4" t="s">
        <v>240</v>
      </c>
      <c r="AD710" s="64" t="s">
        <v>233</v>
      </c>
      <c r="AE710" s="64" t="s">
        <v>240</v>
      </c>
      <c r="AF710" s="210">
        <v>0</v>
      </c>
      <c r="AG710" s="4">
        <v>1</v>
      </c>
      <c r="AH710" s="64">
        <v>1</v>
      </c>
      <c r="AI710" s="4">
        <v>0</v>
      </c>
      <c r="AJ710" s="4">
        <v>0</v>
      </c>
      <c r="AK710" s="4">
        <v>0</v>
      </c>
    </row>
    <row r="711" spans="1:37" outlineLevel="1">
      <c r="A711" s="63">
        <v>704</v>
      </c>
      <c r="B711" s="64" t="s">
        <v>190</v>
      </c>
      <c r="C711" s="4" t="s">
        <v>237</v>
      </c>
      <c r="D711" s="4" t="str">
        <f>[1]Лист2!B704</f>
        <v>САДОВАЯ ул.</v>
      </c>
      <c r="E711" s="69">
        <f>[1]Лист2!C704</f>
        <v>86</v>
      </c>
      <c r="F711" s="197" t="str">
        <f>[1]Лист2!D704</f>
        <v>А</v>
      </c>
      <c r="G711" s="4"/>
      <c r="H711" s="199">
        <v>129704</v>
      </c>
      <c r="I711" s="64" t="s">
        <v>234</v>
      </c>
      <c r="J711" s="4"/>
      <c r="K711" s="64" t="s">
        <v>232</v>
      </c>
      <c r="L711" s="4" t="s">
        <v>232</v>
      </c>
      <c r="M711" s="72">
        <v>1939</v>
      </c>
      <c r="N711" s="64" t="s">
        <v>385</v>
      </c>
      <c r="O711" s="73">
        <v>5</v>
      </c>
      <c r="P711" s="196">
        <v>0</v>
      </c>
      <c r="Q711" s="73">
        <v>2</v>
      </c>
      <c r="R711" s="74">
        <v>33</v>
      </c>
      <c r="S711" s="76">
        <v>1356.9499999999998</v>
      </c>
      <c r="T711" s="82">
        <f t="shared" si="20"/>
        <v>1356.9499999999998</v>
      </c>
      <c r="U711" s="77">
        <f t="shared" si="21"/>
        <v>1356.9499999999998</v>
      </c>
      <c r="V711" s="78">
        <v>0</v>
      </c>
      <c r="W711" s="80" t="s">
        <v>233</v>
      </c>
      <c r="X711" s="81" t="s">
        <v>233</v>
      </c>
      <c r="Y711" s="4" t="s">
        <v>240</v>
      </c>
      <c r="Z711" s="81" t="s">
        <v>233</v>
      </c>
      <c r="AA711" s="64" t="s">
        <v>233</v>
      </c>
      <c r="AB711" s="81" t="s">
        <v>233</v>
      </c>
      <c r="AC711" s="4" t="s">
        <v>233</v>
      </c>
      <c r="AD711" s="64" t="s">
        <v>233</v>
      </c>
      <c r="AE711" s="64" t="s">
        <v>240</v>
      </c>
      <c r="AF711" s="210">
        <v>0</v>
      </c>
      <c r="AG711" s="4">
        <v>1</v>
      </c>
      <c r="AH711" s="64">
        <v>1</v>
      </c>
      <c r="AI711" s="4">
        <v>0</v>
      </c>
      <c r="AJ711" s="4">
        <v>0</v>
      </c>
      <c r="AK711" s="4">
        <v>0</v>
      </c>
    </row>
    <row r="712" spans="1:37" outlineLevel="1">
      <c r="A712" s="5">
        <v>705</v>
      </c>
      <c r="B712" s="64" t="s">
        <v>190</v>
      </c>
      <c r="C712" s="4" t="s">
        <v>237</v>
      </c>
      <c r="D712" s="4" t="str">
        <f>[1]Лист2!B705</f>
        <v>САДОВАЯ ул.</v>
      </c>
      <c r="E712" s="69">
        <f>[1]Лист2!C705</f>
        <v>89</v>
      </c>
      <c r="F712" s="197" t="str">
        <f>[1]Лист2!D705</f>
        <v>А</v>
      </c>
      <c r="G712" s="64"/>
      <c r="H712" s="199">
        <v>129705</v>
      </c>
      <c r="I712" s="64" t="s">
        <v>234</v>
      </c>
      <c r="J712" s="4"/>
      <c r="K712" s="64" t="s">
        <v>232</v>
      </c>
      <c r="L712" s="4" t="s">
        <v>232</v>
      </c>
      <c r="M712" s="72">
        <v>1833</v>
      </c>
      <c r="N712" s="64" t="s">
        <v>385</v>
      </c>
      <c r="O712" s="73">
        <v>3</v>
      </c>
      <c r="P712" s="196">
        <v>0</v>
      </c>
      <c r="Q712" s="73">
        <v>3</v>
      </c>
      <c r="R712" s="74">
        <v>20</v>
      </c>
      <c r="S712" s="76">
        <v>1110.99</v>
      </c>
      <c r="T712" s="82">
        <f t="shared" si="20"/>
        <v>857.79</v>
      </c>
      <c r="U712" s="77">
        <f t="shared" si="21"/>
        <v>857.79</v>
      </c>
      <c r="V712" s="78">
        <v>253.2</v>
      </c>
      <c r="W712" s="80" t="s">
        <v>233</v>
      </c>
      <c r="X712" s="81" t="s">
        <v>233</v>
      </c>
      <c r="Y712" s="4" t="s">
        <v>233</v>
      </c>
      <c r="Z712" s="81" t="s">
        <v>233</v>
      </c>
      <c r="AA712" s="64" t="s">
        <v>233</v>
      </c>
      <c r="AB712" s="81" t="s">
        <v>233</v>
      </c>
      <c r="AC712" s="4" t="s">
        <v>240</v>
      </c>
      <c r="AD712" s="64" t="s">
        <v>233</v>
      </c>
      <c r="AE712" s="64" t="s">
        <v>240</v>
      </c>
      <c r="AF712" s="210">
        <v>0</v>
      </c>
      <c r="AG712" s="4">
        <v>1</v>
      </c>
      <c r="AH712" s="64">
        <v>1</v>
      </c>
      <c r="AI712" s="4">
        <v>0</v>
      </c>
      <c r="AJ712" s="4">
        <v>0</v>
      </c>
      <c r="AK712" s="4">
        <v>0</v>
      </c>
    </row>
    <row r="713" spans="1:37" outlineLevel="1">
      <c r="A713" s="5">
        <v>706</v>
      </c>
      <c r="B713" s="64" t="s">
        <v>190</v>
      </c>
      <c r="C713" s="4" t="s">
        <v>237</v>
      </c>
      <c r="D713" s="4" t="str">
        <f>[1]Лист2!B706</f>
        <v>САДОВАЯ ул.</v>
      </c>
      <c r="E713" s="69">
        <f>[1]Лист2!C706</f>
        <v>90</v>
      </c>
      <c r="F713" s="197" t="str">
        <f>[1]Лист2!D706</f>
        <v>А</v>
      </c>
      <c r="G713" s="64"/>
      <c r="H713" s="199">
        <v>129706</v>
      </c>
      <c r="I713" s="64" t="s">
        <v>234</v>
      </c>
      <c r="J713" s="4"/>
      <c r="K713" s="64" t="s">
        <v>232</v>
      </c>
      <c r="L713" s="4" t="s">
        <v>232</v>
      </c>
      <c r="M713" s="72">
        <v>1879</v>
      </c>
      <c r="N713" s="64" t="s">
        <v>385</v>
      </c>
      <c r="O713" s="73">
        <v>5</v>
      </c>
      <c r="P713" s="196">
        <v>0</v>
      </c>
      <c r="Q713" s="73">
        <v>3</v>
      </c>
      <c r="R713" s="74">
        <v>40</v>
      </c>
      <c r="S713" s="76">
        <v>2085.8999999999996</v>
      </c>
      <c r="T713" s="82">
        <f t="shared" ref="T713:T776" si="22">U713</f>
        <v>1655.8999999999996</v>
      </c>
      <c r="U713" s="77">
        <f t="shared" ref="U713:U776" si="23">S713-V713</f>
        <v>1655.8999999999996</v>
      </c>
      <c r="V713" s="78">
        <v>430</v>
      </c>
      <c r="W713" s="80" t="s">
        <v>233</v>
      </c>
      <c r="X713" s="81" t="s">
        <v>233</v>
      </c>
      <c r="Y713" s="4" t="s">
        <v>233</v>
      </c>
      <c r="Z713" s="81" t="s">
        <v>233</v>
      </c>
      <c r="AA713" s="64" t="s">
        <v>233</v>
      </c>
      <c r="AB713" s="81" t="s">
        <v>233</v>
      </c>
      <c r="AC713" s="4" t="s">
        <v>240</v>
      </c>
      <c r="AD713" s="64" t="s">
        <v>233</v>
      </c>
      <c r="AE713" s="64" t="s">
        <v>240</v>
      </c>
      <c r="AF713" s="210">
        <v>0</v>
      </c>
      <c r="AG713" s="4">
        <v>1</v>
      </c>
      <c r="AH713" s="64">
        <v>1</v>
      </c>
      <c r="AI713" s="4">
        <v>0</v>
      </c>
      <c r="AJ713" s="4">
        <v>0</v>
      </c>
      <c r="AK713" s="4">
        <v>0</v>
      </c>
    </row>
    <row r="714" spans="1:37" outlineLevel="1">
      <c r="A714" s="5">
        <v>707</v>
      </c>
      <c r="B714" s="64" t="s">
        <v>190</v>
      </c>
      <c r="C714" s="4" t="s">
        <v>237</v>
      </c>
      <c r="D714" s="4" t="str">
        <f>[1]Лист2!B707</f>
        <v>САДОВАЯ ул.</v>
      </c>
      <c r="E714" s="69">
        <f>[1]Лист2!C707</f>
        <v>91</v>
      </c>
      <c r="F714" s="197" t="str">
        <f>[1]Лист2!D707</f>
        <v>А</v>
      </c>
      <c r="G714" s="4"/>
      <c r="H714" s="199">
        <v>129707</v>
      </c>
      <c r="I714" s="64" t="s">
        <v>234</v>
      </c>
      <c r="J714" s="4"/>
      <c r="K714" s="64" t="s">
        <v>232</v>
      </c>
      <c r="L714" s="4" t="s">
        <v>232</v>
      </c>
      <c r="M714" s="72">
        <v>1847</v>
      </c>
      <c r="N714" s="64" t="s">
        <v>385</v>
      </c>
      <c r="O714" s="73">
        <v>3</v>
      </c>
      <c r="P714" s="196">
        <v>0</v>
      </c>
      <c r="Q714" s="73">
        <v>3</v>
      </c>
      <c r="R714" s="74">
        <v>39</v>
      </c>
      <c r="S714" s="76">
        <v>2016.4400000000003</v>
      </c>
      <c r="T714" s="82">
        <f t="shared" si="22"/>
        <v>1445.2400000000002</v>
      </c>
      <c r="U714" s="77">
        <f t="shared" si="23"/>
        <v>1445.2400000000002</v>
      </c>
      <c r="V714" s="78">
        <v>571.20000000000005</v>
      </c>
      <c r="W714" s="80" t="s">
        <v>233</v>
      </c>
      <c r="X714" s="81" t="s">
        <v>233</v>
      </c>
      <c r="Y714" s="4" t="s">
        <v>233</v>
      </c>
      <c r="Z714" s="81" t="s">
        <v>233</v>
      </c>
      <c r="AA714" s="64" t="s">
        <v>233</v>
      </c>
      <c r="AB714" s="81" t="s">
        <v>233</v>
      </c>
      <c r="AC714" s="4" t="s">
        <v>240</v>
      </c>
      <c r="AD714" s="64" t="s">
        <v>233</v>
      </c>
      <c r="AE714" s="64" t="s">
        <v>240</v>
      </c>
      <c r="AF714" s="210">
        <v>0</v>
      </c>
      <c r="AG714" s="4">
        <v>1</v>
      </c>
      <c r="AH714" s="64">
        <v>1</v>
      </c>
      <c r="AI714" s="4">
        <v>1</v>
      </c>
      <c r="AJ714" s="4">
        <v>1</v>
      </c>
      <c r="AK714" s="4">
        <v>0</v>
      </c>
    </row>
    <row r="715" spans="1:37" outlineLevel="1">
      <c r="A715" s="5">
        <v>708</v>
      </c>
      <c r="B715" s="64" t="s">
        <v>190</v>
      </c>
      <c r="C715" s="4" t="s">
        <v>237</v>
      </c>
      <c r="D715" s="4" t="str">
        <f>[1]Лист2!B708</f>
        <v>САДОВАЯ ул.</v>
      </c>
      <c r="E715" s="69">
        <f>[1]Лист2!C708</f>
        <v>92</v>
      </c>
      <c r="F715" s="197" t="str">
        <f>[1]Лист2!D708</f>
        <v>А</v>
      </c>
      <c r="G715" s="4"/>
      <c r="H715" s="199">
        <v>129708</v>
      </c>
      <c r="I715" s="64" t="s">
        <v>234</v>
      </c>
      <c r="J715" s="4"/>
      <c r="K715" s="64" t="s">
        <v>232</v>
      </c>
      <c r="L715" s="4" t="s">
        <v>232</v>
      </c>
      <c r="M715" s="72">
        <v>1900</v>
      </c>
      <c r="N715" s="64" t="s">
        <v>385</v>
      </c>
      <c r="O715" s="73">
        <v>5</v>
      </c>
      <c r="P715" s="196">
        <v>0</v>
      </c>
      <c r="Q715" s="73">
        <v>2</v>
      </c>
      <c r="R715" s="74">
        <v>59</v>
      </c>
      <c r="S715" s="76">
        <v>3028.4</v>
      </c>
      <c r="T715" s="82">
        <f t="shared" si="22"/>
        <v>2570.3000000000002</v>
      </c>
      <c r="U715" s="77">
        <f t="shared" si="23"/>
        <v>2570.3000000000002</v>
      </c>
      <c r="V715" s="78">
        <v>458.1</v>
      </c>
      <c r="W715" s="80" t="s">
        <v>233</v>
      </c>
      <c r="X715" s="81" t="s">
        <v>233</v>
      </c>
      <c r="Y715" s="4" t="s">
        <v>233</v>
      </c>
      <c r="Z715" s="81" t="s">
        <v>233</v>
      </c>
      <c r="AA715" s="64" t="s">
        <v>233</v>
      </c>
      <c r="AB715" s="81" t="s">
        <v>233</v>
      </c>
      <c r="AC715" s="4" t="s">
        <v>240</v>
      </c>
      <c r="AD715" s="64" t="s">
        <v>233</v>
      </c>
      <c r="AE715" s="64" t="s">
        <v>240</v>
      </c>
      <c r="AF715" s="210">
        <v>0</v>
      </c>
      <c r="AG715" s="4">
        <v>1</v>
      </c>
      <c r="AH715" s="64">
        <v>1</v>
      </c>
      <c r="AI715" s="4">
        <v>1</v>
      </c>
      <c r="AJ715" s="4">
        <v>1</v>
      </c>
      <c r="AK715" s="4">
        <v>0</v>
      </c>
    </row>
    <row r="716" spans="1:37" outlineLevel="1">
      <c r="A716" s="63">
        <v>709</v>
      </c>
      <c r="B716" s="64" t="s">
        <v>190</v>
      </c>
      <c r="C716" s="4" t="s">
        <v>237</v>
      </c>
      <c r="D716" s="4" t="str">
        <f>[1]Лист2!B709</f>
        <v>САДОВАЯ ул.</v>
      </c>
      <c r="E716" s="69">
        <f>[1]Лист2!C709</f>
        <v>94</v>
      </c>
      <c r="F716" s="197" t="str">
        <f>[1]Лист2!D709</f>
        <v>А</v>
      </c>
      <c r="G716" s="64"/>
      <c r="H716" s="199">
        <v>129709</v>
      </c>
      <c r="I716" s="64" t="s">
        <v>234</v>
      </c>
      <c r="J716" s="4"/>
      <c r="K716" s="64" t="s">
        <v>232</v>
      </c>
      <c r="L716" s="4" t="s">
        <v>232</v>
      </c>
      <c r="M716" s="72">
        <v>1877</v>
      </c>
      <c r="N716" s="64" t="s">
        <v>385</v>
      </c>
      <c r="O716" s="73">
        <v>4</v>
      </c>
      <c r="P716" s="196">
        <v>0</v>
      </c>
      <c r="Q716" s="73">
        <v>4</v>
      </c>
      <c r="R716" s="74">
        <v>64</v>
      </c>
      <c r="S716" s="76">
        <v>2276.6</v>
      </c>
      <c r="T716" s="82">
        <f t="shared" si="22"/>
        <v>1876.3999999999999</v>
      </c>
      <c r="U716" s="77">
        <f t="shared" si="23"/>
        <v>1876.3999999999999</v>
      </c>
      <c r="V716" s="78">
        <v>400.2</v>
      </c>
      <c r="W716" s="80" t="s">
        <v>233</v>
      </c>
      <c r="X716" s="81" t="s">
        <v>233</v>
      </c>
      <c r="Y716" s="4" t="s">
        <v>233</v>
      </c>
      <c r="Z716" s="81" t="s">
        <v>233</v>
      </c>
      <c r="AA716" s="64" t="s">
        <v>233</v>
      </c>
      <c r="AB716" s="81" t="s">
        <v>233</v>
      </c>
      <c r="AC716" s="4" t="s">
        <v>240</v>
      </c>
      <c r="AD716" s="64" t="s">
        <v>233</v>
      </c>
      <c r="AE716" s="64" t="s">
        <v>240</v>
      </c>
      <c r="AF716" s="210">
        <v>0</v>
      </c>
      <c r="AG716" s="4">
        <v>1</v>
      </c>
      <c r="AH716" s="64">
        <v>1</v>
      </c>
      <c r="AI716" s="4">
        <v>0</v>
      </c>
      <c r="AJ716" s="4">
        <v>0</v>
      </c>
      <c r="AK716" s="4">
        <v>0</v>
      </c>
    </row>
    <row r="717" spans="1:37" outlineLevel="1">
      <c r="A717" s="63">
        <v>710</v>
      </c>
      <c r="B717" s="64" t="s">
        <v>190</v>
      </c>
      <c r="C717" s="4" t="s">
        <v>237</v>
      </c>
      <c r="D717" s="4" t="str">
        <f>[1]Лист2!B710</f>
        <v>САДОВАЯ ул.</v>
      </c>
      <c r="E717" s="69">
        <f>[1]Лист2!C710</f>
        <v>94</v>
      </c>
      <c r="F717" s="197" t="str">
        <f>[1]Лист2!D710</f>
        <v>Ж</v>
      </c>
      <c r="G717" s="64"/>
      <c r="H717" s="199">
        <v>129710</v>
      </c>
      <c r="I717" s="64" t="s">
        <v>234</v>
      </c>
      <c r="J717" s="4"/>
      <c r="K717" s="64" t="s">
        <v>232</v>
      </c>
      <c r="L717" s="4" t="s">
        <v>232</v>
      </c>
      <c r="M717" s="72">
        <v>1877</v>
      </c>
      <c r="N717" s="64" t="s">
        <v>385</v>
      </c>
      <c r="O717" s="73">
        <v>4</v>
      </c>
      <c r="P717" s="196">
        <v>0</v>
      </c>
      <c r="Q717" s="73">
        <v>2</v>
      </c>
      <c r="R717" s="74">
        <v>46</v>
      </c>
      <c r="S717" s="76">
        <v>914.8</v>
      </c>
      <c r="T717" s="82">
        <f t="shared" si="22"/>
        <v>914.8</v>
      </c>
      <c r="U717" s="77">
        <f t="shared" si="23"/>
        <v>914.8</v>
      </c>
      <c r="V717" s="78">
        <v>0</v>
      </c>
      <c r="W717" s="80" t="s">
        <v>233</v>
      </c>
      <c r="X717" s="81" t="s">
        <v>233</v>
      </c>
      <c r="Y717" s="4" t="s">
        <v>233</v>
      </c>
      <c r="Z717" s="81" t="s">
        <v>233</v>
      </c>
      <c r="AA717" s="64" t="s">
        <v>233</v>
      </c>
      <c r="AB717" s="81" t="s">
        <v>233</v>
      </c>
      <c r="AC717" s="4" t="s">
        <v>240</v>
      </c>
      <c r="AD717" s="64" t="s">
        <v>233</v>
      </c>
      <c r="AE717" s="64" t="s">
        <v>240</v>
      </c>
      <c r="AF717" s="211">
        <v>0</v>
      </c>
      <c r="AG717" s="4">
        <v>1</v>
      </c>
      <c r="AH717" s="64">
        <v>1</v>
      </c>
      <c r="AI717" s="4">
        <v>0</v>
      </c>
      <c r="AJ717" s="4">
        <v>0</v>
      </c>
      <c r="AK717" s="4">
        <v>0</v>
      </c>
    </row>
    <row r="718" spans="1:37" outlineLevel="1">
      <c r="A718" s="5">
        <v>711</v>
      </c>
      <c r="B718" s="64" t="s">
        <v>190</v>
      </c>
      <c r="C718" s="4" t="s">
        <v>237</v>
      </c>
      <c r="D718" s="4" t="str">
        <f>[1]Лист2!B711</f>
        <v>САДОВАЯ ул.</v>
      </c>
      <c r="E718" s="69">
        <f>[1]Лист2!C711</f>
        <v>95</v>
      </c>
      <c r="F718" s="197" t="str">
        <f>[1]Лист2!D711</f>
        <v>А</v>
      </c>
      <c r="G718" s="4"/>
      <c r="H718" s="199">
        <v>129711</v>
      </c>
      <c r="I718" s="64" t="s">
        <v>234</v>
      </c>
      <c r="J718" s="4"/>
      <c r="K718" s="64" t="s">
        <v>232</v>
      </c>
      <c r="L718" s="4" t="s">
        <v>232</v>
      </c>
      <c r="M718" s="72">
        <v>1895</v>
      </c>
      <c r="N718" s="64" t="s">
        <v>385</v>
      </c>
      <c r="O718" s="73">
        <v>5</v>
      </c>
      <c r="P718" s="196">
        <v>0</v>
      </c>
      <c r="Q718" s="73">
        <v>4</v>
      </c>
      <c r="R718" s="74">
        <v>24</v>
      </c>
      <c r="S718" s="76">
        <v>2397.6800000000003</v>
      </c>
      <c r="T718" s="82">
        <f t="shared" si="22"/>
        <v>2034.3800000000003</v>
      </c>
      <c r="U718" s="77">
        <f t="shared" si="23"/>
        <v>2034.3800000000003</v>
      </c>
      <c r="V718" s="78">
        <v>363.3</v>
      </c>
      <c r="W718" s="80" t="s">
        <v>233</v>
      </c>
      <c r="X718" s="81" t="s">
        <v>233</v>
      </c>
      <c r="Y718" s="4" t="s">
        <v>233</v>
      </c>
      <c r="Z718" s="81" t="s">
        <v>233</v>
      </c>
      <c r="AA718" s="64" t="s">
        <v>233</v>
      </c>
      <c r="AB718" s="81" t="s">
        <v>233</v>
      </c>
      <c r="AC718" s="4" t="s">
        <v>240</v>
      </c>
      <c r="AD718" s="64" t="s">
        <v>233</v>
      </c>
      <c r="AE718" s="64" t="s">
        <v>240</v>
      </c>
      <c r="AF718" s="210">
        <v>0</v>
      </c>
      <c r="AG718" s="4">
        <v>1</v>
      </c>
      <c r="AH718" s="64">
        <v>1</v>
      </c>
      <c r="AI718" s="4">
        <v>0</v>
      </c>
      <c r="AJ718" s="4">
        <v>0</v>
      </c>
      <c r="AK718" s="4">
        <v>0</v>
      </c>
    </row>
    <row r="719" spans="1:37" outlineLevel="1">
      <c r="A719" s="5">
        <v>712</v>
      </c>
      <c r="B719" s="64" t="s">
        <v>190</v>
      </c>
      <c r="C719" s="4" t="s">
        <v>237</v>
      </c>
      <c r="D719" s="4" t="str">
        <f>[1]Лист2!B712</f>
        <v>САДОВАЯ ул.</v>
      </c>
      <c r="E719" s="69">
        <f>[1]Лист2!C712</f>
        <v>96</v>
      </c>
      <c r="F719" s="197" t="str">
        <f>[1]Лист2!D712</f>
        <v>А</v>
      </c>
      <c r="G719" s="4"/>
      <c r="H719" s="199">
        <v>129712</v>
      </c>
      <c r="I719" s="64" t="s">
        <v>234</v>
      </c>
      <c r="J719" s="4"/>
      <c r="K719" s="64" t="s">
        <v>232</v>
      </c>
      <c r="L719" s="4" t="s">
        <v>232</v>
      </c>
      <c r="M719" s="72">
        <v>1835</v>
      </c>
      <c r="N719" s="64" t="s">
        <v>385</v>
      </c>
      <c r="O719" s="73">
        <v>4</v>
      </c>
      <c r="P719" s="196">
        <v>0</v>
      </c>
      <c r="Q719" s="73">
        <v>3</v>
      </c>
      <c r="R719" s="74">
        <v>19</v>
      </c>
      <c r="S719" s="76">
        <v>1164.1100000000001</v>
      </c>
      <c r="T719" s="82">
        <f t="shared" si="22"/>
        <v>803.91000000000008</v>
      </c>
      <c r="U719" s="77">
        <f t="shared" si="23"/>
        <v>803.91000000000008</v>
      </c>
      <c r="V719" s="78">
        <v>360.2</v>
      </c>
      <c r="W719" s="80" t="s">
        <v>233</v>
      </c>
      <c r="X719" s="81" t="s">
        <v>233</v>
      </c>
      <c r="Y719" s="4" t="s">
        <v>233</v>
      </c>
      <c r="Z719" s="81" t="s">
        <v>233</v>
      </c>
      <c r="AA719" s="64" t="s">
        <v>233</v>
      </c>
      <c r="AB719" s="81" t="s">
        <v>233</v>
      </c>
      <c r="AC719" s="4" t="s">
        <v>240</v>
      </c>
      <c r="AD719" s="64" t="s">
        <v>233</v>
      </c>
      <c r="AE719" s="64" t="s">
        <v>240</v>
      </c>
      <c r="AF719" s="210">
        <v>0</v>
      </c>
      <c r="AG719" s="4">
        <v>1</v>
      </c>
      <c r="AH719" s="64">
        <v>1</v>
      </c>
      <c r="AI719" s="4">
        <v>1</v>
      </c>
      <c r="AJ719" s="4">
        <v>1</v>
      </c>
      <c r="AK719" s="4">
        <v>0</v>
      </c>
    </row>
    <row r="720" spans="1:37" outlineLevel="1">
      <c r="A720" s="5">
        <v>713</v>
      </c>
      <c r="B720" s="64" t="s">
        <v>190</v>
      </c>
      <c r="C720" s="4" t="s">
        <v>237</v>
      </c>
      <c r="D720" s="4" t="str">
        <f>[1]Лист2!B713</f>
        <v>САДОВАЯ ул.</v>
      </c>
      <c r="E720" s="69">
        <f>[1]Лист2!C713</f>
        <v>97</v>
      </c>
      <c r="F720" s="197" t="str">
        <f>[1]Лист2!D713</f>
        <v>А</v>
      </c>
      <c r="G720" s="64"/>
      <c r="H720" s="199">
        <v>129713</v>
      </c>
      <c r="I720" s="64" t="s">
        <v>234</v>
      </c>
      <c r="J720" s="4"/>
      <c r="K720" s="64" t="s">
        <v>232</v>
      </c>
      <c r="L720" s="4" t="s">
        <v>232</v>
      </c>
      <c r="M720" s="72">
        <v>1917</v>
      </c>
      <c r="N720" s="64" t="s">
        <v>385</v>
      </c>
      <c r="O720" s="73">
        <v>6</v>
      </c>
      <c r="P720" s="196">
        <v>0</v>
      </c>
      <c r="Q720" s="73">
        <v>2</v>
      </c>
      <c r="R720" s="74">
        <v>40</v>
      </c>
      <c r="S720" s="76">
        <v>2539.87</v>
      </c>
      <c r="T720" s="82">
        <f t="shared" si="22"/>
        <v>2172.37</v>
      </c>
      <c r="U720" s="77">
        <f t="shared" si="23"/>
        <v>2172.37</v>
      </c>
      <c r="V720" s="78">
        <v>367.5</v>
      </c>
      <c r="W720" s="80" t="s">
        <v>233</v>
      </c>
      <c r="X720" s="81" t="s">
        <v>233</v>
      </c>
      <c r="Y720" s="4" t="s">
        <v>233</v>
      </c>
      <c r="Z720" s="81" t="s">
        <v>233</v>
      </c>
      <c r="AA720" s="64" t="s">
        <v>233</v>
      </c>
      <c r="AB720" s="81" t="s">
        <v>233</v>
      </c>
      <c r="AC720" s="4" t="s">
        <v>240</v>
      </c>
      <c r="AD720" s="64" t="s">
        <v>233</v>
      </c>
      <c r="AE720" s="64" t="s">
        <v>240</v>
      </c>
      <c r="AF720" s="210">
        <v>0</v>
      </c>
      <c r="AG720" s="4">
        <v>1</v>
      </c>
      <c r="AH720" s="64">
        <v>1</v>
      </c>
      <c r="AI720" s="4">
        <v>1</v>
      </c>
      <c r="AJ720" s="4">
        <v>1</v>
      </c>
      <c r="AK720" s="4">
        <v>0</v>
      </c>
    </row>
    <row r="721" spans="1:37" outlineLevel="1">
      <c r="A721" s="5">
        <v>714</v>
      </c>
      <c r="B721" s="64" t="s">
        <v>190</v>
      </c>
      <c r="C721" s="4" t="s">
        <v>237</v>
      </c>
      <c r="D721" s="4" t="str">
        <f>[1]Лист2!B714</f>
        <v>САДОВАЯ ул.</v>
      </c>
      <c r="E721" s="69">
        <f>[1]Лист2!C714</f>
        <v>99</v>
      </c>
      <c r="F721" s="197" t="str">
        <f>[1]Лист2!D714</f>
        <v>А</v>
      </c>
      <c r="G721" s="64"/>
      <c r="H721" s="199">
        <v>129714</v>
      </c>
      <c r="I721" s="64" t="s">
        <v>234</v>
      </c>
      <c r="J721" s="4"/>
      <c r="K721" s="64" t="s">
        <v>232</v>
      </c>
      <c r="L721" s="4" t="s">
        <v>232</v>
      </c>
      <c r="M721" s="72">
        <v>1837</v>
      </c>
      <c r="N721" s="64" t="s">
        <v>385</v>
      </c>
      <c r="O721" s="73">
        <v>4</v>
      </c>
      <c r="P721" s="196">
        <v>0</v>
      </c>
      <c r="Q721" s="73">
        <v>4</v>
      </c>
      <c r="R721" s="74">
        <v>30</v>
      </c>
      <c r="S721" s="76">
        <v>879.19999999999993</v>
      </c>
      <c r="T721" s="82">
        <f t="shared" si="22"/>
        <v>713.3</v>
      </c>
      <c r="U721" s="77">
        <f t="shared" si="23"/>
        <v>713.3</v>
      </c>
      <c r="V721" s="78">
        <v>165.9</v>
      </c>
      <c r="W721" s="80" t="s">
        <v>233</v>
      </c>
      <c r="X721" s="81" t="s">
        <v>233</v>
      </c>
      <c r="Y721" s="4" t="s">
        <v>233</v>
      </c>
      <c r="Z721" s="81" t="s">
        <v>233</v>
      </c>
      <c r="AA721" s="64" t="s">
        <v>233</v>
      </c>
      <c r="AB721" s="81" t="s">
        <v>233</v>
      </c>
      <c r="AC721" s="4" t="s">
        <v>240</v>
      </c>
      <c r="AD721" s="64" t="s">
        <v>233</v>
      </c>
      <c r="AE721" s="64" t="s">
        <v>240</v>
      </c>
      <c r="AF721" s="210">
        <v>0</v>
      </c>
      <c r="AG721" s="4">
        <v>1</v>
      </c>
      <c r="AH721" s="64">
        <v>1</v>
      </c>
      <c r="AI721" s="4">
        <v>0</v>
      </c>
      <c r="AJ721" s="4">
        <v>0</v>
      </c>
      <c r="AK721" s="4">
        <v>0</v>
      </c>
    </row>
    <row r="722" spans="1:37" outlineLevel="1">
      <c r="A722" s="63">
        <v>715</v>
      </c>
      <c r="B722" s="64" t="s">
        <v>190</v>
      </c>
      <c r="C722" s="4" t="s">
        <v>237</v>
      </c>
      <c r="D722" s="4" t="str">
        <f>[1]Лист2!B715</f>
        <v>САДОВАЯ ул.</v>
      </c>
      <c r="E722" s="69">
        <f>[1]Лист2!C715</f>
        <v>99</v>
      </c>
      <c r="F722" s="197" t="str">
        <f>[1]Лист2!D715</f>
        <v>Б</v>
      </c>
      <c r="G722" s="4"/>
      <c r="H722" s="199">
        <v>129715</v>
      </c>
      <c r="I722" s="64" t="s">
        <v>234</v>
      </c>
      <c r="J722" s="4"/>
      <c r="K722" s="64" t="s">
        <v>232</v>
      </c>
      <c r="L722" s="4" t="s">
        <v>232</v>
      </c>
      <c r="M722" s="72">
        <v>1837</v>
      </c>
      <c r="N722" s="64" t="s">
        <v>385</v>
      </c>
      <c r="O722" s="73">
        <v>4</v>
      </c>
      <c r="P722" s="196">
        <v>0</v>
      </c>
      <c r="Q722" s="73">
        <v>4</v>
      </c>
      <c r="R722" s="74">
        <v>28</v>
      </c>
      <c r="S722" s="76">
        <v>636.9</v>
      </c>
      <c r="T722" s="82">
        <f t="shared" si="22"/>
        <v>636.9</v>
      </c>
      <c r="U722" s="77">
        <f t="shared" si="23"/>
        <v>636.9</v>
      </c>
      <c r="V722" s="78">
        <v>0</v>
      </c>
      <c r="W722" s="80" t="s">
        <v>233</v>
      </c>
      <c r="X722" s="81" t="s">
        <v>233</v>
      </c>
      <c r="Y722" s="4" t="s">
        <v>233</v>
      </c>
      <c r="Z722" s="81" t="s">
        <v>233</v>
      </c>
      <c r="AA722" s="64" t="s">
        <v>233</v>
      </c>
      <c r="AB722" s="81" t="s">
        <v>233</v>
      </c>
      <c r="AC722" s="4" t="s">
        <v>240</v>
      </c>
      <c r="AD722" s="64" t="s">
        <v>233</v>
      </c>
      <c r="AE722" s="64" t="s">
        <v>240</v>
      </c>
      <c r="AF722" s="211">
        <v>0</v>
      </c>
      <c r="AG722" s="4">
        <v>1</v>
      </c>
      <c r="AH722" s="64">
        <v>1</v>
      </c>
      <c r="AI722" s="4">
        <v>0</v>
      </c>
      <c r="AJ722" s="4">
        <v>0</v>
      </c>
      <c r="AK722" s="4">
        <v>0</v>
      </c>
    </row>
    <row r="723" spans="1:37" outlineLevel="1">
      <c r="A723" s="63">
        <v>716</v>
      </c>
      <c r="B723" s="64" t="s">
        <v>190</v>
      </c>
      <c r="C723" s="4" t="s">
        <v>237</v>
      </c>
      <c r="D723" s="4" t="str">
        <f>[1]Лист2!B716</f>
        <v>СОЮЗА ПЕЧАТНИКОВ ул.</v>
      </c>
      <c r="E723" s="69">
        <f>[1]Лист2!C716</f>
        <v>10</v>
      </c>
      <c r="F723" s="197" t="str">
        <f>[1]Лист2!D716</f>
        <v>А</v>
      </c>
      <c r="G723" s="4"/>
      <c r="H723" s="199">
        <v>129716</v>
      </c>
      <c r="I723" s="64" t="s">
        <v>234</v>
      </c>
      <c r="J723" s="4"/>
      <c r="K723" s="64" t="s">
        <v>232</v>
      </c>
      <c r="L723" s="4" t="s">
        <v>232</v>
      </c>
      <c r="M723" s="72">
        <v>1912</v>
      </c>
      <c r="N723" s="64" t="s">
        <v>385</v>
      </c>
      <c r="O723" s="73">
        <v>6</v>
      </c>
      <c r="P723" s="196">
        <v>0</v>
      </c>
      <c r="Q723" s="73">
        <v>3</v>
      </c>
      <c r="R723" s="74">
        <v>54</v>
      </c>
      <c r="S723" s="76">
        <v>3709.21</v>
      </c>
      <c r="T723" s="82">
        <f t="shared" si="22"/>
        <v>3245.21</v>
      </c>
      <c r="U723" s="77">
        <f t="shared" si="23"/>
        <v>3245.21</v>
      </c>
      <c r="V723" s="78">
        <v>464</v>
      </c>
      <c r="W723" s="80" t="s">
        <v>233</v>
      </c>
      <c r="X723" s="81" t="s">
        <v>233</v>
      </c>
      <c r="Y723" s="4" t="s">
        <v>233</v>
      </c>
      <c r="Z723" s="81" t="s">
        <v>233</v>
      </c>
      <c r="AA723" s="64" t="s">
        <v>233</v>
      </c>
      <c r="AB723" s="81" t="s">
        <v>233</v>
      </c>
      <c r="AC723" s="4" t="s">
        <v>240</v>
      </c>
      <c r="AD723" s="64" t="s">
        <v>233</v>
      </c>
      <c r="AE723" s="64" t="s">
        <v>240</v>
      </c>
      <c r="AF723" s="210">
        <v>2</v>
      </c>
      <c r="AG723" s="4">
        <v>2</v>
      </c>
      <c r="AH723" s="64">
        <v>2</v>
      </c>
      <c r="AI723" s="4">
        <v>0</v>
      </c>
      <c r="AJ723" s="4">
        <v>0</v>
      </c>
      <c r="AK723" s="4">
        <v>0</v>
      </c>
    </row>
    <row r="724" spans="1:37" outlineLevel="1">
      <c r="A724" s="5">
        <v>717</v>
      </c>
      <c r="B724" s="64" t="s">
        <v>190</v>
      </c>
      <c r="C724" s="4" t="s">
        <v>237</v>
      </c>
      <c r="D724" s="4" t="str">
        <f>[1]Лист2!B717</f>
        <v>СОЮЗА ПЕЧАТНИКОВ ул.</v>
      </c>
      <c r="E724" s="69" t="str">
        <f>[1]Лист2!C717</f>
        <v>13-15</v>
      </c>
      <c r="F724" s="197" t="str">
        <f>[1]Лист2!D717</f>
        <v>А</v>
      </c>
      <c r="G724" s="64"/>
      <c r="H724" s="199">
        <v>129717</v>
      </c>
      <c r="I724" s="64" t="s">
        <v>234</v>
      </c>
      <c r="J724" s="4"/>
      <c r="K724" s="64" t="s">
        <v>232</v>
      </c>
      <c r="L724" s="4" t="s">
        <v>232</v>
      </c>
      <c r="M724" s="72">
        <v>1912</v>
      </c>
      <c r="N724" s="64" t="s">
        <v>385</v>
      </c>
      <c r="O724" s="73">
        <v>7</v>
      </c>
      <c r="P724" s="196">
        <v>0</v>
      </c>
      <c r="Q724" s="73">
        <v>9</v>
      </c>
      <c r="R724" s="74">
        <v>352</v>
      </c>
      <c r="S724" s="76">
        <v>10866.5</v>
      </c>
      <c r="T724" s="82">
        <f t="shared" si="22"/>
        <v>10144.1</v>
      </c>
      <c r="U724" s="77">
        <f t="shared" si="23"/>
        <v>10144.1</v>
      </c>
      <c r="V724" s="78">
        <v>722.4</v>
      </c>
      <c r="W724" s="80" t="s">
        <v>233</v>
      </c>
      <c r="X724" s="81" t="s">
        <v>233</v>
      </c>
      <c r="Y724" s="4" t="s">
        <v>233</v>
      </c>
      <c r="Z724" s="81" t="s">
        <v>233</v>
      </c>
      <c r="AA724" s="64" t="s">
        <v>233</v>
      </c>
      <c r="AB724" s="81" t="s">
        <v>233</v>
      </c>
      <c r="AC724" s="4" t="s">
        <v>240</v>
      </c>
      <c r="AD724" s="64" t="s">
        <v>233</v>
      </c>
      <c r="AE724" s="64" t="s">
        <v>240</v>
      </c>
      <c r="AF724" s="210">
        <v>4</v>
      </c>
      <c r="AG724" s="4">
        <v>3</v>
      </c>
      <c r="AH724" s="64">
        <v>1</v>
      </c>
      <c r="AI724" s="4">
        <v>0</v>
      </c>
      <c r="AJ724" s="4">
        <v>0</v>
      </c>
      <c r="AK724" s="4">
        <v>0</v>
      </c>
    </row>
    <row r="725" spans="1:37" outlineLevel="1">
      <c r="A725" s="5">
        <v>718</v>
      </c>
      <c r="B725" s="64" t="s">
        <v>190</v>
      </c>
      <c r="C725" s="4" t="s">
        <v>237</v>
      </c>
      <c r="D725" s="4" t="str">
        <f>[1]Лист2!B718</f>
        <v>СОЮЗА ПЕЧАТНИКОВ ул.</v>
      </c>
      <c r="E725" s="69">
        <f>[1]Лист2!C718</f>
        <v>17</v>
      </c>
      <c r="F725" s="197" t="str">
        <f>[1]Лист2!D718</f>
        <v>А</v>
      </c>
      <c r="G725" s="64"/>
      <c r="H725" s="199">
        <v>129718</v>
      </c>
      <c r="I725" s="64" t="s">
        <v>234</v>
      </c>
      <c r="J725" s="4"/>
      <c r="K725" s="64" t="s">
        <v>232</v>
      </c>
      <c r="L725" s="4" t="s">
        <v>232</v>
      </c>
      <c r="M725" s="72">
        <v>1859</v>
      </c>
      <c r="N725" s="64" t="s">
        <v>385</v>
      </c>
      <c r="O725" s="73">
        <v>5</v>
      </c>
      <c r="P725" s="196">
        <v>0</v>
      </c>
      <c r="Q725" s="73">
        <v>7</v>
      </c>
      <c r="R725" s="74">
        <v>245</v>
      </c>
      <c r="S725" s="76">
        <v>6233</v>
      </c>
      <c r="T725" s="82">
        <f t="shared" si="22"/>
        <v>6058</v>
      </c>
      <c r="U725" s="77">
        <f t="shared" si="23"/>
        <v>6058</v>
      </c>
      <c r="V725" s="78">
        <v>175</v>
      </c>
      <c r="W725" s="80" t="s">
        <v>233</v>
      </c>
      <c r="X725" s="81" t="s">
        <v>233</v>
      </c>
      <c r="Y725" s="4" t="s">
        <v>240</v>
      </c>
      <c r="Z725" s="81" t="s">
        <v>233</v>
      </c>
      <c r="AA725" s="64" t="s">
        <v>233</v>
      </c>
      <c r="AB725" s="81" t="s">
        <v>233</v>
      </c>
      <c r="AC725" s="4" t="s">
        <v>233</v>
      </c>
      <c r="AD725" s="64" t="s">
        <v>233</v>
      </c>
      <c r="AE725" s="64" t="s">
        <v>240</v>
      </c>
      <c r="AF725" s="210">
        <v>0</v>
      </c>
      <c r="AG725" s="4">
        <v>1</v>
      </c>
      <c r="AH725" s="64">
        <v>1</v>
      </c>
      <c r="AI725" s="4">
        <v>0</v>
      </c>
      <c r="AJ725" s="4">
        <v>1</v>
      </c>
      <c r="AK725" s="4">
        <v>0</v>
      </c>
    </row>
    <row r="726" spans="1:37" outlineLevel="1">
      <c r="A726" s="5">
        <v>719</v>
      </c>
      <c r="B726" s="64" t="s">
        <v>190</v>
      </c>
      <c r="C726" s="4" t="s">
        <v>237</v>
      </c>
      <c r="D726" s="4" t="str">
        <f>[1]Лист2!B719</f>
        <v>СОЮЗА ПЕЧАТНИКОВ ул.</v>
      </c>
      <c r="E726" s="69">
        <f>[1]Лист2!C719</f>
        <v>17</v>
      </c>
      <c r="F726" s="197" t="str">
        <f>[1]Лист2!D719</f>
        <v>Г</v>
      </c>
      <c r="G726" s="4"/>
      <c r="H726" s="199">
        <v>129719</v>
      </c>
      <c r="I726" s="64" t="s">
        <v>234</v>
      </c>
      <c r="J726" s="4"/>
      <c r="K726" s="64" t="s">
        <v>232</v>
      </c>
      <c r="L726" s="4" t="s">
        <v>232</v>
      </c>
      <c r="M726" s="72">
        <v>1859</v>
      </c>
      <c r="N726" s="64" t="s">
        <v>385</v>
      </c>
      <c r="O726" s="73">
        <v>5</v>
      </c>
      <c r="P726" s="196">
        <v>0</v>
      </c>
      <c r="Q726" s="73">
        <v>1</v>
      </c>
      <c r="R726" s="74">
        <v>30</v>
      </c>
      <c r="S726" s="76">
        <v>555</v>
      </c>
      <c r="T726" s="82">
        <f t="shared" si="22"/>
        <v>555</v>
      </c>
      <c r="U726" s="77">
        <f t="shared" si="23"/>
        <v>555</v>
      </c>
      <c r="V726" s="78">
        <v>0</v>
      </c>
      <c r="W726" s="80" t="s">
        <v>233</v>
      </c>
      <c r="X726" s="81" t="s">
        <v>233</v>
      </c>
      <c r="Y726" s="4" t="s">
        <v>240</v>
      </c>
      <c r="Z726" s="81" t="s">
        <v>233</v>
      </c>
      <c r="AA726" s="64" t="s">
        <v>233</v>
      </c>
      <c r="AB726" s="81" t="s">
        <v>233</v>
      </c>
      <c r="AC726" s="4" t="s">
        <v>233</v>
      </c>
      <c r="AD726" s="64" t="s">
        <v>233</v>
      </c>
      <c r="AE726" s="64" t="s">
        <v>240</v>
      </c>
      <c r="AF726" s="211">
        <v>0</v>
      </c>
      <c r="AG726" s="4">
        <v>1</v>
      </c>
      <c r="AH726" s="64">
        <v>1</v>
      </c>
      <c r="AI726" s="4">
        <v>0</v>
      </c>
      <c r="AJ726" s="4">
        <v>0</v>
      </c>
      <c r="AK726" s="4">
        <v>0</v>
      </c>
    </row>
    <row r="727" spans="1:37" outlineLevel="1">
      <c r="A727" s="5">
        <v>720</v>
      </c>
      <c r="B727" s="64" t="s">
        <v>190</v>
      </c>
      <c r="C727" s="4" t="s">
        <v>237</v>
      </c>
      <c r="D727" s="4" t="str">
        <f>[1]Лист2!B720</f>
        <v>СОЮЗА ПЕЧАТНИКОВ ул.</v>
      </c>
      <c r="E727" s="69" t="str">
        <f>[1]Лист2!C720</f>
        <v>18-20</v>
      </c>
      <c r="F727" s="197" t="str">
        <f>[1]Лист2!D720</f>
        <v>А</v>
      </c>
      <c r="G727" s="4"/>
      <c r="H727" s="199">
        <v>129720</v>
      </c>
      <c r="I727" s="64" t="s">
        <v>234</v>
      </c>
      <c r="J727" s="4"/>
      <c r="K727" s="64" t="s">
        <v>232</v>
      </c>
      <c r="L727" s="4" t="s">
        <v>232</v>
      </c>
      <c r="M727" s="72">
        <v>1889</v>
      </c>
      <c r="N727" s="64" t="s">
        <v>385</v>
      </c>
      <c r="O727" s="73">
        <v>6</v>
      </c>
      <c r="P727" s="196">
        <v>0</v>
      </c>
      <c r="Q727" s="73">
        <v>8</v>
      </c>
      <c r="R727" s="74">
        <v>180</v>
      </c>
      <c r="S727" s="76">
        <v>7167.9</v>
      </c>
      <c r="T727" s="82">
        <f t="shared" si="22"/>
        <v>6238.5</v>
      </c>
      <c r="U727" s="77">
        <f t="shared" si="23"/>
        <v>6238.5</v>
      </c>
      <c r="V727" s="78">
        <v>929.4</v>
      </c>
      <c r="W727" s="80" t="s">
        <v>233</v>
      </c>
      <c r="X727" s="81" t="s">
        <v>233</v>
      </c>
      <c r="Y727" s="4" t="s">
        <v>233</v>
      </c>
      <c r="Z727" s="81" t="s">
        <v>233</v>
      </c>
      <c r="AA727" s="64" t="s">
        <v>233</v>
      </c>
      <c r="AB727" s="81" t="s">
        <v>233</v>
      </c>
      <c r="AC727" s="4" t="s">
        <v>240</v>
      </c>
      <c r="AD727" s="64" t="s">
        <v>233</v>
      </c>
      <c r="AE727" s="64" t="s">
        <v>240</v>
      </c>
      <c r="AF727" s="210">
        <v>1</v>
      </c>
      <c r="AG727" s="4">
        <v>1</v>
      </c>
      <c r="AH727" s="64">
        <v>1</v>
      </c>
      <c r="AI727" s="4">
        <v>1</v>
      </c>
      <c r="AJ727" s="4">
        <v>1</v>
      </c>
      <c r="AK727" s="4">
        <v>0</v>
      </c>
    </row>
    <row r="728" spans="1:37" outlineLevel="1">
      <c r="A728" s="63">
        <v>721</v>
      </c>
      <c r="B728" s="64" t="s">
        <v>190</v>
      </c>
      <c r="C728" s="4" t="s">
        <v>237</v>
      </c>
      <c r="D728" s="4" t="str">
        <f>[1]Лист2!B721</f>
        <v>СОЮЗА ПЕЧАТНИКОВ ул.</v>
      </c>
      <c r="E728" s="69" t="str">
        <f>[1]Лист2!C721</f>
        <v>18-20</v>
      </c>
      <c r="F728" s="197" t="str">
        <f>[1]Лист2!D721</f>
        <v>Б</v>
      </c>
      <c r="G728" s="64"/>
      <c r="H728" s="199">
        <v>129721</v>
      </c>
      <c r="I728" s="64" t="s">
        <v>234</v>
      </c>
      <c r="J728" s="4"/>
      <c r="K728" s="64" t="s">
        <v>232</v>
      </c>
      <c r="L728" s="4" t="s">
        <v>232</v>
      </c>
      <c r="M728" s="72">
        <v>1886</v>
      </c>
      <c r="N728" s="64" t="s">
        <v>385</v>
      </c>
      <c r="O728" s="73">
        <v>6</v>
      </c>
      <c r="P728" s="196">
        <v>0</v>
      </c>
      <c r="Q728" s="73">
        <v>1</v>
      </c>
      <c r="R728" s="74">
        <v>21</v>
      </c>
      <c r="S728" s="76">
        <v>740.19999999999993</v>
      </c>
      <c r="T728" s="82">
        <f t="shared" si="22"/>
        <v>619.9</v>
      </c>
      <c r="U728" s="77">
        <f t="shared" si="23"/>
        <v>619.9</v>
      </c>
      <c r="V728" s="78">
        <v>120.3</v>
      </c>
      <c r="W728" s="80" t="s">
        <v>233</v>
      </c>
      <c r="X728" s="81" t="s">
        <v>233</v>
      </c>
      <c r="Y728" s="4" t="s">
        <v>233</v>
      </c>
      <c r="Z728" s="81" t="s">
        <v>233</v>
      </c>
      <c r="AA728" s="64" t="s">
        <v>233</v>
      </c>
      <c r="AB728" s="81" t="s">
        <v>233</v>
      </c>
      <c r="AC728" s="4" t="s">
        <v>240</v>
      </c>
      <c r="AD728" s="64" t="s">
        <v>233</v>
      </c>
      <c r="AE728" s="64" t="s">
        <v>240</v>
      </c>
      <c r="AF728" s="211">
        <v>1</v>
      </c>
      <c r="AG728" s="4">
        <v>1</v>
      </c>
      <c r="AH728" s="64">
        <v>1</v>
      </c>
      <c r="AI728" s="4">
        <v>0</v>
      </c>
      <c r="AJ728" s="4">
        <v>0</v>
      </c>
      <c r="AK728" s="4">
        <v>0</v>
      </c>
    </row>
    <row r="729" spans="1:37" outlineLevel="1">
      <c r="A729" s="63">
        <v>722</v>
      </c>
      <c r="B729" s="64" t="s">
        <v>190</v>
      </c>
      <c r="C729" s="4" t="s">
        <v>237</v>
      </c>
      <c r="D729" s="4" t="str">
        <f>[1]Лист2!B722</f>
        <v>СОЮЗА ПЕЧАТНИКОВ ул.</v>
      </c>
      <c r="E729" s="69">
        <f>[1]Лист2!C722</f>
        <v>19</v>
      </c>
      <c r="F729" s="197" t="str">
        <f>[1]Лист2!D722</f>
        <v>А</v>
      </c>
      <c r="G729" s="64"/>
      <c r="H729" s="199">
        <v>129722</v>
      </c>
      <c r="I729" s="64" t="s">
        <v>234</v>
      </c>
      <c r="J729" s="4"/>
      <c r="K729" s="64" t="s">
        <v>232</v>
      </c>
      <c r="L729" s="4" t="s">
        <v>232</v>
      </c>
      <c r="M729" s="72">
        <v>1917</v>
      </c>
      <c r="N729" s="64" t="s">
        <v>385</v>
      </c>
      <c r="O729" s="73">
        <v>5</v>
      </c>
      <c r="P729" s="196">
        <v>0</v>
      </c>
      <c r="Q729" s="73">
        <v>3</v>
      </c>
      <c r="R729" s="74">
        <v>24</v>
      </c>
      <c r="S729" s="76">
        <v>1278.77</v>
      </c>
      <c r="T729" s="82">
        <f t="shared" si="22"/>
        <v>1132.27</v>
      </c>
      <c r="U729" s="77">
        <f t="shared" si="23"/>
        <v>1132.27</v>
      </c>
      <c r="V729" s="78">
        <v>146.5</v>
      </c>
      <c r="W729" s="80" t="s">
        <v>233</v>
      </c>
      <c r="X729" s="81" t="s">
        <v>233</v>
      </c>
      <c r="Y729" s="4" t="s">
        <v>233</v>
      </c>
      <c r="Z729" s="81" t="s">
        <v>233</v>
      </c>
      <c r="AA729" s="64" t="s">
        <v>233</v>
      </c>
      <c r="AB729" s="81" t="s">
        <v>233</v>
      </c>
      <c r="AC729" s="4" t="s">
        <v>240</v>
      </c>
      <c r="AD729" s="64" t="s">
        <v>233</v>
      </c>
      <c r="AE729" s="64" t="s">
        <v>240</v>
      </c>
      <c r="AF729" s="210">
        <v>0</v>
      </c>
      <c r="AG729" s="4">
        <v>1</v>
      </c>
      <c r="AH729" s="64">
        <v>1</v>
      </c>
      <c r="AI729" s="4">
        <v>0</v>
      </c>
      <c r="AJ729" s="4">
        <v>0</v>
      </c>
      <c r="AK729" s="4">
        <v>0</v>
      </c>
    </row>
    <row r="730" spans="1:37" s="65" customFormat="1" outlineLevel="1">
      <c r="A730" s="5">
        <v>723</v>
      </c>
      <c r="B730" s="64" t="s">
        <v>190</v>
      </c>
      <c r="C730" s="4" t="s">
        <v>237</v>
      </c>
      <c r="D730" s="64" t="str">
        <f>[1]Лист2!B723</f>
        <v>СОЮЗА ПЕЧАТНИКОВ ул.</v>
      </c>
      <c r="E730" s="71" t="s">
        <v>229</v>
      </c>
      <c r="F730" s="196" t="str">
        <f>[1]Лист2!D723</f>
        <v>А</v>
      </c>
      <c r="G730" s="4"/>
      <c r="H730" s="67">
        <v>129723</v>
      </c>
      <c r="I730" s="64" t="s">
        <v>234</v>
      </c>
      <c r="J730" s="64"/>
      <c r="K730" s="64" t="s">
        <v>232</v>
      </c>
      <c r="L730" s="64" t="s">
        <v>232</v>
      </c>
      <c r="M730" s="72">
        <v>1835</v>
      </c>
      <c r="N730" s="64" t="s">
        <v>385</v>
      </c>
      <c r="O730" s="73">
        <v>4</v>
      </c>
      <c r="P730" s="196">
        <v>0</v>
      </c>
      <c r="Q730" s="73">
        <v>1</v>
      </c>
      <c r="R730" s="74">
        <v>41</v>
      </c>
      <c r="S730" s="75">
        <v>1308</v>
      </c>
      <c r="T730" s="82">
        <f t="shared" si="22"/>
        <v>1073</v>
      </c>
      <c r="U730" s="77">
        <f t="shared" si="23"/>
        <v>1073</v>
      </c>
      <c r="V730" s="77">
        <v>235</v>
      </c>
      <c r="W730" s="80" t="s">
        <v>233</v>
      </c>
      <c r="X730" s="81" t="s">
        <v>233</v>
      </c>
      <c r="Y730" s="64" t="s">
        <v>240</v>
      </c>
      <c r="Z730" s="81" t="s">
        <v>233</v>
      </c>
      <c r="AA730" s="64" t="s">
        <v>233</v>
      </c>
      <c r="AB730" s="81" t="s">
        <v>233</v>
      </c>
      <c r="AC730" s="64" t="s">
        <v>233</v>
      </c>
      <c r="AD730" s="64" t="s">
        <v>233</v>
      </c>
      <c r="AE730" s="64" t="s">
        <v>240</v>
      </c>
      <c r="AF730" s="210">
        <v>0</v>
      </c>
      <c r="AG730" s="4">
        <v>1</v>
      </c>
      <c r="AH730" s="64">
        <v>1</v>
      </c>
      <c r="AI730" s="64">
        <v>0</v>
      </c>
      <c r="AJ730" s="64">
        <v>1</v>
      </c>
      <c r="AK730" s="64">
        <v>0</v>
      </c>
    </row>
    <row r="731" spans="1:37" s="65" customFormat="1" outlineLevel="1">
      <c r="A731" s="5">
        <v>724</v>
      </c>
      <c r="B731" s="64" t="s">
        <v>190</v>
      </c>
      <c r="C731" s="4" t="s">
        <v>237</v>
      </c>
      <c r="D731" s="64" t="str">
        <f>[1]Лист2!B724</f>
        <v>СОЮЗА ПЕЧАТНИКОВ ул.</v>
      </c>
      <c r="E731" s="71" t="s">
        <v>229</v>
      </c>
      <c r="F731" s="196" t="str">
        <f>[1]Лист2!D724</f>
        <v>Б</v>
      </c>
      <c r="G731" s="4"/>
      <c r="H731" s="67">
        <v>129724</v>
      </c>
      <c r="I731" s="64" t="s">
        <v>234</v>
      </c>
      <c r="J731" s="64"/>
      <c r="K731" s="64" t="s">
        <v>232</v>
      </c>
      <c r="L731" s="64" t="s">
        <v>232</v>
      </c>
      <c r="M731" s="72">
        <v>1835</v>
      </c>
      <c r="N731" s="64" t="s">
        <v>385</v>
      </c>
      <c r="O731" s="73">
        <v>4</v>
      </c>
      <c r="P731" s="196">
        <v>0</v>
      </c>
      <c r="Q731" s="73">
        <v>1</v>
      </c>
      <c r="R731" s="74">
        <v>16</v>
      </c>
      <c r="S731" s="75">
        <v>467</v>
      </c>
      <c r="T731" s="82">
        <f t="shared" si="22"/>
        <v>371</v>
      </c>
      <c r="U731" s="77">
        <f t="shared" si="23"/>
        <v>371</v>
      </c>
      <c r="V731" s="77">
        <v>96</v>
      </c>
      <c r="W731" s="80" t="s">
        <v>233</v>
      </c>
      <c r="X731" s="81" t="s">
        <v>233</v>
      </c>
      <c r="Y731" s="64" t="s">
        <v>240</v>
      </c>
      <c r="Z731" s="81" t="s">
        <v>233</v>
      </c>
      <c r="AA731" s="64" t="s">
        <v>233</v>
      </c>
      <c r="AB731" s="81" t="s">
        <v>233</v>
      </c>
      <c r="AC731" s="64" t="s">
        <v>233</v>
      </c>
      <c r="AD731" s="64" t="s">
        <v>233</v>
      </c>
      <c r="AE731" s="64" t="s">
        <v>240</v>
      </c>
      <c r="AF731" s="211">
        <v>0</v>
      </c>
      <c r="AG731" s="4">
        <v>1</v>
      </c>
      <c r="AH731" s="64">
        <v>1</v>
      </c>
      <c r="AI731" s="64">
        <v>0</v>
      </c>
      <c r="AJ731" s="64">
        <v>0</v>
      </c>
      <c r="AK731" s="64">
        <v>0</v>
      </c>
    </row>
    <row r="732" spans="1:37" outlineLevel="1">
      <c r="A732" s="5">
        <v>725</v>
      </c>
      <c r="B732" s="64" t="s">
        <v>190</v>
      </c>
      <c r="C732" s="4" t="s">
        <v>237</v>
      </c>
      <c r="D732" s="4" t="str">
        <f>[1]Лист2!B725</f>
        <v>СОЮЗА ПЕЧАТНИКОВ ул.</v>
      </c>
      <c r="E732" s="69">
        <f>[1]Лист2!C725</f>
        <v>23</v>
      </c>
      <c r="F732" s="197" t="str">
        <f>[1]Лист2!D725</f>
        <v>А</v>
      </c>
      <c r="G732" s="64"/>
      <c r="H732" s="199">
        <v>129725</v>
      </c>
      <c r="I732" s="64" t="s">
        <v>234</v>
      </c>
      <c r="J732" s="4"/>
      <c r="K732" s="64" t="s">
        <v>232</v>
      </c>
      <c r="L732" s="4" t="s">
        <v>232</v>
      </c>
      <c r="M732" s="72">
        <v>1977</v>
      </c>
      <c r="N732" s="64" t="s">
        <v>385</v>
      </c>
      <c r="O732" s="73">
        <v>4</v>
      </c>
      <c r="P732" s="196">
        <v>0</v>
      </c>
      <c r="Q732" s="73">
        <v>2</v>
      </c>
      <c r="R732" s="203">
        <v>20</v>
      </c>
      <c r="S732" s="76">
        <v>2436.4</v>
      </c>
      <c r="T732" s="82">
        <f t="shared" si="22"/>
        <v>1864.5</v>
      </c>
      <c r="U732" s="77">
        <f t="shared" si="23"/>
        <v>1864.5</v>
      </c>
      <c r="V732" s="78">
        <v>571.9</v>
      </c>
      <c r="W732" s="80" t="s">
        <v>233</v>
      </c>
      <c r="X732" s="81" t="s">
        <v>233</v>
      </c>
      <c r="Y732" s="4" t="s">
        <v>233</v>
      </c>
      <c r="Z732" s="81" t="s">
        <v>233</v>
      </c>
      <c r="AA732" s="64" t="s">
        <v>233</v>
      </c>
      <c r="AB732" s="81" t="s">
        <v>233</v>
      </c>
      <c r="AC732" s="4" t="s">
        <v>240</v>
      </c>
      <c r="AD732" s="64" t="s">
        <v>233</v>
      </c>
      <c r="AE732" s="64" t="s">
        <v>240</v>
      </c>
      <c r="AF732" s="211">
        <v>0</v>
      </c>
      <c r="AG732" s="4">
        <v>1</v>
      </c>
      <c r="AH732" s="64">
        <v>1</v>
      </c>
      <c r="AI732" s="4">
        <v>1</v>
      </c>
      <c r="AJ732" s="4">
        <v>1</v>
      </c>
      <c r="AK732" s="4">
        <v>0</v>
      </c>
    </row>
    <row r="733" spans="1:37" outlineLevel="1">
      <c r="A733" s="5">
        <v>726</v>
      </c>
      <c r="B733" s="64" t="s">
        <v>190</v>
      </c>
      <c r="C733" s="4" t="s">
        <v>237</v>
      </c>
      <c r="D733" s="4" t="str">
        <f>[1]Лист2!B726</f>
        <v>СОЮЗА ПЕЧАТНИКОВ ул.</v>
      </c>
      <c r="E733" s="69">
        <f>[1]Лист2!C726</f>
        <v>26</v>
      </c>
      <c r="F733" s="197" t="str">
        <f>[1]Лист2!D726</f>
        <v>А</v>
      </c>
      <c r="G733" s="64"/>
      <c r="H733" s="199">
        <v>129726</v>
      </c>
      <c r="I733" s="64" t="s">
        <v>234</v>
      </c>
      <c r="J733" s="4"/>
      <c r="K733" s="64" t="s">
        <v>232</v>
      </c>
      <c r="L733" s="4" t="s">
        <v>232</v>
      </c>
      <c r="M733" s="72">
        <v>1917</v>
      </c>
      <c r="N733" s="64" t="s">
        <v>385</v>
      </c>
      <c r="O733" s="73">
        <v>3</v>
      </c>
      <c r="P733" s="196">
        <v>0</v>
      </c>
      <c r="Q733" s="73">
        <v>2</v>
      </c>
      <c r="R733" s="74">
        <v>20</v>
      </c>
      <c r="S733" s="76">
        <v>6041.8</v>
      </c>
      <c r="T733" s="82">
        <f t="shared" si="22"/>
        <v>948.5</v>
      </c>
      <c r="U733" s="77">
        <f t="shared" si="23"/>
        <v>948.5</v>
      </c>
      <c r="V733" s="78">
        <v>5093.3</v>
      </c>
      <c r="W733" s="80" t="s">
        <v>233</v>
      </c>
      <c r="X733" s="81" t="s">
        <v>233</v>
      </c>
      <c r="Y733" s="4" t="s">
        <v>233</v>
      </c>
      <c r="Z733" s="81" t="s">
        <v>233</v>
      </c>
      <c r="AA733" s="64" t="s">
        <v>233</v>
      </c>
      <c r="AB733" s="81" t="s">
        <v>233</v>
      </c>
      <c r="AC733" s="4" t="s">
        <v>240</v>
      </c>
      <c r="AD733" s="64" t="s">
        <v>233</v>
      </c>
      <c r="AE733" s="64" t="s">
        <v>240</v>
      </c>
      <c r="AF733" s="210">
        <v>0</v>
      </c>
      <c r="AG733" s="4">
        <v>1</v>
      </c>
      <c r="AH733" s="64">
        <v>1</v>
      </c>
      <c r="AI733" s="4">
        <v>1</v>
      </c>
      <c r="AJ733" s="4">
        <v>1</v>
      </c>
      <c r="AK733" s="4">
        <v>0</v>
      </c>
    </row>
    <row r="734" spans="1:37" outlineLevel="1">
      <c r="A734" s="63">
        <v>727</v>
      </c>
      <c r="B734" s="64" t="s">
        <v>190</v>
      </c>
      <c r="C734" s="4" t="s">
        <v>237</v>
      </c>
      <c r="D734" s="4" t="str">
        <f>[1]Лист2!B727</f>
        <v>СОЮЗА ПЕЧАТНИКОВ ул.</v>
      </c>
      <c r="E734" s="69">
        <f>[1]Лист2!C727</f>
        <v>27</v>
      </c>
      <c r="F734" s="197" t="str">
        <f>[1]Лист2!D727</f>
        <v>А</v>
      </c>
      <c r="G734" s="4"/>
      <c r="H734" s="199">
        <v>129727</v>
      </c>
      <c r="I734" s="64" t="s">
        <v>234</v>
      </c>
      <c r="J734" s="4"/>
      <c r="K734" s="64" t="s">
        <v>232</v>
      </c>
      <c r="L734" s="4" t="s">
        <v>232</v>
      </c>
      <c r="M734" s="72">
        <v>1906</v>
      </c>
      <c r="N734" s="64" t="s">
        <v>385</v>
      </c>
      <c r="O734" s="73">
        <v>5</v>
      </c>
      <c r="P734" s="196">
        <v>0</v>
      </c>
      <c r="Q734" s="73">
        <v>6</v>
      </c>
      <c r="R734" s="74">
        <v>51</v>
      </c>
      <c r="S734" s="76">
        <v>5810.3099999999995</v>
      </c>
      <c r="T734" s="82">
        <f t="shared" si="22"/>
        <v>5220.41</v>
      </c>
      <c r="U734" s="77">
        <f t="shared" si="23"/>
        <v>5220.41</v>
      </c>
      <c r="V734" s="78">
        <v>589.9</v>
      </c>
      <c r="W734" s="80" t="s">
        <v>233</v>
      </c>
      <c r="X734" s="81" t="s">
        <v>233</v>
      </c>
      <c r="Y734" s="4" t="s">
        <v>233</v>
      </c>
      <c r="Z734" s="81" t="s">
        <v>233</v>
      </c>
      <c r="AA734" s="64" t="s">
        <v>233</v>
      </c>
      <c r="AB734" s="81" t="s">
        <v>233</v>
      </c>
      <c r="AC734" s="4" t="s">
        <v>240</v>
      </c>
      <c r="AD734" s="64" t="s">
        <v>233</v>
      </c>
      <c r="AE734" s="64" t="s">
        <v>240</v>
      </c>
      <c r="AF734" s="210">
        <v>2</v>
      </c>
      <c r="AG734" s="4">
        <v>2</v>
      </c>
      <c r="AH734" s="64">
        <v>1</v>
      </c>
      <c r="AI734" s="4">
        <v>1</v>
      </c>
      <c r="AJ734" s="4">
        <v>1</v>
      </c>
      <c r="AK734" s="4">
        <v>0</v>
      </c>
    </row>
    <row r="735" spans="1:37" outlineLevel="1">
      <c r="A735" s="63">
        <v>728</v>
      </c>
      <c r="B735" s="64" t="s">
        <v>190</v>
      </c>
      <c r="C735" s="4" t="s">
        <v>237</v>
      </c>
      <c r="D735" s="4" t="str">
        <f>[1]Лист2!B728</f>
        <v>СОЮЗА ПЕЧАТНИКОВ ул.</v>
      </c>
      <c r="E735" s="69">
        <f>[1]Лист2!C728</f>
        <v>29</v>
      </c>
      <c r="F735" s="197" t="str">
        <f>[1]Лист2!D728</f>
        <v>А</v>
      </c>
      <c r="G735" s="4"/>
      <c r="H735" s="199">
        <v>129728</v>
      </c>
      <c r="I735" s="64" t="s">
        <v>234</v>
      </c>
      <c r="J735" s="4"/>
      <c r="K735" s="64" t="s">
        <v>232</v>
      </c>
      <c r="L735" s="4" t="s">
        <v>232</v>
      </c>
      <c r="M735" s="72">
        <v>1914</v>
      </c>
      <c r="N735" s="64" t="s">
        <v>385</v>
      </c>
      <c r="O735" s="73">
        <v>5</v>
      </c>
      <c r="P735" s="196">
        <v>0</v>
      </c>
      <c r="Q735" s="73">
        <v>7</v>
      </c>
      <c r="R735" s="74">
        <v>164</v>
      </c>
      <c r="S735" s="76">
        <v>7596.71</v>
      </c>
      <c r="T735" s="82">
        <f t="shared" si="22"/>
        <v>6953.81</v>
      </c>
      <c r="U735" s="77">
        <f t="shared" si="23"/>
        <v>6953.81</v>
      </c>
      <c r="V735" s="78">
        <v>642.9</v>
      </c>
      <c r="W735" s="80" t="s">
        <v>233</v>
      </c>
      <c r="X735" s="81" t="s">
        <v>233</v>
      </c>
      <c r="Y735" s="4" t="s">
        <v>233</v>
      </c>
      <c r="Z735" s="81" t="s">
        <v>233</v>
      </c>
      <c r="AA735" s="64" t="s">
        <v>233</v>
      </c>
      <c r="AB735" s="81" t="s">
        <v>233</v>
      </c>
      <c r="AC735" s="4" t="s">
        <v>240</v>
      </c>
      <c r="AD735" s="64" t="s">
        <v>233</v>
      </c>
      <c r="AE735" s="64" t="s">
        <v>240</v>
      </c>
      <c r="AF735" s="210">
        <v>6</v>
      </c>
      <c r="AG735" s="4">
        <v>2</v>
      </c>
      <c r="AH735" s="64">
        <v>1</v>
      </c>
      <c r="AI735" s="4">
        <v>0</v>
      </c>
      <c r="AJ735" s="4">
        <v>0</v>
      </c>
      <c r="AK735" s="4">
        <v>0</v>
      </c>
    </row>
    <row r="736" spans="1:37" outlineLevel="1">
      <c r="A736" s="5">
        <v>729</v>
      </c>
      <c r="B736" s="64" t="s">
        <v>190</v>
      </c>
      <c r="C736" s="4" t="s">
        <v>237</v>
      </c>
      <c r="D736" s="4" t="str">
        <f>[1]Лист2!B729</f>
        <v>СОЮЗА ПЕЧАТНИКОВ ул.</v>
      </c>
      <c r="E736" s="69">
        <f>[1]Лист2!C729</f>
        <v>3</v>
      </c>
      <c r="F736" s="197" t="str">
        <f>[1]Лист2!D729</f>
        <v>А</v>
      </c>
      <c r="G736" s="64"/>
      <c r="H736" s="199">
        <v>129729</v>
      </c>
      <c r="I736" s="64" t="s">
        <v>234</v>
      </c>
      <c r="J736" s="4"/>
      <c r="K736" s="64" t="s">
        <v>232</v>
      </c>
      <c r="L736" s="4" t="s">
        <v>232</v>
      </c>
      <c r="M736" s="72">
        <v>1825</v>
      </c>
      <c r="N736" s="64" t="s">
        <v>385</v>
      </c>
      <c r="O736" s="73">
        <v>5</v>
      </c>
      <c r="P736" s="196">
        <v>0</v>
      </c>
      <c r="Q736" s="73">
        <v>6</v>
      </c>
      <c r="R736" s="74">
        <v>91</v>
      </c>
      <c r="S736" s="76">
        <v>4147.3999999999996</v>
      </c>
      <c r="T736" s="82">
        <f t="shared" si="22"/>
        <v>2973.9999999999995</v>
      </c>
      <c r="U736" s="77">
        <f t="shared" si="23"/>
        <v>2973.9999999999995</v>
      </c>
      <c r="V736" s="78">
        <v>1173.4000000000001</v>
      </c>
      <c r="W736" s="80" t="s">
        <v>233</v>
      </c>
      <c r="X736" s="81" t="s">
        <v>233</v>
      </c>
      <c r="Y736" s="4" t="s">
        <v>233</v>
      </c>
      <c r="Z736" s="81" t="s">
        <v>233</v>
      </c>
      <c r="AA736" s="64" t="s">
        <v>233</v>
      </c>
      <c r="AB736" s="81" t="s">
        <v>233</v>
      </c>
      <c r="AC736" s="4" t="s">
        <v>240</v>
      </c>
      <c r="AD736" s="64" t="s">
        <v>233</v>
      </c>
      <c r="AE736" s="64" t="s">
        <v>240</v>
      </c>
      <c r="AF736" s="210">
        <v>1</v>
      </c>
      <c r="AG736" s="4">
        <v>2</v>
      </c>
      <c r="AH736" s="64">
        <v>1</v>
      </c>
      <c r="AI736" s="4">
        <v>1</v>
      </c>
      <c r="AJ736" s="4">
        <v>1</v>
      </c>
      <c r="AK736" s="4">
        <v>0</v>
      </c>
    </row>
    <row r="737" spans="1:37" outlineLevel="1">
      <c r="A737" s="5">
        <v>730</v>
      </c>
      <c r="B737" s="64" t="s">
        <v>190</v>
      </c>
      <c r="C737" s="4" t="s">
        <v>237</v>
      </c>
      <c r="D737" s="4" t="str">
        <f>[1]Лист2!B730</f>
        <v>СОЮЗА ПЕЧАТНИКОВ ул.</v>
      </c>
      <c r="E737" s="69">
        <f>[1]Лист2!C730</f>
        <v>30</v>
      </c>
      <c r="F737" s="197" t="str">
        <f>[1]Лист2!D730</f>
        <v>А</v>
      </c>
      <c r="G737" s="64"/>
      <c r="H737" s="199">
        <v>129730</v>
      </c>
      <c r="I737" s="64" t="s">
        <v>234</v>
      </c>
      <c r="J737" s="4"/>
      <c r="K737" s="64" t="s">
        <v>232</v>
      </c>
      <c r="L737" s="4" t="s">
        <v>232</v>
      </c>
      <c r="M737" s="72">
        <v>1860</v>
      </c>
      <c r="N737" s="64" t="s">
        <v>385</v>
      </c>
      <c r="O737" s="73">
        <v>3</v>
      </c>
      <c r="P737" s="196">
        <v>0</v>
      </c>
      <c r="Q737" s="73">
        <v>3</v>
      </c>
      <c r="R737" s="74">
        <v>38</v>
      </c>
      <c r="S737" s="76">
        <v>1726.2600000000002</v>
      </c>
      <c r="T737" s="82">
        <f t="shared" si="22"/>
        <v>1313.9600000000003</v>
      </c>
      <c r="U737" s="77">
        <f t="shared" si="23"/>
        <v>1313.9600000000003</v>
      </c>
      <c r="V737" s="78">
        <v>412.3</v>
      </c>
      <c r="W737" s="80" t="s">
        <v>233</v>
      </c>
      <c r="X737" s="81" t="s">
        <v>233</v>
      </c>
      <c r="Y737" s="4" t="s">
        <v>233</v>
      </c>
      <c r="Z737" s="81" t="s">
        <v>233</v>
      </c>
      <c r="AA737" s="64" t="s">
        <v>233</v>
      </c>
      <c r="AB737" s="81" t="s">
        <v>233</v>
      </c>
      <c r="AC737" s="4" t="s">
        <v>240</v>
      </c>
      <c r="AD737" s="64" t="s">
        <v>233</v>
      </c>
      <c r="AE737" s="64" t="s">
        <v>240</v>
      </c>
      <c r="AF737" s="210">
        <v>0</v>
      </c>
      <c r="AG737" s="4">
        <v>2</v>
      </c>
      <c r="AH737" s="64">
        <v>1</v>
      </c>
      <c r="AI737" s="4">
        <v>2</v>
      </c>
      <c r="AJ737" s="4">
        <v>2</v>
      </c>
      <c r="AK737" s="4">
        <v>0</v>
      </c>
    </row>
    <row r="738" spans="1:37" outlineLevel="1">
      <c r="A738" s="5">
        <v>731</v>
      </c>
      <c r="B738" s="64" t="s">
        <v>190</v>
      </c>
      <c r="C738" s="4" t="s">
        <v>237</v>
      </c>
      <c r="D738" s="4" t="str">
        <f>[1]Лист2!B731</f>
        <v>СОЮЗА ПЕЧАТНИКОВ ул.</v>
      </c>
      <c r="E738" s="69">
        <f>[1]Лист2!C731</f>
        <v>4</v>
      </c>
      <c r="F738" s="197" t="str">
        <f>[1]Лист2!D731</f>
        <v>А</v>
      </c>
      <c r="G738" s="4"/>
      <c r="H738" s="199">
        <v>129731</v>
      </c>
      <c r="I738" s="64" t="s">
        <v>234</v>
      </c>
      <c r="J738" s="4"/>
      <c r="K738" s="64" t="s">
        <v>232</v>
      </c>
      <c r="L738" s="4" t="s">
        <v>232</v>
      </c>
      <c r="M738" s="72">
        <v>1917</v>
      </c>
      <c r="N738" s="64" t="s">
        <v>385</v>
      </c>
      <c r="O738" s="73">
        <v>4</v>
      </c>
      <c r="P738" s="196">
        <v>0</v>
      </c>
      <c r="Q738" s="73">
        <v>4</v>
      </c>
      <c r="R738" s="74">
        <v>102</v>
      </c>
      <c r="S738" s="76">
        <v>3633.4500000000003</v>
      </c>
      <c r="T738" s="82">
        <f t="shared" si="22"/>
        <v>3357.4500000000003</v>
      </c>
      <c r="U738" s="77">
        <f t="shared" si="23"/>
        <v>3357.4500000000003</v>
      </c>
      <c r="V738" s="78">
        <v>276</v>
      </c>
      <c r="W738" s="80" t="s">
        <v>233</v>
      </c>
      <c r="X738" s="81" t="s">
        <v>233</v>
      </c>
      <c r="Y738" s="4" t="s">
        <v>233</v>
      </c>
      <c r="Z738" s="81" t="s">
        <v>233</v>
      </c>
      <c r="AA738" s="64" t="s">
        <v>233</v>
      </c>
      <c r="AB738" s="81" t="s">
        <v>233</v>
      </c>
      <c r="AC738" s="4" t="s">
        <v>240</v>
      </c>
      <c r="AD738" s="64" t="s">
        <v>233</v>
      </c>
      <c r="AE738" s="64" t="s">
        <v>240</v>
      </c>
      <c r="AF738" s="210">
        <v>0</v>
      </c>
      <c r="AG738" s="4">
        <v>1</v>
      </c>
      <c r="AH738" s="64">
        <v>1</v>
      </c>
      <c r="AI738" s="4">
        <v>1</v>
      </c>
      <c r="AJ738" s="4">
        <v>1</v>
      </c>
      <c r="AK738" s="4">
        <v>0</v>
      </c>
    </row>
    <row r="739" spans="1:37" outlineLevel="1">
      <c r="A739" s="5">
        <v>732</v>
      </c>
      <c r="B739" s="64" t="s">
        <v>190</v>
      </c>
      <c r="C739" s="4" t="s">
        <v>237</v>
      </c>
      <c r="D739" s="4" t="str">
        <f>[1]Лист2!B732</f>
        <v>СОЮЗА ПЕЧАТНИКОВ ул.</v>
      </c>
      <c r="E739" s="69">
        <f>[1]Лист2!C732</f>
        <v>5</v>
      </c>
      <c r="F739" s="197" t="str">
        <f>[1]Лист2!D732</f>
        <v>А</v>
      </c>
      <c r="G739" s="4"/>
      <c r="H739" s="199">
        <v>129732</v>
      </c>
      <c r="I739" s="64" t="s">
        <v>234</v>
      </c>
      <c r="J739" s="4"/>
      <c r="K739" s="64" t="s">
        <v>232</v>
      </c>
      <c r="L739" s="4" t="s">
        <v>232</v>
      </c>
      <c r="M739" s="72">
        <v>1917</v>
      </c>
      <c r="N739" s="64" t="s">
        <v>385</v>
      </c>
      <c r="O739" s="73">
        <v>3</v>
      </c>
      <c r="P739" s="196">
        <v>0</v>
      </c>
      <c r="Q739" s="73">
        <v>3</v>
      </c>
      <c r="R739" s="74">
        <v>43</v>
      </c>
      <c r="S739" s="76">
        <v>2714.3100000000004</v>
      </c>
      <c r="T739" s="82">
        <f t="shared" si="22"/>
        <v>1491.3100000000004</v>
      </c>
      <c r="U739" s="77">
        <f t="shared" si="23"/>
        <v>1491.3100000000004</v>
      </c>
      <c r="V739" s="78">
        <v>1223</v>
      </c>
      <c r="W739" s="80" t="s">
        <v>233</v>
      </c>
      <c r="X739" s="81" t="s">
        <v>233</v>
      </c>
      <c r="Y739" s="4" t="s">
        <v>233</v>
      </c>
      <c r="Z739" s="81" t="s">
        <v>233</v>
      </c>
      <c r="AA739" s="64" t="s">
        <v>233</v>
      </c>
      <c r="AB739" s="81" t="s">
        <v>233</v>
      </c>
      <c r="AC739" s="4" t="s">
        <v>240</v>
      </c>
      <c r="AD739" s="64" t="s">
        <v>233</v>
      </c>
      <c r="AE739" s="64" t="s">
        <v>240</v>
      </c>
      <c r="AF739" s="210">
        <v>0</v>
      </c>
      <c r="AG739" s="4">
        <v>1</v>
      </c>
      <c r="AH739" s="64">
        <v>1</v>
      </c>
      <c r="AI739" s="4">
        <v>0</v>
      </c>
      <c r="AJ739" s="4">
        <v>0</v>
      </c>
      <c r="AK739" s="4">
        <v>0</v>
      </c>
    </row>
    <row r="740" spans="1:37" outlineLevel="1">
      <c r="A740" s="63">
        <v>733</v>
      </c>
      <c r="B740" s="64" t="s">
        <v>190</v>
      </c>
      <c r="C740" s="4" t="s">
        <v>237</v>
      </c>
      <c r="D740" s="4" t="str">
        <f>[1]Лист2!B733</f>
        <v>СОЮЗА ПЕЧАТНИКОВ ул.</v>
      </c>
      <c r="E740" s="69">
        <f>[1]Лист2!C733</f>
        <v>6</v>
      </c>
      <c r="F740" s="197" t="str">
        <f>[1]Лист2!D733</f>
        <v>А</v>
      </c>
      <c r="G740" s="64"/>
      <c r="H740" s="199">
        <v>129733</v>
      </c>
      <c r="I740" s="64" t="s">
        <v>234</v>
      </c>
      <c r="J740" s="4"/>
      <c r="K740" s="64" t="s">
        <v>232</v>
      </c>
      <c r="L740" s="4" t="s">
        <v>232</v>
      </c>
      <c r="M740" s="72">
        <v>1956</v>
      </c>
      <c r="N740" s="64" t="s">
        <v>385</v>
      </c>
      <c r="O740" s="73">
        <v>5</v>
      </c>
      <c r="P740" s="196">
        <v>0</v>
      </c>
      <c r="Q740" s="73">
        <v>1</v>
      </c>
      <c r="R740" s="74">
        <v>34</v>
      </c>
      <c r="S740" s="76">
        <v>1588.99</v>
      </c>
      <c r="T740" s="82">
        <f t="shared" si="22"/>
        <v>1461.99</v>
      </c>
      <c r="U740" s="77">
        <f t="shared" si="23"/>
        <v>1461.99</v>
      </c>
      <c r="V740" s="78">
        <v>127</v>
      </c>
      <c r="W740" s="80" t="s">
        <v>233</v>
      </c>
      <c r="X740" s="81" t="s">
        <v>233</v>
      </c>
      <c r="Y740" s="4" t="s">
        <v>233</v>
      </c>
      <c r="Z740" s="81" t="s">
        <v>233</v>
      </c>
      <c r="AA740" s="64" t="s">
        <v>233</v>
      </c>
      <c r="AB740" s="81" t="s">
        <v>233</v>
      </c>
      <c r="AC740" s="4" t="s">
        <v>240</v>
      </c>
      <c r="AD740" s="64" t="s">
        <v>233</v>
      </c>
      <c r="AE740" s="64" t="s">
        <v>240</v>
      </c>
      <c r="AF740" s="210">
        <v>0</v>
      </c>
      <c r="AG740" s="4">
        <v>1</v>
      </c>
      <c r="AH740" s="64">
        <v>1</v>
      </c>
      <c r="AI740" s="4">
        <v>0</v>
      </c>
      <c r="AJ740" s="4">
        <v>0</v>
      </c>
      <c r="AK740" s="4">
        <v>0</v>
      </c>
    </row>
    <row r="741" spans="1:37" outlineLevel="1">
      <c r="A741" s="63">
        <v>734</v>
      </c>
      <c r="B741" s="64" t="s">
        <v>190</v>
      </c>
      <c r="C741" s="4" t="s">
        <v>237</v>
      </c>
      <c r="D741" s="4" t="str">
        <f>[1]Лист2!B734</f>
        <v>СОЮЗА ПЕЧАТНИКОВ ул.</v>
      </c>
      <c r="E741" s="69">
        <f>[1]Лист2!C734</f>
        <v>7</v>
      </c>
      <c r="F741" s="197" t="str">
        <f>[1]Лист2!D734</f>
        <v>А</v>
      </c>
      <c r="G741" s="64"/>
      <c r="H741" s="199">
        <v>129734</v>
      </c>
      <c r="I741" s="64" t="s">
        <v>234</v>
      </c>
      <c r="J741" s="4"/>
      <c r="K741" s="64" t="s">
        <v>232</v>
      </c>
      <c r="L741" s="4" t="s">
        <v>232</v>
      </c>
      <c r="M741" s="72">
        <v>1806</v>
      </c>
      <c r="N741" s="64" t="s">
        <v>385</v>
      </c>
      <c r="O741" s="73">
        <v>3</v>
      </c>
      <c r="P741" s="196">
        <v>0</v>
      </c>
      <c r="Q741" s="73">
        <v>1</v>
      </c>
      <c r="R741" s="74">
        <v>24</v>
      </c>
      <c r="S741" s="76">
        <v>897</v>
      </c>
      <c r="T741" s="82">
        <f t="shared" si="22"/>
        <v>610</v>
      </c>
      <c r="U741" s="77">
        <f t="shared" si="23"/>
        <v>610</v>
      </c>
      <c r="V741" s="78">
        <v>287</v>
      </c>
      <c r="W741" s="80" t="s">
        <v>233</v>
      </c>
      <c r="X741" s="81" t="s">
        <v>233</v>
      </c>
      <c r="Y741" s="4" t="s">
        <v>233</v>
      </c>
      <c r="Z741" s="81" t="s">
        <v>233</v>
      </c>
      <c r="AA741" s="64" t="s">
        <v>233</v>
      </c>
      <c r="AB741" s="81" t="s">
        <v>233</v>
      </c>
      <c r="AC741" s="4" t="s">
        <v>240</v>
      </c>
      <c r="AD741" s="64" t="s">
        <v>233</v>
      </c>
      <c r="AE741" s="64" t="s">
        <v>240</v>
      </c>
      <c r="AF741" s="210">
        <v>0</v>
      </c>
      <c r="AG741" s="4">
        <v>1</v>
      </c>
      <c r="AH741" s="64">
        <v>1</v>
      </c>
      <c r="AI741" s="4">
        <v>1</v>
      </c>
      <c r="AJ741" s="4">
        <v>1</v>
      </c>
      <c r="AK741" s="4">
        <v>0</v>
      </c>
    </row>
    <row r="742" spans="1:37" outlineLevel="1">
      <c r="A742" s="5">
        <v>735</v>
      </c>
      <c r="B742" s="64" t="s">
        <v>190</v>
      </c>
      <c r="C742" s="4" t="s">
        <v>237</v>
      </c>
      <c r="D742" s="4" t="str">
        <f>[1]Лист2!B735</f>
        <v>СОЮЗА ПЕЧАТНИКОВ ул.</v>
      </c>
      <c r="E742" s="69">
        <f>[1]Лист2!C735</f>
        <v>7</v>
      </c>
      <c r="F742" s="197" t="str">
        <f>[1]Лист2!D735</f>
        <v>Б</v>
      </c>
      <c r="G742" s="4"/>
      <c r="H742" s="199">
        <v>129735</v>
      </c>
      <c r="I742" s="64" t="s">
        <v>234</v>
      </c>
      <c r="J742" s="4"/>
      <c r="K742" s="64" t="s">
        <v>232</v>
      </c>
      <c r="L742" s="4" t="s">
        <v>232</v>
      </c>
      <c r="M742" s="72">
        <v>1806</v>
      </c>
      <c r="N742" s="64" t="s">
        <v>385</v>
      </c>
      <c r="O742" s="73">
        <v>4</v>
      </c>
      <c r="P742" s="196">
        <v>0</v>
      </c>
      <c r="Q742" s="73">
        <v>1</v>
      </c>
      <c r="R742" s="74">
        <v>42</v>
      </c>
      <c r="S742" s="76">
        <v>1300</v>
      </c>
      <c r="T742" s="82">
        <f t="shared" si="22"/>
        <v>1300</v>
      </c>
      <c r="U742" s="77">
        <f t="shared" si="23"/>
        <v>1300</v>
      </c>
      <c r="V742" s="78">
        <v>0</v>
      </c>
      <c r="W742" s="80" t="s">
        <v>233</v>
      </c>
      <c r="X742" s="81" t="s">
        <v>233</v>
      </c>
      <c r="Y742" s="4" t="s">
        <v>233</v>
      </c>
      <c r="Z742" s="81" t="s">
        <v>233</v>
      </c>
      <c r="AA742" s="64" t="s">
        <v>233</v>
      </c>
      <c r="AB742" s="81" t="s">
        <v>233</v>
      </c>
      <c r="AC742" s="4" t="s">
        <v>240</v>
      </c>
      <c r="AD742" s="64" t="s">
        <v>233</v>
      </c>
      <c r="AE742" s="64" t="s">
        <v>240</v>
      </c>
      <c r="AF742" s="211">
        <v>0</v>
      </c>
      <c r="AG742" s="4">
        <v>1</v>
      </c>
      <c r="AH742" s="64">
        <v>1</v>
      </c>
      <c r="AI742" s="4">
        <v>0</v>
      </c>
      <c r="AJ742" s="4">
        <v>0</v>
      </c>
      <c r="AK742" s="4">
        <v>0</v>
      </c>
    </row>
    <row r="743" spans="1:37" outlineLevel="1">
      <c r="A743" s="5">
        <v>736</v>
      </c>
      <c r="B743" s="64" t="s">
        <v>190</v>
      </c>
      <c r="C743" s="4" t="s">
        <v>237</v>
      </c>
      <c r="D743" s="4" t="str">
        <f>[1]Лист2!B736</f>
        <v>СОЮЗА ПЕЧАТНИКОВ ул.</v>
      </c>
      <c r="E743" s="69">
        <f>[1]Лист2!C736</f>
        <v>7</v>
      </c>
      <c r="F743" s="197" t="str">
        <f>[1]Лист2!D736</f>
        <v>Г</v>
      </c>
      <c r="G743" s="4"/>
      <c r="H743" s="199">
        <v>129736</v>
      </c>
      <c r="I743" s="64" t="s">
        <v>234</v>
      </c>
      <c r="J743" s="4" t="s">
        <v>1422</v>
      </c>
      <c r="K743" s="64" t="s">
        <v>232</v>
      </c>
      <c r="L743" s="4" t="s">
        <v>232</v>
      </c>
      <c r="M743" s="72">
        <v>1860</v>
      </c>
      <c r="N743" s="64" t="s">
        <v>385</v>
      </c>
      <c r="O743" s="73">
        <v>2</v>
      </c>
      <c r="P743" s="196">
        <v>0</v>
      </c>
      <c r="Q743" s="73">
        <v>1</v>
      </c>
      <c r="R743" s="203">
        <v>14</v>
      </c>
      <c r="S743" s="76">
        <v>105</v>
      </c>
      <c r="T743" s="82">
        <f t="shared" si="22"/>
        <v>0</v>
      </c>
      <c r="U743" s="77">
        <f t="shared" si="23"/>
        <v>0</v>
      </c>
      <c r="V743" s="78">
        <v>105</v>
      </c>
      <c r="W743" s="80" t="s">
        <v>233</v>
      </c>
      <c r="X743" s="81" t="s">
        <v>233</v>
      </c>
      <c r="Y743" s="4" t="s">
        <v>233</v>
      </c>
      <c r="Z743" s="81" t="s">
        <v>233</v>
      </c>
      <c r="AA743" s="64" t="s">
        <v>233</v>
      </c>
      <c r="AB743" s="81" t="s">
        <v>233</v>
      </c>
      <c r="AC743" s="4" t="s">
        <v>240</v>
      </c>
      <c r="AD743" s="64" t="s">
        <v>233</v>
      </c>
      <c r="AE743" s="64" t="s">
        <v>240</v>
      </c>
      <c r="AF743" s="211">
        <v>0</v>
      </c>
      <c r="AG743" s="4">
        <v>1</v>
      </c>
      <c r="AH743" s="64">
        <v>1</v>
      </c>
      <c r="AI743" s="4">
        <v>0</v>
      </c>
      <c r="AJ743" s="4">
        <v>0</v>
      </c>
      <c r="AK743" s="4">
        <v>0</v>
      </c>
    </row>
    <row r="744" spans="1:37" outlineLevel="1">
      <c r="A744" s="5">
        <v>737</v>
      </c>
      <c r="B744" s="64" t="s">
        <v>190</v>
      </c>
      <c r="C744" s="4" t="s">
        <v>237</v>
      </c>
      <c r="D744" s="4" t="str">
        <f>[1]Лист2!B737</f>
        <v>СОЮЗА ПЕЧАТНИКОВ ул.</v>
      </c>
      <c r="E744" s="69">
        <f>[1]Лист2!C737</f>
        <v>8</v>
      </c>
      <c r="F744" s="197" t="str">
        <f>[1]Лист2!D737</f>
        <v>А</v>
      </c>
      <c r="G744" s="64"/>
      <c r="H744" s="199">
        <v>129737</v>
      </c>
      <c r="I744" s="64" t="s">
        <v>234</v>
      </c>
      <c r="J744" s="4"/>
      <c r="K744" s="64" t="s">
        <v>232</v>
      </c>
      <c r="L744" s="4" t="s">
        <v>232</v>
      </c>
      <c r="M744" s="72">
        <v>1855</v>
      </c>
      <c r="N744" s="64" t="s">
        <v>385</v>
      </c>
      <c r="O744" s="73">
        <v>5</v>
      </c>
      <c r="P744" s="196">
        <v>0</v>
      </c>
      <c r="Q744" s="73">
        <v>4</v>
      </c>
      <c r="R744" s="74">
        <v>85</v>
      </c>
      <c r="S744" s="76">
        <v>3056</v>
      </c>
      <c r="T744" s="82">
        <f t="shared" si="22"/>
        <v>3040</v>
      </c>
      <c r="U744" s="77">
        <f t="shared" si="23"/>
        <v>3040</v>
      </c>
      <c r="V744" s="78">
        <v>16</v>
      </c>
      <c r="W744" s="80" t="s">
        <v>233</v>
      </c>
      <c r="X744" s="81" t="s">
        <v>233</v>
      </c>
      <c r="Y744" s="4" t="s">
        <v>240</v>
      </c>
      <c r="Z744" s="81" t="s">
        <v>233</v>
      </c>
      <c r="AA744" s="64" t="s">
        <v>233</v>
      </c>
      <c r="AB744" s="81" t="s">
        <v>233</v>
      </c>
      <c r="AC744" s="4" t="s">
        <v>233</v>
      </c>
      <c r="AD744" s="64" t="s">
        <v>233</v>
      </c>
      <c r="AE744" s="64" t="s">
        <v>240</v>
      </c>
      <c r="AF744" s="210">
        <v>0</v>
      </c>
      <c r="AG744" s="4">
        <v>1</v>
      </c>
      <c r="AH744" s="64">
        <v>1</v>
      </c>
      <c r="AI744" s="4">
        <v>0</v>
      </c>
      <c r="AJ744" s="4">
        <v>1</v>
      </c>
      <c r="AK744" s="4">
        <v>0</v>
      </c>
    </row>
    <row r="745" spans="1:37" outlineLevel="1">
      <c r="A745" s="5">
        <v>738</v>
      </c>
      <c r="B745" s="64" t="s">
        <v>190</v>
      </c>
      <c r="C745" s="4" t="s">
        <v>237</v>
      </c>
      <c r="D745" s="4" t="str">
        <f>[1]Лист2!B738</f>
        <v>СОЮЗА ПЕЧАТНИКОВ ул.</v>
      </c>
      <c r="E745" s="69">
        <f>[1]Лист2!C738</f>
        <v>8</v>
      </c>
      <c r="F745" s="197" t="str">
        <f>[1]Лист2!D738</f>
        <v>В</v>
      </c>
      <c r="G745" s="64"/>
      <c r="H745" s="199">
        <v>129738</v>
      </c>
      <c r="I745" s="64" t="s">
        <v>234</v>
      </c>
      <c r="J745" s="4"/>
      <c r="K745" s="64" t="s">
        <v>232</v>
      </c>
      <c r="L745" s="4" t="s">
        <v>232</v>
      </c>
      <c r="M745" s="72">
        <v>1855</v>
      </c>
      <c r="N745" s="64" t="s">
        <v>385</v>
      </c>
      <c r="O745" s="73">
        <v>4</v>
      </c>
      <c r="P745" s="196">
        <v>0</v>
      </c>
      <c r="Q745" s="73">
        <v>1</v>
      </c>
      <c r="R745" s="74">
        <v>8</v>
      </c>
      <c r="S745" s="76">
        <v>177</v>
      </c>
      <c r="T745" s="82">
        <f t="shared" si="22"/>
        <v>177</v>
      </c>
      <c r="U745" s="77">
        <f t="shared" si="23"/>
        <v>177</v>
      </c>
      <c r="V745" s="78">
        <v>0</v>
      </c>
      <c r="W745" s="80" t="s">
        <v>233</v>
      </c>
      <c r="X745" s="81" t="s">
        <v>233</v>
      </c>
      <c r="Y745" s="4" t="s">
        <v>240</v>
      </c>
      <c r="Z745" s="81" t="s">
        <v>233</v>
      </c>
      <c r="AA745" s="64" t="s">
        <v>233</v>
      </c>
      <c r="AB745" s="81" t="s">
        <v>233</v>
      </c>
      <c r="AC745" s="4" t="s">
        <v>233</v>
      </c>
      <c r="AD745" s="64" t="s">
        <v>233</v>
      </c>
      <c r="AE745" s="64" t="s">
        <v>240</v>
      </c>
      <c r="AF745" s="211">
        <v>0</v>
      </c>
      <c r="AG745" s="4">
        <v>1</v>
      </c>
      <c r="AH745" s="64">
        <v>1</v>
      </c>
      <c r="AI745" s="4">
        <v>0</v>
      </c>
      <c r="AJ745" s="4">
        <v>0</v>
      </c>
      <c r="AK745" s="4">
        <v>0</v>
      </c>
    </row>
    <row r="746" spans="1:37" s="65" customFormat="1" outlineLevel="1">
      <c r="A746" s="63">
        <v>739</v>
      </c>
      <c r="B746" s="64" t="s">
        <v>190</v>
      </c>
      <c r="C746" s="4" t="s">
        <v>237</v>
      </c>
      <c r="D746" s="64" t="str">
        <f>[1]Лист2!B739</f>
        <v>СОЮЗА ПЕЧАТНИКОВ ул.</v>
      </c>
      <c r="E746" s="71" t="s">
        <v>230</v>
      </c>
      <c r="F746" s="196" t="str">
        <f>[1]Лист2!D739</f>
        <v>А</v>
      </c>
      <c r="G746" s="4"/>
      <c r="H746" s="67">
        <v>129739</v>
      </c>
      <c r="I746" s="64" t="s">
        <v>234</v>
      </c>
      <c r="J746" s="64"/>
      <c r="K746" s="64" t="s">
        <v>232</v>
      </c>
      <c r="L746" s="64" t="s">
        <v>232</v>
      </c>
      <c r="M746" s="72">
        <v>1917</v>
      </c>
      <c r="N746" s="64" t="s">
        <v>385</v>
      </c>
      <c r="O746" s="73">
        <v>4</v>
      </c>
      <c r="P746" s="196">
        <v>0</v>
      </c>
      <c r="Q746" s="73">
        <v>3</v>
      </c>
      <c r="R746" s="74">
        <v>39</v>
      </c>
      <c r="S746" s="75">
        <v>1535.74</v>
      </c>
      <c r="T746" s="82">
        <f t="shared" si="22"/>
        <v>1091.7</v>
      </c>
      <c r="U746" s="77">
        <f t="shared" si="23"/>
        <v>1091.7</v>
      </c>
      <c r="V746" s="77">
        <v>444.04</v>
      </c>
      <c r="W746" s="80" t="s">
        <v>233</v>
      </c>
      <c r="X746" s="81" t="s">
        <v>233</v>
      </c>
      <c r="Y746" s="64" t="s">
        <v>233</v>
      </c>
      <c r="Z746" s="81" t="s">
        <v>233</v>
      </c>
      <c r="AA746" s="64" t="s">
        <v>233</v>
      </c>
      <c r="AB746" s="81" t="s">
        <v>233</v>
      </c>
      <c r="AC746" s="64" t="s">
        <v>240</v>
      </c>
      <c r="AD746" s="64" t="s">
        <v>233</v>
      </c>
      <c r="AE746" s="64" t="s">
        <v>240</v>
      </c>
      <c r="AF746" s="210">
        <v>0</v>
      </c>
      <c r="AG746" s="4">
        <v>1</v>
      </c>
      <c r="AH746" s="64">
        <v>1</v>
      </c>
      <c r="AI746" s="64">
        <v>0</v>
      </c>
      <c r="AJ746" s="64">
        <v>0</v>
      </c>
      <c r="AK746" s="64">
        <v>0</v>
      </c>
    </row>
    <row r="747" spans="1:37" s="65" customFormat="1" outlineLevel="1">
      <c r="A747" s="63">
        <v>740</v>
      </c>
      <c r="B747" s="64" t="s">
        <v>190</v>
      </c>
      <c r="C747" s="64" t="s">
        <v>235</v>
      </c>
      <c r="D747" s="64" t="str">
        <f>[1]Лист2!B740</f>
        <v>ТРОИЦКИЙ пр.</v>
      </c>
      <c r="E747" s="71">
        <f>[1]Лист2!C740</f>
        <v>10</v>
      </c>
      <c r="F747" s="196" t="str">
        <f>[1]Лист2!D740</f>
        <v>А</v>
      </c>
      <c r="G747" s="4"/>
      <c r="H747" s="67">
        <v>129740</v>
      </c>
      <c r="I747" s="64" t="s">
        <v>234</v>
      </c>
      <c r="J747" s="64"/>
      <c r="K747" s="64" t="s">
        <v>232</v>
      </c>
      <c r="L747" s="64" t="s">
        <v>232</v>
      </c>
      <c r="M747" s="72">
        <v>1879</v>
      </c>
      <c r="N747" s="64" t="s">
        <v>385</v>
      </c>
      <c r="O747" s="73">
        <v>5</v>
      </c>
      <c r="P747" s="196">
        <v>0</v>
      </c>
      <c r="Q747" s="73">
        <v>3</v>
      </c>
      <c r="R747" s="74">
        <v>53</v>
      </c>
      <c r="S747" s="75">
        <v>2163</v>
      </c>
      <c r="T747" s="82">
        <f t="shared" si="22"/>
        <v>2083.29</v>
      </c>
      <c r="U747" s="77">
        <f t="shared" si="23"/>
        <v>2083.29</v>
      </c>
      <c r="V747" s="77">
        <v>79.709999999999994</v>
      </c>
      <c r="W747" s="80" t="s">
        <v>233</v>
      </c>
      <c r="X747" s="81" t="s">
        <v>233</v>
      </c>
      <c r="Y747" s="64" t="s">
        <v>233</v>
      </c>
      <c r="Z747" s="81" t="s">
        <v>233</v>
      </c>
      <c r="AA747" s="64" t="s">
        <v>233</v>
      </c>
      <c r="AB747" s="81" t="s">
        <v>233</v>
      </c>
      <c r="AC747" s="64" t="s">
        <v>240</v>
      </c>
      <c r="AD747" s="64" t="s">
        <v>233</v>
      </c>
      <c r="AE747" s="64" t="s">
        <v>240</v>
      </c>
      <c r="AF747" s="210">
        <v>0</v>
      </c>
      <c r="AG747" s="4">
        <v>1</v>
      </c>
      <c r="AH747" s="64">
        <v>1</v>
      </c>
      <c r="AI747" s="64">
        <v>1</v>
      </c>
      <c r="AJ747" s="64">
        <v>1</v>
      </c>
      <c r="AK747" s="64">
        <v>0</v>
      </c>
    </row>
    <row r="748" spans="1:37" s="65" customFormat="1" outlineLevel="1">
      <c r="A748" s="5">
        <v>741</v>
      </c>
      <c r="B748" s="64" t="s">
        <v>190</v>
      </c>
      <c r="C748" s="64" t="s">
        <v>235</v>
      </c>
      <c r="D748" s="64" t="str">
        <f>[1]Лист2!B741</f>
        <v>ТРОИЦКИЙ пр.</v>
      </c>
      <c r="E748" s="71">
        <f>[1]Лист2!C741</f>
        <v>12</v>
      </c>
      <c r="F748" s="196" t="str">
        <f>[1]Лист2!D741</f>
        <v>А</v>
      </c>
      <c r="G748" s="64"/>
      <c r="H748" s="67">
        <v>129741</v>
      </c>
      <c r="I748" s="64" t="s">
        <v>234</v>
      </c>
      <c r="J748" s="64"/>
      <c r="K748" s="64" t="s">
        <v>232</v>
      </c>
      <c r="L748" s="64" t="s">
        <v>232</v>
      </c>
      <c r="M748" s="72">
        <v>1879</v>
      </c>
      <c r="N748" s="64" t="s">
        <v>385</v>
      </c>
      <c r="O748" s="73">
        <v>4</v>
      </c>
      <c r="P748" s="196">
        <v>0</v>
      </c>
      <c r="Q748" s="73">
        <v>2</v>
      </c>
      <c r="R748" s="74">
        <v>19</v>
      </c>
      <c r="S748" s="75">
        <v>981.5</v>
      </c>
      <c r="T748" s="82">
        <f t="shared" si="22"/>
        <v>467.29999999999995</v>
      </c>
      <c r="U748" s="77">
        <f t="shared" si="23"/>
        <v>467.29999999999995</v>
      </c>
      <c r="V748" s="77">
        <v>514.20000000000005</v>
      </c>
      <c r="W748" s="80" t="s">
        <v>233</v>
      </c>
      <c r="X748" s="81" t="s">
        <v>233</v>
      </c>
      <c r="Y748" s="64" t="s">
        <v>233</v>
      </c>
      <c r="Z748" s="81" t="s">
        <v>233</v>
      </c>
      <c r="AA748" s="64" t="s">
        <v>233</v>
      </c>
      <c r="AB748" s="81" t="s">
        <v>233</v>
      </c>
      <c r="AC748" s="64" t="s">
        <v>240</v>
      </c>
      <c r="AD748" s="64" t="s">
        <v>233</v>
      </c>
      <c r="AE748" s="64" t="s">
        <v>240</v>
      </c>
      <c r="AF748" s="210">
        <v>0</v>
      </c>
      <c r="AG748" s="4">
        <v>1</v>
      </c>
      <c r="AH748" s="64">
        <v>1</v>
      </c>
      <c r="AI748" s="64">
        <v>0</v>
      </c>
      <c r="AJ748" s="64">
        <v>0</v>
      </c>
      <c r="AK748" s="64">
        <v>0</v>
      </c>
    </row>
    <row r="749" spans="1:37" s="65" customFormat="1" outlineLevel="1">
      <c r="A749" s="5">
        <v>742</v>
      </c>
      <c r="B749" s="64" t="s">
        <v>190</v>
      </c>
      <c r="C749" s="64" t="s">
        <v>235</v>
      </c>
      <c r="D749" s="64" t="str">
        <f>[1]Лист2!B742</f>
        <v>ТРОИЦКИЙ пр.</v>
      </c>
      <c r="E749" s="71">
        <f>[1]Лист2!C742</f>
        <v>14</v>
      </c>
      <c r="F749" s="196" t="str">
        <f>[1]Лист2!D742</f>
        <v>А</v>
      </c>
      <c r="G749" s="64"/>
      <c r="H749" s="67">
        <v>129742</v>
      </c>
      <c r="I749" s="64" t="s">
        <v>234</v>
      </c>
      <c r="J749" s="64"/>
      <c r="K749" s="64" t="s">
        <v>232</v>
      </c>
      <c r="L749" s="64" t="s">
        <v>232</v>
      </c>
      <c r="M749" s="72">
        <v>1873</v>
      </c>
      <c r="N749" s="64" t="s">
        <v>385</v>
      </c>
      <c r="O749" s="73">
        <v>4</v>
      </c>
      <c r="P749" s="196">
        <v>0</v>
      </c>
      <c r="Q749" s="73">
        <v>4</v>
      </c>
      <c r="R749" s="74">
        <v>42</v>
      </c>
      <c r="S749" s="75">
        <v>2849.5</v>
      </c>
      <c r="T749" s="82">
        <f t="shared" si="22"/>
        <v>2759.08</v>
      </c>
      <c r="U749" s="77">
        <f t="shared" si="23"/>
        <v>2759.08</v>
      </c>
      <c r="V749" s="77">
        <v>90.42</v>
      </c>
      <c r="W749" s="80" t="s">
        <v>233</v>
      </c>
      <c r="X749" s="81" t="s">
        <v>233</v>
      </c>
      <c r="Y749" s="64" t="s">
        <v>233</v>
      </c>
      <c r="Z749" s="81" t="s">
        <v>233</v>
      </c>
      <c r="AA749" s="64" t="s">
        <v>233</v>
      </c>
      <c r="AB749" s="81" t="s">
        <v>233</v>
      </c>
      <c r="AC749" s="64" t="s">
        <v>240</v>
      </c>
      <c r="AD749" s="64" t="s">
        <v>233</v>
      </c>
      <c r="AE749" s="64" t="s">
        <v>240</v>
      </c>
      <c r="AF749" s="210">
        <v>0</v>
      </c>
      <c r="AG749" s="4">
        <v>1</v>
      </c>
      <c r="AH749" s="64">
        <v>1</v>
      </c>
      <c r="AI749" s="64">
        <v>1</v>
      </c>
      <c r="AJ749" s="64">
        <v>1</v>
      </c>
      <c r="AK749" s="64">
        <v>0</v>
      </c>
    </row>
    <row r="750" spans="1:37" s="65" customFormat="1" outlineLevel="1">
      <c r="A750" s="5">
        <v>743</v>
      </c>
      <c r="B750" s="64" t="s">
        <v>190</v>
      </c>
      <c r="C750" s="64" t="s">
        <v>235</v>
      </c>
      <c r="D750" s="64" t="str">
        <f>[1]Лист2!B743</f>
        <v>ТРОИЦКИЙ пр.</v>
      </c>
      <c r="E750" s="71">
        <f>[1]Лист2!C743</f>
        <v>16</v>
      </c>
      <c r="F750" s="196" t="str">
        <f>[1]Лист2!D743</f>
        <v>А</v>
      </c>
      <c r="G750" s="4"/>
      <c r="H750" s="67">
        <v>129743</v>
      </c>
      <c r="I750" s="64" t="s">
        <v>234</v>
      </c>
      <c r="J750" s="64"/>
      <c r="K750" s="64" t="s">
        <v>232</v>
      </c>
      <c r="L750" s="64" t="s">
        <v>232</v>
      </c>
      <c r="M750" s="72">
        <v>1911</v>
      </c>
      <c r="N750" s="64" t="s">
        <v>385</v>
      </c>
      <c r="O750" s="73">
        <v>6</v>
      </c>
      <c r="P750" s="196">
        <v>0</v>
      </c>
      <c r="Q750" s="73">
        <v>3</v>
      </c>
      <c r="R750" s="74">
        <v>32</v>
      </c>
      <c r="S750" s="75">
        <v>2861.0000000000005</v>
      </c>
      <c r="T750" s="82">
        <f t="shared" si="22"/>
        <v>2321.8900000000003</v>
      </c>
      <c r="U750" s="77">
        <f t="shared" si="23"/>
        <v>2321.8900000000003</v>
      </c>
      <c r="V750" s="77">
        <v>539.11</v>
      </c>
      <c r="W750" s="80" t="s">
        <v>233</v>
      </c>
      <c r="X750" s="81" t="s">
        <v>233</v>
      </c>
      <c r="Y750" s="64" t="s">
        <v>233</v>
      </c>
      <c r="Z750" s="81" t="s">
        <v>233</v>
      </c>
      <c r="AA750" s="64" t="s">
        <v>233</v>
      </c>
      <c r="AB750" s="81" t="s">
        <v>233</v>
      </c>
      <c r="AC750" s="64" t="s">
        <v>240</v>
      </c>
      <c r="AD750" s="64" t="s">
        <v>233</v>
      </c>
      <c r="AE750" s="64" t="s">
        <v>240</v>
      </c>
      <c r="AF750" s="210">
        <v>1</v>
      </c>
      <c r="AG750" s="4">
        <v>1</v>
      </c>
      <c r="AH750" s="64">
        <v>1</v>
      </c>
      <c r="AI750" s="64">
        <v>0</v>
      </c>
      <c r="AJ750" s="64">
        <v>0</v>
      </c>
      <c r="AK750" s="64">
        <v>0</v>
      </c>
    </row>
    <row r="751" spans="1:37" s="65" customFormat="1" outlineLevel="1">
      <c r="A751" s="5">
        <v>744</v>
      </c>
      <c r="B751" s="64" t="s">
        <v>190</v>
      </c>
      <c r="C751" s="64" t="s">
        <v>235</v>
      </c>
      <c r="D751" s="64" t="str">
        <f>[1]Лист2!B744</f>
        <v>ТРОИЦКИЙ пр.</v>
      </c>
      <c r="E751" s="71">
        <f>[1]Лист2!C744</f>
        <v>18</v>
      </c>
      <c r="F751" s="196" t="str">
        <f>[1]Лист2!D744</f>
        <v>А</v>
      </c>
      <c r="G751" s="4"/>
      <c r="H751" s="67">
        <v>129744</v>
      </c>
      <c r="I751" s="64" t="s">
        <v>234</v>
      </c>
      <c r="J751" s="64"/>
      <c r="K751" s="64" t="s">
        <v>232</v>
      </c>
      <c r="L751" s="64" t="s">
        <v>232</v>
      </c>
      <c r="M751" s="72">
        <v>1878</v>
      </c>
      <c r="N751" s="64" t="s">
        <v>385</v>
      </c>
      <c r="O751" s="73">
        <v>5</v>
      </c>
      <c r="P751" s="196">
        <v>0</v>
      </c>
      <c r="Q751" s="73">
        <v>2</v>
      </c>
      <c r="R751" s="74">
        <v>57</v>
      </c>
      <c r="S751" s="75">
        <v>2058</v>
      </c>
      <c r="T751" s="82">
        <f t="shared" si="22"/>
        <v>1832</v>
      </c>
      <c r="U751" s="77">
        <f t="shared" si="23"/>
        <v>1832</v>
      </c>
      <c r="V751" s="77">
        <v>226</v>
      </c>
      <c r="W751" s="80" t="s">
        <v>233</v>
      </c>
      <c r="X751" s="81" t="s">
        <v>233</v>
      </c>
      <c r="Y751" s="64" t="s">
        <v>233</v>
      </c>
      <c r="Z751" s="81" t="s">
        <v>233</v>
      </c>
      <c r="AA751" s="64" t="s">
        <v>233</v>
      </c>
      <c r="AB751" s="81" t="s">
        <v>233</v>
      </c>
      <c r="AC751" s="64" t="s">
        <v>240</v>
      </c>
      <c r="AD751" s="64" t="s">
        <v>233</v>
      </c>
      <c r="AE751" s="64" t="s">
        <v>240</v>
      </c>
      <c r="AF751" s="210">
        <v>2</v>
      </c>
      <c r="AG751" s="4">
        <v>2</v>
      </c>
      <c r="AH751" s="64">
        <v>1</v>
      </c>
      <c r="AI751" s="64">
        <v>1</v>
      </c>
      <c r="AJ751" s="64">
        <v>1</v>
      </c>
      <c r="AK751" s="64">
        <v>0</v>
      </c>
    </row>
    <row r="752" spans="1:37" s="65" customFormat="1" outlineLevel="1">
      <c r="A752" s="63">
        <v>745</v>
      </c>
      <c r="B752" s="64" t="s">
        <v>190</v>
      </c>
      <c r="C752" s="64" t="s">
        <v>235</v>
      </c>
      <c r="D752" s="64" t="str">
        <f>[1]Лист2!B745</f>
        <v>ТРОИЦКИЙ пр.</v>
      </c>
      <c r="E752" s="71" t="str">
        <f>[1]Лист2!C745</f>
        <v>20/36</v>
      </c>
      <c r="F752" s="196" t="str">
        <f>[1]Лист2!D745</f>
        <v>А</v>
      </c>
      <c r="G752" s="64"/>
      <c r="H752" s="67">
        <v>129745</v>
      </c>
      <c r="I752" s="64" t="s">
        <v>234</v>
      </c>
      <c r="J752" s="64"/>
      <c r="K752" s="64" t="s">
        <v>232</v>
      </c>
      <c r="L752" s="64" t="s">
        <v>232</v>
      </c>
      <c r="M752" s="72">
        <v>1974</v>
      </c>
      <c r="N752" s="64" t="s">
        <v>385</v>
      </c>
      <c r="O752" s="73">
        <v>5</v>
      </c>
      <c r="P752" s="196">
        <v>0</v>
      </c>
      <c r="Q752" s="73">
        <v>2</v>
      </c>
      <c r="R752" s="74">
        <v>60</v>
      </c>
      <c r="S752" s="75">
        <v>1943.1</v>
      </c>
      <c r="T752" s="82">
        <f t="shared" si="22"/>
        <v>1586.3999999999999</v>
      </c>
      <c r="U752" s="77">
        <f t="shared" si="23"/>
        <v>1586.3999999999999</v>
      </c>
      <c r="V752" s="77">
        <v>356.7</v>
      </c>
      <c r="W752" s="80" t="s">
        <v>233</v>
      </c>
      <c r="X752" s="81" t="s">
        <v>233</v>
      </c>
      <c r="Y752" s="64" t="s">
        <v>240</v>
      </c>
      <c r="Z752" s="81" t="s">
        <v>233</v>
      </c>
      <c r="AA752" s="64" t="s">
        <v>233</v>
      </c>
      <c r="AB752" s="81" t="s">
        <v>233</v>
      </c>
      <c r="AC752" s="64" t="s">
        <v>233</v>
      </c>
      <c r="AD752" s="64" t="s">
        <v>233</v>
      </c>
      <c r="AE752" s="64" t="s">
        <v>240</v>
      </c>
      <c r="AF752" s="210">
        <v>0</v>
      </c>
      <c r="AG752" s="4">
        <v>1</v>
      </c>
      <c r="AH752" s="64">
        <v>1</v>
      </c>
      <c r="AI752" s="64">
        <v>0</v>
      </c>
      <c r="AJ752" s="64">
        <v>1</v>
      </c>
      <c r="AK752" s="64">
        <v>0</v>
      </c>
    </row>
    <row r="753" spans="1:37" s="65" customFormat="1" outlineLevel="1">
      <c r="A753" s="63">
        <v>746</v>
      </c>
      <c r="B753" s="64" t="s">
        <v>190</v>
      </c>
      <c r="C753" s="64" t="s">
        <v>235</v>
      </c>
      <c r="D753" s="64" t="str">
        <f>[1]Лист2!B746</f>
        <v>ТРОИЦКИЙ пр.</v>
      </c>
      <c r="E753" s="71">
        <f>[1]Лист2!C746</f>
        <v>3</v>
      </c>
      <c r="F753" s="196" t="str">
        <f>[1]Лист2!D746</f>
        <v>А</v>
      </c>
      <c r="G753" s="64"/>
      <c r="H753" s="67">
        <v>129746</v>
      </c>
      <c r="I753" s="64" t="s">
        <v>234</v>
      </c>
      <c r="J753" s="64"/>
      <c r="K753" s="64" t="s">
        <v>232</v>
      </c>
      <c r="L753" s="64" t="s">
        <v>232</v>
      </c>
      <c r="M753" s="72">
        <v>1878</v>
      </c>
      <c r="N753" s="64" t="s">
        <v>385</v>
      </c>
      <c r="O753" s="73">
        <v>3</v>
      </c>
      <c r="P753" s="196">
        <v>0</v>
      </c>
      <c r="Q753" s="73">
        <v>1</v>
      </c>
      <c r="R753" s="74">
        <v>35</v>
      </c>
      <c r="S753" s="75">
        <v>858.8</v>
      </c>
      <c r="T753" s="82">
        <f t="shared" si="22"/>
        <v>858.8</v>
      </c>
      <c r="U753" s="77">
        <f t="shared" si="23"/>
        <v>858.8</v>
      </c>
      <c r="V753" s="77">
        <v>0</v>
      </c>
      <c r="W753" s="80" t="s">
        <v>233</v>
      </c>
      <c r="X753" s="81" t="s">
        <v>233</v>
      </c>
      <c r="Y753" s="64" t="s">
        <v>233</v>
      </c>
      <c r="Z753" s="81" t="s">
        <v>233</v>
      </c>
      <c r="AA753" s="64" t="s">
        <v>233</v>
      </c>
      <c r="AB753" s="81" t="s">
        <v>233</v>
      </c>
      <c r="AC753" s="64" t="s">
        <v>240</v>
      </c>
      <c r="AD753" s="64" t="s">
        <v>233</v>
      </c>
      <c r="AE753" s="64" t="s">
        <v>240</v>
      </c>
      <c r="AF753" s="210">
        <v>0</v>
      </c>
      <c r="AG753" s="4">
        <v>1</v>
      </c>
      <c r="AH753" s="64">
        <v>1</v>
      </c>
      <c r="AI753" s="64">
        <v>0</v>
      </c>
      <c r="AJ753" s="64">
        <v>0</v>
      </c>
      <c r="AK753" s="64">
        <v>0</v>
      </c>
    </row>
    <row r="754" spans="1:37" s="65" customFormat="1" outlineLevel="1">
      <c r="A754" s="5">
        <v>747</v>
      </c>
      <c r="B754" s="64" t="s">
        <v>190</v>
      </c>
      <c r="C754" s="64" t="s">
        <v>235</v>
      </c>
      <c r="D754" s="64" t="str">
        <f>[1]Лист2!B747</f>
        <v>ТРОИЦКИЙ пр.</v>
      </c>
      <c r="E754" s="71">
        <f>[1]Лист2!C747</f>
        <v>3</v>
      </c>
      <c r="F754" s="196" t="str">
        <f>[1]Лист2!D747</f>
        <v>Б</v>
      </c>
      <c r="G754" s="4"/>
      <c r="H754" s="67">
        <v>129747</v>
      </c>
      <c r="I754" s="64" t="s">
        <v>234</v>
      </c>
      <c r="J754" s="4" t="s">
        <v>1422</v>
      </c>
      <c r="K754" s="64" t="s">
        <v>232</v>
      </c>
      <c r="L754" s="64" t="s">
        <v>232</v>
      </c>
      <c r="M754" s="72">
        <v>1878</v>
      </c>
      <c r="N754" s="64" t="s">
        <v>385</v>
      </c>
      <c r="O754" s="73">
        <v>2</v>
      </c>
      <c r="P754" s="196">
        <v>0</v>
      </c>
      <c r="Q754" s="73">
        <v>1</v>
      </c>
      <c r="R754" s="203">
        <v>17</v>
      </c>
      <c r="S754" s="75">
        <v>224.8</v>
      </c>
      <c r="T754" s="82">
        <f t="shared" si="22"/>
        <v>0</v>
      </c>
      <c r="U754" s="77">
        <f t="shared" si="23"/>
        <v>0</v>
      </c>
      <c r="V754" s="77">
        <v>224.8</v>
      </c>
      <c r="W754" s="80" t="s">
        <v>233</v>
      </c>
      <c r="X754" s="81" t="s">
        <v>233</v>
      </c>
      <c r="Y754" s="64" t="s">
        <v>233</v>
      </c>
      <c r="Z754" s="81" t="s">
        <v>233</v>
      </c>
      <c r="AA754" s="64" t="s">
        <v>233</v>
      </c>
      <c r="AB754" s="81" t="s">
        <v>233</v>
      </c>
      <c r="AC754" s="64" t="s">
        <v>240</v>
      </c>
      <c r="AD754" s="64" t="s">
        <v>233</v>
      </c>
      <c r="AE754" s="64" t="s">
        <v>240</v>
      </c>
      <c r="AF754" s="211">
        <v>0</v>
      </c>
      <c r="AG754" s="4">
        <v>1</v>
      </c>
      <c r="AH754" s="64">
        <v>1</v>
      </c>
      <c r="AI754" s="64">
        <v>0</v>
      </c>
      <c r="AJ754" s="64">
        <v>0</v>
      </c>
      <c r="AK754" s="64">
        <v>0</v>
      </c>
    </row>
    <row r="755" spans="1:37" s="65" customFormat="1" outlineLevel="1">
      <c r="A755" s="5">
        <v>748</v>
      </c>
      <c r="B755" s="64" t="s">
        <v>190</v>
      </c>
      <c r="C755" s="64" t="s">
        <v>235</v>
      </c>
      <c r="D755" s="64" t="str">
        <f>[1]Лист2!B748</f>
        <v>ТРОИЦКИЙ пр.</v>
      </c>
      <c r="E755" s="71">
        <f>[1]Лист2!C748</f>
        <v>4</v>
      </c>
      <c r="F755" s="196" t="str">
        <f>[1]Лист2!D748</f>
        <v>А</v>
      </c>
      <c r="G755" s="4"/>
      <c r="H755" s="67">
        <v>129748</v>
      </c>
      <c r="I755" s="64" t="s">
        <v>234</v>
      </c>
      <c r="J755" s="64"/>
      <c r="K755" s="64" t="s">
        <v>232</v>
      </c>
      <c r="L755" s="64" t="s">
        <v>232</v>
      </c>
      <c r="M755" s="72">
        <v>1968</v>
      </c>
      <c r="N755" s="64" t="s">
        <v>385</v>
      </c>
      <c r="O755" s="73">
        <v>5</v>
      </c>
      <c r="P755" s="196">
        <v>0</v>
      </c>
      <c r="Q755" s="73">
        <v>3</v>
      </c>
      <c r="R755" s="74">
        <v>114</v>
      </c>
      <c r="S755" s="75">
        <v>3652.5</v>
      </c>
      <c r="T755" s="82">
        <f t="shared" si="22"/>
        <v>2999.5</v>
      </c>
      <c r="U755" s="77">
        <f t="shared" si="23"/>
        <v>2999.5</v>
      </c>
      <c r="V755" s="77">
        <v>653</v>
      </c>
      <c r="W755" s="80" t="s">
        <v>233</v>
      </c>
      <c r="X755" s="81" t="s">
        <v>233</v>
      </c>
      <c r="Y755" s="64" t="s">
        <v>233</v>
      </c>
      <c r="Z755" s="81" t="s">
        <v>233</v>
      </c>
      <c r="AA755" s="64" t="s">
        <v>233</v>
      </c>
      <c r="AB755" s="81" t="s">
        <v>233</v>
      </c>
      <c r="AC755" s="64" t="s">
        <v>240</v>
      </c>
      <c r="AD755" s="64" t="s">
        <v>233</v>
      </c>
      <c r="AE755" s="64" t="s">
        <v>240</v>
      </c>
      <c r="AF755" s="210">
        <v>0</v>
      </c>
      <c r="AG755" s="4">
        <v>1</v>
      </c>
      <c r="AH755" s="64">
        <v>1</v>
      </c>
      <c r="AI755" s="64">
        <v>1</v>
      </c>
      <c r="AJ755" s="64">
        <v>1</v>
      </c>
      <c r="AK755" s="64">
        <v>0</v>
      </c>
    </row>
    <row r="756" spans="1:37" s="65" customFormat="1" outlineLevel="1">
      <c r="A756" s="5">
        <v>749</v>
      </c>
      <c r="B756" s="64" t="s">
        <v>190</v>
      </c>
      <c r="C756" s="64" t="s">
        <v>235</v>
      </c>
      <c r="D756" s="64" t="str">
        <f>[1]Лист2!B749</f>
        <v>ТРОИЦКИЙ пр.</v>
      </c>
      <c r="E756" s="71">
        <f>[1]Лист2!C749</f>
        <v>4</v>
      </c>
      <c r="F756" s="196" t="str">
        <f>[1]Лист2!D749</f>
        <v>Б</v>
      </c>
      <c r="G756" s="64"/>
      <c r="H756" s="67">
        <v>129749</v>
      </c>
      <c r="I756" s="64" t="s">
        <v>234</v>
      </c>
      <c r="J756" s="4" t="s">
        <v>1422</v>
      </c>
      <c r="K756" s="64" t="s">
        <v>232</v>
      </c>
      <c r="L756" s="64" t="s">
        <v>232</v>
      </c>
      <c r="M756" s="72">
        <v>1968</v>
      </c>
      <c r="N756" s="64" t="s">
        <v>385</v>
      </c>
      <c r="O756" s="73"/>
      <c r="P756" s="196">
        <v>0</v>
      </c>
      <c r="Q756" s="73">
        <v>1</v>
      </c>
      <c r="R756" s="203">
        <v>33</v>
      </c>
      <c r="S756" s="75">
        <v>2225</v>
      </c>
      <c r="T756" s="82">
        <f t="shared" si="22"/>
        <v>0</v>
      </c>
      <c r="U756" s="77">
        <f t="shared" si="23"/>
        <v>0</v>
      </c>
      <c r="V756" s="77">
        <v>2225</v>
      </c>
      <c r="W756" s="80" t="s">
        <v>233</v>
      </c>
      <c r="X756" s="81" t="s">
        <v>233</v>
      </c>
      <c r="Y756" s="64" t="s">
        <v>233</v>
      </c>
      <c r="Z756" s="81" t="s">
        <v>233</v>
      </c>
      <c r="AA756" s="64" t="s">
        <v>233</v>
      </c>
      <c r="AB756" s="81" t="s">
        <v>233</v>
      </c>
      <c r="AC756" s="64" t="s">
        <v>240</v>
      </c>
      <c r="AD756" s="64" t="s">
        <v>233</v>
      </c>
      <c r="AE756" s="64" t="s">
        <v>240</v>
      </c>
      <c r="AF756" s="211">
        <v>0</v>
      </c>
      <c r="AG756" s="4">
        <v>1</v>
      </c>
      <c r="AH756" s="64">
        <v>1</v>
      </c>
      <c r="AI756" s="64">
        <v>0</v>
      </c>
      <c r="AJ756" s="64">
        <v>0</v>
      </c>
      <c r="AK756" s="64">
        <v>0</v>
      </c>
    </row>
    <row r="757" spans="1:37" s="65" customFormat="1" outlineLevel="1">
      <c r="A757" s="5">
        <v>750</v>
      </c>
      <c r="B757" s="64" t="s">
        <v>190</v>
      </c>
      <c r="C757" s="64" t="s">
        <v>235</v>
      </c>
      <c r="D757" s="64" t="str">
        <f>[1]Лист2!B750</f>
        <v>ТРОИЦКИЙ пр.</v>
      </c>
      <c r="E757" s="71">
        <f>[1]Лист2!C750</f>
        <v>4</v>
      </c>
      <c r="F757" s="196" t="str">
        <f>[1]Лист2!D750</f>
        <v>В</v>
      </c>
      <c r="G757" s="64"/>
      <c r="H757" s="67">
        <v>129750</v>
      </c>
      <c r="I757" s="64" t="s">
        <v>234</v>
      </c>
      <c r="J757" s="4" t="s">
        <v>1422</v>
      </c>
      <c r="K757" s="64" t="s">
        <v>232</v>
      </c>
      <c r="L757" s="64" t="s">
        <v>232</v>
      </c>
      <c r="M757" s="72">
        <v>1968</v>
      </c>
      <c r="N757" s="64" t="s">
        <v>385</v>
      </c>
      <c r="O757" s="73"/>
      <c r="P757" s="196">
        <v>0</v>
      </c>
      <c r="Q757" s="73">
        <v>1</v>
      </c>
      <c r="R757" s="203">
        <v>25</v>
      </c>
      <c r="S757" s="75">
        <v>3342.1</v>
      </c>
      <c r="T757" s="82">
        <f t="shared" si="22"/>
        <v>0</v>
      </c>
      <c r="U757" s="77">
        <f t="shared" si="23"/>
        <v>0</v>
      </c>
      <c r="V757" s="77">
        <v>3342.1</v>
      </c>
      <c r="W757" s="80" t="s">
        <v>233</v>
      </c>
      <c r="X757" s="81" t="s">
        <v>233</v>
      </c>
      <c r="Y757" s="64" t="s">
        <v>233</v>
      </c>
      <c r="Z757" s="81" t="s">
        <v>233</v>
      </c>
      <c r="AA757" s="64" t="s">
        <v>233</v>
      </c>
      <c r="AB757" s="81" t="s">
        <v>233</v>
      </c>
      <c r="AC757" s="64" t="s">
        <v>240</v>
      </c>
      <c r="AD757" s="64" t="s">
        <v>233</v>
      </c>
      <c r="AE757" s="64" t="s">
        <v>240</v>
      </c>
      <c r="AF757" s="211">
        <v>0</v>
      </c>
      <c r="AG757" s="4">
        <v>1</v>
      </c>
      <c r="AH757" s="64">
        <v>1</v>
      </c>
      <c r="AI757" s="64">
        <v>0</v>
      </c>
      <c r="AJ757" s="64">
        <v>0</v>
      </c>
      <c r="AK757" s="64">
        <v>0</v>
      </c>
    </row>
    <row r="758" spans="1:37" s="65" customFormat="1" outlineLevel="1">
      <c r="A758" s="63">
        <v>751</v>
      </c>
      <c r="B758" s="64" t="s">
        <v>190</v>
      </c>
      <c r="C758" s="64" t="s">
        <v>235</v>
      </c>
      <c r="D758" s="64" t="str">
        <f>[1]Лист2!B751</f>
        <v>ТРОИЦКИЙ пр.</v>
      </c>
      <c r="E758" s="71">
        <f>[1]Лист2!C751</f>
        <v>4</v>
      </c>
      <c r="F758" s="196" t="str">
        <f>[1]Лист2!D751</f>
        <v>Я</v>
      </c>
      <c r="G758" s="4"/>
      <c r="H758" s="67">
        <v>129751</v>
      </c>
      <c r="I758" s="64" t="s">
        <v>234</v>
      </c>
      <c r="J758" s="4" t="s">
        <v>1422</v>
      </c>
      <c r="K758" s="64" t="s">
        <v>232</v>
      </c>
      <c r="L758" s="64" t="s">
        <v>232</v>
      </c>
      <c r="M758" s="72">
        <v>1968</v>
      </c>
      <c r="N758" s="64" t="s">
        <v>385</v>
      </c>
      <c r="O758" s="73"/>
      <c r="P758" s="196">
        <v>0</v>
      </c>
      <c r="Q758" s="73">
        <v>1</v>
      </c>
      <c r="R758" s="203">
        <v>26</v>
      </c>
      <c r="S758" s="75">
        <v>42</v>
      </c>
      <c r="T758" s="82">
        <f t="shared" si="22"/>
        <v>0</v>
      </c>
      <c r="U758" s="77">
        <f t="shared" si="23"/>
        <v>0</v>
      </c>
      <c r="V758" s="77">
        <v>42</v>
      </c>
      <c r="W758" s="80" t="s">
        <v>233</v>
      </c>
      <c r="X758" s="81" t="s">
        <v>233</v>
      </c>
      <c r="Y758" s="64" t="s">
        <v>233</v>
      </c>
      <c r="Z758" s="81" t="s">
        <v>233</v>
      </c>
      <c r="AA758" s="64" t="s">
        <v>233</v>
      </c>
      <c r="AB758" s="81" t="s">
        <v>233</v>
      </c>
      <c r="AC758" s="64" t="s">
        <v>240</v>
      </c>
      <c r="AD758" s="64" t="s">
        <v>233</v>
      </c>
      <c r="AE758" s="64" t="s">
        <v>240</v>
      </c>
      <c r="AF758" s="211">
        <v>0</v>
      </c>
      <c r="AG758" s="4">
        <v>1</v>
      </c>
      <c r="AH758" s="64">
        <v>1</v>
      </c>
      <c r="AI758" s="64">
        <v>0</v>
      </c>
      <c r="AJ758" s="64">
        <v>0</v>
      </c>
      <c r="AK758" s="64">
        <v>0</v>
      </c>
    </row>
    <row r="759" spans="1:37" s="65" customFormat="1" outlineLevel="1">
      <c r="A759" s="63">
        <v>752</v>
      </c>
      <c r="B759" s="64" t="s">
        <v>190</v>
      </c>
      <c r="C759" s="64" t="s">
        <v>235</v>
      </c>
      <c r="D759" s="64" t="str">
        <f>[1]Лист2!B752</f>
        <v>ТРОИЦКИЙ пр.</v>
      </c>
      <c r="E759" s="71">
        <f>[1]Лист2!C752</f>
        <v>5</v>
      </c>
      <c r="F759" s="196" t="str">
        <f>[1]Лист2!D752</f>
        <v>А</v>
      </c>
      <c r="G759" s="4"/>
      <c r="H759" s="67">
        <v>129752</v>
      </c>
      <c r="I759" s="64" t="s">
        <v>234</v>
      </c>
      <c r="J759" s="64"/>
      <c r="K759" s="64" t="s">
        <v>232</v>
      </c>
      <c r="L759" s="64" t="s">
        <v>232</v>
      </c>
      <c r="M759" s="72">
        <v>1817</v>
      </c>
      <c r="N759" s="64" t="s">
        <v>385</v>
      </c>
      <c r="O759" s="73">
        <v>2</v>
      </c>
      <c r="P759" s="196">
        <v>0</v>
      </c>
      <c r="Q759" s="73">
        <v>1</v>
      </c>
      <c r="R759" s="74">
        <v>13</v>
      </c>
      <c r="S759" s="75">
        <v>643.1</v>
      </c>
      <c r="T759" s="82">
        <f t="shared" si="22"/>
        <v>433.70000000000005</v>
      </c>
      <c r="U759" s="77">
        <f t="shared" si="23"/>
        <v>433.70000000000005</v>
      </c>
      <c r="V759" s="77">
        <v>209.4</v>
      </c>
      <c r="W759" s="80" t="s">
        <v>233</v>
      </c>
      <c r="X759" s="81" t="s">
        <v>233</v>
      </c>
      <c r="Y759" s="64" t="s">
        <v>233</v>
      </c>
      <c r="Z759" s="81" t="s">
        <v>233</v>
      </c>
      <c r="AA759" s="64" t="s">
        <v>233</v>
      </c>
      <c r="AB759" s="81" t="s">
        <v>233</v>
      </c>
      <c r="AC759" s="64" t="s">
        <v>240</v>
      </c>
      <c r="AD759" s="64" t="s">
        <v>233</v>
      </c>
      <c r="AE759" s="64" t="s">
        <v>240</v>
      </c>
      <c r="AF759" s="210">
        <v>0</v>
      </c>
      <c r="AG759" s="4">
        <v>1</v>
      </c>
      <c r="AH759" s="64">
        <v>1</v>
      </c>
      <c r="AI759" s="64">
        <v>0</v>
      </c>
      <c r="AJ759" s="64">
        <v>0</v>
      </c>
      <c r="AK759" s="64">
        <v>0</v>
      </c>
    </row>
    <row r="760" spans="1:37" outlineLevel="1">
      <c r="A760" s="5">
        <v>753</v>
      </c>
      <c r="B760" s="64" t="s">
        <v>190</v>
      </c>
      <c r="C760" s="64" t="s">
        <v>235</v>
      </c>
      <c r="D760" s="4" t="str">
        <f>[1]Лист2!B753</f>
        <v>ТРОИЦКИЙ пр.</v>
      </c>
      <c r="E760" s="69">
        <f>[1]Лист2!C753</f>
        <v>7</v>
      </c>
      <c r="F760" s="197" t="str">
        <f>[1]Лист2!D753</f>
        <v>А</v>
      </c>
      <c r="G760" s="64"/>
      <c r="H760" s="199">
        <v>129753</v>
      </c>
      <c r="I760" s="64" t="s">
        <v>234</v>
      </c>
      <c r="J760" s="4"/>
      <c r="K760" s="64" t="s">
        <v>232</v>
      </c>
      <c r="L760" s="4" t="s">
        <v>232</v>
      </c>
      <c r="M760" s="72">
        <v>1880</v>
      </c>
      <c r="N760" s="64" t="s">
        <v>385</v>
      </c>
      <c r="O760" s="73">
        <v>4</v>
      </c>
      <c r="P760" s="196">
        <v>0</v>
      </c>
      <c r="Q760" s="73">
        <v>3</v>
      </c>
      <c r="R760" s="74">
        <v>48</v>
      </c>
      <c r="S760" s="76">
        <v>2229.8000000000002</v>
      </c>
      <c r="T760" s="82">
        <f t="shared" si="22"/>
        <v>1785.8300000000002</v>
      </c>
      <c r="U760" s="77">
        <f t="shared" si="23"/>
        <v>1785.8300000000002</v>
      </c>
      <c r="V760" s="78">
        <v>443.97</v>
      </c>
      <c r="W760" s="80" t="s">
        <v>233</v>
      </c>
      <c r="X760" s="81" t="s">
        <v>233</v>
      </c>
      <c r="Y760" s="4" t="s">
        <v>233</v>
      </c>
      <c r="Z760" s="81" t="s">
        <v>233</v>
      </c>
      <c r="AA760" s="64" t="s">
        <v>233</v>
      </c>
      <c r="AB760" s="81" t="s">
        <v>233</v>
      </c>
      <c r="AC760" s="64" t="s">
        <v>240</v>
      </c>
      <c r="AD760" s="64" t="s">
        <v>233</v>
      </c>
      <c r="AE760" s="64" t="s">
        <v>240</v>
      </c>
      <c r="AF760" s="210">
        <v>0</v>
      </c>
      <c r="AG760" s="4">
        <v>1</v>
      </c>
      <c r="AH760" s="64">
        <v>1</v>
      </c>
      <c r="AI760" s="4">
        <v>1</v>
      </c>
      <c r="AJ760" s="4">
        <v>1</v>
      </c>
      <c r="AK760" s="4">
        <v>0</v>
      </c>
    </row>
    <row r="761" spans="1:37" outlineLevel="1">
      <c r="A761" s="5">
        <v>754</v>
      </c>
      <c r="B761" s="64" t="s">
        <v>190</v>
      </c>
      <c r="C761" s="64" t="s">
        <v>235</v>
      </c>
      <c r="D761" s="4" t="str">
        <f>[1]Лист2!B754</f>
        <v>ТРОИЦКИЙ пр.</v>
      </c>
      <c r="E761" s="69">
        <f>[1]Лист2!C754</f>
        <v>8</v>
      </c>
      <c r="F761" s="197" t="str">
        <f>[1]Лист2!D754</f>
        <v>А</v>
      </c>
      <c r="G761" s="64"/>
      <c r="H761" s="199">
        <v>129754</v>
      </c>
      <c r="I761" s="64" t="s">
        <v>234</v>
      </c>
      <c r="J761" s="4"/>
      <c r="K761" s="64" t="s">
        <v>232</v>
      </c>
      <c r="L761" s="4" t="s">
        <v>232</v>
      </c>
      <c r="M761" s="72">
        <v>1875</v>
      </c>
      <c r="N761" s="64" t="s">
        <v>385</v>
      </c>
      <c r="O761" s="73">
        <v>4</v>
      </c>
      <c r="P761" s="196">
        <v>0</v>
      </c>
      <c r="Q761" s="73">
        <v>3</v>
      </c>
      <c r="R761" s="74">
        <v>34</v>
      </c>
      <c r="S761" s="76">
        <v>1611.1</v>
      </c>
      <c r="T761" s="82">
        <f t="shared" si="22"/>
        <v>1439.4699999999998</v>
      </c>
      <c r="U761" s="77">
        <f t="shared" si="23"/>
        <v>1439.4699999999998</v>
      </c>
      <c r="V761" s="78">
        <v>171.63</v>
      </c>
      <c r="W761" s="80" t="s">
        <v>233</v>
      </c>
      <c r="X761" s="81" t="s">
        <v>233</v>
      </c>
      <c r="Y761" s="4" t="s">
        <v>233</v>
      </c>
      <c r="Z761" s="81" t="s">
        <v>233</v>
      </c>
      <c r="AA761" s="64" t="s">
        <v>233</v>
      </c>
      <c r="AB761" s="81" t="s">
        <v>233</v>
      </c>
      <c r="AC761" s="64" t="s">
        <v>240</v>
      </c>
      <c r="AD761" s="64" t="s">
        <v>233</v>
      </c>
      <c r="AE761" s="64" t="s">
        <v>240</v>
      </c>
      <c r="AF761" s="210">
        <v>0</v>
      </c>
      <c r="AG761" s="4">
        <v>1</v>
      </c>
      <c r="AH761" s="64">
        <v>1</v>
      </c>
      <c r="AI761" s="4">
        <v>0</v>
      </c>
      <c r="AJ761" s="4">
        <v>0</v>
      </c>
      <c r="AK761" s="4">
        <v>0</v>
      </c>
    </row>
    <row r="762" spans="1:37" outlineLevel="1">
      <c r="A762" s="5">
        <v>755</v>
      </c>
      <c r="B762" s="64" t="s">
        <v>190</v>
      </c>
      <c r="C762" s="64" t="s">
        <v>235</v>
      </c>
      <c r="D762" s="4" t="str">
        <f>[1]Лист2!B755</f>
        <v>УГЛОВОЙ пер.</v>
      </c>
      <c r="E762" s="69">
        <f>[1]Лист2!C755</f>
        <v>11</v>
      </c>
      <c r="F762" s="197" t="str">
        <f>[1]Лист2!D755</f>
        <v>А</v>
      </c>
      <c r="G762" s="4"/>
      <c r="H762" s="199">
        <v>129755</v>
      </c>
      <c r="I762" s="64" t="s">
        <v>234</v>
      </c>
      <c r="J762" s="4"/>
      <c r="K762" s="64" t="s">
        <v>232</v>
      </c>
      <c r="L762" s="4" t="s">
        <v>232</v>
      </c>
      <c r="M762" s="72">
        <v>1875</v>
      </c>
      <c r="N762" s="64" t="s">
        <v>385</v>
      </c>
      <c r="O762" s="73">
        <v>5</v>
      </c>
      <c r="P762" s="196">
        <v>0</v>
      </c>
      <c r="Q762" s="73">
        <v>5</v>
      </c>
      <c r="R762" s="74">
        <v>107</v>
      </c>
      <c r="S762" s="76">
        <v>4266.4699999999993</v>
      </c>
      <c r="T762" s="82">
        <f t="shared" si="22"/>
        <v>3915.4699999999993</v>
      </c>
      <c r="U762" s="77">
        <f t="shared" si="23"/>
        <v>3915.4699999999993</v>
      </c>
      <c r="V762" s="78">
        <v>351</v>
      </c>
      <c r="W762" s="80" t="s">
        <v>233</v>
      </c>
      <c r="X762" s="81" t="s">
        <v>233</v>
      </c>
      <c r="Y762" s="4" t="s">
        <v>233</v>
      </c>
      <c r="Z762" s="81" t="s">
        <v>233</v>
      </c>
      <c r="AA762" s="64" t="s">
        <v>233</v>
      </c>
      <c r="AB762" s="81" t="s">
        <v>233</v>
      </c>
      <c r="AC762" s="64" t="s">
        <v>240</v>
      </c>
      <c r="AD762" s="64" t="s">
        <v>233</v>
      </c>
      <c r="AE762" s="64" t="s">
        <v>240</v>
      </c>
      <c r="AF762" s="210">
        <v>0</v>
      </c>
      <c r="AG762" s="4">
        <v>1</v>
      </c>
      <c r="AH762" s="64">
        <v>1</v>
      </c>
      <c r="AI762" s="4">
        <v>0</v>
      </c>
      <c r="AJ762" s="4">
        <v>0</v>
      </c>
      <c r="AK762" s="4">
        <v>0</v>
      </c>
    </row>
    <row r="763" spans="1:37" outlineLevel="1">
      <c r="A763" s="5">
        <v>756</v>
      </c>
      <c r="B763" s="64" t="s">
        <v>190</v>
      </c>
      <c r="C763" s="64" t="s">
        <v>235</v>
      </c>
      <c r="D763" s="4" t="str">
        <f>[1]Лист2!B756</f>
        <v>УГЛОВОЙ пер.</v>
      </c>
      <c r="E763" s="69">
        <f>[1]Лист2!C756</f>
        <v>3</v>
      </c>
      <c r="F763" s="197" t="str">
        <f>[1]Лист2!D756</f>
        <v>А</v>
      </c>
      <c r="G763" s="4"/>
      <c r="H763" s="199">
        <v>129756</v>
      </c>
      <c r="I763" s="64" t="s">
        <v>234</v>
      </c>
      <c r="J763" s="4"/>
      <c r="K763" s="64" t="s">
        <v>232</v>
      </c>
      <c r="L763" s="4" t="s">
        <v>232</v>
      </c>
      <c r="M763" s="72">
        <v>1875</v>
      </c>
      <c r="N763" s="64" t="s">
        <v>385</v>
      </c>
      <c r="O763" s="73">
        <v>6</v>
      </c>
      <c r="P763" s="196">
        <v>0</v>
      </c>
      <c r="Q763" s="73">
        <v>5</v>
      </c>
      <c r="R763" s="74">
        <v>75</v>
      </c>
      <c r="S763" s="76">
        <v>3836.36</v>
      </c>
      <c r="T763" s="82">
        <f t="shared" si="22"/>
        <v>3337.36</v>
      </c>
      <c r="U763" s="77">
        <f t="shared" si="23"/>
        <v>3337.36</v>
      </c>
      <c r="V763" s="78">
        <v>499</v>
      </c>
      <c r="W763" s="80" t="s">
        <v>233</v>
      </c>
      <c r="X763" s="81" t="s">
        <v>233</v>
      </c>
      <c r="Y763" s="4" t="s">
        <v>233</v>
      </c>
      <c r="Z763" s="81" t="s">
        <v>233</v>
      </c>
      <c r="AA763" s="64" t="s">
        <v>233</v>
      </c>
      <c r="AB763" s="81" t="s">
        <v>233</v>
      </c>
      <c r="AC763" s="64" t="s">
        <v>240</v>
      </c>
      <c r="AD763" s="64" t="s">
        <v>233</v>
      </c>
      <c r="AE763" s="64" t="s">
        <v>240</v>
      </c>
      <c r="AF763" s="210">
        <v>0</v>
      </c>
      <c r="AG763" s="4">
        <v>1</v>
      </c>
      <c r="AH763" s="64">
        <v>1</v>
      </c>
      <c r="AI763" s="4">
        <v>1</v>
      </c>
      <c r="AJ763" s="4">
        <v>1</v>
      </c>
      <c r="AK763" s="4">
        <v>0</v>
      </c>
    </row>
    <row r="764" spans="1:37" outlineLevel="1">
      <c r="A764" s="63">
        <v>757</v>
      </c>
      <c r="B764" s="64" t="s">
        <v>190</v>
      </c>
      <c r="C764" s="64" t="s">
        <v>235</v>
      </c>
      <c r="D764" s="4" t="str">
        <f>[1]Лист2!B757</f>
        <v>УГЛОВОЙ пер.</v>
      </c>
      <c r="E764" s="69">
        <f>[1]Лист2!C757</f>
        <v>4</v>
      </c>
      <c r="F764" s="197" t="str">
        <f>[1]Лист2!D757</f>
        <v>А</v>
      </c>
      <c r="G764" s="64"/>
      <c r="H764" s="199">
        <v>129757</v>
      </c>
      <c r="I764" s="64" t="s">
        <v>234</v>
      </c>
      <c r="J764" s="4"/>
      <c r="K764" s="64" t="s">
        <v>232</v>
      </c>
      <c r="L764" s="4" t="s">
        <v>232</v>
      </c>
      <c r="M764" s="72">
        <v>1875</v>
      </c>
      <c r="N764" s="64" t="s">
        <v>385</v>
      </c>
      <c r="O764" s="73">
        <v>6</v>
      </c>
      <c r="P764" s="196">
        <v>0</v>
      </c>
      <c r="Q764" s="73">
        <v>4</v>
      </c>
      <c r="R764" s="74">
        <v>92</v>
      </c>
      <c r="S764" s="76">
        <v>3927.93</v>
      </c>
      <c r="T764" s="82">
        <f t="shared" si="22"/>
        <v>3088.83</v>
      </c>
      <c r="U764" s="77">
        <f t="shared" si="23"/>
        <v>3088.83</v>
      </c>
      <c r="V764" s="78">
        <v>839.1</v>
      </c>
      <c r="W764" s="80" t="s">
        <v>233</v>
      </c>
      <c r="X764" s="81" t="s">
        <v>233</v>
      </c>
      <c r="Y764" s="4" t="s">
        <v>233</v>
      </c>
      <c r="Z764" s="81" t="s">
        <v>233</v>
      </c>
      <c r="AA764" s="64" t="s">
        <v>233</v>
      </c>
      <c r="AB764" s="81" t="s">
        <v>233</v>
      </c>
      <c r="AC764" s="64" t="s">
        <v>240</v>
      </c>
      <c r="AD764" s="64" t="s">
        <v>233</v>
      </c>
      <c r="AE764" s="64" t="s">
        <v>240</v>
      </c>
      <c r="AF764" s="210">
        <v>0</v>
      </c>
      <c r="AG764" s="4">
        <v>1</v>
      </c>
      <c r="AH764" s="64">
        <v>1</v>
      </c>
      <c r="AI764" s="4">
        <v>1</v>
      </c>
      <c r="AJ764" s="4">
        <v>1</v>
      </c>
      <c r="AK764" s="4">
        <v>0</v>
      </c>
    </row>
    <row r="765" spans="1:37" outlineLevel="1">
      <c r="A765" s="63">
        <v>758</v>
      </c>
      <c r="B765" s="64" t="s">
        <v>190</v>
      </c>
      <c r="C765" s="64" t="s">
        <v>235</v>
      </c>
      <c r="D765" s="4" t="str">
        <f>[1]Лист2!B758</f>
        <v>УГЛОВОЙ пер.</v>
      </c>
      <c r="E765" s="69">
        <f>[1]Лист2!C758</f>
        <v>5</v>
      </c>
      <c r="F765" s="197" t="str">
        <f>[1]Лист2!D758</f>
        <v>А</v>
      </c>
      <c r="G765" s="64"/>
      <c r="H765" s="199">
        <v>129758</v>
      </c>
      <c r="I765" s="64" t="s">
        <v>234</v>
      </c>
      <c r="J765" s="4"/>
      <c r="K765" s="64" t="s">
        <v>232</v>
      </c>
      <c r="L765" s="4" t="s">
        <v>232</v>
      </c>
      <c r="M765" s="72">
        <v>1875</v>
      </c>
      <c r="N765" s="64" t="s">
        <v>385</v>
      </c>
      <c r="O765" s="73">
        <v>6</v>
      </c>
      <c r="P765" s="196">
        <v>0</v>
      </c>
      <c r="Q765" s="73">
        <v>4</v>
      </c>
      <c r="R765" s="74">
        <v>90</v>
      </c>
      <c r="S765" s="76">
        <v>3728.2599999999998</v>
      </c>
      <c r="T765" s="82">
        <f t="shared" si="22"/>
        <v>3376.9599999999996</v>
      </c>
      <c r="U765" s="77">
        <f t="shared" si="23"/>
        <v>3376.9599999999996</v>
      </c>
      <c r="V765" s="78">
        <v>351.3</v>
      </c>
      <c r="W765" s="80" t="s">
        <v>233</v>
      </c>
      <c r="X765" s="81" t="s">
        <v>233</v>
      </c>
      <c r="Y765" s="4" t="s">
        <v>233</v>
      </c>
      <c r="Z765" s="81" t="s">
        <v>233</v>
      </c>
      <c r="AA765" s="64" t="s">
        <v>233</v>
      </c>
      <c r="AB765" s="81" t="s">
        <v>233</v>
      </c>
      <c r="AC765" s="64" t="s">
        <v>240</v>
      </c>
      <c r="AD765" s="64" t="s">
        <v>233</v>
      </c>
      <c r="AE765" s="64" t="s">
        <v>240</v>
      </c>
      <c r="AF765" s="210">
        <v>4</v>
      </c>
      <c r="AG765" s="4">
        <v>3</v>
      </c>
      <c r="AH765" s="64">
        <v>1</v>
      </c>
      <c r="AI765" s="4">
        <v>0</v>
      </c>
      <c r="AJ765" s="4">
        <v>0</v>
      </c>
      <c r="AK765" s="4">
        <v>0</v>
      </c>
    </row>
    <row r="766" spans="1:37" outlineLevel="1">
      <c r="A766" s="5">
        <v>759</v>
      </c>
      <c r="B766" s="64" t="s">
        <v>190</v>
      </c>
      <c r="C766" s="64" t="s">
        <v>235</v>
      </c>
      <c r="D766" s="4" t="str">
        <f>[1]Лист2!B759</f>
        <v>УГЛОВОЙ пер.</v>
      </c>
      <c r="E766" s="69">
        <f>[1]Лист2!C759</f>
        <v>7</v>
      </c>
      <c r="F766" s="197" t="str">
        <f>[1]Лист2!D759</f>
        <v>А</v>
      </c>
      <c r="G766" s="4"/>
      <c r="H766" s="199">
        <v>129759</v>
      </c>
      <c r="I766" s="64" t="s">
        <v>234</v>
      </c>
      <c r="J766" s="4"/>
      <c r="K766" s="64" t="s">
        <v>232</v>
      </c>
      <c r="L766" s="4" t="s">
        <v>232</v>
      </c>
      <c r="M766" s="72">
        <v>1917</v>
      </c>
      <c r="N766" s="64" t="s">
        <v>385</v>
      </c>
      <c r="O766" s="73">
        <v>6</v>
      </c>
      <c r="P766" s="196">
        <v>0</v>
      </c>
      <c r="Q766" s="73">
        <v>4</v>
      </c>
      <c r="R766" s="74">
        <v>72</v>
      </c>
      <c r="S766" s="76">
        <v>3818.03</v>
      </c>
      <c r="T766" s="82">
        <f t="shared" si="22"/>
        <v>3673.9300000000003</v>
      </c>
      <c r="U766" s="77">
        <f t="shared" si="23"/>
        <v>3673.9300000000003</v>
      </c>
      <c r="V766" s="78">
        <v>144.1</v>
      </c>
      <c r="W766" s="80" t="s">
        <v>233</v>
      </c>
      <c r="X766" s="81" t="s">
        <v>233</v>
      </c>
      <c r="Y766" s="4" t="s">
        <v>233</v>
      </c>
      <c r="Z766" s="81" t="s">
        <v>233</v>
      </c>
      <c r="AA766" s="64" t="s">
        <v>233</v>
      </c>
      <c r="AB766" s="81" t="s">
        <v>233</v>
      </c>
      <c r="AC766" s="64" t="s">
        <v>240</v>
      </c>
      <c r="AD766" s="64" t="s">
        <v>233</v>
      </c>
      <c r="AE766" s="64" t="s">
        <v>240</v>
      </c>
      <c r="AF766" s="210">
        <v>0</v>
      </c>
      <c r="AG766" s="4">
        <v>1</v>
      </c>
      <c r="AH766" s="64">
        <v>1</v>
      </c>
      <c r="AI766" s="4">
        <v>0</v>
      </c>
      <c r="AJ766" s="4">
        <v>0</v>
      </c>
      <c r="AK766" s="4">
        <v>0</v>
      </c>
    </row>
    <row r="767" spans="1:37" outlineLevel="1">
      <c r="A767" s="5">
        <v>760</v>
      </c>
      <c r="B767" s="64" t="s">
        <v>190</v>
      </c>
      <c r="C767" s="64" t="s">
        <v>235</v>
      </c>
      <c r="D767" s="4" t="str">
        <f>[1]Лист2!B760</f>
        <v>УГЛОВОЙ пер.</v>
      </c>
      <c r="E767" s="69">
        <f>[1]Лист2!C760</f>
        <v>9</v>
      </c>
      <c r="F767" s="197" t="str">
        <f>[1]Лист2!D760</f>
        <v>А</v>
      </c>
      <c r="G767" s="4"/>
      <c r="H767" s="199">
        <v>129760</v>
      </c>
      <c r="I767" s="64" t="s">
        <v>234</v>
      </c>
      <c r="J767" s="4"/>
      <c r="K767" s="64" t="s">
        <v>232</v>
      </c>
      <c r="L767" s="4" t="s">
        <v>232</v>
      </c>
      <c r="M767" s="72">
        <v>1875</v>
      </c>
      <c r="N767" s="64" t="s">
        <v>385</v>
      </c>
      <c r="O767" s="73">
        <v>5</v>
      </c>
      <c r="P767" s="196">
        <v>0</v>
      </c>
      <c r="Q767" s="73">
        <v>5</v>
      </c>
      <c r="R767" s="74">
        <v>77</v>
      </c>
      <c r="S767" s="76">
        <v>3442.6000000000004</v>
      </c>
      <c r="T767" s="82">
        <f t="shared" si="22"/>
        <v>2935.8100000000004</v>
      </c>
      <c r="U767" s="77">
        <f t="shared" si="23"/>
        <v>2935.8100000000004</v>
      </c>
      <c r="V767" s="78">
        <v>506.79</v>
      </c>
      <c r="W767" s="80" t="s">
        <v>233</v>
      </c>
      <c r="X767" s="81" t="s">
        <v>233</v>
      </c>
      <c r="Y767" s="4" t="s">
        <v>233</v>
      </c>
      <c r="Z767" s="81" t="s">
        <v>233</v>
      </c>
      <c r="AA767" s="64" t="s">
        <v>233</v>
      </c>
      <c r="AB767" s="81" t="s">
        <v>233</v>
      </c>
      <c r="AC767" s="64" t="s">
        <v>240</v>
      </c>
      <c r="AD767" s="64" t="s">
        <v>233</v>
      </c>
      <c r="AE767" s="64" t="s">
        <v>240</v>
      </c>
      <c r="AF767" s="210">
        <v>0</v>
      </c>
      <c r="AG767" s="4">
        <v>1</v>
      </c>
      <c r="AH767" s="64">
        <v>1</v>
      </c>
      <c r="AI767" s="4">
        <v>0</v>
      </c>
      <c r="AJ767" s="4">
        <v>0</v>
      </c>
      <c r="AK767" s="4">
        <v>0</v>
      </c>
    </row>
    <row r="768" spans="1:37" outlineLevel="1">
      <c r="A768" s="5">
        <v>761</v>
      </c>
      <c r="B768" s="64" t="s">
        <v>190</v>
      </c>
      <c r="C768" s="4" t="s">
        <v>237</v>
      </c>
      <c r="D768" s="4" t="str">
        <f>[1]Лист2!B761</f>
        <v>ФОНТАНКИ наб.реки</v>
      </c>
      <c r="E768" s="69">
        <f>[1]Лист2!C761</f>
        <v>116</v>
      </c>
      <c r="F768" s="197" t="str">
        <f>[1]Лист2!D761</f>
        <v>А</v>
      </c>
      <c r="G768" s="64"/>
      <c r="H768" s="199">
        <v>129761</v>
      </c>
      <c r="I768" s="64" t="s">
        <v>234</v>
      </c>
      <c r="J768" s="4"/>
      <c r="K768" s="64" t="s">
        <v>232</v>
      </c>
      <c r="L768" s="4" t="s">
        <v>232</v>
      </c>
      <c r="M768" s="72">
        <v>1917</v>
      </c>
      <c r="N768" s="64" t="s">
        <v>385</v>
      </c>
      <c r="O768" s="73">
        <v>4</v>
      </c>
      <c r="P768" s="196">
        <v>0</v>
      </c>
      <c r="Q768" s="73">
        <v>3</v>
      </c>
      <c r="R768" s="74">
        <v>96</v>
      </c>
      <c r="S768" s="76">
        <v>3247.7000000000003</v>
      </c>
      <c r="T768" s="82">
        <f t="shared" si="22"/>
        <v>3085.9</v>
      </c>
      <c r="U768" s="77">
        <f t="shared" si="23"/>
        <v>3085.9</v>
      </c>
      <c r="V768" s="78">
        <v>161.80000000000001</v>
      </c>
      <c r="W768" s="80" t="s">
        <v>233</v>
      </c>
      <c r="X768" s="81" t="s">
        <v>233</v>
      </c>
      <c r="Y768" s="4" t="s">
        <v>233</v>
      </c>
      <c r="Z768" s="81" t="s">
        <v>233</v>
      </c>
      <c r="AA768" s="64" t="s">
        <v>233</v>
      </c>
      <c r="AB768" s="81" t="s">
        <v>233</v>
      </c>
      <c r="AC768" s="64" t="s">
        <v>240</v>
      </c>
      <c r="AD768" s="64" t="s">
        <v>233</v>
      </c>
      <c r="AE768" s="64" t="s">
        <v>240</v>
      </c>
      <c r="AF768" s="210">
        <v>0</v>
      </c>
      <c r="AG768" s="4">
        <v>1</v>
      </c>
      <c r="AH768" s="64">
        <v>1</v>
      </c>
      <c r="AI768" s="4">
        <v>1</v>
      </c>
      <c r="AJ768" s="4">
        <v>1</v>
      </c>
      <c r="AK768" s="4">
        <v>0</v>
      </c>
    </row>
    <row r="769" spans="1:37" outlineLevel="1">
      <c r="A769" s="5">
        <v>762</v>
      </c>
      <c r="B769" s="64" t="s">
        <v>190</v>
      </c>
      <c r="C769" s="4" t="s">
        <v>237</v>
      </c>
      <c r="D769" s="4" t="str">
        <f>[1]Лист2!B762</f>
        <v>ФОНТАНКИ наб.реки</v>
      </c>
      <c r="E769" s="69">
        <f>[1]Лист2!C762</f>
        <v>116</v>
      </c>
      <c r="F769" s="197" t="str">
        <f>[1]Лист2!D762</f>
        <v>Б</v>
      </c>
      <c r="G769" s="64"/>
      <c r="H769" s="199">
        <v>129762</v>
      </c>
      <c r="I769" s="64" t="s">
        <v>234</v>
      </c>
      <c r="J769" s="4" t="s">
        <v>1422</v>
      </c>
      <c r="K769" s="64" t="s">
        <v>232</v>
      </c>
      <c r="L769" s="4" t="s">
        <v>232</v>
      </c>
      <c r="M769" s="97">
        <v>1917</v>
      </c>
      <c r="N769" s="64" t="s">
        <v>385</v>
      </c>
      <c r="O769" s="73"/>
      <c r="P769" s="196">
        <v>0</v>
      </c>
      <c r="Q769" s="73">
        <v>1</v>
      </c>
      <c r="R769" s="203">
        <v>24</v>
      </c>
      <c r="S769" s="76">
        <v>7946.6</v>
      </c>
      <c r="T769" s="82">
        <f t="shared" si="22"/>
        <v>0</v>
      </c>
      <c r="U769" s="77">
        <f t="shared" si="23"/>
        <v>0</v>
      </c>
      <c r="V769" s="78">
        <v>7946.6</v>
      </c>
      <c r="W769" s="80" t="s">
        <v>233</v>
      </c>
      <c r="X769" s="81" t="s">
        <v>233</v>
      </c>
      <c r="Y769" s="4" t="s">
        <v>233</v>
      </c>
      <c r="Z769" s="81" t="s">
        <v>233</v>
      </c>
      <c r="AA769" s="64" t="s">
        <v>233</v>
      </c>
      <c r="AB769" s="81" t="s">
        <v>233</v>
      </c>
      <c r="AC769" s="64" t="s">
        <v>240</v>
      </c>
      <c r="AD769" s="64" t="s">
        <v>233</v>
      </c>
      <c r="AE769" s="64" t="s">
        <v>240</v>
      </c>
      <c r="AF769" s="211">
        <v>0</v>
      </c>
      <c r="AG769" s="4">
        <v>1</v>
      </c>
      <c r="AH769" s="64">
        <v>1</v>
      </c>
      <c r="AI769" s="4">
        <v>0</v>
      </c>
      <c r="AJ769" s="4">
        <v>0</v>
      </c>
      <c r="AK769" s="4">
        <v>0</v>
      </c>
    </row>
    <row r="770" spans="1:37" outlineLevel="1">
      <c r="A770" s="63">
        <v>763</v>
      </c>
      <c r="B770" s="64" t="s">
        <v>190</v>
      </c>
      <c r="C770" s="4" t="s">
        <v>237</v>
      </c>
      <c r="D770" s="4" t="str">
        <f>[1]Лист2!B763</f>
        <v>ФОНТАНКИ наб.реки</v>
      </c>
      <c r="E770" s="69">
        <f>[1]Лист2!C763</f>
        <v>126</v>
      </c>
      <c r="F770" s="197" t="str">
        <f>[1]Лист2!D763</f>
        <v>А</v>
      </c>
      <c r="G770" s="4"/>
      <c r="H770" s="199">
        <v>129763</v>
      </c>
      <c r="I770" s="64" t="s">
        <v>234</v>
      </c>
      <c r="J770" s="4"/>
      <c r="K770" s="64" t="s">
        <v>232</v>
      </c>
      <c r="L770" s="4" t="s">
        <v>232</v>
      </c>
      <c r="M770" s="72">
        <v>1912</v>
      </c>
      <c r="N770" s="64" t="s">
        <v>385</v>
      </c>
      <c r="O770" s="73">
        <v>6</v>
      </c>
      <c r="P770" s="196">
        <v>0</v>
      </c>
      <c r="Q770" s="73">
        <v>9</v>
      </c>
      <c r="R770" s="74">
        <v>229</v>
      </c>
      <c r="S770" s="76">
        <v>13285.2</v>
      </c>
      <c r="T770" s="82">
        <f t="shared" si="22"/>
        <v>12075.5</v>
      </c>
      <c r="U770" s="77">
        <f t="shared" si="23"/>
        <v>12075.5</v>
      </c>
      <c r="V770" s="78">
        <v>1209.7</v>
      </c>
      <c r="W770" s="80" t="s">
        <v>233</v>
      </c>
      <c r="X770" s="81" t="s">
        <v>233</v>
      </c>
      <c r="Y770" s="4" t="s">
        <v>233</v>
      </c>
      <c r="Z770" s="81" t="s">
        <v>233</v>
      </c>
      <c r="AA770" s="64" t="s">
        <v>233</v>
      </c>
      <c r="AB770" s="81" t="s">
        <v>233</v>
      </c>
      <c r="AC770" s="64" t="s">
        <v>240</v>
      </c>
      <c r="AD770" s="64" t="s">
        <v>233</v>
      </c>
      <c r="AE770" s="64" t="s">
        <v>240</v>
      </c>
      <c r="AF770" s="210">
        <v>4</v>
      </c>
      <c r="AG770" s="4">
        <v>2</v>
      </c>
      <c r="AH770" s="64">
        <v>2</v>
      </c>
      <c r="AI770" s="4">
        <v>1</v>
      </c>
      <c r="AJ770" s="4">
        <v>1</v>
      </c>
      <c r="AK770" s="4">
        <v>0</v>
      </c>
    </row>
    <row r="771" spans="1:37" outlineLevel="1">
      <c r="A771" s="63">
        <v>764</v>
      </c>
      <c r="B771" s="64" t="s">
        <v>190</v>
      </c>
      <c r="C771" s="4" t="s">
        <v>237</v>
      </c>
      <c r="D771" s="4" t="str">
        <f>[1]Лист2!B764</f>
        <v>ФОНТАНКИ наб.реки</v>
      </c>
      <c r="E771" s="69">
        <f>[1]Лист2!C764</f>
        <v>128</v>
      </c>
      <c r="F771" s="197" t="str">
        <f>[1]Лист2!D764</f>
        <v>А</v>
      </c>
      <c r="G771" s="4"/>
      <c r="H771" s="199">
        <v>129764</v>
      </c>
      <c r="I771" s="64" t="s">
        <v>234</v>
      </c>
      <c r="J771" s="4"/>
      <c r="K771" s="64" t="s">
        <v>232</v>
      </c>
      <c r="L771" s="4" t="s">
        <v>232</v>
      </c>
      <c r="M771" s="72">
        <v>1857</v>
      </c>
      <c r="N771" s="64" t="s">
        <v>385</v>
      </c>
      <c r="O771" s="73">
        <v>4</v>
      </c>
      <c r="P771" s="196">
        <v>0</v>
      </c>
      <c r="Q771" s="73">
        <v>1</v>
      </c>
      <c r="R771" s="74">
        <v>40</v>
      </c>
      <c r="S771" s="76">
        <v>1352.6</v>
      </c>
      <c r="T771" s="82">
        <f t="shared" si="22"/>
        <v>1346.3999999999999</v>
      </c>
      <c r="U771" s="77">
        <f t="shared" si="23"/>
        <v>1346.3999999999999</v>
      </c>
      <c r="V771" s="78">
        <v>6.2</v>
      </c>
      <c r="W771" s="80" t="s">
        <v>233</v>
      </c>
      <c r="X771" s="81" t="s">
        <v>233</v>
      </c>
      <c r="Y771" s="4" t="s">
        <v>233</v>
      </c>
      <c r="Z771" s="81" t="s">
        <v>233</v>
      </c>
      <c r="AA771" s="64" t="s">
        <v>233</v>
      </c>
      <c r="AB771" s="81" t="s">
        <v>233</v>
      </c>
      <c r="AC771" s="64" t="s">
        <v>240</v>
      </c>
      <c r="AD771" s="64" t="s">
        <v>233</v>
      </c>
      <c r="AE771" s="64" t="s">
        <v>240</v>
      </c>
      <c r="AF771" s="210">
        <v>0</v>
      </c>
      <c r="AG771" s="4">
        <v>1</v>
      </c>
      <c r="AH771" s="64">
        <v>1</v>
      </c>
      <c r="AI771" s="4">
        <v>0</v>
      </c>
      <c r="AJ771" s="4">
        <v>0</v>
      </c>
      <c r="AK771" s="4">
        <v>0</v>
      </c>
    </row>
    <row r="772" spans="1:37" outlineLevel="1">
      <c r="A772" s="5">
        <v>765</v>
      </c>
      <c r="B772" s="64" t="s">
        <v>190</v>
      </c>
      <c r="C772" s="4" t="s">
        <v>237</v>
      </c>
      <c r="D772" s="4" t="str">
        <f>[1]Лист2!B765</f>
        <v>ФОНТАНКИ наб.реки</v>
      </c>
      <c r="E772" s="69">
        <f>[1]Лист2!C765</f>
        <v>130</v>
      </c>
      <c r="F772" s="197" t="str">
        <f>[1]Лист2!D765</f>
        <v>А</v>
      </c>
      <c r="G772" s="64"/>
      <c r="H772" s="199">
        <v>129765</v>
      </c>
      <c r="I772" s="64" t="s">
        <v>234</v>
      </c>
      <c r="J772" s="4"/>
      <c r="K772" s="64" t="s">
        <v>232</v>
      </c>
      <c r="L772" s="4" t="s">
        <v>232</v>
      </c>
      <c r="M772" s="72">
        <v>1912</v>
      </c>
      <c r="N772" s="64" t="s">
        <v>385</v>
      </c>
      <c r="O772" s="73">
        <v>3</v>
      </c>
      <c r="P772" s="196">
        <v>0</v>
      </c>
      <c r="Q772" s="73">
        <v>4</v>
      </c>
      <c r="R772" s="74">
        <v>30</v>
      </c>
      <c r="S772" s="76">
        <v>1877.5</v>
      </c>
      <c r="T772" s="82">
        <f t="shared" si="22"/>
        <v>1251.71</v>
      </c>
      <c r="U772" s="77">
        <f t="shared" si="23"/>
        <v>1251.71</v>
      </c>
      <c r="V772" s="78">
        <v>625.79</v>
      </c>
      <c r="W772" s="80" t="s">
        <v>233</v>
      </c>
      <c r="X772" s="81" t="s">
        <v>233</v>
      </c>
      <c r="Y772" s="4" t="s">
        <v>233</v>
      </c>
      <c r="Z772" s="81" t="s">
        <v>233</v>
      </c>
      <c r="AA772" s="64" t="s">
        <v>233</v>
      </c>
      <c r="AB772" s="81" t="s">
        <v>233</v>
      </c>
      <c r="AC772" s="64" t="s">
        <v>240</v>
      </c>
      <c r="AD772" s="64" t="s">
        <v>233</v>
      </c>
      <c r="AE772" s="64" t="s">
        <v>240</v>
      </c>
      <c r="AF772" s="210">
        <v>0</v>
      </c>
      <c r="AG772" s="4">
        <v>1</v>
      </c>
      <c r="AH772" s="64">
        <v>1</v>
      </c>
      <c r="AI772" s="4">
        <v>1</v>
      </c>
      <c r="AJ772" s="4">
        <v>1</v>
      </c>
      <c r="AK772" s="4">
        <v>0</v>
      </c>
    </row>
    <row r="773" spans="1:37" outlineLevel="1">
      <c r="A773" s="5">
        <v>766</v>
      </c>
      <c r="B773" s="64" t="s">
        <v>190</v>
      </c>
      <c r="C773" s="4" t="s">
        <v>237</v>
      </c>
      <c r="D773" s="4" t="str">
        <f>[1]Лист2!B766</f>
        <v>ФОНТАНКИ наб.реки</v>
      </c>
      <c r="E773" s="69">
        <f>[1]Лист2!C766</f>
        <v>134</v>
      </c>
      <c r="F773" s="197" t="str">
        <f>[1]Лист2!D766</f>
        <v>А</v>
      </c>
      <c r="G773" s="64"/>
      <c r="H773" s="199">
        <v>129766</v>
      </c>
      <c r="I773" s="64" t="s">
        <v>234</v>
      </c>
      <c r="J773" s="4"/>
      <c r="K773" s="64" t="s">
        <v>232</v>
      </c>
      <c r="L773" s="4" t="s">
        <v>232</v>
      </c>
      <c r="M773" s="72">
        <v>1917</v>
      </c>
      <c r="N773" s="64" t="s">
        <v>385</v>
      </c>
      <c r="O773" s="73">
        <v>5</v>
      </c>
      <c r="P773" s="196">
        <v>0</v>
      </c>
      <c r="Q773" s="73">
        <v>5</v>
      </c>
      <c r="R773" s="74">
        <v>122</v>
      </c>
      <c r="S773" s="76">
        <v>4797.6000000000004</v>
      </c>
      <c r="T773" s="82">
        <f t="shared" si="22"/>
        <v>4752.5</v>
      </c>
      <c r="U773" s="77">
        <f t="shared" si="23"/>
        <v>4752.5</v>
      </c>
      <c r="V773" s="78">
        <v>45.1</v>
      </c>
      <c r="W773" s="80" t="s">
        <v>233</v>
      </c>
      <c r="X773" s="81" t="s">
        <v>233</v>
      </c>
      <c r="Y773" s="4" t="s">
        <v>233</v>
      </c>
      <c r="Z773" s="81" t="s">
        <v>233</v>
      </c>
      <c r="AA773" s="64" t="s">
        <v>233</v>
      </c>
      <c r="AB773" s="81" t="s">
        <v>233</v>
      </c>
      <c r="AC773" s="64" t="s">
        <v>240</v>
      </c>
      <c r="AD773" s="64" t="s">
        <v>233</v>
      </c>
      <c r="AE773" s="64" t="s">
        <v>240</v>
      </c>
      <c r="AF773" s="210">
        <v>5</v>
      </c>
      <c r="AG773" s="4">
        <v>2</v>
      </c>
      <c r="AH773" s="64">
        <v>1</v>
      </c>
      <c r="AI773" s="4">
        <v>1</v>
      </c>
      <c r="AJ773" s="4">
        <v>1</v>
      </c>
      <c r="AK773" s="4">
        <v>0</v>
      </c>
    </row>
    <row r="774" spans="1:37" s="65" customFormat="1" outlineLevel="1">
      <c r="A774" s="5">
        <v>767</v>
      </c>
      <c r="B774" s="64" t="s">
        <v>190</v>
      </c>
      <c r="C774" s="4" t="s">
        <v>237</v>
      </c>
      <c r="D774" s="64" t="str">
        <f>[1]Лист2!B767</f>
        <v>ФОНТАНКИ наб.реки</v>
      </c>
      <c r="E774" s="71" t="str">
        <f>[1]Лист2!C767</f>
        <v>134б</v>
      </c>
      <c r="F774" s="196" t="s">
        <v>191</v>
      </c>
      <c r="G774" s="4"/>
      <c r="H774" s="67">
        <v>129767</v>
      </c>
      <c r="I774" s="64" t="s">
        <v>234</v>
      </c>
      <c r="J774" s="4" t="s">
        <v>1422</v>
      </c>
      <c r="K774" s="64" t="s">
        <v>232</v>
      </c>
      <c r="L774" s="64" t="s">
        <v>232</v>
      </c>
      <c r="M774" s="72">
        <v>1935</v>
      </c>
      <c r="N774" s="64" t="s">
        <v>385</v>
      </c>
      <c r="O774" s="73">
        <v>4</v>
      </c>
      <c r="P774" s="196">
        <v>0</v>
      </c>
      <c r="Q774" s="73">
        <v>1</v>
      </c>
      <c r="R774" s="203">
        <v>28</v>
      </c>
      <c r="S774" s="75">
        <v>1583.8</v>
      </c>
      <c r="T774" s="82">
        <f t="shared" si="22"/>
        <v>0</v>
      </c>
      <c r="U774" s="77">
        <f t="shared" si="23"/>
        <v>0</v>
      </c>
      <c r="V774" s="77">
        <v>1583.8</v>
      </c>
      <c r="W774" s="80" t="s">
        <v>233</v>
      </c>
      <c r="X774" s="81" t="s">
        <v>233</v>
      </c>
      <c r="Y774" s="64" t="s">
        <v>233</v>
      </c>
      <c r="Z774" s="81" t="s">
        <v>233</v>
      </c>
      <c r="AA774" s="64" t="s">
        <v>233</v>
      </c>
      <c r="AB774" s="81" t="s">
        <v>233</v>
      </c>
      <c r="AC774" s="64" t="s">
        <v>240</v>
      </c>
      <c r="AD774" s="64" t="s">
        <v>233</v>
      </c>
      <c r="AE774" s="64" t="s">
        <v>240</v>
      </c>
      <c r="AF774" s="211">
        <v>0</v>
      </c>
      <c r="AG774" s="4">
        <v>1</v>
      </c>
      <c r="AH774" s="64">
        <v>1</v>
      </c>
      <c r="AI774" s="64">
        <v>0</v>
      </c>
      <c r="AJ774" s="64">
        <v>0</v>
      </c>
      <c r="AK774" s="64">
        <v>0</v>
      </c>
    </row>
    <row r="775" spans="1:37" s="65" customFormat="1" outlineLevel="1">
      <c r="A775" s="5">
        <v>768</v>
      </c>
      <c r="B775" s="64" t="s">
        <v>190</v>
      </c>
      <c r="C775" s="4" t="s">
        <v>237</v>
      </c>
      <c r="D775" s="64" t="str">
        <f>[1]Лист2!B768</f>
        <v>ФОНТАНКИ наб.реки</v>
      </c>
      <c r="E775" s="71" t="str">
        <f>[1]Лист2!C768</f>
        <v>134б</v>
      </c>
      <c r="F775" s="196" t="s">
        <v>231</v>
      </c>
      <c r="G775" s="4"/>
      <c r="H775" s="67">
        <v>129768</v>
      </c>
      <c r="I775" s="64" t="s">
        <v>234</v>
      </c>
      <c r="J775" s="4" t="s">
        <v>1422</v>
      </c>
      <c r="K775" s="64" t="s">
        <v>232</v>
      </c>
      <c r="L775" s="64" t="s">
        <v>232</v>
      </c>
      <c r="M775" s="72">
        <v>1935</v>
      </c>
      <c r="N775" s="64" t="s">
        <v>385</v>
      </c>
      <c r="O775" s="73">
        <v>1</v>
      </c>
      <c r="P775" s="196">
        <v>0</v>
      </c>
      <c r="Q775" s="73">
        <v>1</v>
      </c>
      <c r="R775" s="203">
        <v>29</v>
      </c>
      <c r="S775" s="75">
        <v>29.9</v>
      </c>
      <c r="T775" s="82">
        <f t="shared" si="22"/>
        <v>0</v>
      </c>
      <c r="U775" s="77">
        <f t="shared" si="23"/>
        <v>0</v>
      </c>
      <c r="V775" s="77">
        <v>29.9</v>
      </c>
      <c r="W775" s="80" t="s">
        <v>233</v>
      </c>
      <c r="X775" s="81" t="s">
        <v>233</v>
      </c>
      <c r="Y775" s="64" t="s">
        <v>233</v>
      </c>
      <c r="Z775" s="81" t="s">
        <v>233</v>
      </c>
      <c r="AA775" s="64" t="s">
        <v>233</v>
      </c>
      <c r="AB775" s="81" t="s">
        <v>233</v>
      </c>
      <c r="AC775" s="64" t="s">
        <v>240</v>
      </c>
      <c r="AD775" s="64" t="s">
        <v>233</v>
      </c>
      <c r="AE775" s="64" t="s">
        <v>240</v>
      </c>
      <c r="AF775" s="211">
        <v>0</v>
      </c>
      <c r="AG775" s="4">
        <v>1</v>
      </c>
      <c r="AH775" s="64">
        <v>1</v>
      </c>
      <c r="AI775" s="64">
        <v>0</v>
      </c>
      <c r="AJ775" s="64">
        <v>0</v>
      </c>
      <c r="AK775" s="64">
        <v>0</v>
      </c>
    </row>
    <row r="776" spans="1:37" s="65" customFormat="1" outlineLevel="1">
      <c r="A776" s="63">
        <v>769</v>
      </c>
      <c r="B776" s="64" t="s">
        <v>190</v>
      </c>
      <c r="C776" s="4" t="s">
        <v>237</v>
      </c>
      <c r="D776" s="64" t="str">
        <f>[1]Лист2!B769</f>
        <v>ФОНТАНКИ наб.реки</v>
      </c>
      <c r="E776" s="71">
        <f>[1]Лист2!C769</f>
        <v>136</v>
      </c>
      <c r="F776" s="196" t="str">
        <f>[1]Лист2!D769</f>
        <v>А</v>
      </c>
      <c r="G776" s="64"/>
      <c r="H776" s="67">
        <v>129769</v>
      </c>
      <c r="I776" s="64" t="s">
        <v>234</v>
      </c>
      <c r="J776" s="64"/>
      <c r="K776" s="64" t="s">
        <v>232</v>
      </c>
      <c r="L776" s="64" t="s">
        <v>232</v>
      </c>
      <c r="M776" s="72">
        <v>1918</v>
      </c>
      <c r="N776" s="64" t="s">
        <v>385</v>
      </c>
      <c r="O776" s="73">
        <v>4</v>
      </c>
      <c r="P776" s="196">
        <v>0</v>
      </c>
      <c r="Q776" s="73">
        <v>5</v>
      </c>
      <c r="R776" s="74">
        <v>80</v>
      </c>
      <c r="S776" s="75">
        <v>3212.3</v>
      </c>
      <c r="T776" s="82">
        <f t="shared" si="22"/>
        <v>2586.9</v>
      </c>
      <c r="U776" s="77">
        <f t="shared" si="23"/>
        <v>2586.9</v>
      </c>
      <c r="V776" s="77">
        <v>625.4</v>
      </c>
      <c r="W776" s="80" t="s">
        <v>233</v>
      </c>
      <c r="X776" s="81" t="s">
        <v>233</v>
      </c>
      <c r="Y776" s="64" t="s">
        <v>233</v>
      </c>
      <c r="Z776" s="81" t="s">
        <v>233</v>
      </c>
      <c r="AA776" s="64" t="s">
        <v>233</v>
      </c>
      <c r="AB776" s="81" t="s">
        <v>233</v>
      </c>
      <c r="AC776" s="64" t="s">
        <v>240</v>
      </c>
      <c r="AD776" s="64" t="s">
        <v>233</v>
      </c>
      <c r="AE776" s="64" t="s">
        <v>240</v>
      </c>
      <c r="AF776" s="210">
        <v>0</v>
      </c>
      <c r="AG776" s="4">
        <v>1</v>
      </c>
      <c r="AH776" s="64">
        <v>1</v>
      </c>
      <c r="AI776" s="64">
        <v>0</v>
      </c>
      <c r="AJ776" s="64">
        <v>0</v>
      </c>
      <c r="AK776" s="64">
        <v>0</v>
      </c>
    </row>
    <row r="777" spans="1:37" s="65" customFormat="1" outlineLevel="1">
      <c r="A777" s="63">
        <v>770</v>
      </c>
      <c r="B777" s="64" t="s">
        <v>190</v>
      </c>
      <c r="C777" s="4" t="s">
        <v>237</v>
      </c>
      <c r="D777" s="64" t="str">
        <f>[1]Лист2!B770</f>
        <v>ФОНТАНКИ наб.реки</v>
      </c>
      <c r="E777" s="71">
        <f>[1]Лист2!C770</f>
        <v>149</v>
      </c>
      <c r="F777" s="196" t="str">
        <f>[1]Лист2!D770</f>
        <v>А</v>
      </c>
      <c r="G777" s="64"/>
      <c r="H777" s="67">
        <v>129770</v>
      </c>
      <c r="I777" s="64" t="s">
        <v>234</v>
      </c>
      <c r="J777" s="64"/>
      <c r="K777" s="64" t="s">
        <v>232</v>
      </c>
      <c r="L777" s="64" t="s">
        <v>232</v>
      </c>
      <c r="M777" s="72">
        <v>1880</v>
      </c>
      <c r="N777" s="64" t="s">
        <v>385</v>
      </c>
      <c r="O777" s="73">
        <v>4</v>
      </c>
      <c r="P777" s="196">
        <v>0</v>
      </c>
      <c r="Q777" s="73">
        <v>4</v>
      </c>
      <c r="R777" s="74">
        <v>35</v>
      </c>
      <c r="S777" s="75">
        <v>3626.9400000000005</v>
      </c>
      <c r="T777" s="82">
        <f t="shared" ref="T777:T801" si="24">U777</f>
        <v>2667.9400000000005</v>
      </c>
      <c r="U777" s="77">
        <f t="shared" ref="U777:U801" si="25">S777-V777</f>
        <v>2667.9400000000005</v>
      </c>
      <c r="V777" s="77">
        <v>959</v>
      </c>
      <c r="W777" s="80" t="s">
        <v>233</v>
      </c>
      <c r="X777" s="81" t="s">
        <v>233</v>
      </c>
      <c r="Y777" s="64" t="s">
        <v>233</v>
      </c>
      <c r="Z777" s="81" t="s">
        <v>233</v>
      </c>
      <c r="AA777" s="64" t="s">
        <v>233</v>
      </c>
      <c r="AB777" s="81" t="s">
        <v>233</v>
      </c>
      <c r="AC777" s="64" t="s">
        <v>240</v>
      </c>
      <c r="AD777" s="64" t="s">
        <v>233</v>
      </c>
      <c r="AE777" s="64" t="s">
        <v>240</v>
      </c>
      <c r="AF777" s="210">
        <v>0</v>
      </c>
      <c r="AG777" s="4">
        <v>1</v>
      </c>
      <c r="AH777" s="64">
        <v>1</v>
      </c>
      <c r="AI777" s="64">
        <v>0</v>
      </c>
      <c r="AJ777" s="64">
        <v>0</v>
      </c>
      <c r="AK777" s="64">
        <v>0</v>
      </c>
    </row>
    <row r="778" spans="1:37" s="65" customFormat="1" outlineLevel="1">
      <c r="A778" s="5">
        <v>771</v>
      </c>
      <c r="B778" s="64" t="s">
        <v>190</v>
      </c>
      <c r="C778" s="4" t="s">
        <v>237</v>
      </c>
      <c r="D778" s="64" t="str">
        <f>[1]Лист2!B771</f>
        <v>ФОНТАНКИ наб.реки</v>
      </c>
      <c r="E778" s="71">
        <f>[1]Лист2!C771</f>
        <v>150</v>
      </c>
      <c r="F778" s="196" t="str">
        <f>[1]Лист2!D771</f>
        <v>А</v>
      </c>
      <c r="G778" s="4"/>
      <c r="H778" s="67">
        <v>129771</v>
      </c>
      <c r="I778" s="64" t="s">
        <v>234</v>
      </c>
      <c r="J778" s="64"/>
      <c r="K778" s="64" t="s">
        <v>232</v>
      </c>
      <c r="L778" s="64" t="s">
        <v>232</v>
      </c>
      <c r="M778" s="72">
        <v>1879</v>
      </c>
      <c r="N778" s="64" t="s">
        <v>385</v>
      </c>
      <c r="O778" s="73">
        <v>5</v>
      </c>
      <c r="P778" s="196">
        <v>0</v>
      </c>
      <c r="Q778" s="73">
        <v>13</v>
      </c>
      <c r="R778" s="74">
        <v>187</v>
      </c>
      <c r="S778" s="75">
        <v>8043.2999999999993</v>
      </c>
      <c r="T778" s="82">
        <f t="shared" si="24"/>
        <v>7834.0999999999995</v>
      </c>
      <c r="U778" s="77">
        <f t="shared" si="25"/>
        <v>7834.0999999999995</v>
      </c>
      <c r="V778" s="77">
        <v>209.2</v>
      </c>
      <c r="W778" s="80" t="s">
        <v>233</v>
      </c>
      <c r="X778" s="81" t="s">
        <v>233</v>
      </c>
      <c r="Y778" s="64" t="s">
        <v>233</v>
      </c>
      <c r="Z778" s="81" t="s">
        <v>233</v>
      </c>
      <c r="AA778" s="64" t="s">
        <v>233</v>
      </c>
      <c r="AB778" s="81" t="s">
        <v>233</v>
      </c>
      <c r="AC778" s="64" t="s">
        <v>240</v>
      </c>
      <c r="AD778" s="64" t="s">
        <v>233</v>
      </c>
      <c r="AE778" s="64" t="s">
        <v>240</v>
      </c>
      <c r="AF778" s="210">
        <v>6</v>
      </c>
      <c r="AG778" s="4">
        <v>1</v>
      </c>
      <c r="AH778" s="64">
        <v>1</v>
      </c>
      <c r="AI778" s="64">
        <v>1</v>
      </c>
      <c r="AJ778" s="64">
        <v>1</v>
      </c>
      <c r="AK778" s="64">
        <v>0</v>
      </c>
    </row>
    <row r="779" spans="1:37" s="65" customFormat="1" outlineLevel="1">
      <c r="A779" s="5">
        <v>772</v>
      </c>
      <c r="B779" s="64" t="s">
        <v>190</v>
      </c>
      <c r="C779" s="4" t="s">
        <v>237</v>
      </c>
      <c r="D779" s="64" t="str">
        <f>[1]Лист2!B772</f>
        <v>ФОНТАНКИ наб.реки</v>
      </c>
      <c r="E779" s="71">
        <f>[1]Лист2!C772</f>
        <v>150</v>
      </c>
      <c r="F779" s="196" t="str">
        <f>[1]Лист2!D772</f>
        <v>Б</v>
      </c>
      <c r="G779" s="4"/>
      <c r="H779" s="67">
        <v>129772</v>
      </c>
      <c r="I779" s="64" t="s">
        <v>234</v>
      </c>
      <c r="J779" s="64"/>
      <c r="K779" s="64" t="s">
        <v>232</v>
      </c>
      <c r="L779" s="64" t="s">
        <v>232</v>
      </c>
      <c r="M779" s="72">
        <v>1879</v>
      </c>
      <c r="N779" s="64" t="s">
        <v>385</v>
      </c>
      <c r="O779" s="73">
        <v>5</v>
      </c>
      <c r="P779" s="196">
        <v>0</v>
      </c>
      <c r="Q779" s="73">
        <v>1</v>
      </c>
      <c r="R779" s="74">
        <v>15</v>
      </c>
      <c r="S779" s="75">
        <v>484.2</v>
      </c>
      <c r="T779" s="82">
        <f t="shared" si="24"/>
        <v>420.8</v>
      </c>
      <c r="U779" s="77">
        <f t="shared" si="25"/>
        <v>420.8</v>
      </c>
      <c r="V779" s="77">
        <v>63.4</v>
      </c>
      <c r="W779" s="80" t="s">
        <v>233</v>
      </c>
      <c r="X779" s="81" t="s">
        <v>233</v>
      </c>
      <c r="Y779" s="64" t="s">
        <v>233</v>
      </c>
      <c r="Z779" s="81" t="s">
        <v>233</v>
      </c>
      <c r="AA779" s="64" t="s">
        <v>233</v>
      </c>
      <c r="AB779" s="81" t="s">
        <v>233</v>
      </c>
      <c r="AC779" s="64" t="s">
        <v>240</v>
      </c>
      <c r="AD779" s="64" t="s">
        <v>233</v>
      </c>
      <c r="AE779" s="64" t="s">
        <v>240</v>
      </c>
      <c r="AF779" s="211">
        <v>1</v>
      </c>
      <c r="AG779" s="4">
        <v>1</v>
      </c>
      <c r="AH779" s="64">
        <v>1</v>
      </c>
      <c r="AI779" s="64">
        <v>0</v>
      </c>
      <c r="AJ779" s="64">
        <v>0</v>
      </c>
      <c r="AK779" s="64">
        <v>0</v>
      </c>
    </row>
    <row r="780" spans="1:37" s="65" customFormat="1" outlineLevel="1">
      <c r="A780" s="5">
        <v>773</v>
      </c>
      <c r="B780" s="64" t="s">
        <v>190</v>
      </c>
      <c r="C780" s="4" t="s">
        <v>237</v>
      </c>
      <c r="D780" s="64" t="str">
        <f>[1]Лист2!B773</f>
        <v>ФОНТАНКИ наб.реки</v>
      </c>
      <c r="E780" s="71">
        <f>[1]Лист2!C773</f>
        <v>150</v>
      </c>
      <c r="F780" s="196" t="str">
        <f>[1]Лист2!D773</f>
        <v>О</v>
      </c>
      <c r="G780" s="64"/>
      <c r="H780" s="67">
        <v>129773</v>
      </c>
      <c r="I780" s="64" t="s">
        <v>234</v>
      </c>
      <c r="J780" s="64"/>
      <c r="K780" s="64" t="s">
        <v>232</v>
      </c>
      <c r="L780" s="64" t="s">
        <v>232</v>
      </c>
      <c r="M780" s="72">
        <v>1879</v>
      </c>
      <c r="N780" s="64" t="s">
        <v>385</v>
      </c>
      <c r="O780" s="73">
        <v>3</v>
      </c>
      <c r="P780" s="196">
        <v>0</v>
      </c>
      <c r="Q780" s="73">
        <v>3</v>
      </c>
      <c r="R780" s="74">
        <v>39</v>
      </c>
      <c r="S780" s="75">
        <v>1329.5</v>
      </c>
      <c r="T780" s="82">
        <f t="shared" si="24"/>
        <v>1329.5</v>
      </c>
      <c r="U780" s="77">
        <f t="shared" si="25"/>
        <v>1329.5</v>
      </c>
      <c r="V780" s="77">
        <v>0</v>
      </c>
      <c r="W780" s="80" t="s">
        <v>233</v>
      </c>
      <c r="X780" s="81" t="s">
        <v>233</v>
      </c>
      <c r="Y780" s="64" t="s">
        <v>233</v>
      </c>
      <c r="Z780" s="81" t="s">
        <v>233</v>
      </c>
      <c r="AA780" s="64" t="s">
        <v>233</v>
      </c>
      <c r="AB780" s="81" t="s">
        <v>233</v>
      </c>
      <c r="AC780" s="64" t="s">
        <v>240</v>
      </c>
      <c r="AD780" s="64" t="s">
        <v>233</v>
      </c>
      <c r="AE780" s="64" t="s">
        <v>240</v>
      </c>
      <c r="AF780" s="211">
        <v>0</v>
      </c>
      <c r="AG780" s="4">
        <v>1</v>
      </c>
      <c r="AH780" s="64">
        <v>1</v>
      </c>
      <c r="AI780" s="64">
        <v>0</v>
      </c>
      <c r="AJ780" s="64">
        <v>0</v>
      </c>
      <c r="AK780" s="64">
        <v>0</v>
      </c>
    </row>
    <row r="781" spans="1:37" outlineLevel="1">
      <c r="A781" s="5">
        <v>774</v>
      </c>
      <c r="B781" s="64" t="s">
        <v>190</v>
      </c>
      <c r="C781" s="4" t="s">
        <v>237</v>
      </c>
      <c r="D781" s="4" t="str">
        <f>[1]Лист2!B774</f>
        <v>ФОНТАНКИ наб.реки</v>
      </c>
      <c r="E781" s="69">
        <f>[1]Лист2!C774</f>
        <v>167</v>
      </c>
      <c r="F781" s="197" t="str">
        <f>[1]Лист2!D774</f>
        <v>А</v>
      </c>
      <c r="G781" s="64"/>
      <c r="H781" s="199">
        <v>129774</v>
      </c>
      <c r="I781" s="64" t="s">
        <v>234</v>
      </c>
      <c r="J781" s="4"/>
      <c r="K781" s="64" t="s">
        <v>232</v>
      </c>
      <c r="L781" s="4" t="s">
        <v>232</v>
      </c>
      <c r="M781" s="72">
        <v>1844</v>
      </c>
      <c r="N781" s="64" t="s">
        <v>385</v>
      </c>
      <c r="O781" s="73">
        <v>4</v>
      </c>
      <c r="P781" s="196">
        <v>0</v>
      </c>
      <c r="Q781" s="73">
        <v>3</v>
      </c>
      <c r="R781" s="74">
        <v>60</v>
      </c>
      <c r="S781" s="76">
        <v>1597.3</v>
      </c>
      <c r="T781" s="82">
        <f t="shared" si="24"/>
        <v>1501.6</v>
      </c>
      <c r="U781" s="77">
        <f t="shared" si="25"/>
        <v>1501.6</v>
      </c>
      <c r="V781" s="78">
        <v>95.7</v>
      </c>
      <c r="W781" s="80" t="s">
        <v>233</v>
      </c>
      <c r="X781" s="81" t="s">
        <v>233</v>
      </c>
      <c r="Y781" s="4" t="s">
        <v>233</v>
      </c>
      <c r="Z781" s="81" t="s">
        <v>233</v>
      </c>
      <c r="AA781" s="64" t="s">
        <v>233</v>
      </c>
      <c r="AB781" s="81" t="s">
        <v>233</v>
      </c>
      <c r="AC781" s="64" t="s">
        <v>240</v>
      </c>
      <c r="AD781" s="64" t="s">
        <v>233</v>
      </c>
      <c r="AE781" s="64" t="s">
        <v>240</v>
      </c>
      <c r="AF781" s="210">
        <v>0</v>
      </c>
      <c r="AG781" s="4">
        <v>1</v>
      </c>
      <c r="AH781" s="64">
        <v>1</v>
      </c>
      <c r="AI781" s="4">
        <v>0</v>
      </c>
      <c r="AJ781" s="4">
        <v>0</v>
      </c>
      <c r="AK781" s="4">
        <v>0</v>
      </c>
    </row>
    <row r="782" spans="1:37" outlineLevel="1">
      <c r="A782" s="63">
        <v>775</v>
      </c>
      <c r="B782" s="64" t="s">
        <v>190</v>
      </c>
      <c r="C782" s="4" t="s">
        <v>237</v>
      </c>
      <c r="D782" s="4" t="str">
        <f>[1]Лист2!B775</f>
        <v>ФОНТАНКИ наб.реки</v>
      </c>
      <c r="E782" s="69">
        <f>[1]Лист2!C775</f>
        <v>167</v>
      </c>
      <c r="F782" s="197" t="str">
        <f>[1]Лист2!D775</f>
        <v>Б</v>
      </c>
      <c r="G782" s="4"/>
      <c r="H782" s="199">
        <v>129775</v>
      </c>
      <c r="I782" s="64" t="s">
        <v>234</v>
      </c>
      <c r="J782" s="4"/>
      <c r="K782" s="64" t="s">
        <v>232</v>
      </c>
      <c r="L782" s="4" t="s">
        <v>232</v>
      </c>
      <c r="M782" s="72">
        <v>1844</v>
      </c>
      <c r="N782" s="64" t="s">
        <v>385</v>
      </c>
      <c r="O782" s="73">
        <v>4</v>
      </c>
      <c r="P782" s="196">
        <v>0</v>
      </c>
      <c r="Q782" s="73">
        <v>2</v>
      </c>
      <c r="R782" s="74">
        <v>16</v>
      </c>
      <c r="S782" s="76">
        <v>487.2</v>
      </c>
      <c r="T782" s="82">
        <f t="shared" si="24"/>
        <v>402.5</v>
      </c>
      <c r="U782" s="77">
        <f t="shared" si="25"/>
        <v>402.5</v>
      </c>
      <c r="V782" s="78">
        <v>84.7</v>
      </c>
      <c r="W782" s="80" t="s">
        <v>233</v>
      </c>
      <c r="X782" s="81" t="s">
        <v>233</v>
      </c>
      <c r="Y782" s="4" t="s">
        <v>233</v>
      </c>
      <c r="Z782" s="81" t="s">
        <v>233</v>
      </c>
      <c r="AA782" s="64" t="s">
        <v>233</v>
      </c>
      <c r="AB782" s="81" t="s">
        <v>233</v>
      </c>
      <c r="AC782" s="64" t="s">
        <v>240</v>
      </c>
      <c r="AD782" s="64" t="s">
        <v>233</v>
      </c>
      <c r="AE782" s="64" t="s">
        <v>240</v>
      </c>
      <c r="AF782" s="211">
        <v>0</v>
      </c>
      <c r="AG782" s="4">
        <v>1</v>
      </c>
      <c r="AH782" s="64">
        <v>1</v>
      </c>
      <c r="AI782" s="4">
        <v>0</v>
      </c>
      <c r="AJ782" s="4">
        <v>0</v>
      </c>
      <c r="AK782" s="4">
        <v>0</v>
      </c>
    </row>
    <row r="783" spans="1:37" outlineLevel="1">
      <c r="A783" s="63">
        <v>776</v>
      </c>
      <c r="B783" s="64" t="s">
        <v>190</v>
      </c>
      <c r="C783" s="4" t="s">
        <v>237</v>
      </c>
      <c r="D783" s="4" t="str">
        <f>[1]Лист2!B776</f>
        <v>ФОНТАНКИ наб.реки</v>
      </c>
      <c r="E783" s="69">
        <f>[1]Лист2!C776</f>
        <v>171</v>
      </c>
      <c r="F783" s="197" t="str">
        <f>[1]Лист2!D776</f>
        <v>А</v>
      </c>
      <c r="G783" s="4"/>
      <c r="H783" s="199">
        <v>129776</v>
      </c>
      <c r="I783" s="64" t="s">
        <v>234</v>
      </c>
      <c r="J783" s="4"/>
      <c r="K783" s="64" t="s">
        <v>232</v>
      </c>
      <c r="L783" s="4" t="s">
        <v>232</v>
      </c>
      <c r="M783" s="72">
        <v>1917</v>
      </c>
      <c r="N783" s="64" t="s">
        <v>385</v>
      </c>
      <c r="O783" s="73">
        <v>4</v>
      </c>
      <c r="P783" s="196">
        <v>0</v>
      </c>
      <c r="Q783" s="73">
        <v>5</v>
      </c>
      <c r="R783" s="74">
        <v>87</v>
      </c>
      <c r="S783" s="76">
        <v>4162.49</v>
      </c>
      <c r="T783" s="82">
        <f t="shared" si="24"/>
        <v>3650.0699999999997</v>
      </c>
      <c r="U783" s="77">
        <f t="shared" si="25"/>
        <v>3650.0699999999997</v>
      </c>
      <c r="V783" s="78">
        <v>512.41999999999996</v>
      </c>
      <c r="W783" s="80" t="s">
        <v>233</v>
      </c>
      <c r="X783" s="81" t="s">
        <v>233</v>
      </c>
      <c r="Y783" s="4" t="s">
        <v>233</v>
      </c>
      <c r="Z783" s="81" t="s">
        <v>233</v>
      </c>
      <c r="AA783" s="64" t="s">
        <v>233</v>
      </c>
      <c r="AB783" s="81" t="s">
        <v>233</v>
      </c>
      <c r="AC783" s="64" t="s">
        <v>240</v>
      </c>
      <c r="AD783" s="64" t="s">
        <v>233</v>
      </c>
      <c r="AE783" s="64" t="s">
        <v>240</v>
      </c>
      <c r="AF783" s="210">
        <v>0</v>
      </c>
      <c r="AG783" s="4">
        <v>1</v>
      </c>
      <c r="AH783" s="64">
        <v>2</v>
      </c>
      <c r="AI783" s="4">
        <v>0</v>
      </c>
      <c r="AJ783" s="4">
        <v>0</v>
      </c>
      <c r="AK783" s="4">
        <v>0</v>
      </c>
    </row>
    <row r="784" spans="1:37" outlineLevel="1">
      <c r="A784" s="5">
        <v>777</v>
      </c>
      <c r="B784" s="64" t="s">
        <v>190</v>
      </c>
      <c r="C784" s="4" t="s">
        <v>237</v>
      </c>
      <c r="D784" s="4" t="str">
        <f>[1]Лист2!B777</f>
        <v>ФОНТАНКИ наб.реки</v>
      </c>
      <c r="E784" s="69">
        <f>[1]Лист2!C777</f>
        <v>179</v>
      </c>
      <c r="F784" s="197" t="str">
        <f>[1]Лист2!D777</f>
        <v>А</v>
      </c>
      <c r="G784" s="64"/>
      <c r="H784" s="199">
        <v>129777</v>
      </c>
      <c r="I784" s="64" t="s">
        <v>234</v>
      </c>
      <c r="J784" s="4"/>
      <c r="K784" s="64" t="s">
        <v>232</v>
      </c>
      <c r="L784" s="4" t="s">
        <v>232</v>
      </c>
      <c r="M784" s="72">
        <v>1912</v>
      </c>
      <c r="N784" s="64" t="s">
        <v>385</v>
      </c>
      <c r="O784" s="73">
        <v>6</v>
      </c>
      <c r="P784" s="196">
        <v>0</v>
      </c>
      <c r="Q784" s="73">
        <v>5</v>
      </c>
      <c r="R784" s="74">
        <v>73</v>
      </c>
      <c r="S784" s="76">
        <v>3207.19</v>
      </c>
      <c r="T784" s="82">
        <f t="shared" si="24"/>
        <v>3098.19</v>
      </c>
      <c r="U784" s="77">
        <f t="shared" si="25"/>
        <v>3098.19</v>
      </c>
      <c r="V784" s="78">
        <v>109</v>
      </c>
      <c r="W784" s="80" t="s">
        <v>233</v>
      </c>
      <c r="X784" s="81" t="s">
        <v>233</v>
      </c>
      <c r="Y784" s="4" t="s">
        <v>233</v>
      </c>
      <c r="Z784" s="81" t="s">
        <v>233</v>
      </c>
      <c r="AA784" s="64" t="s">
        <v>233</v>
      </c>
      <c r="AB784" s="81" t="s">
        <v>233</v>
      </c>
      <c r="AC784" s="64" t="s">
        <v>240</v>
      </c>
      <c r="AD784" s="64" t="s">
        <v>233</v>
      </c>
      <c r="AE784" s="64" t="s">
        <v>240</v>
      </c>
      <c r="AF784" s="210">
        <v>2</v>
      </c>
      <c r="AG784" s="4">
        <v>2</v>
      </c>
      <c r="AH784" s="64">
        <v>1</v>
      </c>
      <c r="AI784" s="4">
        <v>0</v>
      </c>
      <c r="AJ784" s="4">
        <v>0</v>
      </c>
      <c r="AK784" s="4">
        <v>0</v>
      </c>
    </row>
    <row r="785" spans="1:37" outlineLevel="1">
      <c r="A785" s="5">
        <v>778</v>
      </c>
      <c r="B785" s="64" t="s">
        <v>190</v>
      </c>
      <c r="C785" s="4" t="s">
        <v>237</v>
      </c>
      <c r="D785" s="4" t="str">
        <f>[1]Лист2!B778</f>
        <v>ФОНТАНКИ наб.реки</v>
      </c>
      <c r="E785" s="69" t="str">
        <f>[1]Лист2!C778</f>
        <v>181/6</v>
      </c>
      <c r="F785" s="197" t="str">
        <f>[1]Лист2!D778</f>
        <v>А</v>
      </c>
      <c r="G785" s="64"/>
      <c r="H785" s="199">
        <v>129778</v>
      </c>
      <c r="I785" s="64" t="s">
        <v>234</v>
      </c>
      <c r="J785" s="4"/>
      <c r="K785" s="64" t="s">
        <v>232</v>
      </c>
      <c r="L785" s="4" t="s">
        <v>232</v>
      </c>
      <c r="M785" s="72">
        <v>1917</v>
      </c>
      <c r="N785" s="64" t="s">
        <v>385</v>
      </c>
      <c r="O785" s="73">
        <v>4</v>
      </c>
      <c r="P785" s="196">
        <v>0</v>
      </c>
      <c r="Q785" s="73">
        <v>3</v>
      </c>
      <c r="R785" s="74">
        <v>44</v>
      </c>
      <c r="S785" s="76">
        <v>1704.02</v>
      </c>
      <c r="T785" s="82">
        <f t="shared" si="24"/>
        <v>1691.02</v>
      </c>
      <c r="U785" s="77">
        <f t="shared" si="25"/>
        <v>1691.02</v>
      </c>
      <c r="V785" s="78">
        <v>13</v>
      </c>
      <c r="W785" s="80" t="s">
        <v>233</v>
      </c>
      <c r="X785" s="81" t="s">
        <v>233</v>
      </c>
      <c r="Y785" s="4" t="s">
        <v>233</v>
      </c>
      <c r="Z785" s="81" t="s">
        <v>233</v>
      </c>
      <c r="AA785" s="64" t="s">
        <v>233</v>
      </c>
      <c r="AB785" s="81" t="s">
        <v>233</v>
      </c>
      <c r="AC785" s="64" t="s">
        <v>240</v>
      </c>
      <c r="AD785" s="64" t="s">
        <v>233</v>
      </c>
      <c r="AE785" s="64" t="s">
        <v>240</v>
      </c>
      <c r="AF785" s="210">
        <v>0</v>
      </c>
      <c r="AG785" s="4">
        <v>1</v>
      </c>
      <c r="AH785" s="64">
        <v>1</v>
      </c>
      <c r="AI785" s="4">
        <v>0</v>
      </c>
      <c r="AJ785" s="4">
        <v>0</v>
      </c>
      <c r="AK785" s="4">
        <v>0</v>
      </c>
    </row>
    <row r="786" spans="1:37" outlineLevel="1">
      <c r="A786" s="5">
        <v>779</v>
      </c>
      <c r="B786" s="64" t="s">
        <v>190</v>
      </c>
      <c r="C786" s="4" t="s">
        <v>237</v>
      </c>
      <c r="D786" s="4" t="str">
        <f>[1]Лист2!B779</f>
        <v>ФОНТАНКИ наб.реки</v>
      </c>
      <c r="E786" s="69">
        <f>[1]Лист2!C779</f>
        <v>183</v>
      </c>
      <c r="F786" s="197" t="str">
        <f>[1]Лист2!D779</f>
        <v>А</v>
      </c>
      <c r="G786" s="4"/>
      <c r="H786" s="199">
        <v>129779</v>
      </c>
      <c r="I786" s="64" t="s">
        <v>234</v>
      </c>
      <c r="J786" s="4"/>
      <c r="K786" s="64" t="s">
        <v>232</v>
      </c>
      <c r="L786" s="4" t="s">
        <v>232</v>
      </c>
      <c r="M786" s="72">
        <v>1872</v>
      </c>
      <c r="N786" s="64" t="s">
        <v>385</v>
      </c>
      <c r="O786" s="73">
        <v>4</v>
      </c>
      <c r="P786" s="196">
        <v>0</v>
      </c>
      <c r="Q786" s="73">
        <v>7</v>
      </c>
      <c r="R786" s="74">
        <v>54</v>
      </c>
      <c r="S786" s="76">
        <v>5538.81</v>
      </c>
      <c r="T786" s="82">
        <f t="shared" si="24"/>
        <v>4961.8100000000004</v>
      </c>
      <c r="U786" s="77">
        <f t="shared" si="25"/>
        <v>4961.8100000000004</v>
      </c>
      <c r="V786" s="78">
        <v>577</v>
      </c>
      <c r="W786" s="80" t="s">
        <v>233</v>
      </c>
      <c r="X786" s="81" t="s">
        <v>233</v>
      </c>
      <c r="Y786" s="4" t="s">
        <v>233</v>
      </c>
      <c r="Z786" s="81" t="s">
        <v>233</v>
      </c>
      <c r="AA786" s="64" t="s">
        <v>233</v>
      </c>
      <c r="AB786" s="81" t="s">
        <v>233</v>
      </c>
      <c r="AC786" s="64" t="s">
        <v>240</v>
      </c>
      <c r="AD786" s="64" t="s">
        <v>233</v>
      </c>
      <c r="AE786" s="64" t="s">
        <v>240</v>
      </c>
      <c r="AF786" s="210">
        <v>0</v>
      </c>
      <c r="AG786" s="4">
        <v>1</v>
      </c>
      <c r="AH786" s="64">
        <v>1</v>
      </c>
      <c r="AI786" s="4">
        <v>0</v>
      </c>
      <c r="AJ786" s="4">
        <v>0</v>
      </c>
      <c r="AK786" s="4">
        <v>0</v>
      </c>
    </row>
    <row r="787" spans="1:37" outlineLevel="1">
      <c r="A787" s="5">
        <v>780</v>
      </c>
      <c r="B787" s="64" t="s">
        <v>190</v>
      </c>
      <c r="C787" s="4" t="s">
        <v>237</v>
      </c>
      <c r="D787" s="4" t="str">
        <f>[1]Лист2!B780</f>
        <v>ФОНТАНКИ наб.реки</v>
      </c>
      <c r="E787" s="69">
        <f>[1]Лист2!C780</f>
        <v>187</v>
      </c>
      <c r="F787" s="197" t="str">
        <f>[1]Лист2!D780</f>
        <v>А</v>
      </c>
      <c r="G787" s="4"/>
      <c r="H787" s="199">
        <v>129780</v>
      </c>
      <c r="I787" s="64" t="s">
        <v>234</v>
      </c>
      <c r="J787" s="4"/>
      <c r="K787" s="64" t="s">
        <v>232</v>
      </c>
      <c r="L787" s="4" t="s">
        <v>232</v>
      </c>
      <c r="M787" s="72">
        <v>1826</v>
      </c>
      <c r="N787" s="64" t="s">
        <v>385</v>
      </c>
      <c r="O787" s="73">
        <v>4</v>
      </c>
      <c r="P787" s="196">
        <v>0</v>
      </c>
      <c r="Q787" s="73">
        <v>2</v>
      </c>
      <c r="R787" s="74">
        <v>27</v>
      </c>
      <c r="S787" s="76">
        <v>1557.4299999999998</v>
      </c>
      <c r="T787" s="82">
        <f t="shared" si="24"/>
        <v>1466.4299999999998</v>
      </c>
      <c r="U787" s="77">
        <f t="shared" si="25"/>
        <v>1466.4299999999998</v>
      </c>
      <c r="V787" s="78">
        <v>91</v>
      </c>
      <c r="W787" s="80" t="s">
        <v>233</v>
      </c>
      <c r="X787" s="81" t="s">
        <v>233</v>
      </c>
      <c r="Y787" s="4" t="s">
        <v>240</v>
      </c>
      <c r="Z787" s="81" t="s">
        <v>233</v>
      </c>
      <c r="AA787" s="64" t="s">
        <v>233</v>
      </c>
      <c r="AB787" s="81" t="s">
        <v>233</v>
      </c>
      <c r="AC787" s="4" t="s">
        <v>233</v>
      </c>
      <c r="AD787" s="64" t="s">
        <v>233</v>
      </c>
      <c r="AE787" s="64" t="s">
        <v>240</v>
      </c>
      <c r="AF787" s="210">
        <v>0</v>
      </c>
      <c r="AG787" s="4">
        <v>1</v>
      </c>
      <c r="AH787" s="64">
        <v>1</v>
      </c>
      <c r="AI787" s="4">
        <v>0</v>
      </c>
      <c r="AJ787" s="4">
        <v>0</v>
      </c>
      <c r="AK787" s="4">
        <v>0</v>
      </c>
    </row>
    <row r="788" spans="1:37" outlineLevel="1">
      <c r="A788" s="63">
        <v>781</v>
      </c>
      <c r="B788" s="64" t="s">
        <v>190</v>
      </c>
      <c r="C788" s="4" t="s">
        <v>237</v>
      </c>
      <c r="D788" s="4" t="str">
        <f>[1]Лист2!B781</f>
        <v>ФОНТАНКИ наб.реки</v>
      </c>
      <c r="E788" s="69">
        <f>[1]Лист2!C781</f>
        <v>189</v>
      </c>
      <c r="F788" s="197" t="str">
        <f>[1]Лист2!D781</f>
        <v>А</v>
      </c>
      <c r="G788" s="64"/>
      <c r="H788" s="199">
        <v>129781</v>
      </c>
      <c r="I788" s="64" t="s">
        <v>234</v>
      </c>
      <c r="J788" s="4"/>
      <c r="K788" s="64" t="s">
        <v>232</v>
      </c>
      <c r="L788" s="4" t="s">
        <v>232</v>
      </c>
      <c r="M788" s="72">
        <v>1833</v>
      </c>
      <c r="N788" s="64" t="s">
        <v>385</v>
      </c>
      <c r="O788" s="73">
        <v>3</v>
      </c>
      <c r="P788" s="196">
        <v>0</v>
      </c>
      <c r="Q788" s="73">
        <v>4</v>
      </c>
      <c r="R788" s="74">
        <v>44</v>
      </c>
      <c r="S788" s="76">
        <v>1750.97</v>
      </c>
      <c r="T788" s="82">
        <f t="shared" si="24"/>
        <v>1669.97</v>
      </c>
      <c r="U788" s="77">
        <f t="shared" si="25"/>
        <v>1669.97</v>
      </c>
      <c r="V788" s="78">
        <v>81</v>
      </c>
      <c r="W788" s="80" t="s">
        <v>233</v>
      </c>
      <c r="X788" s="81" t="s">
        <v>233</v>
      </c>
      <c r="Y788" s="4" t="s">
        <v>240</v>
      </c>
      <c r="Z788" s="81" t="s">
        <v>233</v>
      </c>
      <c r="AA788" s="64" t="s">
        <v>233</v>
      </c>
      <c r="AB788" s="81" t="s">
        <v>233</v>
      </c>
      <c r="AC788" s="4" t="s">
        <v>233</v>
      </c>
      <c r="AD788" s="64" t="s">
        <v>233</v>
      </c>
      <c r="AE788" s="64" t="s">
        <v>240</v>
      </c>
      <c r="AF788" s="210">
        <v>0</v>
      </c>
      <c r="AG788" s="4">
        <v>1</v>
      </c>
      <c r="AH788" s="64">
        <v>1</v>
      </c>
      <c r="AI788" s="4">
        <v>0</v>
      </c>
      <c r="AJ788" s="4">
        <v>0</v>
      </c>
      <c r="AK788" s="4">
        <v>0</v>
      </c>
    </row>
    <row r="789" spans="1:37" outlineLevel="1">
      <c r="A789" s="63">
        <v>782</v>
      </c>
      <c r="B789" s="64" t="s">
        <v>190</v>
      </c>
      <c r="C789" s="4" t="s">
        <v>237</v>
      </c>
      <c r="D789" s="4" t="str">
        <f>[1]Лист2!B782</f>
        <v>ФОНТАНКИ наб.реки</v>
      </c>
      <c r="E789" s="69">
        <f>[1]Лист2!C782</f>
        <v>191</v>
      </c>
      <c r="F789" s="197" t="str">
        <f>[1]Лист2!D782</f>
        <v>А</v>
      </c>
      <c r="G789" s="64"/>
      <c r="H789" s="199">
        <v>129782</v>
      </c>
      <c r="I789" s="64" t="s">
        <v>234</v>
      </c>
      <c r="J789" s="4"/>
      <c r="K789" s="64" t="s">
        <v>232</v>
      </c>
      <c r="L789" s="4" t="s">
        <v>232</v>
      </c>
      <c r="M789" s="72">
        <v>1779</v>
      </c>
      <c r="N789" s="64" t="s">
        <v>385</v>
      </c>
      <c r="O789" s="73">
        <v>3</v>
      </c>
      <c r="P789" s="196">
        <v>0</v>
      </c>
      <c r="Q789" s="73">
        <v>2</v>
      </c>
      <c r="R789" s="74">
        <v>26</v>
      </c>
      <c r="S789" s="76">
        <v>1052.53</v>
      </c>
      <c r="T789" s="82">
        <f t="shared" si="24"/>
        <v>954.53</v>
      </c>
      <c r="U789" s="77">
        <f t="shared" si="25"/>
        <v>954.53</v>
      </c>
      <c r="V789" s="78">
        <v>98</v>
      </c>
      <c r="W789" s="80" t="s">
        <v>233</v>
      </c>
      <c r="X789" s="81" t="s">
        <v>233</v>
      </c>
      <c r="Y789" s="4" t="s">
        <v>240</v>
      </c>
      <c r="Z789" s="81" t="s">
        <v>233</v>
      </c>
      <c r="AA789" s="64" t="s">
        <v>233</v>
      </c>
      <c r="AB789" s="81" t="s">
        <v>233</v>
      </c>
      <c r="AC789" s="4" t="s">
        <v>233</v>
      </c>
      <c r="AD789" s="64" t="s">
        <v>233</v>
      </c>
      <c r="AE789" s="64" t="s">
        <v>240</v>
      </c>
      <c r="AF789" s="210">
        <v>0</v>
      </c>
      <c r="AG789" s="4">
        <v>1</v>
      </c>
      <c r="AH789" s="64">
        <v>1</v>
      </c>
      <c r="AI789" s="4">
        <v>0</v>
      </c>
      <c r="AJ789" s="4">
        <v>0</v>
      </c>
      <c r="AK789" s="4">
        <v>0</v>
      </c>
    </row>
    <row r="790" spans="1:37" outlineLevel="1">
      <c r="A790" s="5">
        <v>783</v>
      </c>
      <c r="B790" s="64" t="s">
        <v>190</v>
      </c>
      <c r="C790" s="4" t="s">
        <v>237</v>
      </c>
      <c r="D790" s="4" t="str">
        <f>[1]Лист2!B783</f>
        <v>ФОНТАНКИ наб.реки</v>
      </c>
      <c r="E790" s="69">
        <f>[1]Лист2!C783</f>
        <v>193</v>
      </c>
      <c r="F790" s="197" t="str">
        <f>[1]Лист2!D783</f>
        <v>А</v>
      </c>
      <c r="G790" s="4"/>
      <c r="H790" s="199">
        <v>129783</v>
      </c>
      <c r="I790" s="64" t="s">
        <v>234</v>
      </c>
      <c r="J790" s="4"/>
      <c r="K790" s="64" t="s">
        <v>232</v>
      </c>
      <c r="L790" s="4" t="s">
        <v>232</v>
      </c>
      <c r="M790" s="72">
        <v>1917</v>
      </c>
      <c r="N790" s="64" t="s">
        <v>385</v>
      </c>
      <c r="O790" s="73">
        <v>3</v>
      </c>
      <c r="P790" s="196">
        <v>0</v>
      </c>
      <c r="Q790" s="73">
        <v>5</v>
      </c>
      <c r="R790" s="74">
        <v>44</v>
      </c>
      <c r="S790" s="76">
        <v>2369.96</v>
      </c>
      <c r="T790" s="82">
        <f t="shared" si="24"/>
        <v>1936.96</v>
      </c>
      <c r="U790" s="77">
        <f t="shared" si="25"/>
        <v>1936.96</v>
      </c>
      <c r="V790" s="78">
        <v>433</v>
      </c>
      <c r="W790" s="80" t="s">
        <v>233</v>
      </c>
      <c r="X790" s="81" t="s">
        <v>233</v>
      </c>
      <c r="Y790" s="4" t="s">
        <v>233</v>
      </c>
      <c r="Z790" s="81" t="s">
        <v>233</v>
      </c>
      <c r="AA790" s="64" t="s">
        <v>233</v>
      </c>
      <c r="AB790" s="81" t="s">
        <v>233</v>
      </c>
      <c r="AC790" s="4" t="s">
        <v>240</v>
      </c>
      <c r="AD790" s="64" t="s">
        <v>233</v>
      </c>
      <c r="AE790" s="64" t="s">
        <v>240</v>
      </c>
      <c r="AF790" s="210">
        <v>0</v>
      </c>
      <c r="AG790" s="4">
        <v>1</v>
      </c>
      <c r="AH790" s="64">
        <v>1</v>
      </c>
      <c r="AI790" s="4">
        <v>0</v>
      </c>
      <c r="AJ790" s="4">
        <v>0</v>
      </c>
      <c r="AK790" s="4">
        <v>0</v>
      </c>
    </row>
    <row r="791" spans="1:37" outlineLevel="1">
      <c r="A791" s="5">
        <v>784</v>
      </c>
      <c r="B791" s="64" t="s">
        <v>190</v>
      </c>
      <c r="C791" s="4" t="s">
        <v>236</v>
      </c>
      <c r="D791" s="4" t="str">
        <f>[1]Лист2!B784</f>
        <v>ЯКУБОВИЧА ул.</v>
      </c>
      <c r="E791" s="69">
        <f>[1]Лист2!C784</f>
        <v>14</v>
      </c>
      <c r="F791" s="197" t="str">
        <f>[1]Лист2!D784</f>
        <v>А</v>
      </c>
      <c r="G791" s="4"/>
      <c r="H791" s="199">
        <v>129784</v>
      </c>
      <c r="I791" s="64" t="s">
        <v>234</v>
      </c>
      <c r="J791" s="4"/>
      <c r="K791" s="64" t="s">
        <v>232</v>
      </c>
      <c r="L791" s="4" t="s">
        <v>232</v>
      </c>
      <c r="M791" s="72">
        <v>1905</v>
      </c>
      <c r="N791" s="64" t="s">
        <v>385</v>
      </c>
      <c r="O791" s="73">
        <v>5</v>
      </c>
      <c r="P791" s="196">
        <v>0</v>
      </c>
      <c r="Q791" s="73">
        <v>4</v>
      </c>
      <c r="R791" s="74">
        <v>47</v>
      </c>
      <c r="S791" s="76">
        <v>2823.59</v>
      </c>
      <c r="T791" s="82">
        <f t="shared" si="24"/>
        <v>2318.59</v>
      </c>
      <c r="U791" s="77">
        <f t="shared" si="25"/>
        <v>2318.59</v>
      </c>
      <c r="V791" s="78">
        <v>505</v>
      </c>
      <c r="W791" s="80" t="s">
        <v>233</v>
      </c>
      <c r="X791" s="81" t="s">
        <v>233</v>
      </c>
      <c r="Y791" s="4" t="s">
        <v>233</v>
      </c>
      <c r="Z791" s="81" t="s">
        <v>233</v>
      </c>
      <c r="AA791" s="64" t="s">
        <v>233</v>
      </c>
      <c r="AB791" s="81" t="s">
        <v>233</v>
      </c>
      <c r="AC791" s="4" t="s">
        <v>240</v>
      </c>
      <c r="AD791" s="64" t="s">
        <v>233</v>
      </c>
      <c r="AE791" s="64" t="s">
        <v>240</v>
      </c>
      <c r="AF791" s="210">
        <v>1</v>
      </c>
      <c r="AG791" s="4">
        <v>3</v>
      </c>
      <c r="AH791" s="64">
        <v>1</v>
      </c>
      <c r="AI791" s="4">
        <v>0</v>
      </c>
      <c r="AJ791" s="4">
        <v>0</v>
      </c>
      <c r="AK791" s="4">
        <v>0</v>
      </c>
    </row>
    <row r="792" spans="1:37" outlineLevel="1">
      <c r="A792" s="5">
        <v>785</v>
      </c>
      <c r="B792" s="64" t="s">
        <v>190</v>
      </c>
      <c r="C792" s="4" t="s">
        <v>236</v>
      </c>
      <c r="D792" s="4" t="str">
        <f>[1]Лист2!B785</f>
        <v>ЯКУБОВИЧА ул.</v>
      </c>
      <c r="E792" s="69">
        <f>[1]Лист2!C785</f>
        <v>16</v>
      </c>
      <c r="F792" s="197" t="str">
        <f>[1]Лист2!D785</f>
        <v>А</v>
      </c>
      <c r="G792" s="64"/>
      <c r="H792" s="199">
        <v>129785</v>
      </c>
      <c r="I792" s="64" t="s">
        <v>234</v>
      </c>
      <c r="J792" s="4" t="s">
        <v>1422</v>
      </c>
      <c r="K792" s="64" t="s">
        <v>232</v>
      </c>
      <c r="L792" s="4" t="s">
        <v>232</v>
      </c>
      <c r="M792" s="72">
        <v>1917</v>
      </c>
      <c r="N792" s="64" t="s">
        <v>385</v>
      </c>
      <c r="O792" s="73">
        <v>2</v>
      </c>
      <c r="P792" s="196">
        <v>0</v>
      </c>
      <c r="Q792" s="73">
        <v>1</v>
      </c>
      <c r="R792" s="203">
        <v>27</v>
      </c>
      <c r="S792" s="76">
        <v>942.6</v>
      </c>
      <c r="T792" s="82">
        <f t="shared" si="24"/>
        <v>0</v>
      </c>
      <c r="U792" s="77">
        <f t="shared" si="25"/>
        <v>0</v>
      </c>
      <c r="V792" s="78">
        <v>942.6</v>
      </c>
      <c r="W792" s="80" t="s">
        <v>233</v>
      </c>
      <c r="X792" s="81" t="s">
        <v>233</v>
      </c>
      <c r="Y792" s="4" t="s">
        <v>233</v>
      </c>
      <c r="Z792" s="81" t="s">
        <v>233</v>
      </c>
      <c r="AA792" s="64" t="s">
        <v>233</v>
      </c>
      <c r="AB792" s="81" t="s">
        <v>233</v>
      </c>
      <c r="AC792" s="4" t="s">
        <v>240</v>
      </c>
      <c r="AD792" s="64" t="s">
        <v>233</v>
      </c>
      <c r="AE792" s="64" t="s">
        <v>240</v>
      </c>
      <c r="AF792" s="210">
        <v>0</v>
      </c>
      <c r="AG792" s="4">
        <v>1</v>
      </c>
      <c r="AH792" s="64">
        <v>1</v>
      </c>
      <c r="AI792" s="4">
        <v>0</v>
      </c>
      <c r="AJ792" s="4">
        <v>0</v>
      </c>
      <c r="AK792" s="4">
        <v>0</v>
      </c>
    </row>
    <row r="793" spans="1:37" outlineLevel="1">
      <c r="A793" s="5">
        <v>786</v>
      </c>
      <c r="B793" s="64" t="s">
        <v>190</v>
      </c>
      <c r="C793" s="4" t="s">
        <v>236</v>
      </c>
      <c r="D793" s="4" t="str">
        <f>[1]Лист2!B786</f>
        <v>ЯКУБОВИЧА ул.</v>
      </c>
      <c r="E793" s="69">
        <f>[1]Лист2!C786</f>
        <v>2</v>
      </c>
      <c r="F793" s="197" t="str">
        <f>[1]Лист2!D786</f>
        <v>А</v>
      </c>
      <c r="G793" s="64"/>
      <c r="H793" s="199">
        <v>129786</v>
      </c>
      <c r="I793" s="64" t="s">
        <v>234</v>
      </c>
      <c r="J793" s="4"/>
      <c r="K793" s="64" t="s">
        <v>232</v>
      </c>
      <c r="L793" s="4" t="s">
        <v>232</v>
      </c>
      <c r="M793" s="72">
        <v>1872</v>
      </c>
      <c r="N793" s="64" t="s">
        <v>385</v>
      </c>
      <c r="O793" s="73">
        <v>6</v>
      </c>
      <c r="P793" s="196">
        <v>0</v>
      </c>
      <c r="Q793" s="73">
        <v>4</v>
      </c>
      <c r="R793" s="74">
        <v>89</v>
      </c>
      <c r="S793" s="76">
        <v>3317.2</v>
      </c>
      <c r="T793" s="82">
        <f t="shared" si="24"/>
        <v>2832.7</v>
      </c>
      <c r="U793" s="77">
        <f t="shared" si="25"/>
        <v>2832.7</v>
      </c>
      <c r="V793" s="78">
        <v>484.5</v>
      </c>
      <c r="W793" s="80" t="s">
        <v>233</v>
      </c>
      <c r="X793" s="81" t="s">
        <v>233</v>
      </c>
      <c r="Y793" s="4" t="s">
        <v>233</v>
      </c>
      <c r="Z793" s="81" t="s">
        <v>233</v>
      </c>
      <c r="AA793" s="64" t="s">
        <v>233</v>
      </c>
      <c r="AB793" s="81" t="s">
        <v>233</v>
      </c>
      <c r="AC793" s="4" t="s">
        <v>240</v>
      </c>
      <c r="AD793" s="64" t="s">
        <v>233</v>
      </c>
      <c r="AE793" s="64" t="s">
        <v>240</v>
      </c>
      <c r="AF793" s="210">
        <v>0</v>
      </c>
      <c r="AG793" s="4">
        <v>1</v>
      </c>
      <c r="AH793" s="64">
        <v>1</v>
      </c>
      <c r="AI793" s="4">
        <v>1</v>
      </c>
      <c r="AJ793" s="4">
        <v>1</v>
      </c>
      <c r="AK793" s="4">
        <v>0</v>
      </c>
    </row>
    <row r="794" spans="1:37" outlineLevel="1">
      <c r="A794" s="63">
        <v>787</v>
      </c>
      <c r="B794" s="64" t="s">
        <v>190</v>
      </c>
      <c r="C794" s="4" t="s">
        <v>236</v>
      </c>
      <c r="D794" s="4" t="str">
        <f>[1]Лист2!B787</f>
        <v>ЯКУБОВИЧА ул.</v>
      </c>
      <c r="E794" s="69">
        <f>[1]Лист2!C787</f>
        <v>2</v>
      </c>
      <c r="F794" s="197" t="str">
        <f>[1]Лист2!D787</f>
        <v>Б</v>
      </c>
      <c r="G794" s="4"/>
      <c r="H794" s="199">
        <v>129787</v>
      </c>
      <c r="I794" s="64" t="s">
        <v>234</v>
      </c>
      <c r="J794" s="4"/>
      <c r="K794" s="64" t="s">
        <v>232</v>
      </c>
      <c r="L794" s="4" t="s">
        <v>232</v>
      </c>
      <c r="M794" s="72">
        <v>1872</v>
      </c>
      <c r="N794" s="64" t="s">
        <v>385</v>
      </c>
      <c r="O794" s="73">
        <v>3</v>
      </c>
      <c r="P794" s="196">
        <v>0</v>
      </c>
      <c r="Q794" s="73">
        <v>1</v>
      </c>
      <c r="R794" s="74">
        <v>41</v>
      </c>
      <c r="S794" s="76">
        <v>1763.5</v>
      </c>
      <c r="T794" s="82">
        <f t="shared" si="24"/>
        <v>1408.8</v>
      </c>
      <c r="U794" s="77">
        <f t="shared" si="25"/>
        <v>1408.8</v>
      </c>
      <c r="V794" s="78">
        <v>354.7</v>
      </c>
      <c r="W794" s="80" t="s">
        <v>233</v>
      </c>
      <c r="X794" s="81" t="s">
        <v>233</v>
      </c>
      <c r="Y794" s="4" t="s">
        <v>233</v>
      </c>
      <c r="Z794" s="81" t="s">
        <v>233</v>
      </c>
      <c r="AA794" s="64" t="s">
        <v>233</v>
      </c>
      <c r="AB794" s="81" t="s">
        <v>233</v>
      </c>
      <c r="AC794" s="4" t="s">
        <v>240</v>
      </c>
      <c r="AD794" s="64" t="s">
        <v>233</v>
      </c>
      <c r="AE794" s="64" t="s">
        <v>240</v>
      </c>
      <c r="AF794" s="211">
        <v>0</v>
      </c>
      <c r="AG794" s="4">
        <v>1</v>
      </c>
      <c r="AH794" s="64">
        <v>1</v>
      </c>
      <c r="AI794" s="4">
        <v>0</v>
      </c>
      <c r="AJ794" s="4">
        <v>0</v>
      </c>
      <c r="AK794" s="4">
        <v>0</v>
      </c>
    </row>
    <row r="795" spans="1:37" outlineLevel="1">
      <c r="A795" s="63">
        <v>788</v>
      </c>
      <c r="B795" s="64" t="s">
        <v>190</v>
      </c>
      <c r="C795" s="4" t="s">
        <v>236</v>
      </c>
      <c r="D795" s="4" t="str">
        <f>[1]Лист2!B788</f>
        <v>ЯКУБОВИЧА ул.</v>
      </c>
      <c r="E795" s="69">
        <f>[1]Лист2!C788</f>
        <v>20</v>
      </c>
      <c r="F795" s="197" t="str">
        <f>[1]Лист2!D788</f>
        <v>А</v>
      </c>
      <c r="G795" s="4"/>
      <c r="H795" s="199">
        <v>129788</v>
      </c>
      <c r="I795" s="64" t="s">
        <v>234</v>
      </c>
      <c r="J795" s="4"/>
      <c r="K795" s="64" t="s">
        <v>232</v>
      </c>
      <c r="L795" s="4" t="s">
        <v>232</v>
      </c>
      <c r="M795" s="72">
        <v>1840</v>
      </c>
      <c r="N795" s="64" t="s">
        <v>385</v>
      </c>
      <c r="O795" s="73">
        <v>5</v>
      </c>
      <c r="P795" s="196">
        <v>0</v>
      </c>
      <c r="Q795" s="73">
        <v>3</v>
      </c>
      <c r="R795" s="74">
        <v>60</v>
      </c>
      <c r="S795" s="76">
        <v>2638</v>
      </c>
      <c r="T795" s="82">
        <f t="shared" si="24"/>
        <v>1932</v>
      </c>
      <c r="U795" s="77">
        <f t="shared" si="25"/>
        <v>1932</v>
      </c>
      <c r="V795" s="78">
        <v>706</v>
      </c>
      <c r="W795" s="80" t="s">
        <v>233</v>
      </c>
      <c r="X795" s="81" t="s">
        <v>233</v>
      </c>
      <c r="Y795" s="4" t="s">
        <v>233</v>
      </c>
      <c r="Z795" s="81" t="s">
        <v>233</v>
      </c>
      <c r="AA795" s="64" t="s">
        <v>233</v>
      </c>
      <c r="AB795" s="81" t="s">
        <v>233</v>
      </c>
      <c r="AC795" s="4" t="s">
        <v>240</v>
      </c>
      <c r="AD795" s="64" t="s">
        <v>233</v>
      </c>
      <c r="AE795" s="64" t="s">
        <v>240</v>
      </c>
      <c r="AF795" s="210">
        <v>0</v>
      </c>
      <c r="AG795" s="4">
        <v>1</v>
      </c>
      <c r="AH795" s="64">
        <v>1</v>
      </c>
      <c r="AI795" s="4">
        <v>0</v>
      </c>
      <c r="AJ795" s="4">
        <v>0</v>
      </c>
      <c r="AK795" s="4">
        <v>0</v>
      </c>
    </row>
    <row r="796" spans="1:37" outlineLevel="1">
      <c r="A796" s="5">
        <v>789</v>
      </c>
      <c r="B796" s="64" t="s">
        <v>190</v>
      </c>
      <c r="C796" s="4" t="s">
        <v>236</v>
      </c>
      <c r="D796" s="4" t="str">
        <f>[1]Лист2!B789</f>
        <v>ЯКУБОВИЧА ул.</v>
      </c>
      <c r="E796" s="69">
        <f>[1]Лист2!C789</f>
        <v>20</v>
      </c>
      <c r="F796" s="197" t="str">
        <f>[1]Лист2!D789</f>
        <v>Б</v>
      </c>
      <c r="G796" s="64"/>
      <c r="H796" s="199">
        <v>129789</v>
      </c>
      <c r="I796" s="64" t="s">
        <v>234</v>
      </c>
      <c r="J796" s="4"/>
      <c r="K796" s="64" t="s">
        <v>232</v>
      </c>
      <c r="L796" s="4" t="s">
        <v>232</v>
      </c>
      <c r="M796" s="72">
        <v>1853</v>
      </c>
      <c r="N796" s="64" t="s">
        <v>385</v>
      </c>
      <c r="O796" s="73">
        <v>3</v>
      </c>
      <c r="P796" s="196">
        <v>0</v>
      </c>
      <c r="Q796" s="73">
        <v>1</v>
      </c>
      <c r="R796" s="74">
        <v>15</v>
      </c>
      <c r="S796" s="76">
        <v>454</v>
      </c>
      <c r="T796" s="82">
        <f t="shared" si="24"/>
        <v>376</v>
      </c>
      <c r="U796" s="77">
        <f t="shared" si="25"/>
        <v>376</v>
      </c>
      <c r="V796" s="78">
        <v>78</v>
      </c>
      <c r="W796" s="80" t="s">
        <v>233</v>
      </c>
      <c r="X796" s="81" t="s">
        <v>233</v>
      </c>
      <c r="Y796" s="4" t="s">
        <v>233</v>
      </c>
      <c r="Z796" s="81" t="s">
        <v>233</v>
      </c>
      <c r="AA796" s="64" t="s">
        <v>233</v>
      </c>
      <c r="AB796" s="81" t="s">
        <v>233</v>
      </c>
      <c r="AC796" s="4" t="s">
        <v>240</v>
      </c>
      <c r="AD796" s="64" t="s">
        <v>233</v>
      </c>
      <c r="AE796" s="64" t="s">
        <v>240</v>
      </c>
      <c r="AF796" s="211">
        <v>0</v>
      </c>
      <c r="AG796" s="4">
        <v>1</v>
      </c>
      <c r="AH796" s="64">
        <v>1</v>
      </c>
      <c r="AI796" s="4">
        <v>0</v>
      </c>
      <c r="AJ796" s="4">
        <v>0</v>
      </c>
      <c r="AK796" s="4">
        <v>0</v>
      </c>
    </row>
    <row r="797" spans="1:37" outlineLevel="1">
      <c r="A797" s="5">
        <v>790</v>
      </c>
      <c r="B797" s="64" t="s">
        <v>190</v>
      </c>
      <c r="C797" s="4" t="s">
        <v>236</v>
      </c>
      <c r="D797" s="4" t="str">
        <f>[1]Лист2!B790</f>
        <v>ЯКУБОВИЧА ул.</v>
      </c>
      <c r="E797" s="69">
        <f>[1]Лист2!C790</f>
        <v>22</v>
      </c>
      <c r="F797" s="197" t="str">
        <f>[1]Лист2!D790</f>
        <v>А</v>
      </c>
      <c r="G797" s="64"/>
      <c r="H797" s="199">
        <v>129790</v>
      </c>
      <c r="I797" s="64" t="s">
        <v>234</v>
      </c>
      <c r="J797" s="4"/>
      <c r="K797" s="64" t="s">
        <v>232</v>
      </c>
      <c r="L797" s="4" t="s">
        <v>232</v>
      </c>
      <c r="M797" s="72">
        <v>1846</v>
      </c>
      <c r="N797" s="64" t="s">
        <v>385</v>
      </c>
      <c r="O797" s="73">
        <v>3</v>
      </c>
      <c r="P797" s="196">
        <v>0</v>
      </c>
      <c r="Q797" s="73">
        <v>4</v>
      </c>
      <c r="R797" s="74">
        <v>102</v>
      </c>
      <c r="S797" s="76">
        <v>4143.5</v>
      </c>
      <c r="T797" s="82">
        <f t="shared" si="24"/>
        <v>2868.2</v>
      </c>
      <c r="U797" s="77">
        <f t="shared" si="25"/>
        <v>2868.2</v>
      </c>
      <c r="V797" s="78">
        <v>1275.3</v>
      </c>
      <c r="W797" s="80" t="s">
        <v>233</v>
      </c>
      <c r="X797" s="81" t="s">
        <v>233</v>
      </c>
      <c r="Y797" s="4" t="s">
        <v>233</v>
      </c>
      <c r="Z797" s="81" t="s">
        <v>233</v>
      </c>
      <c r="AA797" s="64" t="s">
        <v>233</v>
      </c>
      <c r="AB797" s="81" t="s">
        <v>233</v>
      </c>
      <c r="AC797" s="4" t="s">
        <v>240</v>
      </c>
      <c r="AD797" s="64" t="s">
        <v>233</v>
      </c>
      <c r="AE797" s="64" t="s">
        <v>240</v>
      </c>
      <c r="AF797" s="210">
        <v>0</v>
      </c>
      <c r="AG797" s="4">
        <v>1</v>
      </c>
      <c r="AH797" s="64">
        <v>1</v>
      </c>
      <c r="AI797" s="4">
        <v>1</v>
      </c>
      <c r="AJ797" s="4">
        <v>1</v>
      </c>
      <c r="AK797" s="4">
        <v>0</v>
      </c>
    </row>
    <row r="798" spans="1:37" outlineLevel="1">
      <c r="A798" s="5">
        <v>791</v>
      </c>
      <c r="B798" s="64" t="s">
        <v>190</v>
      </c>
      <c r="C798" s="4" t="s">
        <v>236</v>
      </c>
      <c r="D798" s="4" t="str">
        <f>[1]Лист2!B791</f>
        <v>ЯКУБОВИЧА ул.</v>
      </c>
      <c r="E798" s="69">
        <f>[1]Лист2!C791</f>
        <v>22</v>
      </c>
      <c r="F798" s="197" t="str">
        <f>[1]Лист2!D791</f>
        <v>Б</v>
      </c>
      <c r="G798" s="4"/>
      <c r="H798" s="199">
        <v>129791</v>
      </c>
      <c r="I798" s="64" t="s">
        <v>234</v>
      </c>
      <c r="J798" s="4"/>
      <c r="K798" s="64" t="s">
        <v>232</v>
      </c>
      <c r="L798" s="4" t="s">
        <v>232</v>
      </c>
      <c r="M798" s="72">
        <v>1914</v>
      </c>
      <c r="N798" s="64" t="s">
        <v>385</v>
      </c>
      <c r="O798" s="73">
        <v>3</v>
      </c>
      <c r="P798" s="196">
        <v>0</v>
      </c>
      <c r="Q798" s="73">
        <v>2</v>
      </c>
      <c r="R798" s="74">
        <v>28</v>
      </c>
      <c r="S798" s="76">
        <v>741.5</v>
      </c>
      <c r="T798" s="82">
        <f t="shared" si="24"/>
        <v>576.79999999999995</v>
      </c>
      <c r="U798" s="77">
        <f t="shared" si="25"/>
        <v>576.79999999999995</v>
      </c>
      <c r="V798" s="78">
        <v>164.7</v>
      </c>
      <c r="W798" s="80" t="s">
        <v>233</v>
      </c>
      <c r="X798" s="81" t="s">
        <v>233</v>
      </c>
      <c r="Y798" s="4" t="s">
        <v>233</v>
      </c>
      <c r="Z798" s="81" t="s">
        <v>233</v>
      </c>
      <c r="AA798" s="64" t="s">
        <v>233</v>
      </c>
      <c r="AB798" s="81" t="s">
        <v>233</v>
      </c>
      <c r="AC798" s="4" t="s">
        <v>240</v>
      </c>
      <c r="AD798" s="64" t="s">
        <v>233</v>
      </c>
      <c r="AE798" s="64" t="s">
        <v>240</v>
      </c>
      <c r="AF798" s="211">
        <v>0</v>
      </c>
      <c r="AG798" s="4">
        <v>1</v>
      </c>
      <c r="AH798" s="64">
        <v>1</v>
      </c>
      <c r="AI798" s="4">
        <v>0</v>
      </c>
      <c r="AJ798" s="4">
        <v>0</v>
      </c>
      <c r="AK798" s="4">
        <v>0</v>
      </c>
    </row>
    <row r="799" spans="1:37" outlineLevel="1">
      <c r="A799" s="5">
        <v>792</v>
      </c>
      <c r="B799" s="64" t="s">
        <v>190</v>
      </c>
      <c r="C799" s="4" t="s">
        <v>236</v>
      </c>
      <c r="D799" s="4" t="str">
        <f>[1]Лист2!B792</f>
        <v>ЯКУБОВИЧА ул.</v>
      </c>
      <c r="E799" s="69">
        <f>[1]Лист2!C792</f>
        <v>22</v>
      </c>
      <c r="F799" s="197" t="str">
        <f>[1]Лист2!D792</f>
        <v>В</v>
      </c>
      <c r="G799" s="4"/>
      <c r="H799" s="199">
        <v>129792</v>
      </c>
      <c r="I799" s="64" t="s">
        <v>234</v>
      </c>
      <c r="J799" s="4"/>
      <c r="K799" s="64" t="s">
        <v>232</v>
      </c>
      <c r="L799" s="4" t="s">
        <v>232</v>
      </c>
      <c r="M799" s="72">
        <v>1914</v>
      </c>
      <c r="N799" s="64" t="s">
        <v>385</v>
      </c>
      <c r="O799" s="73">
        <v>5</v>
      </c>
      <c r="P799" s="196">
        <v>0</v>
      </c>
      <c r="Q799" s="73">
        <v>1</v>
      </c>
      <c r="R799" s="74">
        <v>6</v>
      </c>
      <c r="S799" s="76">
        <v>158.80000000000001</v>
      </c>
      <c r="T799" s="82">
        <f t="shared" si="24"/>
        <v>121.9</v>
      </c>
      <c r="U799" s="77">
        <f t="shared" si="25"/>
        <v>121.9</v>
      </c>
      <c r="V799" s="78">
        <v>36.9</v>
      </c>
      <c r="W799" s="80" t="s">
        <v>233</v>
      </c>
      <c r="X799" s="81" t="s">
        <v>233</v>
      </c>
      <c r="Y799" s="4" t="s">
        <v>233</v>
      </c>
      <c r="Z799" s="81" t="s">
        <v>233</v>
      </c>
      <c r="AA799" s="64" t="s">
        <v>233</v>
      </c>
      <c r="AB799" s="81" t="s">
        <v>233</v>
      </c>
      <c r="AC799" s="4" t="s">
        <v>240</v>
      </c>
      <c r="AD799" s="64" t="s">
        <v>233</v>
      </c>
      <c r="AE799" s="64" t="s">
        <v>240</v>
      </c>
      <c r="AF799" s="211">
        <v>0</v>
      </c>
      <c r="AG799" s="4">
        <v>1</v>
      </c>
      <c r="AH799" s="64">
        <v>1</v>
      </c>
      <c r="AI799" s="4">
        <v>0</v>
      </c>
      <c r="AJ799" s="4">
        <v>0</v>
      </c>
      <c r="AK799" s="4">
        <v>0</v>
      </c>
    </row>
    <row r="800" spans="1:37" outlineLevel="1">
      <c r="A800" s="63">
        <v>793</v>
      </c>
      <c r="B800" s="64" t="s">
        <v>190</v>
      </c>
      <c r="C800" s="4" t="s">
        <v>236</v>
      </c>
      <c r="D800" s="4" t="str">
        <f>[1]Лист2!B793</f>
        <v>ЯКУБОВИЧА ул.</v>
      </c>
      <c r="E800" s="69">
        <f>[1]Лист2!C793</f>
        <v>24</v>
      </c>
      <c r="F800" s="197" t="str">
        <f>[1]Лист2!D793</f>
        <v>А</v>
      </c>
      <c r="G800" s="64"/>
      <c r="H800" s="199">
        <v>129793</v>
      </c>
      <c r="I800" s="64" t="s">
        <v>234</v>
      </c>
      <c r="J800" s="4" t="s">
        <v>1422</v>
      </c>
      <c r="K800" s="64" t="s">
        <v>232</v>
      </c>
      <c r="L800" s="4" t="s">
        <v>232</v>
      </c>
      <c r="M800" s="72">
        <v>1841</v>
      </c>
      <c r="N800" s="64" t="s">
        <v>385</v>
      </c>
      <c r="O800" s="73">
        <v>3</v>
      </c>
      <c r="P800" s="196">
        <v>0</v>
      </c>
      <c r="Q800" s="73">
        <v>4</v>
      </c>
      <c r="R800" s="203">
        <v>26</v>
      </c>
      <c r="S800" s="76">
        <v>3180.2</v>
      </c>
      <c r="T800" s="82">
        <f t="shared" si="24"/>
        <v>0</v>
      </c>
      <c r="U800" s="77">
        <f t="shared" si="25"/>
        <v>0</v>
      </c>
      <c r="V800" s="78">
        <v>3180.2</v>
      </c>
      <c r="W800" s="80" t="s">
        <v>233</v>
      </c>
      <c r="X800" s="81" t="s">
        <v>233</v>
      </c>
      <c r="Y800" s="4" t="s">
        <v>233</v>
      </c>
      <c r="Z800" s="81" t="s">
        <v>233</v>
      </c>
      <c r="AA800" s="64" t="s">
        <v>233</v>
      </c>
      <c r="AB800" s="81" t="s">
        <v>233</v>
      </c>
      <c r="AC800" s="4" t="s">
        <v>240</v>
      </c>
      <c r="AD800" s="64" t="s">
        <v>233</v>
      </c>
      <c r="AE800" s="64" t="s">
        <v>240</v>
      </c>
      <c r="AF800" s="210">
        <v>0</v>
      </c>
      <c r="AG800" s="4">
        <v>1</v>
      </c>
      <c r="AH800" s="64">
        <v>1</v>
      </c>
      <c r="AI800" s="4">
        <v>0</v>
      </c>
      <c r="AJ800" s="4">
        <v>0</v>
      </c>
      <c r="AK800" s="4">
        <v>0</v>
      </c>
    </row>
    <row r="801" spans="1:37">
      <c r="A801" s="63">
        <v>794</v>
      </c>
      <c r="B801" s="64" t="s">
        <v>190</v>
      </c>
      <c r="C801" s="4" t="s">
        <v>236</v>
      </c>
      <c r="D801" s="4" t="str">
        <f>[1]Лист2!B794</f>
        <v>ЯКУБОВИЧА ул.</v>
      </c>
      <c r="E801" s="69">
        <f>[1]Лист2!C794</f>
        <v>8</v>
      </c>
      <c r="F801" s="197" t="str">
        <f>[1]Лист2!D794</f>
        <v>А</v>
      </c>
      <c r="G801" s="64"/>
      <c r="H801" s="199">
        <v>129794</v>
      </c>
      <c r="I801" s="64" t="s">
        <v>234</v>
      </c>
      <c r="J801" s="4"/>
      <c r="K801" s="64" t="s">
        <v>232</v>
      </c>
      <c r="L801" s="4" t="s">
        <v>232</v>
      </c>
      <c r="M801" s="72">
        <v>1798</v>
      </c>
      <c r="N801" s="64" t="s">
        <v>385</v>
      </c>
      <c r="O801" s="73">
        <v>5</v>
      </c>
      <c r="P801" s="196">
        <v>0</v>
      </c>
      <c r="Q801" s="73">
        <v>3</v>
      </c>
      <c r="R801" s="74">
        <v>31</v>
      </c>
      <c r="S801" s="76">
        <v>2073.65</v>
      </c>
      <c r="T801" s="82">
        <f t="shared" si="24"/>
        <v>1348.15</v>
      </c>
      <c r="U801" s="77">
        <f t="shared" si="25"/>
        <v>1348.15</v>
      </c>
      <c r="V801" s="78">
        <v>725.5</v>
      </c>
      <c r="W801" s="80" t="s">
        <v>233</v>
      </c>
      <c r="X801" s="81" t="s">
        <v>233</v>
      </c>
      <c r="Y801" s="4" t="s">
        <v>233</v>
      </c>
      <c r="Z801" s="81" t="s">
        <v>233</v>
      </c>
      <c r="AA801" s="64" t="s">
        <v>233</v>
      </c>
      <c r="AB801" s="81" t="s">
        <v>233</v>
      </c>
      <c r="AC801" s="4" t="s">
        <v>240</v>
      </c>
      <c r="AD801" s="64" t="s">
        <v>233</v>
      </c>
      <c r="AE801" s="64" t="s">
        <v>240</v>
      </c>
      <c r="AF801" s="210">
        <v>0</v>
      </c>
      <c r="AG801" s="4">
        <v>1</v>
      </c>
      <c r="AH801" s="64">
        <v>1</v>
      </c>
      <c r="AI801" s="4">
        <v>0</v>
      </c>
      <c r="AJ801" s="4">
        <v>0</v>
      </c>
      <c r="AK801" s="4">
        <v>0</v>
      </c>
    </row>
    <row r="802" spans="1:37" s="100" customFormat="1" outlineLevel="1">
      <c r="A802" s="63">
        <v>795</v>
      </c>
      <c r="B802" s="93" t="s">
        <v>379</v>
      </c>
      <c r="C802" s="93" t="s">
        <v>380</v>
      </c>
      <c r="D802" s="94" t="s">
        <v>381</v>
      </c>
      <c r="E802" s="93">
        <v>3</v>
      </c>
      <c r="F802" s="99" t="s">
        <v>191</v>
      </c>
      <c r="G802" s="93"/>
      <c r="H802" s="102" t="s">
        <v>382</v>
      </c>
      <c r="I802" s="93" t="s">
        <v>383</v>
      </c>
      <c r="J802" s="93"/>
      <c r="K802" s="96" t="s">
        <v>384</v>
      </c>
      <c r="L802" s="93" t="s">
        <v>232</v>
      </c>
      <c r="M802" s="97">
        <v>1896</v>
      </c>
      <c r="N802" s="64" t="s">
        <v>385</v>
      </c>
      <c r="O802" s="202">
        <v>4</v>
      </c>
      <c r="P802" s="196">
        <v>0</v>
      </c>
      <c r="Q802" s="202">
        <v>4</v>
      </c>
      <c r="R802" s="19">
        <v>18</v>
      </c>
      <c r="S802" s="19">
        <v>1608</v>
      </c>
      <c r="T802" s="19">
        <v>1392</v>
      </c>
      <c r="U802" s="93">
        <v>1322</v>
      </c>
      <c r="V802" s="98">
        <v>79</v>
      </c>
      <c r="W802" s="205" t="s">
        <v>233</v>
      </c>
      <c r="X802" s="205" t="s">
        <v>233</v>
      </c>
      <c r="Y802" s="206" t="s">
        <v>233</v>
      </c>
      <c r="Z802" s="205" t="s">
        <v>233</v>
      </c>
      <c r="AA802" s="205" t="s">
        <v>233</v>
      </c>
      <c r="AB802" s="205" t="s">
        <v>233</v>
      </c>
      <c r="AC802" s="206" t="s">
        <v>240</v>
      </c>
      <c r="AD802" s="205" t="s">
        <v>233</v>
      </c>
      <c r="AE802" s="206" t="s">
        <v>240</v>
      </c>
      <c r="AF802" s="212">
        <v>0</v>
      </c>
      <c r="AG802" s="93">
        <v>1</v>
      </c>
      <c r="AH802" s="93">
        <v>1</v>
      </c>
      <c r="AI802" s="93">
        <v>1</v>
      </c>
      <c r="AJ802" s="93">
        <v>1</v>
      </c>
      <c r="AK802" s="93">
        <v>0</v>
      </c>
    </row>
    <row r="803" spans="1:37" s="100" customFormat="1" outlineLevel="1">
      <c r="A803" s="63">
        <v>796</v>
      </c>
      <c r="B803" s="93" t="s">
        <v>379</v>
      </c>
      <c r="C803" s="93" t="s">
        <v>380</v>
      </c>
      <c r="D803" s="94" t="s">
        <v>381</v>
      </c>
      <c r="E803" s="93">
        <v>5</v>
      </c>
      <c r="F803" s="99" t="s">
        <v>191</v>
      </c>
      <c r="G803" s="93"/>
      <c r="H803" s="102" t="s">
        <v>386</v>
      </c>
      <c r="I803" s="93" t="s">
        <v>383</v>
      </c>
      <c r="J803" s="93"/>
      <c r="K803" s="96" t="s">
        <v>384</v>
      </c>
      <c r="L803" s="93" t="s">
        <v>232</v>
      </c>
      <c r="M803" s="97">
        <v>1875</v>
      </c>
      <c r="N803" s="64" t="s">
        <v>385</v>
      </c>
      <c r="O803" s="202">
        <v>5</v>
      </c>
      <c r="P803" s="196">
        <v>0</v>
      </c>
      <c r="Q803" s="202">
        <v>2</v>
      </c>
      <c r="R803" s="19">
        <v>20</v>
      </c>
      <c r="S803" s="19">
        <v>1746</v>
      </c>
      <c r="T803" s="19">
        <v>1476</v>
      </c>
      <c r="U803" s="93">
        <v>1243</v>
      </c>
      <c r="V803" s="98">
        <v>270</v>
      </c>
      <c r="W803" s="205" t="s">
        <v>233</v>
      </c>
      <c r="X803" s="205" t="s">
        <v>233</v>
      </c>
      <c r="Y803" s="206" t="s">
        <v>233</v>
      </c>
      <c r="Z803" s="205" t="s">
        <v>233</v>
      </c>
      <c r="AA803" s="205" t="s">
        <v>233</v>
      </c>
      <c r="AB803" s="205" t="s">
        <v>233</v>
      </c>
      <c r="AC803" s="206" t="s">
        <v>240</v>
      </c>
      <c r="AD803" s="205" t="s">
        <v>233</v>
      </c>
      <c r="AE803" s="206" t="s">
        <v>240</v>
      </c>
      <c r="AF803" s="212">
        <v>1</v>
      </c>
      <c r="AG803" s="93">
        <v>1</v>
      </c>
      <c r="AH803" s="93">
        <v>0</v>
      </c>
      <c r="AI803" s="93">
        <v>1</v>
      </c>
      <c r="AJ803" s="93">
        <v>1</v>
      </c>
      <c r="AK803" s="93">
        <v>0</v>
      </c>
    </row>
    <row r="804" spans="1:37" s="100" customFormat="1" outlineLevel="1">
      <c r="A804" s="63">
        <v>797</v>
      </c>
      <c r="B804" s="93" t="s">
        <v>379</v>
      </c>
      <c r="C804" s="93" t="s">
        <v>380</v>
      </c>
      <c r="D804" s="94" t="s">
        <v>381</v>
      </c>
      <c r="E804" s="93">
        <v>6</v>
      </c>
      <c r="F804" s="99" t="s">
        <v>191</v>
      </c>
      <c r="G804" s="93"/>
      <c r="H804" s="102" t="s">
        <v>387</v>
      </c>
      <c r="I804" s="93" t="s">
        <v>383</v>
      </c>
      <c r="J804" s="93"/>
      <c r="K804" s="96" t="s">
        <v>384</v>
      </c>
      <c r="L804" s="93" t="s">
        <v>232</v>
      </c>
      <c r="M804" s="97">
        <v>1901</v>
      </c>
      <c r="N804" s="64" t="s">
        <v>385</v>
      </c>
      <c r="O804" s="202">
        <v>5</v>
      </c>
      <c r="P804" s="196">
        <v>0</v>
      </c>
      <c r="Q804" s="202">
        <v>4</v>
      </c>
      <c r="R804" s="19">
        <v>50</v>
      </c>
      <c r="S804" s="19">
        <v>6179</v>
      </c>
      <c r="T804" s="19">
        <v>5502</v>
      </c>
      <c r="U804" s="93">
        <v>4956</v>
      </c>
      <c r="V804" s="98">
        <v>786</v>
      </c>
      <c r="W804" s="205" t="s">
        <v>233</v>
      </c>
      <c r="X804" s="205" t="s">
        <v>233</v>
      </c>
      <c r="Y804" s="206" t="s">
        <v>240</v>
      </c>
      <c r="Z804" s="205" t="s">
        <v>233</v>
      </c>
      <c r="AA804" s="205" t="s">
        <v>233</v>
      </c>
      <c r="AB804" s="205" t="s">
        <v>233</v>
      </c>
      <c r="AC804" s="206" t="s">
        <v>233</v>
      </c>
      <c r="AD804" s="205" t="s">
        <v>233</v>
      </c>
      <c r="AE804" s="206" t="s">
        <v>240</v>
      </c>
      <c r="AF804" s="212">
        <v>1</v>
      </c>
      <c r="AG804" s="93">
        <v>1</v>
      </c>
      <c r="AH804" s="93">
        <v>1</v>
      </c>
      <c r="AI804" s="93">
        <v>0</v>
      </c>
      <c r="AJ804" s="93">
        <v>1</v>
      </c>
      <c r="AK804" s="93">
        <v>0</v>
      </c>
    </row>
    <row r="805" spans="1:37" s="100" customFormat="1" outlineLevel="1">
      <c r="A805" s="63">
        <v>798</v>
      </c>
      <c r="B805" s="93" t="s">
        <v>379</v>
      </c>
      <c r="C805" s="93" t="s">
        <v>380</v>
      </c>
      <c r="D805" s="94" t="s">
        <v>381</v>
      </c>
      <c r="E805" s="93">
        <v>7</v>
      </c>
      <c r="F805" s="99" t="s">
        <v>191</v>
      </c>
      <c r="G805" s="93"/>
      <c r="H805" s="102" t="s">
        <v>388</v>
      </c>
      <c r="I805" s="93" t="s">
        <v>383</v>
      </c>
      <c r="J805" s="93"/>
      <c r="K805" s="96" t="s">
        <v>384</v>
      </c>
      <c r="L805" s="93" t="s">
        <v>232</v>
      </c>
      <c r="M805" s="97">
        <v>1917</v>
      </c>
      <c r="N805" s="64" t="s">
        <v>385</v>
      </c>
      <c r="O805" s="202">
        <v>3</v>
      </c>
      <c r="P805" s="196">
        <v>0</v>
      </c>
      <c r="Q805" s="202">
        <v>3</v>
      </c>
      <c r="R805" s="19">
        <v>18</v>
      </c>
      <c r="S805" s="19">
        <v>1580</v>
      </c>
      <c r="T805" s="19">
        <v>1347</v>
      </c>
      <c r="U805" s="93">
        <v>971</v>
      </c>
      <c r="V805" s="98">
        <v>427</v>
      </c>
      <c r="W805" s="205" t="s">
        <v>233</v>
      </c>
      <c r="X805" s="205" t="s">
        <v>233</v>
      </c>
      <c r="Y805" s="206" t="s">
        <v>233</v>
      </c>
      <c r="Z805" s="205" t="s">
        <v>233</v>
      </c>
      <c r="AA805" s="205" t="s">
        <v>233</v>
      </c>
      <c r="AB805" s="205" t="s">
        <v>233</v>
      </c>
      <c r="AC805" s="206" t="s">
        <v>240</v>
      </c>
      <c r="AD805" s="205" t="s">
        <v>233</v>
      </c>
      <c r="AE805" s="206" t="s">
        <v>240</v>
      </c>
      <c r="AF805" s="212">
        <v>0</v>
      </c>
      <c r="AG805" s="93">
        <v>1</v>
      </c>
      <c r="AH805" s="93">
        <v>1</v>
      </c>
      <c r="AI805" s="93">
        <v>1</v>
      </c>
      <c r="AJ805" s="93">
        <v>1</v>
      </c>
      <c r="AK805" s="93">
        <v>0</v>
      </c>
    </row>
    <row r="806" spans="1:37" s="100" customFormat="1" outlineLevel="1">
      <c r="A806" s="63">
        <v>799</v>
      </c>
      <c r="B806" s="93" t="s">
        <v>379</v>
      </c>
      <c r="C806" s="93" t="s">
        <v>380</v>
      </c>
      <c r="D806" s="94" t="s">
        <v>381</v>
      </c>
      <c r="E806" s="93">
        <v>9</v>
      </c>
      <c r="F806" s="99" t="s">
        <v>191</v>
      </c>
      <c r="G806" s="93"/>
      <c r="H806" s="102" t="s">
        <v>389</v>
      </c>
      <c r="I806" s="93" t="s">
        <v>383</v>
      </c>
      <c r="J806" s="93"/>
      <c r="K806" s="96" t="s">
        <v>384</v>
      </c>
      <c r="L806" s="93" t="s">
        <v>232</v>
      </c>
      <c r="M806" s="97">
        <v>1905</v>
      </c>
      <c r="N806" s="64" t="s">
        <v>385</v>
      </c>
      <c r="O806" s="202">
        <v>5.7</v>
      </c>
      <c r="P806" s="196">
        <v>0</v>
      </c>
      <c r="Q806" s="202">
        <v>8</v>
      </c>
      <c r="R806" s="19">
        <v>78</v>
      </c>
      <c r="S806" s="19">
        <v>8163</v>
      </c>
      <c r="T806" s="19">
        <v>7147</v>
      </c>
      <c r="U806" s="93">
        <v>6855</v>
      </c>
      <c r="V806" s="98">
        <v>355</v>
      </c>
      <c r="W806" s="205" t="s">
        <v>233</v>
      </c>
      <c r="X806" s="205" t="s">
        <v>233</v>
      </c>
      <c r="Y806" s="206" t="s">
        <v>240</v>
      </c>
      <c r="Z806" s="205" t="s">
        <v>233</v>
      </c>
      <c r="AA806" s="205" t="s">
        <v>233</v>
      </c>
      <c r="AB806" s="205" t="s">
        <v>233</v>
      </c>
      <c r="AC806" s="206" t="s">
        <v>233</v>
      </c>
      <c r="AD806" s="205" t="s">
        <v>233</v>
      </c>
      <c r="AE806" s="206" t="s">
        <v>240</v>
      </c>
      <c r="AF806" s="212">
        <v>2</v>
      </c>
      <c r="AG806" s="93">
        <v>1</v>
      </c>
      <c r="AH806" s="93">
        <v>1</v>
      </c>
      <c r="AI806" s="93">
        <v>0</v>
      </c>
      <c r="AJ806" s="93">
        <v>1</v>
      </c>
      <c r="AK806" s="93">
        <v>0</v>
      </c>
    </row>
    <row r="807" spans="1:37" s="100" customFormat="1" outlineLevel="1">
      <c r="A807" s="63">
        <v>800</v>
      </c>
      <c r="B807" s="93" t="s">
        <v>379</v>
      </c>
      <c r="C807" s="93" t="s">
        <v>380</v>
      </c>
      <c r="D807" s="94" t="s">
        <v>381</v>
      </c>
      <c r="E807" s="93">
        <v>9</v>
      </c>
      <c r="F807" s="99" t="s">
        <v>261</v>
      </c>
      <c r="G807" s="93"/>
      <c r="H807" s="102" t="s">
        <v>390</v>
      </c>
      <c r="I807" s="93" t="s">
        <v>383</v>
      </c>
      <c r="J807" s="93"/>
      <c r="K807" s="96" t="s">
        <v>384</v>
      </c>
      <c r="L807" s="93" t="s">
        <v>232</v>
      </c>
      <c r="M807" s="97">
        <v>1905</v>
      </c>
      <c r="N807" s="64" t="s">
        <v>385</v>
      </c>
      <c r="O807" s="202">
        <v>7</v>
      </c>
      <c r="P807" s="196">
        <v>0</v>
      </c>
      <c r="Q807" s="202">
        <v>2</v>
      </c>
      <c r="R807" s="19">
        <v>54</v>
      </c>
      <c r="S807" s="19">
        <v>3970</v>
      </c>
      <c r="T807" s="19">
        <v>3520</v>
      </c>
      <c r="U807" s="93">
        <v>3372</v>
      </c>
      <c r="V807" s="98">
        <v>272</v>
      </c>
      <c r="W807" s="205" t="s">
        <v>233</v>
      </c>
      <c r="X807" s="205" t="s">
        <v>233</v>
      </c>
      <c r="Y807" s="206" t="s">
        <v>233</v>
      </c>
      <c r="Z807" s="205" t="s">
        <v>233</v>
      </c>
      <c r="AA807" s="205" t="s">
        <v>233</v>
      </c>
      <c r="AB807" s="205" t="s">
        <v>233</v>
      </c>
      <c r="AC807" s="206" t="s">
        <v>233</v>
      </c>
      <c r="AD807" s="205" t="s">
        <v>233</v>
      </c>
      <c r="AE807" s="206" t="s">
        <v>240</v>
      </c>
      <c r="AF807" s="212">
        <v>2</v>
      </c>
      <c r="AG807" s="93">
        <v>1</v>
      </c>
      <c r="AH807" s="93">
        <v>0</v>
      </c>
      <c r="AI807" s="93">
        <v>0</v>
      </c>
      <c r="AJ807" s="93">
        <v>1</v>
      </c>
      <c r="AK807" s="93">
        <v>0</v>
      </c>
    </row>
    <row r="808" spans="1:37" s="100" customFormat="1" outlineLevel="1">
      <c r="A808" s="63">
        <v>801</v>
      </c>
      <c r="B808" s="93" t="s">
        <v>379</v>
      </c>
      <c r="C808" s="93" t="s">
        <v>380</v>
      </c>
      <c r="D808" s="101" t="s">
        <v>391</v>
      </c>
      <c r="E808" s="93">
        <v>4</v>
      </c>
      <c r="F808" s="99" t="s">
        <v>191</v>
      </c>
      <c r="G808" s="93"/>
      <c r="H808" s="102" t="s">
        <v>392</v>
      </c>
      <c r="I808" s="93" t="s">
        <v>383</v>
      </c>
      <c r="J808" s="93"/>
      <c r="K808" s="96" t="s">
        <v>384</v>
      </c>
      <c r="L808" s="93" t="s">
        <v>232</v>
      </c>
      <c r="M808" s="97">
        <v>1894</v>
      </c>
      <c r="N808" s="64" t="s">
        <v>385</v>
      </c>
      <c r="O808" s="202">
        <v>3</v>
      </c>
      <c r="P808" s="196">
        <v>0</v>
      </c>
      <c r="Q808" s="202">
        <v>2</v>
      </c>
      <c r="R808" s="19">
        <v>12</v>
      </c>
      <c r="S808" s="19">
        <v>689</v>
      </c>
      <c r="T808" s="19">
        <v>586</v>
      </c>
      <c r="U808" s="93">
        <v>489</v>
      </c>
      <c r="V808" s="98">
        <v>97</v>
      </c>
      <c r="W808" s="205" t="s">
        <v>233</v>
      </c>
      <c r="X808" s="205" t="s">
        <v>233</v>
      </c>
      <c r="Y808" s="206" t="s">
        <v>233</v>
      </c>
      <c r="Z808" s="205" t="s">
        <v>233</v>
      </c>
      <c r="AA808" s="205" t="s">
        <v>233</v>
      </c>
      <c r="AB808" s="205" t="s">
        <v>233</v>
      </c>
      <c r="AC808" s="206" t="s">
        <v>240</v>
      </c>
      <c r="AD808" s="205" t="s">
        <v>233</v>
      </c>
      <c r="AE808" s="206" t="s">
        <v>240</v>
      </c>
      <c r="AF808" s="212">
        <v>0</v>
      </c>
      <c r="AG808" s="93">
        <v>1</v>
      </c>
      <c r="AH808" s="93">
        <v>1</v>
      </c>
      <c r="AI808" s="93">
        <v>1</v>
      </c>
      <c r="AJ808" s="93">
        <v>1</v>
      </c>
      <c r="AK808" s="93">
        <v>0</v>
      </c>
    </row>
    <row r="809" spans="1:37" s="100" customFormat="1" outlineLevel="1">
      <c r="A809" s="63">
        <v>802</v>
      </c>
      <c r="B809" s="93" t="s">
        <v>379</v>
      </c>
      <c r="C809" s="93" t="s">
        <v>380</v>
      </c>
      <c r="D809" s="101" t="s">
        <v>391</v>
      </c>
      <c r="E809" s="93">
        <v>10</v>
      </c>
      <c r="F809" s="99" t="s">
        <v>191</v>
      </c>
      <c r="G809" s="93"/>
      <c r="H809" s="102" t="s">
        <v>393</v>
      </c>
      <c r="I809" s="93" t="s">
        <v>383</v>
      </c>
      <c r="J809" s="93"/>
      <c r="K809" s="96" t="s">
        <v>384</v>
      </c>
      <c r="L809" s="93" t="s">
        <v>232</v>
      </c>
      <c r="M809" s="97">
        <v>1969</v>
      </c>
      <c r="N809" s="64" t="s">
        <v>385</v>
      </c>
      <c r="O809" s="202">
        <v>6</v>
      </c>
      <c r="P809" s="196">
        <v>0</v>
      </c>
      <c r="Q809" s="202">
        <v>3</v>
      </c>
      <c r="R809" s="19">
        <v>69</v>
      </c>
      <c r="S809" s="19">
        <v>3618</v>
      </c>
      <c r="T809" s="19">
        <v>3146</v>
      </c>
      <c r="U809" s="93">
        <v>3050</v>
      </c>
      <c r="V809" s="98">
        <v>125</v>
      </c>
      <c r="W809" s="205" t="s">
        <v>233</v>
      </c>
      <c r="X809" s="205" t="s">
        <v>233</v>
      </c>
      <c r="Y809" s="206" t="s">
        <v>233</v>
      </c>
      <c r="Z809" s="205" t="s">
        <v>233</v>
      </c>
      <c r="AA809" s="205" t="s">
        <v>233</v>
      </c>
      <c r="AB809" s="205" t="s">
        <v>233</v>
      </c>
      <c r="AC809" s="206" t="s">
        <v>240</v>
      </c>
      <c r="AD809" s="205" t="s">
        <v>233</v>
      </c>
      <c r="AE809" s="206" t="s">
        <v>240</v>
      </c>
      <c r="AF809" s="212">
        <v>3</v>
      </c>
      <c r="AG809" s="93">
        <v>1</v>
      </c>
      <c r="AH809" s="93">
        <v>1</v>
      </c>
      <c r="AI809" s="93">
        <v>1</v>
      </c>
      <c r="AJ809" s="93">
        <v>1</v>
      </c>
      <c r="AK809" s="93">
        <v>0</v>
      </c>
    </row>
    <row r="810" spans="1:37" s="100" customFormat="1" outlineLevel="1">
      <c r="A810" s="63">
        <v>803</v>
      </c>
      <c r="B810" s="93" t="s">
        <v>379</v>
      </c>
      <c r="C810" s="93" t="s">
        <v>380</v>
      </c>
      <c r="D810" s="94" t="s">
        <v>394</v>
      </c>
      <c r="E810" s="102" t="s">
        <v>395</v>
      </c>
      <c r="F810" s="99" t="s">
        <v>191</v>
      </c>
      <c r="G810" s="93"/>
      <c r="H810" s="102" t="s">
        <v>396</v>
      </c>
      <c r="I810" s="93" t="s">
        <v>383</v>
      </c>
      <c r="J810" s="93"/>
      <c r="K810" s="96" t="s">
        <v>384</v>
      </c>
      <c r="L810" s="93" t="s">
        <v>232</v>
      </c>
      <c r="M810" s="97">
        <v>1911</v>
      </c>
      <c r="N810" s="64" t="s">
        <v>385</v>
      </c>
      <c r="O810" s="202">
        <v>7</v>
      </c>
      <c r="P810" s="196">
        <v>0</v>
      </c>
      <c r="Q810" s="202">
        <v>8</v>
      </c>
      <c r="R810" s="19">
        <v>85</v>
      </c>
      <c r="S810" s="19">
        <v>11040</v>
      </c>
      <c r="T810" s="19">
        <v>9797</v>
      </c>
      <c r="U810" s="93">
        <v>8589</v>
      </c>
      <c r="V810" s="98">
        <v>1364</v>
      </c>
      <c r="W810" s="205" t="s">
        <v>233</v>
      </c>
      <c r="X810" s="205" t="s">
        <v>233</v>
      </c>
      <c r="Y810" s="206" t="s">
        <v>240</v>
      </c>
      <c r="Z810" s="205" t="s">
        <v>233</v>
      </c>
      <c r="AA810" s="205" t="s">
        <v>233</v>
      </c>
      <c r="AB810" s="205" t="s">
        <v>233</v>
      </c>
      <c r="AC810" s="206" t="s">
        <v>233</v>
      </c>
      <c r="AD810" s="205" t="s">
        <v>233</v>
      </c>
      <c r="AE810" s="206" t="s">
        <v>240</v>
      </c>
      <c r="AF810" s="212">
        <v>3</v>
      </c>
      <c r="AG810" s="93">
        <v>1</v>
      </c>
      <c r="AH810" s="93">
        <v>1</v>
      </c>
      <c r="AI810" s="93">
        <v>0</v>
      </c>
      <c r="AJ810" s="93">
        <v>1</v>
      </c>
      <c r="AK810" s="93">
        <v>0</v>
      </c>
    </row>
    <row r="811" spans="1:37" s="100" customFormat="1" outlineLevel="1">
      <c r="A811" s="63">
        <v>804</v>
      </c>
      <c r="B811" s="93" t="s">
        <v>379</v>
      </c>
      <c r="C811" s="93" t="s">
        <v>380</v>
      </c>
      <c r="D811" s="94" t="s">
        <v>394</v>
      </c>
      <c r="E811" s="93">
        <v>13</v>
      </c>
      <c r="F811" s="99" t="s">
        <v>191</v>
      </c>
      <c r="G811" s="93"/>
      <c r="H811" s="102" t="s">
        <v>397</v>
      </c>
      <c r="I811" s="93" t="s">
        <v>383</v>
      </c>
      <c r="J811" s="93"/>
      <c r="K811" s="96" t="s">
        <v>384</v>
      </c>
      <c r="L811" s="93" t="s">
        <v>232</v>
      </c>
      <c r="M811" s="97">
        <v>1939</v>
      </c>
      <c r="N811" s="64" t="s">
        <v>385</v>
      </c>
      <c r="O811" s="202">
        <v>6</v>
      </c>
      <c r="P811" s="196">
        <v>0</v>
      </c>
      <c r="Q811" s="202">
        <v>6</v>
      </c>
      <c r="R811" s="19">
        <v>68</v>
      </c>
      <c r="S811" s="19">
        <v>7697</v>
      </c>
      <c r="T811" s="19">
        <v>5977</v>
      </c>
      <c r="U811" s="93">
        <v>5701</v>
      </c>
      <c r="V811" s="98">
        <v>1099</v>
      </c>
      <c r="W811" s="205" t="s">
        <v>233</v>
      </c>
      <c r="X811" s="205" t="s">
        <v>233</v>
      </c>
      <c r="Y811" s="206" t="s">
        <v>233</v>
      </c>
      <c r="Z811" s="205" t="s">
        <v>233</v>
      </c>
      <c r="AA811" s="205" t="s">
        <v>233</v>
      </c>
      <c r="AB811" s="205" t="s">
        <v>233</v>
      </c>
      <c r="AC811" s="206" t="s">
        <v>240</v>
      </c>
      <c r="AD811" s="205" t="s">
        <v>233</v>
      </c>
      <c r="AE811" s="206" t="s">
        <v>240</v>
      </c>
      <c r="AF811" s="212">
        <v>6</v>
      </c>
      <c r="AG811" s="93">
        <v>1</v>
      </c>
      <c r="AH811" s="93">
        <v>1</v>
      </c>
      <c r="AI811" s="93">
        <v>1</v>
      </c>
      <c r="AJ811" s="93">
        <v>1</v>
      </c>
      <c r="AK811" s="93">
        <v>0</v>
      </c>
    </row>
    <row r="812" spans="1:37" s="100" customFormat="1" outlineLevel="1">
      <c r="A812" s="63">
        <v>805</v>
      </c>
      <c r="B812" s="93" t="s">
        <v>379</v>
      </c>
      <c r="C812" s="93" t="s">
        <v>380</v>
      </c>
      <c r="D812" s="94" t="s">
        <v>394</v>
      </c>
      <c r="E812" s="93">
        <v>13</v>
      </c>
      <c r="F812" s="99" t="s">
        <v>231</v>
      </c>
      <c r="G812" s="93"/>
      <c r="H812" s="102" t="s">
        <v>398</v>
      </c>
      <c r="I812" s="93" t="s">
        <v>383</v>
      </c>
      <c r="J812" s="93"/>
      <c r="K812" s="96" t="s">
        <v>384</v>
      </c>
      <c r="L812" s="93" t="s">
        <v>232</v>
      </c>
      <c r="M812" s="97">
        <v>1939</v>
      </c>
      <c r="N812" s="64" t="s">
        <v>385</v>
      </c>
      <c r="O812" s="202">
        <v>2</v>
      </c>
      <c r="P812" s="196">
        <v>0</v>
      </c>
      <c r="Q812" s="202">
        <v>2</v>
      </c>
      <c r="R812" s="19">
        <v>2</v>
      </c>
      <c r="S812" s="19">
        <v>657</v>
      </c>
      <c r="T812" s="19">
        <v>520</v>
      </c>
      <c r="U812" s="93">
        <v>128</v>
      </c>
      <c r="V812" s="98">
        <v>411</v>
      </c>
      <c r="W812" s="205" t="s">
        <v>233</v>
      </c>
      <c r="X812" s="205" t="s">
        <v>233</v>
      </c>
      <c r="Y812" s="206" t="s">
        <v>233</v>
      </c>
      <c r="Z812" s="205" t="s">
        <v>233</v>
      </c>
      <c r="AA812" s="205" t="s">
        <v>233</v>
      </c>
      <c r="AB812" s="205" t="s">
        <v>233</v>
      </c>
      <c r="AC812" s="206" t="s">
        <v>240</v>
      </c>
      <c r="AD812" s="205" t="s">
        <v>233</v>
      </c>
      <c r="AE812" s="206" t="s">
        <v>240</v>
      </c>
      <c r="AF812" s="212">
        <v>0</v>
      </c>
      <c r="AG812" s="93">
        <v>1</v>
      </c>
      <c r="AH812" s="93">
        <v>0</v>
      </c>
      <c r="AI812" s="93">
        <v>0</v>
      </c>
      <c r="AJ812" s="93">
        <v>0</v>
      </c>
      <c r="AK812" s="93">
        <v>0</v>
      </c>
    </row>
    <row r="813" spans="1:37" s="100" customFormat="1" outlineLevel="1">
      <c r="A813" s="63">
        <v>806</v>
      </c>
      <c r="B813" s="93" t="s">
        <v>379</v>
      </c>
      <c r="C813" s="93" t="s">
        <v>380</v>
      </c>
      <c r="D813" s="94" t="s">
        <v>394</v>
      </c>
      <c r="E813" s="93">
        <v>15</v>
      </c>
      <c r="F813" s="99" t="s">
        <v>191</v>
      </c>
      <c r="G813" s="93"/>
      <c r="H813" s="102" t="s">
        <v>399</v>
      </c>
      <c r="I813" s="93" t="s">
        <v>383</v>
      </c>
      <c r="J813" s="93"/>
      <c r="K813" s="96" t="s">
        <v>384</v>
      </c>
      <c r="L813" s="93" t="s">
        <v>232</v>
      </c>
      <c r="M813" s="97">
        <v>1911</v>
      </c>
      <c r="N813" s="64" t="s">
        <v>385</v>
      </c>
      <c r="O813" s="202">
        <v>5</v>
      </c>
      <c r="P813" s="196">
        <v>0</v>
      </c>
      <c r="Q813" s="202">
        <v>8</v>
      </c>
      <c r="R813" s="19">
        <v>41</v>
      </c>
      <c r="S813" s="19">
        <v>7392</v>
      </c>
      <c r="T813" s="19">
        <v>6256</v>
      </c>
      <c r="U813" s="93">
        <v>5249</v>
      </c>
      <c r="V813" s="98">
        <v>1208</v>
      </c>
      <c r="W813" s="205" t="s">
        <v>233</v>
      </c>
      <c r="X813" s="205" t="s">
        <v>233</v>
      </c>
      <c r="Y813" s="206" t="s">
        <v>240</v>
      </c>
      <c r="Z813" s="205" t="s">
        <v>233</v>
      </c>
      <c r="AA813" s="205" t="s">
        <v>233</v>
      </c>
      <c r="AB813" s="205" t="s">
        <v>233</v>
      </c>
      <c r="AC813" s="206" t="s">
        <v>233</v>
      </c>
      <c r="AD813" s="205" t="s">
        <v>233</v>
      </c>
      <c r="AE813" s="206" t="s">
        <v>240</v>
      </c>
      <c r="AF813" s="212">
        <v>3</v>
      </c>
      <c r="AG813" s="93">
        <v>1</v>
      </c>
      <c r="AH813" s="93">
        <v>0</v>
      </c>
      <c r="AI813" s="93">
        <v>0</v>
      </c>
      <c r="AJ813" s="93">
        <v>1</v>
      </c>
      <c r="AK813" s="93">
        <v>0</v>
      </c>
    </row>
    <row r="814" spans="1:37" s="100" customFormat="1" outlineLevel="1">
      <c r="A814" s="63">
        <v>807</v>
      </c>
      <c r="B814" s="93" t="s">
        <v>379</v>
      </c>
      <c r="C814" s="93" t="s">
        <v>380</v>
      </c>
      <c r="D814" s="94" t="s">
        <v>400</v>
      </c>
      <c r="E814" s="102" t="s">
        <v>401</v>
      </c>
      <c r="F814" s="99" t="s">
        <v>191</v>
      </c>
      <c r="G814" s="93"/>
      <c r="H814" s="102" t="s">
        <v>402</v>
      </c>
      <c r="I814" s="93" t="s">
        <v>383</v>
      </c>
      <c r="J814" s="93"/>
      <c r="K814" s="96" t="s">
        <v>384</v>
      </c>
      <c r="L814" s="93" t="s">
        <v>232</v>
      </c>
      <c r="M814" s="97">
        <v>1897</v>
      </c>
      <c r="N814" s="64" t="s">
        <v>385</v>
      </c>
      <c r="O814" s="202">
        <v>4</v>
      </c>
      <c r="P814" s="196">
        <v>0</v>
      </c>
      <c r="Q814" s="202">
        <v>8</v>
      </c>
      <c r="R814" s="19">
        <v>55</v>
      </c>
      <c r="S814" s="19">
        <v>7020</v>
      </c>
      <c r="T814" s="19">
        <v>6299</v>
      </c>
      <c r="U814" s="93">
        <v>4463</v>
      </c>
      <c r="V814" s="98">
        <v>1845</v>
      </c>
      <c r="W814" s="205" t="s">
        <v>233</v>
      </c>
      <c r="X814" s="205" t="s">
        <v>233</v>
      </c>
      <c r="Y814" s="206" t="s">
        <v>233</v>
      </c>
      <c r="Z814" s="205" t="s">
        <v>233</v>
      </c>
      <c r="AA814" s="205" t="s">
        <v>233</v>
      </c>
      <c r="AB814" s="205" t="s">
        <v>233</v>
      </c>
      <c r="AC814" s="206" t="s">
        <v>240</v>
      </c>
      <c r="AD814" s="205" t="s">
        <v>233</v>
      </c>
      <c r="AE814" s="206" t="s">
        <v>240</v>
      </c>
      <c r="AF814" s="212">
        <v>0</v>
      </c>
      <c r="AG814" s="93">
        <v>1</v>
      </c>
      <c r="AH814" s="93">
        <v>1</v>
      </c>
      <c r="AI814" s="93">
        <v>1</v>
      </c>
      <c r="AJ814" s="93">
        <v>1</v>
      </c>
      <c r="AK814" s="93">
        <v>0</v>
      </c>
    </row>
    <row r="815" spans="1:37" s="100" customFormat="1" outlineLevel="1">
      <c r="A815" s="63">
        <v>808</v>
      </c>
      <c r="B815" s="93" t="s">
        <v>379</v>
      </c>
      <c r="C815" s="93" t="s">
        <v>380</v>
      </c>
      <c r="D815" s="94" t="s">
        <v>400</v>
      </c>
      <c r="E815" s="93">
        <v>4</v>
      </c>
      <c r="F815" s="99" t="s">
        <v>191</v>
      </c>
      <c r="G815" s="93"/>
      <c r="H815" s="102" t="s">
        <v>403</v>
      </c>
      <c r="I815" s="93" t="s">
        <v>383</v>
      </c>
      <c r="J815" s="93"/>
      <c r="K815" s="96" t="s">
        <v>384</v>
      </c>
      <c r="L815" s="93" t="s">
        <v>232</v>
      </c>
      <c r="M815" s="97">
        <v>1974</v>
      </c>
      <c r="N815" s="64" t="s">
        <v>385</v>
      </c>
      <c r="O815" s="202">
        <v>5</v>
      </c>
      <c r="P815" s="196">
        <v>0</v>
      </c>
      <c r="Q815" s="202">
        <v>3</v>
      </c>
      <c r="R815" s="19">
        <v>60</v>
      </c>
      <c r="S815" s="19">
        <v>4149</v>
      </c>
      <c r="T815" s="19">
        <v>3389</v>
      </c>
      <c r="U815" s="93">
        <v>3389</v>
      </c>
      <c r="V815" s="98">
        <v>712</v>
      </c>
      <c r="W815" s="205" t="s">
        <v>233</v>
      </c>
      <c r="X815" s="205" t="s">
        <v>233</v>
      </c>
      <c r="Y815" s="206" t="s">
        <v>233</v>
      </c>
      <c r="Z815" s="205" t="s">
        <v>233</v>
      </c>
      <c r="AA815" s="205" t="s">
        <v>233</v>
      </c>
      <c r="AB815" s="205" t="s">
        <v>233</v>
      </c>
      <c r="AC815" s="206" t="s">
        <v>240</v>
      </c>
      <c r="AD815" s="205" t="s">
        <v>233</v>
      </c>
      <c r="AE815" s="206" t="s">
        <v>240</v>
      </c>
      <c r="AF815" s="212">
        <v>0</v>
      </c>
      <c r="AG815" s="93">
        <v>1</v>
      </c>
      <c r="AH815" s="93">
        <v>1</v>
      </c>
      <c r="AI815" s="93">
        <v>1</v>
      </c>
      <c r="AJ815" s="93">
        <v>1</v>
      </c>
      <c r="AK815" s="93">
        <v>0</v>
      </c>
    </row>
    <row r="816" spans="1:37" s="100" customFormat="1" outlineLevel="1">
      <c r="A816" s="63">
        <v>809</v>
      </c>
      <c r="B816" s="93" t="s">
        <v>379</v>
      </c>
      <c r="C816" s="93" t="s">
        <v>380</v>
      </c>
      <c r="D816" s="94" t="s">
        <v>400</v>
      </c>
      <c r="E816" s="93">
        <v>5</v>
      </c>
      <c r="F816" s="99" t="s">
        <v>260</v>
      </c>
      <c r="G816" s="93"/>
      <c r="H816" s="102" t="s">
        <v>404</v>
      </c>
      <c r="I816" s="93" t="s">
        <v>383</v>
      </c>
      <c r="J816" s="93"/>
      <c r="K816" s="96" t="s">
        <v>384</v>
      </c>
      <c r="L816" s="93" t="s">
        <v>232</v>
      </c>
      <c r="M816" s="97">
        <v>1872</v>
      </c>
      <c r="N816" s="64" t="s">
        <v>385</v>
      </c>
      <c r="O816" s="202">
        <v>5</v>
      </c>
      <c r="P816" s="196">
        <v>0</v>
      </c>
      <c r="Q816" s="202">
        <v>2</v>
      </c>
      <c r="R816" s="19">
        <v>22</v>
      </c>
      <c r="S816" s="19">
        <v>2562</v>
      </c>
      <c r="T816" s="19">
        <v>2217</v>
      </c>
      <c r="U816" s="93">
        <v>1743</v>
      </c>
      <c r="V816" s="98">
        <v>548</v>
      </c>
      <c r="W816" s="205" t="s">
        <v>233</v>
      </c>
      <c r="X816" s="205" t="s">
        <v>233</v>
      </c>
      <c r="Y816" s="206" t="s">
        <v>233</v>
      </c>
      <c r="Z816" s="205" t="s">
        <v>233</v>
      </c>
      <c r="AA816" s="205" t="s">
        <v>233</v>
      </c>
      <c r="AB816" s="205" t="s">
        <v>233</v>
      </c>
      <c r="AC816" s="206" t="s">
        <v>240</v>
      </c>
      <c r="AD816" s="205" t="s">
        <v>233</v>
      </c>
      <c r="AE816" s="206" t="s">
        <v>240</v>
      </c>
      <c r="AF816" s="212">
        <v>2</v>
      </c>
      <c r="AG816" s="93">
        <v>1</v>
      </c>
      <c r="AH816" s="93">
        <v>1</v>
      </c>
      <c r="AI816" s="93">
        <v>0</v>
      </c>
      <c r="AJ816" s="93">
        <v>0</v>
      </c>
      <c r="AK816" s="93">
        <v>0</v>
      </c>
    </row>
    <row r="817" spans="1:37" s="100" customFormat="1" outlineLevel="1">
      <c r="A817" s="63">
        <v>810</v>
      </c>
      <c r="B817" s="93" t="s">
        <v>379</v>
      </c>
      <c r="C817" s="93" t="s">
        <v>380</v>
      </c>
      <c r="D817" s="94" t="s">
        <v>400</v>
      </c>
      <c r="E817" s="93">
        <v>7</v>
      </c>
      <c r="F817" s="99" t="s">
        <v>191</v>
      </c>
      <c r="G817" s="93"/>
      <c r="H817" s="102" t="s">
        <v>405</v>
      </c>
      <c r="I817" s="93" t="s">
        <v>383</v>
      </c>
      <c r="J817" s="93"/>
      <c r="K817" s="96" t="s">
        <v>384</v>
      </c>
      <c r="L817" s="93" t="s">
        <v>232</v>
      </c>
      <c r="M817" s="97">
        <v>1903</v>
      </c>
      <c r="N817" s="64" t="s">
        <v>385</v>
      </c>
      <c r="O817" s="202">
        <v>5</v>
      </c>
      <c r="P817" s="196">
        <v>0</v>
      </c>
      <c r="Q817" s="202">
        <v>3</v>
      </c>
      <c r="R817" s="19">
        <v>80</v>
      </c>
      <c r="S817" s="19">
        <v>5713</v>
      </c>
      <c r="T817" s="19">
        <v>4438</v>
      </c>
      <c r="U817" s="93">
        <v>4367</v>
      </c>
      <c r="V817" s="98">
        <v>592</v>
      </c>
      <c r="W817" s="205" t="s">
        <v>233</v>
      </c>
      <c r="X817" s="205" t="s">
        <v>233</v>
      </c>
      <c r="Y817" s="206" t="s">
        <v>233</v>
      </c>
      <c r="Z817" s="205" t="s">
        <v>233</v>
      </c>
      <c r="AA817" s="205" t="s">
        <v>233</v>
      </c>
      <c r="AB817" s="205" t="s">
        <v>233</v>
      </c>
      <c r="AC817" s="206" t="s">
        <v>240</v>
      </c>
      <c r="AD817" s="205" t="s">
        <v>233</v>
      </c>
      <c r="AE817" s="206" t="s">
        <v>240</v>
      </c>
      <c r="AF817" s="212">
        <v>3</v>
      </c>
      <c r="AG817" s="93">
        <v>1</v>
      </c>
      <c r="AH817" s="93">
        <v>1</v>
      </c>
      <c r="AI817" s="93">
        <v>1</v>
      </c>
      <c r="AJ817" s="93">
        <v>1</v>
      </c>
      <c r="AK817" s="93">
        <v>0</v>
      </c>
    </row>
    <row r="818" spans="1:37" s="100" customFormat="1" outlineLevel="1">
      <c r="A818" s="63">
        <v>811</v>
      </c>
      <c r="B818" s="93" t="s">
        <v>379</v>
      </c>
      <c r="C818" s="93" t="s">
        <v>380</v>
      </c>
      <c r="D818" s="94" t="s">
        <v>400</v>
      </c>
      <c r="E818" s="93">
        <v>10</v>
      </c>
      <c r="F818" s="99" t="s">
        <v>191</v>
      </c>
      <c r="G818" s="93"/>
      <c r="H818" s="102" t="s">
        <v>406</v>
      </c>
      <c r="I818" s="93" t="s">
        <v>383</v>
      </c>
      <c r="J818" s="93"/>
      <c r="K818" s="96" t="s">
        <v>384</v>
      </c>
      <c r="L818" s="93" t="s">
        <v>232</v>
      </c>
      <c r="M818" s="97">
        <v>1899</v>
      </c>
      <c r="N818" s="64" t="s">
        <v>385</v>
      </c>
      <c r="O818" s="202">
        <v>5</v>
      </c>
      <c r="P818" s="196">
        <v>0</v>
      </c>
      <c r="Q818" s="202">
        <v>3</v>
      </c>
      <c r="R818" s="19">
        <v>19</v>
      </c>
      <c r="S818" s="19">
        <v>3031</v>
      </c>
      <c r="T818" s="19">
        <v>2379</v>
      </c>
      <c r="U818" s="93">
        <v>2040</v>
      </c>
      <c r="V818" s="98">
        <v>685</v>
      </c>
      <c r="W818" s="205" t="s">
        <v>233</v>
      </c>
      <c r="X818" s="205" t="s">
        <v>233</v>
      </c>
      <c r="Y818" s="206" t="s">
        <v>233</v>
      </c>
      <c r="Z818" s="205" t="s">
        <v>233</v>
      </c>
      <c r="AA818" s="205" t="s">
        <v>233</v>
      </c>
      <c r="AB818" s="205" t="s">
        <v>233</v>
      </c>
      <c r="AC818" s="206" t="s">
        <v>240</v>
      </c>
      <c r="AD818" s="205" t="s">
        <v>233</v>
      </c>
      <c r="AE818" s="206" t="s">
        <v>240</v>
      </c>
      <c r="AF818" s="212">
        <v>1</v>
      </c>
      <c r="AG818" s="93">
        <v>1</v>
      </c>
      <c r="AH818" s="93">
        <v>1</v>
      </c>
      <c r="AI818" s="93">
        <v>0</v>
      </c>
      <c r="AJ818" s="93">
        <v>0</v>
      </c>
      <c r="AK818" s="93">
        <v>0</v>
      </c>
    </row>
    <row r="819" spans="1:37" s="100" customFormat="1" outlineLevel="1">
      <c r="A819" s="63">
        <v>812</v>
      </c>
      <c r="B819" s="93" t="s">
        <v>379</v>
      </c>
      <c r="C819" s="93" t="s">
        <v>380</v>
      </c>
      <c r="D819" s="94" t="s">
        <v>400</v>
      </c>
      <c r="E819" s="93">
        <v>12</v>
      </c>
      <c r="F819" s="99" t="s">
        <v>191</v>
      </c>
      <c r="G819" s="93"/>
      <c r="H819" s="102" t="s">
        <v>407</v>
      </c>
      <c r="I819" s="93" t="s">
        <v>383</v>
      </c>
      <c r="J819" s="93"/>
      <c r="K819" s="96" t="s">
        <v>384</v>
      </c>
      <c r="L819" s="93" t="s">
        <v>232</v>
      </c>
      <c r="M819" s="97">
        <v>1905</v>
      </c>
      <c r="N819" s="64" t="s">
        <v>385</v>
      </c>
      <c r="O819" s="202">
        <v>5</v>
      </c>
      <c r="P819" s="196">
        <v>0</v>
      </c>
      <c r="Q819" s="202">
        <v>2</v>
      </c>
      <c r="R819" s="19">
        <v>19</v>
      </c>
      <c r="S819" s="19">
        <v>1596</v>
      </c>
      <c r="T819" s="19">
        <v>1386</v>
      </c>
      <c r="U819" s="93">
        <v>1262</v>
      </c>
      <c r="V819" s="98">
        <v>174</v>
      </c>
      <c r="W819" s="205" t="s">
        <v>233</v>
      </c>
      <c r="X819" s="205" t="s">
        <v>233</v>
      </c>
      <c r="Y819" s="206" t="s">
        <v>233</v>
      </c>
      <c r="Z819" s="205" t="s">
        <v>233</v>
      </c>
      <c r="AA819" s="205" t="s">
        <v>233</v>
      </c>
      <c r="AB819" s="205" t="s">
        <v>233</v>
      </c>
      <c r="AC819" s="206" t="s">
        <v>240</v>
      </c>
      <c r="AD819" s="205" t="s">
        <v>233</v>
      </c>
      <c r="AE819" s="206" t="s">
        <v>240</v>
      </c>
      <c r="AF819" s="212">
        <v>1</v>
      </c>
      <c r="AG819" s="93">
        <v>1</v>
      </c>
      <c r="AH819" s="93">
        <v>1</v>
      </c>
      <c r="AI819" s="93">
        <v>1</v>
      </c>
      <c r="AJ819" s="93">
        <v>1</v>
      </c>
      <c r="AK819" s="93">
        <v>0</v>
      </c>
    </row>
    <row r="820" spans="1:37" s="100" customFormat="1" outlineLevel="1">
      <c r="A820" s="63">
        <v>813</v>
      </c>
      <c r="B820" s="93" t="s">
        <v>379</v>
      </c>
      <c r="C820" s="93" t="s">
        <v>380</v>
      </c>
      <c r="D820" s="94" t="s">
        <v>400</v>
      </c>
      <c r="E820" s="96" t="s">
        <v>408</v>
      </c>
      <c r="F820" s="99" t="s">
        <v>191</v>
      </c>
      <c r="G820" s="93"/>
      <c r="H820" s="102" t="s">
        <v>409</v>
      </c>
      <c r="I820" s="93" t="s">
        <v>383</v>
      </c>
      <c r="J820" s="93"/>
      <c r="K820" s="96" t="s">
        <v>384</v>
      </c>
      <c r="L820" s="93" t="s">
        <v>232</v>
      </c>
      <c r="M820" s="97">
        <v>1917</v>
      </c>
      <c r="N820" s="64" t="s">
        <v>385</v>
      </c>
      <c r="O820" s="202">
        <v>5.6</v>
      </c>
      <c r="P820" s="196">
        <v>0</v>
      </c>
      <c r="Q820" s="202">
        <v>4</v>
      </c>
      <c r="R820" s="19">
        <v>35</v>
      </c>
      <c r="S820" s="19">
        <v>4833</v>
      </c>
      <c r="T820" s="19">
        <v>3735</v>
      </c>
      <c r="U820" s="93">
        <v>2855</v>
      </c>
      <c r="V820" s="98">
        <v>1404</v>
      </c>
      <c r="W820" s="205" t="s">
        <v>233</v>
      </c>
      <c r="X820" s="205" t="s">
        <v>233</v>
      </c>
      <c r="Y820" s="206" t="s">
        <v>233</v>
      </c>
      <c r="Z820" s="205" t="s">
        <v>233</v>
      </c>
      <c r="AA820" s="205" t="s">
        <v>233</v>
      </c>
      <c r="AB820" s="205" t="s">
        <v>233</v>
      </c>
      <c r="AC820" s="206" t="s">
        <v>240</v>
      </c>
      <c r="AD820" s="205" t="s">
        <v>233</v>
      </c>
      <c r="AE820" s="206" t="s">
        <v>240</v>
      </c>
      <c r="AF820" s="212">
        <v>2</v>
      </c>
      <c r="AG820" s="93">
        <v>1</v>
      </c>
      <c r="AH820" s="93">
        <v>1</v>
      </c>
      <c r="AI820" s="93">
        <v>0</v>
      </c>
      <c r="AJ820" s="93">
        <v>0</v>
      </c>
      <c r="AK820" s="93">
        <v>0</v>
      </c>
    </row>
    <row r="821" spans="1:37" s="100" customFormat="1" outlineLevel="1">
      <c r="A821" s="63">
        <v>814</v>
      </c>
      <c r="B821" s="93" t="s">
        <v>379</v>
      </c>
      <c r="C821" s="93" t="s">
        <v>380</v>
      </c>
      <c r="D821" s="94" t="s">
        <v>400</v>
      </c>
      <c r="E821" s="93">
        <v>14</v>
      </c>
      <c r="F821" s="99" t="s">
        <v>191</v>
      </c>
      <c r="G821" s="93"/>
      <c r="H821" s="102" t="s">
        <v>410</v>
      </c>
      <c r="I821" s="93" t="s">
        <v>383</v>
      </c>
      <c r="J821" s="93"/>
      <c r="K821" s="96" t="s">
        <v>384</v>
      </c>
      <c r="L821" s="93" t="s">
        <v>232</v>
      </c>
      <c r="M821" s="97">
        <v>1905</v>
      </c>
      <c r="N821" s="64" t="s">
        <v>385</v>
      </c>
      <c r="O821" s="202">
        <v>5</v>
      </c>
      <c r="P821" s="196">
        <v>0</v>
      </c>
      <c r="Q821" s="202">
        <v>6</v>
      </c>
      <c r="R821" s="19">
        <v>47</v>
      </c>
      <c r="S821" s="19">
        <v>4485</v>
      </c>
      <c r="T821" s="19">
        <v>3666</v>
      </c>
      <c r="U821" s="93">
        <v>3494</v>
      </c>
      <c r="V821" s="98">
        <v>451</v>
      </c>
      <c r="W821" s="205" t="s">
        <v>233</v>
      </c>
      <c r="X821" s="205" t="s">
        <v>233</v>
      </c>
      <c r="Y821" s="206" t="s">
        <v>233</v>
      </c>
      <c r="Z821" s="205" t="s">
        <v>233</v>
      </c>
      <c r="AA821" s="205" t="s">
        <v>233</v>
      </c>
      <c r="AB821" s="205" t="s">
        <v>233</v>
      </c>
      <c r="AC821" s="206" t="s">
        <v>240</v>
      </c>
      <c r="AD821" s="205" t="s">
        <v>233</v>
      </c>
      <c r="AE821" s="206" t="s">
        <v>240</v>
      </c>
      <c r="AF821" s="212">
        <v>0</v>
      </c>
      <c r="AG821" s="93">
        <v>1</v>
      </c>
      <c r="AH821" s="93">
        <v>1</v>
      </c>
      <c r="AI821" s="93">
        <v>0</v>
      </c>
      <c r="AJ821" s="93">
        <v>0</v>
      </c>
      <c r="AK821" s="93">
        <v>0</v>
      </c>
    </row>
    <row r="822" spans="1:37" s="100" customFormat="1" outlineLevel="1">
      <c r="A822" s="63">
        <v>815</v>
      </c>
      <c r="B822" s="93" t="s">
        <v>379</v>
      </c>
      <c r="C822" s="93" t="s">
        <v>380</v>
      </c>
      <c r="D822" s="94" t="s">
        <v>400</v>
      </c>
      <c r="E822" s="96" t="s">
        <v>411</v>
      </c>
      <c r="F822" s="99" t="s">
        <v>191</v>
      </c>
      <c r="G822" s="93"/>
      <c r="H822" s="102" t="s">
        <v>412</v>
      </c>
      <c r="I822" s="93" t="s">
        <v>383</v>
      </c>
      <c r="J822" s="93"/>
      <c r="K822" s="96" t="s">
        <v>384</v>
      </c>
      <c r="L822" s="93" t="s">
        <v>232</v>
      </c>
      <c r="M822" s="97">
        <v>1905</v>
      </c>
      <c r="N822" s="64" t="s">
        <v>385</v>
      </c>
      <c r="O822" s="202">
        <v>5</v>
      </c>
      <c r="P822" s="196">
        <v>0</v>
      </c>
      <c r="Q822" s="202">
        <v>3</v>
      </c>
      <c r="R822" s="19">
        <v>23</v>
      </c>
      <c r="S822" s="19">
        <v>2640</v>
      </c>
      <c r="T822" s="19">
        <v>2020</v>
      </c>
      <c r="U822" s="93">
        <v>1892</v>
      </c>
      <c r="V822" s="98">
        <v>460</v>
      </c>
      <c r="W822" s="205" t="s">
        <v>233</v>
      </c>
      <c r="X822" s="205" t="s">
        <v>233</v>
      </c>
      <c r="Y822" s="206" t="s">
        <v>233</v>
      </c>
      <c r="Z822" s="205" t="s">
        <v>233</v>
      </c>
      <c r="AA822" s="205" t="s">
        <v>233</v>
      </c>
      <c r="AB822" s="205" t="s">
        <v>233</v>
      </c>
      <c r="AC822" s="206" t="s">
        <v>240</v>
      </c>
      <c r="AD822" s="205" t="s">
        <v>233</v>
      </c>
      <c r="AE822" s="206" t="s">
        <v>240</v>
      </c>
      <c r="AF822" s="212">
        <v>0</v>
      </c>
      <c r="AG822" s="93">
        <v>1</v>
      </c>
      <c r="AH822" s="93">
        <v>1</v>
      </c>
      <c r="AI822" s="93">
        <v>1</v>
      </c>
      <c r="AJ822" s="93">
        <v>1</v>
      </c>
      <c r="AK822" s="93">
        <v>0</v>
      </c>
    </row>
    <row r="823" spans="1:37" s="100" customFormat="1" outlineLevel="1">
      <c r="A823" s="63">
        <v>816</v>
      </c>
      <c r="B823" s="93" t="s">
        <v>379</v>
      </c>
      <c r="C823" s="93" t="s">
        <v>380</v>
      </c>
      <c r="D823" s="94" t="s">
        <v>400</v>
      </c>
      <c r="E823" s="96" t="s">
        <v>413</v>
      </c>
      <c r="F823" s="99" t="s">
        <v>191</v>
      </c>
      <c r="G823" s="93"/>
      <c r="H823" s="102" t="s">
        <v>414</v>
      </c>
      <c r="I823" s="93" t="s">
        <v>383</v>
      </c>
      <c r="J823" s="93"/>
      <c r="K823" s="96" t="s">
        <v>384</v>
      </c>
      <c r="L823" s="93" t="s">
        <v>232</v>
      </c>
      <c r="M823" s="97">
        <v>1909</v>
      </c>
      <c r="N823" s="64" t="s">
        <v>385</v>
      </c>
      <c r="O823" s="202">
        <v>5</v>
      </c>
      <c r="P823" s="196">
        <v>0</v>
      </c>
      <c r="Q823" s="202">
        <v>7</v>
      </c>
      <c r="R823" s="19">
        <v>35</v>
      </c>
      <c r="S823" s="19">
        <v>5674</v>
      </c>
      <c r="T823" s="19">
        <v>4646</v>
      </c>
      <c r="U823" s="93">
        <v>3877</v>
      </c>
      <c r="V823" s="98">
        <v>1078</v>
      </c>
      <c r="W823" s="205" t="s">
        <v>233</v>
      </c>
      <c r="X823" s="205" t="s">
        <v>233</v>
      </c>
      <c r="Y823" s="206" t="s">
        <v>233</v>
      </c>
      <c r="Z823" s="205" t="s">
        <v>233</v>
      </c>
      <c r="AA823" s="205" t="s">
        <v>233</v>
      </c>
      <c r="AB823" s="205" t="s">
        <v>233</v>
      </c>
      <c r="AC823" s="206" t="s">
        <v>240</v>
      </c>
      <c r="AD823" s="205" t="s">
        <v>233</v>
      </c>
      <c r="AE823" s="206" t="s">
        <v>240</v>
      </c>
      <c r="AF823" s="212">
        <v>1</v>
      </c>
      <c r="AG823" s="93">
        <v>1</v>
      </c>
      <c r="AH823" s="93">
        <v>1</v>
      </c>
      <c r="AI823" s="93">
        <v>1</v>
      </c>
      <c r="AJ823" s="93">
        <v>1</v>
      </c>
      <c r="AK823" s="93">
        <v>0</v>
      </c>
    </row>
    <row r="824" spans="1:37" s="100" customFormat="1" outlineLevel="1">
      <c r="A824" s="63">
        <v>817</v>
      </c>
      <c r="B824" s="93" t="s">
        <v>379</v>
      </c>
      <c r="C824" s="93" t="s">
        <v>380</v>
      </c>
      <c r="D824" s="94" t="s">
        <v>400</v>
      </c>
      <c r="E824" s="93">
        <v>16</v>
      </c>
      <c r="F824" s="99" t="s">
        <v>191</v>
      </c>
      <c r="G824" s="93"/>
      <c r="H824" s="102" t="s">
        <v>415</v>
      </c>
      <c r="I824" s="93" t="s">
        <v>383</v>
      </c>
      <c r="J824" s="93"/>
      <c r="K824" s="96" t="s">
        <v>384</v>
      </c>
      <c r="L824" s="93" t="s">
        <v>232</v>
      </c>
      <c r="M824" s="97">
        <v>1867</v>
      </c>
      <c r="N824" s="64" t="s">
        <v>385</v>
      </c>
      <c r="O824" s="202">
        <v>6</v>
      </c>
      <c r="P824" s="196">
        <v>0</v>
      </c>
      <c r="Q824" s="202">
        <v>7</v>
      </c>
      <c r="R824" s="103">
        <v>45</v>
      </c>
      <c r="S824" s="19">
        <v>6534</v>
      </c>
      <c r="T824" s="19">
        <v>5487</v>
      </c>
      <c r="U824" s="93">
        <v>4619</v>
      </c>
      <c r="V824" s="98">
        <v>1179</v>
      </c>
      <c r="W824" s="205" t="s">
        <v>233</v>
      </c>
      <c r="X824" s="205" t="s">
        <v>233</v>
      </c>
      <c r="Y824" s="206" t="s">
        <v>233</v>
      </c>
      <c r="Z824" s="205" t="s">
        <v>233</v>
      </c>
      <c r="AA824" s="205" t="s">
        <v>233</v>
      </c>
      <c r="AB824" s="205" t="s">
        <v>233</v>
      </c>
      <c r="AC824" s="206" t="s">
        <v>240</v>
      </c>
      <c r="AD824" s="205" t="s">
        <v>233</v>
      </c>
      <c r="AE824" s="206" t="s">
        <v>240</v>
      </c>
      <c r="AF824" s="212">
        <v>2</v>
      </c>
      <c r="AG824" s="93">
        <v>1</v>
      </c>
      <c r="AH824" s="93">
        <v>1</v>
      </c>
      <c r="AI824" s="93">
        <v>0</v>
      </c>
      <c r="AJ824" s="93">
        <v>0</v>
      </c>
      <c r="AK824" s="93">
        <v>0</v>
      </c>
    </row>
    <row r="825" spans="1:37" s="100" customFormat="1" outlineLevel="1">
      <c r="A825" s="63">
        <v>818</v>
      </c>
      <c r="B825" s="93" t="s">
        <v>379</v>
      </c>
      <c r="C825" s="93" t="s">
        <v>380</v>
      </c>
      <c r="D825" s="94" t="s">
        <v>400</v>
      </c>
      <c r="E825" s="93">
        <v>16</v>
      </c>
      <c r="F825" s="99" t="s">
        <v>231</v>
      </c>
      <c r="G825" s="93"/>
      <c r="H825" s="102" t="s">
        <v>416</v>
      </c>
      <c r="I825" s="93" t="s">
        <v>383</v>
      </c>
      <c r="J825" s="93"/>
      <c r="K825" s="96" t="s">
        <v>384</v>
      </c>
      <c r="L825" s="93" t="s">
        <v>232</v>
      </c>
      <c r="M825" s="97">
        <v>1883</v>
      </c>
      <c r="N825" s="64" t="s">
        <v>385</v>
      </c>
      <c r="O825" s="202">
        <v>5</v>
      </c>
      <c r="P825" s="196">
        <v>0</v>
      </c>
      <c r="Q825" s="202">
        <v>1</v>
      </c>
      <c r="R825" s="103">
        <v>9</v>
      </c>
      <c r="S825" s="19">
        <v>578</v>
      </c>
      <c r="T825" s="19">
        <v>477</v>
      </c>
      <c r="U825" s="93">
        <v>471</v>
      </c>
      <c r="V825" s="98">
        <v>47</v>
      </c>
      <c r="W825" s="205" t="s">
        <v>233</v>
      </c>
      <c r="X825" s="205" t="s">
        <v>233</v>
      </c>
      <c r="Y825" s="206" t="s">
        <v>233</v>
      </c>
      <c r="Z825" s="205" t="s">
        <v>233</v>
      </c>
      <c r="AA825" s="205" t="s">
        <v>233</v>
      </c>
      <c r="AB825" s="205" t="s">
        <v>233</v>
      </c>
      <c r="AC825" s="206" t="s">
        <v>240</v>
      </c>
      <c r="AD825" s="205" t="s">
        <v>233</v>
      </c>
      <c r="AE825" s="206" t="s">
        <v>240</v>
      </c>
      <c r="AF825" s="212">
        <v>0</v>
      </c>
      <c r="AG825" s="93">
        <v>1</v>
      </c>
      <c r="AH825" s="93">
        <v>0</v>
      </c>
      <c r="AI825" s="93">
        <v>0</v>
      </c>
      <c r="AJ825" s="93">
        <v>0</v>
      </c>
      <c r="AK825" s="93">
        <v>0</v>
      </c>
    </row>
    <row r="826" spans="1:37" s="100" customFormat="1" outlineLevel="1">
      <c r="A826" s="63">
        <v>819</v>
      </c>
      <c r="B826" s="93" t="s">
        <v>379</v>
      </c>
      <c r="C826" s="93" t="s">
        <v>380</v>
      </c>
      <c r="D826" s="94" t="s">
        <v>400</v>
      </c>
      <c r="E826" s="93">
        <v>17</v>
      </c>
      <c r="F826" s="99" t="s">
        <v>191</v>
      </c>
      <c r="G826" s="93"/>
      <c r="H826" s="102" t="s">
        <v>417</v>
      </c>
      <c r="I826" s="93" t="s">
        <v>383</v>
      </c>
      <c r="J826" s="93"/>
      <c r="K826" s="96" t="s">
        <v>384</v>
      </c>
      <c r="L826" s="93" t="s">
        <v>232</v>
      </c>
      <c r="M826" s="97">
        <v>1904</v>
      </c>
      <c r="N826" s="64" t="s">
        <v>385</v>
      </c>
      <c r="O826" s="202">
        <v>5</v>
      </c>
      <c r="P826" s="196">
        <v>0</v>
      </c>
      <c r="Q826" s="202">
        <v>6</v>
      </c>
      <c r="R826" s="103">
        <v>26</v>
      </c>
      <c r="S826" s="19">
        <v>2932</v>
      </c>
      <c r="T826" s="19">
        <v>2588</v>
      </c>
      <c r="U826" s="93">
        <v>2295</v>
      </c>
      <c r="V826" s="98">
        <v>213</v>
      </c>
      <c r="W826" s="205" t="s">
        <v>233</v>
      </c>
      <c r="X826" s="205" t="s">
        <v>233</v>
      </c>
      <c r="Y826" s="206" t="s">
        <v>233</v>
      </c>
      <c r="Z826" s="205" t="s">
        <v>233</v>
      </c>
      <c r="AA826" s="205" t="s">
        <v>233</v>
      </c>
      <c r="AB826" s="205" t="s">
        <v>233</v>
      </c>
      <c r="AC826" s="206" t="s">
        <v>240</v>
      </c>
      <c r="AD826" s="205" t="s">
        <v>233</v>
      </c>
      <c r="AE826" s="206" t="s">
        <v>240</v>
      </c>
      <c r="AF826" s="212">
        <v>1</v>
      </c>
      <c r="AG826" s="93">
        <v>1</v>
      </c>
      <c r="AH826" s="93">
        <v>1</v>
      </c>
      <c r="AI826" s="93">
        <v>0</v>
      </c>
      <c r="AJ826" s="93">
        <v>0</v>
      </c>
      <c r="AK826" s="93">
        <v>0</v>
      </c>
    </row>
    <row r="827" spans="1:37" s="100" customFormat="1" outlineLevel="1">
      <c r="A827" s="63">
        <v>820</v>
      </c>
      <c r="B827" s="93" t="s">
        <v>379</v>
      </c>
      <c r="C827" s="93" t="s">
        <v>380</v>
      </c>
      <c r="D827" s="94" t="s">
        <v>400</v>
      </c>
      <c r="E827" s="96" t="s">
        <v>418</v>
      </c>
      <c r="F827" s="99" t="s">
        <v>191</v>
      </c>
      <c r="G827" s="93"/>
      <c r="H827" s="102" t="s">
        <v>419</v>
      </c>
      <c r="I827" s="93" t="s">
        <v>383</v>
      </c>
      <c r="J827" s="93"/>
      <c r="K827" s="96" t="s">
        <v>384</v>
      </c>
      <c r="L827" s="93" t="s">
        <v>232</v>
      </c>
      <c r="M827" s="97">
        <v>1876</v>
      </c>
      <c r="N827" s="64" t="s">
        <v>385</v>
      </c>
      <c r="O827" s="202">
        <v>4</v>
      </c>
      <c r="P827" s="196">
        <v>0</v>
      </c>
      <c r="Q827" s="202">
        <v>3</v>
      </c>
      <c r="R827" s="103">
        <v>17</v>
      </c>
      <c r="S827" s="19">
        <v>1806</v>
      </c>
      <c r="T827" s="19">
        <v>1566</v>
      </c>
      <c r="U827" s="93">
        <v>1281</v>
      </c>
      <c r="V827" s="98">
        <v>317</v>
      </c>
      <c r="W827" s="205" t="s">
        <v>233</v>
      </c>
      <c r="X827" s="205" t="s">
        <v>233</v>
      </c>
      <c r="Y827" s="206" t="s">
        <v>233</v>
      </c>
      <c r="Z827" s="205" t="s">
        <v>233</v>
      </c>
      <c r="AA827" s="205" t="s">
        <v>233</v>
      </c>
      <c r="AB827" s="205" t="s">
        <v>233</v>
      </c>
      <c r="AC827" s="206" t="s">
        <v>240</v>
      </c>
      <c r="AD827" s="205" t="s">
        <v>233</v>
      </c>
      <c r="AE827" s="206" t="s">
        <v>240</v>
      </c>
      <c r="AF827" s="212">
        <v>0</v>
      </c>
      <c r="AG827" s="93">
        <v>1</v>
      </c>
      <c r="AH827" s="93">
        <v>1</v>
      </c>
      <c r="AI827" s="93">
        <v>1</v>
      </c>
      <c r="AJ827" s="93">
        <v>1</v>
      </c>
      <c r="AK827" s="93">
        <v>0</v>
      </c>
    </row>
    <row r="828" spans="1:37" s="100" customFormat="1" outlineLevel="1">
      <c r="A828" s="63">
        <v>821</v>
      </c>
      <c r="B828" s="93" t="s">
        <v>379</v>
      </c>
      <c r="C828" s="93" t="s">
        <v>380</v>
      </c>
      <c r="D828" s="94" t="s">
        <v>400</v>
      </c>
      <c r="E828" s="93">
        <v>19</v>
      </c>
      <c r="F828" s="99" t="s">
        <v>191</v>
      </c>
      <c r="G828" s="93"/>
      <c r="H828" s="102" t="s">
        <v>420</v>
      </c>
      <c r="I828" s="93" t="s">
        <v>383</v>
      </c>
      <c r="J828" s="93"/>
      <c r="K828" s="96" t="s">
        <v>384</v>
      </c>
      <c r="L828" s="93" t="s">
        <v>232</v>
      </c>
      <c r="M828" s="97">
        <v>1903</v>
      </c>
      <c r="N828" s="64" t="s">
        <v>385</v>
      </c>
      <c r="O828" s="202">
        <v>6</v>
      </c>
      <c r="P828" s="196">
        <v>0</v>
      </c>
      <c r="Q828" s="202">
        <v>3</v>
      </c>
      <c r="R828" s="103">
        <v>33</v>
      </c>
      <c r="S828" s="19">
        <v>2926</v>
      </c>
      <c r="T828" s="19">
        <v>2600</v>
      </c>
      <c r="U828" s="93">
        <v>2450</v>
      </c>
      <c r="V828" s="98">
        <v>155</v>
      </c>
      <c r="W828" s="205" t="s">
        <v>233</v>
      </c>
      <c r="X828" s="205" t="s">
        <v>233</v>
      </c>
      <c r="Y828" s="206" t="s">
        <v>233</v>
      </c>
      <c r="Z828" s="205" t="s">
        <v>233</v>
      </c>
      <c r="AA828" s="205" t="s">
        <v>233</v>
      </c>
      <c r="AB828" s="205" t="s">
        <v>233</v>
      </c>
      <c r="AC828" s="206" t="s">
        <v>240</v>
      </c>
      <c r="AD828" s="205" t="s">
        <v>233</v>
      </c>
      <c r="AE828" s="206" t="s">
        <v>240</v>
      </c>
      <c r="AF828" s="212">
        <v>0</v>
      </c>
      <c r="AG828" s="93">
        <v>1</v>
      </c>
      <c r="AH828" s="93">
        <v>1</v>
      </c>
      <c r="AI828" s="93">
        <v>0</v>
      </c>
      <c r="AJ828" s="93">
        <v>0</v>
      </c>
      <c r="AK828" s="93">
        <v>0</v>
      </c>
    </row>
    <row r="829" spans="1:37" s="100" customFormat="1" outlineLevel="1">
      <c r="A829" s="63">
        <v>822</v>
      </c>
      <c r="B829" s="93" t="s">
        <v>379</v>
      </c>
      <c r="C829" s="93" t="s">
        <v>380</v>
      </c>
      <c r="D829" s="94" t="s">
        <v>400</v>
      </c>
      <c r="E829" s="93">
        <v>20</v>
      </c>
      <c r="F829" s="99" t="s">
        <v>191</v>
      </c>
      <c r="G829" s="93"/>
      <c r="H829" s="102" t="s">
        <v>421</v>
      </c>
      <c r="I829" s="93" t="s">
        <v>383</v>
      </c>
      <c r="J829" s="93"/>
      <c r="K829" s="96" t="s">
        <v>384</v>
      </c>
      <c r="L829" s="93" t="s">
        <v>232</v>
      </c>
      <c r="M829" s="97">
        <v>1907</v>
      </c>
      <c r="N829" s="64" t="s">
        <v>385</v>
      </c>
      <c r="O829" s="202">
        <v>6</v>
      </c>
      <c r="P829" s="196">
        <v>0</v>
      </c>
      <c r="Q829" s="202">
        <v>2</v>
      </c>
      <c r="R829" s="103">
        <v>17</v>
      </c>
      <c r="S829" s="19">
        <v>1315</v>
      </c>
      <c r="T829" s="19">
        <v>1072</v>
      </c>
      <c r="U829" s="93">
        <v>1072</v>
      </c>
      <c r="V829" s="98">
        <v>49</v>
      </c>
      <c r="W829" s="205" t="s">
        <v>233</v>
      </c>
      <c r="X829" s="205" t="s">
        <v>233</v>
      </c>
      <c r="Y829" s="206" t="s">
        <v>233</v>
      </c>
      <c r="Z829" s="205" t="s">
        <v>233</v>
      </c>
      <c r="AA829" s="205" t="s">
        <v>233</v>
      </c>
      <c r="AB829" s="205" t="s">
        <v>233</v>
      </c>
      <c r="AC829" s="206" t="s">
        <v>240</v>
      </c>
      <c r="AD829" s="205" t="s">
        <v>233</v>
      </c>
      <c r="AE829" s="206" t="s">
        <v>240</v>
      </c>
      <c r="AF829" s="212">
        <v>0</v>
      </c>
      <c r="AG829" s="93">
        <v>1</v>
      </c>
      <c r="AH829" s="93">
        <v>1</v>
      </c>
      <c r="AI829" s="93">
        <v>0</v>
      </c>
      <c r="AJ829" s="93">
        <v>0</v>
      </c>
      <c r="AK829" s="93">
        <v>0</v>
      </c>
    </row>
    <row r="830" spans="1:37" s="100" customFormat="1" outlineLevel="1">
      <c r="A830" s="63">
        <v>823</v>
      </c>
      <c r="B830" s="93" t="s">
        <v>379</v>
      </c>
      <c r="C830" s="93" t="s">
        <v>380</v>
      </c>
      <c r="D830" s="94" t="s">
        <v>400</v>
      </c>
      <c r="E830" s="93">
        <v>21</v>
      </c>
      <c r="F830" s="99" t="s">
        <v>191</v>
      </c>
      <c r="G830" s="93"/>
      <c r="H830" s="102" t="s">
        <v>422</v>
      </c>
      <c r="I830" s="93" t="s">
        <v>383</v>
      </c>
      <c r="J830" s="93"/>
      <c r="K830" s="96" t="s">
        <v>384</v>
      </c>
      <c r="L830" s="93" t="s">
        <v>232</v>
      </c>
      <c r="M830" s="97">
        <v>1883</v>
      </c>
      <c r="N830" s="64" t="s">
        <v>385</v>
      </c>
      <c r="O830" s="202">
        <v>5</v>
      </c>
      <c r="P830" s="196">
        <v>0</v>
      </c>
      <c r="Q830" s="202">
        <v>3</v>
      </c>
      <c r="R830" s="103">
        <v>33</v>
      </c>
      <c r="S830" s="19">
        <v>2886</v>
      </c>
      <c r="T830" s="19">
        <v>2440</v>
      </c>
      <c r="U830" s="93">
        <v>2352</v>
      </c>
      <c r="V830" s="98">
        <v>87</v>
      </c>
      <c r="W830" s="205" t="s">
        <v>233</v>
      </c>
      <c r="X830" s="205" t="s">
        <v>233</v>
      </c>
      <c r="Y830" s="206" t="s">
        <v>233</v>
      </c>
      <c r="Z830" s="205" t="s">
        <v>233</v>
      </c>
      <c r="AA830" s="205" t="s">
        <v>233</v>
      </c>
      <c r="AB830" s="205" t="s">
        <v>233</v>
      </c>
      <c r="AC830" s="206" t="s">
        <v>240</v>
      </c>
      <c r="AD830" s="205" t="s">
        <v>233</v>
      </c>
      <c r="AE830" s="206" t="s">
        <v>240</v>
      </c>
      <c r="AF830" s="212">
        <v>0</v>
      </c>
      <c r="AG830" s="93">
        <v>1</v>
      </c>
      <c r="AH830" s="93">
        <v>1</v>
      </c>
      <c r="AI830" s="93">
        <v>0</v>
      </c>
      <c r="AJ830" s="93">
        <v>0</v>
      </c>
      <c r="AK830" s="93">
        <v>0</v>
      </c>
    </row>
    <row r="831" spans="1:37" s="100" customFormat="1" outlineLevel="1">
      <c r="A831" s="63">
        <v>824</v>
      </c>
      <c r="B831" s="93" t="s">
        <v>379</v>
      </c>
      <c r="C831" s="93" t="s">
        <v>380</v>
      </c>
      <c r="D831" s="94" t="s">
        <v>400</v>
      </c>
      <c r="E831" s="93">
        <v>22</v>
      </c>
      <c r="F831" s="99" t="s">
        <v>191</v>
      </c>
      <c r="G831" s="93"/>
      <c r="H831" s="102" t="s">
        <v>423</v>
      </c>
      <c r="I831" s="93" t="s">
        <v>383</v>
      </c>
      <c r="J831" s="93"/>
      <c r="K831" s="96" t="s">
        <v>384</v>
      </c>
      <c r="L831" s="93" t="s">
        <v>232</v>
      </c>
      <c r="M831" s="97">
        <v>1907</v>
      </c>
      <c r="N831" s="64" t="s">
        <v>385</v>
      </c>
      <c r="O831" s="202">
        <v>5</v>
      </c>
      <c r="P831" s="196">
        <v>0</v>
      </c>
      <c r="Q831" s="202">
        <v>4</v>
      </c>
      <c r="R831" s="103">
        <v>27</v>
      </c>
      <c r="S831" s="19">
        <v>3007</v>
      </c>
      <c r="T831" s="19">
        <v>2539</v>
      </c>
      <c r="U831" s="93">
        <v>2378</v>
      </c>
      <c r="V831" s="98">
        <v>265</v>
      </c>
      <c r="W831" s="205" t="s">
        <v>233</v>
      </c>
      <c r="X831" s="205" t="s">
        <v>233</v>
      </c>
      <c r="Y831" s="206" t="s">
        <v>233</v>
      </c>
      <c r="Z831" s="205" t="s">
        <v>233</v>
      </c>
      <c r="AA831" s="205" t="s">
        <v>233</v>
      </c>
      <c r="AB831" s="205" t="s">
        <v>233</v>
      </c>
      <c r="AC831" s="206" t="s">
        <v>240</v>
      </c>
      <c r="AD831" s="205" t="s">
        <v>233</v>
      </c>
      <c r="AE831" s="206" t="s">
        <v>240</v>
      </c>
      <c r="AF831" s="212">
        <v>0</v>
      </c>
      <c r="AG831" s="93">
        <v>1</v>
      </c>
      <c r="AH831" s="93">
        <v>1</v>
      </c>
      <c r="AI831" s="93">
        <v>0</v>
      </c>
      <c r="AJ831" s="93">
        <v>0</v>
      </c>
      <c r="AK831" s="93">
        <v>0</v>
      </c>
    </row>
    <row r="832" spans="1:37" s="100" customFormat="1" outlineLevel="1">
      <c r="A832" s="63">
        <v>825</v>
      </c>
      <c r="B832" s="93" t="s">
        <v>379</v>
      </c>
      <c r="C832" s="93" t="s">
        <v>380</v>
      </c>
      <c r="D832" s="94" t="s">
        <v>400</v>
      </c>
      <c r="E832" s="93">
        <v>23</v>
      </c>
      <c r="F832" s="99" t="s">
        <v>191</v>
      </c>
      <c r="G832" s="93"/>
      <c r="H832" s="102" t="s">
        <v>424</v>
      </c>
      <c r="I832" s="93" t="s">
        <v>383</v>
      </c>
      <c r="J832" s="93"/>
      <c r="K832" s="96" t="s">
        <v>384</v>
      </c>
      <c r="L832" s="93" t="s">
        <v>232</v>
      </c>
      <c r="M832" s="97">
        <v>1890</v>
      </c>
      <c r="N832" s="64" t="s">
        <v>385</v>
      </c>
      <c r="O832" s="202">
        <v>3</v>
      </c>
      <c r="P832" s="196">
        <v>0</v>
      </c>
      <c r="Q832" s="202">
        <v>1</v>
      </c>
      <c r="R832" s="103">
        <v>12</v>
      </c>
      <c r="S832" s="19">
        <v>929</v>
      </c>
      <c r="T832" s="19">
        <v>846</v>
      </c>
      <c r="U832" s="93">
        <v>846</v>
      </c>
      <c r="V832" s="98">
        <v>11</v>
      </c>
      <c r="W832" s="205" t="s">
        <v>233</v>
      </c>
      <c r="X832" s="205" t="s">
        <v>233</v>
      </c>
      <c r="Y832" s="206" t="s">
        <v>233</v>
      </c>
      <c r="Z832" s="205" t="s">
        <v>233</v>
      </c>
      <c r="AA832" s="205" t="s">
        <v>233</v>
      </c>
      <c r="AB832" s="205" t="s">
        <v>233</v>
      </c>
      <c r="AC832" s="206" t="s">
        <v>240</v>
      </c>
      <c r="AD832" s="205" t="s">
        <v>233</v>
      </c>
      <c r="AE832" s="206" t="s">
        <v>240</v>
      </c>
      <c r="AF832" s="212">
        <v>0</v>
      </c>
      <c r="AG832" s="93">
        <v>1</v>
      </c>
      <c r="AH832" s="93">
        <v>1</v>
      </c>
      <c r="AI832" s="93">
        <v>0</v>
      </c>
      <c r="AJ832" s="93">
        <v>0</v>
      </c>
      <c r="AK832" s="93">
        <v>0</v>
      </c>
    </row>
    <row r="833" spans="1:37" s="100" customFormat="1" outlineLevel="1">
      <c r="A833" s="63">
        <v>826</v>
      </c>
      <c r="B833" s="93" t="s">
        <v>379</v>
      </c>
      <c r="C833" s="93" t="s">
        <v>380</v>
      </c>
      <c r="D833" s="94" t="s">
        <v>400</v>
      </c>
      <c r="E833" s="93">
        <v>25</v>
      </c>
      <c r="F833" s="99" t="s">
        <v>191</v>
      </c>
      <c r="G833" s="93"/>
      <c r="H833" s="102" t="s">
        <v>425</v>
      </c>
      <c r="I833" s="93" t="s">
        <v>383</v>
      </c>
      <c r="J833" s="93"/>
      <c r="K833" s="96" t="s">
        <v>384</v>
      </c>
      <c r="L833" s="93" t="s">
        <v>232</v>
      </c>
      <c r="M833" s="97">
        <v>1917</v>
      </c>
      <c r="N833" s="64" t="s">
        <v>385</v>
      </c>
      <c r="O833" s="202">
        <v>4</v>
      </c>
      <c r="P833" s="196">
        <v>0</v>
      </c>
      <c r="Q833" s="202">
        <v>3</v>
      </c>
      <c r="R833" s="103">
        <v>18</v>
      </c>
      <c r="S833" s="19">
        <v>1727</v>
      </c>
      <c r="T833" s="19">
        <v>1309</v>
      </c>
      <c r="U833" s="93">
        <v>1216</v>
      </c>
      <c r="V833" s="98">
        <v>282</v>
      </c>
      <c r="W833" s="205" t="s">
        <v>233</v>
      </c>
      <c r="X833" s="205" t="s">
        <v>233</v>
      </c>
      <c r="Y833" s="206" t="s">
        <v>233</v>
      </c>
      <c r="Z833" s="205" t="s">
        <v>233</v>
      </c>
      <c r="AA833" s="205" t="s">
        <v>233</v>
      </c>
      <c r="AB833" s="205" t="s">
        <v>233</v>
      </c>
      <c r="AC833" s="206" t="s">
        <v>240</v>
      </c>
      <c r="AD833" s="205" t="s">
        <v>233</v>
      </c>
      <c r="AE833" s="206" t="s">
        <v>240</v>
      </c>
      <c r="AF833" s="212">
        <v>0</v>
      </c>
      <c r="AG833" s="93">
        <v>1</v>
      </c>
      <c r="AH833" s="93">
        <v>0</v>
      </c>
      <c r="AI833" s="93">
        <v>1</v>
      </c>
      <c r="AJ833" s="93">
        <v>1</v>
      </c>
      <c r="AK833" s="93">
        <v>0</v>
      </c>
    </row>
    <row r="834" spans="1:37" s="100" customFormat="1" outlineLevel="1">
      <c r="A834" s="63">
        <v>827</v>
      </c>
      <c r="B834" s="93" t="s">
        <v>379</v>
      </c>
      <c r="C834" s="93" t="s">
        <v>380</v>
      </c>
      <c r="D834" s="94" t="s">
        <v>400</v>
      </c>
      <c r="E834" s="93">
        <v>26</v>
      </c>
      <c r="F834" s="99" t="s">
        <v>191</v>
      </c>
      <c r="G834" s="93"/>
      <c r="H834" s="102" t="s">
        <v>426</v>
      </c>
      <c r="I834" s="93" t="s">
        <v>383</v>
      </c>
      <c r="J834" s="93"/>
      <c r="K834" s="96" t="s">
        <v>384</v>
      </c>
      <c r="L834" s="93" t="s">
        <v>232</v>
      </c>
      <c r="M834" s="97">
        <v>1913</v>
      </c>
      <c r="N834" s="64" t="s">
        <v>385</v>
      </c>
      <c r="O834" s="202">
        <v>6</v>
      </c>
      <c r="P834" s="196">
        <v>0</v>
      </c>
      <c r="Q834" s="202">
        <v>3</v>
      </c>
      <c r="R834" s="103">
        <v>16</v>
      </c>
      <c r="S834" s="19">
        <v>1886</v>
      </c>
      <c r="T834" s="19">
        <v>1681</v>
      </c>
      <c r="U834" s="93">
        <v>1226</v>
      </c>
      <c r="V834" s="98">
        <v>431</v>
      </c>
      <c r="W834" s="205" t="s">
        <v>233</v>
      </c>
      <c r="X834" s="205" t="s">
        <v>233</v>
      </c>
      <c r="Y834" s="206" t="s">
        <v>233</v>
      </c>
      <c r="Z834" s="205" t="s">
        <v>233</v>
      </c>
      <c r="AA834" s="205" t="s">
        <v>233</v>
      </c>
      <c r="AB834" s="205" t="s">
        <v>233</v>
      </c>
      <c r="AC834" s="206" t="s">
        <v>240</v>
      </c>
      <c r="AD834" s="205" t="s">
        <v>233</v>
      </c>
      <c r="AE834" s="206" t="s">
        <v>240</v>
      </c>
      <c r="AF834" s="212">
        <v>0</v>
      </c>
      <c r="AG834" s="93">
        <v>1</v>
      </c>
      <c r="AH834" s="93">
        <v>1</v>
      </c>
      <c r="AI834" s="93">
        <v>0</v>
      </c>
      <c r="AJ834" s="93">
        <v>0</v>
      </c>
      <c r="AK834" s="93">
        <v>0</v>
      </c>
    </row>
    <row r="835" spans="1:37" s="100" customFormat="1" outlineLevel="1">
      <c r="A835" s="63">
        <v>828</v>
      </c>
      <c r="B835" s="93" t="s">
        <v>379</v>
      </c>
      <c r="C835" s="93" t="s">
        <v>380</v>
      </c>
      <c r="D835" s="94" t="s">
        <v>400</v>
      </c>
      <c r="E835" s="96" t="s">
        <v>427</v>
      </c>
      <c r="F835" s="99" t="s">
        <v>191</v>
      </c>
      <c r="G835" s="93"/>
      <c r="H835" s="102" t="s">
        <v>428</v>
      </c>
      <c r="I835" s="93" t="s">
        <v>383</v>
      </c>
      <c r="J835" s="93"/>
      <c r="K835" s="96" t="s">
        <v>384</v>
      </c>
      <c r="L835" s="93" t="s">
        <v>232</v>
      </c>
      <c r="M835" s="97">
        <v>1889</v>
      </c>
      <c r="N835" s="64" t="s">
        <v>385</v>
      </c>
      <c r="O835" s="202">
        <v>4</v>
      </c>
      <c r="P835" s="196">
        <v>0</v>
      </c>
      <c r="Q835" s="202">
        <v>4</v>
      </c>
      <c r="R835" s="103">
        <v>27</v>
      </c>
      <c r="S835" s="19">
        <v>2799</v>
      </c>
      <c r="T835" s="19">
        <v>2423</v>
      </c>
      <c r="U835" s="93">
        <v>1697</v>
      </c>
      <c r="V835" s="98">
        <v>799</v>
      </c>
      <c r="W835" s="205" t="s">
        <v>233</v>
      </c>
      <c r="X835" s="205" t="s">
        <v>233</v>
      </c>
      <c r="Y835" s="206" t="s">
        <v>233</v>
      </c>
      <c r="Z835" s="205" t="s">
        <v>233</v>
      </c>
      <c r="AA835" s="205" t="s">
        <v>233</v>
      </c>
      <c r="AB835" s="205" t="s">
        <v>233</v>
      </c>
      <c r="AC835" s="206" t="s">
        <v>240</v>
      </c>
      <c r="AD835" s="205" t="s">
        <v>233</v>
      </c>
      <c r="AE835" s="206" t="s">
        <v>240</v>
      </c>
      <c r="AF835" s="212">
        <v>0</v>
      </c>
      <c r="AG835" s="93">
        <v>1</v>
      </c>
      <c r="AH835" s="93">
        <v>1</v>
      </c>
      <c r="AI835" s="93">
        <v>0</v>
      </c>
      <c r="AJ835" s="93">
        <v>0</v>
      </c>
      <c r="AK835" s="93">
        <v>0</v>
      </c>
    </row>
    <row r="836" spans="1:37" s="100" customFormat="1" outlineLevel="1">
      <c r="A836" s="63">
        <v>829</v>
      </c>
      <c r="B836" s="93" t="s">
        <v>379</v>
      </c>
      <c r="C836" s="93" t="s">
        <v>380</v>
      </c>
      <c r="D836" s="94" t="s">
        <v>400</v>
      </c>
      <c r="E836" s="93">
        <v>28</v>
      </c>
      <c r="F836" s="99" t="s">
        <v>191</v>
      </c>
      <c r="G836" s="93"/>
      <c r="H836" s="102" t="s">
        <v>429</v>
      </c>
      <c r="I836" s="93" t="s">
        <v>383</v>
      </c>
      <c r="J836" s="93"/>
      <c r="K836" s="96" t="s">
        <v>384</v>
      </c>
      <c r="L836" s="93" t="s">
        <v>232</v>
      </c>
      <c r="M836" s="97">
        <v>1908</v>
      </c>
      <c r="N836" s="64" t="s">
        <v>385</v>
      </c>
      <c r="O836" s="202">
        <v>6</v>
      </c>
      <c r="P836" s="196">
        <v>0</v>
      </c>
      <c r="Q836" s="202">
        <v>1</v>
      </c>
      <c r="R836" s="103">
        <v>10</v>
      </c>
      <c r="S836" s="19">
        <v>831</v>
      </c>
      <c r="T836" s="19">
        <v>716</v>
      </c>
      <c r="U836" s="93">
        <v>648</v>
      </c>
      <c r="V836" s="98">
        <v>98</v>
      </c>
      <c r="W836" s="205" t="s">
        <v>233</v>
      </c>
      <c r="X836" s="205" t="s">
        <v>233</v>
      </c>
      <c r="Y836" s="206" t="s">
        <v>233</v>
      </c>
      <c r="Z836" s="205" t="s">
        <v>233</v>
      </c>
      <c r="AA836" s="205" t="s">
        <v>233</v>
      </c>
      <c r="AB836" s="205" t="s">
        <v>233</v>
      </c>
      <c r="AC836" s="206" t="s">
        <v>240</v>
      </c>
      <c r="AD836" s="205" t="s">
        <v>233</v>
      </c>
      <c r="AE836" s="206" t="s">
        <v>240</v>
      </c>
      <c r="AF836" s="212">
        <v>0</v>
      </c>
      <c r="AG836" s="93">
        <v>1</v>
      </c>
      <c r="AH836" s="93">
        <v>1</v>
      </c>
      <c r="AI836" s="93">
        <v>0</v>
      </c>
      <c r="AJ836" s="93">
        <v>0</v>
      </c>
      <c r="AK836" s="93">
        <v>0</v>
      </c>
    </row>
    <row r="837" spans="1:37" s="100" customFormat="1" outlineLevel="1">
      <c r="A837" s="63">
        <v>830</v>
      </c>
      <c r="B837" s="93" t="s">
        <v>379</v>
      </c>
      <c r="C837" s="93" t="s">
        <v>380</v>
      </c>
      <c r="D837" s="94" t="s">
        <v>400</v>
      </c>
      <c r="E837" s="93">
        <v>28</v>
      </c>
      <c r="F837" s="99" t="s">
        <v>231</v>
      </c>
      <c r="G837" s="93"/>
      <c r="H837" s="102" t="s">
        <v>430</v>
      </c>
      <c r="I837" s="93" t="s">
        <v>383</v>
      </c>
      <c r="J837" s="93"/>
      <c r="K837" s="96" t="s">
        <v>384</v>
      </c>
      <c r="L837" s="93" t="s">
        <v>232</v>
      </c>
      <c r="M837" s="97">
        <v>1917</v>
      </c>
      <c r="N837" s="64" t="s">
        <v>385</v>
      </c>
      <c r="O837" s="202">
        <v>5</v>
      </c>
      <c r="P837" s="196">
        <v>0</v>
      </c>
      <c r="Q837" s="202">
        <v>1</v>
      </c>
      <c r="R837" s="103">
        <v>4</v>
      </c>
      <c r="S837" s="19">
        <v>296</v>
      </c>
      <c r="T837" s="19">
        <v>265</v>
      </c>
      <c r="U837" s="93">
        <v>196</v>
      </c>
      <c r="V837" s="98">
        <v>38</v>
      </c>
      <c r="W837" s="205" t="s">
        <v>233</v>
      </c>
      <c r="X837" s="205" t="s">
        <v>233</v>
      </c>
      <c r="Y837" s="206" t="s">
        <v>233</v>
      </c>
      <c r="Z837" s="205" t="s">
        <v>233</v>
      </c>
      <c r="AA837" s="205" t="s">
        <v>233</v>
      </c>
      <c r="AB837" s="205" t="s">
        <v>233</v>
      </c>
      <c r="AC837" s="206" t="s">
        <v>240</v>
      </c>
      <c r="AD837" s="205" t="s">
        <v>233</v>
      </c>
      <c r="AE837" s="206" t="s">
        <v>240</v>
      </c>
      <c r="AF837" s="212">
        <v>0</v>
      </c>
      <c r="AG837" s="93">
        <v>1</v>
      </c>
      <c r="AH837" s="93">
        <v>0</v>
      </c>
      <c r="AI837" s="93">
        <v>0</v>
      </c>
      <c r="AJ837" s="93">
        <v>0</v>
      </c>
      <c r="AK837" s="93">
        <v>0</v>
      </c>
    </row>
    <row r="838" spans="1:37" s="100" customFormat="1" outlineLevel="1">
      <c r="A838" s="63">
        <v>831</v>
      </c>
      <c r="B838" s="93" t="s">
        <v>379</v>
      </c>
      <c r="C838" s="93" t="s">
        <v>380</v>
      </c>
      <c r="D838" s="94" t="s">
        <v>400</v>
      </c>
      <c r="E838" s="93">
        <v>31</v>
      </c>
      <c r="F838" s="99" t="s">
        <v>191</v>
      </c>
      <c r="G838" s="93"/>
      <c r="H838" s="102" t="s">
        <v>431</v>
      </c>
      <c r="I838" s="93" t="s">
        <v>383</v>
      </c>
      <c r="J838" s="93"/>
      <c r="K838" s="96" t="s">
        <v>384</v>
      </c>
      <c r="L838" s="93" t="s">
        <v>232</v>
      </c>
      <c r="M838" s="97">
        <v>1917</v>
      </c>
      <c r="N838" s="64" t="s">
        <v>385</v>
      </c>
      <c r="O838" s="202">
        <v>4</v>
      </c>
      <c r="P838" s="196">
        <v>0</v>
      </c>
      <c r="Q838" s="202">
        <v>2</v>
      </c>
      <c r="R838" s="103">
        <v>16</v>
      </c>
      <c r="S838" s="19">
        <v>1624</v>
      </c>
      <c r="T838" s="19">
        <v>1402</v>
      </c>
      <c r="U838" s="93">
        <v>1144</v>
      </c>
      <c r="V838" s="98">
        <v>274</v>
      </c>
      <c r="W838" s="205" t="s">
        <v>233</v>
      </c>
      <c r="X838" s="205" t="s">
        <v>233</v>
      </c>
      <c r="Y838" s="206" t="s">
        <v>233</v>
      </c>
      <c r="Z838" s="205" t="s">
        <v>233</v>
      </c>
      <c r="AA838" s="205" t="s">
        <v>233</v>
      </c>
      <c r="AB838" s="205" t="s">
        <v>233</v>
      </c>
      <c r="AC838" s="206" t="s">
        <v>240</v>
      </c>
      <c r="AD838" s="205" t="s">
        <v>233</v>
      </c>
      <c r="AE838" s="206" t="s">
        <v>240</v>
      </c>
      <c r="AF838" s="212">
        <v>0</v>
      </c>
      <c r="AG838" s="93">
        <v>1</v>
      </c>
      <c r="AH838" s="93">
        <v>1</v>
      </c>
      <c r="AI838" s="93">
        <v>1</v>
      </c>
      <c r="AJ838" s="93">
        <v>1</v>
      </c>
      <c r="AK838" s="93">
        <v>0</v>
      </c>
    </row>
    <row r="839" spans="1:37" s="100" customFormat="1" outlineLevel="1">
      <c r="A839" s="63">
        <v>832</v>
      </c>
      <c r="B839" s="93" t="s">
        <v>379</v>
      </c>
      <c r="C839" s="93" t="s">
        <v>380</v>
      </c>
      <c r="D839" s="94" t="s">
        <v>400</v>
      </c>
      <c r="E839" s="93">
        <v>31</v>
      </c>
      <c r="F839" s="99" t="s">
        <v>261</v>
      </c>
      <c r="G839" s="93"/>
      <c r="H839" s="102" t="s">
        <v>432</v>
      </c>
      <c r="I839" s="93" t="s">
        <v>383</v>
      </c>
      <c r="J839" s="93"/>
      <c r="K839" s="96" t="s">
        <v>384</v>
      </c>
      <c r="L839" s="93" t="s">
        <v>232</v>
      </c>
      <c r="M839" s="97">
        <v>1917</v>
      </c>
      <c r="N839" s="64" t="s">
        <v>385</v>
      </c>
      <c r="O839" s="202">
        <v>4</v>
      </c>
      <c r="P839" s="196">
        <v>0</v>
      </c>
      <c r="Q839" s="202">
        <v>1</v>
      </c>
      <c r="R839" s="103">
        <v>8</v>
      </c>
      <c r="S839" s="19">
        <v>663</v>
      </c>
      <c r="T839" s="19">
        <v>572</v>
      </c>
      <c r="U839" s="93">
        <v>578</v>
      </c>
      <c r="V839" s="98">
        <v>0</v>
      </c>
      <c r="W839" s="205" t="s">
        <v>233</v>
      </c>
      <c r="X839" s="205" t="s">
        <v>233</v>
      </c>
      <c r="Y839" s="206" t="s">
        <v>233</v>
      </c>
      <c r="Z839" s="205" t="s">
        <v>233</v>
      </c>
      <c r="AA839" s="205" t="s">
        <v>233</v>
      </c>
      <c r="AB839" s="205" t="s">
        <v>233</v>
      </c>
      <c r="AC839" s="206" t="s">
        <v>240</v>
      </c>
      <c r="AD839" s="205" t="s">
        <v>233</v>
      </c>
      <c r="AE839" s="206" t="s">
        <v>240</v>
      </c>
      <c r="AF839" s="212">
        <v>0</v>
      </c>
      <c r="AG839" s="93">
        <v>1</v>
      </c>
      <c r="AH839" s="93">
        <v>0</v>
      </c>
      <c r="AI839" s="93">
        <v>0</v>
      </c>
      <c r="AJ839" s="93">
        <v>0</v>
      </c>
      <c r="AK839" s="93">
        <v>0</v>
      </c>
    </row>
    <row r="840" spans="1:37" s="100" customFormat="1" outlineLevel="1">
      <c r="A840" s="63">
        <v>833</v>
      </c>
      <c r="B840" s="93" t="s">
        <v>379</v>
      </c>
      <c r="C840" s="93" t="s">
        <v>380</v>
      </c>
      <c r="D840" s="94" t="s">
        <v>400</v>
      </c>
      <c r="E840" s="93">
        <v>33</v>
      </c>
      <c r="F840" s="99" t="s">
        <v>191</v>
      </c>
      <c r="G840" s="93"/>
      <c r="H840" s="102" t="s">
        <v>433</v>
      </c>
      <c r="I840" s="93" t="s">
        <v>383</v>
      </c>
      <c r="J840" s="93"/>
      <c r="K840" s="96" t="s">
        <v>384</v>
      </c>
      <c r="L840" s="93" t="s">
        <v>232</v>
      </c>
      <c r="M840" s="97">
        <v>1968</v>
      </c>
      <c r="N840" s="64" t="s">
        <v>385</v>
      </c>
      <c r="O840" s="202">
        <v>7</v>
      </c>
      <c r="P840" s="196">
        <v>0</v>
      </c>
      <c r="Q840" s="202">
        <v>2</v>
      </c>
      <c r="R840" s="103">
        <v>50</v>
      </c>
      <c r="S840" s="19">
        <v>4851</v>
      </c>
      <c r="T840" s="19">
        <v>3984</v>
      </c>
      <c r="U840" s="93">
        <v>2830</v>
      </c>
      <c r="V840" s="98">
        <v>1586</v>
      </c>
      <c r="W840" s="205" t="s">
        <v>233</v>
      </c>
      <c r="X840" s="205" t="s">
        <v>233</v>
      </c>
      <c r="Y840" s="206" t="s">
        <v>233</v>
      </c>
      <c r="Z840" s="205" t="s">
        <v>233</v>
      </c>
      <c r="AA840" s="205" t="s">
        <v>233</v>
      </c>
      <c r="AB840" s="205" t="s">
        <v>233</v>
      </c>
      <c r="AC840" s="206" t="s">
        <v>240</v>
      </c>
      <c r="AD840" s="205" t="s">
        <v>233</v>
      </c>
      <c r="AE840" s="206" t="s">
        <v>240</v>
      </c>
      <c r="AF840" s="212">
        <v>2</v>
      </c>
      <c r="AG840" s="93">
        <v>1</v>
      </c>
      <c r="AH840" s="93">
        <v>1</v>
      </c>
      <c r="AI840" s="93">
        <v>1</v>
      </c>
      <c r="AJ840" s="93">
        <v>1</v>
      </c>
      <c r="AK840" s="93">
        <v>0</v>
      </c>
    </row>
    <row r="841" spans="1:37" s="100" customFormat="1" outlineLevel="1">
      <c r="A841" s="63">
        <v>834</v>
      </c>
      <c r="B841" s="93" t="s">
        <v>379</v>
      </c>
      <c r="C841" s="93" t="s">
        <v>380</v>
      </c>
      <c r="D841" s="94" t="s">
        <v>400</v>
      </c>
      <c r="E841" s="96" t="s">
        <v>434</v>
      </c>
      <c r="F841" s="99" t="s">
        <v>191</v>
      </c>
      <c r="G841" s="93"/>
      <c r="H841" s="102" t="s">
        <v>435</v>
      </c>
      <c r="I841" s="93" t="s">
        <v>383</v>
      </c>
      <c r="J841" s="93"/>
      <c r="K841" s="96" t="s">
        <v>384</v>
      </c>
      <c r="L841" s="93" t="s">
        <v>232</v>
      </c>
      <c r="M841" s="97">
        <v>1898</v>
      </c>
      <c r="N841" s="64" t="s">
        <v>385</v>
      </c>
      <c r="O841" s="202">
        <v>5</v>
      </c>
      <c r="P841" s="196">
        <v>0</v>
      </c>
      <c r="Q841" s="202">
        <v>4</v>
      </c>
      <c r="R841" s="103">
        <v>33</v>
      </c>
      <c r="S841" s="19">
        <v>3253</v>
      </c>
      <c r="T841" s="19">
        <v>2705</v>
      </c>
      <c r="U841" s="93">
        <v>2565</v>
      </c>
      <c r="V841" s="98">
        <v>267</v>
      </c>
      <c r="W841" s="205" t="s">
        <v>233</v>
      </c>
      <c r="X841" s="205" t="s">
        <v>233</v>
      </c>
      <c r="Y841" s="206" t="s">
        <v>233</v>
      </c>
      <c r="Z841" s="205" t="s">
        <v>233</v>
      </c>
      <c r="AA841" s="205" t="s">
        <v>233</v>
      </c>
      <c r="AB841" s="205" t="s">
        <v>233</v>
      </c>
      <c r="AC841" s="206" t="s">
        <v>240</v>
      </c>
      <c r="AD841" s="205" t="s">
        <v>233</v>
      </c>
      <c r="AE841" s="206" t="s">
        <v>240</v>
      </c>
      <c r="AF841" s="212">
        <v>0</v>
      </c>
      <c r="AG841" s="93">
        <v>1</v>
      </c>
      <c r="AH841" s="93">
        <v>1</v>
      </c>
      <c r="AI841" s="93">
        <v>1</v>
      </c>
      <c r="AJ841" s="93">
        <v>1</v>
      </c>
      <c r="AK841" s="93">
        <v>0</v>
      </c>
    </row>
    <row r="842" spans="1:37" s="100" customFormat="1" outlineLevel="1">
      <c r="A842" s="63">
        <v>835</v>
      </c>
      <c r="B842" s="93" t="s">
        <v>379</v>
      </c>
      <c r="C842" s="93" t="s">
        <v>380</v>
      </c>
      <c r="D842" s="94" t="s">
        <v>400</v>
      </c>
      <c r="E842" s="96" t="s">
        <v>436</v>
      </c>
      <c r="F842" s="99" t="s">
        <v>191</v>
      </c>
      <c r="G842" s="93"/>
      <c r="H842" s="102" t="s">
        <v>437</v>
      </c>
      <c r="I842" s="93" t="s">
        <v>383</v>
      </c>
      <c r="J842" s="93"/>
      <c r="K842" s="96" t="s">
        <v>384</v>
      </c>
      <c r="L842" s="93" t="s">
        <v>232</v>
      </c>
      <c r="M842" s="97">
        <v>1912</v>
      </c>
      <c r="N842" s="64" t="s">
        <v>385</v>
      </c>
      <c r="O842" s="202">
        <v>7</v>
      </c>
      <c r="P842" s="196">
        <v>0</v>
      </c>
      <c r="Q842" s="202">
        <v>5</v>
      </c>
      <c r="R842" s="103">
        <v>69</v>
      </c>
      <c r="S842" s="19">
        <v>5780</v>
      </c>
      <c r="T842" s="19">
        <v>5022</v>
      </c>
      <c r="U842" s="93">
        <v>4575</v>
      </c>
      <c r="V842" s="98">
        <v>459</v>
      </c>
      <c r="W842" s="205" t="s">
        <v>233</v>
      </c>
      <c r="X842" s="205" t="s">
        <v>233</v>
      </c>
      <c r="Y842" s="206" t="s">
        <v>233</v>
      </c>
      <c r="Z842" s="205" t="s">
        <v>233</v>
      </c>
      <c r="AA842" s="205" t="s">
        <v>233</v>
      </c>
      <c r="AB842" s="205" t="s">
        <v>233</v>
      </c>
      <c r="AC842" s="206" t="s">
        <v>240</v>
      </c>
      <c r="AD842" s="205" t="s">
        <v>233</v>
      </c>
      <c r="AE842" s="206" t="s">
        <v>240</v>
      </c>
      <c r="AF842" s="212">
        <v>0</v>
      </c>
      <c r="AG842" s="93">
        <v>1</v>
      </c>
      <c r="AH842" s="93">
        <v>1</v>
      </c>
      <c r="AI842" s="93">
        <v>1</v>
      </c>
      <c r="AJ842" s="93">
        <v>1</v>
      </c>
      <c r="AK842" s="93">
        <v>0</v>
      </c>
    </row>
    <row r="843" spans="1:37" s="100" customFormat="1" outlineLevel="1">
      <c r="A843" s="63">
        <v>836</v>
      </c>
      <c r="B843" s="93" t="s">
        <v>379</v>
      </c>
      <c r="C843" s="93" t="s">
        <v>380</v>
      </c>
      <c r="D843" s="94" t="s">
        <v>400</v>
      </c>
      <c r="E843" s="96">
        <v>40</v>
      </c>
      <c r="F843" s="99" t="s">
        <v>191</v>
      </c>
      <c r="G843" s="93"/>
      <c r="H843" s="102" t="s">
        <v>438</v>
      </c>
      <c r="I843" s="93" t="s">
        <v>383</v>
      </c>
      <c r="J843" s="93"/>
      <c r="K843" s="96" t="s">
        <v>384</v>
      </c>
      <c r="L843" s="93" t="s">
        <v>232</v>
      </c>
      <c r="M843" s="97">
        <v>1910</v>
      </c>
      <c r="N843" s="64" t="s">
        <v>385</v>
      </c>
      <c r="O843" s="202">
        <v>6</v>
      </c>
      <c r="P843" s="196">
        <v>0</v>
      </c>
      <c r="Q843" s="202">
        <v>1</v>
      </c>
      <c r="R843" s="103">
        <v>17</v>
      </c>
      <c r="S843" s="19">
        <v>1291</v>
      </c>
      <c r="T843" s="19">
        <v>1134</v>
      </c>
      <c r="U843" s="93">
        <v>1055</v>
      </c>
      <c r="V843" s="98">
        <v>103</v>
      </c>
      <c r="W843" s="205" t="s">
        <v>233</v>
      </c>
      <c r="X843" s="205" t="s">
        <v>233</v>
      </c>
      <c r="Y843" s="206" t="s">
        <v>233</v>
      </c>
      <c r="Z843" s="205" t="s">
        <v>233</v>
      </c>
      <c r="AA843" s="205" t="s">
        <v>233</v>
      </c>
      <c r="AB843" s="205" t="s">
        <v>233</v>
      </c>
      <c r="AC843" s="206" t="s">
        <v>240</v>
      </c>
      <c r="AD843" s="205" t="s">
        <v>233</v>
      </c>
      <c r="AE843" s="206" t="s">
        <v>240</v>
      </c>
      <c r="AF843" s="212">
        <v>0</v>
      </c>
      <c r="AG843" s="93">
        <v>1</v>
      </c>
      <c r="AH843" s="93">
        <v>1</v>
      </c>
      <c r="AI843" s="93">
        <v>0</v>
      </c>
      <c r="AJ843" s="93">
        <v>0</v>
      </c>
      <c r="AK843" s="93">
        <v>0</v>
      </c>
    </row>
    <row r="844" spans="1:37" s="100" customFormat="1" outlineLevel="1">
      <c r="A844" s="63">
        <v>837</v>
      </c>
      <c r="B844" s="93" t="s">
        <v>379</v>
      </c>
      <c r="C844" s="93" t="s">
        <v>380</v>
      </c>
      <c r="D844" s="94" t="s">
        <v>400</v>
      </c>
      <c r="E844" s="96">
        <v>44</v>
      </c>
      <c r="F844" s="99" t="s">
        <v>191</v>
      </c>
      <c r="G844" s="93"/>
      <c r="H844" s="102" t="s">
        <v>439</v>
      </c>
      <c r="I844" s="93" t="s">
        <v>383</v>
      </c>
      <c r="J844" s="93"/>
      <c r="K844" s="96" t="s">
        <v>384</v>
      </c>
      <c r="L844" s="93" t="s">
        <v>232</v>
      </c>
      <c r="M844" s="97">
        <v>1917</v>
      </c>
      <c r="N844" s="64" t="s">
        <v>385</v>
      </c>
      <c r="O844" s="202">
        <v>4</v>
      </c>
      <c r="P844" s="196">
        <v>0</v>
      </c>
      <c r="Q844" s="202">
        <v>2</v>
      </c>
      <c r="R844" s="103">
        <v>7</v>
      </c>
      <c r="S844" s="19">
        <v>3115</v>
      </c>
      <c r="T844" s="19">
        <v>2484</v>
      </c>
      <c r="U844" s="93">
        <v>458</v>
      </c>
      <c r="V844" s="98">
        <v>2245</v>
      </c>
      <c r="W844" s="205" t="s">
        <v>233</v>
      </c>
      <c r="X844" s="205" t="s">
        <v>233</v>
      </c>
      <c r="Y844" s="206" t="s">
        <v>233</v>
      </c>
      <c r="Z844" s="205" t="s">
        <v>233</v>
      </c>
      <c r="AA844" s="205" t="s">
        <v>233</v>
      </c>
      <c r="AB844" s="205" t="s">
        <v>233</v>
      </c>
      <c r="AC844" s="206" t="s">
        <v>240</v>
      </c>
      <c r="AD844" s="205" t="s">
        <v>233</v>
      </c>
      <c r="AE844" s="206" t="s">
        <v>240</v>
      </c>
      <c r="AF844" s="212">
        <v>0</v>
      </c>
      <c r="AG844" s="93">
        <v>1</v>
      </c>
      <c r="AH844" s="93">
        <v>1</v>
      </c>
      <c r="AI844" s="93">
        <v>0</v>
      </c>
      <c r="AJ844" s="93">
        <v>0</v>
      </c>
      <c r="AK844" s="93">
        <v>0</v>
      </c>
    </row>
    <row r="845" spans="1:37" s="100" customFormat="1" outlineLevel="1">
      <c r="A845" s="63">
        <v>838</v>
      </c>
      <c r="B845" s="93" t="s">
        <v>379</v>
      </c>
      <c r="C845" s="93" t="s">
        <v>380</v>
      </c>
      <c r="D845" s="94" t="s">
        <v>440</v>
      </c>
      <c r="E845" s="102" t="s">
        <v>441</v>
      </c>
      <c r="F845" s="99" t="s">
        <v>191</v>
      </c>
      <c r="G845" s="93"/>
      <c r="H845" s="102" t="s">
        <v>442</v>
      </c>
      <c r="I845" s="93" t="s">
        <v>383</v>
      </c>
      <c r="J845" s="93"/>
      <c r="K845" s="96" t="s">
        <v>384</v>
      </c>
      <c r="L845" s="93" t="s">
        <v>232</v>
      </c>
      <c r="M845" s="97">
        <v>1905</v>
      </c>
      <c r="N845" s="64" t="s">
        <v>385</v>
      </c>
      <c r="O845" s="202">
        <v>7</v>
      </c>
      <c r="P845" s="196">
        <v>0</v>
      </c>
      <c r="Q845" s="202">
        <v>5</v>
      </c>
      <c r="R845" s="19">
        <v>52</v>
      </c>
      <c r="S845" s="19">
        <v>4942</v>
      </c>
      <c r="T845" s="19">
        <v>4067</v>
      </c>
      <c r="U845" s="93">
        <v>3893</v>
      </c>
      <c r="V845" s="98">
        <v>452</v>
      </c>
      <c r="W845" s="205" t="s">
        <v>233</v>
      </c>
      <c r="X845" s="205" t="s">
        <v>233</v>
      </c>
      <c r="Y845" s="206" t="s">
        <v>233</v>
      </c>
      <c r="Z845" s="205" t="s">
        <v>233</v>
      </c>
      <c r="AA845" s="205" t="s">
        <v>233</v>
      </c>
      <c r="AB845" s="205" t="s">
        <v>233</v>
      </c>
      <c r="AC845" s="206" t="s">
        <v>240</v>
      </c>
      <c r="AD845" s="205" t="s">
        <v>233</v>
      </c>
      <c r="AE845" s="206" t="s">
        <v>240</v>
      </c>
      <c r="AF845" s="212">
        <v>2</v>
      </c>
      <c r="AG845" s="93">
        <v>1</v>
      </c>
      <c r="AH845" s="93">
        <v>0</v>
      </c>
      <c r="AI845" s="93">
        <v>1</v>
      </c>
      <c r="AJ845" s="93">
        <v>1</v>
      </c>
      <c r="AK845" s="93">
        <v>0</v>
      </c>
    </row>
    <row r="846" spans="1:37" s="100" customFormat="1" outlineLevel="1">
      <c r="A846" s="63">
        <v>839</v>
      </c>
      <c r="B846" s="93" t="s">
        <v>379</v>
      </c>
      <c r="C846" s="93" t="s">
        <v>380</v>
      </c>
      <c r="D846" s="94" t="s">
        <v>440</v>
      </c>
      <c r="E846" s="102" t="s">
        <v>441</v>
      </c>
      <c r="F846" s="99" t="s">
        <v>231</v>
      </c>
      <c r="G846" s="93"/>
      <c r="H846" s="102" t="s">
        <v>443</v>
      </c>
      <c r="I846" s="93" t="s">
        <v>383</v>
      </c>
      <c r="J846" s="93"/>
      <c r="K846" s="96" t="s">
        <v>384</v>
      </c>
      <c r="L846" s="93" t="s">
        <v>232</v>
      </c>
      <c r="M846" s="97">
        <v>1905</v>
      </c>
      <c r="N846" s="64" t="s">
        <v>385</v>
      </c>
      <c r="O846" s="202">
        <v>3</v>
      </c>
      <c r="P846" s="196">
        <v>0</v>
      </c>
      <c r="Q846" s="202">
        <v>1</v>
      </c>
      <c r="R846" s="19">
        <v>3</v>
      </c>
      <c r="S846" s="19">
        <v>722</v>
      </c>
      <c r="T846" s="19">
        <v>608</v>
      </c>
      <c r="U846" s="93">
        <v>334</v>
      </c>
      <c r="V846" s="98">
        <v>312</v>
      </c>
      <c r="W846" s="205" t="s">
        <v>233</v>
      </c>
      <c r="X846" s="205" t="s">
        <v>233</v>
      </c>
      <c r="Y846" s="206" t="s">
        <v>233</v>
      </c>
      <c r="Z846" s="205" t="s">
        <v>233</v>
      </c>
      <c r="AA846" s="205" t="s">
        <v>233</v>
      </c>
      <c r="AB846" s="205" t="s">
        <v>233</v>
      </c>
      <c r="AC846" s="206" t="s">
        <v>240</v>
      </c>
      <c r="AD846" s="205" t="s">
        <v>233</v>
      </c>
      <c r="AE846" s="206" t="s">
        <v>240</v>
      </c>
      <c r="AF846" s="212">
        <v>0</v>
      </c>
      <c r="AG846" s="93">
        <v>1</v>
      </c>
      <c r="AH846" s="93">
        <v>0</v>
      </c>
      <c r="AI846" s="93">
        <v>0</v>
      </c>
      <c r="AJ846" s="93">
        <v>0</v>
      </c>
      <c r="AK846" s="93">
        <v>0</v>
      </c>
    </row>
    <row r="847" spans="1:37" s="100" customFormat="1" outlineLevel="1">
      <c r="A847" s="63">
        <v>840</v>
      </c>
      <c r="B847" s="93" t="s">
        <v>379</v>
      </c>
      <c r="C847" s="93" t="s">
        <v>380</v>
      </c>
      <c r="D847" s="94" t="s">
        <v>440</v>
      </c>
      <c r="E847" s="102">
        <v>5</v>
      </c>
      <c r="F847" s="99" t="s">
        <v>191</v>
      </c>
      <c r="G847" s="93"/>
      <c r="H847" s="102" t="s">
        <v>444</v>
      </c>
      <c r="I847" s="93" t="s">
        <v>383</v>
      </c>
      <c r="J847" s="93"/>
      <c r="K847" s="96" t="s">
        <v>384</v>
      </c>
      <c r="L847" s="93" t="s">
        <v>232</v>
      </c>
      <c r="M847" s="97">
        <v>1917</v>
      </c>
      <c r="N847" s="64" t="s">
        <v>385</v>
      </c>
      <c r="O847" s="202">
        <v>4</v>
      </c>
      <c r="P847" s="196">
        <v>0</v>
      </c>
      <c r="Q847" s="202">
        <v>4</v>
      </c>
      <c r="R847" s="19">
        <v>39</v>
      </c>
      <c r="S847" s="19">
        <v>3157</v>
      </c>
      <c r="T847" s="19">
        <v>2807</v>
      </c>
      <c r="U847" s="93">
        <v>2600</v>
      </c>
      <c r="V847" s="98">
        <v>244</v>
      </c>
      <c r="W847" s="205" t="s">
        <v>233</v>
      </c>
      <c r="X847" s="205" t="s">
        <v>233</v>
      </c>
      <c r="Y847" s="206" t="s">
        <v>233</v>
      </c>
      <c r="Z847" s="205" t="s">
        <v>233</v>
      </c>
      <c r="AA847" s="205" t="s">
        <v>233</v>
      </c>
      <c r="AB847" s="205" t="s">
        <v>233</v>
      </c>
      <c r="AC847" s="206" t="s">
        <v>240</v>
      </c>
      <c r="AD847" s="205" t="s">
        <v>233</v>
      </c>
      <c r="AE847" s="206" t="s">
        <v>240</v>
      </c>
      <c r="AF847" s="212">
        <v>0</v>
      </c>
      <c r="AG847" s="93">
        <v>1</v>
      </c>
      <c r="AH847" s="93">
        <v>1</v>
      </c>
      <c r="AI847" s="93">
        <v>1</v>
      </c>
      <c r="AJ847" s="93">
        <v>1</v>
      </c>
      <c r="AK847" s="93">
        <v>0</v>
      </c>
    </row>
    <row r="848" spans="1:37" s="100" customFormat="1" outlineLevel="1">
      <c r="A848" s="63">
        <v>841</v>
      </c>
      <c r="B848" s="93" t="s">
        <v>379</v>
      </c>
      <c r="C848" s="93" t="s">
        <v>380</v>
      </c>
      <c r="D848" s="94" t="s">
        <v>440</v>
      </c>
      <c r="E848" s="102">
        <v>6</v>
      </c>
      <c r="F848" s="99" t="s">
        <v>191</v>
      </c>
      <c r="G848" s="93"/>
      <c r="H848" s="102" t="s">
        <v>445</v>
      </c>
      <c r="I848" s="93" t="s">
        <v>383</v>
      </c>
      <c r="J848" s="93"/>
      <c r="K848" s="96" t="s">
        <v>384</v>
      </c>
      <c r="L848" s="93" t="s">
        <v>232</v>
      </c>
      <c r="M848" s="97">
        <v>1875</v>
      </c>
      <c r="N848" s="64" t="s">
        <v>385</v>
      </c>
      <c r="O848" s="202">
        <v>4</v>
      </c>
      <c r="P848" s="196">
        <v>0</v>
      </c>
      <c r="Q848" s="202">
        <v>3</v>
      </c>
      <c r="R848" s="19">
        <v>17</v>
      </c>
      <c r="S848" s="19">
        <v>1844</v>
      </c>
      <c r="T848" s="19">
        <v>1594</v>
      </c>
      <c r="U848" s="93">
        <v>1082</v>
      </c>
      <c r="V848" s="98">
        <v>551</v>
      </c>
      <c r="W848" s="205" t="s">
        <v>233</v>
      </c>
      <c r="X848" s="205" t="s">
        <v>233</v>
      </c>
      <c r="Y848" s="206" t="s">
        <v>233</v>
      </c>
      <c r="Z848" s="205" t="s">
        <v>233</v>
      </c>
      <c r="AA848" s="205" t="s">
        <v>233</v>
      </c>
      <c r="AB848" s="205" t="s">
        <v>233</v>
      </c>
      <c r="AC848" s="206" t="s">
        <v>240</v>
      </c>
      <c r="AD848" s="205" t="s">
        <v>233</v>
      </c>
      <c r="AE848" s="206" t="s">
        <v>240</v>
      </c>
      <c r="AF848" s="212">
        <v>0</v>
      </c>
      <c r="AG848" s="93">
        <v>1</v>
      </c>
      <c r="AH848" s="93">
        <v>1</v>
      </c>
      <c r="AI848" s="93">
        <v>1</v>
      </c>
      <c r="AJ848" s="93">
        <v>1</v>
      </c>
      <c r="AK848" s="93">
        <v>0</v>
      </c>
    </row>
    <row r="849" spans="1:37" s="100" customFormat="1" outlineLevel="1">
      <c r="A849" s="63">
        <v>842</v>
      </c>
      <c r="B849" s="93" t="s">
        <v>379</v>
      </c>
      <c r="C849" s="93" t="s">
        <v>380</v>
      </c>
      <c r="D849" s="94" t="s">
        <v>440</v>
      </c>
      <c r="E849" s="102">
        <v>7</v>
      </c>
      <c r="F849" s="99" t="s">
        <v>191</v>
      </c>
      <c r="G849" s="93"/>
      <c r="H849" s="102" t="s">
        <v>446</v>
      </c>
      <c r="I849" s="93" t="s">
        <v>383</v>
      </c>
      <c r="J849" s="93"/>
      <c r="K849" s="96" t="s">
        <v>384</v>
      </c>
      <c r="L849" s="93" t="s">
        <v>232</v>
      </c>
      <c r="M849" s="97">
        <v>1887</v>
      </c>
      <c r="N849" s="64" t="s">
        <v>385</v>
      </c>
      <c r="O849" s="202">
        <v>4</v>
      </c>
      <c r="P849" s="196">
        <v>0</v>
      </c>
      <c r="Q849" s="202">
        <v>2</v>
      </c>
      <c r="R849" s="19">
        <v>15</v>
      </c>
      <c r="S849" s="19">
        <v>1086</v>
      </c>
      <c r="T849" s="19">
        <v>924</v>
      </c>
      <c r="U849" s="93">
        <v>924</v>
      </c>
      <c r="V849" s="98">
        <v>11</v>
      </c>
      <c r="W849" s="205" t="s">
        <v>233</v>
      </c>
      <c r="X849" s="205" t="s">
        <v>233</v>
      </c>
      <c r="Y849" s="206" t="s">
        <v>233</v>
      </c>
      <c r="Z849" s="205" t="s">
        <v>233</v>
      </c>
      <c r="AA849" s="205" t="s">
        <v>233</v>
      </c>
      <c r="AB849" s="205" t="s">
        <v>233</v>
      </c>
      <c r="AC849" s="206" t="s">
        <v>240</v>
      </c>
      <c r="AD849" s="205" t="s">
        <v>233</v>
      </c>
      <c r="AE849" s="206" t="s">
        <v>240</v>
      </c>
      <c r="AF849" s="212">
        <v>0</v>
      </c>
      <c r="AG849" s="93">
        <v>1</v>
      </c>
      <c r="AH849" s="93">
        <v>0</v>
      </c>
      <c r="AI849" s="93">
        <v>0</v>
      </c>
      <c r="AJ849" s="93">
        <v>0</v>
      </c>
      <c r="AK849" s="93">
        <v>0</v>
      </c>
    </row>
    <row r="850" spans="1:37" s="100" customFormat="1" outlineLevel="1">
      <c r="A850" s="63">
        <v>843</v>
      </c>
      <c r="B850" s="93" t="s">
        <v>379</v>
      </c>
      <c r="C850" s="93" t="s">
        <v>380</v>
      </c>
      <c r="D850" s="94" t="s">
        <v>440</v>
      </c>
      <c r="E850" s="102" t="s">
        <v>194</v>
      </c>
      <c r="F850" s="99" t="s">
        <v>191</v>
      </c>
      <c r="G850" s="93"/>
      <c r="H850" s="102" t="s">
        <v>447</v>
      </c>
      <c r="I850" s="93" t="s">
        <v>383</v>
      </c>
      <c r="J850" s="93"/>
      <c r="K850" s="96" t="s">
        <v>384</v>
      </c>
      <c r="L850" s="93" t="s">
        <v>232</v>
      </c>
      <c r="M850" s="97">
        <v>1899</v>
      </c>
      <c r="N850" s="64" t="s">
        <v>385</v>
      </c>
      <c r="O850" s="202">
        <v>5</v>
      </c>
      <c r="P850" s="196">
        <v>0</v>
      </c>
      <c r="Q850" s="202">
        <v>3</v>
      </c>
      <c r="R850" s="19">
        <v>23</v>
      </c>
      <c r="S850" s="19">
        <v>2837</v>
      </c>
      <c r="T850" s="19">
        <v>2191</v>
      </c>
      <c r="U850" s="93">
        <v>2190</v>
      </c>
      <c r="V850" s="98">
        <v>345</v>
      </c>
      <c r="W850" s="205" t="s">
        <v>233</v>
      </c>
      <c r="X850" s="205" t="s">
        <v>233</v>
      </c>
      <c r="Y850" s="206" t="s">
        <v>233</v>
      </c>
      <c r="Z850" s="205" t="s">
        <v>233</v>
      </c>
      <c r="AA850" s="205" t="s">
        <v>233</v>
      </c>
      <c r="AB850" s="205" t="s">
        <v>233</v>
      </c>
      <c r="AC850" s="206" t="s">
        <v>240</v>
      </c>
      <c r="AD850" s="205" t="s">
        <v>233</v>
      </c>
      <c r="AE850" s="206" t="s">
        <v>240</v>
      </c>
      <c r="AF850" s="212">
        <v>0</v>
      </c>
      <c r="AG850" s="93">
        <v>1</v>
      </c>
      <c r="AH850" s="93">
        <v>1</v>
      </c>
      <c r="AI850" s="93">
        <v>1</v>
      </c>
      <c r="AJ850" s="93">
        <v>1</v>
      </c>
      <c r="AK850" s="93">
        <v>0</v>
      </c>
    </row>
    <row r="851" spans="1:37" s="100" customFormat="1" outlineLevel="1">
      <c r="A851" s="63">
        <v>844</v>
      </c>
      <c r="B851" s="93" t="s">
        <v>379</v>
      </c>
      <c r="C851" s="93" t="s">
        <v>380</v>
      </c>
      <c r="D851" s="94" t="s">
        <v>440</v>
      </c>
      <c r="E851" s="102" t="s">
        <v>448</v>
      </c>
      <c r="F851" s="99" t="s">
        <v>191</v>
      </c>
      <c r="G851" s="93"/>
      <c r="H851" s="102" t="s">
        <v>449</v>
      </c>
      <c r="I851" s="93" t="s">
        <v>383</v>
      </c>
      <c r="J851" s="93"/>
      <c r="K851" s="96" t="s">
        <v>384</v>
      </c>
      <c r="L851" s="93" t="s">
        <v>232</v>
      </c>
      <c r="M851" s="97">
        <v>1917</v>
      </c>
      <c r="N851" s="64" t="s">
        <v>385</v>
      </c>
      <c r="O851" s="202">
        <v>4</v>
      </c>
      <c r="P851" s="196">
        <v>0</v>
      </c>
      <c r="Q851" s="202">
        <v>1</v>
      </c>
      <c r="R851" s="19">
        <v>9</v>
      </c>
      <c r="S851" s="19">
        <v>710</v>
      </c>
      <c r="T851" s="19">
        <v>635</v>
      </c>
      <c r="U851" s="93">
        <v>495</v>
      </c>
      <c r="V851" s="98">
        <v>154</v>
      </c>
      <c r="W851" s="205" t="s">
        <v>233</v>
      </c>
      <c r="X851" s="205" t="s">
        <v>233</v>
      </c>
      <c r="Y851" s="206" t="s">
        <v>233</v>
      </c>
      <c r="Z851" s="205" t="s">
        <v>233</v>
      </c>
      <c r="AA851" s="205" t="s">
        <v>233</v>
      </c>
      <c r="AB851" s="205" t="s">
        <v>233</v>
      </c>
      <c r="AC851" s="206" t="s">
        <v>240</v>
      </c>
      <c r="AD851" s="205" t="s">
        <v>233</v>
      </c>
      <c r="AE851" s="206" t="s">
        <v>240</v>
      </c>
      <c r="AF851" s="212">
        <v>0</v>
      </c>
      <c r="AG851" s="93">
        <v>1</v>
      </c>
      <c r="AH851" s="93">
        <v>0</v>
      </c>
      <c r="AI851" s="93">
        <v>1</v>
      </c>
      <c r="AJ851" s="93">
        <v>1</v>
      </c>
      <c r="AK851" s="93">
        <v>0</v>
      </c>
    </row>
    <row r="852" spans="1:37" s="100" customFormat="1" outlineLevel="1">
      <c r="A852" s="63">
        <v>845</v>
      </c>
      <c r="B852" s="93" t="s">
        <v>379</v>
      </c>
      <c r="C852" s="93" t="s">
        <v>380</v>
      </c>
      <c r="D852" s="94" t="s">
        <v>440</v>
      </c>
      <c r="E852" s="102" t="s">
        <v>164</v>
      </c>
      <c r="F852" s="99" t="s">
        <v>191</v>
      </c>
      <c r="G852" s="93"/>
      <c r="H852" s="102" t="s">
        <v>450</v>
      </c>
      <c r="I852" s="93" t="s">
        <v>383</v>
      </c>
      <c r="J852" s="93"/>
      <c r="K852" s="96" t="s">
        <v>384</v>
      </c>
      <c r="L852" s="93" t="s">
        <v>232</v>
      </c>
      <c r="M852" s="97">
        <v>1917</v>
      </c>
      <c r="N852" s="64" t="s">
        <v>385</v>
      </c>
      <c r="O852" s="202">
        <v>5</v>
      </c>
      <c r="P852" s="196">
        <v>0</v>
      </c>
      <c r="Q852" s="202">
        <v>1</v>
      </c>
      <c r="R852" s="19">
        <v>22</v>
      </c>
      <c r="S852" s="19">
        <v>2027</v>
      </c>
      <c r="T852" s="19">
        <v>1772</v>
      </c>
      <c r="U852" s="93">
        <v>1610</v>
      </c>
      <c r="V852" s="98">
        <v>175</v>
      </c>
      <c r="W852" s="205" t="s">
        <v>233</v>
      </c>
      <c r="X852" s="205" t="s">
        <v>233</v>
      </c>
      <c r="Y852" s="206" t="s">
        <v>233</v>
      </c>
      <c r="Z852" s="205" t="s">
        <v>233</v>
      </c>
      <c r="AA852" s="205" t="s">
        <v>233</v>
      </c>
      <c r="AB852" s="205" t="s">
        <v>233</v>
      </c>
      <c r="AC852" s="206" t="s">
        <v>240</v>
      </c>
      <c r="AD852" s="205" t="s">
        <v>233</v>
      </c>
      <c r="AE852" s="206" t="s">
        <v>240</v>
      </c>
      <c r="AF852" s="212">
        <v>1</v>
      </c>
      <c r="AG852" s="93">
        <v>1</v>
      </c>
      <c r="AH852" s="93">
        <v>1</v>
      </c>
      <c r="AI852" s="93">
        <v>0</v>
      </c>
      <c r="AJ852" s="93">
        <v>0</v>
      </c>
      <c r="AK852" s="93">
        <v>0</v>
      </c>
    </row>
    <row r="853" spans="1:37" s="100" customFormat="1" outlineLevel="1">
      <c r="A853" s="63">
        <v>846</v>
      </c>
      <c r="B853" s="93" t="s">
        <v>379</v>
      </c>
      <c r="C853" s="93" t="s">
        <v>380</v>
      </c>
      <c r="D853" s="94" t="s">
        <v>440</v>
      </c>
      <c r="E853" s="102" t="s">
        <v>165</v>
      </c>
      <c r="F853" s="99" t="s">
        <v>191</v>
      </c>
      <c r="G853" s="93"/>
      <c r="H853" s="102" t="s">
        <v>451</v>
      </c>
      <c r="I853" s="93" t="s">
        <v>383</v>
      </c>
      <c r="J853" s="93"/>
      <c r="K853" s="96" t="s">
        <v>384</v>
      </c>
      <c r="L853" s="93" t="s">
        <v>232</v>
      </c>
      <c r="M853" s="97">
        <v>1882</v>
      </c>
      <c r="N853" s="64" t="s">
        <v>385</v>
      </c>
      <c r="O853" s="202">
        <v>5</v>
      </c>
      <c r="P853" s="196">
        <v>0</v>
      </c>
      <c r="Q853" s="202">
        <v>2</v>
      </c>
      <c r="R853" s="19">
        <v>27</v>
      </c>
      <c r="S853" s="19">
        <v>2305</v>
      </c>
      <c r="T853" s="19">
        <v>1955</v>
      </c>
      <c r="U853" s="93">
        <v>1917</v>
      </c>
      <c r="V853" s="98">
        <v>69</v>
      </c>
      <c r="W853" s="205" t="s">
        <v>233</v>
      </c>
      <c r="X853" s="205" t="s">
        <v>233</v>
      </c>
      <c r="Y853" s="206" t="s">
        <v>233</v>
      </c>
      <c r="Z853" s="205" t="s">
        <v>233</v>
      </c>
      <c r="AA853" s="205" t="s">
        <v>233</v>
      </c>
      <c r="AB853" s="205" t="s">
        <v>233</v>
      </c>
      <c r="AC853" s="206" t="s">
        <v>240</v>
      </c>
      <c r="AD853" s="205" t="s">
        <v>233</v>
      </c>
      <c r="AE853" s="206" t="s">
        <v>240</v>
      </c>
      <c r="AF853" s="212">
        <v>2</v>
      </c>
      <c r="AG853" s="93">
        <v>1</v>
      </c>
      <c r="AH853" s="93">
        <v>1</v>
      </c>
      <c r="AI853" s="93">
        <v>0</v>
      </c>
      <c r="AJ853" s="93">
        <v>0</v>
      </c>
      <c r="AK853" s="93">
        <v>0</v>
      </c>
    </row>
    <row r="854" spans="1:37" s="100" customFormat="1" outlineLevel="1">
      <c r="A854" s="63">
        <v>847</v>
      </c>
      <c r="B854" s="93" t="s">
        <v>379</v>
      </c>
      <c r="C854" s="93" t="s">
        <v>380</v>
      </c>
      <c r="D854" s="94" t="s">
        <v>440</v>
      </c>
      <c r="E854" s="102" t="s">
        <v>166</v>
      </c>
      <c r="F854" s="99" t="s">
        <v>191</v>
      </c>
      <c r="G854" s="93"/>
      <c r="H854" s="102" t="s">
        <v>452</v>
      </c>
      <c r="I854" s="93" t="s">
        <v>383</v>
      </c>
      <c r="J854" s="93"/>
      <c r="K854" s="96" t="s">
        <v>384</v>
      </c>
      <c r="L854" s="93" t="s">
        <v>232</v>
      </c>
      <c r="M854" s="97">
        <v>1905</v>
      </c>
      <c r="N854" s="64" t="s">
        <v>385</v>
      </c>
      <c r="O854" s="202">
        <v>6</v>
      </c>
      <c r="P854" s="196">
        <v>0</v>
      </c>
      <c r="Q854" s="202">
        <v>1</v>
      </c>
      <c r="R854" s="19">
        <v>25</v>
      </c>
      <c r="S854" s="19">
        <v>165</v>
      </c>
      <c r="T854" s="19">
        <v>1539</v>
      </c>
      <c r="U854" s="93">
        <v>1539</v>
      </c>
      <c r="V854" s="98">
        <v>41</v>
      </c>
      <c r="W854" s="205" t="s">
        <v>233</v>
      </c>
      <c r="X854" s="205" t="s">
        <v>233</v>
      </c>
      <c r="Y854" s="206" t="s">
        <v>233</v>
      </c>
      <c r="Z854" s="205" t="s">
        <v>233</v>
      </c>
      <c r="AA854" s="205" t="s">
        <v>233</v>
      </c>
      <c r="AB854" s="205" t="s">
        <v>233</v>
      </c>
      <c r="AC854" s="206" t="s">
        <v>240</v>
      </c>
      <c r="AD854" s="205" t="s">
        <v>233</v>
      </c>
      <c r="AE854" s="206" t="s">
        <v>240</v>
      </c>
      <c r="AF854" s="212">
        <v>1</v>
      </c>
      <c r="AG854" s="93">
        <v>0</v>
      </c>
      <c r="AH854" s="93">
        <v>1</v>
      </c>
      <c r="AI854" s="93">
        <v>1</v>
      </c>
      <c r="AJ854" s="93">
        <v>1</v>
      </c>
      <c r="AK854" s="93">
        <v>0</v>
      </c>
    </row>
    <row r="855" spans="1:37" s="100" customFormat="1" outlineLevel="1">
      <c r="A855" s="63">
        <v>848</v>
      </c>
      <c r="B855" s="93" t="s">
        <v>379</v>
      </c>
      <c r="C855" s="93" t="s">
        <v>380</v>
      </c>
      <c r="D855" s="94" t="s">
        <v>440</v>
      </c>
      <c r="E855" s="102" t="s">
        <v>453</v>
      </c>
      <c r="F855" s="99" t="s">
        <v>191</v>
      </c>
      <c r="G855" s="93"/>
      <c r="H855" s="102" t="s">
        <v>454</v>
      </c>
      <c r="I855" s="93" t="s">
        <v>383</v>
      </c>
      <c r="J855" s="93"/>
      <c r="K855" s="96" t="s">
        <v>384</v>
      </c>
      <c r="L855" s="93" t="s">
        <v>232</v>
      </c>
      <c r="M855" s="97">
        <v>1907</v>
      </c>
      <c r="N855" s="64" t="s">
        <v>385</v>
      </c>
      <c r="O855" s="202">
        <v>5</v>
      </c>
      <c r="P855" s="196">
        <v>0</v>
      </c>
      <c r="Q855" s="202">
        <v>2</v>
      </c>
      <c r="R855" s="103">
        <v>5</v>
      </c>
      <c r="S855" s="19">
        <v>1425</v>
      </c>
      <c r="T855" s="19">
        <v>1136</v>
      </c>
      <c r="U855" s="93">
        <v>992</v>
      </c>
      <c r="V855" s="98">
        <v>274</v>
      </c>
      <c r="W855" s="205" t="s">
        <v>233</v>
      </c>
      <c r="X855" s="205" t="s">
        <v>233</v>
      </c>
      <c r="Y855" s="206" t="s">
        <v>233</v>
      </c>
      <c r="Z855" s="205" t="s">
        <v>233</v>
      </c>
      <c r="AA855" s="205" t="s">
        <v>233</v>
      </c>
      <c r="AB855" s="205" t="s">
        <v>233</v>
      </c>
      <c r="AC855" s="206" t="s">
        <v>240</v>
      </c>
      <c r="AD855" s="205" t="s">
        <v>233</v>
      </c>
      <c r="AE855" s="206" t="s">
        <v>240</v>
      </c>
      <c r="AF855" s="212">
        <v>0</v>
      </c>
      <c r="AG855" s="93">
        <v>1</v>
      </c>
      <c r="AH855" s="93">
        <v>1</v>
      </c>
      <c r="AI855" s="93">
        <v>1</v>
      </c>
      <c r="AJ855" s="93">
        <v>1</v>
      </c>
      <c r="AK855" s="93">
        <v>0</v>
      </c>
    </row>
    <row r="856" spans="1:37" s="100" customFormat="1" outlineLevel="1">
      <c r="A856" s="63">
        <v>849</v>
      </c>
      <c r="B856" s="93" t="s">
        <v>379</v>
      </c>
      <c r="C856" s="93" t="s">
        <v>380</v>
      </c>
      <c r="D856" s="94" t="s">
        <v>440</v>
      </c>
      <c r="E856" s="102" t="s">
        <v>167</v>
      </c>
      <c r="F856" s="99" t="s">
        <v>191</v>
      </c>
      <c r="G856" s="93"/>
      <c r="H856" s="102" t="s">
        <v>455</v>
      </c>
      <c r="I856" s="93" t="s">
        <v>383</v>
      </c>
      <c r="J856" s="93"/>
      <c r="K856" s="96" t="s">
        <v>384</v>
      </c>
      <c r="L856" s="93" t="s">
        <v>232</v>
      </c>
      <c r="M856" s="97">
        <v>1917</v>
      </c>
      <c r="N856" s="64" t="s">
        <v>385</v>
      </c>
      <c r="O856" s="202">
        <v>4</v>
      </c>
      <c r="P856" s="196">
        <v>0</v>
      </c>
      <c r="Q856" s="202">
        <v>1</v>
      </c>
      <c r="R856" s="103">
        <v>6</v>
      </c>
      <c r="S856" s="19">
        <v>551</v>
      </c>
      <c r="T856" s="19">
        <v>509</v>
      </c>
      <c r="U856" s="93">
        <v>419</v>
      </c>
      <c r="V856" s="98">
        <v>54</v>
      </c>
      <c r="W856" s="205" t="s">
        <v>233</v>
      </c>
      <c r="X856" s="205" t="s">
        <v>233</v>
      </c>
      <c r="Y856" s="206" t="s">
        <v>233</v>
      </c>
      <c r="Z856" s="205" t="s">
        <v>233</v>
      </c>
      <c r="AA856" s="205" t="s">
        <v>233</v>
      </c>
      <c r="AB856" s="205" t="s">
        <v>233</v>
      </c>
      <c r="AC856" s="206" t="s">
        <v>240</v>
      </c>
      <c r="AD856" s="205" t="s">
        <v>233</v>
      </c>
      <c r="AE856" s="206" t="s">
        <v>240</v>
      </c>
      <c r="AF856" s="212">
        <v>0</v>
      </c>
      <c r="AG856" s="93">
        <v>1</v>
      </c>
      <c r="AH856" s="93">
        <v>0</v>
      </c>
      <c r="AI856" s="93">
        <v>1</v>
      </c>
      <c r="AJ856" s="93">
        <v>1</v>
      </c>
      <c r="AK856" s="93">
        <v>0</v>
      </c>
    </row>
    <row r="857" spans="1:37" s="100" customFormat="1" outlineLevel="1">
      <c r="A857" s="63">
        <v>850</v>
      </c>
      <c r="B857" s="93" t="s">
        <v>379</v>
      </c>
      <c r="C857" s="93" t="s">
        <v>380</v>
      </c>
      <c r="D857" s="94" t="s">
        <v>440</v>
      </c>
      <c r="E857" s="102" t="s">
        <v>167</v>
      </c>
      <c r="F857" s="99" t="s">
        <v>231</v>
      </c>
      <c r="G857" s="93"/>
      <c r="H857" s="102" t="s">
        <v>456</v>
      </c>
      <c r="I857" s="93" t="s">
        <v>383</v>
      </c>
      <c r="J857" s="93"/>
      <c r="K857" s="96" t="s">
        <v>384</v>
      </c>
      <c r="L857" s="93" t="s">
        <v>232</v>
      </c>
      <c r="M857" s="97">
        <v>1917</v>
      </c>
      <c r="N857" s="64" t="s">
        <v>385</v>
      </c>
      <c r="O857" s="202">
        <v>3</v>
      </c>
      <c r="P857" s="196">
        <v>0</v>
      </c>
      <c r="Q857" s="202">
        <v>1</v>
      </c>
      <c r="R857" s="103">
        <v>5</v>
      </c>
      <c r="S857" s="19">
        <v>313</v>
      </c>
      <c r="T857" s="19">
        <v>286</v>
      </c>
      <c r="U857" s="93">
        <v>216</v>
      </c>
      <c r="V857" s="98">
        <v>44</v>
      </c>
      <c r="W857" s="205" t="s">
        <v>233</v>
      </c>
      <c r="X857" s="205" t="s">
        <v>233</v>
      </c>
      <c r="Y857" s="206" t="s">
        <v>233</v>
      </c>
      <c r="Z857" s="205" t="s">
        <v>233</v>
      </c>
      <c r="AA857" s="205" t="s">
        <v>233</v>
      </c>
      <c r="AB857" s="205" t="s">
        <v>233</v>
      </c>
      <c r="AC857" s="206" t="s">
        <v>240</v>
      </c>
      <c r="AD857" s="205" t="s">
        <v>233</v>
      </c>
      <c r="AE857" s="206" t="s">
        <v>240</v>
      </c>
      <c r="AF857" s="212">
        <v>0</v>
      </c>
      <c r="AG857" s="93">
        <v>1</v>
      </c>
      <c r="AH857" s="93">
        <v>0</v>
      </c>
      <c r="AI857" s="93">
        <v>0</v>
      </c>
      <c r="AJ857" s="93">
        <v>0</v>
      </c>
      <c r="AK857" s="93">
        <v>0</v>
      </c>
    </row>
    <row r="858" spans="1:37" s="100" customFormat="1" outlineLevel="1">
      <c r="A858" s="63">
        <v>851</v>
      </c>
      <c r="B858" s="93" t="s">
        <v>379</v>
      </c>
      <c r="C858" s="93" t="s">
        <v>380</v>
      </c>
      <c r="D858" s="94" t="s">
        <v>440</v>
      </c>
      <c r="E858" s="102" t="s">
        <v>168</v>
      </c>
      <c r="F858" s="99" t="s">
        <v>191</v>
      </c>
      <c r="G858" s="93"/>
      <c r="H858" s="102" t="s">
        <v>457</v>
      </c>
      <c r="I858" s="93" t="s">
        <v>383</v>
      </c>
      <c r="J858" s="93"/>
      <c r="K858" s="96" t="s">
        <v>384</v>
      </c>
      <c r="L858" s="93" t="s">
        <v>232</v>
      </c>
      <c r="M858" s="97">
        <v>1881</v>
      </c>
      <c r="N858" s="64" t="s">
        <v>385</v>
      </c>
      <c r="O858" s="202">
        <v>4</v>
      </c>
      <c r="P858" s="196">
        <v>0</v>
      </c>
      <c r="Q858" s="202">
        <v>1</v>
      </c>
      <c r="R858" s="103">
        <v>11</v>
      </c>
      <c r="S858" s="19">
        <v>997</v>
      </c>
      <c r="T858" s="19">
        <v>853</v>
      </c>
      <c r="U858" s="93">
        <v>872</v>
      </c>
      <c r="V858" s="98">
        <v>0</v>
      </c>
      <c r="W858" s="205" t="s">
        <v>233</v>
      </c>
      <c r="X858" s="205" t="s">
        <v>233</v>
      </c>
      <c r="Y858" s="206" t="s">
        <v>233</v>
      </c>
      <c r="Z858" s="205" t="s">
        <v>233</v>
      </c>
      <c r="AA858" s="205" t="s">
        <v>233</v>
      </c>
      <c r="AB858" s="205" t="s">
        <v>233</v>
      </c>
      <c r="AC858" s="206" t="s">
        <v>240</v>
      </c>
      <c r="AD858" s="205" t="s">
        <v>233</v>
      </c>
      <c r="AE858" s="206" t="s">
        <v>240</v>
      </c>
      <c r="AF858" s="212">
        <v>0</v>
      </c>
      <c r="AG858" s="93">
        <v>1</v>
      </c>
      <c r="AH858" s="93">
        <v>1</v>
      </c>
      <c r="AI858" s="93">
        <v>0</v>
      </c>
      <c r="AJ858" s="93">
        <v>0</v>
      </c>
      <c r="AK858" s="93">
        <v>0</v>
      </c>
    </row>
    <row r="859" spans="1:37" s="100" customFormat="1" outlineLevel="1">
      <c r="A859" s="63">
        <v>852</v>
      </c>
      <c r="B859" s="93" t="s">
        <v>379</v>
      </c>
      <c r="C859" s="93" t="s">
        <v>380</v>
      </c>
      <c r="D859" s="94" t="s">
        <v>440</v>
      </c>
      <c r="E859" s="102" t="s">
        <v>168</v>
      </c>
      <c r="F859" s="99" t="s">
        <v>231</v>
      </c>
      <c r="G859" s="93"/>
      <c r="H859" s="102" t="s">
        <v>458</v>
      </c>
      <c r="I859" s="93" t="s">
        <v>383</v>
      </c>
      <c r="J859" s="93"/>
      <c r="K859" s="96" t="s">
        <v>384</v>
      </c>
      <c r="L859" s="93" t="s">
        <v>232</v>
      </c>
      <c r="M859" s="97">
        <v>1866</v>
      </c>
      <c r="N859" s="64" t="s">
        <v>385</v>
      </c>
      <c r="O859" s="202">
        <v>3</v>
      </c>
      <c r="P859" s="196">
        <v>0</v>
      </c>
      <c r="Q859" s="202">
        <v>1</v>
      </c>
      <c r="R859" s="103">
        <v>6</v>
      </c>
      <c r="S859" s="19">
        <v>355</v>
      </c>
      <c r="T859" s="19">
        <v>315</v>
      </c>
      <c r="U859" s="93">
        <v>297</v>
      </c>
      <c r="V859" s="98">
        <v>0</v>
      </c>
      <c r="W859" s="205" t="s">
        <v>233</v>
      </c>
      <c r="X859" s="205" t="s">
        <v>233</v>
      </c>
      <c r="Y859" s="206" t="s">
        <v>233</v>
      </c>
      <c r="Z859" s="205" t="s">
        <v>233</v>
      </c>
      <c r="AA859" s="205" t="s">
        <v>233</v>
      </c>
      <c r="AB859" s="205" t="s">
        <v>233</v>
      </c>
      <c r="AC859" s="206" t="s">
        <v>240</v>
      </c>
      <c r="AD859" s="205" t="s">
        <v>233</v>
      </c>
      <c r="AE859" s="206" t="s">
        <v>240</v>
      </c>
      <c r="AF859" s="212">
        <v>0</v>
      </c>
      <c r="AG859" s="93">
        <v>1</v>
      </c>
      <c r="AH859" s="93">
        <v>0</v>
      </c>
      <c r="AI859" s="93">
        <v>0</v>
      </c>
      <c r="AJ859" s="93">
        <v>0</v>
      </c>
      <c r="AK859" s="93">
        <v>0</v>
      </c>
    </row>
    <row r="860" spans="1:37" s="100" customFormat="1" outlineLevel="1">
      <c r="A860" s="63">
        <v>853</v>
      </c>
      <c r="B860" s="93" t="s">
        <v>379</v>
      </c>
      <c r="C860" s="93" t="s">
        <v>380</v>
      </c>
      <c r="D860" s="94" t="s">
        <v>440</v>
      </c>
      <c r="E860" s="102" t="s">
        <v>170</v>
      </c>
      <c r="F860" s="99" t="s">
        <v>191</v>
      </c>
      <c r="G860" s="93"/>
      <c r="H860" s="102" t="s">
        <v>459</v>
      </c>
      <c r="I860" s="93" t="s">
        <v>383</v>
      </c>
      <c r="J860" s="93"/>
      <c r="K860" s="96" t="s">
        <v>384</v>
      </c>
      <c r="L860" s="93" t="s">
        <v>232</v>
      </c>
      <c r="M860" s="97">
        <v>1882</v>
      </c>
      <c r="N860" s="64" t="s">
        <v>385</v>
      </c>
      <c r="O860" s="202">
        <v>4.5</v>
      </c>
      <c r="P860" s="196">
        <v>0</v>
      </c>
      <c r="Q860" s="202">
        <v>2</v>
      </c>
      <c r="R860" s="103">
        <v>21</v>
      </c>
      <c r="S860" s="19">
        <v>1914</v>
      </c>
      <c r="T860" s="19">
        <v>1547</v>
      </c>
      <c r="U860" s="93">
        <v>1396</v>
      </c>
      <c r="V860" s="98">
        <v>320</v>
      </c>
      <c r="W860" s="205" t="s">
        <v>233</v>
      </c>
      <c r="X860" s="205" t="s">
        <v>233</v>
      </c>
      <c r="Y860" s="206" t="s">
        <v>233</v>
      </c>
      <c r="Z860" s="205" t="s">
        <v>233</v>
      </c>
      <c r="AA860" s="205" t="s">
        <v>233</v>
      </c>
      <c r="AB860" s="205" t="s">
        <v>233</v>
      </c>
      <c r="AC860" s="206" t="s">
        <v>240</v>
      </c>
      <c r="AD860" s="205" t="s">
        <v>233</v>
      </c>
      <c r="AE860" s="206" t="s">
        <v>240</v>
      </c>
      <c r="AF860" s="212">
        <v>0</v>
      </c>
      <c r="AG860" s="93">
        <v>1</v>
      </c>
      <c r="AH860" s="93">
        <v>0</v>
      </c>
      <c r="AI860" s="93">
        <v>1</v>
      </c>
      <c r="AJ860" s="93">
        <v>1</v>
      </c>
      <c r="AK860" s="93">
        <v>0</v>
      </c>
    </row>
    <row r="861" spans="1:37" s="100" customFormat="1" outlineLevel="1">
      <c r="A861" s="63">
        <v>854</v>
      </c>
      <c r="B861" s="93" t="s">
        <v>379</v>
      </c>
      <c r="C861" s="93" t="s">
        <v>380</v>
      </c>
      <c r="D861" s="94" t="s">
        <v>440</v>
      </c>
      <c r="E861" s="102" t="s">
        <v>171</v>
      </c>
      <c r="F861" s="99" t="s">
        <v>191</v>
      </c>
      <c r="G861" s="93"/>
      <c r="H861" s="102" t="s">
        <v>460</v>
      </c>
      <c r="I861" s="93" t="s">
        <v>383</v>
      </c>
      <c r="J861" s="93"/>
      <c r="K861" s="96" t="s">
        <v>384</v>
      </c>
      <c r="L861" s="93" t="s">
        <v>232</v>
      </c>
      <c r="M861" s="97">
        <v>1901</v>
      </c>
      <c r="N861" s="64" t="s">
        <v>385</v>
      </c>
      <c r="O861" s="202">
        <v>5</v>
      </c>
      <c r="P861" s="196">
        <v>0</v>
      </c>
      <c r="Q861" s="202">
        <v>2</v>
      </c>
      <c r="R861" s="103">
        <v>12</v>
      </c>
      <c r="S861" s="19">
        <v>1360</v>
      </c>
      <c r="T861" s="19">
        <v>1043</v>
      </c>
      <c r="U861" s="93">
        <v>1003</v>
      </c>
      <c r="V861" s="98">
        <v>180</v>
      </c>
      <c r="W861" s="205" t="s">
        <v>233</v>
      </c>
      <c r="X861" s="205" t="s">
        <v>233</v>
      </c>
      <c r="Y861" s="206" t="s">
        <v>233</v>
      </c>
      <c r="Z861" s="205" t="s">
        <v>233</v>
      </c>
      <c r="AA861" s="205" t="s">
        <v>233</v>
      </c>
      <c r="AB861" s="205" t="s">
        <v>233</v>
      </c>
      <c r="AC861" s="206" t="s">
        <v>240</v>
      </c>
      <c r="AD861" s="205" t="s">
        <v>233</v>
      </c>
      <c r="AE861" s="206" t="s">
        <v>240</v>
      </c>
      <c r="AF861" s="212">
        <v>0</v>
      </c>
      <c r="AG861" s="93">
        <v>1</v>
      </c>
      <c r="AH861" s="93">
        <v>1</v>
      </c>
      <c r="AI861" s="93">
        <v>1</v>
      </c>
      <c r="AJ861" s="93">
        <v>1</v>
      </c>
      <c r="AK861" s="93">
        <v>0</v>
      </c>
    </row>
    <row r="862" spans="1:37" s="100" customFormat="1" outlineLevel="1">
      <c r="A862" s="63">
        <v>855</v>
      </c>
      <c r="B862" s="93" t="s">
        <v>379</v>
      </c>
      <c r="C862" s="93" t="s">
        <v>380</v>
      </c>
      <c r="D862" s="94" t="s">
        <v>440</v>
      </c>
      <c r="E862" s="102" t="s">
        <v>461</v>
      </c>
      <c r="F862" s="99" t="s">
        <v>191</v>
      </c>
      <c r="G862" s="93"/>
      <c r="H862" s="102" t="s">
        <v>462</v>
      </c>
      <c r="I862" s="93" t="s">
        <v>383</v>
      </c>
      <c r="J862" s="93"/>
      <c r="K862" s="96" t="s">
        <v>384</v>
      </c>
      <c r="L862" s="93" t="s">
        <v>232</v>
      </c>
      <c r="M862" s="97">
        <v>1917</v>
      </c>
      <c r="N862" s="64" t="s">
        <v>385</v>
      </c>
      <c r="O862" s="202">
        <v>4</v>
      </c>
      <c r="P862" s="196">
        <v>0</v>
      </c>
      <c r="Q862" s="202">
        <v>3</v>
      </c>
      <c r="R862" s="103">
        <v>24</v>
      </c>
      <c r="S862" s="19">
        <v>2382</v>
      </c>
      <c r="T862" s="19">
        <v>2052</v>
      </c>
      <c r="U862" s="93">
        <v>1555</v>
      </c>
      <c r="V862" s="98">
        <v>498</v>
      </c>
      <c r="W862" s="205" t="s">
        <v>233</v>
      </c>
      <c r="X862" s="205" t="s">
        <v>233</v>
      </c>
      <c r="Y862" s="206" t="s">
        <v>233</v>
      </c>
      <c r="Z862" s="205" t="s">
        <v>233</v>
      </c>
      <c r="AA862" s="205" t="s">
        <v>233</v>
      </c>
      <c r="AB862" s="205" t="s">
        <v>233</v>
      </c>
      <c r="AC862" s="206" t="s">
        <v>240</v>
      </c>
      <c r="AD862" s="205" t="s">
        <v>233</v>
      </c>
      <c r="AE862" s="206" t="s">
        <v>240</v>
      </c>
      <c r="AF862" s="212">
        <v>0</v>
      </c>
      <c r="AG862" s="93">
        <v>1</v>
      </c>
      <c r="AH862" s="93">
        <v>0</v>
      </c>
      <c r="AI862" s="93">
        <v>0</v>
      </c>
      <c r="AJ862" s="93">
        <v>0</v>
      </c>
      <c r="AK862" s="93">
        <v>0</v>
      </c>
    </row>
    <row r="863" spans="1:37" s="100" customFormat="1" outlineLevel="1">
      <c r="A863" s="63">
        <v>856</v>
      </c>
      <c r="B863" s="93" t="s">
        <v>379</v>
      </c>
      <c r="C863" s="93" t="s">
        <v>380</v>
      </c>
      <c r="D863" s="94" t="s">
        <v>440</v>
      </c>
      <c r="E863" s="102" t="s">
        <v>275</v>
      </c>
      <c r="F863" s="99" t="s">
        <v>191</v>
      </c>
      <c r="G863" s="93"/>
      <c r="H863" s="102" t="s">
        <v>463</v>
      </c>
      <c r="I863" s="93" t="s">
        <v>383</v>
      </c>
      <c r="J863" s="93"/>
      <c r="K863" s="96" t="s">
        <v>384</v>
      </c>
      <c r="L863" s="93" t="s">
        <v>232</v>
      </c>
      <c r="M863" s="97">
        <v>1861</v>
      </c>
      <c r="N863" s="64" t="s">
        <v>385</v>
      </c>
      <c r="O863" s="202">
        <v>4</v>
      </c>
      <c r="P863" s="196">
        <v>0</v>
      </c>
      <c r="Q863" s="202">
        <v>3</v>
      </c>
      <c r="R863" s="103">
        <v>31</v>
      </c>
      <c r="S863" s="19">
        <v>2335</v>
      </c>
      <c r="T863" s="19">
        <v>2017</v>
      </c>
      <c r="U863" s="93">
        <v>1636</v>
      </c>
      <c r="V863" s="98">
        <v>410</v>
      </c>
      <c r="W863" s="205" t="s">
        <v>233</v>
      </c>
      <c r="X863" s="205" t="s">
        <v>233</v>
      </c>
      <c r="Y863" s="206" t="s">
        <v>233</v>
      </c>
      <c r="Z863" s="205" t="s">
        <v>233</v>
      </c>
      <c r="AA863" s="205" t="s">
        <v>233</v>
      </c>
      <c r="AB863" s="205" t="s">
        <v>233</v>
      </c>
      <c r="AC863" s="206" t="s">
        <v>240</v>
      </c>
      <c r="AD863" s="205" t="s">
        <v>233</v>
      </c>
      <c r="AE863" s="206" t="s">
        <v>240</v>
      </c>
      <c r="AF863" s="212">
        <v>0</v>
      </c>
      <c r="AG863" s="93">
        <v>1</v>
      </c>
      <c r="AH863" s="93">
        <v>1</v>
      </c>
      <c r="AI863" s="93">
        <v>0</v>
      </c>
      <c r="AJ863" s="93">
        <v>0</v>
      </c>
      <c r="AK863" s="93">
        <v>0</v>
      </c>
    </row>
    <row r="864" spans="1:37" s="100" customFormat="1" outlineLevel="1">
      <c r="A864" s="63">
        <v>857</v>
      </c>
      <c r="B864" s="93" t="s">
        <v>379</v>
      </c>
      <c r="C864" s="93" t="s">
        <v>380</v>
      </c>
      <c r="D864" s="94" t="s">
        <v>440</v>
      </c>
      <c r="E864" s="102" t="s">
        <v>275</v>
      </c>
      <c r="F864" s="99" t="s">
        <v>191</v>
      </c>
      <c r="G864" s="93"/>
      <c r="H864" s="102" t="s">
        <v>464</v>
      </c>
      <c r="I864" s="93" t="s">
        <v>383</v>
      </c>
      <c r="J864" s="93"/>
      <c r="K864" s="96" t="s">
        <v>384</v>
      </c>
      <c r="L864" s="93" t="s">
        <v>232</v>
      </c>
      <c r="M864" s="97">
        <v>1872</v>
      </c>
      <c r="N864" s="64" t="s">
        <v>385</v>
      </c>
      <c r="O864" s="202">
        <v>4</v>
      </c>
      <c r="P864" s="196">
        <v>0</v>
      </c>
      <c r="Q864" s="202">
        <v>1</v>
      </c>
      <c r="R864" s="103">
        <v>4</v>
      </c>
      <c r="S864" s="19">
        <v>232</v>
      </c>
      <c r="T864" s="19">
        <v>199</v>
      </c>
      <c r="U864" s="93">
        <v>183</v>
      </c>
      <c r="V864" s="98">
        <v>0</v>
      </c>
      <c r="W864" s="205" t="s">
        <v>233</v>
      </c>
      <c r="X864" s="205" t="s">
        <v>233</v>
      </c>
      <c r="Y864" s="206" t="s">
        <v>233</v>
      </c>
      <c r="Z864" s="205" t="s">
        <v>233</v>
      </c>
      <c r="AA864" s="205" t="s">
        <v>233</v>
      </c>
      <c r="AB864" s="205" t="s">
        <v>233</v>
      </c>
      <c r="AC864" s="206" t="s">
        <v>240</v>
      </c>
      <c r="AD864" s="205" t="s">
        <v>233</v>
      </c>
      <c r="AE864" s="206" t="s">
        <v>240</v>
      </c>
      <c r="AF864" s="212">
        <v>0</v>
      </c>
      <c r="AG864" s="93">
        <v>1</v>
      </c>
      <c r="AH864" s="93">
        <v>0</v>
      </c>
      <c r="AI864" s="93">
        <v>0</v>
      </c>
      <c r="AJ864" s="93">
        <v>0</v>
      </c>
      <c r="AK864" s="93">
        <v>0</v>
      </c>
    </row>
    <row r="865" spans="1:37" s="100" customFormat="1" outlineLevel="1">
      <c r="A865" s="63">
        <v>858</v>
      </c>
      <c r="B865" s="93" t="s">
        <v>379</v>
      </c>
      <c r="C865" s="93" t="s">
        <v>380</v>
      </c>
      <c r="D865" s="94" t="s">
        <v>440</v>
      </c>
      <c r="E865" s="102" t="s">
        <v>465</v>
      </c>
      <c r="F865" s="99" t="s">
        <v>191</v>
      </c>
      <c r="G865" s="93"/>
      <c r="H865" s="102" t="s">
        <v>466</v>
      </c>
      <c r="I865" s="93" t="s">
        <v>383</v>
      </c>
      <c r="J865" s="93"/>
      <c r="K865" s="96" t="s">
        <v>384</v>
      </c>
      <c r="L865" s="93" t="s">
        <v>232</v>
      </c>
      <c r="M865" s="97">
        <v>1901</v>
      </c>
      <c r="N865" s="64" t="s">
        <v>385</v>
      </c>
      <c r="O865" s="202">
        <v>5</v>
      </c>
      <c r="P865" s="196">
        <v>0</v>
      </c>
      <c r="Q865" s="202">
        <v>3</v>
      </c>
      <c r="R865" s="19">
        <v>22</v>
      </c>
      <c r="S865" s="19">
        <v>2507</v>
      </c>
      <c r="T865" s="19">
        <v>2154</v>
      </c>
      <c r="U865" s="93">
        <v>1847</v>
      </c>
      <c r="V865" s="98">
        <v>426</v>
      </c>
      <c r="W865" s="205" t="s">
        <v>233</v>
      </c>
      <c r="X865" s="205" t="s">
        <v>233</v>
      </c>
      <c r="Y865" s="206" t="s">
        <v>233</v>
      </c>
      <c r="Z865" s="205" t="s">
        <v>233</v>
      </c>
      <c r="AA865" s="205" t="s">
        <v>233</v>
      </c>
      <c r="AB865" s="205" t="s">
        <v>233</v>
      </c>
      <c r="AC865" s="206" t="s">
        <v>240</v>
      </c>
      <c r="AD865" s="205" t="s">
        <v>233</v>
      </c>
      <c r="AE865" s="206" t="s">
        <v>240</v>
      </c>
      <c r="AF865" s="212">
        <v>0</v>
      </c>
      <c r="AG865" s="93">
        <v>1</v>
      </c>
      <c r="AH865" s="93">
        <v>1</v>
      </c>
      <c r="AI865" s="93">
        <v>0</v>
      </c>
      <c r="AJ865" s="93">
        <v>0</v>
      </c>
      <c r="AK865" s="93">
        <v>0</v>
      </c>
    </row>
    <row r="866" spans="1:37" s="100" customFormat="1" outlineLevel="1">
      <c r="A866" s="63">
        <v>859</v>
      </c>
      <c r="B866" s="93" t="s">
        <v>379</v>
      </c>
      <c r="C866" s="93" t="s">
        <v>380</v>
      </c>
      <c r="D866" s="94" t="s">
        <v>440</v>
      </c>
      <c r="E866" s="96">
        <v>25</v>
      </c>
      <c r="F866" s="99" t="s">
        <v>191</v>
      </c>
      <c r="G866" s="93"/>
      <c r="H866" s="102" t="s">
        <v>467</v>
      </c>
      <c r="I866" s="93" t="s">
        <v>383</v>
      </c>
      <c r="J866" s="93"/>
      <c r="K866" s="96" t="s">
        <v>384</v>
      </c>
      <c r="L866" s="93" t="s">
        <v>232</v>
      </c>
      <c r="M866" s="97">
        <v>1909</v>
      </c>
      <c r="N866" s="64" t="s">
        <v>385</v>
      </c>
      <c r="O866" s="202">
        <v>3.5</v>
      </c>
      <c r="P866" s="196">
        <v>0</v>
      </c>
      <c r="Q866" s="202">
        <v>1</v>
      </c>
      <c r="R866" s="19">
        <v>12</v>
      </c>
      <c r="S866" s="19">
        <v>1196</v>
      </c>
      <c r="T866" s="19">
        <v>1042</v>
      </c>
      <c r="U866" s="93">
        <v>989</v>
      </c>
      <c r="V866" s="98">
        <v>102</v>
      </c>
      <c r="W866" s="205" t="s">
        <v>233</v>
      </c>
      <c r="X866" s="205" t="s">
        <v>233</v>
      </c>
      <c r="Y866" s="206" t="s">
        <v>233</v>
      </c>
      <c r="Z866" s="205" t="s">
        <v>233</v>
      </c>
      <c r="AA866" s="205" t="s">
        <v>233</v>
      </c>
      <c r="AB866" s="205" t="s">
        <v>233</v>
      </c>
      <c r="AC866" s="206" t="s">
        <v>240</v>
      </c>
      <c r="AD866" s="205" t="s">
        <v>233</v>
      </c>
      <c r="AE866" s="206" t="s">
        <v>240</v>
      </c>
      <c r="AF866" s="212">
        <v>0</v>
      </c>
      <c r="AG866" s="93">
        <v>1</v>
      </c>
      <c r="AH866" s="93">
        <v>1</v>
      </c>
      <c r="AI866" s="93">
        <v>1</v>
      </c>
      <c r="AJ866" s="93">
        <v>1</v>
      </c>
      <c r="AK866" s="93">
        <v>0</v>
      </c>
    </row>
    <row r="867" spans="1:37" s="100" customFormat="1" outlineLevel="1">
      <c r="A867" s="63">
        <v>860</v>
      </c>
      <c r="B867" s="93" t="s">
        <v>379</v>
      </c>
      <c r="C867" s="93" t="s">
        <v>380</v>
      </c>
      <c r="D867" s="94" t="s">
        <v>440</v>
      </c>
      <c r="E867" s="96">
        <v>25</v>
      </c>
      <c r="F867" s="99" t="s">
        <v>231</v>
      </c>
      <c r="G867" s="93"/>
      <c r="H867" s="102" t="s">
        <v>468</v>
      </c>
      <c r="I867" s="93" t="s">
        <v>383</v>
      </c>
      <c r="J867" s="93"/>
      <c r="K867" s="96" t="s">
        <v>384</v>
      </c>
      <c r="L867" s="93" t="s">
        <v>232</v>
      </c>
      <c r="M867" s="97">
        <v>1889</v>
      </c>
      <c r="N867" s="64" t="s">
        <v>385</v>
      </c>
      <c r="O867" s="202">
        <v>3</v>
      </c>
      <c r="P867" s="196">
        <v>0</v>
      </c>
      <c r="Q867" s="202">
        <v>4</v>
      </c>
      <c r="R867" s="19">
        <v>6</v>
      </c>
      <c r="S867" s="19">
        <v>320</v>
      </c>
      <c r="T867" s="19">
        <v>276</v>
      </c>
      <c r="U867" s="93">
        <v>272</v>
      </c>
      <c r="V867" s="98">
        <v>0</v>
      </c>
      <c r="W867" s="205" t="s">
        <v>233</v>
      </c>
      <c r="X867" s="205" t="s">
        <v>233</v>
      </c>
      <c r="Y867" s="206" t="s">
        <v>233</v>
      </c>
      <c r="Z867" s="205" t="s">
        <v>233</v>
      </c>
      <c r="AA867" s="205" t="s">
        <v>233</v>
      </c>
      <c r="AB867" s="205" t="s">
        <v>233</v>
      </c>
      <c r="AC867" s="206" t="s">
        <v>240</v>
      </c>
      <c r="AD867" s="205" t="s">
        <v>233</v>
      </c>
      <c r="AE867" s="206" t="s">
        <v>240</v>
      </c>
      <c r="AF867" s="212">
        <v>0</v>
      </c>
      <c r="AG867" s="93">
        <v>1</v>
      </c>
      <c r="AH867" s="93">
        <v>0</v>
      </c>
      <c r="AI867" s="93">
        <v>0</v>
      </c>
      <c r="AJ867" s="93">
        <v>0</v>
      </c>
      <c r="AK867" s="93">
        <v>0</v>
      </c>
    </row>
    <row r="868" spans="1:37" s="100" customFormat="1" outlineLevel="1">
      <c r="A868" s="63">
        <v>861</v>
      </c>
      <c r="B868" s="93" t="s">
        <v>379</v>
      </c>
      <c r="C868" s="93" t="s">
        <v>380</v>
      </c>
      <c r="D868" s="94" t="s">
        <v>440</v>
      </c>
      <c r="E868" s="102" t="s">
        <v>469</v>
      </c>
      <c r="F868" s="99" t="s">
        <v>191</v>
      </c>
      <c r="G868" s="93"/>
      <c r="H868" s="102" t="s">
        <v>470</v>
      </c>
      <c r="I868" s="93" t="s">
        <v>383</v>
      </c>
      <c r="J868" s="93"/>
      <c r="K868" s="96" t="s">
        <v>384</v>
      </c>
      <c r="L868" s="93" t="s">
        <v>232</v>
      </c>
      <c r="M868" s="97">
        <v>1868</v>
      </c>
      <c r="N868" s="64" t="s">
        <v>385</v>
      </c>
      <c r="O868" s="202">
        <v>3</v>
      </c>
      <c r="P868" s="196">
        <v>0</v>
      </c>
      <c r="Q868" s="202">
        <v>1</v>
      </c>
      <c r="R868" s="19">
        <v>15</v>
      </c>
      <c r="S868" s="19">
        <v>1194</v>
      </c>
      <c r="T868" s="19">
        <v>963</v>
      </c>
      <c r="U868" s="93">
        <v>962</v>
      </c>
      <c r="V868" s="98">
        <v>54</v>
      </c>
      <c r="W868" s="205" t="s">
        <v>233</v>
      </c>
      <c r="X868" s="205" t="s">
        <v>233</v>
      </c>
      <c r="Y868" s="206" t="s">
        <v>233</v>
      </c>
      <c r="Z868" s="205" t="s">
        <v>233</v>
      </c>
      <c r="AA868" s="205" t="s">
        <v>233</v>
      </c>
      <c r="AB868" s="205" t="s">
        <v>233</v>
      </c>
      <c r="AC868" s="206" t="s">
        <v>240</v>
      </c>
      <c r="AD868" s="205" t="s">
        <v>233</v>
      </c>
      <c r="AE868" s="206" t="s">
        <v>240</v>
      </c>
      <c r="AF868" s="212">
        <v>0</v>
      </c>
      <c r="AG868" s="93">
        <v>0</v>
      </c>
      <c r="AH868" s="93">
        <v>0</v>
      </c>
      <c r="AI868" s="93">
        <v>1</v>
      </c>
      <c r="AJ868" s="93">
        <v>1</v>
      </c>
      <c r="AK868" s="93">
        <v>0</v>
      </c>
    </row>
    <row r="869" spans="1:37" s="100" customFormat="1" outlineLevel="1">
      <c r="A869" s="63">
        <v>862</v>
      </c>
      <c r="B869" s="93" t="s">
        <v>379</v>
      </c>
      <c r="C869" s="93" t="s">
        <v>380</v>
      </c>
      <c r="D869" s="94" t="s">
        <v>440</v>
      </c>
      <c r="E869" s="102" t="s">
        <v>471</v>
      </c>
      <c r="F869" s="99" t="s">
        <v>191</v>
      </c>
      <c r="G869" s="93"/>
      <c r="H869" s="102" t="s">
        <v>472</v>
      </c>
      <c r="I869" s="93" t="s">
        <v>383</v>
      </c>
      <c r="J869" s="93"/>
      <c r="K869" s="96" t="s">
        <v>384</v>
      </c>
      <c r="L869" s="93" t="s">
        <v>232</v>
      </c>
      <c r="M869" s="97">
        <v>1850</v>
      </c>
      <c r="N869" s="64" t="s">
        <v>385</v>
      </c>
      <c r="O869" s="202">
        <v>5</v>
      </c>
      <c r="P869" s="196">
        <v>0</v>
      </c>
      <c r="Q869" s="202">
        <v>3</v>
      </c>
      <c r="R869" s="19">
        <v>19</v>
      </c>
      <c r="S869" s="19">
        <v>2303</v>
      </c>
      <c r="T869" s="19">
        <v>2055</v>
      </c>
      <c r="U869" s="93">
        <v>1692</v>
      </c>
      <c r="V869" s="98">
        <v>376</v>
      </c>
      <c r="W869" s="205" t="s">
        <v>233</v>
      </c>
      <c r="X869" s="205" t="s">
        <v>233</v>
      </c>
      <c r="Y869" s="206" t="s">
        <v>233</v>
      </c>
      <c r="Z869" s="205" t="s">
        <v>233</v>
      </c>
      <c r="AA869" s="205" t="s">
        <v>233</v>
      </c>
      <c r="AB869" s="205" t="s">
        <v>233</v>
      </c>
      <c r="AC869" s="206" t="s">
        <v>240</v>
      </c>
      <c r="AD869" s="205" t="s">
        <v>233</v>
      </c>
      <c r="AE869" s="206" t="s">
        <v>240</v>
      </c>
      <c r="AF869" s="212">
        <v>0</v>
      </c>
      <c r="AG869" s="93">
        <v>1</v>
      </c>
      <c r="AH869" s="93">
        <v>1</v>
      </c>
      <c r="AI869" s="93">
        <v>0</v>
      </c>
      <c r="AJ869" s="93">
        <v>0</v>
      </c>
      <c r="AK869" s="93">
        <v>0</v>
      </c>
    </row>
    <row r="870" spans="1:37" s="100" customFormat="1" outlineLevel="1">
      <c r="A870" s="63">
        <v>863</v>
      </c>
      <c r="B870" s="93" t="s">
        <v>379</v>
      </c>
      <c r="C870" s="93" t="s">
        <v>380</v>
      </c>
      <c r="D870" s="94" t="s">
        <v>440</v>
      </c>
      <c r="E870" s="96">
        <v>28</v>
      </c>
      <c r="F870" s="99" t="s">
        <v>191</v>
      </c>
      <c r="G870" s="93"/>
      <c r="H870" s="102" t="s">
        <v>473</v>
      </c>
      <c r="I870" s="93" t="s">
        <v>383</v>
      </c>
      <c r="J870" s="93"/>
      <c r="K870" s="96" t="s">
        <v>384</v>
      </c>
      <c r="L870" s="93" t="s">
        <v>232</v>
      </c>
      <c r="M870" s="97">
        <v>1876</v>
      </c>
      <c r="N870" s="64" t="s">
        <v>385</v>
      </c>
      <c r="O870" s="202">
        <v>3.4</v>
      </c>
      <c r="P870" s="196">
        <v>0</v>
      </c>
      <c r="Q870" s="202">
        <v>5</v>
      </c>
      <c r="R870" s="19">
        <v>27</v>
      </c>
      <c r="S870" s="19">
        <v>2019</v>
      </c>
      <c r="T870" s="19">
        <v>1719</v>
      </c>
      <c r="U870" s="93">
        <v>1727</v>
      </c>
      <c r="V870" s="98">
        <v>37</v>
      </c>
      <c r="W870" s="205" t="s">
        <v>233</v>
      </c>
      <c r="X870" s="205" t="s">
        <v>233</v>
      </c>
      <c r="Y870" s="206" t="s">
        <v>233</v>
      </c>
      <c r="Z870" s="205" t="s">
        <v>233</v>
      </c>
      <c r="AA870" s="205" t="s">
        <v>233</v>
      </c>
      <c r="AB870" s="205" t="s">
        <v>233</v>
      </c>
      <c r="AC870" s="206" t="s">
        <v>240</v>
      </c>
      <c r="AD870" s="205" t="s">
        <v>233</v>
      </c>
      <c r="AE870" s="206" t="s">
        <v>240</v>
      </c>
      <c r="AF870" s="212">
        <v>0</v>
      </c>
      <c r="AG870" s="93">
        <v>1</v>
      </c>
      <c r="AH870" s="93">
        <v>1</v>
      </c>
      <c r="AI870" s="93">
        <v>0</v>
      </c>
      <c r="AJ870" s="93">
        <v>0</v>
      </c>
      <c r="AK870" s="93">
        <v>0</v>
      </c>
    </row>
    <row r="871" spans="1:37" s="100" customFormat="1" outlineLevel="1">
      <c r="A871" s="63">
        <v>864</v>
      </c>
      <c r="B871" s="93" t="s">
        <v>379</v>
      </c>
      <c r="C871" s="93" t="s">
        <v>380</v>
      </c>
      <c r="D871" s="94" t="s">
        <v>440</v>
      </c>
      <c r="E871" s="96">
        <v>28</v>
      </c>
      <c r="F871" s="99" t="s">
        <v>231</v>
      </c>
      <c r="G871" s="93"/>
      <c r="H871" s="102" t="s">
        <v>474</v>
      </c>
      <c r="I871" s="93" t="s">
        <v>383</v>
      </c>
      <c r="J871" s="93"/>
      <c r="K871" s="96" t="s">
        <v>384</v>
      </c>
      <c r="L871" s="93" t="s">
        <v>232</v>
      </c>
      <c r="M871" s="97">
        <v>1874</v>
      </c>
      <c r="N871" s="64" t="s">
        <v>385</v>
      </c>
      <c r="O871" s="202">
        <v>3</v>
      </c>
      <c r="P871" s="196">
        <v>0</v>
      </c>
      <c r="Q871" s="202">
        <v>1</v>
      </c>
      <c r="R871" s="19">
        <v>4</v>
      </c>
      <c r="S871" s="19">
        <v>499</v>
      </c>
      <c r="T871" s="19">
        <v>430</v>
      </c>
      <c r="U871" s="93">
        <v>381</v>
      </c>
      <c r="V871" s="98">
        <v>60</v>
      </c>
      <c r="W871" s="205" t="s">
        <v>233</v>
      </c>
      <c r="X871" s="205" t="s">
        <v>233</v>
      </c>
      <c r="Y871" s="206" t="s">
        <v>233</v>
      </c>
      <c r="Z871" s="205" t="s">
        <v>233</v>
      </c>
      <c r="AA871" s="205" t="s">
        <v>233</v>
      </c>
      <c r="AB871" s="205" t="s">
        <v>233</v>
      </c>
      <c r="AC871" s="206" t="s">
        <v>240</v>
      </c>
      <c r="AD871" s="205" t="s">
        <v>233</v>
      </c>
      <c r="AE871" s="206" t="s">
        <v>240</v>
      </c>
      <c r="AF871" s="212">
        <v>0</v>
      </c>
      <c r="AG871" s="93">
        <v>1</v>
      </c>
      <c r="AH871" s="93">
        <v>0</v>
      </c>
      <c r="AI871" s="93">
        <v>0</v>
      </c>
      <c r="AJ871" s="93">
        <v>0</v>
      </c>
      <c r="AK871" s="93">
        <v>0</v>
      </c>
    </row>
    <row r="872" spans="1:37" s="100" customFormat="1" outlineLevel="1">
      <c r="A872" s="63">
        <v>865</v>
      </c>
      <c r="B872" s="93" t="s">
        <v>379</v>
      </c>
      <c r="C872" s="93" t="s">
        <v>380</v>
      </c>
      <c r="D872" s="94" t="s">
        <v>440</v>
      </c>
      <c r="E872" s="102" t="s">
        <v>475</v>
      </c>
      <c r="F872" s="99" t="s">
        <v>191</v>
      </c>
      <c r="G872" s="93"/>
      <c r="H872" s="102" t="s">
        <v>476</v>
      </c>
      <c r="I872" s="93" t="s">
        <v>383</v>
      </c>
      <c r="J872" s="93"/>
      <c r="K872" s="96" t="s">
        <v>384</v>
      </c>
      <c r="L872" s="93" t="s">
        <v>232</v>
      </c>
      <c r="M872" s="97">
        <v>1866</v>
      </c>
      <c r="N872" s="64" t="s">
        <v>385</v>
      </c>
      <c r="O872" s="202">
        <v>5</v>
      </c>
      <c r="P872" s="196">
        <v>0</v>
      </c>
      <c r="Q872" s="202">
        <v>2</v>
      </c>
      <c r="R872" s="19">
        <v>20</v>
      </c>
      <c r="S872" s="19">
        <v>1605</v>
      </c>
      <c r="T872" s="19">
        <v>1412</v>
      </c>
      <c r="U872" s="93">
        <v>1137</v>
      </c>
      <c r="V872" s="98">
        <v>331</v>
      </c>
      <c r="W872" s="205" t="s">
        <v>233</v>
      </c>
      <c r="X872" s="205" t="s">
        <v>233</v>
      </c>
      <c r="Y872" s="206" t="s">
        <v>233</v>
      </c>
      <c r="Z872" s="205" t="s">
        <v>233</v>
      </c>
      <c r="AA872" s="205" t="s">
        <v>233</v>
      </c>
      <c r="AB872" s="205" t="s">
        <v>233</v>
      </c>
      <c r="AC872" s="206" t="s">
        <v>240</v>
      </c>
      <c r="AD872" s="205" t="s">
        <v>233</v>
      </c>
      <c r="AE872" s="206" t="s">
        <v>240</v>
      </c>
      <c r="AF872" s="212">
        <v>0</v>
      </c>
      <c r="AG872" s="93">
        <v>1</v>
      </c>
      <c r="AH872" s="93">
        <v>1</v>
      </c>
      <c r="AI872" s="93">
        <v>0</v>
      </c>
      <c r="AJ872" s="93">
        <v>0</v>
      </c>
      <c r="AK872" s="93">
        <v>0</v>
      </c>
    </row>
    <row r="873" spans="1:37" s="100" customFormat="1" outlineLevel="1">
      <c r="A873" s="63">
        <v>866</v>
      </c>
      <c r="B873" s="93" t="s">
        <v>379</v>
      </c>
      <c r="C873" s="93" t="s">
        <v>380</v>
      </c>
      <c r="D873" s="94" t="s">
        <v>440</v>
      </c>
      <c r="E873" s="93">
        <v>31</v>
      </c>
      <c r="F873" s="99" t="s">
        <v>191</v>
      </c>
      <c r="G873" s="93"/>
      <c r="H873" s="102" t="s">
        <v>477</v>
      </c>
      <c r="I873" s="93" t="s">
        <v>383</v>
      </c>
      <c r="J873" s="93"/>
      <c r="K873" s="96" t="s">
        <v>384</v>
      </c>
      <c r="L873" s="93" t="s">
        <v>232</v>
      </c>
      <c r="M873" s="97">
        <v>1884</v>
      </c>
      <c r="N873" s="64" t="s">
        <v>385</v>
      </c>
      <c r="O873" s="202">
        <v>4.5</v>
      </c>
      <c r="P873" s="196">
        <v>0</v>
      </c>
      <c r="Q873" s="202">
        <v>3</v>
      </c>
      <c r="R873" s="19">
        <v>18</v>
      </c>
      <c r="S873" s="19">
        <v>2696</v>
      </c>
      <c r="T873" s="19">
        <v>2103</v>
      </c>
      <c r="U873" s="93">
        <v>1896</v>
      </c>
      <c r="V873" s="98">
        <v>470</v>
      </c>
      <c r="W873" s="205" t="s">
        <v>233</v>
      </c>
      <c r="X873" s="205" t="s">
        <v>233</v>
      </c>
      <c r="Y873" s="206" t="s">
        <v>233</v>
      </c>
      <c r="Z873" s="205" t="s">
        <v>233</v>
      </c>
      <c r="AA873" s="205" t="s">
        <v>233</v>
      </c>
      <c r="AB873" s="205" t="s">
        <v>233</v>
      </c>
      <c r="AC873" s="206" t="s">
        <v>240</v>
      </c>
      <c r="AD873" s="205" t="s">
        <v>233</v>
      </c>
      <c r="AE873" s="206" t="s">
        <v>240</v>
      </c>
      <c r="AF873" s="212">
        <v>1</v>
      </c>
      <c r="AG873" s="93">
        <v>1</v>
      </c>
      <c r="AH873" s="93">
        <v>1</v>
      </c>
      <c r="AI873" s="93">
        <v>0</v>
      </c>
      <c r="AJ873" s="93">
        <v>0</v>
      </c>
      <c r="AK873" s="93">
        <v>0</v>
      </c>
    </row>
    <row r="874" spans="1:37" s="100" customFormat="1" outlineLevel="1">
      <c r="A874" s="63">
        <v>867</v>
      </c>
      <c r="B874" s="93" t="s">
        <v>379</v>
      </c>
      <c r="C874" s="93" t="s">
        <v>380</v>
      </c>
      <c r="D874" s="94" t="s">
        <v>440</v>
      </c>
      <c r="E874" s="93">
        <v>31</v>
      </c>
      <c r="F874" s="99" t="s">
        <v>231</v>
      </c>
      <c r="G874" s="93"/>
      <c r="H874" s="102" t="s">
        <v>478</v>
      </c>
      <c r="I874" s="93" t="s">
        <v>383</v>
      </c>
      <c r="J874" s="93"/>
      <c r="K874" s="96" t="s">
        <v>384</v>
      </c>
      <c r="L874" s="93" t="s">
        <v>232</v>
      </c>
      <c r="M874" s="97">
        <v>1881</v>
      </c>
      <c r="N874" s="64" t="s">
        <v>385</v>
      </c>
      <c r="O874" s="202">
        <v>4</v>
      </c>
      <c r="P874" s="196">
        <v>0</v>
      </c>
      <c r="Q874" s="202">
        <v>1</v>
      </c>
      <c r="R874" s="19">
        <v>3</v>
      </c>
      <c r="S874" s="19">
        <v>181</v>
      </c>
      <c r="T874" s="19">
        <v>134</v>
      </c>
      <c r="U874" s="93">
        <v>105</v>
      </c>
      <c r="V874" s="98">
        <v>34</v>
      </c>
      <c r="W874" s="205" t="s">
        <v>233</v>
      </c>
      <c r="X874" s="205" t="s">
        <v>233</v>
      </c>
      <c r="Y874" s="206" t="s">
        <v>233</v>
      </c>
      <c r="Z874" s="205" t="s">
        <v>233</v>
      </c>
      <c r="AA874" s="205" t="s">
        <v>233</v>
      </c>
      <c r="AB874" s="205" t="s">
        <v>233</v>
      </c>
      <c r="AC874" s="206" t="s">
        <v>240</v>
      </c>
      <c r="AD874" s="205" t="s">
        <v>233</v>
      </c>
      <c r="AE874" s="206" t="s">
        <v>240</v>
      </c>
      <c r="AF874" s="212">
        <v>0</v>
      </c>
      <c r="AG874" s="93">
        <v>1</v>
      </c>
      <c r="AH874" s="93">
        <v>0</v>
      </c>
      <c r="AI874" s="93">
        <v>0</v>
      </c>
      <c r="AJ874" s="93">
        <v>0</v>
      </c>
      <c r="AK874" s="93">
        <v>0</v>
      </c>
    </row>
    <row r="875" spans="1:37" s="100" customFormat="1" outlineLevel="1">
      <c r="A875" s="63">
        <v>868</v>
      </c>
      <c r="B875" s="93" t="s">
        <v>379</v>
      </c>
      <c r="C875" s="93" t="s">
        <v>380</v>
      </c>
      <c r="D875" s="94" t="s">
        <v>440</v>
      </c>
      <c r="E875" s="102" t="s">
        <v>479</v>
      </c>
      <c r="F875" s="99" t="s">
        <v>191</v>
      </c>
      <c r="G875" s="93"/>
      <c r="H875" s="102" t="s">
        <v>480</v>
      </c>
      <c r="I875" s="93" t="s">
        <v>383</v>
      </c>
      <c r="J875" s="93"/>
      <c r="K875" s="96" t="s">
        <v>384</v>
      </c>
      <c r="L875" s="93" t="s">
        <v>232</v>
      </c>
      <c r="M875" s="97">
        <v>1904</v>
      </c>
      <c r="N875" s="64" t="s">
        <v>385</v>
      </c>
      <c r="O875" s="202">
        <v>5</v>
      </c>
      <c r="P875" s="196">
        <v>0</v>
      </c>
      <c r="Q875" s="202">
        <v>3</v>
      </c>
      <c r="R875" s="19">
        <v>14</v>
      </c>
      <c r="S875" s="19">
        <v>2258</v>
      </c>
      <c r="T875" s="19">
        <v>1900</v>
      </c>
      <c r="U875" s="93">
        <v>1569</v>
      </c>
      <c r="V875" s="98">
        <v>413</v>
      </c>
      <c r="W875" s="205" t="s">
        <v>233</v>
      </c>
      <c r="X875" s="205" t="s">
        <v>233</v>
      </c>
      <c r="Y875" s="206" t="s">
        <v>233</v>
      </c>
      <c r="Z875" s="205" t="s">
        <v>233</v>
      </c>
      <c r="AA875" s="205" t="s">
        <v>233</v>
      </c>
      <c r="AB875" s="205" t="s">
        <v>233</v>
      </c>
      <c r="AC875" s="206" t="s">
        <v>240</v>
      </c>
      <c r="AD875" s="205" t="s">
        <v>233</v>
      </c>
      <c r="AE875" s="206" t="s">
        <v>240</v>
      </c>
      <c r="AF875" s="212">
        <v>0</v>
      </c>
      <c r="AG875" s="93">
        <v>1</v>
      </c>
      <c r="AH875" s="93">
        <v>1</v>
      </c>
      <c r="AI875" s="93">
        <v>1</v>
      </c>
      <c r="AJ875" s="93">
        <v>1</v>
      </c>
      <c r="AK875" s="93">
        <v>0</v>
      </c>
    </row>
    <row r="876" spans="1:37" s="100" customFormat="1" outlineLevel="1">
      <c r="A876" s="63">
        <v>869</v>
      </c>
      <c r="B876" s="93" t="s">
        <v>379</v>
      </c>
      <c r="C876" s="93" t="s">
        <v>380</v>
      </c>
      <c r="D876" s="94" t="s">
        <v>440</v>
      </c>
      <c r="E876" s="102" t="s">
        <v>481</v>
      </c>
      <c r="F876" s="99" t="s">
        <v>191</v>
      </c>
      <c r="G876" s="93"/>
      <c r="H876" s="102" t="s">
        <v>482</v>
      </c>
      <c r="I876" s="93" t="s">
        <v>383</v>
      </c>
      <c r="J876" s="93"/>
      <c r="K876" s="96" t="s">
        <v>384</v>
      </c>
      <c r="L876" s="93" t="s">
        <v>232</v>
      </c>
      <c r="M876" s="97">
        <v>1881</v>
      </c>
      <c r="N876" s="64" t="s">
        <v>385</v>
      </c>
      <c r="O876" s="202">
        <v>4</v>
      </c>
      <c r="P876" s="196">
        <v>0</v>
      </c>
      <c r="Q876" s="202">
        <v>3</v>
      </c>
      <c r="R876" s="19">
        <v>26</v>
      </c>
      <c r="S876" s="19">
        <v>2957</v>
      </c>
      <c r="T876" s="19">
        <v>2280</v>
      </c>
      <c r="U876" s="93">
        <v>1917</v>
      </c>
      <c r="V876" s="98">
        <v>795</v>
      </c>
      <c r="W876" s="205" t="s">
        <v>233</v>
      </c>
      <c r="X876" s="205" t="s">
        <v>233</v>
      </c>
      <c r="Y876" s="206" t="s">
        <v>233</v>
      </c>
      <c r="Z876" s="205" t="s">
        <v>233</v>
      </c>
      <c r="AA876" s="205" t="s">
        <v>233</v>
      </c>
      <c r="AB876" s="205" t="s">
        <v>233</v>
      </c>
      <c r="AC876" s="206" t="s">
        <v>240</v>
      </c>
      <c r="AD876" s="205" t="s">
        <v>233</v>
      </c>
      <c r="AE876" s="206" t="s">
        <v>240</v>
      </c>
      <c r="AF876" s="212">
        <v>0</v>
      </c>
      <c r="AG876" s="93">
        <v>1</v>
      </c>
      <c r="AH876" s="93">
        <v>1</v>
      </c>
      <c r="AI876" s="93">
        <v>0</v>
      </c>
      <c r="AJ876" s="93">
        <v>0</v>
      </c>
      <c r="AK876" s="93">
        <v>0</v>
      </c>
    </row>
    <row r="877" spans="1:37" s="100" customFormat="1" outlineLevel="1">
      <c r="A877" s="63">
        <v>870</v>
      </c>
      <c r="B877" s="93" t="s">
        <v>379</v>
      </c>
      <c r="C877" s="93" t="s">
        <v>380</v>
      </c>
      <c r="D877" s="94" t="s">
        <v>440</v>
      </c>
      <c r="E877" s="102" t="s">
        <v>483</v>
      </c>
      <c r="F877" s="99" t="s">
        <v>191</v>
      </c>
      <c r="G877" s="93"/>
      <c r="H877" s="102" t="s">
        <v>484</v>
      </c>
      <c r="I877" s="93" t="s">
        <v>383</v>
      </c>
      <c r="J877" s="93"/>
      <c r="K877" s="96" t="s">
        <v>384</v>
      </c>
      <c r="L877" s="93" t="s">
        <v>232</v>
      </c>
      <c r="M877" s="97">
        <v>1909</v>
      </c>
      <c r="N877" s="64" t="s">
        <v>385</v>
      </c>
      <c r="O877" s="202">
        <v>3.5</v>
      </c>
      <c r="P877" s="196">
        <v>0</v>
      </c>
      <c r="Q877" s="202">
        <v>2</v>
      </c>
      <c r="R877" s="19">
        <v>13</v>
      </c>
      <c r="S877" s="19">
        <v>1460</v>
      </c>
      <c r="T877" s="19">
        <v>1258</v>
      </c>
      <c r="U877" s="93">
        <v>942</v>
      </c>
      <c r="V877" s="98">
        <v>344</v>
      </c>
      <c r="W877" s="205" t="s">
        <v>233</v>
      </c>
      <c r="X877" s="205" t="s">
        <v>233</v>
      </c>
      <c r="Y877" s="206" t="s">
        <v>233</v>
      </c>
      <c r="Z877" s="205" t="s">
        <v>233</v>
      </c>
      <c r="AA877" s="205" t="s">
        <v>233</v>
      </c>
      <c r="AB877" s="205" t="s">
        <v>233</v>
      </c>
      <c r="AC877" s="206" t="s">
        <v>240</v>
      </c>
      <c r="AD877" s="205" t="s">
        <v>233</v>
      </c>
      <c r="AE877" s="206" t="s">
        <v>240</v>
      </c>
      <c r="AF877" s="212">
        <v>0</v>
      </c>
      <c r="AG877" s="93">
        <v>1</v>
      </c>
      <c r="AH877" s="93">
        <v>1</v>
      </c>
      <c r="AI877" s="93">
        <v>1</v>
      </c>
      <c r="AJ877" s="93">
        <v>1</v>
      </c>
      <c r="AK877" s="93">
        <v>0</v>
      </c>
    </row>
    <row r="878" spans="1:37" s="100" customFormat="1" outlineLevel="1">
      <c r="A878" s="63">
        <v>871</v>
      </c>
      <c r="B878" s="93" t="s">
        <v>379</v>
      </c>
      <c r="C878" s="93" t="s">
        <v>380</v>
      </c>
      <c r="D878" s="94" t="s">
        <v>440</v>
      </c>
      <c r="E878" s="102" t="s">
        <v>485</v>
      </c>
      <c r="F878" s="99" t="s">
        <v>191</v>
      </c>
      <c r="G878" s="93"/>
      <c r="H878" s="102" t="s">
        <v>486</v>
      </c>
      <c r="I878" s="93" t="s">
        <v>383</v>
      </c>
      <c r="J878" s="93"/>
      <c r="K878" s="96" t="s">
        <v>384</v>
      </c>
      <c r="L878" s="93" t="s">
        <v>232</v>
      </c>
      <c r="M878" s="97">
        <v>1912</v>
      </c>
      <c r="N878" s="64" t="s">
        <v>385</v>
      </c>
      <c r="O878" s="202">
        <v>6</v>
      </c>
      <c r="P878" s="196">
        <v>0</v>
      </c>
      <c r="Q878" s="202">
        <v>5</v>
      </c>
      <c r="R878" s="19">
        <v>28</v>
      </c>
      <c r="S878" s="19">
        <v>4468</v>
      </c>
      <c r="T878" s="19">
        <v>3883</v>
      </c>
      <c r="U878" s="93">
        <v>3506</v>
      </c>
      <c r="V878" s="98">
        <v>431</v>
      </c>
      <c r="W878" s="205" t="s">
        <v>233</v>
      </c>
      <c r="X878" s="205" t="s">
        <v>233</v>
      </c>
      <c r="Y878" s="206" t="s">
        <v>233</v>
      </c>
      <c r="Z878" s="205" t="s">
        <v>233</v>
      </c>
      <c r="AA878" s="205" t="s">
        <v>233</v>
      </c>
      <c r="AB878" s="205" t="s">
        <v>233</v>
      </c>
      <c r="AC878" s="206" t="s">
        <v>240</v>
      </c>
      <c r="AD878" s="205" t="s">
        <v>233</v>
      </c>
      <c r="AE878" s="206" t="s">
        <v>240</v>
      </c>
      <c r="AF878" s="212">
        <v>2</v>
      </c>
      <c r="AG878" s="93">
        <v>1</v>
      </c>
      <c r="AH878" s="93">
        <v>1</v>
      </c>
      <c r="AI878" s="93">
        <v>1</v>
      </c>
      <c r="AJ878" s="93">
        <v>1</v>
      </c>
      <c r="AK878" s="93">
        <v>0</v>
      </c>
    </row>
    <row r="879" spans="1:37" s="100" customFormat="1" outlineLevel="1">
      <c r="A879" s="63">
        <v>872</v>
      </c>
      <c r="B879" s="93" t="s">
        <v>379</v>
      </c>
      <c r="C879" s="93" t="s">
        <v>380</v>
      </c>
      <c r="D879" s="94" t="s">
        <v>440</v>
      </c>
      <c r="E879" s="102" t="s">
        <v>487</v>
      </c>
      <c r="F879" s="99" t="s">
        <v>191</v>
      </c>
      <c r="G879" s="93"/>
      <c r="H879" s="102" t="s">
        <v>488</v>
      </c>
      <c r="I879" s="93" t="s">
        <v>383</v>
      </c>
      <c r="J879" s="93"/>
      <c r="K879" s="96" t="s">
        <v>384</v>
      </c>
      <c r="L879" s="93" t="s">
        <v>232</v>
      </c>
      <c r="M879" s="97">
        <v>1884</v>
      </c>
      <c r="N879" s="64" t="s">
        <v>385</v>
      </c>
      <c r="O879" s="202">
        <v>3</v>
      </c>
      <c r="P879" s="196">
        <v>0</v>
      </c>
      <c r="Q879" s="202">
        <v>2</v>
      </c>
      <c r="R879" s="19">
        <v>15</v>
      </c>
      <c r="S879" s="19">
        <v>1563</v>
      </c>
      <c r="T879" s="19">
        <v>1419</v>
      </c>
      <c r="U879" s="93">
        <v>1101</v>
      </c>
      <c r="V879" s="98">
        <v>319</v>
      </c>
      <c r="W879" s="205" t="s">
        <v>233</v>
      </c>
      <c r="X879" s="205" t="s">
        <v>233</v>
      </c>
      <c r="Y879" s="206" t="s">
        <v>233</v>
      </c>
      <c r="Z879" s="205" t="s">
        <v>233</v>
      </c>
      <c r="AA879" s="205" t="s">
        <v>233</v>
      </c>
      <c r="AB879" s="205" t="s">
        <v>233</v>
      </c>
      <c r="AC879" s="206" t="s">
        <v>240</v>
      </c>
      <c r="AD879" s="205" t="s">
        <v>233</v>
      </c>
      <c r="AE879" s="206" t="s">
        <v>240</v>
      </c>
      <c r="AF879" s="212">
        <v>0</v>
      </c>
      <c r="AG879" s="93">
        <v>1</v>
      </c>
      <c r="AH879" s="93">
        <v>1</v>
      </c>
      <c r="AI879" s="93">
        <v>0</v>
      </c>
      <c r="AJ879" s="93">
        <v>0</v>
      </c>
      <c r="AK879" s="93">
        <v>0</v>
      </c>
    </row>
    <row r="880" spans="1:37" s="100" customFormat="1" outlineLevel="1">
      <c r="A880" s="63">
        <v>873</v>
      </c>
      <c r="B880" s="93" t="s">
        <v>379</v>
      </c>
      <c r="C880" s="93" t="s">
        <v>380</v>
      </c>
      <c r="D880" s="94" t="s">
        <v>440</v>
      </c>
      <c r="E880" s="102" t="s">
        <v>489</v>
      </c>
      <c r="F880" s="99" t="s">
        <v>191</v>
      </c>
      <c r="G880" s="93"/>
      <c r="H880" s="102" t="s">
        <v>490</v>
      </c>
      <c r="I880" s="93" t="s">
        <v>383</v>
      </c>
      <c r="J880" s="93"/>
      <c r="K880" s="96" t="s">
        <v>384</v>
      </c>
      <c r="L880" s="93" t="s">
        <v>232</v>
      </c>
      <c r="M880" s="97">
        <v>1884</v>
      </c>
      <c r="N880" s="64" t="s">
        <v>385</v>
      </c>
      <c r="O880" s="202">
        <v>4</v>
      </c>
      <c r="P880" s="196">
        <v>0</v>
      </c>
      <c r="Q880" s="202">
        <v>1</v>
      </c>
      <c r="R880" s="19">
        <v>7</v>
      </c>
      <c r="S880" s="19">
        <v>640</v>
      </c>
      <c r="T880" s="19">
        <v>439</v>
      </c>
      <c r="U880" s="93">
        <v>441</v>
      </c>
      <c r="V880" s="98">
        <v>120</v>
      </c>
      <c r="W880" s="205" t="s">
        <v>233</v>
      </c>
      <c r="X880" s="205" t="s">
        <v>233</v>
      </c>
      <c r="Y880" s="206" t="s">
        <v>233</v>
      </c>
      <c r="Z880" s="205" t="s">
        <v>233</v>
      </c>
      <c r="AA880" s="205" t="s">
        <v>233</v>
      </c>
      <c r="AB880" s="205" t="s">
        <v>233</v>
      </c>
      <c r="AC880" s="206" t="s">
        <v>240</v>
      </c>
      <c r="AD880" s="205" t="s">
        <v>233</v>
      </c>
      <c r="AE880" s="206" t="s">
        <v>240</v>
      </c>
      <c r="AF880" s="212">
        <v>0</v>
      </c>
      <c r="AG880" s="93">
        <v>1</v>
      </c>
      <c r="AH880" s="93">
        <v>1</v>
      </c>
      <c r="AI880" s="93">
        <v>1</v>
      </c>
      <c r="AJ880" s="93">
        <v>1</v>
      </c>
      <c r="AK880" s="93">
        <v>0</v>
      </c>
    </row>
    <row r="881" spans="1:37" s="100" customFormat="1" outlineLevel="1">
      <c r="A881" s="63">
        <v>874</v>
      </c>
      <c r="B881" s="93" t="s">
        <v>379</v>
      </c>
      <c r="C881" s="93" t="s">
        <v>380</v>
      </c>
      <c r="D881" s="94" t="s">
        <v>440</v>
      </c>
      <c r="E881" s="102" t="s">
        <v>491</v>
      </c>
      <c r="F881" s="99" t="s">
        <v>191</v>
      </c>
      <c r="G881" s="93"/>
      <c r="H881" s="102" t="s">
        <v>492</v>
      </c>
      <c r="I881" s="93" t="s">
        <v>383</v>
      </c>
      <c r="J881" s="93"/>
      <c r="K881" s="96" t="s">
        <v>384</v>
      </c>
      <c r="L881" s="93" t="s">
        <v>232</v>
      </c>
      <c r="M881" s="97">
        <v>1917</v>
      </c>
      <c r="N881" s="64" t="s">
        <v>385</v>
      </c>
      <c r="O881" s="202">
        <v>4</v>
      </c>
      <c r="P881" s="196">
        <v>0</v>
      </c>
      <c r="Q881" s="202">
        <v>1</v>
      </c>
      <c r="R881" s="19">
        <v>7</v>
      </c>
      <c r="S881" s="19">
        <v>567</v>
      </c>
      <c r="T881" s="19">
        <v>414</v>
      </c>
      <c r="U881" s="93">
        <v>414</v>
      </c>
      <c r="V881" s="98">
        <v>70</v>
      </c>
      <c r="W881" s="205" t="s">
        <v>233</v>
      </c>
      <c r="X881" s="205" t="s">
        <v>233</v>
      </c>
      <c r="Y881" s="206" t="s">
        <v>233</v>
      </c>
      <c r="Z881" s="205" t="s">
        <v>233</v>
      </c>
      <c r="AA881" s="205" t="s">
        <v>233</v>
      </c>
      <c r="AB881" s="205" t="s">
        <v>233</v>
      </c>
      <c r="AC881" s="206" t="s">
        <v>240</v>
      </c>
      <c r="AD881" s="205" t="s">
        <v>233</v>
      </c>
      <c r="AE881" s="206" t="s">
        <v>240</v>
      </c>
      <c r="AF881" s="212">
        <v>0</v>
      </c>
      <c r="AG881" s="93">
        <v>1</v>
      </c>
      <c r="AH881" s="93">
        <v>1</v>
      </c>
      <c r="AI881" s="93">
        <v>0</v>
      </c>
      <c r="AJ881" s="93">
        <v>0</v>
      </c>
      <c r="AK881" s="93">
        <v>0</v>
      </c>
    </row>
    <row r="882" spans="1:37" s="100" customFormat="1" outlineLevel="1">
      <c r="A882" s="63">
        <v>875</v>
      </c>
      <c r="B882" s="93" t="s">
        <v>379</v>
      </c>
      <c r="C882" s="93" t="s">
        <v>380</v>
      </c>
      <c r="D882" s="94" t="s">
        <v>440</v>
      </c>
      <c r="E882" s="102" t="s">
        <v>493</v>
      </c>
      <c r="F882" s="99" t="s">
        <v>191</v>
      </c>
      <c r="G882" s="93"/>
      <c r="H882" s="102" t="s">
        <v>494</v>
      </c>
      <c r="I882" s="93" t="s">
        <v>383</v>
      </c>
      <c r="J882" s="93"/>
      <c r="K882" s="96" t="s">
        <v>384</v>
      </c>
      <c r="L882" s="93" t="s">
        <v>232</v>
      </c>
      <c r="M882" s="97">
        <v>1917</v>
      </c>
      <c r="N882" s="64" t="s">
        <v>385</v>
      </c>
      <c r="O882" s="202">
        <v>6</v>
      </c>
      <c r="P882" s="196">
        <v>0</v>
      </c>
      <c r="Q882" s="202">
        <v>3</v>
      </c>
      <c r="R882" s="19">
        <v>21</v>
      </c>
      <c r="S882" s="19">
        <v>2349</v>
      </c>
      <c r="T882" s="19">
        <v>1887</v>
      </c>
      <c r="U882" s="93">
        <v>1730</v>
      </c>
      <c r="V882" s="98">
        <v>225</v>
      </c>
      <c r="W882" s="205" t="s">
        <v>233</v>
      </c>
      <c r="X882" s="205" t="s">
        <v>233</v>
      </c>
      <c r="Y882" s="206" t="s">
        <v>233</v>
      </c>
      <c r="Z882" s="205" t="s">
        <v>233</v>
      </c>
      <c r="AA882" s="205" t="s">
        <v>233</v>
      </c>
      <c r="AB882" s="205" t="s">
        <v>233</v>
      </c>
      <c r="AC882" s="206" t="s">
        <v>240</v>
      </c>
      <c r="AD882" s="205" t="s">
        <v>233</v>
      </c>
      <c r="AE882" s="206" t="s">
        <v>240</v>
      </c>
      <c r="AF882" s="212">
        <v>1</v>
      </c>
      <c r="AG882" s="93">
        <v>1</v>
      </c>
      <c r="AH882" s="93">
        <v>1</v>
      </c>
      <c r="AI882" s="93">
        <v>0</v>
      </c>
      <c r="AJ882" s="93">
        <v>0</v>
      </c>
      <c r="AK882" s="93">
        <v>0</v>
      </c>
    </row>
    <row r="883" spans="1:37" s="100" customFormat="1" outlineLevel="1">
      <c r="A883" s="63">
        <v>876</v>
      </c>
      <c r="B883" s="93" t="s">
        <v>379</v>
      </c>
      <c r="C883" s="93" t="s">
        <v>380</v>
      </c>
      <c r="D883" s="94" t="s">
        <v>440</v>
      </c>
      <c r="E883" s="102" t="s">
        <v>495</v>
      </c>
      <c r="F883" s="99" t="s">
        <v>191</v>
      </c>
      <c r="G883" s="93"/>
      <c r="H883" s="102" t="s">
        <v>496</v>
      </c>
      <c r="I883" s="93" t="s">
        <v>383</v>
      </c>
      <c r="J883" s="93"/>
      <c r="K883" s="96" t="s">
        <v>384</v>
      </c>
      <c r="L883" s="93" t="s">
        <v>232</v>
      </c>
      <c r="M883" s="97">
        <v>1886</v>
      </c>
      <c r="N883" s="64" t="s">
        <v>385</v>
      </c>
      <c r="O883" s="202">
        <v>6</v>
      </c>
      <c r="P883" s="196">
        <v>0</v>
      </c>
      <c r="Q883" s="202">
        <v>3</v>
      </c>
      <c r="R883" s="19">
        <v>82</v>
      </c>
      <c r="S883" s="19">
        <v>6252</v>
      </c>
      <c r="T883" s="19">
        <v>4707</v>
      </c>
      <c r="U883" s="93">
        <v>4716</v>
      </c>
      <c r="V883" s="98">
        <v>932</v>
      </c>
      <c r="W883" s="205" t="s">
        <v>233</v>
      </c>
      <c r="X883" s="205" t="s">
        <v>233</v>
      </c>
      <c r="Y883" s="206" t="s">
        <v>233</v>
      </c>
      <c r="Z883" s="205" t="s">
        <v>233</v>
      </c>
      <c r="AA883" s="205" t="s">
        <v>233</v>
      </c>
      <c r="AB883" s="205" t="s">
        <v>233</v>
      </c>
      <c r="AC883" s="206" t="s">
        <v>240</v>
      </c>
      <c r="AD883" s="205" t="s">
        <v>233</v>
      </c>
      <c r="AE883" s="206" t="s">
        <v>240</v>
      </c>
      <c r="AF883" s="212">
        <v>1</v>
      </c>
      <c r="AG883" s="93">
        <v>1</v>
      </c>
      <c r="AH883" s="93">
        <v>1</v>
      </c>
      <c r="AI883" s="93">
        <v>1</v>
      </c>
      <c r="AJ883" s="93">
        <v>1</v>
      </c>
      <c r="AK883" s="93">
        <v>0</v>
      </c>
    </row>
    <row r="884" spans="1:37" s="100" customFormat="1" outlineLevel="1">
      <c r="A884" s="63">
        <v>877</v>
      </c>
      <c r="B884" s="93" t="s">
        <v>379</v>
      </c>
      <c r="C884" s="93" t="s">
        <v>380</v>
      </c>
      <c r="D884" s="94" t="s">
        <v>440</v>
      </c>
      <c r="E884" s="102" t="s">
        <v>497</v>
      </c>
      <c r="F884" s="99" t="s">
        <v>191</v>
      </c>
      <c r="G884" s="93"/>
      <c r="H884" s="102" t="s">
        <v>498</v>
      </c>
      <c r="I884" s="93" t="s">
        <v>383</v>
      </c>
      <c r="J884" s="93"/>
      <c r="K884" s="96" t="s">
        <v>384</v>
      </c>
      <c r="L884" s="93" t="s">
        <v>232</v>
      </c>
      <c r="M884" s="97">
        <v>1894</v>
      </c>
      <c r="N884" s="64" t="s">
        <v>385</v>
      </c>
      <c r="O884" s="202">
        <v>4</v>
      </c>
      <c r="P884" s="196">
        <v>0</v>
      </c>
      <c r="Q884" s="202">
        <v>3</v>
      </c>
      <c r="R884" s="19">
        <v>26</v>
      </c>
      <c r="S884" s="15">
        <v>2062</v>
      </c>
      <c r="T884" s="15">
        <v>1711</v>
      </c>
      <c r="U884" s="104">
        <v>1665</v>
      </c>
      <c r="V884" s="15">
        <v>103</v>
      </c>
      <c r="W884" s="205" t="s">
        <v>233</v>
      </c>
      <c r="X884" s="205" t="s">
        <v>233</v>
      </c>
      <c r="Y884" s="206" t="s">
        <v>233</v>
      </c>
      <c r="Z884" s="205" t="s">
        <v>233</v>
      </c>
      <c r="AA884" s="205" t="s">
        <v>233</v>
      </c>
      <c r="AB884" s="205" t="s">
        <v>233</v>
      </c>
      <c r="AC884" s="206" t="s">
        <v>240</v>
      </c>
      <c r="AD884" s="205" t="s">
        <v>233</v>
      </c>
      <c r="AE884" s="206" t="s">
        <v>240</v>
      </c>
      <c r="AF884" s="212">
        <v>0</v>
      </c>
      <c r="AG884" s="93">
        <v>1</v>
      </c>
      <c r="AH884" s="93">
        <v>1</v>
      </c>
      <c r="AI884" s="93">
        <v>1</v>
      </c>
      <c r="AJ884" s="93">
        <v>1</v>
      </c>
      <c r="AK884" s="93">
        <v>0</v>
      </c>
    </row>
    <row r="885" spans="1:37" s="100" customFormat="1" outlineLevel="1">
      <c r="A885" s="63">
        <v>878</v>
      </c>
      <c r="B885" s="93" t="s">
        <v>379</v>
      </c>
      <c r="C885" s="93" t="s">
        <v>380</v>
      </c>
      <c r="D885" s="94" t="s">
        <v>499</v>
      </c>
      <c r="E885" s="93">
        <v>52</v>
      </c>
      <c r="F885" s="99" t="s">
        <v>191</v>
      </c>
      <c r="G885" s="93"/>
      <c r="H885" s="102" t="s">
        <v>500</v>
      </c>
      <c r="I885" s="93" t="s">
        <v>383</v>
      </c>
      <c r="J885" s="93"/>
      <c r="K885" s="96" t="s">
        <v>384</v>
      </c>
      <c r="L885" s="93" t="s">
        <v>232</v>
      </c>
      <c r="M885" s="97">
        <v>1798</v>
      </c>
      <c r="N885" s="64" t="s">
        <v>385</v>
      </c>
      <c r="O885" s="202">
        <v>4</v>
      </c>
      <c r="P885" s="196">
        <v>0</v>
      </c>
      <c r="Q885" s="202">
        <v>4</v>
      </c>
      <c r="R885" s="19">
        <v>24</v>
      </c>
      <c r="S885" s="19">
        <v>2519</v>
      </c>
      <c r="T885" s="19">
        <v>2299</v>
      </c>
      <c r="U885" s="93">
        <v>1829</v>
      </c>
      <c r="V885" s="98">
        <v>475</v>
      </c>
      <c r="W885" s="205" t="s">
        <v>233</v>
      </c>
      <c r="X885" s="205" t="s">
        <v>233</v>
      </c>
      <c r="Y885" s="206" t="s">
        <v>240</v>
      </c>
      <c r="Z885" s="205" t="s">
        <v>233</v>
      </c>
      <c r="AA885" s="205" t="s">
        <v>233</v>
      </c>
      <c r="AB885" s="205" t="s">
        <v>233</v>
      </c>
      <c r="AC885" s="206" t="s">
        <v>233</v>
      </c>
      <c r="AD885" s="205" t="s">
        <v>233</v>
      </c>
      <c r="AE885" s="206" t="s">
        <v>240</v>
      </c>
      <c r="AF885" s="212">
        <v>0</v>
      </c>
      <c r="AG885" s="93">
        <v>1</v>
      </c>
      <c r="AH885" s="93">
        <v>1</v>
      </c>
      <c r="AI885" s="93">
        <v>0</v>
      </c>
      <c r="AJ885" s="93">
        <v>1</v>
      </c>
      <c r="AK885" s="93">
        <v>0</v>
      </c>
    </row>
    <row r="886" spans="1:37" s="100" customFormat="1" outlineLevel="1">
      <c r="A886" s="63">
        <v>879</v>
      </c>
      <c r="B886" s="93" t="s">
        <v>379</v>
      </c>
      <c r="C886" s="93" t="s">
        <v>380</v>
      </c>
      <c r="D886" s="94" t="s">
        <v>499</v>
      </c>
      <c r="E886" s="93">
        <v>54</v>
      </c>
      <c r="F886" s="99" t="s">
        <v>191</v>
      </c>
      <c r="G886" s="93"/>
      <c r="H886" s="102" t="s">
        <v>501</v>
      </c>
      <c r="I886" s="93" t="s">
        <v>383</v>
      </c>
      <c r="J886" s="93"/>
      <c r="K886" s="96" t="s">
        <v>384</v>
      </c>
      <c r="L886" s="93" t="s">
        <v>232</v>
      </c>
      <c r="M886" s="97">
        <v>1917</v>
      </c>
      <c r="N886" s="64" t="s">
        <v>385</v>
      </c>
      <c r="O886" s="202">
        <v>2</v>
      </c>
      <c r="P886" s="196">
        <v>0</v>
      </c>
      <c r="Q886" s="202">
        <v>4</v>
      </c>
      <c r="R886" s="19">
        <v>17</v>
      </c>
      <c r="S886" s="19">
        <v>1366</v>
      </c>
      <c r="T886" s="19">
        <v>1194</v>
      </c>
      <c r="U886" s="93">
        <v>987</v>
      </c>
      <c r="V886" s="98">
        <v>265</v>
      </c>
      <c r="W886" s="205" t="s">
        <v>233</v>
      </c>
      <c r="X886" s="205" t="s">
        <v>233</v>
      </c>
      <c r="Y886" s="206" t="s">
        <v>240</v>
      </c>
      <c r="Z886" s="205" t="s">
        <v>233</v>
      </c>
      <c r="AA886" s="205" t="s">
        <v>233</v>
      </c>
      <c r="AB886" s="205" t="s">
        <v>233</v>
      </c>
      <c r="AC886" s="206" t="s">
        <v>233</v>
      </c>
      <c r="AD886" s="205" t="s">
        <v>233</v>
      </c>
      <c r="AE886" s="206" t="s">
        <v>240</v>
      </c>
      <c r="AF886" s="212">
        <v>0</v>
      </c>
      <c r="AG886" s="93">
        <v>1</v>
      </c>
      <c r="AH886" s="93">
        <v>1</v>
      </c>
      <c r="AI886" s="93">
        <v>0</v>
      </c>
      <c r="AJ886" s="93">
        <v>0</v>
      </c>
      <c r="AK886" s="93">
        <v>0</v>
      </c>
    </row>
    <row r="887" spans="1:37" s="100" customFormat="1" outlineLevel="1">
      <c r="A887" s="63">
        <v>880</v>
      </c>
      <c r="B887" s="93" t="s">
        <v>379</v>
      </c>
      <c r="C887" s="93" t="s">
        <v>380</v>
      </c>
      <c r="D887" s="94" t="s">
        <v>499</v>
      </c>
      <c r="E887" s="93">
        <v>54</v>
      </c>
      <c r="F887" s="99" t="s">
        <v>231</v>
      </c>
      <c r="G887" s="93"/>
      <c r="H887" s="102" t="s">
        <v>502</v>
      </c>
      <c r="I887" s="93" t="s">
        <v>383</v>
      </c>
      <c r="J887" s="93"/>
      <c r="K887" s="96" t="s">
        <v>384</v>
      </c>
      <c r="L887" s="93" t="s">
        <v>232</v>
      </c>
      <c r="M887" s="97">
        <v>1917</v>
      </c>
      <c r="N887" s="64" t="s">
        <v>385</v>
      </c>
      <c r="O887" s="202">
        <v>1</v>
      </c>
      <c r="P887" s="196">
        <v>0</v>
      </c>
      <c r="Q887" s="202">
        <v>3</v>
      </c>
      <c r="R887" s="19">
        <v>6</v>
      </c>
      <c r="S887" s="19">
        <v>293</v>
      </c>
      <c r="T887" s="19">
        <v>255</v>
      </c>
      <c r="U887" s="93">
        <v>244</v>
      </c>
      <c r="V887" s="98">
        <v>0</v>
      </c>
      <c r="W887" s="205" t="s">
        <v>233</v>
      </c>
      <c r="X887" s="205" t="s">
        <v>233</v>
      </c>
      <c r="Y887" s="206" t="s">
        <v>240</v>
      </c>
      <c r="Z887" s="205" t="s">
        <v>233</v>
      </c>
      <c r="AA887" s="205" t="s">
        <v>233</v>
      </c>
      <c r="AB887" s="205" t="s">
        <v>233</v>
      </c>
      <c r="AC887" s="206" t="s">
        <v>233</v>
      </c>
      <c r="AD887" s="205" t="s">
        <v>233</v>
      </c>
      <c r="AE887" s="206" t="s">
        <v>240</v>
      </c>
      <c r="AF887" s="212">
        <v>0</v>
      </c>
      <c r="AG887" s="93">
        <v>1</v>
      </c>
      <c r="AH887" s="93">
        <v>0</v>
      </c>
      <c r="AI887" s="93">
        <v>0</v>
      </c>
      <c r="AJ887" s="93">
        <v>0</v>
      </c>
      <c r="AK887" s="93">
        <v>0</v>
      </c>
    </row>
    <row r="888" spans="1:37" s="100" customFormat="1" outlineLevel="1">
      <c r="A888" s="63">
        <v>881</v>
      </c>
      <c r="B888" s="93" t="s">
        <v>379</v>
      </c>
      <c r="C888" s="93" t="s">
        <v>380</v>
      </c>
      <c r="D888" s="94" t="s">
        <v>499</v>
      </c>
      <c r="E888" s="93">
        <v>54</v>
      </c>
      <c r="F888" s="99" t="s">
        <v>260</v>
      </c>
      <c r="G888" s="93"/>
      <c r="H888" s="102" t="s">
        <v>503</v>
      </c>
      <c r="I888" s="93" t="s">
        <v>383</v>
      </c>
      <c r="J888" s="93"/>
      <c r="K888" s="96" t="s">
        <v>384</v>
      </c>
      <c r="L888" s="93" t="s">
        <v>232</v>
      </c>
      <c r="M888" s="97">
        <v>1917</v>
      </c>
      <c r="N888" s="64" t="s">
        <v>385</v>
      </c>
      <c r="O888" s="202">
        <v>4</v>
      </c>
      <c r="P888" s="196">
        <v>0</v>
      </c>
      <c r="Q888" s="202">
        <v>2</v>
      </c>
      <c r="R888" s="19">
        <v>15</v>
      </c>
      <c r="S888" s="19">
        <v>906</v>
      </c>
      <c r="T888" s="19">
        <v>791</v>
      </c>
      <c r="U888" s="93">
        <v>737</v>
      </c>
      <c r="V888" s="98">
        <v>32</v>
      </c>
      <c r="W888" s="205" t="s">
        <v>233</v>
      </c>
      <c r="X888" s="205" t="s">
        <v>233</v>
      </c>
      <c r="Y888" s="206" t="s">
        <v>240</v>
      </c>
      <c r="Z888" s="205" t="s">
        <v>233</v>
      </c>
      <c r="AA888" s="205" t="s">
        <v>233</v>
      </c>
      <c r="AB888" s="205" t="s">
        <v>233</v>
      </c>
      <c r="AC888" s="206" t="s">
        <v>233</v>
      </c>
      <c r="AD888" s="205" t="s">
        <v>233</v>
      </c>
      <c r="AE888" s="206" t="s">
        <v>240</v>
      </c>
      <c r="AF888" s="212">
        <v>0</v>
      </c>
      <c r="AG888" s="93">
        <v>1</v>
      </c>
      <c r="AH888" s="93">
        <v>0</v>
      </c>
      <c r="AI888" s="93">
        <v>0</v>
      </c>
      <c r="AJ888" s="93">
        <v>0</v>
      </c>
      <c r="AK888" s="93">
        <v>0</v>
      </c>
    </row>
    <row r="889" spans="1:37" s="100" customFormat="1" outlineLevel="1">
      <c r="A889" s="63">
        <v>882</v>
      </c>
      <c r="B889" s="93" t="s">
        <v>379</v>
      </c>
      <c r="C889" s="93" t="s">
        <v>380</v>
      </c>
      <c r="D889" s="94" t="s">
        <v>499</v>
      </c>
      <c r="E889" s="93">
        <v>56</v>
      </c>
      <c r="F889" s="99" t="s">
        <v>191</v>
      </c>
      <c r="G889" s="93"/>
      <c r="H889" s="102" t="s">
        <v>504</v>
      </c>
      <c r="I889" s="93" t="s">
        <v>383</v>
      </c>
      <c r="J889" s="93"/>
      <c r="K889" s="96" t="s">
        <v>384</v>
      </c>
      <c r="L889" s="93" t="s">
        <v>232</v>
      </c>
      <c r="M889" s="97">
        <v>1917</v>
      </c>
      <c r="N889" s="64" t="s">
        <v>385</v>
      </c>
      <c r="O889" s="202">
        <v>5</v>
      </c>
      <c r="P889" s="196">
        <v>0</v>
      </c>
      <c r="Q889" s="202">
        <v>3</v>
      </c>
      <c r="R889" s="19">
        <v>21</v>
      </c>
      <c r="S889" s="19">
        <v>2260</v>
      </c>
      <c r="T889" s="19">
        <v>1920</v>
      </c>
      <c r="U889" s="93">
        <v>1662</v>
      </c>
      <c r="V889" s="98">
        <v>329</v>
      </c>
      <c r="W889" s="205" t="s">
        <v>233</v>
      </c>
      <c r="X889" s="205" t="s">
        <v>233</v>
      </c>
      <c r="Y889" s="206" t="s">
        <v>240</v>
      </c>
      <c r="Z889" s="205" t="s">
        <v>233</v>
      </c>
      <c r="AA889" s="205" t="s">
        <v>233</v>
      </c>
      <c r="AB889" s="205" t="s">
        <v>233</v>
      </c>
      <c r="AC889" s="206" t="s">
        <v>233</v>
      </c>
      <c r="AD889" s="205" t="s">
        <v>233</v>
      </c>
      <c r="AE889" s="206" t="s">
        <v>240</v>
      </c>
      <c r="AF889" s="212">
        <v>0</v>
      </c>
      <c r="AG889" s="93">
        <v>1</v>
      </c>
      <c r="AH889" s="93">
        <v>1</v>
      </c>
      <c r="AI889" s="93">
        <v>0</v>
      </c>
      <c r="AJ889" s="93">
        <v>1</v>
      </c>
      <c r="AK889" s="93">
        <v>0</v>
      </c>
    </row>
    <row r="890" spans="1:37" s="100" customFormat="1" outlineLevel="1">
      <c r="A890" s="63">
        <v>883</v>
      </c>
      <c r="B890" s="93" t="s">
        <v>379</v>
      </c>
      <c r="C890" s="93" t="s">
        <v>380</v>
      </c>
      <c r="D890" s="94" t="s">
        <v>499</v>
      </c>
      <c r="E890" s="93">
        <v>56</v>
      </c>
      <c r="F890" s="99" t="s">
        <v>231</v>
      </c>
      <c r="G890" s="93"/>
      <c r="H890" s="102" t="s">
        <v>505</v>
      </c>
      <c r="I890" s="93" t="s">
        <v>383</v>
      </c>
      <c r="J890" s="93"/>
      <c r="K890" s="96" t="s">
        <v>384</v>
      </c>
      <c r="L890" s="93" t="s">
        <v>232</v>
      </c>
      <c r="M890" s="97">
        <v>1917</v>
      </c>
      <c r="N890" s="64" t="s">
        <v>385</v>
      </c>
      <c r="O890" s="202">
        <v>4</v>
      </c>
      <c r="P890" s="196">
        <v>0</v>
      </c>
      <c r="Q890" s="202">
        <v>1</v>
      </c>
      <c r="R890" s="19">
        <v>8</v>
      </c>
      <c r="S890" s="19">
        <v>578</v>
      </c>
      <c r="T890" s="19">
        <v>574</v>
      </c>
      <c r="U890" s="93">
        <v>504</v>
      </c>
      <c r="V890" s="98">
        <v>0</v>
      </c>
      <c r="W890" s="205" t="s">
        <v>233</v>
      </c>
      <c r="X890" s="205" t="s">
        <v>233</v>
      </c>
      <c r="Y890" s="206" t="s">
        <v>240</v>
      </c>
      <c r="Z890" s="205" t="s">
        <v>233</v>
      </c>
      <c r="AA890" s="205" t="s">
        <v>233</v>
      </c>
      <c r="AB890" s="205" t="s">
        <v>233</v>
      </c>
      <c r="AC890" s="206" t="s">
        <v>233</v>
      </c>
      <c r="AD890" s="205" t="s">
        <v>233</v>
      </c>
      <c r="AE890" s="206" t="s">
        <v>240</v>
      </c>
      <c r="AF890" s="212">
        <v>0</v>
      </c>
      <c r="AG890" s="93">
        <v>1</v>
      </c>
      <c r="AH890" s="93">
        <v>0</v>
      </c>
      <c r="AI890" s="93">
        <v>0</v>
      </c>
      <c r="AJ890" s="93">
        <v>1</v>
      </c>
      <c r="AK890" s="93">
        <v>0</v>
      </c>
    </row>
    <row r="891" spans="1:37" s="100" customFormat="1" outlineLevel="1">
      <c r="A891" s="63">
        <v>884</v>
      </c>
      <c r="B891" s="93" t="s">
        <v>379</v>
      </c>
      <c r="C891" s="93" t="s">
        <v>380</v>
      </c>
      <c r="D891" s="94" t="s">
        <v>499</v>
      </c>
      <c r="E891" s="93">
        <v>58</v>
      </c>
      <c r="F891" s="99" t="s">
        <v>191</v>
      </c>
      <c r="G891" s="93"/>
      <c r="H891" s="102" t="s">
        <v>506</v>
      </c>
      <c r="I891" s="93" t="s">
        <v>383</v>
      </c>
      <c r="J891" s="93"/>
      <c r="K891" s="96" t="s">
        <v>384</v>
      </c>
      <c r="L891" s="93" t="s">
        <v>232</v>
      </c>
      <c r="M891" s="97">
        <v>1777</v>
      </c>
      <c r="N891" s="64" t="s">
        <v>385</v>
      </c>
      <c r="O891" s="202">
        <v>5</v>
      </c>
      <c r="P891" s="196">
        <v>0</v>
      </c>
      <c r="Q891" s="202">
        <v>4</v>
      </c>
      <c r="R891" s="19">
        <v>38</v>
      </c>
      <c r="S891" s="19">
        <v>3430</v>
      </c>
      <c r="T891" s="19">
        <v>3071</v>
      </c>
      <c r="U891" s="93">
        <v>2713</v>
      </c>
      <c r="V891" s="98">
        <v>365</v>
      </c>
      <c r="W891" s="205" t="s">
        <v>233</v>
      </c>
      <c r="X891" s="205" t="s">
        <v>233</v>
      </c>
      <c r="Y891" s="206" t="s">
        <v>240</v>
      </c>
      <c r="Z891" s="205" t="s">
        <v>233</v>
      </c>
      <c r="AA891" s="205" t="s">
        <v>233</v>
      </c>
      <c r="AB891" s="205" t="s">
        <v>233</v>
      </c>
      <c r="AC891" s="206" t="s">
        <v>233</v>
      </c>
      <c r="AD891" s="205" t="s">
        <v>233</v>
      </c>
      <c r="AE891" s="206" t="s">
        <v>240</v>
      </c>
      <c r="AF891" s="212">
        <v>0</v>
      </c>
      <c r="AG891" s="93">
        <v>1</v>
      </c>
      <c r="AH891" s="93">
        <v>1</v>
      </c>
      <c r="AI891" s="93">
        <v>0</v>
      </c>
      <c r="AJ891" s="93">
        <v>1</v>
      </c>
      <c r="AK891" s="93">
        <v>0</v>
      </c>
    </row>
    <row r="892" spans="1:37" s="100" customFormat="1" outlineLevel="1">
      <c r="A892" s="63">
        <v>885</v>
      </c>
      <c r="B892" s="93" t="s">
        <v>379</v>
      </c>
      <c r="C892" s="93" t="s">
        <v>380</v>
      </c>
      <c r="D892" s="94" t="s">
        <v>499</v>
      </c>
      <c r="E892" s="93">
        <v>60</v>
      </c>
      <c r="F892" s="99" t="s">
        <v>191</v>
      </c>
      <c r="G892" s="93"/>
      <c r="H892" s="102" t="s">
        <v>507</v>
      </c>
      <c r="I892" s="93" t="s">
        <v>383</v>
      </c>
      <c r="J892" s="93"/>
      <c r="K892" s="96" t="s">
        <v>384</v>
      </c>
      <c r="L892" s="93" t="s">
        <v>232</v>
      </c>
      <c r="M892" s="97">
        <v>1994</v>
      </c>
      <c r="N892" s="64" t="s">
        <v>385</v>
      </c>
      <c r="O892" s="202">
        <v>5</v>
      </c>
      <c r="P892" s="196">
        <v>0</v>
      </c>
      <c r="Q892" s="202">
        <v>2</v>
      </c>
      <c r="R892" s="19">
        <v>14</v>
      </c>
      <c r="S892" s="15">
        <v>1032</v>
      </c>
      <c r="T892" s="15">
        <v>910</v>
      </c>
      <c r="U892" s="104">
        <v>770</v>
      </c>
      <c r="V892" s="15">
        <v>133</v>
      </c>
      <c r="W892" s="205" t="s">
        <v>233</v>
      </c>
      <c r="X892" s="205" t="s">
        <v>233</v>
      </c>
      <c r="Y892" s="206" t="s">
        <v>240</v>
      </c>
      <c r="Z892" s="205" t="s">
        <v>233</v>
      </c>
      <c r="AA892" s="205" t="s">
        <v>233</v>
      </c>
      <c r="AB892" s="205" t="s">
        <v>233</v>
      </c>
      <c r="AC892" s="206" t="s">
        <v>233</v>
      </c>
      <c r="AD892" s="205" t="s">
        <v>233</v>
      </c>
      <c r="AE892" s="206" t="s">
        <v>240</v>
      </c>
      <c r="AF892" s="212">
        <v>0</v>
      </c>
      <c r="AG892" s="93">
        <v>1</v>
      </c>
      <c r="AH892" s="93">
        <v>1</v>
      </c>
      <c r="AI892" s="93">
        <v>0</v>
      </c>
      <c r="AJ892" s="93">
        <v>1</v>
      </c>
      <c r="AK892" s="93">
        <v>0</v>
      </c>
    </row>
    <row r="893" spans="1:37" s="100" customFormat="1" outlineLevel="1">
      <c r="A893" s="63">
        <v>886</v>
      </c>
      <c r="B893" s="93" t="s">
        <v>379</v>
      </c>
      <c r="C893" s="93" t="s">
        <v>380</v>
      </c>
      <c r="D893" s="94" t="s">
        <v>499</v>
      </c>
      <c r="E893" s="93">
        <v>60</v>
      </c>
      <c r="F893" s="99" t="s">
        <v>231</v>
      </c>
      <c r="G893" s="93"/>
      <c r="H893" s="102" t="s">
        <v>508</v>
      </c>
      <c r="I893" s="93" t="s">
        <v>383</v>
      </c>
      <c r="J893" s="93"/>
      <c r="K893" s="96" t="s">
        <v>384</v>
      </c>
      <c r="L893" s="93" t="s">
        <v>232</v>
      </c>
      <c r="M893" s="97">
        <v>1994</v>
      </c>
      <c r="N893" s="64" t="s">
        <v>385</v>
      </c>
      <c r="O893" s="202">
        <v>5</v>
      </c>
      <c r="P893" s="196">
        <v>0</v>
      </c>
      <c r="Q893" s="202">
        <v>2</v>
      </c>
      <c r="R893" s="19">
        <v>24</v>
      </c>
      <c r="S893" s="19">
        <v>1241</v>
      </c>
      <c r="T893" s="19">
        <v>1113</v>
      </c>
      <c r="U893" s="93">
        <v>1075</v>
      </c>
      <c r="V893" s="98">
        <v>0</v>
      </c>
      <c r="W893" s="205" t="s">
        <v>233</v>
      </c>
      <c r="X893" s="205" t="s">
        <v>233</v>
      </c>
      <c r="Y893" s="206" t="s">
        <v>240</v>
      </c>
      <c r="Z893" s="205" t="s">
        <v>233</v>
      </c>
      <c r="AA893" s="205" t="s">
        <v>233</v>
      </c>
      <c r="AB893" s="205" t="s">
        <v>233</v>
      </c>
      <c r="AC893" s="206" t="s">
        <v>233</v>
      </c>
      <c r="AD893" s="205" t="s">
        <v>233</v>
      </c>
      <c r="AE893" s="206" t="s">
        <v>240</v>
      </c>
      <c r="AF893" s="212">
        <v>0</v>
      </c>
      <c r="AG893" s="93">
        <v>1</v>
      </c>
      <c r="AH893" s="93">
        <v>1</v>
      </c>
      <c r="AI893" s="93">
        <v>0</v>
      </c>
      <c r="AJ893" s="93">
        <v>1</v>
      </c>
      <c r="AK893" s="93">
        <v>0</v>
      </c>
    </row>
    <row r="894" spans="1:37" s="100" customFormat="1" outlineLevel="1">
      <c r="A894" s="63">
        <v>887</v>
      </c>
      <c r="B894" s="93" t="s">
        <v>379</v>
      </c>
      <c r="C894" s="93" t="s">
        <v>380</v>
      </c>
      <c r="D894" s="94" t="s">
        <v>499</v>
      </c>
      <c r="E894" s="96" t="s">
        <v>509</v>
      </c>
      <c r="F894" s="99" t="s">
        <v>191</v>
      </c>
      <c r="G894" s="93"/>
      <c r="H894" s="102" t="s">
        <v>510</v>
      </c>
      <c r="I894" s="93" t="s">
        <v>383</v>
      </c>
      <c r="J894" s="93"/>
      <c r="K894" s="96" t="s">
        <v>384</v>
      </c>
      <c r="L894" s="93" t="s">
        <v>232</v>
      </c>
      <c r="M894" s="97">
        <v>1901</v>
      </c>
      <c r="N894" s="64" t="s">
        <v>385</v>
      </c>
      <c r="O894" s="202">
        <v>5</v>
      </c>
      <c r="P894" s="196">
        <v>0</v>
      </c>
      <c r="Q894" s="202">
        <v>2</v>
      </c>
      <c r="R894" s="103">
        <v>27</v>
      </c>
      <c r="S894" s="19">
        <v>3766</v>
      </c>
      <c r="T894" s="19">
        <v>2810</v>
      </c>
      <c r="U894" s="93">
        <v>2338</v>
      </c>
      <c r="V894" s="98">
        <v>933</v>
      </c>
      <c r="W894" s="205" t="s">
        <v>233</v>
      </c>
      <c r="X894" s="205" t="s">
        <v>233</v>
      </c>
      <c r="Y894" s="206" t="s">
        <v>240</v>
      </c>
      <c r="Z894" s="205" t="s">
        <v>233</v>
      </c>
      <c r="AA894" s="205" t="s">
        <v>233</v>
      </c>
      <c r="AB894" s="205" t="s">
        <v>233</v>
      </c>
      <c r="AC894" s="206" t="s">
        <v>233</v>
      </c>
      <c r="AD894" s="205" t="s">
        <v>233</v>
      </c>
      <c r="AE894" s="206" t="s">
        <v>240</v>
      </c>
      <c r="AF894" s="212">
        <v>2</v>
      </c>
      <c r="AG894" s="93">
        <v>1</v>
      </c>
      <c r="AH894" s="93">
        <v>1</v>
      </c>
      <c r="AI894" s="93">
        <v>0</v>
      </c>
      <c r="AJ894" s="93">
        <v>0</v>
      </c>
      <c r="AK894" s="93">
        <v>0</v>
      </c>
    </row>
    <row r="895" spans="1:37" s="100" customFormat="1" outlineLevel="1">
      <c r="A895" s="63">
        <v>888</v>
      </c>
      <c r="B895" s="93" t="s">
        <v>379</v>
      </c>
      <c r="C895" s="93" t="s">
        <v>380</v>
      </c>
      <c r="D895" s="94" t="s">
        <v>499</v>
      </c>
      <c r="E895" s="93">
        <v>62</v>
      </c>
      <c r="F895" s="99" t="s">
        <v>191</v>
      </c>
      <c r="G895" s="93"/>
      <c r="H895" s="102" t="s">
        <v>511</v>
      </c>
      <c r="I895" s="93" t="s">
        <v>383</v>
      </c>
      <c r="J895" s="93"/>
      <c r="K895" s="96" t="s">
        <v>384</v>
      </c>
      <c r="L895" s="93" t="s">
        <v>232</v>
      </c>
      <c r="M895" s="97">
        <v>1862</v>
      </c>
      <c r="N895" s="64" t="s">
        <v>385</v>
      </c>
      <c r="O895" s="202">
        <v>5</v>
      </c>
      <c r="P895" s="196">
        <v>0</v>
      </c>
      <c r="Q895" s="202">
        <v>3</v>
      </c>
      <c r="R895" s="103">
        <v>28</v>
      </c>
      <c r="S895" s="19">
        <v>2518</v>
      </c>
      <c r="T895" s="19">
        <v>1792</v>
      </c>
      <c r="U895" s="93">
        <v>1967</v>
      </c>
      <c r="V895" s="98">
        <v>241</v>
      </c>
      <c r="W895" s="205" t="s">
        <v>233</v>
      </c>
      <c r="X895" s="205" t="s">
        <v>233</v>
      </c>
      <c r="Y895" s="206" t="s">
        <v>240</v>
      </c>
      <c r="Z895" s="205" t="s">
        <v>233</v>
      </c>
      <c r="AA895" s="205" t="s">
        <v>233</v>
      </c>
      <c r="AB895" s="205" t="s">
        <v>233</v>
      </c>
      <c r="AC895" s="206" t="s">
        <v>233</v>
      </c>
      <c r="AD895" s="205" t="s">
        <v>233</v>
      </c>
      <c r="AE895" s="206" t="s">
        <v>240</v>
      </c>
      <c r="AF895" s="212">
        <v>0</v>
      </c>
      <c r="AG895" s="93">
        <v>1</v>
      </c>
      <c r="AH895" s="93">
        <v>1</v>
      </c>
      <c r="AI895" s="93">
        <v>0</v>
      </c>
      <c r="AJ895" s="93">
        <v>1</v>
      </c>
      <c r="AK895" s="93">
        <v>0</v>
      </c>
    </row>
    <row r="896" spans="1:37" s="100" customFormat="1" outlineLevel="1">
      <c r="A896" s="63">
        <v>889</v>
      </c>
      <c r="B896" s="93" t="s">
        <v>379</v>
      </c>
      <c r="C896" s="93" t="s">
        <v>380</v>
      </c>
      <c r="D896" s="94" t="s">
        <v>499</v>
      </c>
      <c r="E896" s="93">
        <v>62</v>
      </c>
      <c r="F896" s="99" t="s">
        <v>260</v>
      </c>
      <c r="G896" s="93"/>
      <c r="H896" s="102" t="s">
        <v>512</v>
      </c>
      <c r="I896" s="93" t="s">
        <v>383</v>
      </c>
      <c r="J896" s="93"/>
      <c r="K896" s="96" t="s">
        <v>384</v>
      </c>
      <c r="L896" s="93" t="s">
        <v>232</v>
      </c>
      <c r="M896" s="97">
        <v>1840</v>
      </c>
      <c r="N896" s="64" t="s">
        <v>385</v>
      </c>
      <c r="O896" s="202">
        <v>5</v>
      </c>
      <c r="P896" s="196">
        <v>0</v>
      </c>
      <c r="Q896" s="202">
        <v>1</v>
      </c>
      <c r="R896" s="103">
        <v>8</v>
      </c>
      <c r="S896" s="19">
        <v>543</v>
      </c>
      <c r="T896" s="19">
        <v>393</v>
      </c>
      <c r="U896" s="93">
        <v>377</v>
      </c>
      <c r="V896" s="98">
        <v>89</v>
      </c>
      <c r="W896" s="205" t="s">
        <v>233</v>
      </c>
      <c r="X896" s="205" t="s">
        <v>233</v>
      </c>
      <c r="Y896" s="206" t="s">
        <v>240</v>
      </c>
      <c r="Z896" s="205" t="s">
        <v>233</v>
      </c>
      <c r="AA896" s="205" t="s">
        <v>233</v>
      </c>
      <c r="AB896" s="205" t="s">
        <v>233</v>
      </c>
      <c r="AC896" s="206" t="s">
        <v>233</v>
      </c>
      <c r="AD896" s="205" t="s">
        <v>233</v>
      </c>
      <c r="AE896" s="206" t="s">
        <v>240</v>
      </c>
      <c r="AF896" s="212">
        <v>0</v>
      </c>
      <c r="AG896" s="93">
        <v>1</v>
      </c>
      <c r="AH896" s="93">
        <v>0</v>
      </c>
      <c r="AI896" s="93">
        <v>0</v>
      </c>
      <c r="AJ896" s="93">
        <v>0</v>
      </c>
      <c r="AK896" s="93">
        <v>0</v>
      </c>
    </row>
    <row r="897" spans="1:37" s="100" customFormat="1" outlineLevel="1">
      <c r="A897" s="63">
        <v>890</v>
      </c>
      <c r="B897" s="93" t="s">
        <v>379</v>
      </c>
      <c r="C897" s="93" t="s">
        <v>380</v>
      </c>
      <c r="D897" s="94" t="s">
        <v>499</v>
      </c>
      <c r="E897" s="93">
        <v>64</v>
      </c>
      <c r="F897" s="99" t="s">
        <v>191</v>
      </c>
      <c r="G897" s="93"/>
      <c r="H897" s="102" t="s">
        <v>513</v>
      </c>
      <c r="I897" s="93" t="s">
        <v>383</v>
      </c>
      <c r="J897" s="93"/>
      <c r="K897" s="96" t="s">
        <v>384</v>
      </c>
      <c r="L897" s="93" t="s">
        <v>232</v>
      </c>
      <c r="M897" s="97">
        <v>1902</v>
      </c>
      <c r="N897" s="64" t="s">
        <v>385</v>
      </c>
      <c r="O897" s="202">
        <v>5.4</v>
      </c>
      <c r="P897" s="196">
        <v>0</v>
      </c>
      <c r="Q897" s="202">
        <v>5</v>
      </c>
      <c r="R897" s="103">
        <v>22</v>
      </c>
      <c r="S897" s="19">
        <v>3793</v>
      </c>
      <c r="T897" s="19">
        <v>2674</v>
      </c>
      <c r="U897" s="93">
        <v>2635</v>
      </c>
      <c r="V897" s="98">
        <v>800</v>
      </c>
      <c r="W897" s="205" t="s">
        <v>233</v>
      </c>
      <c r="X897" s="205" t="s">
        <v>233</v>
      </c>
      <c r="Y897" s="206" t="s">
        <v>240</v>
      </c>
      <c r="Z897" s="205" t="s">
        <v>233</v>
      </c>
      <c r="AA897" s="205" t="s">
        <v>233</v>
      </c>
      <c r="AB897" s="205" t="s">
        <v>233</v>
      </c>
      <c r="AC897" s="206" t="s">
        <v>233</v>
      </c>
      <c r="AD897" s="205" t="s">
        <v>233</v>
      </c>
      <c r="AE897" s="206" t="s">
        <v>240</v>
      </c>
      <c r="AF897" s="212">
        <v>0</v>
      </c>
      <c r="AG897" s="93">
        <v>1</v>
      </c>
      <c r="AH897" s="93">
        <v>1</v>
      </c>
      <c r="AI897" s="93">
        <v>0</v>
      </c>
      <c r="AJ897" s="93">
        <v>1</v>
      </c>
      <c r="AK897" s="93">
        <v>0</v>
      </c>
    </row>
    <row r="898" spans="1:37" s="100" customFormat="1" outlineLevel="1">
      <c r="A898" s="63">
        <v>891</v>
      </c>
      <c r="B898" s="93" t="s">
        <v>379</v>
      </c>
      <c r="C898" s="93" t="s">
        <v>380</v>
      </c>
      <c r="D898" s="94" t="s">
        <v>499</v>
      </c>
      <c r="E898" s="93">
        <v>64</v>
      </c>
      <c r="F898" s="99" t="s">
        <v>231</v>
      </c>
      <c r="G898" s="93"/>
      <c r="H898" s="102" t="s">
        <v>514</v>
      </c>
      <c r="I898" s="93" t="s">
        <v>383</v>
      </c>
      <c r="J898" s="93"/>
      <c r="K898" s="96" t="s">
        <v>384</v>
      </c>
      <c r="L898" s="93" t="s">
        <v>232</v>
      </c>
      <c r="M898" s="97">
        <v>1902</v>
      </c>
      <c r="N898" s="64" t="s">
        <v>385</v>
      </c>
      <c r="O898" s="202">
        <v>4</v>
      </c>
      <c r="P898" s="196">
        <v>0</v>
      </c>
      <c r="Q898" s="202">
        <v>1</v>
      </c>
      <c r="R898" s="103">
        <v>8</v>
      </c>
      <c r="S898" s="19">
        <v>571</v>
      </c>
      <c r="T898" s="19">
        <v>400</v>
      </c>
      <c r="U898" s="93">
        <v>483</v>
      </c>
      <c r="V898" s="98">
        <v>0</v>
      </c>
      <c r="W898" s="205" t="s">
        <v>233</v>
      </c>
      <c r="X898" s="205" t="s">
        <v>233</v>
      </c>
      <c r="Y898" s="206" t="s">
        <v>240</v>
      </c>
      <c r="Z898" s="205" t="s">
        <v>233</v>
      </c>
      <c r="AA898" s="205" t="s">
        <v>233</v>
      </c>
      <c r="AB898" s="205" t="s">
        <v>233</v>
      </c>
      <c r="AC898" s="206" t="s">
        <v>233</v>
      </c>
      <c r="AD898" s="205" t="s">
        <v>233</v>
      </c>
      <c r="AE898" s="206" t="s">
        <v>240</v>
      </c>
      <c r="AF898" s="212">
        <v>0</v>
      </c>
      <c r="AG898" s="93">
        <v>1</v>
      </c>
      <c r="AH898" s="93">
        <v>1</v>
      </c>
      <c r="AI898" s="93">
        <v>0</v>
      </c>
      <c r="AJ898" s="93">
        <v>0</v>
      </c>
      <c r="AK898" s="93">
        <v>0</v>
      </c>
    </row>
    <row r="899" spans="1:37" s="100" customFormat="1" outlineLevel="1">
      <c r="A899" s="63">
        <v>892</v>
      </c>
      <c r="B899" s="93" t="s">
        <v>379</v>
      </c>
      <c r="C899" s="93" t="s">
        <v>380</v>
      </c>
      <c r="D899" s="94" t="s">
        <v>499</v>
      </c>
      <c r="E899" s="93">
        <v>65</v>
      </c>
      <c r="F899" s="99" t="s">
        <v>191</v>
      </c>
      <c r="G899" s="93"/>
      <c r="H899" s="102" t="s">
        <v>515</v>
      </c>
      <c r="I899" s="93" t="s">
        <v>383</v>
      </c>
      <c r="J899" s="93"/>
      <c r="K899" s="96" t="s">
        <v>384</v>
      </c>
      <c r="L899" s="93" t="s">
        <v>232</v>
      </c>
      <c r="M899" s="97">
        <v>1917</v>
      </c>
      <c r="N899" s="64" t="s">
        <v>385</v>
      </c>
      <c r="O899" s="202">
        <v>4</v>
      </c>
      <c r="P899" s="196">
        <v>0</v>
      </c>
      <c r="Q899" s="202">
        <v>4</v>
      </c>
      <c r="R899" s="103">
        <v>30</v>
      </c>
      <c r="S899" s="19">
        <v>2811</v>
      </c>
      <c r="T899" s="19">
        <v>2335</v>
      </c>
      <c r="U899" s="93">
        <v>2148</v>
      </c>
      <c r="V899" s="98">
        <v>339</v>
      </c>
      <c r="W899" s="205" t="s">
        <v>233</v>
      </c>
      <c r="X899" s="205" t="s">
        <v>233</v>
      </c>
      <c r="Y899" s="206" t="s">
        <v>240</v>
      </c>
      <c r="Z899" s="205" t="s">
        <v>233</v>
      </c>
      <c r="AA899" s="205" t="s">
        <v>233</v>
      </c>
      <c r="AB899" s="205" t="s">
        <v>233</v>
      </c>
      <c r="AC899" s="206" t="s">
        <v>233</v>
      </c>
      <c r="AD899" s="205" t="s">
        <v>233</v>
      </c>
      <c r="AE899" s="206" t="s">
        <v>240</v>
      </c>
      <c r="AF899" s="212">
        <v>0</v>
      </c>
      <c r="AG899" s="93">
        <v>1</v>
      </c>
      <c r="AH899" s="93">
        <v>1</v>
      </c>
      <c r="AI899" s="93">
        <v>0</v>
      </c>
      <c r="AJ899" s="93">
        <v>1</v>
      </c>
      <c r="AK899" s="93">
        <v>0</v>
      </c>
    </row>
    <row r="900" spans="1:37" s="100" customFormat="1" outlineLevel="1">
      <c r="A900" s="63">
        <v>893</v>
      </c>
      <c r="B900" s="93" t="s">
        <v>379</v>
      </c>
      <c r="C900" s="93" t="s">
        <v>380</v>
      </c>
      <c r="D900" s="94" t="s">
        <v>499</v>
      </c>
      <c r="E900" s="93">
        <v>66</v>
      </c>
      <c r="F900" s="99" t="s">
        <v>191</v>
      </c>
      <c r="G900" s="93"/>
      <c r="H900" s="102" t="s">
        <v>516</v>
      </c>
      <c r="I900" s="93" t="s">
        <v>383</v>
      </c>
      <c r="J900" s="93"/>
      <c r="K900" s="96" t="s">
        <v>384</v>
      </c>
      <c r="L900" s="93" t="s">
        <v>232</v>
      </c>
      <c r="M900" s="97">
        <v>1806</v>
      </c>
      <c r="N900" s="64" t="s">
        <v>385</v>
      </c>
      <c r="O900" s="202">
        <v>5.3</v>
      </c>
      <c r="P900" s="196">
        <v>0</v>
      </c>
      <c r="Q900" s="202">
        <v>5</v>
      </c>
      <c r="R900" s="103">
        <v>23</v>
      </c>
      <c r="S900" s="19">
        <v>3394</v>
      </c>
      <c r="T900" s="19">
        <v>2574</v>
      </c>
      <c r="U900" s="93">
        <v>2256</v>
      </c>
      <c r="V900" s="98">
        <v>777</v>
      </c>
      <c r="W900" s="205" t="s">
        <v>233</v>
      </c>
      <c r="X900" s="205" t="s">
        <v>233</v>
      </c>
      <c r="Y900" s="206" t="s">
        <v>240</v>
      </c>
      <c r="Z900" s="205" t="s">
        <v>233</v>
      </c>
      <c r="AA900" s="205" t="s">
        <v>233</v>
      </c>
      <c r="AB900" s="205" t="s">
        <v>233</v>
      </c>
      <c r="AC900" s="206" t="s">
        <v>233</v>
      </c>
      <c r="AD900" s="205" t="s">
        <v>233</v>
      </c>
      <c r="AE900" s="206" t="s">
        <v>240</v>
      </c>
      <c r="AF900" s="212">
        <v>0</v>
      </c>
      <c r="AG900" s="93">
        <v>1</v>
      </c>
      <c r="AH900" s="93">
        <v>1</v>
      </c>
      <c r="AI900" s="93">
        <v>0</v>
      </c>
      <c r="AJ900" s="93">
        <v>0</v>
      </c>
      <c r="AK900" s="93">
        <v>0</v>
      </c>
    </row>
    <row r="901" spans="1:37" s="100" customFormat="1" outlineLevel="1">
      <c r="A901" s="63">
        <v>894</v>
      </c>
      <c r="B901" s="93" t="s">
        <v>379</v>
      </c>
      <c r="C901" s="93" t="s">
        <v>380</v>
      </c>
      <c r="D901" s="94" t="s">
        <v>499</v>
      </c>
      <c r="E901" s="93">
        <v>66</v>
      </c>
      <c r="F901" s="99" t="s">
        <v>261</v>
      </c>
      <c r="G901" s="93"/>
      <c r="H901" s="102" t="s">
        <v>517</v>
      </c>
      <c r="I901" s="93" t="s">
        <v>383</v>
      </c>
      <c r="J901" s="93"/>
      <c r="K901" s="96" t="s">
        <v>384</v>
      </c>
      <c r="L901" s="93" t="s">
        <v>232</v>
      </c>
      <c r="M901" s="97">
        <v>1806</v>
      </c>
      <c r="N901" s="64" t="s">
        <v>385</v>
      </c>
      <c r="O901" s="202">
        <v>3</v>
      </c>
      <c r="P901" s="196">
        <v>0</v>
      </c>
      <c r="Q901" s="202">
        <v>2</v>
      </c>
      <c r="R901" s="103">
        <v>7</v>
      </c>
      <c r="S901" s="19">
        <v>781</v>
      </c>
      <c r="T901" s="19">
        <v>527</v>
      </c>
      <c r="U901" s="93">
        <v>502</v>
      </c>
      <c r="V901" s="98">
        <v>133</v>
      </c>
      <c r="W901" s="205" t="s">
        <v>233</v>
      </c>
      <c r="X901" s="205" t="s">
        <v>233</v>
      </c>
      <c r="Y901" s="206" t="s">
        <v>240</v>
      </c>
      <c r="Z901" s="205" t="s">
        <v>233</v>
      </c>
      <c r="AA901" s="205" t="s">
        <v>233</v>
      </c>
      <c r="AB901" s="205" t="s">
        <v>233</v>
      </c>
      <c r="AC901" s="206" t="s">
        <v>233</v>
      </c>
      <c r="AD901" s="205" t="s">
        <v>233</v>
      </c>
      <c r="AE901" s="206" t="s">
        <v>240</v>
      </c>
      <c r="AF901" s="212">
        <v>0</v>
      </c>
      <c r="AG901" s="93">
        <v>1</v>
      </c>
      <c r="AH901" s="93">
        <v>0</v>
      </c>
      <c r="AI901" s="93">
        <v>0</v>
      </c>
      <c r="AJ901" s="93">
        <v>0</v>
      </c>
      <c r="AK901" s="93">
        <v>0</v>
      </c>
    </row>
    <row r="902" spans="1:37" s="100" customFormat="1" outlineLevel="1">
      <c r="A902" s="63">
        <v>895</v>
      </c>
      <c r="B902" s="93" t="s">
        <v>379</v>
      </c>
      <c r="C902" s="93" t="s">
        <v>380</v>
      </c>
      <c r="D902" s="94" t="s">
        <v>499</v>
      </c>
      <c r="E902" s="93">
        <v>67</v>
      </c>
      <c r="F902" s="99" t="s">
        <v>191</v>
      </c>
      <c r="G902" s="93"/>
      <c r="H902" s="102" t="s">
        <v>518</v>
      </c>
      <c r="I902" s="93" t="s">
        <v>383</v>
      </c>
      <c r="J902" s="93"/>
      <c r="K902" s="96" t="s">
        <v>384</v>
      </c>
      <c r="L902" s="93" t="s">
        <v>232</v>
      </c>
      <c r="M902" s="97">
        <v>1897</v>
      </c>
      <c r="N902" s="64" t="s">
        <v>385</v>
      </c>
      <c r="O902" s="202">
        <v>5</v>
      </c>
      <c r="P902" s="196">
        <v>0</v>
      </c>
      <c r="Q902" s="202">
        <v>6</v>
      </c>
      <c r="R902" s="103">
        <v>49</v>
      </c>
      <c r="S902" s="19">
        <v>5138</v>
      </c>
      <c r="T902" s="19">
        <v>4646</v>
      </c>
      <c r="U902" s="93">
        <v>3456</v>
      </c>
      <c r="V902" s="98">
        <v>1191</v>
      </c>
      <c r="W902" s="205" t="s">
        <v>233</v>
      </c>
      <c r="X902" s="205" t="s">
        <v>233</v>
      </c>
      <c r="Y902" s="206" t="s">
        <v>240</v>
      </c>
      <c r="Z902" s="205" t="s">
        <v>233</v>
      </c>
      <c r="AA902" s="205" t="s">
        <v>233</v>
      </c>
      <c r="AB902" s="205" t="s">
        <v>233</v>
      </c>
      <c r="AC902" s="206" t="s">
        <v>233</v>
      </c>
      <c r="AD902" s="205" t="s">
        <v>233</v>
      </c>
      <c r="AE902" s="206" t="s">
        <v>240</v>
      </c>
      <c r="AF902" s="212">
        <v>0</v>
      </c>
      <c r="AG902" s="93">
        <v>1</v>
      </c>
      <c r="AH902" s="93">
        <v>1</v>
      </c>
      <c r="AI902" s="93">
        <v>0</v>
      </c>
      <c r="AJ902" s="93">
        <v>1</v>
      </c>
      <c r="AK902" s="93">
        <v>0</v>
      </c>
    </row>
    <row r="903" spans="1:37" s="100" customFormat="1" outlineLevel="1">
      <c r="A903" s="63">
        <v>896</v>
      </c>
      <c r="B903" s="93" t="s">
        <v>379</v>
      </c>
      <c r="C903" s="93" t="s">
        <v>380</v>
      </c>
      <c r="D903" s="94" t="s">
        <v>499</v>
      </c>
      <c r="E903" s="93">
        <v>68</v>
      </c>
      <c r="F903" s="99" t="s">
        <v>191</v>
      </c>
      <c r="G903" s="93"/>
      <c r="H903" s="102" t="s">
        <v>519</v>
      </c>
      <c r="I903" s="93" t="s">
        <v>383</v>
      </c>
      <c r="J903" s="93"/>
      <c r="K903" s="96" t="s">
        <v>384</v>
      </c>
      <c r="L903" s="93" t="s">
        <v>232</v>
      </c>
      <c r="M903" s="97">
        <v>1859</v>
      </c>
      <c r="N903" s="64" t="s">
        <v>385</v>
      </c>
      <c r="O903" s="202">
        <v>5</v>
      </c>
      <c r="P903" s="196">
        <v>0</v>
      </c>
      <c r="Q903" s="202">
        <v>7</v>
      </c>
      <c r="R903" s="103">
        <v>66</v>
      </c>
      <c r="S903" s="19">
        <v>6796</v>
      </c>
      <c r="T903" s="19">
        <v>6062</v>
      </c>
      <c r="U903" s="93">
        <v>5761</v>
      </c>
      <c r="V903" s="98">
        <v>302</v>
      </c>
      <c r="W903" s="205" t="s">
        <v>233</v>
      </c>
      <c r="X903" s="205" t="s">
        <v>233</v>
      </c>
      <c r="Y903" s="206" t="s">
        <v>240</v>
      </c>
      <c r="Z903" s="205" t="s">
        <v>233</v>
      </c>
      <c r="AA903" s="205" t="s">
        <v>233</v>
      </c>
      <c r="AB903" s="205" t="s">
        <v>233</v>
      </c>
      <c r="AC903" s="206" t="s">
        <v>233</v>
      </c>
      <c r="AD903" s="205" t="s">
        <v>233</v>
      </c>
      <c r="AE903" s="206" t="s">
        <v>240</v>
      </c>
      <c r="AF903" s="212">
        <v>1</v>
      </c>
      <c r="AG903" s="93">
        <v>1</v>
      </c>
      <c r="AH903" s="93">
        <v>1</v>
      </c>
      <c r="AI903" s="93">
        <v>0</v>
      </c>
      <c r="AJ903" s="93">
        <v>1</v>
      </c>
      <c r="AK903" s="93">
        <v>0</v>
      </c>
    </row>
    <row r="904" spans="1:37" s="100" customFormat="1" outlineLevel="1">
      <c r="A904" s="63">
        <v>897</v>
      </c>
      <c r="B904" s="93" t="s">
        <v>379</v>
      </c>
      <c r="C904" s="93" t="s">
        <v>380</v>
      </c>
      <c r="D904" s="94" t="s">
        <v>499</v>
      </c>
      <c r="E904" s="93">
        <v>69</v>
      </c>
      <c r="F904" s="99" t="s">
        <v>191</v>
      </c>
      <c r="G904" s="93"/>
      <c r="H904" s="102" t="s">
        <v>520</v>
      </c>
      <c r="I904" s="93" t="s">
        <v>383</v>
      </c>
      <c r="J904" s="93"/>
      <c r="K904" s="96" t="s">
        <v>384</v>
      </c>
      <c r="L904" s="93" t="s">
        <v>232</v>
      </c>
      <c r="M904" s="97">
        <v>1917</v>
      </c>
      <c r="N904" s="64" t="s">
        <v>385</v>
      </c>
      <c r="O904" s="202">
        <v>4</v>
      </c>
      <c r="P904" s="196">
        <v>0</v>
      </c>
      <c r="Q904" s="202">
        <v>3</v>
      </c>
      <c r="R904" s="103">
        <v>29</v>
      </c>
      <c r="S904" s="19">
        <v>2529</v>
      </c>
      <c r="T904" s="19">
        <v>2314</v>
      </c>
      <c r="U904" s="93">
        <v>2060</v>
      </c>
      <c r="V904" s="98">
        <v>250</v>
      </c>
      <c r="W904" s="205" t="s">
        <v>233</v>
      </c>
      <c r="X904" s="205" t="s">
        <v>233</v>
      </c>
      <c r="Y904" s="206" t="s">
        <v>240</v>
      </c>
      <c r="Z904" s="205" t="s">
        <v>233</v>
      </c>
      <c r="AA904" s="205" t="s">
        <v>233</v>
      </c>
      <c r="AB904" s="205" t="s">
        <v>233</v>
      </c>
      <c r="AC904" s="206" t="s">
        <v>233</v>
      </c>
      <c r="AD904" s="205" t="s">
        <v>233</v>
      </c>
      <c r="AE904" s="206" t="s">
        <v>240</v>
      </c>
      <c r="AF904" s="212">
        <v>0</v>
      </c>
      <c r="AG904" s="93">
        <v>1</v>
      </c>
      <c r="AH904" s="93">
        <v>1</v>
      </c>
      <c r="AI904" s="93">
        <v>0</v>
      </c>
      <c r="AJ904" s="93">
        <v>1</v>
      </c>
      <c r="AK904" s="93">
        <v>0</v>
      </c>
    </row>
    <row r="905" spans="1:37" s="100" customFormat="1" outlineLevel="1">
      <c r="A905" s="63">
        <v>898</v>
      </c>
      <c r="B905" s="93" t="s">
        <v>379</v>
      </c>
      <c r="C905" s="93" t="s">
        <v>380</v>
      </c>
      <c r="D905" s="94" t="s">
        <v>499</v>
      </c>
      <c r="E905" s="93">
        <v>71</v>
      </c>
      <c r="F905" s="99" t="s">
        <v>191</v>
      </c>
      <c r="G905" s="93"/>
      <c r="H905" s="102" t="s">
        <v>521</v>
      </c>
      <c r="I905" s="93" t="s">
        <v>383</v>
      </c>
      <c r="J905" s="93"/>
      <c r="K905" s="96" t="s">
        <v>384</v>
      </c>
      <c r="L905" s="93" t="s">
        <v>232</v>
      </c>
      <c r="M905" s="97">
        <v>1883</v>
      </c>
      <c r="N905" s="64" t="s">
        <v>385</v>
      </c>
      <c r="O905" s="202">
        <v>4</v>
      </c>
      <c r="P905" s="196">
        <v>0</v>
      </c>
      <c r="Q905" s="202">
        <v>6</v>
      </c>
      <c r="R905" s="103">
        <v>16</v>
      </c>
      <c r="S905" s="19">
        <v>2143</v>
      </c>
      <c r="T905" s="19">
        <v>1861</v>
      </c>
      <c r="U905" s="93">
        <v>1535</v>
      </c>
      <c r="V905" s="98">
        <v>365</v>
      </c>
      <c r="W905" s="205" t="s">
        <v>233</v>
      </c>
      <c r="X905" s="205" t="s">
        <v>233</v>
      </c>
      <c r="Y905" s="206" t="s">
        <v>240</v>
      </c>
      <c r="Z905" s="205" t="s">
        <v>233</v>
      </c>
      <c r="AA905" s="205" t="s">
        <v>233</v>
      </c>
      <c r="AB905" s="205" t="s">
        <v>233</v>
      </c>
      <c r="AC905" s="206" t="s">
        <v>233</v>
      </c>
      <c r="AD905" s="205" t="s">
        <v>233</v>
      </c>
      <c r="AE905" s="206" t="s">
        <v>240</v>
      </c>
      <c r="AF905" s="212">
        <v>0</v>
      </c>
      <c r="AG905" s="93">
        <v>1</v>
      </c>
      <c r="AH905" s="93">
        <v>1</v>
      </c>
      <c r="AI905" s="93">
        <v>0</v>
      </c>
      <c r="AJ905" s="93">
        <v>1</v>
      </c>
      <c r="AK905" s="93">
        <v>0</v>
      </c>
    </row>
    <row r="906" spans="1:37" s="100" customFormat="1" outlineLevel="1">
      <c r="A906" s="63">
        <v>899</v>
      </c>
      <c r="B906" s="93" t="s">
        <v>379</v>
      </c>
      <c r="C906" s="93" t="s">
        <v>380</v>
      </c>
      <c r="D906" s="94" t="s">
        <v>499</v>
      </c>
      <c r="E906" s="93">
        <v>71</v>
      </c>
      <c r="F906" s="99" t="s">
        <v>231</v>
      </c>
      <c r="G906" s="93"/>
      <c r="H906" s="102" t="s">
        <v>522</v>
      </c>
      <c r="I906" s="93" t="s">
        <v>383</v>
      </c>
      <c r="J906" s="93"/>
      <c r="K906" s="96" t="s">
        <v>384</v>
      </c>
      <c r="L906" s="93" t="s">
        <v>232</v>
      </c>
      <c r="M906" s="97">
        <v>1883</v>
      </c>
      <c r="N906" s="64" t="s">
        <v>385</v>
      </c>
      <c r="O906" s="202">
        <v>4</v>
      </c>
      <c r="P906" s="196">
        <v>0</v>
      </c>
      <c r="Q906" s="202">
        <v>4</v>
      </c>
      <c r="R906" s="103">
        <v>13</v>
      </c>
      <c r="S906" s="19">
        <v>846</v>
      </c>
      <c r="T906" s="19">
        <v>724</v>
      </c>
      <c r="U906" s="93">
        <v>586</v>
      </c>
      <c r="V906" s="98">
        <v>132</v>
      </c>
      <c r="W906" s="205" t="s">
        <v>233</v>
      </c>
      <c r="X906" s="205" t="s">
        <v>233</v>
      </c>
      <c r="Y906" s="206" t="s">
        <v>240</v>
      </c>
      <c r="Z906" s="205" t="s">
        <v>233</v>
      </c>
      <c r="AA906" s="205" t="s">
        <v>233</v>
      </c>
      <c r="AB906" s="205" t="s">
        <v>233</v>
      </c>
      <c r="AC906" s="206" t="s">
        <v>233</v>
      </c>
      <c r="AD906" s="205" t="s">
        <v>233</v>
      </c>
      <c r="AE906" s="206" t="s">
        <v>240</v>
      </c>
      <c r="AF906" s="212">
        <v>0</v>
      </c>
      <c r="AG906" s="93">
        <v>1</v>
      </c>
      <c r="AH906" s="93">
        <v>0</v>
      </c>
      <c r="AI906" s="93">
        <v>0</v>
      </c>
      <c r="AJ906" s="93">
        <v>1</v>
      </c>
      <c r="AK906" s="93">
        <v>0</v>
      </c>
    </row>
    <row r="907" spans="1:37" s="100" customFormat="1" outlineLevel="1">
      <c r="A907" s="63">
        <v>900</v>
      </c>
      <c r="B907" s="93" t="s">
        <v>379</v>
      </c>
      <c r="C907" s="93" t="s">
        <v>380</v>
      </c>
      <c r="D907" s="94" t="s">
        <v>499</v>
      </c>
      <c r="E907" s="93">
        <v>73</v>
      </c>
      <c r="F907" s="99" t="s">
        <v>191</v>
      </c>
      <c r="G907" s="93"/>
      <c r="H907" s="102" t="s">
        <v>523</v>
      </c>
      <c r="I907" s="93" t="s">
        <v>383</v>
      </c>
      <c r="J907" s="93"/>
      <c r="K907" s="96" t="s">
        <v>384</v>
      </c>
      <c r="L907" s="93" t="s">
        <v>232</v>
      </c>
      <c r="M907" s="97">
        <v>1885</v>
      </c>
      <c r="N907" s="64" t="s">
        <v>385</v>
      </c>
      <c r="O907" s="202">
        <v>5</v>
      </c>
      <c r="P907" s="196">
        <v>0</v>
      </c>
      <c r="Q907" s="202">
        <v>4</v>
      </c>
      <c r="R907" s="103">
        <v>29</v>
      </c>
      <c r="S907" s="19">
        <v>3607</v>
      </c>
      <c r="T907" s="19">
        <v>3192</v>
      </c>
      <c r="U907" s="93">
        <v>2616</v>
      </c>
      <c r="V907" s="98">
        <v>606</v>
      </c>
      <c r="W907" s="205" t="s">
        <v>233</v>
      </c>
      <c r="X907" s="205" t="s">
        <v>233</v>
      </c>
      <c r="Y907" s="206" t="s">
        <v>240</v>
      </c>
      <c r="Z907" s="205" t="s">
        <v>233</v>
      </c>
      <c r="AA907" s="205" t="s">
        <v>233</v>
      </c>
      <c r="AB907" s="205" t="s">
        <v>233</v>
      </c>
      <c r="AC907" s="206" t="s">
        <v>233</v>
      </c>
      <c r="AD907" s="205" t="s">
        <v>233</v>
      </c>
      <c r="AE907" s="206" t="s">
        <v>240</v>
      </c>
      <c r="AF907" s="212">
        <v>1</v>
      </c>
      <c r="AG907" s="93">
        <v>1</v>
      </c>
      <c r="AH907" s="93">
        <v>1</v>
      </c>
      <c r="AI907" s="93">
        <v>0</v>
      </c>
      <c r="AJ907" s="93">
        <v>0</v>
      </c>
      <c r="AK907" s="93">
        <v>0</v>
      </c>
    </row>
    <row r="908" spans="1:37" s="100" customFormat="1" outlineLevel="1">
      <c r="A908" s="63">
        <v>901</v>
      </c>
      <c r="B908" s="93" t="s">
        <v>379</v>
      </c>
      <c r="C908" s="93" t="s">
        <v>380</v>
      </c>
      <c r="D908" s="94" t="s">
        <v>499</v>
      </c>
      <c r="E908" s="93">
        <v>75</v>
      </c>
      <c r="F908" s="99" t="s">
        <v>191</v>
      </c>
      <c r="G908" s="93"/>
      <c r="H908" s="102" t="s">
        <v>524</v>
      </c>
      <c r="I908" s="93" t="s">
        <v>383</v>
      </c>
      <c r="J908" s="93"/>
      <c r="K908" s="96" t="s">
        <v>384</v>
      </c>
      <c r="L908" s="93" t="s">
        <v>232</v>
      </c>
      <c r="M908" s="97">
        <v>1958</v>
      </c>
      <c r="N908" s="64" t="s">
        <v>385</v>
      </c>
      <c r="O908" s="202">
        <v>5</v>
      </c>
      <c r="P908" s="196">
        <v>0</v>
      </c>
      <c r="Q908" s="202">
        <v>1</v>
      </c>
      <c r="R908" s="103">
        <v>14</v>
      </c>
      <c r="S908" s="19">
        <v>1311</v>
      </c>
      <c r="T908" s="19">
        <v>1210</v>
      </c>
      <c r="U908" s="93">
        <v>941</v>
      </c>
      <c r="V908" s="98">
        <v>281</v>
      </c>
      <c r="W908" s="205" t="s">
        <v>233</v>
      </c>
      <c r="X908" s="205" t="s">
        <v>233</v>
      </c>
      <c r="Y908" s="206" t="s">
        <v>240</v>
      </c>
      <c r="Z908" s="205" t="s">
        <v>233</v>
      </c>
      <c r="AA908" s="205" t="s">
        <v>233</v>
      </c>
      <c r="AB908" s="205" t="s">
        <v>233</v>
      </c>
      <c r="AC908" s="206" t="s">
        <v>233</v>
      </c>
      <c r="AD908" s="205" t="s">
        <v>233</v>
      </c>
      <c r="AE908" s="206" t="s">
        <v>240</v>
      </c>
      <c r="AF908" s="212">
        <v>0</v>
      </c>
      <c r="AG908" s="93">
        <v>1</v>
      </c>
      <c r="AH908" s="93">
        <v>1</v>
      </c>
      <c r="AI908" s="93">
        <v>0</v>
      </c>
      <c r="AJ908" s="93">
        <v>1</v>
      </c>
      <c r="AK908" s="93">
        <v>0</v>
      </c>
    </row>
    <row r="909" spans="1:37" s="100" customFormat="1" outlineLevel="1">
      <c r="A909" s="63">
        <v>902</v>
      </c>
      <c r="B909" s="93" t="s">
        <v>379</v>
      </c>
      <c r="C909" s="93" t="s">
        <v>380</v>
      </c>
      <c r="D909" s="94" t="s">
        <v>499</v>
      </c>
      <c r="E909" s="93">
        <v>77</v>
      </c>
      <c r="F909" s="99" t="s">
        <v>191</v>
      </c>
      <c r="G909" s="93"/>
      <c r="H909" s="102" t="s">
        <v>525</v>
      </c>
      <c r="I909" s="93" t="s">
        <v>383</v>
      </c>
      <c r="J909" s="93"/>
      <c r="K909" s="96" t="s">
        <v>384</v>
      </c>
      <c r="L909" s="93" t="s">
        <v>232</v>
      </c>
      <c r="M909" s="97">
        <v>1777</v>
      </c>
      <c r="N909" s="64" t="s">
        <v>385</v>
      </c>
      <c r="O909" s="202">
        <v>3</v>
      </c>
      <c r="P909" s="196">
        <v>0</v>
      </c>
      <c r="Q909" s="202">
        <v>6</v>
      </c>
      <c r="R909" s="103">
        <v>29</v>
      </c>
      <c r="S909" s="19">
        <v>2183</v>
      </c>
      <c r="T909" s="19">
        <v>1888</v>
      </c>
      <c r="U909" s="93">
        <v>1683</v>
      </c>
      <c r="V909" s="98">
        <v>268</v>
      </c>
      <c r="W909" s="205" t="s">
        <v>233</v>
      </c>
      <c r="X909" s="205" t="s">
        <v>233</v>
      </c>
      <c r="Y909" s="206" t="s">
        <v>240</v>
      </c>
      <c r="Z909" s="205" t="s">
        <v>233</v>
      </c>
      <c r="AA909" s="205" t="s">
        <v>233</v>
      </c>
      <c r="AB909" s="205" t="s">
        <v>233</v>
      </c>
      <c r="AC909" s="206" t="s">
        <v>233</v>
      </c>
      <c r="AD909" s="205" t="s">
        <v>233</v>
      </c>
      <c r="AE909" s="206" t="s">
        <v>240</v>
      </c>
      <c r="AF909" s="212">
        <v>0</v>
      </c>
      <c r="AG909" s="93">
        <v>1</v>
      </c>
      <c r="AH909" s="93">
        <v>1</v>
      </c>
      <c r="AI909" s="93">
        <v>0</v>
      </c>
      <c r="AJ909" s="93">
        <v>1</v>
      </c>
      <c r="AK909" s="93">
        <v>0</v>
      </c>
    </row>
    <row r="910" spans="1:37" s="100" customFormat="1" outlineLevel="1">
      <c r="A910" s="63">
        <v>903</v>
      </c>
      <c r="B910" s="93" t="s">
        <v>379</v>
      </c>
      <c r="C910" s="93" t="s">
        <v>380</v>
      </c>
      <c r="D910" s="94" t="s">
        <v>499</v>
      </c>
      <c r="E910" s="93">
        <v>79</v>
      </c>
      <c r="F910" s="99" t="s">
        <v>191</v>
      </c>
      <c r="G910" s="93"/>
      <c r="H910" s="102" t="s">
        <v>526</v>
      </c>
      <c r="I910" s="93" t="s">
        <v>383</v>
      </c>
      <c r="J910" s="93"/>
      <c r="K910" s="96" t="s">
        <v>384</v>
      </c>
      <c r="L910" s="93" t="s">
        <v>232</v>
      </c>
      <c r="M910" s="97">
        <v>1882</v>
      </c>
      <c r="N910" s="64" t="s">
        <v>385</v>
      </c>
      <c r="O910" s="202">
        <v>4</v>
      </c>
      <c r="P910" s="196">
        <v>0</v>
      </c>
      <c r="Q910" s="202">
        <v>4</v>
      </c>
      <c r="R910" s="103">
        <v>18</v>
      </c>
      <c r="S910" s="19">
        <v>3645</v>
      </c>
      <c r="T910" s="19">
        <v>3343</v>
      </c>
      <c r="U910" s="93">
        <v>2230</v>
      </c>
      <c r="V910" s="98">
        <v>1117</v>
      </c>
      <c r="W910" s="205" t="s">
        <v>233</v>
      </c>
      <c r="X910" s="205" t="s">
        <v>233</v>
      </c>
      <c r="Y910" s="206" t="s">
        <v>240</v>
      </c>
      <c r="Z910" s="205" t="s">
        <v>233</v>
      </c>
      <c r="AA910" s="205" t="s">
        <v>233</v>
      </c>
      <c r="AB910" s="205" t="s">
        <v>233</v>
      </c>
      <c r="AC910" s="206" t="s">
        <v>233</v>
      </c>
      <c r="AD910" s="205" t="s">
        <v>233</v>
      </c>
      <c r="AE910" s="206" t="s">
        <v>240</v>
      </c>
      <c r="AF910" s="212">
        <v>0</v>
      </c>
      <c r="AG910" s="93">
        <v>1</v>
      </c>
      <c r="AH910" s="93">
        <v>1</v>
      </c>
      <c r="AI910" s="93">
        <v>0</v>
      </c>
      <c r="AJ910" s="93">
        <v>1</v>
      </c>
      <c r="AK910" s="93">
        <v>0</v>
      </c>
    </row>
    <row r="911" spans="1:37" s="100" customFormat="1" outlineLevel="1">
      <c r="A911" s="63">
        <v>904</v>
      </c>
      <c r="B911" s="93" t="s">
        <v>379</v>
      </c>
      <c r="C911" s="93" t="s">
        <v>380</v>
      </c>
      <c r="D911" s="94" t="s">
        <v>527</v>
      </c>
      <c r="E911" s="102" t="s">
        <v>528</v>
      </c>
      <c r="F911" s="99" t="s">
        <v>191</v>
      </c>
      <c r="G911" s="93"/>
      <c r="H911" s="102" t="s">
        <v>529</v>
      </c>
      <c r="I911" s="93" t="s">
        <v>383</v>
      </c>
      <c r="J911" s="93"/>
      <c r="K911" s="96" t="s">
        <v>384</v>
      </c>
      <c r="L911" s="93" t="s">
        <v>232</v>
      </c>
      <c r="M911" s="97">
        <v>1863</v>
      </c>
      <c r="N911" s="64" t="s">
        <v>385</v>
      </c>
      <c r="O911" s="202">
        <v>4</v>
      </c>
      <c r="P911" s="196">
        <v>0</v>
      </c>
      <c r="Q911" s="202">
        <v>3</v>
      </c>
      <c r="R911" s="19">
        <v>34</v>
      </c>
      <c r="S911" s="19">
        <v>3311</v>
      </c>
      <c r="T911" s="19">
        <v>3001</v>
      </c>
      <c r="U911" s="93">
        <v>2922</v>
      </c>
      <c r="V911" s="98">
        <v>79</v>
      </c>
      <c r="W911" s="205" t="s">
        <v>233</v>
      </c>
      <c r="X911" s="205" t="s">
        <v>233</v>
      </c>
      <c r="Y911" s="206" t="s">
        <v>233</v>
      </c>
      <c r="Z911" s="205" t="s">
        <v>233</v>
      </c>
      <c r="AA911" s="205" t="s">
        <v>233</v>
      </c>
      <c r="AB911" s="205" t="s">
        <v>233</v>
      </c>
      <c r="AC911" s="206" t="s">
        <v>240</v>
      </c>
      <c r="AD911" s="205" t="s">
        <v>233</v>
      </c>
      <c r="AE911" s="206" t="s">
        <v>240</v>
      </c>
      <c r="AF911" s="212">
        <v>0</v>
      </c>
      <c r="AG911" s="93">
        <v>1</v>
      </c>
      <c r="AH911" s="93">
        <v>1</v>
      </c>
      <c r="AI911" s="93">
        <v>0</v>
      </c>
      <c r="AJ911" s="93">
        <v>0</v>
      </c>
      <c r="AK911" s="93">
        <v>0</v>
      </c>
    </row>
    <row r="912" spans="1:37" s="100" customFormat="1" outlineLevel="1">
      <c r="A912" s="63">
        <v>905</v>
      </c>
      <c r="B912" s="93" t="s">
        <v>379</v>
      </c>
      <c r="C912" s="93" t="s">
        <v>380</v>
      </c>
      <c r="D912" s="94" t="s">
        <v>527</v>
      </c>
      <c r="E912" s="102" t="s">
        <v>530</v>
      </c>
      <c r="F912" s="99" t="s">
        <v>191</v>
      </c>
      <c r="G912" s="93"/>
      <c r="H912" s="102" t="s">
        <v>531</v>
      </c>
      <c r="I912" s="93" t="s">
        <v>383</v>
      </c>
      <c r="J912" s="93"/>
      <c r="K912" s="96" t="s">
        <v>384</v>
      </c>
      <c r="L912" s="93" t="s">
        <v>232</v>
      </c>
      <c r="M912" s="97">
        <v>1917</v>
      </c>
      <c r="N912" s="64" t="s">
        <v>385</v>
      </c>
      <c r="O912" s="202">
        <v>4</v>
      </c>
      <c r="P912" s="196">
        <v>0</v>
      </c>
      <c r="Q912" s="202">
        <v>3</v>
      </c>
      <c r="R912" s="19">
        <v>21</v>
      </c>
      <c r="S912" s="19">
        <v>1702</v>
      </c>
      <c r="T912" s="19">
        <v>1529</v>
      </c>
      <c r="U912" s="93">
        <v>1431</v>
      </c>
      <c r="V912" s="98">
        <v>98</v>
      </c>
      <c r="W912" s="205" t="s">
        <v>233</v>
      </c>
      <c r="X912" s="205" t="s">
        <v>233</v>
      </c>
      <c r="Y912" s="206" t="s">
        <v>233</v>
      </c>
      <c r="Z912" s="205" t="s">
        <v>233</v>
      </c>
      <c r="AA912" s="205" t="s">
        <v>233</v>
      </c>
      <c r="AB912" s="205" t="s">
        <v>233</v>
      </c>
      <c r="AC912" s="206" t="s">
        <v>240</v>
      </c>
      <c r="AD912" s="205" t="s">
        <v>233</v>
      </c>
      <c r="AE912" s="206" t="s">
        <v>240</v>
      </c>
      <c r="AF912" s="212">
        <v>0</v>
      </c>
      <c r="AG912" s="93">
        <v>1</v>
      </c>
      <c r="AH912" s="93">
        <v>1</v>
      </c>
      <c r="AI912" s="93">
        <v>0</v>
      </c>
      <c r="AJ912" s="93">
        <v>0</v>
      </c>
      <c r="AK912" s="93">
        <v>0</v>
      </c>
    </row>
    <row r="913" spans="1:37" s="100" customFormat="1" outlineLevel="1">
      <c r="A913" s="63">
        <v>906</v>
      </c>
      <c r="B913" s="93" t="s">
        <v>379</v>
      </c>
      <c r="C913" s="93" t="s">
        <v>380</v>
      </c>
      <c r="D913" s="94" t="s">
        <v>527</v>
      </c>
      <c r="E913" s="93">
        <v>9</v>
      </c>
      <c r="F913" s="99" t="s">
        <v>191</v>
      </c>
      <c r="G913" s="93"/>
      <c r="H913" s="102" t="s">
        <v>532</v>
      </c>
      <c r="I913" s="93" t="s">
        <v>383</v>
      </c>
      <c r="J913" s="93"/>
      <c r="K913" s="96" t="s">
        <v>384</v>
      </c>
      <c r="L913" s="93" t="s">
        <v>232</v>
      </c>
      <c r="M913" s="97">
        <v>1917</v>
      </c>
      <c r="N913" s="64" t="s">
        <v>385</v>
      </c>
      <c r="O913" s="202">
        <v>3</v>
      </c>
      <c r="P913" s="196">
        <v>0</v>
      </c>
      <c r="Q913" s="202">
        <v>1</v>
      </c>
      <c r="R913" s="19">
        <v>6</v>
      </c>
      <c r="S913" s="19">
        <v>347</v>
      </c>
      <c r="T913" s="19">
        <v>302</v>
      </c>
      <c r="U913" s="93">
        <v>302</v>
      </c>
      <c r="V913" s="98">
        <v>0</v>
      </c>
      <c r="W913" s="205" t="s">
        <v>233</v>
      </c>
      <c r="X913" s="205" t="s">
        <v>233</v>
      </c>
      <c r="Y913" s="206" t="s">
        <v>233</v>
      </c>
      <c r="Z913" s="205" t="s">
        <v>233</v>
      </c>
      <c r="AA913" s="205" t="s">
        <v>233</v>
      </c>
      <c r="AB913" s="205" t="s">
        <v>233</v>
      </c>
      <c r="AC913" s="206" t="s">
        <v>240</v>
      </c>
      <c r="AD913" s="205" t="s">
        <v>233</v>
      </c>
      <c r="AE913" s="206" t="s">
        <v>240</v>
      </c>
      <c r="AF913" s="212">
        <v>0</v>
      </c>
      <c r="AG913" s="93">
        <v>1</v>
      </c>
      <c r="AH913" s="93">
        <v>0</v>
      </c>
      <c r="AI913" s="93">
        <v>0</v>
      </c>
      <c r="AJ913" s="93">
        <v>0</v>
      </c>
      <c r="AK913" s="93">
        <v>0</v>
      </c>
    </row>
    <row r="914" spans="1:37" s="100" customFormat="1" outlineLevel="1">
      <c r="A914" s="63">
        <v>907</v>
      </c>
      <c r="B914" s="93" t="s">
        <v>379</v>
      </c>
      <c r="C914" s="93" t="s">
        <v>380</v>
      </c>
      <c r="D914" s="94" t="s">
        <v>533</v>
      </c>
      <c r="E914" s="93">
        <v>43</v>
      </c>
      <c r="F914" s="99" t="s">
        <v>191</v>
      </c>
      <c r="G914" s="93"/>
      <c r="H914" s="102" t="s">
        <v>534</v>
      </c>
      <c r="I914" s="93" t="s">
        <v>383</v>
      </c>
      <c r="J914" s="93"/>
      <c r="K914" s="96" t="s">
        <v>384</v>
      </c>
      <c r="L914" s="93" t="s">
        <v>232</v>
      </c>
      <c r="M914" s="97">
        <v>1917</v>
      </c>
      <c r="N914" s="64" t="s">
        <v>385</v>
      </c>
      <c r="O914" s="202">
        <v>3</v>
      </c>
      <c r="P914" s="196">
        <v>0</v>
      </c>
      <c r="Q914" s="202">
        <v>4</v>
      </c>
      <c r="R914" s="19">
        <v>17</v>
      </c>
      <c r="S914" s="19">
        <v>2583</v>
      </c>
      <c r="T914" s="19">
        <v>2413</v>
      </c>
      <c r="U914" s="93">
        <v>1668</v>
      </c>
      <c r="V914" s="98">
        <v>754</v>
      </c>
      <c r="W914" s="205" t="s">
        <v>233</v>
      </c>
      <c r="X914" s="205" t="s">
        <v>233</v>
      </c>
      <c r="Y914" s="206" t="s">
        <v>233</v>
      </c>
      <c r="Z914" s="205" t="s">
        <v>233</v>
      </c>
      <c r="AA914" s="205" t="s">
        <v>233</v>
      </c>
      <c r="AB914" s="205" t="s">
        <v>233</v>
      </c>
      <c r="AC914" s="206" t="s">
        <v>240</v>
      </c>
      <c r="AD914" s="205" t="s">
        <v>233</v>
      </c>
      <c r="AE914" s="206" t="s">
        <v>240</v>
      </c>
      <c r="AF914" s="212">
        <v>0</v>
      </c>
      <c r="AG914" s="93">
        <v>1</v>
      </c>
      <c r="AH914" s="93">
        <v>1</v>
      </c>
      <c r="AI914" s="93">
        <v>1</v>
      </c>
      <c r="AJ914" s="93">
        <v>1</v>
      </c>
      <c r="AK914" s="93">
        <v>0</v>
      </c>
    </row>
    <row r="915" spans="1:37" s="100" customFormat="1" outlineLevel="1">
      <c r="A915" s="63">
        <v>908</v>
      </c>
      <c r="B915" s="93" t="s">
        <v>379</v>
      </c>
      <c r="C915" s="93" t="s">
        <v>380</v>
      </c>
      <c r="D915" s="94" t="s">
        <v>533</v>
      </c>
      <c r="E915" s="93">
        <v>64</v>
      </c>
      <c r="F915" s="99" t="s">
        <v>191</v>
      </c>
      <c r="G915" s="93"/>
      <c r="H915" s="102" t="s">
        <v>535</v>
      </c>
      <c r="I915" s="93" t="s">
        <v>383</v>
      </c>
      <c r="J915" s="93"/>
      <c r="K915" s="96" t="s">
        <v>384</v>
      </c>
      <c r="L915" s="93" t="s">
        <v>232</v>
      </c>
      <c r="M915" s="97">
        <v>1917</v>
      </c>
      <c r="N915" s="64" t="s">
        <v>385</v>
      </c>
      <c r="O915" s="202">
        <v>6</v>
      </c>
      <c r="P915" s="196">
        <v>0</v>
      </c>
      <c r="Q915" s="202">
        <v>4</v>
      </c>
      <c r="R915" s="19">
        <v>20</v>
      </c>
      <c r="S915" s="19">
        <v>4528</v>
      </c>
      <c r="T915" s="19">
        <v>3882</v>
      </c>
      <c r="U915" s="93">
        <v>3175</v>
      </c>
      <c r="V915" s="98">
        <v>786</v>
      </c>
      <c r="W915" s="205" t="s">
        <v>233</v>
      </c>
      <c r="X915" s="205" t="s">
        <v>233</v>
      </c>
      <c r="Y915" s="206" t="s">
        <v>233</v>
      </c>
      <c r="Z915" s="205" t="s">
        <v>233</v>
      </c>
      <c r="AA915" s="205" t="s">
        <v>233</v>
      </c>
      <c r="AB915" s="205" t="s">
        <v>233</v>
      </c>
      <c r="AC915" s="206" t="s">
        <v>240</v>
      </c>
      <c r="AD915" s="205" t="s">
        <v>233</v>
      </c>
      <c r="AE915" s="206" t="s">
        <v>240</v>
      </c>
      <c r="AF915" s="212">
        <v>2</v>
      </c>
      <c r="AG915" s="93">
        <v>1</v>
      </c>
      <c r="AH915" s="93">
        <v>1</v>
      </c>
      <c r="AI915" s="93">
        <v>1</v>
      </c>
      <c r="AJ915" s="93">
        <v>1</v>
      </c>
      <c r="AK915" s="93">
        <v>0</v>
      </c>
    </row>
    <row r="916" spans="1:37" s="100" customFormat="1" outlineLevel="1">
      <c r="A916" s="63">
        <v>909</v>
      </c>
      <c r="B916" s="93" t="s">
        <v>379</v>
      </c>
      <c r="C916" s="93" t="s">
        <v>380</v>
      </c>
      <c r="D916" s="94" t="s">
        <v>536</v>
      </c>
      <c r="E916" s="93">
        <v>8</v>
      </c>
      <c r="F916" s="99" t="s">
        <v>191</v>
      </c>
      <c r="G916" s="93"/>
      <c r="H916" s="102" t="s">
        <v>537</v>
      </c>
      <c r="I916" s="93" t="s">
        <v>383</v>
      </c>
      <c r="J916" s="93"/>
      <c r="K916" s="96" t="s">
        <v>384</v>
      </c>
      <c r="L916" s="93" t="s">
        <v>232</v>
      </c>
      <c r="M916" s="97">
        <v>1893</v>
      </c>
      <c r="N916" s="64" t="s">
        <v>385</v>
      </c>
      <c r="O916" s="202">
        <v>4</v>
      </c>
      <c r="P916" s="196">
        <v>0</v>
      </c>
      <c r="Q916" s="202">
        <v>1</v>
      </c>
      <c r="R916" s="19">
        <v>3</v>
      </c>
      <c r="S916" s="19">
        <v>679</v>
      </c>
      <c r="T916" s="19">
        <v>455</v>
      </c>
      <c r="U916" s="93">
        <v>455</v>
      </c>
      <c r="V916" s="98">
        <v>145</v>
      </c>
      <c r="W916" s="205" t="s">
        <v>233</v>
      </c>
      <c r="X916" s="205" t="s">
        <v>233</v>
      </c>
      <c r="Y916" s="206" t="s">
        <v>233</v>
      </c>
      <c r="Z916" s="205" t="s">
        <v>233</v>
      </c>
      <c r="AA916" s="205" t="s">
        <v>233</v>
      </c>
      <c r="AB916" s="205" t="s">
        <v>233</v>
      </c>
      <c r="AC916" s="206" t="s">
        <v>240</v>
      </c>
      <c r="AD916" s="205" t="s">
        <v>233</v>
      </c>
      <c r="AE916" s="206" t="s">
        <v>240</v>
      </c>
      <c r="AF916" s="212">
        <v>0</v>
      </c>
      <c r="AG916" s="93">
        <v>1</v>
      </c>
      <c r="AH916" s="93">
        <v>0</v>
      </c>
      <c r="AI916" s="93">
        <v>0</v>
      </c>
      <c r="AJ916" s="93">
        <v>0</v>
      </c>
      <c r="AK916" s="93">
        <v>0</v>
      </c>
    </row>
    <row r="917" spans="1:37" s="100" customFormat="1" outlineLevel="1">
      <c r="A917" s="63">
        <v>910</v>
      </c>
      <c r="B917" s="93" t="s">
        <v>379</v>
      </c>
      <c r="C917" s="93" t="s">
        <v>380</v>
      </c>
      <c r="D917" s="94" t="s">
        <v>536</v>
      </c>
      <c r="E917" s="93">
        <v>21</v>
      </c>
      <c r="F917" s="99" t="s">
        <v>191</v>
      </c>
      <c r="G917" s="93"/>
      <c r="H917" s="102" t="s">
        <v>538</v>
      </c>
      <c r="I917" s="93" t="s">
        <v>383</v>
      </c>
      <c r="J917" s="93"/>
      <c r="K917" s="96" t="s">
        <v>384</v>
      </c>
      <c r="L917" s="93" t="s">
        <v>232</v>
      </c>
      <c r="M917" s="97">
        <v>1917</v>
      </c>
      <c r="N917" s="64" t="s">
        <v>385</v>
      </c>
      <c r="O917" s="202">
        <v>5</v>
      </c>
      <c r="P917" s="196">
        <v>0</v>
      </c>
      <c r="Q917" s="202">
        <v>4</v>
      </c>
      <c r="R917" s="19">
        <v>27</v>
      </c>
      <c r="S917" s="19">
        <v>3117</v>
      </c>
      <c r="T917" s="19">
        <v>2571</v>
      </c>
      <c r="U917" s="93">
        <v>2447</v>
      </c>
      <c r="V917" s="98">
        <v>333</v>
      </c>
      <c r="W917" s="205" t="s">
        <v>233</v>
      </c>
      <c r="X917" s="205" t="s">
        <v>233</v>
      </c>
      <c r="Y917" s="206" t="s">
        <v>233</v>
      </c>
      <c r="Z917" s="205" t="s">
        <v>233</v>
      </c>
      <c r="AA917" s="205" t="s">
        <v>233</v>
      </c>
      <c r="AB917" s="205" t="s">
        <v>233</v>
      </c>
      <c r="AC917" s="206" t="s">
        <v>240</v>
      </c>
      <c r="AD917" s="205" t="s">
        <v>233</v>
      </c>
      <c r="AE917" s="206" t="s">
        <v>240</v>
      </c>
      <c r="AF917" s="212">
        <v>0</v>
      </c>
      <c r="AG917" s="93">
        <v>1</v>
      </c>
      <c r="AH917" s="93">
        <v>1</v>
      </c>
      <c r="AI917" s="93">
        <v>1</v>
      </c>
      <c r="AJ917" s="93">
        <v>1</v>
      </c>
      <c r="AK917" s="93">
        <v>0</v>
      </c>
    </row>
    <row r="918" spans="1:37" s="100" customFormat="1" outlineLevel="1">
      <c r="A918" s="63">
        <v>911</v>
      </c>
      <c r="B918" s="93" t="s">
        <v>379</v>
      </c>
      <c r="C918" s="93" t="s">
        <v>380</v>
      </c>
      <c r="D918" s="94" t="s">
        <v>536</v>
      </c>
      <c r="E918" s="93">
        <v>23</v>
      </c>
      <c r="F918" s="99" t="s">
        <v>191</v>
      </c>
      <c r="G918" s="93"/>
      <c r="H918" s="102" t="s">
        <v>539</v>
      </c>
      <c r="I918" s="93" t="s">
        <v>383</v>
      </c>
      <c r="J918" s="93"/>
      <c r="K918" s="96" t="s">
        <v>384</v>
      </c>
      <c r="L918" s="93" t="s">
        <v>232</v>
      </c>
      <c r="M918" s="97">
        <v>1917</v>
      </c>
      <c r="N918" s="64" t="s">
        <v>385</v>
      </c>
      <c r="O918" s="202">
        <v>3</v>
      </c>
      <c r="P918" s="196">
        <v>0</v>
      </c>
      <c r="Q918" s="202">
        <v>1</v>
      </c>
      <c r="R918" s="19">
        <v>11</v>
      </c>
      <c r="S918" s="19">
        <v>2083</v>
      </c>
      <c r="T918" s="19">
        <v>1768</v>
      </c>
      <c r="U918" s="93">
        <v>610</v>
      </c>
      <c r="V918" s="98">
        <v>1229</v>
      </c>
      <c r="W918" s="205" t="s">
        <v>233</v>
      </c>
      <c r="X918" s="205" t="s">
        <v>233</v>
      </c>
      <c r="Y918" s="206" t="s">
        <v>233</v>
      </c>
      <c r="Z918" s="205" t="s">
        <v>233</v>
      </c>
      <c r="AA918" s="205" t="s">
        <v>233</v>
      </c>
      <c r="AB918" s="205" t="s">
        <v>233</v>
      </c>
      <c r="AC918" s="206" t="s">
        <v>240</v>
      </c>
      <c r="AD918" s="205" t="s">
        <v>233</v>
      </c>
      <c r="AE918" s="206" t="s">
        <v>240</v>
      </c>
      <c r="AF918" s="212">
        <v>0</v>
      </c>
      <c r="AG918" s="93">
        <v>1</v>
      </c>
      <c r="AH918" s="93">
        <v>1</v>
      </c>
      <c r="AI918" s="93">
        <v>0</v>
      </c>
      <c r="AJ918" s="93">
        <v>0</v>
      </c>
      <c r="AK918" s="93">
        <v>0</v>
      </c>
    </row>
    <row r="919" spans="1:37" s="100" customFormat="1" outlineLevel="1">
      <c r="A919" s="63">
        <v>912</v>
      </c>
      <c r="B919" s="93" t="s">
        <v>379</v>
      </c>
      <c r="C919" s="93" t="s">
        <v>380</v>
      </c>
      <c r="D919" s="94" t="s">
        <v>536</v>
      </c>
      <c r="E919" s="102" t="s">
        <v>540</v>
      </c>
      <c r="F919" s="99" t="s">
        <v>191</v>
      </c>
      <c r="G919" s="93"/>
      <c r="H919" s="102" t="s">
        <v>541</v>
      </c>
      <c r="I919" s="93" t="s">
        <v>383</v>
      </c>
      <c r="J919" s="93"/>
      <c r="K919" s="96" t="s">
        <v>384</v>
      </c>
      <c r="L919" s="93" t="s">
        <v>232</v>
      </c>
      <c r="M919" s="97">
        <v>1887</v>
      </c>
      <c r="N919" s="64" t="s">
        <v>385</v>
      </c>
      <c r="O919" s="202">
        <v>5</v>
      </c>
      <c r="P919" s="196">
        <v>0</v>
      </c>
      <c r="Q919" s="202">
        <v>3</v>
      </c>
      <c r="R919" s="19">
        <v>19</v>
      </c>
      <c r="S919" s="19">
        <v>2109</v>
      </c>
      <c r="T919" s="19">
        <v>2331</v>
      </c>
      <c r="U919" s="93">
        <v>1516</v>
      </c>
      <c r="V919" s="98">
        <v>369</v>
      </c>
      <c r="W919" s="205" t="s">
        <v>233</v>
      </c>
      <c r="X919" s="205" t="s">
        <v>233</v>
      </c>
      <c r="Y919" s="206" t="s">
        <v>233</v>
      </c>
      <c r="Z919" s="205" t="s">
        <v>233</v>
      </c>
      <c r="AA919" s="205" t="s">
        <v>233</v>
      </c>
      <c r="AB919" s="205" t="s">
        <v>233</v>
      </c>
      <c r="AC919" s="206" t="s">
        <v>240</v>
      </c>
      <c r="AD919" s="205" t="s">
        <v>233</v>
      </c>
      <c r="AE919" s="206" t="s">
        <v>240</v>
      </c>
      <c r="AF919" s="212">
        <v>0</v>
      </c>
      <c r="AG919" s="93">
        <v>1</v>
      </c>
      <c r="AH919" s="93">
        <v>1</v>
      </c>
      <c r="AI919" s="93">
        <v>0</v>
      </c>
      <c r="AJ919" s="93">
        <v>0</v>
      </c>
      <c r="AK919" s="93">
        <v>0</v>
      </c>
    </row>
    <row r="920" spans="1:37" s="100" customFormat="1" outlineLevel="1">
      <c r="A920" s="63">
        <v>913</v>
      </c>
      <c r="B920" s="93" t="s">
        <v>379</v>
      </c>
      <c r="C920" s="93" t="s">
        <v>380</v>
      </c>
      <c r="D920" s="94" t="s">
        <v>542</v>
      </c>
      <c r="E920" s="102" t="s">
        <v>543</v>
      </c>
      <c r="F920" s="99" t="s">
        <v>191</v>
      </c>
      <c r="G920" s="93"/>
      <c r="H920" s="102" t="s">
        <v>544</v>
      </c>
      <c r="I920" s="93" t="s">
        <v>383</v>
      </c>
      <c r="J920" s="93"/>
      <c r="K920" s="96" t="s">
        <v>384</v>
      </c>
      <c r="L920" s="93" t="s">
        <v>232</v>
      </c>
      <c r="M920" s="97">
        <v>1858</v>
      </c>
      <c r="N920" s="64" t="s">
        <v>385</v>
      </c>
      <c r="O920" s="202">
        <v>3</v>
      </c>
      <c r="P920" s="196">
        <v>0</v>
      </c>
      <c r="Q920" s="202">
        <v>3</v>
      </c>
      <c r="R920" s="19">
        <v>23</v>
      </c>
      <c r="S920" s="19">
        <v>2476</v>
      </c>
      <c r="T920" s="19">
        <v>2078</v>
      </c>
      <c r="U920" s="93">
        <v>1746</v>
      </c>
      <c r="V920" s="98">
        <v>566</v>
      </c>
      <c r="W920" s="205" t="s">
        <v>233</v>
      </c>
      <c r="X920" s="205" t="s">
        <v>233</v>
      </c>
      <c r="Y920" s="206" t="s">
        <v>240</v>
      </c>
      <c r="Z920" s="205" t="s">
        <v>233</v>
      </c>
      <c r="AA920" s="205" t="s">
        <v>233</v>
      </c>
      <c r="AB920" s="205" t="s">
        <v>233</v>
      </c>
      <c r="AC920" s="206" t="s">
        <v>233</v>
      </c>
      <c r="AD920" s="205" t="s">
        <v>233</v>
      </c>
      <c r="AE920" s="206" t="s">
        <v>240</v>
      </c>
      <c r="AF920" s="212">
        <v>0</v>
      </c>
      <c r="AG920" s="93">
        <v>1</v>
      </c>
      <c r="AH920" s="93">
        <v>1</v>
      </c>
      <c r="AI920" s="93">
        <v>0</v>
      </c>
      <c r="AJ920" s="93">
        <v>0</v>
      </c>
      <c r="AK920" s="93">
        <v>0</v>
      </c>
    </row>
    <row r="921" spans="1:37" s="100" customFormat="1" outlineLevel="1">
      <c r="A921" s="63">
        <v>914</v>
      </c>
      <c r="B921" s="93" t="s">
        <v>379</v>
      </c>
      <c r="C921" s="93" t="s">
        <v>380</v>
      </c>
      <c r="D921" s="94" t="s">
        <v>542</v>
      </c>
      <c r="E921" s="93">
        <v>26</v>
      </c>
      <c r="F921" s="99" t="s">
        <v>191</v>
      </c>
      <c r="G921" s="93"/>
      <c r="H921" s="102" t="s">
        <v>545</v>
      </c>
      <c r="I921" s="93" t="s">
        <v>383</v>
      </c>
      <c r="J921" s="93"/>
      <c r="K921" s="96" t="s">
        <v>384</v>
      </c>
      <c r="L921" s="93" t="s">
        <v>232</v>
      </c>
      <c r="M921" s="97">
        <v>1911</v>
      </c>
      <c r="N921" s="64" t="s">
        <v>385</v>
      </c>
      <c r="O921" s="202">
        <v>7</v>
      </c>
      <c r="P921" s="196">
        <v>0</v>
      </c>
      <c r="Q921" s="202">
        <v>1</v>
      </c>
      <c r="R921" s="19">
        <v>21</v>
      </c>
      <c r="S921" s="19">
        <v>1358</v>
      </c>
      <c r="T921" s="19">
        <v>1261</v>
      </c>
      <c r="U921" s="93">
        <v>1134</v>
      </c>
      <c r="V921" s="98">
        <v>119</v>
      </c>
      <c r="W921" s="205" t="s">
        <v>233</v>
      </c>
      <c r="X921" s="205" t="s">
        <v>233</v>
      </c>
      <c r="Y921" s="206" t="s">
        <v>233</v>
      </c>
      <c r="Z921" s="205" t="s">
        <v>233</v>
      </c>
      <c r="AA921" s="205" t="s">
        <v>233</v>
      </c>
      <c r="AB921" s="205" t="s">
        <v>233</v>
      </c>
      <c r="AC921" s="206" t="s">
        <v>240</v>
      </c>
      <c r="AD921" s="205" t="s">
        <v>233</v>
      </c>
      <c r="AE921" s="206" t="s">
        <v>240</v>
      </c>
      <c r="AF921" s="212">
        <v>1</v>
      </c>
      <c r="AG921" s="93">
        <v>1</v>
      </c>
      <c r="AH921" s="93">
        <v>1</v>
      </c>
      <c r="AI921" s="93">
        <v>0</v>
      </c>
      <c r="AJ921" s="93">
        <v>0</v>
      </c>
      <c r="AK921" s="93">
        <v>0</v>
      </c>
    </row>
    <row r="922" spans="1:37" s="100" customFormat="1" outlineLevel="1">
      <c r="A922" s="63">
        <v>915</v>
      </c>
      <c r="B922" s="93" t="s">
        <v>379</v>
      </c>
      <c r="C922" s="93" t="s">
        <v>380</v>
      </c>
      <c r="D922" s="94" t="s">
        <v>542</v>
      </c>
      <c r="E922" s="93">
        <v>28</v>
      </c>
      <c r="F922" s="99" t="s">
        <v>191</v>
      </c>
      <c r="G922" s="93"/>
      <c r="H922" s="102" t="s">
        <v>546</v>
      </c>
      <c r="I922" s="93" t="s">
        <v>383</v>
      </c>
      <c r="J922" s="93"/>
      <c r="K922" s="96" t="s">
        <v>384</v>
      </c>
      <c r="L922" s="93" t="s">
        <v>232</v>
      </c>
      <c r="M922" s="97">
        <v>1917</v>
      </c>
      <c r="N922" s="64" t="s">
        <v>385</v>
      </c>
      <c r="O922" s="202">
        <v>4</v>
      </c>
      <c r="P922" s="196">
        <v>0</v>
      </c>
      <c r="Q922" s="202">
        <v>1</v>
      </c>
      <c r="R922" s="19">
        <v>8</v>
      </c>
      <c r="S922" s="15">
        <v>1011</v>
      </c>
      <c r="T922" s="15">
        <v>899</v>
      </c>
      <c r="U922" s="104">
        <v>779</v>
      </c>
      <c r="V922" s="15">
        <v>162</v>
      </c>
      <c r="W922" s="205" t="s">
        <v>233</v>
      </c>
      <c r="X922" s="205" t="s">
        <v>233</v>
      </c>
      <c r="Y922" s="206" t="s">
        <v>233</v>
      </c>
      <c r="Z922" s="205" t="s">
        <v>233</v>
      </c>
      <c r="AA922" s="205" t="s">
        <v>233</v>
      </c>
      <c r="AB922" s="205" t="s">
        <v>233</v>
      </c>
      <c r="AC922" s="206" t="s">
        <v>240</v>
      </c>
      <c r="AD922" s="205" t="s">
        <v>233</v>
      </c>
      <c r="AE922" s="206" t="s">
        <v>240</v>
      </c>
      <c r="AF922" s="212">
        <v>0</v>
      </c>
      <c r="AG922" s="93">
        <v>1</v>
      </c>
      <c r="AH922" s="93">
        <v>1</v>
      </c>
      <c r="AI922" s="93">
        <v>0</v>
      </c>
      <c r="AJ922" s="93">
        <v>0</v>
      </c>
      <c r="AK922" s="93">
        <v>0</v>
      </c>
    </row>
    <row r="923" spans="1:37" s="100" customFormat="1" outlineLevel="1">
      <c r="A923" s="63">
        <v>916</v>
      </c>
      <c r="B923" s="93" t="s">
        <v>379</v>
      </c>
      <c r="C923" s="93" t="s">
        <v>380</v>
      </c>
      <c r="D923" s="94" t="s">
        <v>542</v>
      </c>
      <c r="E923" s="93">
        <v>28</v>
      </c>
      <c r="F923" s="99" t="s">
        <v>252</v>
      </c>
      <c r="G923" s="93"/>
      <c r="H923" s="102" t="s">
        <v>547</v>
      </c>
      <c r="I923" s="93" t="s">
        <v>383</v>
      </c>
      <c r="J923" s="93"/>
      <c r="K923" s="96" t="s">
        <v>384</v>
      </c>
      <c r="L923" s="93" t="s">
        <v>232</v>
      </c>
      <c r="M923" s="97">
        <v>1917</v>
      </c>
      <c r="N923" s="64" t="s">
        <v>385</v>
      </c>
      <c r="O923" s="202">
        <v>4</v>
      </c>
      <c r="P923" s="196">
        <v>0</v>
      </c>
      <c r="Q923" s="202">
        <v>1</v>
      </c>
      <c r="R923" s="19">
        <v>4</v>
      </c>
      <c r="S923" s="19">
        <v>371</v>
      </c>
      <c r="T923" s="19">
        <v>333</v>
      </c>
      <c r="U923" s="93">
        <v>172</v>
      </c>
      <c r="V923" s="98">
        <v>0</v>
      </c>
      <c r="W923" s="205" t="s">
        <v>233</v>
      </c>
      <c r="X923" s="205" t="s">
        <v>233</v>
      </c>
      <c r="Y923" s="206" t="s">
        <v>233</v>
      </c>
      <c r="Z923" s="205" t="s">
        <v>233</v>
      </c>
      <c r="AA923" s="205" t="s">
        <v>233</v>
      </c>
      <c r="AB923" s="205" t="s">
        <v>233</v>
      </c>
      <c r="AC923" s="206" t="s">
        <v>240</v>
      </c>
      <c r="AD923" s="205" t="s">
        <v>233</v>
      </c>
      <c r="AE923" s="206" t="s">
        <v>240</v>
      </c>
      <c r="AF923" s="212">
        <v>0</v>
      </c>
      <c r="AG923" s="93">
        <v>1</v>
      </c>
      <c r="AH923" s="93">
        <v>0</v>
      </c>
      <c r="AI923" s="93">
        <v>0</v>
      </c>
      <c r="AJ923" s="93">
        <v>0</v>
      </c>
      <c r="AK923" s="93">
        <v>0</v>
      </c>
    </row>
    <row r="924" spans="1:37" s="100" customFormat="1" outlineLevel="1">
      <c r="A924" s="63">
        <v>917</v>
      </c>
      <c r="B924" s="93" t="s">
        <v>379</v>
      </c>
      <c r="C924" s="93" t="s">
        <v>380</v>
      </c>
      <c r="D924" s="94" t="s">
        <v>542</v>
      </c>
      <c r="E924" s="93">
        <v>30</v>
      </c>
      <c r="F924" s="99" t="s">
        <v>191</v>
      </c>
      <c r="G924" s="93"/>
      <c r="H924" s="102" t="s">
        <v>548</v>
      </c>
      <c r="I924" s="93" t="s">
        <v>383</v>
      </c>
      <c r="J924" s="93"/>
      <c r="K924" s="96" t="s">
        <v>384</v>
      </c>
      <c r="L924" s="93" t="s">
        <v>232</v>
      </c>
      <c r="M924" s="97">
        <v>1917</v>
      </c>
      <c r="N924" s="64" t="s">
        <v>385</v>
      </c>
      <c r="O924" s="202">
        <v>6</v>
      </c>
      <c r="P924" s="196">
        <v>0</v>
      </c>
      <c r="Q924" s="202">
        <v>3</v>
      </c>
      <c r="R924" s="19">
        <v>15</v>
      </c>
      <c r="S924" s="19">
        <v>2348</v>
      </c>
      <c r="T924" s="19">
        <v>2183</v>
      </c>
      <c r="U924" s="93">
        <v>1823</v>
      </c>
      <c r="V924" s="98">
        <v>188</v>
      </c>
      <c r="W924" s="205" t="s">
        <v>233</v>
      </c>
      <c r="X924" s="205" t="s">
        <v>233</v>
      </c>
      <c r="Y924" s="206" t="s">
        <v>233</v>
      </c>
      <c r="Z924" s="205" t="s">
        <v>233</v>
      </c>
      <c r="AA924" s="205" t="s">
        <v>233</v>
      </c>
      <c r="AB924" s="205" t="s">
        <v>233</v>
      </c>
      <c r="AC924" s="206" t="s">
        <v>240</v>
      </c>
      <c r="AD924" s="205" t="s">
        <v>233</v>
      </c>
      <c r="AE924" s="206" t="s">
        <v>240</v>
      </c>
      <c r="AF924" s="212">
        <v>1</v>
      </c>
      <c r="AG924" s="93">
        <v>1</v>
      </c>
      <c r="AH924" s="93">
        <v>1</v>
      </c>
      <c r="AI924" s="93">
        <v>0</v>
      </c>
      <c r="AJ924" s="93">
        <v>0</v>
      </c>
      <c r="AK924" s="93">
        <v>0</v>
      </c>
    </row>
    <row r="925" spans="1:37" s="100" customFormat="1" outlineLevel="1">
      <c r="A925" s="63">
        <v>918</v>
      </c>
      <c r="B925" s="93" t="s">
        <v>379</v>
      </c>
      <c r="C925" s="93" t="s">
        <v>380</v>
      </c>
      <c r="D925" s="94" t="s">
        <v>542</v>
      </c>
      <c r="E925" s="93">
        <v>31</v>
      </c>
      <c r="F925" s="99" t="s">
        <v>191</v>
      </c>
      <c r="G925" s="93"/>
      <c r="H925" s="102" t="s">
        <v>549</v>
      </c>
      <c r="I925" s="93" t="s">
        <v>383</v>
      </c>
      <c r="J925" s="93"/>
      <c r="K925" s="96" t="s">
        <v>384</v>
      </c>
      <c r="L925" s="93" t="s">
        <v>232</v>
      </c>
      <c r="M925" s="97">
        <v>1852</v>
      </c>
      <c r="N925" s="64" t="s">
        <v>385</v>
      </c>
      <c r="O925" s="202">
        <v>4</v>
      </c>
      <c r="P925" s="196">
        <v>0</v>
      </c>
      <c r="Q925" s="202">
        <v>1</v>
      </c>
      <c r="R925" s="19">
        <v>13</v>
      </c>
      <c r="S925" s="19">
        <v>1014</v>
      </c>
      <c r="T925" s="19">
        <v>923</v>
      </c>
      <c r="U925" s="93">
        <v>750</v>
      </c>
      <c r="V925" s="98">
        <v>174</v>
      </c>
      <c r="W925" s="205" t="s">
        <v>233</v>
      </c>
      <c r="X925" s="205" t="s">
        <v>233</v>
      </c>
      <c r="Y925" s="206" t="s">
        <v>233</v>
      </c>
      <c r="Z925" s="205" t="s">
        <v>233</v>
      </c>
      <c r="AA925" s="205" t="s">
        <v>233</v>
      </c>
      <c r="AB925" s="205" t="s">
        <v>233</v>
      </c>
      <c r="AC925" s="206" t="s">
        <v>240</v>
      </c>
      <c r="AD925" s="205" t="s">
        <v>233</v>
      </c>
      <c r="AE925" s="206" t="s">
        <v>240</v>
      </c>
      <c r="AF925" s="212">
        <v>0</v>
      </c>
      <c r="AG925" s="93">
        <v>1</v>
      </c>
      <c r="AH925" s="93">
        <v>0</v>
      </c>
      <c r="AI925" s="93">
        <v>0</v>
      </c>
      <c r="AJ925" s="93">
        <v>0</v>
      </c>
      <c r="AK925" s="93">
        <v>0</v>
      </c>
    </row>
    <row r="926" spans="1:37" s="100" customFormat="1" outlineLevel="1">
      <c r="A926" s="63">
        <v>919</v>
      </c>
      <c r="B926" s="93" t="s">
        <v>379</v>
      </c>
      <c r="C926" s="93" t="s">
        <v>380</v>
      </c>
      <c r="D926" s="94" t="s">
        <v>542</v>
      </c>
      <c r="E926" s="93">
        <v>32</v>
      </c>
      <c r="F926" s="99" t="s">
        <v>191</v>
      </c>
      <c r="G926" s="93"/>
      <c r="H926" s="102" t="s">
        <v>550</v>
      </c>
      <c r="I926" s="93" t="s">
        <v>383</v>
      </c>
      <c r="J926" s="93"/>
      <c r="K926" s="96" t="s">
        <v>384</v>
      </c>
      <c r="L926" s="93" t="s">
        <v>232</v>
      </c>
      <c r="M926" s="97">
        <v>1917</v>
      </c>
      <c r="N926" s="64" t="s">
        <v>385</v>
      </c>
      <c r="O926" s="202">
        <v>4</v>
      </c>
      <c r="P926" s="196">
        <v>0</v>
      </c>
      <c r="Q926" s="202">
        <v>4</v>
      </c>
      <c r="R926" s="19">
        <v>19</v>
      </c>
      <c r="S926" s="19">
        <v>2235</v>
      </c>
      <c r="T926" s="19">
        <v>2016</v>
      </c>
      <c r="U926" s="93">
        <v>1583</v>
      </c>
      <c r="V926" s="98">
        <v>428</v>
      </c>
      <c r="W926" s="205" t="s">
        <v>233</v>
      </c>
      <c r="X926" s="205" t="s">
        <v>233</v>
      </c>
      <c r="Y926" s="206" t="s">
        <v>233</v>
      </c>
      <c r="Z926" s="205" t="s">
        <v>233</v>
      </c>
      <c r="AA926" s="205" t="s">
        <v>233</v>
      </c>
      <c r="AB926" s="205" t="s">
        <v>233</v>
      </c>
      <c r="AC926" s="206" t="s">
        <v>240</v>
      </c>
      <c r="AD926" s="205" t="s">
        <v>233</v>
      </c>
      <c r="AE926" s="206" t="s">
        <v>240</v>
      </c>
      <c r="AF926" s="212">
        <v>0</v>
      </c>
      <c r="AG926" s="93">
        <v>1</v>
      </c>
      <c r="AH926" s="93">
        <v>1</v>
      </c>
      <c r="AI926" s="93">
        <v>0</v>
      </c>
      <c r="AJ926" s="93">
        <v>0</v>
      </c>
      <c r="AK926" s="93">
        <v>0</v>
      </c>
    </row>
    <row r="927" spans="1:37" s="100" customFormat="1" outlineLevel="1">
      <c r="A927" s="63">
        <v>920</v>
      </c>
      <c r="B927" s="93" t="s">
        <v>379</v>
      </c>
      <c r="C927" s="93" t="s">
        <v>380</v>
      </c>
      <c r="D927" s="94" t="s">
        <v>542</v>
      </c>
      <c r="E927" s="93">
        <v>34</v>
      </c>
      <c r="F927" s="99" t="s">
        <v>191</v>
      </c>
      <c r="G927" s="93"/>
      <c r="H927" s="102" t="s">
        <v>551</v>
      </c>
      <c r="I927" s="93" t="s">
        <v>383</v>
      </c>
      <c r="J927" s="93"/>
      <c r="K927" s="96" t="s">
        <v>384</v>
      </c>
      <c r="L927" s="93" t="s">
        <v>232</v>
      </c>
      <c r="M927" s="97">
        <v>1917</v>
      </c>
      <c r="N927" s="64" t="s">
        <v>385</v>
      </c>
      <c r="O927" s="202">
        <v>4</v>
      </c>
      <c r="P927" s="196">
        <v>0</v>
      </c>
      <c r="Q927" s="202">
        <v>2</v>
      </c>
      <c r="R927" s="19">
        <v>14</v>
      </c>
      <c r="S927" s="19">
        <v>1349</v>
      </c>
      <c r="T927" s="19">
        <v>1131</v>
      </c>
      <c r="U927" s="93">
        <v>969</v>
      </c>
      <c r="V927" s="98">
        <v>168</v>
      </c>
      <c r="W927" s="205" t="s">
        <v>233</v>
      </c>
      <c r="X927" s="205" t="s">
        <v>233</v>
      </c>
      <c r="Y927" s="206" t="s">
        <v>233</v>
      </c>
      <c r="Z927" s="205" t="s">
        <v>233</v>
      </c>
      <c r="AA927" s="205" t="s">
        <v>233</v>
      </c>
      <c r="AB927" s="205" t="s">
        <v>233</v>
      </c>
      <c r="AC927" s="206" t="s">
        <v>240</v>
      </c>
      <c r="AD927" s="205" t="s">
        <v>233</v>
      </c>
      <c r="AE927" s="206" t="s">
        <v>240</v>
      </c>
      <c r="AF927" s="212">
        <v>0</v>
      </c>
      <c r="AG927" s="93">
        <v>1</v>
      </c>
      <c r="AH927" s="93">
        <v>0</v>
      </c>
      <c r="AI927" s="93">
        <v>0</v>
      </c>
      <c r="AJ927" s="93">
        <v>0</v>
      </c>
      <c r="AK927" s="93">
        <v>0</v>
      </c>
    </row>
    <row r="928" spans="1:37" s="100" customFormat="1" outlineLevel="1">
      <c r="A928" s="63">
        <v>921</v>
      </c>
      <c r="B928" s="93" t="s">
        <v>379</v>
      </c>
      <c r="C928" s="93" t="s">
        <v>380</v>
      </c>
      <c r="D928" s="94" t="s">
        <v>542</v>
      </c>
      <c r="E928" s="93">
        <v>36</v>
      </c>
      <c r="F928" s="99" t="s">
        <v>191</v>
      </c>
      <c r="G928" s="93"/>
      <c r="H928" s="102" t="s">
        <v>552</v>
      </c>
      <c r="I928" s="93" t="s">
        <v>383</v>
      </c>
      <c r="J928" s="93"/>
      <c r="K928" s="96" t="s">
        <v>384</v>
      </c>
      <c r="L928" s="93" t="s">
        <v>232</v>
      </c>
      <c r="M928" s="97">
        <v>1909</v>
      </c>
      <c r="N928" s="64" t="s">
        <v>385</v>
      </c>
      <c r="O928" s="202">
        <v>4</v>
      </c>
      <c r="P928" s="196">
        <v>0</v>
      </c>
      <c r="Q928" s="202">
        <v>10</v>
      </c>
      <c r="R928" s="19">
        <v>110</v>
      </c>
      <c r="S928" s="19">
        <v>9660</v>
      </c>
      <c r="T928" s="19">
        <v>8119</v>
      </c>
      <c r="U928" s="93">
        <v>7922</v>
      </c>
      <c r="V928" s="98">
        <v>269</v>
      </c>
      <c r="W928" s="205" t="s">
        <v>233</v>
      </c>
      <c r="X928" s="205" t="s">
        <v>233</v>
      </c>
      <c r="Y928" s="206" t="s">
        <v>240</v>
      </c>
      <c r="Z928" s="205" t="s">
        <v>233</v>
      </c>
      <c r="AA928" s="205" t="s">
        <v>233</v>
      </c>
      <c r="AB928" s="205" t="s">
        <v>233</v>
      </c>
      <c r="AC928" s="206" t="s">
        <v>233</v>
      </c>
      <c r="AD928" s="205" t="s">
        <v>233</v>
      </c>
      <c r="AE928" s="206" t="s">
        <v>240</v>
      </c>
      <c r="AF928" s="212">
        <v>10</v>
      </c>
      <c r="AG928" s="93">
        <v>1</v>
      </c>
      <c r="AH928" s="93">
        <v>1</v>
      </c>
      <c r="AI928" s="93">
        <v>1</v>
      </c>
      <c r="AJ928" s="93">
        <v>1</v>
      </c>
      <c r="AK928" s="93">
        <v>0</v>
      </c>
    </row>
    <row r="929" spans="1:37" s="100" customFormat="1" outlineLevel="1">
      <c r="A929" s="63">
        <v>922</v>
      </c>
      <c r="B929" s="93" t="s">
        <v>379</v>
      </c>
      <c r="C929" s="93" t="s">
        <v>380</v>
      </c>
      <c r="D929" s="94" t="s">
        <v>542</v>
      </c>
      <c r="E929" s="93">
        <v>38</v>
      </c>
      <c r="F929" s="99" t="s">
        <v>191</v>
      </c>
      <c r="G929" s="93"/>
      <c r="H929" s="102" t="s">
        <v>553</v>
      </c>
      <c r="I929" s="93" t="s">
        <v>383</v>
      </c>
      <c r="J929" s="93"/>
      <c r="K929" s="96" t="s">
        <v>384</v>
      </c>
      <c r="L929" s="93" t="s">
        <v>232</v>
      </c>
      <c r="M929" s="97">
        <v>1902</v>
      </c>
      <c r="N929" s="64" t="s">
        <v>385</v>
      </c>
      <c r="O929" s="202">
        <v>5.6</v>
      </c>
      <c r="P929" s="196">
        <v>0</v>
      </c>
      <c r="Q929" s="202">
        <v>3</v>
      </c>
      <c r="R929" s="19">
        <v>37</v>
      </c>
      <c r="S929" s="19">
        <v>3311</v>
      </c>
      <c r="T929" s="19">
        <v>2874</v>
      </c>
      <c r="U929" s="93">
        <v>2626</v>
      </c>
      <c r="V929" s="98">
        <v>296</v>
      </c>
      <c r="W929" s="205" t="s">
        <v>233</v>
      </c>
      <c r="X929" s="205" t="s">
        <v>233</v>
      </c>
      <c r="Y929" s="206" t="s">
        <v>233</v>
      </c>
      <c r="Z929" s="205" t="s">
        <v>233</v>
      </c>
      <c r="AA929" s="205" t="s">
        <v>233</v>
      </c>
      <c r="AB929" s="205" t="s">
        <v>233</v>
      </c>
      <c r="AC929" s="206" t="s">
        <v>240</v>
      </c>
      <c r="AD929" s="205" t="s">
        <v>233</v>
      </c>
      <c r="AE929" s="206" t="s">
        <v>240</v>
      </c>
      <c r="AF929" s="212">
        <v>2</v>
      </c>
      <c r="AG929" s="93">
        <v>1</v>
      </c>
      <c r="AH929" s="93">
        <v>1</v>
      </c>
      <c r="AI929" s="93">
        <v>0</v>
      </c>
      <c r="AJ929" s="93">
        <v>0</v>
      </c>
      <c r="AK929" s="93">
        <v>0</v>
      </c>
    </row>
    <row r="930" spans="1:37" s="100" customFormat="1" outlineLevel="1">
      <c r="A930" s="63">
        <v>923</v>
      </c>
      <c r="B930" s="93" t="s">
        <v>379</v>
      </c>
      <c r="C930" s="93" t="s">
        <v>380</v>
      </c>
      <c r="D930" s="94" t="s">
        <v>542</v>
      </c>
      <c r="E930" s="93">
        <v>38</v>
      </c>
      <c r="F930" s="99" t="s">
        <v>231</v>
      </c>
      <c r="G930" s="93"/>
      <c r="H930" s="102" t="s">
        <v>554</v>
      </c>
      <c r="I930" s="93" t="s">
        <v>383</v>
      </c>
      <c r="J930" s="93"/>
      <c r="K930" s="96" t="s">
        <v>384</v>
      </c>
      <c r="L930" s="93" t="s">
        <v>232</v>
      </c>
      <c r="M930" s="97">
        <v>1907</v>
      </c>
      <c r="N930" s="64" t="s">
        <v>385</v>
      </c>
      <c r="O930" s="202">
        <v>5</v>
      </c>
      <c r="P930" s="196">
        <v>0</v>
      </c>
      <c r="Q930" s="202">
        <v>1</v>
      </c>
      <c r="R930" s="19">
        <v>9</v>
      </c>
      <c r="S930" s="19">
        <v>653</v>
      </c>
      <c r="T930" s="19">
        <v>564</v>
      </c>
      <c r="U930" s="93">
        <v>653</v>
      </c>
      <c r="V930" s="98">
        <v>0</v>
      </c>
      <c r="W930" s="205" t="s">
        <v>233</v>
      </c>
      <c r="X930" s="205" t="s">
        <v>233</v>
      </c>
      <c r="Y930" s="206" t="s">
        <v>233</v>
      </c>
      <c r="Z930" s="205" t="s">
        <v>233</v>
      </c>
      <c r="AA930" s="205" t="s">
        <v>233</v>
      </c>
      <c r="AB930" s="205" t="s">
        <v>233</v>
      </c>
      <c r="AC930" s="206" t="s">
        <v>240</v>
      </c>
      <c r="AD930" s="205" t="s">
        <v>233</v>
      </c>
      <c r="AE930" s="206" t="s">
        <v>240</v>
      </c>
      <c r="AF930" s="212">
        <v>1</v>
      </c>
      <c r="AG930" s="93">
        <v>1</v>
      </c>
      <c r="AH930" s="93">
        <v>0</v>
      </c>
      <c r="AI930" s="93">
        <v>0</v>
      </c>
      <c r="AJ930" s="93">
        <v>0</v>
      </c>
      <c r="AK930" s="93">
        <v>0</v>
      </c>
    </row>
    <row r="931" spans="1:37" s="100" customFormat="1" outlineLevel="1">
      <c r="A931" s="63">
        <v>924</v>
      </c>
      <c r="B931" s="93" t="s">
        <v>379</v>
      </c>
      <c r="C931" s="93" t="s">
        <v>380</v>
      </c>
      <c r="D931" s="94" t="s">
        <v>542</v>
      </c>
      <c r="E931" s="93">
        <v>38</v>
      </c>
      <c r="F931" s="99" t="s">
        <v>260</v>
      </c>
      <c r="G931" s="93"/>
      <c r="H931" s="102" t="s">
        <v>555</v>
      </c>
      <c r="I931" s="93" t="s">
        <v>383</v>
      </c>
      <c r="J931" s="93"/>
      <c r="K931" s="96" t="s">
        <v>384</v>
      </c>
      <c r="L931" s="93" t="s">
        <v>232</v>
      </c>
      <c r="M931" s="97">
        <v>1897</v>
      </c>
      <c r="N931" s="64" t="s">
        <v>385</v>
      </c>
      <c r="O931" s="202">
        <v>6</v>
      </c>
      <c r="P931" s="196">
        <v>0</v>
      </c>
      <c r="Q931" s="202">
        <v>1</v>
      </c>
      <c r="R931" s="19">
        <v>23</v>
      </c>
      <c r="S931" s="19">
        <v>1632</v>
      </c>
      <c r="T931" s="19">
        <v>1413</v>
      </c>
      <c r="U931" s="93">
        <v>1379</v>
      </c>
      <c r="V931" s="98">
        <v>50</v>
      </c>
      <c r="W931" s="205" t="s">
        <v>233</v>
      </c>
      <c r="X931" s="205" t="s">
        <v>233</v>
      </c>
      <c r="Y931" s="206" t="s">
        <v>233</v>
      </c>
      <c r="Z931" s="205" t="s">
        <v>233</v>
      </c>
      <c r="AA931" s="205" t="s">
        <v>233</v>
      </c>
      <c r="AB931" s="205" t="s">
        <v>233</v>
      </c>
      <c r="AC931" s="206" t="s">
        <v>240</v>
      </c>
      <c r="AD931" s="205" t="s">
        <v>233</v>
      </c>
      <c r="AE931" s="206" t="s">
        <v>240</v>
      </c>
      <c r="AF931" s="212">
        <v>1</v>
      </c>
      <c r="AG931" s="93">
        <v>1</v>
      </c>
      <c r="AH931" s="93">
        <v>0</v>
      </c>
      <c r="AI931" s="93">
        <v>0</v>
      </c>
      <c r="AJ931" s="93">
        <v>0</v>
      </c>
      <c r="AK931" s="93">
        <v>0</v>
      </c>
    </row>
    <row r="932" spans="1:37" s="100" customFormat="1" outlineLevel="1">
      <c r="A932" s="63">
        <v>925</v>
      </c>
      <c r="B932" s="93" t="s">
        <v>379</v>
      </c>
      <c r="C932" s="93" t="s">
        <v>380</v>
      </c>
      <c r="D932" s="94" t="s">
        <v>542</v>
      </c>
      <c r="E932" s="93">
        <v>38</v>
      </c>
      <c r="F932" s="99" t="s">
        <v>261</v>
      </c>
      <c r="G932" s="93"/>
      <c r="H932" s="102" t="s">
        <v>556</v>
      </c>
      <c r="I932" s="93" t="s">
        <v>383</v>
      </c>
      <c r="J932" s="93"/>
      <c r="K932" s="96" t="s">
        <v>384</v>
      </c>
      <c r="L932" s="93" t="s">
        <v>232</v>
      </c>
      <c r="M932" s="97">
        <v>1907</v>
      </c>
      <c r="N932" s="64" t="s">
        <v>385</v>
      </c>
      <c r="O932" s="202">
        <v>4</v>
      </c>
      <c r="P932" s="196">
        <v>0</v>
      </c>
      <c r="Q932" s="202">
        <v>1</v>
      </c>
      <c r="R932" s="19">
        <v>16</v>
      </c>
      <c r="S932" s="19">
        <v>1396</v>
      </c>
      <c r="T932" s="19">
        <v>1213</v>
      </c>
      <c r="U932" s="93">
        <v>927</v>
      </c>
      <c r="V932" s="98">
        <v>348</v>
      </c>
      <c r="W932" s="205" t="s">
        <v>233</v>
      </c>
      <c r="X932" s="205" t="s">
        <v>233</v>
      </c>
      <c r="Y932" s="206" t="s">
        <v>233</v>
      </c>
      <c r="Z932" s="205" t="s">
        <v>233</v>
      </c>
      <c r="AA932" s="205" t="s">
        <v>233</v>
      </c>
      <c r="AB932" s="205" t="s">
        <v>233</v>
      </c>
      <c r="AC932" s="206" t="s">
        <v>240</v>
      </c>
      <c r="AD932" s="205" t="s">
        <v>233</v>
      </c>
      <c r="AE932" s="206" t="s">
        <v>240</v>
      </c>
      <c r="AF932" s="212">
        <v>0</v>
      </c>
      <c r="AG932" s="93">
        <v>1</v>
      </c>
      <c r="AH932" s="93">
        <v>0</v>
      </c>
      <c r="AI932" s="93">
        <v>0</v>
      </c>
      <c r="AJ932" s="93">
        <v>0</v>
      </c>
      <c r="AK932" s="93">
        <v>0</v>
      </c>
    </row>
    <row r="933" spans="1:37" s="100" customFormat="1" outlineLevel="1">
      <c r="A933" s="63">
        <v>926</v>
      </c>
      <c r="B933" s="93" t="s">
        <v>379</v>
      </c>
      <c r="C933" s="93" t="s">
        <v>380</v>
      </c>
      <c r="D933" s="94" t="s">
        <v>557</v>
      </c>
      <c r="E933" s="93">
        <v>2</v>
      </c>
      <c r="F933" s="99" t="s">
        <v>191</v>
      </c>
      <c r="G933" s="93"/>
      <c r="H933" s="102" t="s">
        <v>558</v>
      </c>
      <c r="I933" s="93" t="s">
        <v>383</v>
      </c>
      <c r="J933" s="93"/>
      <c r="K933" s="96" t="s">
        <v>384</v>
      </c>
      <c r="L933" s="93" t="s">
        <v>232</v>
      </c>
      <c r="M933" s="97">
        <v>1917</v>
      </c>
      <c r="N933" s="64" t="s">
        <v>385</v>
      </c>
      <c r="O933" s="202">
        <v>4</v>
      </c>
      <c r="P933" s="196">
        <v>0</v>
      </c>
      <c r="Q933" s="202">
        <v>6</v>
      </c>
      <c r="R933" s="19">
        <v>32</v>
      </c>
      <c r="S933" s="19">
        <v>6907</v>
      </c>
      <c r="T933" s="19">
        <v>6164</v>
      </c>
      <c r="U933" s="93">
        <v>4009</v>
      </c>
      <c r="V933" s="98">
        <v>2160</v>
      </c>
      <c r="W933" s="205" t="s">
        <v>233</v>
      </c>
      <c r="X933" s="205" t="s">
        <v>233</v>
      </c>
      <c r="Y933" s="206" t="s">
        <v>233</v>
      </c>
      <c r="Z933" s="205" t="s">
        <v>233</v>
      </c>
      <c r="AA933" s="205" t="s">
        <v>233</v>
      </c>
      <c r="AB933" s="205" t="s">
        <v>233</v>
      </c>
      <c r="AC933" s="206" t="s">
        <v>240</v>
      </c>
      <c r="AD933" s="205" t="s">
        <v>233</v>
      </c>
      <c r="AE933" s="206" t="s">
        <v>240</v>
      </c>
      <c r="AF933" s="212">
        <v>0</v>
      </c>
      <c r="AG933" s="93">
        <v>1</v>
      </c>
      <c r="AH933" s="93">
        <v>1</v>
      </c>
      <c r="AI933" s="93">
        <v>1</v>
      </c>
      <c r="AJ933" s="93">
        <v>1</v>
      </c>
      <c r="AK933" s="93">
        <v>0</v>
      </c>
    </row>
    <row r="934" spans="1:37" s="100" customFormat="1" outlineLevel="1">
      <c r="A934" s="63">
        <v>927</v>
      </c>
      <c r="B934" s="93" t="s">
        <v>379</v>
      </c>
      <c r="C934" s="93" t="s">
        <v>380</v>
      </c>
      <c r="D934" s="94" t="s">
        <v>557</v>
      </c>
      <c r="E934" s="102" t="s">
        <v>559</v>
      </c>
      <c r="F934" s="99" t="s">
        <v>191</v>
      </c>
      <c r="G934" s="93"/>
      <c r="H934" s="102" t="s">
        <v>560</v>
      </c>
      <c r="I934" s="93" t="s">
        <v>383</v>
      </c>
      <c r="J934" s="93"/>
      <c r="K934" s="96" t="s">
        <v>384</v>
      </c>
      <c r="L934" s="93" t="s">
        <v>232</v>
      </c>
      <c r="M934" s="97">
        <v>1910</v>
      </c>
      <c r="N934" s="64" t="s">
        <v>385</v>
      </c>
      <c r="O934" s="202">
        <v>5</v>
      </c>
      <c r="P934" s="196">
        <v>0</v>
      </c>
      <c r="Q934" s="202">
        <v>3</v>
      </c>
      <c r="R934" s="19">
        <v>43</v>
      </c>
      <c r="S934" s="19">
        <v>5549</v>
      </c>
      <c r="T934" s="19">
        <v>4765</v>
      </c>
      <c r="U934" s="93">
        <v>2908</v>
      </c>
      <c r="V934" s="98">
        <v>2037</v>
      </c>
      <c r="W934" s="205" t="s">
        <v>233</v>
      </c>
      <c r="X934" s="205" t="s">
        <v>233</v>
      </c>
      <c r="Y934" s="206" t="s">
        <v>233</v>
      </c>
      <c r="Z934" s="205" t="s">
        <v>233</v>
      </c>
      <c r="AA934" s="205" t="s">
        <v>233</v>
      </c>
      <c r="AB934" s="205" t="s">
        <v>233</v>
      </c>
      <c r="AC934" s="206" t="s">
        <v>240</v>
      </c>
      <c r="AD934" s="205" t="s">
        <v>233</v>
      </c>
      <c r="AE934" s="206" t="s">
        <v>240</v>
      </c>
      <c r="AF934" s="212">
        <v>3</v>
      </c>
      <c r="AG934" s="93">
        <v>1</v>
      </c>
      <c r="AH934" s="93">
        <v>1</v>
      </c>
      <c r="AI934" s="93">
        <v>0</v>
      </c>
      <c r="AJ934" s="93">
        <v>0</v>
      </c>
      <c r="AK934" s="93">
        <v>0</v>
      </c>
    </row>
    <row r="935" spans="1:37" s="100" customFormat="1" outlineLevel="1">
      <c r="A935" s="63">
        <v>928</v>
      </c>
      <c r="B935" s="93" t="s">
        <v>379</v>
      </c>
      <c r="C935" s="93" t="s">
        <v>380</v>
      </c>
      <c r="D935" s="94" t="s">
        <v>557</v>
      </c>
      <c r="E935" s="93">
        <v>7</v>
      </c>
      <c r="F935" s="99" t="s">
        <v>191</v>
      </c>
      <c r="G935" s="93"/>
      <c r="H935" s="102" t="s">
        <v>561</v>
      </c>
      <c r="I935" s="93" t="s">
        <v>383</v>
      </c>
      <c r="J935" s="93"/>
      <c r="K935" s="96" t="s">
        <v>384</v>
      </c>
      <c r="L935" s="93" t="s">
        <v>232</v>
      </c>
      <c r="M935" s="97">
        <v>1881</v>
      </c>
      <c r="N935" s="64" t="s">
        <v>385</v>
      </c>
      <c r="O935" s="202">
        <v>5</v>
      </c>
      <c r="P935" s="196">
        <v>0</v>
      </c>
      <c r="Q935" s="202">
        <v>1</v>
      </c>
      <c r="R935" s="19">
        <v>19</v>
      </c>
      <c r="S935" s="19">
        <v>1487</v>
      </c>
      <c r="T935" s="19">
        <v>1374</v>
      </c>
      <c r="U935" s="93">
        <v>1349</v>
      </c>
      <c r="V935" s="98">
        <v>25</v>
      </c>
      <c r="W935" s="205" t="s">
        <v>233</v>
      </c>
      <c r="X935" s="205" t="s">
        <v>233</v>
      </c>
      <c r="Y935" s="206" t="s">
        <v>233</v>
      </c>
      <c r="Z935" s="205" t="s">
        <v>233</v>
      </c>
      <c r="AA935" s="205" t="s">
        <v>233</v>
      </c>
      <c r="AB935" s="205" t="s">
        <v>233</v>
      </c>
      <c r="AC935" s="206" t="s">
        <v>240</v>
      </c>
      <c r="AD935" s="205" t="s">
        <v>233</v>
      </c>
      <c r="AE935" s="206" t="s">
        <v>240</v>
      </c>
      <c r="AF935" s="212">
        <v>1</v>
      </c>
      <c r="AG935" s="93">
        <v>1</v>
      </c>
      <c r="AH935" s="93">
        <v>1</v>
      </c>
      <c r="AI935" s="93">
        <v>0</v>
      </c>
      <c r="AJ935" s="93">
        <v>0</v>
      </c>
      <c r="AK935" s="93">
        <v>0</v>
      </c>
    </row>
    <row r="936" spans="1:37" s="100" customFormat="1" outlineLevel="1">
      <c r="A936" s="63">
        <v>929</v>
      </c>
      <c r="B936" s="93" t="s">
        <v>379</v>
      </c>
      <c r="C936" s="93" t="s">
        <v>380</v>
      </c>
      <c r="D936" s="94" t="s">
        <v>557</v>
      </c>
      <c r="E936" s="93">
        <v>8</v>
      </c>
      <c r="F936" s="99" t="s">
        <v>191</v>
      </c>
      <c r="G936" s="93"/>
      <c r="H936" s="102" t="s">
        <v>562</v>
      </c>
      <c r="I936" s="93" t="s">
        <v>383</v>
      </c>
      <c r="J936" s="93"/>
      <c r="K936" s="96" t="s">
        <v>384</v>
      </c>
      <c r="L936" s="93" t="s">
        <v>232</v>
      </c>
      <c r="M936" s="97">
        <v>1897</v>
      </c>
      <c r="N936" s="64" t="s">
        <v>385</v>
      </c>
      <c r="O936" s="202">
        <v>4</v>
      </c>
      <c r="P936" s="196">
        <v>0</v>
      </c>
      <c r="Q936" s="202">
        <v>2</v>
      </c>
      <c r="R936" s="19">
        <v>12</v>
      </c>
      <c r="S936" s="19">
        <v>995</v>
      </c>
      <c r="T936" s="19">
        <v>857</v>
      </c>
      <c r="U936" s="93">
        <v>828</v>
      </c>
      <c r="V936" s="98">
        <v>0</v>
      </c>
      <c r="W936" s="205" t="s">
        <v>233</v>
      </c>
      <c r="X936" s="205" t="s">
        <v>233</v>
      </c>
      <c r="Y936" s="206" t="s">
        <v>233</v>
      </c>
      <c r="Z936" s="205" t="s">
        <v>233</v>
      </c>
      <c r="AA936" s="205" t="s">
        <v>233</v>
      </c>
      <c r="AB936" s="205" t="s">
        <v>233</v>
      </c>
      <c r="AC936" s="206" t="s">
        <v>240</v>
      </c>
      <c r="AD936" s="205" t="s">
        <v>233</v>
      </c>
      <c r="AE936" s="206" t="s">
        <v>240</v>
      </c>
      <c r="AF936" s="212">
        <v>0</v>
      </c>
      <c r="AG936" s="93">
        <v>1</v>
      </c>
      <c r="AH936" s="93">
        <v>1</v>
      </c>
      <c r="AI936" s="93">
        <v>0</v>
      </c>
      <c r="AJ936" s="93">
        <v>0</v>
      </c>
      <c r="AK936" s="93">
        <v>0</v>
      </c>
    </row>
    <row r="937" spans="1:37" s="100" customFormat="1" outlineLevel="1">
      <c r="A937" s="63">
        <v>930</v>
      </c>
      <c r="B937" s="93" t="s">
        <v>379</v>
      </c>
      <c r="C937" s="93" t="s">
        <v>380</v>
      </c>
      <c r="D937" s="94" t="s">
        <v>557</v>
      </c>
      <c r="E937" s="93">
        <v>8</v>
      </c>
      <c r="F937" s="99" t="s">
        <v>231</v>
      </c>
      <c r="G937" s="93"/>
      <c r="H937" s="102" t="s">
        <v>563</v>
      </c>
      <c r="I937" s="93" t="s">
        <v>383</v>
      </c>
      <c r="J937" s="93"/>
      <c r="K937" s="96" t="s">
        <v>384</v>
      </c>
      <c r="L937" s="93" t="s">
        <v>232</v>
      </c>
      <c r="M937" s="97">
        <v>1892</v>
      </c>
      <c r="N937" s="64" t="s">
        <v>385</v>
      </c>
      <c r="O937" s="202">
        <v>4</v>
      </c>
      <c r="P937" s="196">
        <v>0</v>
      </c>
      <c r="Q937" s="202">
        <v>1</v>
      </c>
      <c r="R937" s="19">
        <v>16</v>
      </c>
      <c r="S937" s="19">
        <v>1404</v>
      </c>
      <c r="T937" s="19">
        <v>1207</v>
      </c>
      <c r="U937" s="93">
        <v>990</v>
      </c>
      <c r="V937" s="98">
        <v>246</v>
      </c>
      <c r="W937" s="205" t="s">
        <v>233</v>
      </c>
      <c r="X937" s="205" t="s">
        <v>233</v>
      </c>
      <c r="Y937" s="206" t="s">
        <v>233</v>
      </c>
      <c r="Z937" s="205" t="s">
        <v>233</v>
      </c>
      <c r="AA937" s="205" t="s">
        <v>233</v>
      </c>
      <c r="AB937" s="205" t="s">
        <v>233</v>
      </c>
      <c r="AC937" s="206" t="s">
        <v>240</v>
      </c>
      <c r="AD937" s="205" t="s">
        <v>233</v>
      </c>
      <c r="AE937" s="206" t="s">
        <v>240</v>
      </c>
      <c r="AF937" s="212">
        <v>0</v>
      </c>
      <c r="AG937" s="93">
        <v>1</v>
      </c>
      <c r="AH937" s="93">
        <v>0</v>
      </c>
      <c r="AI937" s="93">
        <v>1</v>
      </c>
      <c r="AJ937" s="93">
        <v>1</v>
      </c>
      <c r="AK937" s="93">
        <v>0</v>
      </c>
    </row>
    <row r="938" spans="1:37" s="100" customFormat="1" outlineLevel="1">
      <c r="A938" s="63">
        <v>931</v>
      </c>
      <c r="B938" s="93" t="s">
        <v>379</v>
      </c>
      <c r="C938" s="93" t="s">
        <v>380</v>
      </c>
      <c r="D938" s="94" t="s">
        <v>557</v>
      </c>
      <c r="E938" s="93">
        <v>9</v>
      </c>
      <c r="F938" s="99" t="s">
        <v>191</v>
      </c>
      <c r="G938" s="93"/>
      <c r="H938" s="102" t="s">
        <v>564</v>
      </c>
      <c r="I938" s="93" t="s">
        <v>383</v>
      </c>
      <c r="J938" s="93"/>
      <c r="K938" s="96" t="s">
        <v>384</v>
      </c>
      <c r="L938" s="93" t="s">
        <v>232</v>
      </c>
      <c r="M938" s="97">
        <v>1917</v>
      </c>
      <c r="N938" s="64" t="s">
        <v>385</v>
      </c>
      <c r="O938" s="202">
        <v>5</v>
      </c>
      <c r="P938" s="196">
        <v>0</v>
      </c>
      <c r="Q938" s="202">
        <v>3</v>
      </c>
      <c r="R938" s="19">
        <v>19</v>
      </c>
      <c r="S938" s="19">
        <v>2511</v>
      </c>
      <c r="T938" s="19">
        <v>2004</v>
      </c>
      <c r="U938" s="93">
        <v>1850</v>
      </c>
      <c r="V938" s="98">
        <v>154</v>
      </c>
      <c r="W938" s="205" t="s">
        <v>233</v>
      </c>
      <c r="X938" s="205" t="s">
        <v>233</v>
      </c>
      <c r="Y938" s="206" t="s">
        <v>233</v>
      </c>
      <c r="Z938" s="205" t="s">
        <v>233</v>
      </c>
      <c r="AA938" s="205" t="s">
        <v>233</v>
      </c>
      <c r="AB938" s="205" t="s">
        <v>233</v>
      </c>
      <c r="AC938" s="206" t="s">
        <v>240</v>
      </c>
      <c r="AD938" s="205" t="s">
        <v>233</v>
      </c>
      <c r="AE938" s="206" t="s">
        <v>240</v>
      </c>
      <c r="AF938" s="212">
        <v>0</v>
      </c>
      <c r="AG938" s="93">
        <v>1</v>
      </c>
      <c r="AH938" s="93">
        <v>1</v>
      </c>
      <c r="AI938" s="93">
        <v>0</v>
      </c>
      <c r="AJ938" s="93">
        <v>0</v>
      </c>
      <c r="AK938" s="93">
        <v>0</v>
      </c>
    </row>
    <row r="939" spans="1:37" s="100" customFormat="1" outlineLevel="1">
      <c r="A939" s="63">
        <v>932</v>
      </c>
      <c r="B939" s="93" t="s">
        <v>379</v>
      </c>
      <c r="C939" s="93" t="s">
        <v>380</v>
      </c>
      <c r="D939" s="94" t="s">
        <v>557</v>
      </c>
      <c r="E939" s="93">
        <v>10</v>
      </c>
      <c r="F939" s="99" t="s">
        <v>191</v>
      </c>
      <c r="G939" s="93"/>
      <c r="H939" s="102" t="s">
        <v>565</v>
      </c>
      <c r="I939" s="93" t="s">
        <v>383</v>
      </c>
      <c r="J939" s="93"/>
      <c r="K939" s="96" t="s">
        <v>384</v>
      </c>
      <c r="L939" s="93" t="s">
        <v>232</v>
      </c>
      <c r="M939" s="97">
        <v>1910</v>
      </c>
      <c r="N939" s="64" t="s">
        <v>385</v>
      </c>
      <c r="O939" s="202">
        <v>5</v>
      </c>
      <c r="P939" s="196">
        <v>0</v>
      </c>
      <c r="Q939" s="202">
        <v>2</v>
      </c>
      <c r="R939" s="19">
        <v>9</v>
      </c>
      <c r="S939" s="19">
        <v>1559</v>
      </c>
      <c r="T939" s="19">
        <v>1249</v>
      </c>
      <c r="U939" s="93">
        <v>1083</v>
      </c>
      <c r="V939" s="98">
        <v>321</v>
      </c>
      <c r="W939" s="205" t="s">
        <v>233</v>
      </c>
      <c r="X939" s="205" t="s">
        <v>233</v>
      </c>
      <c r="Y939" s="206" t="s">
        <v>233</v>
      </c>
      <c r="Z939" s="205" t="s">
        <v>233</v>
      </c>
      <c r="AA939" s="205" t="s">
        <v>233</v>
      </c>
      <c r="AB939" s="205" t="s">
        <v>233</v>
      </c>
      <c r="AC939" s="206" t="s">
        <v>240</v>
      </c>
      <c r="AD939" s="205" t="s">
        <v>233</v>
      </c>
      <c r="AE939" s="206" t="s">
        <v>240</v>
      </c>
      <c r="AF939" s="212">
        <v>0</v>
      </c>
      <c r="AG939" s="93">
        <v>1</v>
      </c>
      <c r="AH939" s="93">
        <v>1</v>
      </c>
      <c r="AI939" s="93">
        <v>0</v>
      </c>
      <c r="AJ939" s="93">
        <v>0</v>
      </c>
      <c r="AK939" s="93">
        <v>0</v>
      </c>
    </row>
    <row r="940" spans="1:37" s="100" customFormat="1" outlineLevel="1">
      <c r="A940" s="63">
        <v>933</v>
      </c>
      <c r="B940" s="93" t="s">
        <v>379</v>
      </c>
      <c r="C940" s="93" t="s">
        <v>380</v>
      </c>
      <c r="D940" s="94" t="s">
        <v>557</v>
      </c>
      <c r="E940" s="93">
        <v>11</v>
      </c>
      <c r="F940" s="99" t="s">
        <v>191</v>
      </c>
      <c r="G940" s="93"/>
      <c r="H940" s="102" t="s">
        <v>566</v>
      </c>
      <c r="I940" s="93" t="s">
        <v>383</v>
      </c>
      <c r="J940" s="93"/>
      <c r="K940" s="96" t="s">
        <v>384</v>
      </c>
      <c r="L940" s="93" t="s">
        <v>232</v>
      </c>
      <c r="M940" s="97">
        <v>1848</v>
      </c>
      <c r="N940" s="64" t="s">
        <v>385</v>
      </c>
      <c r="O940" s="202">
        <v>6</v>
      </c>
      <c r="P940" s="196">
        <v>0</v>
      </c>
      <c r="Q940" s="202">
        <v>4</v>
      </c>
      <c r="R940" s="19">
        <v>36</v>
      </c>
      <c r="S940" s="19">
        <v>2927</v>
      </c>
      <c r="T940" s="19">
        <v>2542</v>
      </c>
      <c r="U940" s="93">
        <v>2261</v>
      </c>
      <c r="V940" s="98">
        <v>307</v>
      </c>
      <c r="W940" s="205" t="s">
        <v>233</v>
      </c>
      <c r="X940" s="205" t="s">
        <v>233</v>
      </c>
      <c r="Y940" s="206" t="s">
        <v>233</v>
      </c>
      <c r="Z940" s="205" t="s">
        <v>233</v>
      </c>
      <c r="AA940" s="205" t="s">
        <v>233</v>
      </c>
      <c r="AB940" s="205" t="s">
        <v>233</v>
      </c>
      <c r="AC940" s="206" t="s">
        <v>240</v>
      </c>
      <c r="AD940" s="205" t="s">
        <v>233</v>
      </c>
      <c r="AE940" s="206" t="s">
        <v>240</v>
      </c>
      <c r="AF940" s="212">
        <v>1</v>
      </c>
      <c r="AG940" s="93">
        <v>1</v>
      </c>
      <c r="AH940" s="93">
        <v>1</v>
      </c>
      <c r="AI940" s="93">
        <v>0</v>
      </c>
      <c r="AJ940" s="93">
        <v>0</v>
      </c>
      <c r="AK940" s="93">
        <v>0</v>
      </c>
    </row>
    <row r="941" spans="1:37" s="100" customFormat="1" outlineLevel="1">
      <c r="A941" s="63">
        <v>934</v>
      </c>
      <c r="B941" s="93" t="s">
        <v>379</v>
      </c>
      <c r="C941" s="93" t="s">
        <v>380</v>
      </c>
      <c r="D941" s="94" t="s">
        <v>557</v>
      </c>
      <c r="E941" s="93">
        <v>12</v>
      </c>
      <c r="F941" s="99" t="s">
        <v>191</v>
      </c>
      <c r="G941" s="93"/>
      <c r="H941" s="102" t="s">
        <v>567</v>
      </c>
      <c r="I941" s="93" t="s">
        <v>383</v>
      </c>
      <c r="J941" s="93"/>
      <c r="K941" s="96" t="s">
        <v>384</v>
      </c>
      <c r="L941" s="93" t="s">
        <v>232</v>
      </c>
      <c r="M941" s="97">
        <v>1905</v>
      </c>
      <c r="N941" s="64" t="s">
        <v>385</v>
      </c>
      <c r="O941" s="202">
        <v>5</v>
      </c>
      <c r="P941" s="196">
        <v>0</v>
      </c>
      <c r="Q941" s="202">
        <v>2</v>
      </c>
      <c r="R941" s="19">
        <v>9</v>
      </c>
      <c r="S941" s="19">
        <v>1396</v>
      </c>
      <c r="T941" s="19">
        <v>1017</v>
      </c>
      <c r="U941" s="93">
        <v>872</v>
      </c>
      <c r="V941" s="98">
        <v>273</v>
      </c>
      <c r="W941" s="205" t="s">
        <v>233</v>
      </c>
      <c r="X941" s="205" t="s">
        <v>233</v>
      </c>
      <c r="Y941" s="206" t="s">
        <v>233</v>
      </c>
      <c r="Z941" s="205" t="s">
        <v>233</v>
      </c>
      <c r="AA941" s="205" t="s">
        <v>233</v>
      </c>
      <c r="AB941" s="205" t="s">
        <v>233</v>
      </c>
      <c r="AC941" s="206" t="s">
        <v>240</v>
      </c>
      <c r="AD941" s="205" t="s">
        <v>233</v>
      </c>
      <c r="AE941" s="206" t="s">
        <v>240</v>
      </c>
      <c r="AF941" s="212">
        <v>0</v>
      </c>
      <c r="AG941" s="93">
        <v>1</v>
      </c>
      <c r="AH941" s="93">
        <v>1</v>
      </c>
      <c r="AI941" s="93">
        <v>1</v>
      </c>
      <c r="AJ941" s="93">
        <v>1</v>
      </c>
      <c r="AK941" s="93">
        <v>0</v>
      </c>
    </row>
    <row r="942" spans="1:37" s="100" customFormat="1" outlineLevel="1">
      <c r="A942" s="63">
        <v>935</v>
      </c>
      <c r="B942" s="93" t="s">
        <v>379</v>
      </c>
      <c r="C942" s="93" t="s">
        <v>380</v>
      </c>
      <c r="D942" s="94" t="s">
        <v>557</v>
      </c>
      <c r="E942" s="93">
        <v>13</v>
      </c>
      <c r="F942" s="99" t="s">
        <v>191</v>
      </c>
      <c r="G942" s="93"/>
      <c r="H942" s="102" t="s">
        <v>568</v>
      </c>
      <c r="I942" s="93" t="s">
        <v>383</v>
      </c>
      <c r="J942" s="93"/>
      <c r="K942" s="96" t="s">
        <v>384</v>
      </c>
      <c r="L942" s="93" t="s">
        <v>232</v>
      </c>
      <c r="M942" s="97">
        <v>1899</v>
      </c>
      <c r="N942" s="64" t="s">
        <v>385</v>
      </c>
      <c r="O942" s="202">
        <v>4</v>
      </c>
      <c r="P942" s="196">
        <v>0</v>
      </c>
      <c r="Q942" s="202">
        <v>2</v>
      </c>
      <c r="R942" s="19">
        <v>8</v>
      </c>
      <c r="S942" s="19">
        <v>1340</v>
      </c>
      <c r="T942" s="19">
        <v>949</v>
      </c>
      <c r="U942" s="93">
        <v>937</v>
      </c>
      <c r="V942" s="98">
        <v>181</v>
      </c>
      <c r="W942" s="205" t="s">
        <v>233</v>
      </c>
      <c r="X942" s="205" t="s">
        <v>233</v>
      </c>
      <c r="Y942" s="206" t="s">
        <v>233</v>
      </c>
      <c r="Z942" s="205" t="s">
        <v>233</v>
      </c>
      <c r="AA942" s="205" t="s">
        <v>233</v>
      </c>
      <c r="AB942" s="205" t="s">
        <v>233</v>
      </c>
      <c r="AC942" s="206" t="s">
        <v>240</v>
      </c>
      <c r="AD942" s="205" t="s">
        <v>233</v>
      </c>
      <c r="AE942" s="206" t="s">
        <v>240</v>
      </c>
      <c r="AF942" s="212">
        <v>0</v>
      </c>
      <c r="AG942" s="93">
        <v>1</v>
      </c>
      <c r="AH942" s="93">
        <v>1</v>
      </c>
      <c r="AI942" s="93">
        <v>0</v>
      </c>
      <c r="AJ942" s="93">
        <v>0</v>
      </c>
      <c r="AK942" s="93">
        <v>0</v>
      </c>
    </row>
    <row r="943" spans="1:37" s="100" customFormat="1" outlineLevel="1">
      <c r="A943" s="63">
        <v>936</v>
      </c>
      <c r="B943" s="93" t="s">
        <v>379</v>
      </c>
      <c r="C943" s="93" t="s">
        <v>380</v>
      </c>
      <c r="D943" s="94" t="s">
        <v>557</v>
      </c>
      <c r="E943" s="93">
        <v>14</v>
      </c>
      <c r="F943" s="99" t="s">
        <v>191</v>
      </c>
      <c r="G943" s="93"/>
      <c r="H943" s="102" t="s">
        <v>569</v>
      </c>
      <c r="I943" s="93" t="s">
        <v>383</v>
      </c>
      <c r="J943" s="93"/>
      <c r="K943" s="96" t="s">
        <v>384</v>
      </c>
      <c r="L943" s="93" t="s">
        <v>232</v>
      </c>
      <c r="M943" s="97">
        <v>1880</v>
      </c>
      <c r="N943" s="64" t="s">
        <v>385</v>
      </c>
      <c r="O943" s="202">
        <v>5</v>
      </c>
      <c r="P943" s="196">
        <v>0</v>
      </c>
      <c r="Q943" s="202">
        <v>2</v>
      </c>
      <c r="R943" s="19">
        <v>15</v>
      </c>
      <c r="S943" s="19">
        <v>852</v>
      </c>
      <c r="T943" s="19">
        <v>734</v>
      </c>
      <c r="U943" s="93">
        <v>650</v>
      </c>
      <c r="V943" s="98">
        <v>96</v>
      </c>
      <c r="W943" s="205" t="s">
        <v>233</v>
      </c>
      <c r="X943" s="205" t="s">
        <v>233</v>
      </c>
      <c r="Y943" s="206" t="s">
        <v>233</v>
      </c>
      <c r="Z943" s="205" t="s">
        <v>233</v>
      </c>
      <c r="AA943" s="205" t="s">
        <v>233</v>
      </c>
      <c r="AB943" s="205" t="s">
        <v>233</v>
      </c>
      <c r="AC943" s="206" t="s">
        <v>240</v>
      </c>
      <c r="AD943" s="205" t="s">
        <v>233</v>
      </c>
      <c r="AE943" s="206" t="s">
        <v>240</v>
      </c>
      <c r="AF943" s="212">
        <v>0</v>
      </c>
      <c r="AG943" s="93">
        <v>1</v>
      </c>
      <c r="AH943" s="93">
        <v>1</v>
      </c>
      <c r="AI943" s="93">
        <v>0</v>
      </c>
      <c r="AJ943" s="93">
        <v>0</v>
      </c>
      <c r="AK943" s="93">
        <v>0</v>
      </c>
    </row>
    <row r="944" spans="1:37" s="100" customFormat="1" outlineLevel="1">
      <c r="A944" s="63">
        <v>937</v>
      </c>
      <c r="B944" s="93" t="s">
        <v>379</v>
      </c>
      <c r="C944" s="93" t="s">
        <v>380</v>
      </c>
      <c r="D944" s="94" t="s">
        <v>557</v>
      </c>
      <c r="E944" s="93">
        <v>14</v>
      </c>
      <c r="F944" s="99" t="s">
        <v>231</v>
      </c>
      <c r="G944" s="93"/>
      <c r="H944" s="102" t="s">
        <v>570</v>
      </c>
      <c r="I944" s="93" t="s">
        <v>383</v>
      </c>
      <c r="J944" s="93"/>
      <c r="K944" s="96" t="s">
        <v>384</v>
      </c>
      <c r="L944" s="93" t="s">
        <v>232</v>
      </c>
      <c r="M944" s="97">
        <v>1905</v>
      </c>
      <c r="N944" s="64" t="s">
        <v>385</v>
      </c>
      <c r="O944" s="202">
        <v>5</v>
      </c>
      <c r="P944" s="196">
        <v>0</v>
      </c>
      <c r="Q944" s="202">
        <v>1</v>
      </c>
      <c r="R944" s="19">
        <v>10</v>
      </c>
      <c r="S944" s="19">
        <v>362</v>
      </c>
      <c r="T944" s="19">
        <v>314</v>
      </c>
      <c r="U944" s="93">
        <v>302</v>
      </c>
      <c r="V944" s="98">
        <v>0</v>
      </c>
      <c r="W944" s="205" t="s">
        <v>233</v>
      </c>
      <c r="X944" s="205" t="s">
        <v>233</v>
      </c>
      <c r="Y944" s="206" t="s">
        <v>233</v>
      </c>
      <c r="Z944" s="205" t="s">
        <v>233</v>
      </c>
      <c r="AA944" s="205" t="s">
        <v>233</v>
      </c>
      <c r="AB944" s="205" t="s">
        <v>233</v>
      </c>
      <c r="AC944" s="206" t="s">
        <v>240</v>
      </c>
      <c r="AD944" s="205" t="s">
        <v>233</v>
      </c>
      <c r="AE944" s="206" t="s">
        <v>240</v>
      </c>
      <c r="AF944" s="212">
        <v>0</v>
      </c>
      <c r="AG944" s="93">
        <v>1</v>
      </c>
      <c r="AH944" s="93">
        <v>0</v>
      </c>
      <c r="AI944" s="93">
        <v>0</v>
      </c>
      <c r="AJ944" s="93">
        <v>0</v>
      </c>
      <c r="AK944" s="93">
        <v>0</v>
      </c>
    </row>
    <row r="945" spans="1:37" s="100" customFormat="1" outlineLevel="1">
      <c r="A945" s="63">
        <v>938</v>
      </c>
      <c r="B945" s="93" t="s">
        <v>379</v>
      </c>
      <c r="C945" s="93" t="s">
        <v>380</v>
      </c>
      <c r="D945" s="94" t="s">
        <v>557</v>
      </c>
      <c r="E945" s="93">
        <v>15</v>
      </c>
      <c r="F945" s="99" t="s">
        <v>191</v>
      </c>
      <c r="G945" s="93"/>
      <c r="H945" s="102" t="s">
        <v>571</v>
      </c>
      <c r="I945" s="93" t="s">
        <v>383</v>
      </c>
      <c r="J945" s="93"/>
      <c r="K945" s="96" t="s">
        <v>384</v>
      </c>
      <c r="L945" s="93" t="s">
        <v>232</v>
      </c>
      <c r="M945" s="97">
        <v>1908</v>
      </c>
      <c r="N945" s="64" t="s">
        <v>385</v>
      </c>
      <c r="O945" s="202">
        <v>5</v>
      </c>
      <c r="P945" s="196">
        <v>0</v>
      </c>
      <c r="Q945" s="202">
        <v>3</v>
      </c>
      <c r="R945" s="19">
        <v>26</v>
      </c>
      <c r="S945" s="19">
        <v>3139</v>
      </c>
      <c r="T945" s="19">
        <v>2589</v>
      </c>
      <c r="U945" s="93">
        <v>2300</v>
      </c>
      <c r="V945" s="98">
        <v>457</v>
      </c>
      <c r="W945" s="205" t="s">
        <v>233</v>
      </c>
      <c r="X945" s="205" t="s">
        <v>233</v>
      </c>
      <c r="Y945" s="206" t="s">
        <v>233</v>
      </c>
      <c r="Z945" s="205" t="s">
        <v>233</v>
      </c>
      <c r="AA945" s="205" t="s">
        <v>233</v>
      </c>
      <c r="AB945" s="205" t="s">
        <v>233</v>
      </c>
      <c r="AC945" s="206" t="s">
        <v>240</v>
      </c>
      <c r="AD945" s="205" t="s">
        <v>233</v>
      </c>
      <c r="AE945" s="206" t="s">
        <v>240</v>
      </c>
      <c r="AF945" s="212">
        <v>2</v>
      </c>
      <c r="AG945" s="93">
        <v>1</v>
      </c>
      <c r="AH945" s="93">
        <v>1</v>
      </c>
      <c r="AI945" s="93">
        <v>0</v>
      </c>
      <c r="AJ945" s="93">
        <v>0</v>
      </c>
      <c r="AK945" s="93">
        <v>0</v>
      </c>
    </row>
    <row r="946" spans="1:37" s="100" customFormat="1" outlineLevel="1">
      <c r="A946" s="63">
        <v>939</v>
      </c>
      <c r="B946" s="93" t="s">
        <v>379</v>
      </c>
      <c r="C946" s="93" t="s">
        <v>380</v>
      </c>
      <c r="D946" s="94" t="s">
        <v>557</v>
      </c>
      <c r="E946" s="93">
        <v>16</v>
      </c>
      <c r="F946" s="99" t="s">
        <v>191</v>
      </c>
      <c r="G946" s="93"/>
      <c r="H946" s="102" t="s">
        <v>572</v>
      </c>
      <c r="I946" s="93" t="s">
        <v>383</v>
      </c>
      <c r="J946" s="93"/>
      <c r="K946" s="96" t="s">
        <v>384</v>
      </c>
      <c r="L946" s="93" t="s">
        <v>232</v>
      </c>
      <c r="M946" s="97">
        <v>1905</v>
      </c>
      <c r="N946" s="64" t="s">
        <v>385</v>
      </c>
      <c r="O946" s="202">
        <v>5</v>
      </c>
      <c r="P946" s="196">
        <v>0</v>
      </c>
      <c r="Q946" s="202">
        <v>1</v>
      </c>
      <c r="R946" s="19">
        <v>5</v>
      </c>
      <c r="S946" s="19">
        <v>527</v>
      </c>
      <c r="T946" s="19">
        <v>459</v>
      </c>
      <c r="U946" s="93">
        <v>419</v>
      </c>
      <c r="V946" s="98">
        <v>30</v>
      </c>
      <c r="W946" s="205" t="s">
        <v>233</v>
      </c>
      <c r="X946" s="205" t="s">
        <v>233</v>
      </c>
      <c r="Y946" s="206" t="s">
        <v>233</v>
      </c>
      <c r="Z946" s="205" t="s">
        <v>233</v>
      </c>
      <c r="AA946" s="205" t="s">
        <v>233</v>
      </c>
      <c r="AB946" s="205" t="s">
        <v>233</v>
      </c>
      <c r="AC946" s="206" t="s">
        <v>240</v>
      </c>
      <c r="AD946" s="205" t="s">
        <v>233</v>
      </c>
      <c r="AE946" s="206" t="s">
        <v>240</v>
      </c>
      <c r="AF946" s="212">
        <v>0</v>
      </c>
      <c r="AG946" s="93">
        <v>1</v>
      </c>
      <c r="AH946" s="93">
        <v>1</v>
      </c>
      <c r="AI946" s="93">
        <v>0</v>
      </c>
      <c r="AJ946" s="93">
        <v>0</v>
      </c>
      <c r="AK946" s="93">
        <v>0</v>
      </c>
    </row>
    <row r="947" spans="1:37" s="100" customFormat="1" outlineLevel="1">
      <c r="A947" s="63">
        <v>940</v>
      </c>
      <c r="B947" s="93" t="s">
        <v>379</v>
      </c>
      <c r="C947" s="93" t="s">
        <v>380</v>
      </c>
      <c r="D947" s="94" t="s">
        <v>557</v>
      </c>
      <c r="E947" s="93">
        <v>22</v>
      </c>
      <c r="F947" s="99" t="s">
        <v>191</v>
      </c>
      <c r="G947" s="93"/>
      <c r="H947" s="102" t="s">
        <v>573</v>
      </c>
      <c r="I947" s="93" t="s">
        <v>383</v>
      </c>
      <c r="J947" s="93"/>
      <c r="K947" s="96" t="s">
        <v>384</v>
      </c>
      <c r="L947" s="93" t="s">
        <v>232</v>
      </c>
      <c r="M947" s="97">
        <v>1855</v>
      </c>
      <c r="N947" s="64" t="s">
        <v>385</v>
      </c>
      <c r="O947" s="202">
        <v>4</v>
      </c>
      <c r="P947" s="196">
        <v>0</v>
      </c>
      <c r="Q947" s="202">
        <v>3</v>
      </c>
      <c r="R947" s="19">
        <v>47</v>
      </c>
      <c r="S947" s="19">
        <v>2903</v>
      </c>
      <c r="T947" s="19">
        <v>2598</v>
      </c>
      <c r="U947" s="93">
        <v>2598</v>
      </c>
      <c r="V947" s="98">
        <v>11</v>
      </c>
      <c r="W947" s="205" t="s">
        <v>233</v>
      </c>
      <c r="X947" s="205" t="s">
        <v>233</v>
      </c>
      <c r="Y947" s="206" t="s">
        <v>233</v>
      </c>
      <c r="Z947" s="205" t="s">
        <v>233</v>
      </c>
      <c r="AA947" s="205" t="s">
        <v>233</v>
      </c>
      <c r="AB947" s="205" t="s">
        <v>233</v>
      </c>
      <c r="AC947" s="206" t="s">
        <v>240</v>
      </c>
      <c r="AD947" s="205" t="s">
        <v>233</v>
      </c>
      <c r="AE947" s="206" t="s">
        <v>240</v>
      </c>
      <c r="AF947" s="212">
        <v>0</v>
      </c>
      <c r="AG947" s="93">
        <v>1</v>
      </c>
      <c r="AH947" s="93">
        <v>1</v>
      </c>
      <c r="AI947" s="93">
        <v>1</v>
      </c>
      <c r="AJ947" s="93">
        <v>1</v>
      </c>
      <c r="AK947" s="93">
        <v>0</v>
      </c>
    </row>
    <row r="948" spans="1:37" s="100" customFormat="1" outlineLevel="1">
      <c r="A948" s="63">
        <v>941</v>
      </c>
      <c r="B948" s="93" t="s">
        <v>379</v>
      </c>
      <c r="C948" s="93" t="s">
        <v>380</v>
      </c>
      <c r="D948" s="94" t="s">
        <v>557</v>
      </c>
      <c r="E948" s="93">
        <v>28</v>
      </c>
      <c r="F948" s="99" t="s">
        <v>191</v>
      </c>
      <c r="G948" s="93"/>
      <c r="H948" s="102" t="s">
        <v>574</v>
      </c>
      <c r="I948" s="93" t="s">
        <v>383</v>
      </c>
      <c r="J948" s="93"/>
      <c r="K948" s="96" t="s">
        <v>384</v>
      </c>
      <c r="L948" s="93" t="s">
        <v>232</v>
      </c>
      <c r="M948" s="97">
        <v>1906</v>
      </c>
      <c r="N948" s="64" t="s">
        <v>385</v>
      </c>
      <c r="O948" s="202">
        <v>3.5</v>
      </c>
      <c r="P948" s="196">
        <v>0</v>
      </c>
      <c r="Q948" s="202">
        <v>3</v>
      </c>
      <c r="R948" s="19">
        <v>20</v>
      </c>
      <c r="S948" s="19">
        <v>3062</v>
      </c>
      <c r="T948" s="19">
        <v>2729</v>
      </c>
      <c r="U948" s="93">
        <v>2283</v>
      </c>
      <c r="V948" s="98">
        <v>443</v>
      </c>
      <c r="W948" s="205" t="s">
        <v>233</v>
      </c>
      <c r="X948" s="205" t="s">
        <v>233</v>
      </c>
      <c r="Y948" s="206" t="s">
        <v>233</v>
      </c>
      <c r="Z948" s="205" t="s">
        <v>233</v>
      </c>
      <c r="AA948" s="205" t="s">
        <v>233</v>
      </c>
      <c r="AB948" s="205" t="s">
        <v>233</v>
      </c>
      <c r="AC948" s="206" t="s">
        <v>240</v>
      </c>
      <c r="AD948" s="205" t="s">
        <v>233</v>
      </c>
      <c r="AE948" s="206" t="s">
        <v>240</v>
      </c>
      <c r="AF948" s="212">
        <v>2</v>
      </c>
      <c r="AG948" s="93">
        <v>1</v>
      </c>
      <c r="AH948" s="93">
        <v>1</v>
      </c>
      <c r="AI948" s="93">
        <v>0</v>
      </c>
      <c r="AJ948" s="93">
        <v>0</v>
      </c>
      <c r="AK948" s="93">
        <v>0</v>
      </c>
    </row>
    <row r="949" spans="1:37" s="100" customFormat="1" outlineLevel="1">
      <c r="A949" s="63">
        <v>942</v>
      </c>
      <c r="B949" s="93" t="s">
        <v>379</v>
      </c>
      <c r="C949" s="93" t="s">
        <v>380</v>
      </c>
      <c r="D949" s="94" t="s">
        <v>557</v>
      </c>
      <c r="E949" s="93">
        <v>28</v>
      </c>
      <c r="F949" s="99" t="s">
        <v>231</v>
      </c>
      <c r="G949" s="93"/>
      <c r="H949" s="102" t="s">
        <v>575</v>
      </c>
      <c r="I949" s="93" t="s">
        <v>383</v>
      </c>
      <c r="J949" s="93"/>
      <c r="K949" s="96" t="s">
        <v>384</v>
      </c>
      <c r="L949" s="93" t="s">
        <v>232</v>
      </c>
      <c r="M949" s="97">
        <v>1907</v>
      </c>
      <c r="N949" s="64" t="s">
        <v>385</v>
      </c>
      <c r="O949" s="202">
        <v>3</v>
      </c>
      <c r="P949" s="196">
        <v>0</v>
      </c>
      <c r="Q949" s="202">
        <v>1</v>
      </c>
      <c r="R949" s="19">
        <v>3</v>
      </c>
      <c r="S949" s="19">
        <v>235</v>
      </c>
      <c r="T949" s="19">
        <v>205</v>
      </c>
      <c r="U949" s="93">
        <v>122</v>
      </c>
      <c r="V949" s="98">
        <v>76</v>
      </c>
      <c r="W949" s="205" t="s">
        <v>233</v>
      </c>
      <c r="X949" s="205" t="s">
        <v>233</v>
      </c>
      <c r="Y949" s="206" t="s">
        <v>233</v>
      </c>
      <c r="Z949" s="205" t="s">
        <v>233</v>
      </c>
      <c r="AA949" s="205" t="s">
        <v>233</v>
      </c>
      <c r="AB949" s="205" t="s">
        <v>233</v>
      </c>
      <c r="AC949" s="206" t="s">
        <v>240</v>
      </c>
      <c r="AD949" s="205" t="s">
        <v>233</v>
      </c>
      <c r="AE949" s="206" t="s">
        <v>240</v>
      </c>
      <c r="AF949" s="212">
        <v>0</v>
      </c>
      <c r="AG949" s="93">
        <v>1</v>
      </c>
      <c r="AH949" s="93">
        <v>0</v>
      </c>
      <c r="AI949" s="93">
        <v>0</v>
      </c>
      <c r="AJ949" s="93">
        <v>0</v>
      </c>
      <c r="AK949" s="93">
        <v>0</v>
      </c>
    </row>
    <row r="950" spans="1:37" s="100" customFormat="1" outlineLevel="1">
      <c r="A950" s="63">
        <v>943</v>
      </c>
      <c r="B950" s="93" t="s">
        <v>379</v>
      </c>
      <c r="C950" s="93" t="s">
        <v>380</v>
      </c>
      <c r="D950" s="94" t="s">
        <v>557</v>
      </c>
      <c r="E950" s="93">
        <v>29</v>
      </c>
      <c r="F950" s="99" t="s">
        <v>191</v>
      </c>
      <c r="G950" s="93"/>
      <c r="H950" s="102" t="s">
        <v>576</v>
      </c>
      <c r="I950" s="93" t="s">
        <v>383</v>
      </c>
      <c r="J950" s="93"/>
      <c r="K950" s="96" t="s">
        <v>384</v>
      </c>
      <c r="L950" s="93" t="s">
        <v>232</v>
      </c>
      <c r="M950" s="97">
        <v>1948</v>
      </c>
      <c r="N950" s="64" t="s">
        <v>385</v>
      </c>
      <c r="O950" s="202">
        <v>4</v>
      </c>
      <c r="P950" s="196">
        <v>0</v>
      </c>
      <c r="Q950" s="202">
        <v>1</v>
      </c>
      <c r="R950" s="19">
        <v>9</v>
      </c>
      <c r="S950" s="19">
        <v>1081</v>
      </c>
      <c r="T950" s="19">
        <v>971</v>
      </c>
      <c r="U950" s="93">
        <v>876</v>
      </c>
      <c r="V950" s="98">
        <v>95</v>
      </c>
      <c r="W950" s="205" t="s">
        <v>233</v>
      </c>
      <c r="X950" s="205" t="s">
        <v>233</v>
      </c>
      <c r="Y950" s="206" t="s">
        <v>240</v>
      </c>
      <c r="Z950" s="205" t="s">
        <v>233</v>
      </c>
      <c r="AA950" s="205" t="s">
        <v>233</v>
      </c>
      <c r="AB950" s="205" t="s">
        <v>233</v>
      </c>
      <c r="AC950" s="206" t="s">
        <v>233</v>
      </c>
      <c r="AD950" s="205" t="s">
        <v>233</v>
      </c>
      <c r="AE950" s="206" t="s">
        <v>240</v>
      </c>
      <c r="AF950" s="212">
        <v>0</v>
      </c>
      <c r="AG950" s="93">
        <v>1</v>
      </c>
      <c r="AH950" s="93">
        <v>1</v>
      </c>
      <c r="AI950" s="93">
        <v>0</v>
      </c>
      <c r="AJ950" s="93">
        <v>0</v>
      </c>
      <c r="AK950" s="93">
        <v>0</v>
      </c>
    </row>
    <row r="951" spans="1:37" s="100" customFormat="1" outlineLevel="1">
      <c r="A951" s="63">
        <v>944</v>
      </c>
      <c r="B951" s="93" t="s">
        <v>379</v>
      </c>
      <c r="C951" s="93" t="s">
        <v>380</v>
      </c>
      <c r="D951" s="94" t="s">
        <v>557</v>
      </c>
      <c r="E951" s="93">
        <v>30</v>
      </c>
      <c r="F951" s="99" t="s">
        <v>191</v>
      </c>
      <c r="G951" s="93"/>
      <c r="H951" s="102" t="s">
        <v>577</v>
      </c>
      <c r="I951" s="93" t="s">
        <v>383</v>
      </c>
      <c r="J951" s="93"/>
      <c r="K951" s="96" t="s">
        <v>384</v>
      </c>
      <c r="L951" s="93" t="s">
        <v>232</v>
      </c>
      <c r="M951" s="97">
        <v>1917</v>
      </c>
      <c r="N951" s="64" t="s">
        <v>385</v>
      </c>
      <c r="O951" s="202">
        <v>3.5</v>
      </c>
      <c r="P951" s="196">
        <v>0</v>
      </c>
      <c r="Q951" s="202">
        <v>3</v>
      </c>
      <c r="R951" s="19">
        <v>15</v>
      </c>
      <c r="S951" s="19">
        <v>2283</v>
      </c>
      <c r="T951" s="19">
        <v>1919</v>
      </c>
      <c r="U951" s="93">
        <v>1709</v>
      </c>
      <c r="V951" s="98">
        <v>259</v>
      </c>
      <c r="W951" s="205" t="s">
        <v>233</v>
      </c>
      <c r="X951" s="205" t="s">
        <v>233</v>
      </c>
      <c r="Y951" s="206" t="s">
        <v>233</v>
      </c>
      <c r="Z951" s="205" t="s">
        <v>233</v>
      </c>
      <c r="AA951" s="205" t="s">
        <v>233</v>
      </c>
      <c r="AB951" s="205" t="s">
        <v>233</v>
      </c>
      <c r="AC951" s="206" t="s">
        <v>240</v>
      </c>
      <c r="AD951" s="205" t="s">
        <v>233</v>
      </c>
      <c r="AE951" s="206" t="s">
        <v>240</v>
      </c>
      <c r="AF951" s="212">
        <v>0</v>
      </c>
      <c r="AG951" s="93">
        <v>1</v>
      </c>
      <c r="AH951" s="93">
        <v>1</v>
      </c>
      <c r="AI951" s="93">
        <v>1</v>
      </c>
      <c r="AJ951" s="93">
        <v>1</v>
      </c>
      <c r="AK951" s="93">
        <v>0</v>
      </c>
    </row>
    <row r="952" spans="1:37" s="100" customFormat="1" outlineLevel="1">
      <c r="A952" s="63">
        <v>945</v>
      </c>
      <c r="B952" s="93" t="s">
        <v>379</v>
      </c>
      <c r="C952" s="93" t="s">
        <v>380</v>
      </c>
      <c r="D952" s="94" t="s">
        <v>557</v>
      </c>
      <c r="E952" s="93">
        <v>30</v>
      </c>
      <c r="F952" s="99" t="s">
        <v>231</v>
      </c>
      <c r="G952" s="93"/>
      <c r="H952" s="102" t="s">
        <v>578</v>
      </c>
      <c r="I952" s="93" t="s">
        <v>383</v>
      </c>
      <c r="J952" s="93"/>
      <c r="K952" s="96" t="s">
        <v>384</v>
      </c>
      <c r="L952" s="93" t="s">
        <v>232</v>
      </c>
      <c r="M952" s="97">
        <v>1917</v>
      </c>
      <c r="N952" s="64" t="s">
        <v>385</v>
      </c>
      <c r="O952" s="202">
        <v>3</v>
      </c>
      <c r="P952" s="196">
        <v>0</v>
      </c>
      <c r="Q952" s="202">
        <v>1</v>
      </c>
      <c r="R952" s="19">
        <v>6</v>
      </c>
      <c r="S952" s="19">
        <v>293</v>
      </c>
      <c r="T952" s="19">
        <v>247</v>
      </c>
      <c r="U952" s="93">
        <v>257</v>
      </c>
      <c r="V952" s="98">
        <v>0</v>
      </c>
      <c r="W952" s="205" t="s">
        <v>233</v>
      </c>
      <c r="X952" s="205" t="s">
        <v>233</v>
      </c>
      <c r="Y952" s="206" t="s">
        <v>233</v>
      </c>
      <c r="Z952" s="205" t="s">
        <v>233</v>
      </c>
      <c r="AA952" s="205" t="s">
        <v>233</v>
      </c>
      <c r="AB952" s="205" t="s">
        <v>233</v>
      </c>
      <c r="AC952" s="206" t="s">
        <v>240</v>
      </c>
      <c r="AD952" s="205" t="s">
        <v>233</v>
      </c>
      <c r="AE952" s="206" t="s">
        <v>240</v>
      </c>
      <c r="AF952" s="212">
        <v>0</v>
      </c>
      <c r="AG952" s="93">
        <v>1</v>
      </c>
      <c r="AH952" s="93">
        <v>0</v>
      </c>
      <c r="AI952" s="93">
        <v>0</v>
      </c>
      <c r="AJ952" s="93">
        <v>0</v>
      </c>
      <c r="AK952" s="93">
        <v>0</v>
      </c>
    </row>
    <row r="953" spans="1:37" s="100" customFormat="1" outlineLevel="1">
      <c r="A953" s="63">
        <v>946</v>
      </c>
      <c r="B953" s="93" t="s">
        <v>379</v>
      </c>
      <c r="C953" s="93" t="s">
        <v>380</v>
      </c>
      <c r="D953" s="94" t="s">
        <v>557</v>
      </c>
      <c r="E953" s="93">
        <v>31</v>
      </c>
      <c r="F953" s="99" t="s">
        <v>191</v>
      </c>
      <c r="G953" s="93"/>
      <c r="H953" s="102" t="s">
        <v>579</v>
      </c>
      <c r="I953" s="93" t="s">
        <v>383</v>
      </c>
      <c r="J953" s="93"/>
      <c r="K953" s="96" t="s">
        <v>384</v>
      </c>
      <c r="L953" s="93" t="s">
        <v>232</v>
      </c>
      <c r="M953" s="97">
        <v>1917</v>
      </c>
      <c r="N953" s="64" t="s">
        <v>385</v>
      </c>
      <c r="O953" s="202">
        <v>4</v>
      </c>
      <c r="P953" s="196">
        <v>0</v>
      </c>
      <c r="Q953" s="202">
        <v>2</v>
      </c>
      <c r="R953" s="19">
        <v>16</v>
      </c>
      <c r="S953" s="19">
        <v>1545</v>
      </c>
      <c r="T953" s="19">
        <v>1329</v>
      </c>
      <c r="U953" s="93">
        <v>1204</v>
      </c>
      <c r="V953" s="98">
        <v>171</v>
      </c>
      <c r="W953" s="205" t="s">
        <v>233</v>
      </c>
      <c r="X953" s="205" t="s">
        <v>233</v>
      </c>
      <c r="Y953" s="206" t="s">
        <v>233</v>
      </c>
      <c r="Z953" s="205" t="s">
        <v>233</v>
      </c>
      <c r="AA953" s="205" t="s">
        <v>233</v>
      </c>
      <c r="AB953" s="205" t="s">
        <v>233</v>
      </c>
      <c r="AC953" s="206" t="s">
        <v>240</v>
      </c>
      <c r="AD953" s="205" t="s">
        <v>233</v>
      </c>
      <c r="AE953" s="206" t="s">
        <v>240</v>
      </c>
      <c r="AF953" s="212">
        <v>0</v>
      </c>
      <c r="AG953" s="93">
        <v>1</v>
      </c>
      <c r="AH953" s="93">
        <v>1</v>
      </c>
      <c r="AI953" s="93">
        <v>0</v>
      </c>
      <c r="AJ953" s="93">
        <v>0</v>
      </c>
      <c r="AK953" s="93">
        <v>0</v>
      </c>
    </row>
    <row r="954" spans="1:37" s="100" customFormat="1" outlineLevel="1">
      <c r="A954" s="63">
        <v>947</v>
      </c>
      <c r="B954" s="93" t="s">
        <v>379</v>
      </c>
      <c r="C954" s="93" t="s">
        <v>380</v>
      </c>
      <c r="D954" s="94" t="s">
        <v>557</v>
      </c>
      <c r="E954" s="93">
        <v>33</v>
      </c>
      <c r="F954" s="99" t="s">
        <v>191</v>
      </c>
      <c r="G954" s="93"/>
      <c r="H954" s="102" t="s">
        <v>580</v>
      </c>
      <c r="I954" s="93" t="s">
        <v>383</v>
      </c>
      <c r="J954" s="93"/>
      <c r="K954" s="96" t="s">
        <v>384</v>
      </c>
      <c r="L954" s="93" t="s">
        <v>232</v>
      </c>
      <c r="M954" s="97">
        <v>1917</v>
      </c>
      <c r="N954" s="64" t="s">
        <v>385</v>
      </c>
      <c r="O954" s="202">
        <v>5</v>
      </c>
      <c r="P954" s="196">
        <v>0</v>
      </c>
      <c r="Q954" s="202">
        <v>3</v>
      </c>
      <c r="R954" s="19">
        <v>22</v>
      </c>
      <c r="S954" s="19">
        <v>2178</v>
      </c>
      <c r="T954" s="19">
        <v>1625</v>
      </c>
      <c r="U954" s="93">
        <v>1531</v>
      </c>
      <c r="V954" s="98">
        <v>112</v>
      </c>
      <c r="W954" s="205" t="s">
        <v>233</v>
      </c>
      <c r="X954" s="205" t="s">
        <v>233</v>
      </c>
      <c r="Y954" s="206" t="s">
        <v>233</v>
      </c>
      <c r="Z954" s="205" t="s">
        <v>233</v>
      </c>
      <c r="AA954" s="205" t="s">
        <v>233</v>
      </c>
      <c r="AB954" s="205" t="s">
        <v>233</v>
      </c>
      <c r="AC954" s="206" t="s">
        <v>240</v>
      </c>
      <c r="AD954" s="205" t="s">
        <v>233</v>
      </c>
      <c r="AE954" s="206" t="s">
        <v>240</v>
      </c>
      <c r="AF954" s="212">
        <v>0</v>
      </c>
      <c r="AG954" s="93">
        <v>1</v>
      </c>
      <c r="AH954" s="93">
        <v>1</v>
      </c>
      <c r="AI954" s="93">
        <v>0</v>
      </c>
      <c r="AJ954" s="93">
        <v>0</v>
      </c>
      <c r="AK954" s="93">
        <v>0</v>
      </c>
    </row>
    <row r="955" spans="1:37" s="100" customFormat="1" outlineLevel="1">
      <c r="A955" s="63">
        <v>948</v>
      </c>
      <c r="B955" s="93" t="s">
        <v>379</v>
      </c>
      <c r="C955" s="93" t="s">
        <v>380</v>
      </c>
      <c r="D955" s="94" t="s">
        <v>557</v>
      </c>
      <c r="E955" s="93">
        <v>34</v>
      </c>
      <c r="F955" s="99" t="s">
        <v>191</v>
      </c>
      <c r="G955" s="93"/>
      <c r="H955" s="102" t="s">
        <v>581</v>
      </c>
      <c r="I955" s="93" t="s">
        <v>383</v>
      </c>
      <c r="J955" s="93"/>
      <c r="K955" s="96" t="s">
        <v>384</v>
      </c>
      <c r="L955" s="93" t="s">
        <v>232</v>
      </c>
      <c r="M955" s="97">
        <v>1880</v>
      </c>
      <c r="N955" s="64" t="s">
        <v>385</v>
      </c>
      <c r="O955" s="202">
        <v>4</v>
      </c>
      <c r="P955" s="196">
        <v>0</v>
      </c>
      <c r="Q955" s="202">
        <v>3</v>
      </c>
      <c r="R955" s="19">
        <v>13</v>
      </c>
      <c r="S955" s="19">
        <v>1538</v>
      </c>
      <c r="T955" s="19">
        <v>1282</v>
      </c>
      <c r="U955" s="93">
        <v>987</v>
      </c>
      <c r="V955" s="98">
        <v>358</v>
      </c>
      <c r="W955" s="205" t="s">
        <v>233</v>
      </c>
      <c r="X955" s="205" t="s">
        <v>233</v>
      </c>
      <c r="Y955" s="206" t="s">
        <v>233</v>
      </c>
      <c r="Z955" s="205" t="s">
        <v>233</v>
      </c>
      <c r="AA955" s="205" t="s">
        <v>233</v>
      </c>
      <c r="AB955" s="205" t="s">
        <v>233</v>
      </c>
      <c r="AC955" s="206" t="s">
        <v>240</v>
      </c>
      <c r="AD955" s="205" t="s">
        <v>233</v>
      </c>
      <c r="AE955" s="206" t="s">
        <v>240</v>
      </c>
      <c r="AF955" s="212">
        <v>0</v>
      </c>
      <c r="AG955" s="93">
        <v>1</v>
      </c>
      <c r="AH955" s="93">
        <v>1</v>
      </c>
      <c r="AI955" s="93">
        <v>0</v>
      </c>
      <c r="AJ955" s="93">
        <v>0</v>
      </c>
      <c r="AK955" s="93">
        <v>0</v>
      </c>
    </row>
    <row r="956" spans="1:37" s="100" customFormat="1" outlineLevel="1">
      <c r="A956" s="63">
        <v>949</v>
      </c>
      <c r="B956" s="93" t="s">
        <v>379</v>
      </c>
      <c r="C956" s="93" t="s">
        <v>380</v>
      </c>
      <c r="D956" s="94" t="s">
        <v>557</v>
      </c>
      <c r="E956" s="93">
        <v>35</v>
      </c>
      <c r="F956" s="99" t="s">
        <v>191</v>
      </c>
      <c r="G956" s="93"/>
      <c r="H956" s="102" t="s">
        <v>582</v>
      </c>
      <c r="I956" s="93" t="s">
        <v>383</v>
      </c>
      <c r="J956" s="93"/>
      <c r="K956" s="96" t="s">
        <v>384</v>
      </c>
      <c r="L956" s="93" t="s">
        <v>232</v>
      </c>
      <c r="M956" s="97">
        <v>1917</v>
      </c>
      <c r="N956" s="64" t="s">
        <v>385</v>
      </c>
      <c r="O956" s="202">
        <v>4</v>
      </c>
      <c r="P956" s="196">
        <v>0</v>
      </c>
      <c r="Q956" s="202">
        <v>3</v>
      </c>
      <c r="R956" s="19">
        <v>12</v>
      </c>
      <c r="S956" s="19">
        <v>1284</v>
      </c>
      <c r="T956" s="19">
        <v>942</v>
      </c>
      <c r="U956" s="93">
        <v>945</v>
      </c>
      <c r="V956" s="98">
        <v>32</v>
      </c>
      <c r="W956" s="205" t="s">
        <v>233</v>
      </c>
      <c r="X956" s="205" t="s">
        <v>233</v>
      </c>
      <c r="Y956" s="206" t="s">
        <v>233</v>
      </c>
      <c r="Z956" s="205" t="s">
        <v>233</v>
      </c>
      <c r="AA956" s="205" t="s">
        <v>233</v>
      </c>
      <c r="AB956" s="205" t="s">
        <v>233</v>
      </c>
      <c r="AC956" s="206" t="s">
        <v>240</v>
      </c>
      <c r="AD956" s="205" t="s">
        <v>233</v>
      </c>
      <c r="AE956" s="206" t="s">
        <v>240</v>
      </c>
      <c r="AF956" s="212">
        <v>0</v>
      </c>
      <c r="AG956" s="93">
        <v>1</v>
      </c>
      <c r="AH956" s="93">
        <v>1</v>
      </c>
      <c r="AI956" s="93">
        <v>1</v>
      </c>
      <c r="AJ956" s="93">
        <v>1</v>
      </c>
      <c r="AK956" s="93">
        <v>0</v>
      </c>
    </row>
    <row r="957" spans="1:37" s="100" customFormat="1" outlineLevel="1">
      <c r="A957" s="63">
        <v>950</v>
      </c>
      <c r="B957" s="93" t="s">
        <v>379</v>
      </c>
      <c r="C957" s="93" t="s">
        <v>380</v>
      </c>
      <c r="D957" s="94" t="s">
        <v>557</v>
      </c>
      <c r="E957" s="96" t="s">
        <v>483</v>
      </c>
      <c r="F957" s="99" t="s">
        <v>191</v>
      </c>
      <c r="G957" s="93"/>
      <c r="H957" s="102" t="s">
        <v>583</v>
      </c>
      <c r="I957" s="93" t="s">
        <v>383</v>
      </c>
      <c r="J957" s="93"/>
      <c r="K957" s="96" t="s">
        <v>384</v>
      </c>
      <c r="L957" s="93" t="s">
        <v>232</v>
      </c>
      <c r="M957" s="97">
        <v>1906</v>
      </c>
      <c r="N957" s="64" t="s">
        <v>385</v>
      </c>
      <c r="O957" s="202">
        <v>5</v>
      </c>
      <c r="P957" s="196">
        <v>0</v>
      </c>
      <c r="Q957" s="202">
        <v>6</v>
      </c>
      <c r="R957" s="19">
        <v>35</v>
      </c>
      <c r="S957" s="19">
        <v>5289</v>
      </c>
      <c r="T957" s="19">
        <v>4406</v>
      </c>
      <c r="U957" s="93">
        <v>4027</v>
      </c>
      <c r="V957" s="98">
        <v>389</v>
      </c>
      <c r="W957" s="205" t="s">
        <v>233</v>
      </c>
      <c r="X957" s="205" t="s">
        <v>233</v>
      </c>
      <c r="Y957" s="206" t="s">
        <v>233</v>
      </c>
      <c r="Z957" s="205" t="s">
        <v>233</v>
      </c>
      <c r="AA957" s="205" t="s">
        <v>233</v>
      </c>
      <c r="AB957" s="205" t="s">
        <v>233</v>
      </c>
      <c r="AC957" s="206" t="s">
        <v>240</v>
      </c>
      <c r="AD957" s="205" t="s">
        <v>233</v>
      </c>
      <c r="AE957" s="206" t="s">
        <v>240</v>
      </c>
      <c r="AF957" s="212">
        <v>1</v>
      </c>
      <c r="AG957" s="93">
        <v>1</v>
      </c>
      <c r="AH957" s="93">
        <v>1</v>
      </c>
      <c r="AI957" s="93">
        <v>0</v>
      </c>
      <c r="AJ957" s="93">
        <v>0</v>
      </c>
      <c r="AK957" s="93">
        <v>0</v>
      </c>
    </row>
    <row r="958" spans="1:37" s="100" customFormat="1" outlineLevel="1">
      <c r="A958" s="63">
        <v>951</v>
      </c>
      <c r="B958" s="93" t="s">
        <v>379</v>
      </c>
      <c r="C958" s="93" t="s">
        <v>380</v>
      </c>
      <c r="D958" s="94" t="s">
        <v>557</v>
      </c>
      <c r="E958" s="93">
        <v>40</v>
      </c>
      <c r="F958" s="99" t="s">
        <v>191</v>
      </c>
      <c r="G958" s="93"/>
      <c r="H958" s="102" t="s">
        <v>584</v>
      </c>
      <c r="I958" s="93" t="s">
        <v>383</v>
      </c>
      <c r="J958" s="93"/>
      <c r="K958" s="96" t="s">
        <v>384</v>
      </c>
      <c r="L958" s="93" t="s">
        <v>232</v>
      </c>
      <c r="M958" s="97">
        <v>1881</v>
      </c>
      <c r="N958" s="64" t="s">
        <v>385</v>
      </c>
      <c r="O958" s="202">
        <v>4</v>
      </c>
      <c r="P958" s="196">
        <v>0</v>
      </c>
      <c r="Q958" s="202">
        <v>2</v>
      </c>
      <c r="R958" s="19">
        <v>24</v>
      </c>
      <c r="S958" s="19">
        <v>1815</v>
      </c>
      <c r="T958" s="19">
        <v>1632</v>
      </c>
      <c r="U958" s="93">
        <v>1243</v>
      </c>
      <c r="V958" s="98">
        <v>391</v>
      </c>
      <c r="W958" s="205" t="s">
        <v>233</v>
      </c>
      <c r="X958" s="205" t="s">
        <v>233</v>
      </c>
      <c r="Y958" s="206" t="s">
        <v>233</v>
      </c>
      <c r="Z958" s="205" t="s">
        <v>233</v>
      </c>
      <c r="AA958" s="205" t="s">
        <v>233</v>
      </c>
      <c r="AB958" s="205" t="s">
        <v>233</v>
      </c>
      <c r="AC958" s="206" t="s">
        <v>240</v>
      </c>
      <c r="AD958" s="205" t="s">
        <v>233</v>
      </c>
      <c r="AE958" s="206" t="s">
        <v>240</v>
      </c>
      <c r="AF958" s="212">
        <v>0</v>
      </c>
      <c r="AG958" s="93">
        <v>1</v>
      </c>
      <c r="AH958" s="93">
        <v>1</v>
      </c>
      <c r="AI958" s="93">
        <v>0</v>
      </c>
      <c r="AJ958" s="93">
        <v>0</v>
      </c>
      <c r="AK958" s="93">
        <v>0</v>
      </c>
    </row>
    <row r="959" spans="1:37" s="100" customFormat="1" outlineLevel="1">
      <c r="A959" s="63">
        <v>952</v>
      </c>
      <c r="B959" s="93" t="s">
        <v>379</v>
      </c>
      <c r="C959" s="93" t="s">
        <v>380</v>
      </c>
      <c r="D959" s="94" t="s">
        <v>557</v>
      </c>
      <c r="E959" s="93">
        <v>41</v>
      </c>
      <c r="F959" s="99" t="s">
        <v>191</v>
      </c>
      <c r="G959" s="93"/>
      <c r="H959" s="102" t="s">
        <v>585</v>
      </c>
      <c r="I959" s="93" t="s">
        <v>383</v>
      </c>
      <c r="J959" s="93"/>
      <c r="K959" s="96" t="s">
        <v>384</v>
      </c>
      <c r="L959" s="93" t="s">
        <v>232</v>
      </c>
      <c r="M959" s="97">
        <v>1865</v>
      </c>
      <c r="N959" s="64" t="s">
        <v>385</v>
      </c>
      <c r="O959" s="202">
        <v>4</v>
      </c>
      <c r="P959" s="196">
        <v>0</v>
      </c>
      <c r="Q959" s="202">
        <v>3</v>
      </c>
      <c r="R959" s="19">
        <v>29</v>
      </c>
      <c r="S959" s="19">
        <v>2502</v>
      </c>
      <c r="T959" s="19">
        <v>2193</v>
      </c>
      <c r="U959" s="93">
        <v>1793</v>
      </c>
      <c r="V959" s="98">
        <v>138</v>
      </c>
      <c r="W959" s="205" t="s">
        <v>233</v>
      </c>
      <c r="X959" s="205" t="s">
        <v>233</v>
      </c>
      <c r="Y959" s="206" t="s">
        <v>233</v>
      </c>
      <c r="Z959" s="205" t="s">
        <v>233</v>
      </c>
      <c r="AA959" s="205" t="s">
        <v>233</v>
      </c>
      <c r="AB959" s="205" t="s">
        <v>233</v>
      </c>
      <c r="AC959" s="206" t="s">
        <v>240</v>
      </c>
      <c r="AD959" s="205" t="s">
        <v>233</v>
      </c>
      <c r="AE959" s="206" t="s">
        <v>240</v>
      </c>
      <c r="AF959" s="212">
        <v>0</v>
      </c>
      <c r="AG959" s="93">
        <v>1</v>
      </c>
      <c r="AH959" s="93">
        <v>1</v>
      </c>
      <c r="AI959" s="93">
        <v>0</v>
      </c>
      <c r="AJ959" s="93">
        <v>0</v>
      </c>
      <c r="AK959" s="93">
        <v>0</v>
      </c>
    </row>
    <row r="960" spans="1:37" s="100" customFormat="1" outlineLevel="1">
      <c r="A960" s="63">
        <v>953</v>
      </c>
      <c r="B960" s="93" t="s">
        <v>379</v>
      </c>
      <c r="C960" s="93" t="s">
        <v>380</v>
      </c>
      <c r="D960" s="94" t="s">
        <v>557</v>
      </c>
      <c r="E960" s="93">
        <v>42</v>
      </c>
      <c r="F960" s="99" t="s">
        <v>191</v>
      </c>
      <c r="G960" s="93"/>
      <c r="H960" s="102" t="s">
        <v>586</v>
      </c>
      <c r="I960" s="93" t="s">
        <v>383</v>
      </c>
      <c r="J960" s="93"/>
      <c r="K960" s="96" t="s">
        <v>384</v>
      </c>
      <c r="L960" s="93" t="s">
        <v>232</v>
      </c>
      <c r="M960" s="97">
        <v>1908</v>
      </c>
      <c r="N960" s="64" t="s">
        <v>385</v>
      </c>
      <c r="O960" s="202">
        <v>6</v>
      </c>
      <c r="P960" s="196">
        <v>0</v>
      </c>
      <c r="Q960" s="202">
        <v>2</v>
      </c>
      <c r="R960" s="19">
        <v>24</v>
      </c>
      <c r="S960" s="19">
        <v>2628</v>
      </c>
      <c r="T960" s="19">
        <v>2151</v>
      </c>
      <c r="U960" s="93">
        <v>2075</v>
      </c>
      <c r="V960" s="98">
        <v>205</v>
      </c>
      <c r="W960" s="205" t="s">
        <v>233</v>
      </c>
      <c r="X960" s="205" t="s">
        <v>233</v>
      </c>
      <c r="Y960" s="206" t="s">
        <v>233</v>
      </c>
      <c r="Z960" s="205" t="s">
        <v>233</v>
      </c>
      <c r="AA960" s="205" t="s">
        <v>233</v>
      </c>
      <c r="AB960" s="205" t="s">
        <v>233</v>
      </c>
      <c r="AC960" s="206" t="s">
        <v>240</v>
      </c>
      <c r="AD960" s="205" t="s">
        <v>233</v>
      </c>
      <c r="AE960" s="206" t="s">
        <v>240</v>
      </c>
      <c r="AF960" s="212">
        <v>1</v>
      </c>
      <c r="AG960" s="93">
        <v>1</v>
      </c>
      <c r="AH960" s="93">
        <v>1</v>
      </c>
      <c r="AI960" s="93">
        <v>0</v>
      </c>
      <c r="AJ960" s="93">
        <v>0</v>
      </c>
      <c r="AK960" s="93">
        <v>0</v>
      </c>
    </row>
    <row r="961" spans="1:37" s="100" customFormat="1" outlineLevel="1">
      <c r="A961" s="63">
        <v>954</v>
      </c>
      <c r="B961" s="93" t="s">
        <v>379</v>
      </c>
      <c r="C961" s="93" t="s">
        <v>380</v>
      </c>
      <c r="D961" s="94" t="s">
        <v>557</v>
      </c>
      <c r="E961" s="93">
        <v>43</v>
      </c>
      <c r="F961" s="99" t="s">
        <v>191</v>
      </c>
      <c r="G961" s="93"/>
      <c r="H961" s="102" t="s">
        <v>587</v>
      </c>
      <c r="I961" s="93" t="s">
        <v>383</v>
      </c>
      <c r="J961" s="93"/>
      <c r="K961" s="96" t="s">
        <v>384</v>
      </c>
      <c r="L961" s="93" t="s">
        <v>232</v>
      </c>
      <c r="M961" s="97">
        <v>1895</v>
      </c>
      <c r="N961" s="64" t="s">
        <v>385</v>
      </c>
      <c r="O961" s="202">
        <v>5</v>
      </c>
      <c r="P961" s="196">
        <v>0</v>
      </c>
      <c r="Q961" s="202">
        <v>2</v>
      </c>
      <c r="R961" s="19">
        <v>9</v>
      </c>
      <c r="S961" s="19">
        <v>944</v>
      </c>
      <c r="T961" s="19">
        <v>758</v>
      </c>
      <c r="U961" s="93">
        <v>742</v>
      </c>
      <c r="V961" s="98">
        <v>50</v>
      </c>
      <c r="W961" s="205" t="s">
        <v>233</v>
      </c>
      <c r="X961" s="205" t="s">
        <v>233</v>
      </c>
      <c r="Y961" s="206" t="s">
        <v>233</v>
      </c>
      <c r="Z961" s="205" t="s">
        <v>233</v>
      </c>
      <c r="AA961" s="205" t="s">
        <v>233</v>
      </c>
      <c r="AB961" s="205" t="s">
        <v>233</v>
      </c>
      <c r="AC961" s="206" t="s">
        <v>240</v>
      </c>
      <c r="AD961" s="205" t="s">
        <v>233</v>
      </c>
      <c r="AE961" s="206" t="s">
        <v>240</v>
      </c>
      <c r="AF961" s="212">
        <v>0</v>
      </c>
      <c r="AG961" s="93">
        <v>1</v>
      </c>
      <c r="AH961" s="93">
        <v>1</v>
      </c>
      <c r="AI961" s="93">
        <v>1</v>
      </c>
      <c r="AJ961" s="93">
        <v>1</v>
      </c>
      <c r="AK961" s="93">
        <v>0</v>
      </c>
    </row>
    <row r="962" spans="1:37" s="100" customFormat="1" outlineLevel="1">
      <c r="A962" s="63">
        <v>955</v>
      </c>
      <c r="B962" s="93" t="s">
        <v>379</v>
      </c>
      <c r="C962" s="93" t="s">
        <v>380</v>
      </c>
      <c r="D962" s="94" t="s">
        <v>557</v>
      </c>
      <c r="E962" s="93">
        <v>43</v>
      </c>
      <c r="F962" s="99" t="s">
        <v>231</v>
      </c>
      <c r="G962" s="93"/>
      <c r="H962" s="102" t="s">
        <v>588</v>
      </c>
      <c r="I962" s="93" t="s">
        <v>383</v>
      </c>
      <c r="J962" s="93"/>
      <c r="K962" s="96" t="s">
        <v>384</v>
      </c>
      <c r="L962" s="93" t="s">
        <v>232</v>
      </c>
      <c r="M962" s="97">
        <v>1898</v>
      </c>
      <c r="N962" s="64" t="s">
        <v>385</v>
      </c>
      <c r="O962" s="202">
        <v>6</v>
      </c>
      <c r="P962" s="196">
        <v>0</v>
      </c>
      <c r="Q962" s="202">
        <v>1</v>
      </c>
      <c r="R962" s="19">
        <v>12</v>
      </c>
      <c r="S962" s="19">
        <v>538</v>
      </c>
      <c r="T962" s="19">
        <v>432</v>
      </c>
      <c r="U962" s="93">
        <v>449</v>
      </c>
      <c r="V962" s="98">
        <v>0</v>
      </c>
      <c r="W962" s="205" t="s">
        <v>233</v>
      </c>
      <c r="X962" s="205" t="s">
        <v>233</v>
      </c>
      <c r="Y962" s="206" t="s">
        <v>233</v>
      </c>
      <c r="Z962" s="205" t="s">
        <v>233</v>
      </c>
      <c r="AA962" s="205" t="s">
        <v>233</v>
      </c>
      <c r="AB962" s="205" t="s">
        <v>233</v>
      </c>
      <c r="AC962" s="206" t="s">
        <v>240</v>
      </c>
      <c r="AD962" s="205" t="s">
        <v>233</v>
      </c>
      <c r="AE962" s="206" t="s">
        <v>240</v>
      </c>
      <c r="AF962" s="212">
        <v>0</v>
      </c>
      <c r="AG962" s="93">
        <v>1</v>
      </c>
      <c r="AH962" s="93">
        <v>0</v>
      </c>
      <c r="AI962" s="93">
        <v>0</v>
      </c>
      <c r="AJ962" s="93">
        <v>0</v>
      </c>
      <c r="AK962" s="93">
        <v>0</v>
      </c>
    </row>
    <row r="963" spans="1:37" s="100" customFormat="1" outlineLevel="1">
      <c r="A963" s="63">
        <v>956</v>
      </c>
      <c r="B963" s="93" t="s">
        <v>379</v>
      </c>
      <c r="C963" s="93" t="s">
        <v>380</v>
      </c>
      <c r="D963" s="94" t="s">
        <v>557</v>
      </c>
      <c r="E963" s="93">
        <v>45</v>
      </c>
      <c r="F963" s="99" t="s">
        <v>191</v>
      </c>
      <c r="G963" s="93"/>
      <c r="H963" s="102" t="s">
        <v>589</v>
      </c>
      <c r="I963" s="93" t="s">
        <v>383</v>
      </c>
      <c r="J963" s="93"/>
      <c r="K963" s="96" t="s">
        <v>384</v>
      </c>
      <c r="L963" s="93" t="s">
        <v>232</v>
      </c>
      <c r="M963" s="97">
        <v>1864</v>
      </c>
      <c r="N963" s="64" t="s">
        <v>385</v>
      </c>
      <c r="O963" s="202">
        <v>4</v>
      </c>
      <c r="P963" s="196">
        <v>0</v>
      </c>
      <c r="Q963" s="202">
        <v>1</v>
      </c>
      <c r="R963" s="19">
        <v>8</v>
      </c>
      <c r="S963" s="19">
        <v>823</v>
      </c>
      <c r="T963" s="19">
        <v>622</v>
      </c>
      <c r="U963" s="93">
        <v>622</v>
      </c>
      <c r="V963" s="98">
        <v>113</v>
      </c>
      <c r="W963" s="205" t="s">
        <v>233</v>
      </c>
      <c r="X963" s="205" t="s">
        <v>233</v>
      </c>
      <c r="Y963" s="206" t="s">
        <v>233</v>
      </c>
      <c r="Z963" s="205" t="s">
        <v>233</v>
      </c>
      <c r="AA963" s="205" t="s">
        <v>233</v>
      </c>
      <c r="AB963" s="205" t="s">
        <v>233</v>
      </c>
      <c r="AC963" s="206" t="s">
        <v>240</v>
      </c>
      <c r="AD963" s="205" t="s">
        <v>233</v>
      </c>
      <c r="AE963" s="206" t="s">
        <v>240</v>
      </c>
      <c r="AF963" s="212">
        <v>0</v>
      </c>
      <c r="AG963" s="93">
        <v>1</v>
      </c>
      <c r="AH963" s="93">
        <v>1</v>
      </c>
      <c r="AI963" s="93">
        <v>0</v>
      </c>
      <c r="AJ963" s="93">
        <v>0</v>
      </c>
      <c r="AK963" s="93">
        <v>0</v>
      </c>
    </row>
    <row r="964" spans="1:37" s="100" customFormat="1" outlineLevel="1">
      <c r="A964" s="63">
        <v>957</v>
      </c>
      <c r="B964" s="93" t="s">
        <v>379</v>
      </c>
      <c r="C964" s="93" t="s">
        <v>380</v>
      </c>
      <c r="D964" s="94" t="s">
        <v>590</v>
      </c>
      <c r="E964" s="93">
        <v>18</v>
      </c>
      <c r="F964" s="99" t="s">
        <v>191</v>
      </c>
      <c r="G964" s="93"/>
      <c r="H964" s="102" t="s">
        <v>591</v>
      </c>
      <c r="I964" s="93" t="s">
        <v>383</v>
      </c>
      <c r="J964" s="93"/>
      <c r="K964" s="96" t="s">
        <v>384</v>
      </c>
      <c r="L964" s="93" t="s">
        <v>232</v>
      </c>
      <c r="M964" s="97">
        <v>1884</v>
      </c>
      <c r="N964" s="64" t="s">
        <v>385</v>
      </c>
      <c r="O964" s="202">
        <v>4</v>
      </c>
      <c r="P964" s="196">
        <v>0</v>
      </c>
      <c r="Q964" s="202">
        <v>5</v>
      </c>
      <c r="R964" s="19">
        <v>31</v>
      </c>
      <c r="S964" s="19">
        <v>4825</v>
      </c>
      <c r="T964" s="19">
        <v>4389</v>
      </c>
      <c r="U964" s="93">
        <v>3252</v>
      </c>
      <c r="V964" s="98">
        <v>1060</v>
      </c>
      <c r="W964" s="205" t="s">
        <v>233</v>
      </c>
      <c r="X964" s="205" t="s">
        <v>233</v>
      </c>
      <c r="Y964" s="206" t="s">
        <v>233</v>
      </c>
      <c r="Z964" s="205" t="s">
        <v>233</v>
      </c>
      <c r="AA964" s="205" t="s">
        <v>233</v>
      </c>
      <c r="AB964" s="205" t="s">
        <v>233</v>
      </c>
      <c r="AC964" s="206" t="s">
        <v>240</v>
      </c>
      <c r="AD964" s="205" t="s">
        <v>233</v>
      </c>
      <c r="AE964" s="206" t="s">
        <v>240</v>
      </c>
      <c r="AF964" s="212">
        <v>0</v>
      </c>
      <c r="AG964" s="93">
        <v>1</v>
      </c>
      <c r="AH964" s="93">
        <v>1</v>
      </c>
      <c r="AI964" s="93">
        <v>0</v>
      </c>
      <c r="AJ964" s="93">
        <v>0</v>
      </c>
      <c r="AK964" s="93">
        <v>0</v>
      </c>
    </row>
    <row r="965" spans="1:37" s="100" customFormat="1" outlineLevel="1">
      <c r="A965" s="63">
        <v>958</v>
      </c>
      <c r="B965" s="93" t="s">
        <v>379</v>
      </c>
      <c r="C965" s="93" t="s">
        <v>380</v>
      </c>
      <c r="D965" s="94" t="s">
        <v>590</v>
      </c>
      <c r="E965" s="93">
        <v>18</v>
      </c>
      <c r="F965" s="99" t="s">
        <v>308</v>
      </c>
      <c r="G965" s="93"/>
      <c r="H965" s="102" t="s">
        <v>592</v>
      </c>
      <c r="I965" s="93" t="s">
        <v>383</v>
      </c>
      <c r="J965" s="93"/>
      <c r="K965" s="96" t="s">
        <v>384</v>
      </c>
      <c r="L965" s="93" t="s">
        <v>232</v>
      </c>
      <c r="M965" s="97">
        <v>1865</v>
      </c>
      <c r="N965" s="64" t="s">
        <v>385</v>
      </c>
      <c r="O965" s="202">
        <v>5</v>
      </c>
      <c r="P965" s="196">
        <v>0</v>
      </c>
      <c r="Q965" s="202">
        <v>5</v>
      </c>
      <c r="R965" s="19">
        <v>25</v>
      </c>
      <c r="S965" s="19">
        <v>3555</v>
      </c>
      <c r="T965" s="19">
        <v>3230</v>
      </c>
      <c r="U965" s="93">
        <v>2668</v>
      </c>
      <c r="V965" s="98">
        <v>499</v>
      </c>
      <c r="W965" s="205" t="s">
        <v>233</v>
      </c>
      <c r="X965" s="205" t="s">
        <v>233</v>
      </c>
      <c r="Y965" s="206" t="s">
        <v>233</v>
      </c>
      <c r="Z965" s="205" t="s">
        <v>233</v>
      </c>
      <c r="AA965" s="205" t="s">
        <v>233</v>
      </c>
      <c r="AB965" s="205" t="s">
        <v>233</v>
      </c>
      <c r="AC965" s="206" t="s">
        <v>240</v>
      </c>
      <c r="AD965" s="205" t="s">
        <v>233</v>
      </c>
      <c r="AE965" s="206" t="s">
        <v>240</v>
      </c>
      <c r="AF965" s="212">
        <v>0</v>
      </c>
      <c r="AG965" s="93">
        <v>1</v>
      </c>
      <c r="AH965" s="93">
        <v>0</v>
      </c>
      <c r="AI965" s="93">
        <v>0</v>
      </c>
      <c r="AJ965" s="93">
        <v>0</v>
      </c>
      <c r="AK965" s="93">
        <v>0</v>
      </c>
    </row>
    <row r="966" spans="1:37" s="100" customFormat="1" outlineLevel="1">
      <c r="A966" s="63">
        <v>959</v>
      </c>
      <c r="B966" s="93" t="s">
        <v>379</v>
      </c>
      <c r="C966" s="93" t="s">
        <v>380</v>
      </c>
      <c r="D966" s="94" t="s">
        <v>590</v>
      </c>
      <c r="E966" s="93">
        <v>20</v>
      </c>
      <c r="F966" s="99" t="s">
        <v>191</v>
      </c>
      <c r="G966" s="93"/>
      <c r="H966" s="102" t="s">
        <v>593</v>
      </c>
      <c r="I966" s="93" t="s">
        <v>383</v>
      </c>
      <c r="J966" s="93"/>
      <c r="K966" s="96" t="s">
        <v>384</v>
      </c>
      <c r="L966" s="93" t="s">
        <v>232</v>
      </c>
      <c r="M966" s="97">
        <v>1829</v>
      </c>
      <c r="N966" s="64" t="s">
        <v>385</v>
      </c>
      <c r="O966" s="202">
        <v>5</v>
      </c>
      <c r="P966" s="196">
        <v>0</v>
      </c>
      <c r="Q966" s="202">
        <v>6</v>
      </c>
      <c r="R966" s="19">
        <v>53</v>
      </c>
      <c r="S966" s="19">
        <v>7721</v>
      </c>
      <c r="T966" s="19">
        <v>6967</v>
      </c>
      <c r="U966" s="93">
        <v>5821</v>
      </c>
      <c r="V966" s="98">
        <v>1136</v>
      </c>
      <c r="W966" s="205" t="s">
        <v>233</v>
      </c>
      <c r="X966" s="205" t="s">
        <v>233</v>
      </c>
      <c r="Y966" s="206" t="s">
        <v>240</v>
      </c>
      <c r="Z966" s="205" t="s">
        <v>233</v>
      </c>
      <c r="AA966" s="205" t="s">
        <v>233</v>
      </c>
      <c r="AB966" s="205" t="s">
        <v>233</v>
      </c>
      <c r="AC966" s="206" t="s">
        <v>233</v>
      </c>
      <c r="AD966" s="205" t="s">
        <v>233</v>
      </c>
      <c r="AE966" s="206" t="s">
        <v>240</v>
      </c>
      <c r="AF966" s="212">
        <v>0</v>
      </c>
      <c r="AG966" s="93">
        <v>1</v>
      </c>
      <c r="AH966" s="93">
        <v>1</v>
      </c>
      <c r="AI966" s="93">
        <v>0</v>
      </c>
      <c r="AJ966" s="93">
        <v>1</v>
      </c>
      <c r="AK966" s="93">
        <v>0</v>
      </c>
    </row>
    <row r="967" spans="1:37" s="100" customFormat="1" outlineLevel="1">
      <c r="A967" s="63">
        <v>960</v>
      </c>
      <c r="B967" s="93" t="s">
        <v>379</v>
      </c>
      <c r="C967" s="93" t="s">
        <v>380</v>
      </c>
      <c r="D967" s="94" t="s">
        <v>590</v>
      </c>
      <c r="E967" s="93">
        <v>32</v>
      </c>
      <c r="F967" s="99" t="s">
        <v>191</v>
      </c>
      <c r="G967" s="93"/>
      <c r="H967" s="102" t="s">
        <v>594</v>
      </c>
      <c r="I967" s="93" t="s">
        <v>383</v>
      </c>
      <c r="J967" s="93"/>
      <c r="K967" s="96" t="s">
        <v>384</v>
      </c>
      <c r="L967" s="93" t="s">
        <v>232</v>
      </c>
      <c r="M967" s="97">
        <v>1917</v>
      </c>
      <c r="N967" s="64" t="s">
        <v>385</v>
      </c>
      <c r="O967" s="202">
        <v>4</v>
      </c>
      <c r="P967" s="196">
        <v>0</v>
      </c>
      <c r="Q967" s="202">
        <v>3</v>
      </c>
      <c r="R967" s="19">
        <v>7</v>
      </c>
      <c r="S967" s="19">
        <v>1367</v>
      </c>
      <c r="T967" s="19">
        <v>1145</v>
      </c>
      <c r="U967" s="93">
        <v>719</v>
      </c>
      <c r="V967" s="98">
        <v>580</v>
      </c>
      <c r="W967" s="205" t="s">
        <v>233</v>
      </c>
      <c r="X967" s="205" t="s">
        <v>233</v>
      </c>
      <c r="Y967" s="206" t="s">
        <v>240</v>
      </c>
      <c r="Z967" s="205" t="s">
        <v>233</v>
      </c>
      <c r="AA967" s="205" t="s">
        <v>233</v>
      </c>
      <c r="AB967" s="205" t="s">
        <v>233</v>
      </c>
      <c r="AC967" s="206" t="s">
        <v>233</v>
      </c>
      <c r="AD967" s="205" t="s">
        <v>233</v>
      </c>
      <c r="AE967" s="206" t="s">
        <v>240</v>
      </c>
      <c r="AF967" s="212">
        <v>0</v>
      </c>
      <c r="AG967" s="93">
        <v>1</v>
      </c>
      <c r="AH967" s="93">
        <v>1</v>
      </c>
      <c r="AI967" s="93">
        <v>0</v>
      </c>
      <c r="AJ967" s="93">
        <v>0</v>
      </c>
      <c r="AK967" s="93">
        <v>0</v>
      </c>
    </row>
    <row r="968" spans="1:37" s="100" customFormat="1" outlineLevel="1">
      <c r="A968" s="63">
        <v>961</v>
      </c>
      <c r="B968" s="93" t="s">
        <v>379</v>
      </c>
      <c r="C968" s="93" t="s">
        <v>380</v>
      </c>
      <c r="D968" s="94" t="s">
        <v>590</v>
      </c>
      <c r="E968" s="93">
        <v>32</v>
      </c>
      <c r="F968" s="99" t="s">
        <v>231</v>
      </c>
      <c r="G968" s="93"/>
      <c r="H968" s="102" t="s">
        <v>595</v>
      </c>
      <c r="I968" s="93" t="s">
        <v>383</v>
      </c>
      <c r="J968" s="93"/>
      <c r="K968" s="96" t="s">
        <v>384</v>
      </c>
      <c r="L968" s="93" t="s">
        <v>232</v>
      </c>
      <c r="M968" s="97">
        <v>1917</v>
      </c>
      <c r="N968" s="64" t="s">
        <v>385</v>
      </c>
      <c r="O968" s="202">
        <v>4</v>
      </c>
      <c r="P968" s="196">
        <v>0</v>
      </c>
      <c r="Q968" s="202">
        <v>2</v>
      </c>
      <c r="R968" s="19">
        <v>15</v>
      </c>
      <c r="S968" s="19">
        <v>1003</v>
      </c>
      <c r="T968" s="19">
        <v>839</v>
      </c>
      <c r="U968" s="93">
        <v>660</v>
      </c>
      <c r="V968" s="98">
        <v>215</v>
      </c>
      <c r="W968" s="205" t="s">
        <v>233</v>
      </c>
      <c r="X968" s="205" t="s">
        <v>233</v>
      </c>
      <c r="Y968" s="206" t="s">
        <v>240</v>
      </c>
      <c r="Z968" s="205" t="s">
        <v>233</v>
      </c>
      <c r="AA968" s="205" t="s">
        <v>233</v>
      </c>
      <c r="AB968" s="205" t="s">
        <v>233</v>
      </c>
      <c r="AC968" s="206" t="s">
        <v>240</v>
      </c>
      <c r="AD968" s="205" t="s">
        <v>233</v>
      </c>
      <c r="AE968" s="206" t="s">
        <v>240</v>
      </c>
      <c r="AF968" s="212">
        <v>0</v>
      </c>
      <c r="AG968" s="93">
        <v>1</v>
      </c>
      <c r="AH968" s="93">
        <v>0</v>
      </c>
      <c r="AI968" s="93">
        <v>0</v>
      </c>
      <c r="AJ968" s="93">
        <v>0</v>
      </c>
      <c r="AK968" s="93">
        <v>0</v>
      </c>
    </row>
    <row r="969" spans="1:37" s="100" customFormat="1" outlineLevel="1">
      <c r="A969" s="63">
        <v>962</v>
      </c>
      <c r="B969" s="93" t="s">
        <v>379</v>
      </c>
      <c r="C969" s="93" t="s">
        <v>380</v>
      </c>
      <c r="D969" s="94" t="s">
        <v>590</v>
      </c>
      <c r="E969" s="93">
        <v>34</v>
      </c>
      <c r="F969" s="99" t="s">
        <v>191</v>
      </c>
      <c r="G969" s="93"/>
      <c r="H969" s="102" t="s">
        <v>596</v>
      </c>
      <c r="I969" s="93" t="s">
        <v>383</v>
      </c>
      <c r="J969" s="93"/>
      <c r="K969" s="96" t="s">
        <v>384</v>
      </c>
      <c r="L969" s="93" t="s">
        <v>232</v>
      </c>
      <c r="M969" s="97">
        <v>1894</v>
      </c>
      <c r="N969" s="64" t="s">
        <v>385</v>
      </c>
      <c r="O969" s="202">
        <v>4</v>
      </c>
      <c r="P969" s="196">
        <v>0</v>
      </c>
      <c r="Q969" s="202">
        <v>3</v>
      </c>
      <c r="R969" s="19">
        <v>11</v>
      </c>
      <c r="S969" s="19">
        <v>1981</v>
      </c>
      <c r="T969" s="19">
        <v>1641</v>
      </c>
      <c r="U969" s="93">
        <v>1055</v>
      </c>
      <c r="V969" s="98">
        <v>669</v>
      </c>
      <c r="W969" s="205" t="s">
        <v>233</v>
      </c>
      <c r="X969" s="205" t="s">
        <v>233</v>
      </c>
      <c r="Y969" s="206" t="s">
        <v>233</v>
      </c>
      <c r="Z969" s="205" t="s">
        <v>233</v>
      </c>
      <c r="AA969" s="205" t="s">
        <v>233</v>
      </c>
      <c r="AB969" s="205" t="s">
        <v>233</v>
      </c>
      <c r="AC969" s="206" t="s">
        <v>240</v>
      </c>
      <c r="AD969" s="205" t="s">
        <v>233</v>
      </c>
      <c r="AE969" s="206" t="s">
        <v>240</v>
      </c>
      <c r="AF969" s="212">
        <v>0</v>
      </c>
      <c r="AG969" s="93">
        <v>1</v>
      </c>
      <c r="AH969" s="93">
        <v>1</v>
      </c>
      <c r="AI969" s="93">
        <v>1</v>
      </c>
      <c r="AJ969" s="93">
        <v>1</v>
      </c>
      <c r="AK969" s="93">
        <v>0</v>
      </c>
    </row>
    <row r="970" spans="1:37" s="100" customFormat="1" outlineLevel="1">
      <c r="A970" s="63">
        <v>963</v>
      </c>
      <c r="B970" s="93" t="s">
        <v>379</v>
      </c>
      <c r="C970" s="93" t="s">
        <v>380</v>
      </c>
      <c r="D970" s="94" t="s">
        <v>590</v>
      </c>
      <c r="E970" s="93">
        <v>36</v>
      </c>
      <c r="F970" s="99" t="s">
        <v>191</v>
      </c>
      <c r="G970" s="93"/>
      <c r="H970" s="102" t="s">
        <v>597</v>
      </c>
      <c r="I970" s="93" t="s">
        <v>383</v>
      </c>
      <c r="J970" s="93"/>
      <c r="K970" s="96" t="s">
        <v>384</v>
      </c>
      <c r="L970" s="93" t="s">
        <v>232</v>
      </c>
      <c r="M970" s="97">
        <v>1917</v>
      </c>
      <c r="N970" s="64" t="s">
        <v>385</v>
      </c>
      <c r="O970" s="202">
        <v>4</v>
      </c>
      <c r="P970" s="196">
        <v>0</v>
      </c>
      <c r="Q970" s="202">
        <v>5</v>
      </c>
      <c r="R970" s="19">
        <v>30</v>
      </c>
      <c r="S970" s="19">
        <v>4128</v>
      </c>
      <c r="T970" s="19">
        <v>3543</v>
      </c>
      <c r="U970" s="93">
        <v>2673</v>
      </c>
      <c r="V970" s="98">
        <v>925</v>
      </c>
      <c r="W970" s="205" t="s">
        <v>233</v>
      </c>
      <c r="X970" s="205" t="s">
        <v>233</v>
      </c>
      <c r="Y970" s="206" t="s">
        <v>233</v>
      </c>
      <c r="Z970" s="205" t="s">
        <v>233</v>
      </c>
      <c r="AA970" s="205" t="s">
        <v>233</v>
      </c>
      <c r="AB970" s="205" t="s">
        <v>233</v>
      </c>
      <c r="AC970" s="206" t="s">
        <v>240</v>
      </c>
      <c r="AD970" s="205" t="s">
        <v>233</v>
      </c>
      <c r="AE970" s="206" t="s">
        <v>240</v>
      </c>
      <c r="AF970" s="212">
        <v>0</v>
      </c>
      <c r="AG970" s="93">
        <v>1</v>
      </c>
      <c r="AH970" s="93">
        <v>1</v>
      </c>
      <c r="AI970" s="93">
        <v>1</v>
      </c>
      <c r="AJ970" s="93">
        <v>1</v>
      </c>
      <c r="AK970" s="93">
        <v>0</v>
      </c>
    </row>
    <row r="971" spans="1:37" s="100" customFormat="1" outlineLevel="1">
      <c r="A971" s="63">
        <v>964</v>
      </c>
      <c r="B971" s="93" t="s">
        <v>379</v>
      </c>
      <c r="C971" s="93" t="s">
        <v>380</v>
      </c>
      <c r="D971" s="94" t="s">
        <v>590</v>
      </c>
      <c r="E971" s="93">
        <v>38</v>
      </c>
      <c r="F971" s="99" t="s">
        <v>191</v>
      </c>
      <c r="G971" s="93"/>
      <c r="H971" s="102" t="s">
        <v>598</v>
      </c>
      <c r="I971" s="93" t="s">
        <v>383</v>
      </c>
      <c r="J971" s="93"/>
      <c r="K971" s="96" t="s">
        <v>384</v>
      </c>
      <c r="L971" s="93" t="s">
        <v>232</v>
      </c>
      <c r="M971" s="97">
        <v>1917</v>
      </c>
      <c r="N971" s="64" t="s">
        <v>385</v>
      </c>
      <c r="O971" s="202">
        <v>5</v>
      </c>
      <c r="P971" s="196">
        <v>0</v>
      </c>
      <c r="Q971" s="202">
        <v>1</v>
      </c>
      <c r="R971" s="19">
        <v>10</v>
      </c>
      <c r="S971" s="19">
        <v>1397</v>
      </c>
      <c r="T971" s="19">
        <v>1139</v>
      </c>
      <c r="U971" s="93">
        <v>935</v>
      </c>
      <c r="V971" s="98">
        <v>270</v>
      </c>
      <c r="W971" s="205" t="s">
        <v>233</v>
      </c>
      <c r="X971" s="205" t="s">
        <v>233</v>
      </c>
      <c r="Y971" s="206" t="s">
        <v>233</v>
      </c>
      <c r="Z971" s="205" t="s">
        <v>233</v>
      </c>
      <c r="AA971" s="205" t="s">
        <v>233</v>
      </c>
      <c r="AB971" s="205" t="s">
        <v>233</v>
      </c>
      <c r="AC971" s="206" t="s">
        <v>240</v>
      </c>
      <c r="AD971" s="205" t="s">
        <v>233</v>
      </c>
      <c r="AE971" s="206" t="s">
        <v>240</v>
      </c>
      <c r="AF971" s="212">
        <v>0</v>
      </c>
      <c r="AG971" s="93">
        <v>1</v>
      </c>
      <c r="AH971" s="93">
        <v>0</v>
      </c>
      <c r="AI971" s="93">
        <v>0</v>
      </c>
      <c r="AJ971" s="93">
        <v>0</v>
      </c>
      <c r="AK971" s="93">
        <v>0</v>
      </c>
    </row>
    <row r="972" spans="1:37" s="100" customFormat="1" outlineLevel="1">
      <c r="A972" s="63">
        <v>965</v>
      </c>
      <c r="B972" s="93" t="s">
        <v>379</v>
      </c>
      <c r="C972" s="93" t="s">
        <v>380</v>
      </c>
      <c r="D972" s="94" t="s">
        <v>590</v>
      </c>
      <c r="E972" s="93">
        <v>40</v>
      </c>
      <c r="F972" s="99" t="s">
        <v>191</v>
      </c>
      <c r="G972" s="93"/>
      <c r="H972" s="102" t="s">
        <v>599</v>
      </c>
      <c r="I972" s="93" t="s">
        <v>383</v>
      </c>
      <c r="J972" s="93"/>
      <c r="K972" s="96" t="s">
        <v>384</v>
      </c>
      <c r="L972" s="93" t="s">
        <v>232</v>
      </c>
      <c r="M972" s="97">
        <v>1826</v>
      </c>
      <c r="N972" s="64" t="s">
        <v>385</v>
      </c>
      <c r="O972" s="202">
        <v>5</v>
      </c>
      <c r="P972" s="196">
        <v>0</v>
      </c>
      <c r="Q972" s="202">
        <v>5</v>
      </c>
      <c r="R972" s="19">
        <v>25</v>
      </c>
      <c r="S972" s="19">
        <v>3123</v>
      </c>
      <c r="T972" s="19">
        <v>2536</v>
      </c>
      <c r="U972" s="93">
        <v>2127</v>
      </c>
      <c r="V972" s="98">
        <v>592</v>
      </c>
      <c r="W972" s="205" t="s">
        <v>233</v>
      </c>
      <c r="X972" s="205" t="s">
        <v>233</v>
      </c>
      <c r="Y972" s="206" t="s">
        <v>233</v>
      </c>
      <c r="Z972" s="205" t="s">
        <v>233</v>
      </c>
      <c r="AA972" s="205" t="s">
        <v>233</v>
      </c>
      <c r="AB972" s="205" t="s">
        <v>233</v>
      </c>
      <c r="AC972" s="206" t="s">
        <v>240</v>
      </c>
      <c r="AD972" s="205" t="s">
        <v>233</v>
      </c>
      <c r="AE972" s="206" t="s">
        <v>240</v>
      </c>
      <c r="AF972" s="212">
        <v>0</v>
      </c>
      <c r="AG972" s="93">
        <v>1</v>
      </c>
      <c r="AH972" s="93">
        <v>1</v>
      </c>
      <c r="AI972" s="93">
        <v>0</v>
      </c>
      <c r="AJ972" s="93">
        <v>0</v>
      </c>
      <c r="AK972" s="93">
        <v>0</v>
      </c>
    </row>
    <row r="973" spans="1:37" s="100" customFormat="1" outlineLevel="1">
      <c r="A973" s="63">
        <v>966</v>
      </c>
      <c r="B973" s="93" t="s">
        <v>379</v>
      </c>
      <c r="C973" s="93" t="s">
        <v>380</v>
      </c>
      <c r="D973" s="94" t="s">
        <v>590</v>
      </c>
      <c r="E973" s="96" t="s">
        <v>600</v>
      </c>
      <c r="F973" s="99" t="s">
        <v>191</v>
      </c>
      <c r="G973" s="93"/>
      <c r="H973" s="102" t="s">
        <v>601</v>
      </c>
      <c r="I973" s="93" t="s">
        <v>383</v>
      </c>
      <c r="J973" s="93"/>
      <c r="K973" s="96" t="s">
        <v>384</v>
      </c>
      <c r="L973" s="93" t="s">
        <v>232</v>
      </c>
      <c r="M973" s="97">
        <v>1898</v>
      </c>
      <c r="N973" s="64" t="s">
        <v>385</v>
      </c>
      <c r="O973" s="202">
        <v>2.5</v>
      </c>
      <c r="P973" s="196">
        <v>0</v>
      </c>
      <c r="Q973" s="202">
        <v>10</v>
      </c>
      <c r="R973" s="19">
        <v>44</v>
      </c>
      <c r="S973" s="19">
        <v>7762</v>
      </c>
      <c r="T973" s="19">
        <v>6686</v>
      </c>
      <c r="U973" s="93">
        <v>4478</v>
      </c>
      <c r="V973" s="98">
        <v>2334</v>
      </c>
      <c r="W973" s="205" t="s">
        <v>233</v>
      </c>
      <c r="X973" s="205" t="s">
        <v>233</v>
      </c>
      <c r="Y973" s="206" t="s">
        <v>233</v>
      </c>
      <c r="Z973" s="205" t="s">
        <v>233</v>
      </c>
      <c r="AA973" s="205" t="s">
        <v>233</v>
      </c>
      <c r="AB973" s="205" t="s">
        <v>233</v>
      </c>
      <c r="AC973" s="206" t="s">
        <v>240</v>
      </c>
      <c r="AD973" s="205" t="s">
        <v>233</v>
      </c>
      <c r="AE973" s="206" t="s">
        <v>240</v>
      </c>
      <c r="AF973" s="212">
        <v>0</v>
      </c>
      <c r="AG973" s="93">
        <v>1</v>
      </c>
      <c r="AH973" s="93">
        <v>1</v>
      </c>
      <c r="AI973" s="93">
        <v>1</v>
      </c>
      <c r="AJ973" s="93">
        <v>1</v>
      </c>
      <c r="AK973" s="93">
        <v>0</v>
      </c>
    </row>
    <row r="974" spans="1:37" s="100" customFormat="1" outlineLevel="1">
      <c r="A974" s="63">
        <v>967</v>
      </c>
      <c r="B974" s="93" t="s">
        <v>379</v>
      </c>
      <c r="C974" s="93" t="s">
        <v>380</v>
      </c>
      <c r="D974" s="94" t="s">
        <v>590</v>
      </c>
      <c r="E974" s="96" t="s">
        <v>600</v>
      </c>
      <c r="F974" s="99" t="s">
        <v>231</v>
      </c>
      <c r="G974" s="93"/>
      <c r="H974" s="102" t="s">
        <v>602</v>
      </c>
      <c r="I974" s="93" t="s">
        <v>383</v>
      </c>
      <c r="J974" s="93"/>
      <c r="K974" s="96" t="s">
        <v>384</v>
      </c>
      <c r="L974" s="93" t="s">
        <v>232</v>
      </c>
      <c r="M974" s="97">
        <v>1899</v>
      </c>
      <c r="N974" s="64" t="s">
        <v>385</v>
      </c>
      <c r="O974" s="202">
        <v>2</v>
      </c>
      <c r="P974" s="196">
        <v>0</v>
      </c>
      <c r="Q974" s="202">
        <v>1</v>
      </c>
      <c r="R974" s="19">
        <v>1</v>
      </c>
      <c r="S974" s="19">
        <v>230</v>
      </c>
      <c r="T974" s="19">
        <v>207</v>
      </c>
      <c r="U974" s="93">
        <v>37.4</v>
      </c>
      <c r="V974" s="98">
        <v>122</v>
      </c>
      <c r="W974" s="205" t="s">
        <v>233</v>
      </c>
      <c r="X974" s="205" t="s">
        <v>233</v>
      </c>
      <c r="Y974" s="206" t="s">
        <v>233</v>
      </c>
      <c r="Z974" s="205" t="s">
        <v>233</v>
      </c>
      <c r="AA974" s="205" t="s">
        <v>233</v>
      </c>
      <c r="AB974" s="205" t="s">
        <v>233</v>
      </c>
      <c r="AC974" s="206" t="s">
        <v>240</v>
      </c>
      <c r="AD974" s="205" t="s">
        <v>233</v>
      </c>
      <c r="AE974" s="206" t="s">
        <v>240</v>
      </c>
      <c r="AF974" s="212">
        <v>0</v>
      </c>
      <c r="AG974" s="93">
        <v>1</v>
      </c>
      <c r="AH974" s="93">
        <v>0</v>
      </c>
      <c r="AI974" s="93">
        <v>0</v>
      </c>
      <c r="AJ974" s="93">
        <v>0</v>
      </c>
      <c r="AK974" s="93">
        <v>0</v>
      </c>
    </row>
    <row r="975" spans="1:37" s="100" customFormat="1" outlineLevel="1">
      <c r="A975" s="63">
        <v>968</v>
      </c>
      <c r="B975" s="93" t="s">
        <v>379</v>
      </c>
      <c r="C975" s="93" t="s">
        <v>380</v>
      </c>
      <c r="D975" s="94" t="s">
        <v>590</v>
      </c>
      <c r="E975" s="96" t="s">
        <v>603</v>
      </c>
      <c r="F975" s="99" t="s">
        <v>191</v>
      </c>
      <c r="G975" s="93"/>
      <c r="H975" s="102" t="s">
        <v>604</v>
      </c>
      <c r="I975" s="93" t="s">
        <v>383</v>
      </c>
      <c r="J975" s="93"/>
      <c r="K975" s="96" t="s">
        <v>384</v>
      </c>
      <c r="L975" s="93" t="s">
        <v>232</v>
      </c>
      <c r="M975" s="97">
        <v>1882</v>
      </c>
      <c r="N975" s="64" t="s">
        <v>385</v>
      </c>
      <c r="O975" s="202">
        <v>4</v>
      </c>
      <c r="P975" s="196">
        <v>0</v>
      </c>
      <c r="Q975" s="202">
        <v>3</v>
      </c>
      <c r="R975" s="19">
        <v>25</v>
      </c>
      <c r="S975" s="19">
        <v>2114</v>
      </c>
      <c r="T975" s="19">
        <v>1885</v>
      </c>
      <c r="U975" s="93">
        <v>1428</v>
      </c>
      <c r="V975" s="98">
        <v>456</v>
      </c>
      <c r="W975" s="205" t="s">
        <v>233</v>
      </c>
      <c r="X975" s="205" t="s">
        <v>233</v>
      </c>
      <c r="Y975" s="206" t="s">
        <v>233</v>
      </c>
      <c r="Z975" s="205" t="s">
        <v>233</v>
      </c>
      <c r="AA975" s="205" t="s">
        <v>233</v>
      </c>
      <c r="AB975" s="205" t="s">
        <v>233</v>
      </c>
      <c r="AC975" s="206" t="s">
        <v>240</v>
      </c>
      <c r="AD975" s="205" t="s">
        <v>233</v>
      </c>
      <c r="AE975" s="206" t="s">
        <v>240</v>
      </c>
      <c r="AF975" s="212">
        <v>0</v>
      </c>
      <c r="AG975" s="93">
        <v>1</v>
      </c>
      <c r="AH975" s="93">
        <v>0</v>
      </c>
      <c r="AI975" s="93">
        <v>1</v>
      </c>
      <c r="AJ975" s="93">
        <v>1</v>
      </c>
      <c r="AK975" s="93">
        <v>0</v>
      </c>
    </row>
    <row r="976" spans="1:37" s="100" customFormat="1" outlineLevel="1">
      <c r="A976" s="63">
        <v>969</v>
      </c>
      <c r="B976" s="93" t="s">
        <v>379</v>
      </c>
      <c r="C976" s="93" t="s">
        <v>380</v>
      </c>
      <c r="D976" s="94" t="s">
        <v>590</v>
      </c>
      <c r="E976" s="96" t="s">
        <v>605</v>
      </c>
      <c r="F976" s="99" t="s">
        <v>191</v>
      </c>
      <c r="G976" s="93"/>
      <c r="H976" s="102" t="s">
        <v>606</v>
      </c>
      <c r="I976" s="93" t="s">
        <v>383</v>
      </c>
      <c r="J976" s="93"/>
      <c r="K976" s="96" t="s">
        <v>384</v>
      </c>
      <c r="L976" s="93" t="s">
        <v>232</v>
      </c>
      <c r="M976" s="97">
        <v>1917</v>
      </c>
      <c r="N976" s="64" t="s">
        <v>385</v>
      </c>
      <c r="O976" s="202">
        <v>3</v>
      </c>
      <c r="P976" s="196">
        <v>0</v>
      </c>
      <c r="Q976" s="202">
        <v>4</v>
      </c>
      <c r="R976" s="19">
        <v>35</v>
      </c>
      <c r="S976" s="19">
        <v>4743</v>
      </c>
      <c r="T976" s="19">
        <v>4109</v>
      </c>
      <c r="U976" s="93">
        <v>3093</v>
      </c>
      <c r="V976" s="98">
        <v>1085</v>
      </c>
      <c r="W976" s="205" t="s">
        <v>233</v>
      </c>
      <c r="X976" s="205" t="s">
        <v>233</v>
      </c>
      <c r="Y976" s="206" t="s">
        <v>233</v>
      </c>
      <c r="Z976" s="205" t="s">
        <v>233</v>
      </c>
      <c r="AA976" s="205" t="s">
        <v>233</v>
      </c>
      <c r="AB976" s="205" t="s">
        <v>233</v>
      </c>
      <c r="AC976" s="206" t="s">
        <v>240</v>
      </c>
      <c r="AD976" s="205" t="s">
        <v>233</v>
      </c>
      <c r="AE976" s="206" t="s">
        <v>240</v>
      </c>
      <c r="AF976" s="212">
        <v>0</v>
      </c>
      <c r="AG976" s="93">
        <v>1</v>
      </c>
      <c r="AH976" s="93">
        <v>1</v>
      </c>
      <c r="AI976" s="93">
        <v>1</v>
      </c>
      <c r="AJ976" s="93">
        <v>1</v>
      </c>
      <c r="AK976" s="93">
        <v>0</v>
      </c>
    </row>
    <row r="977" spans="1:37" s="100" customFormat="1" outlineLevel="1">
      <c r="A977" s="63">
        <v>970</v>
      </c>
      <c r="B977" s="93" t="s">
        <v>379</v>
      </c>
      <c r="C977" s="93" t="s">
        <v>380</v>
      </c>
      <c r="D977" s="94" t="s">
        <v>590</v>
      </c>
      <c r="E977" s="93">
        <v>54</v>
      </c>
      <c r="F977" s="99" t="s">
        <v>191</v>
      </c>
      <c r="G977" s="93"/>
      <c r="H977" s="102" t="s">
        <v>607</v>
      </c>
      <c r="I977" s="93" t="s">
        <v>383</v>
      </c>
      <c r="J977" s="93"/>
      <c r="K977" s="96" t="s">
        <v>384</v>
      </c>
      <c r="L977" s="93" t="s">
        <v>232</v>
      </c>
      <c r="M977" s="97">
        <v>1917</v>
      </c>
      <c r="N977" s="64" t="s">
        <v>385</v>
      </c>
      <c r="O977" s="202">
        <v>3</v>
      </c>
      <c r="P977" s="196">
        <v>0</v>
      </c>
      <c r="Q977" s="202">
        <v>3</v>
      </c>
      <c r="R977" s="19">
        <v>14</v>
      </c>
      <c r="S977" s="19">
        <v>1531</v>
      </c>
      <c r="T977" s="19">
        <v>1241</v>
      </c>
      <c r="U977" s="93">
        <v>850</v>
      </c>
      <c r="V977" s="98">
        <v>359</v>
      </c>
      <c r="W977" s="205" t="s">
        <v>233</v>
      </c>
      <c r="X977" s="205" t="s">
        <v>233</v>
      </c>
      <c r="Y977" s="206" t="s">
        <v>233</v>
      </c>
      <c r="Z977" s="205" t="s">
        <v>233</v>
      </c>
      <c r="AA977" s="205" t="s">
        <v>233</v>
      </c>
      <c r="AB977" s="205" t="s">
        <v>233</v>
      </c>
      <c r="AC977" s="206" t="s">
        <v>240</v>
      </c>
      <c r="AD977" s="205" t="s">
        <v>233</v>
      </c>
      <c r="AE977" s="206" t="s">
        <v>240</v>
      </c>
      <c r="AF977" s="212">
        <v>0</v>
      </c>
      <c r="AG977" s="93">
        <v>1</v>
      </c>
      <c r="AH977" s="93">
        <v>1</v>
      </c>
      <c r="AI977" s="93">
        <v>1</v>
      </c>
      <c r="AJ977" s="93">
        <v>1</v>
      </c>
      <c r="AK977" s="93">
        <v>0</v>
      </c>
    </row>
    <row r="978" spans="1:37" s="100" customFormat="1" outlineLevel="1">
      <c r="A978" s="63">
        <v>971</v>
      </c>
      <c r="B978" s="93" t="s">
        <v>379</v>
      </c>
      <c r="C978" s="93" t="s">
        <v>380</v>
      </c>
      <c r="D978" s="94" t="s">
        <v>608</v>
      </c>
      <c r="E978" s="93">
        <v>121</v>
      </c>
      <c r="F978" s="99" t="s">
        <v>191</v>
      </c>
      <c r="G978" s="93"/>
      <c r="H978" s="102" t="s">
        <v>609</v>
      </c>
      <c r="I978" s="93" t="s">
        <v>383</v>
      </c>
      <c r="J978" s="93"/>
      <c r="K978" s="96" t="s">
        <v>384</v>
      </c>
      <c r="L978" s="93" t="s">
        <v>232</v>
      </c>
      <c r="M978" s="97">
        <v>1929</v>
      </c>
      <c r="N978" s="64" t="s">
        <v>385</v>
      </c>
      <c r="O978" s="202">
        <v>4</v>
      </c>
      <c r="P978" s="196">
        <v>0</v>
      </c>
      <c r="Q978" s="202">
        <v>11</v>
      </c>
      <c r="R978" s="19">
        <v>89</v>
      </c>
      <c r="S978" s="19">
        <v>7115</v>
      </c>
      <c r="T978" s="19">
        <v>6156</v>
      </c>
      <c r="U978" s="93">
        <v>5984</v>
      </c>
      <c r="V978" s="98">
        <v>512</v>
      </c>
      <c r="W978" s="205" t="s">
        <v>233</v>
      </c>
      <c r="X978" s="205" t="s">
        <v>233</v>
      </c>
      <c r="Y978" s="206" t="s">
        <v>233</v>
      </c>
      <c r="Z978" s="205" t="s">
        <v>233</v>
      </c>
      <c r="AA978" s="205" t="s">
        <v>233</v>
      </c>
      <c r="AB978" s="205" t="s">
        <v>233</v>
      </c>
      <c r="AC978" s="206" t="s">
        <v>240</v>
      </c>
      <c r="AD978" s="205" t="s">
        <v>233</v>
      </c>
      <c r="AE978" s="206" t="s">
        <v>240</v>
      </c>
      <c r="AF978" s="212">
        <v>0</v>
      </c>
      <c r="AG978" s="93">
        <v>1</v>
      </c>
      <c r="AH978" s="93">
        <v>1</v>
      </c>
      <c r="AI978" s="93">
        <v>0</v>
      </c>
      <c r="AJ978" s="93">
        <v>0</v>
      </c>
      <c r="AK978" s="93">
        <v>0</v>
      </c>
    </row>
    <row r="979" spans="1:37" s="100" customFormat="1" outlineLevel="1">
      <c r="A979" s="63">
        <v>972</v>
      </c>
      <c r="B979" s="93" t="s">
        <v>379</v>
      </c>
      <c r="C979" s="93" t="s">
        <v>380</v>
      </c>
      <c r="D979" s="94" t="s">
        <v>608</v>
      </c>
      <c r="E979" s="93">
        <v>121</v>
      </c>
      <c r="F979" s="99" t="s">
        <v>231</v>
      </c>
      <c r="G979" s="93"/>
      <c r="H979" s="102" t="s">
        <v>610</v>
      </c>
      <c r="I979" s="93" t="s">
        <v>383</v>
      </c>
      <c r="J979" s="93"/>
      <c r="K979" s="96" t="s">
        <v>384</v>
      </c>
      <c r="L979" s="93" t="s">
        <v>232</v>
      </c>
      <c r="M979" s="97">
        <v>1929</v>
      </c>
      <c r="N979" s="64" t="s">
        <v>385</v>
      </c>
      <c r="O979" s="202">
        <v>4</v>
      </c>
      <c r="P979" s="196">
        <v>0</v>
      </c>
      <c r="Q979" s="202">
        <v>7</v>
      </c>
      <c r="R979" s="19">
        <v>54</v>
      </c>
      <c r="S979" s="19">
        <v>4110</v>
      </c>
      <c r="T979" s="19">
        <v>3554</v>
      </c>
      <c r="U979" s="93">
        <v>3489</v>
      </c>
      <c r="V979" s="98">
        <v>189</v>
      </c>
      <c r="W979" s="205" t="s">
        <v>233</v>
      </c>
      <c r="X979" s="205" t="s">
        <v>233</v>
      </c>
      <c r="Y979" s="206" t="s">
        <v>233</v>
      </c>
      <c r="Z979" s="205" t="s">
        <v>233</v>
      </c>
      <c r="AA979" s="205" t="s">
        <v>233</v>
      </c>
      <c r="AB979" s="205" t="s">
        <v>233</v>
      </c>
      <c r="AC979" s="206" t="s">
        <v>240</v>
      </c>
      <c r="AD979" s="205" t="s">
        <v>233</v>
      </c>
      <c r="AE979" s="206" t="s">
        <v>240</v>
      </c>
      <c r="AF979" s="212">
        <v>0</v>
      </c>
      <c r="AG979" s="93">
        <v>1</v>
      </c>
      <c r="AH979" s="93">
        <v>0</v>
      </c>
      <c r="AI979" s="93">
        <v>0</v>
      </c>
      <c r="AJ979" s="93">
        <v>0</v>
      </c>
      <c r="AK979" s="93">
        <v>0</v>
      </c>
    </row>
    <row r="980" spans="1:37" s="100" customFormat="1" outlineLevel="1">
      <c r="A980" s="63">
        <v>973</v>
      </c>
      <c r="B980" s="93" t="s">
        <v>379</v>
      </c>
      <c r="C980" s="93" t="s">
        <v>380</v>
      </c>
      <c r="D980" s="94" t="s">
        <v>608</v>
      </c>
      <c r="E980" s="93">
        <v>123</v>
      </c>
      <c r="F980" s="99" t="s">
        <v>191</v>
      </c>
      <c r="G980" s="93"/>
      <c r="H980" s="102" t="s">
        <v>611</v>
      </c>
      <c r="I980" s="93" t="s">
        <v>383</v>
      </c>
      <c r="J980" s="93"/>
      <c r="K980" s="96" t="s">
        <v>384</v>
      </c>
      <c r="L980" s="93" t="s">
        <v>232</v>
      </c>
      <c r="M980" s="97">
        <v>1914</v>
      </c>
      <c r="N980" s="64" t="s">
        <v>385</v>
      </c>
      <c r="O980" s="202">
        <v>5</v>
      </c>
      <c r="P980" s="196">
        <v>0</v>
      </c>
      <c r="Q980" s="202">
        <v>10</v>
      </c>
      <c r="R980" s="19">
        <v>132</v>
      </c>
      <c r="S980" s="19">
        <v>12013</v>
      </c>
      <c r="T980" s="19">
        <v>8528</v>
      </c>
      <c r="U980" s="93">
        <v>8140</v>
      </c>
      <c r="V980" s="98">
        <v>2478</v>
      </c>
      <c r="W980" s="205" t="s">
        <v>233</v>
      </c>
      <c r="X980" s="205" t="s">
        <v>233</v>
      </c>
      <c r="Y980" s="206" t="s">
        <v>233</v>
      </c>
      <c r="Z980" s="205" t="s">
        <v>233</v>
      </c>
      <c r="AA980" s="205" t="s">
        <v>233</v>
      </c>
      <c r="AB980" s="205" t="s">
        <v>233</v>
      </c>
      <c r="AC980" s="206" t="s">
        <v>240</v>
      </c>
      <c r="AD980" s="205" t="s">
        <v>233</v>
      </c>
      <c r="AE980" s="206" t="s">
        <v>240</v>
      </c>
      <c r="AF980" s="212">
        <v>0</v>
      </c>
      <c r="AG980" s="93">
        <v>1</v>
      </c>
      <c r="AH980" s="93">
        <v>1</v>
      </c>
      <c r="AI980" s="93">
        <v>1</v>
      </c>
      <c r="AJ980" s="93">
        <v>1</v>
      </c>
      <c r="AK980" s="93">
        <v>0</v>
      </c>
    </row>
    <row r="981" spans="1:37" s="100" customFormat="1" outlineLevel="1">
      <c r="A981" s="63">
        <v>974</v>
      </c>
      <c r="B981" s="93" t="s">
        <v>379</v>
      </c>
      <c r="C981" s="93" t="s">
        <v>380</v>
      </c>
      <c r="D981" s="94" t="s">
        <v>608</v>
      </c>
      <c r="E981" s="93">
        <v>127</v>
      </c>
      <c r="F981" s="99" t="s">
        <v>191</v>
      </c>
      <c r="G981" s="93"/>
      <c r="H981" s="102" t="s">
        <v>612</v>
      </c>
      <c r="I981" s="93" t="s">
        <v>383</v>
      </c>
      <c r="J981" s="93"/>
      <c r="K981" s="96" t="s">
        <v>384</v>
      </c>
      <c r="L981" s="93" t="s">
        <v>232</v>
      </c>
      <c r="M981" s="97">
        <v>1904</v>
      </c>
      <c r="N981" s="64" t="s">
        <v>385</v>
      </c>
      <c r="O981" s="202">
        <v>4.5</v>
      </c>
      <c r="P981" s="196">
        <v>0</v>
      </c>
      <c r="Q981" s="202">
        <v>3</v>
      </c>
      <c r="R981" s="19">
        <v>42</v>
      </c>
      <c r="S981" s="19">
        <v>4340</v>
      </c>
      <c r="T981" s="19">
        <v>3835</v>
      </c>
      <c r="U981" s="93">
        <v>3459</v>
      </c>
      <c r="V981" s="98">
        <v>464</v>
      </c>
      <c r="W981" s="205" t="s">
        <v>233</v>
      </c>
      <c r="X981" s="205" t="s">
        <v>233</v>
      </c>
      <c r="Y981" s="206" t="s">
        <v>240</v>
      </c>
      <c r="Z981" s="205" t="s">
        <v>233</v>
      </c>
      <c r="AA981" s="205" t="s">
        <v>233</v>
      </c>
      <c r="AB981" s="205" t="s">
        <v>233</v>
      </c>
      <c r="AC981" s="206" t="s">
        <v>233</v>
      </c>
      <c r="AD981" s="205" t="s">
        <v>233</v>
      </c>
      <c r="AE981" s="206" t="s">
        <v>240</v>
      </c>
      <c r="AF981" s="212">
        <v>3</v>
      </c>
      <c r="AG981" s="93">
        <v>1</v>
      </c>
      <c r="AH981" s="93">
        <v>1</v>
      </c>
      <c r="AI981" s="93">
        <v>0</v>
      </c>
      <c r="AJ981" s="93">
        <v>0</v>
      </c>
      <c r="AK981" s="93">
        <v>0</v>
      </c>
    </row>
    <row r="982" spans="1:37" s="100" customFormat="1" outlineLevel="1">
      <c r="A982" s="63">
        <v>975</v>
      </c>
      <c r="B982" s="93" t="s">
        <v>379</v>
      </c>
      <c r="C982" s="93" t="s">
        <v>380</v>
      </c>
      <c r="D982" s="94" t="s">
        <v>608</v>
      </c>
      <c r="E982" s="93">
        <v>127</v>
      </c>
      <c r="F982" s="99" t="s">
        <v>313</v>
      </c>
      <c r="G982" s="93"/>
      <c r="H982" s="102" t="s">
        <v>613</v>
      </c>
      <c r="I982" s="93" t="s">
        <v>383</v>
      </c>
      <c r="J982" s="93"/>
      <c r="K982" s="96" t="s">
        <v>384</v>
      </c>
      <c r="L982" s="93" t="s">
        <v>232</v>
      </c>
      <c r="M982" s="97">
        <v>1887</v>
      </c>
      <c r="N982" s="64" t="s">
        <v>385</v>
      </c>
      <c r="O982" s="202">
        <v>4</v>
      </c>
      <c r="P982" s="196">
        <v>0</v>
      </c>
      <c r="Q982" s="202">
        <v>1</v>
      </c>
      <c r="R982" s="19">
        <v>9</v>
      </c>
      <c r="S982" s="19">
        <v>917</v>
      </c>
      <c r="T982" s="19">
        <v>808</v>
      </c>
      <c r="U982" s="93">
        <v>746</v>
      </c>
      <c r="V982" s="98">
        <v>81</v>
      </c>
      <c r="W982" s="205" t="s">
        <v>233</v>
      </c>
      <c r="X982" s="205" t="s">
        <v>233</v>
      </c>
      <c r="Y982" s="206" t="s">
        <v>233</v>
      </c>
      <c r="Z982" s="205" t="s">
        <v>233</v>
      </c>
      <c r="AA982" s="205" t="s">
        <v>233</v>
      </c>
      <c r="AB982" s="205" t="s">
        <v>233</v>
      </c>
      <c r="AC982" s="206" t="s">
        <v>240</v>
      </c>
      <c r="AD982" s="205" t="s">
        <v>233</v>
      </c>
      <c r="AE982" s="206" t="s">
        <v>240</v>
      </c>
      <c r="AF982" s="212">
        <v>0</v>
      </c>
      <c r="AG982" s="93">
        <v>1</v>
      </c>
      <c r="AH982" s="93">
        <v>0</v>
      </c>
      <c r="AI982" s="93">
        <v>0</v>
      </c>
      <c r="AJ982" s="93">
        <v>0</v>
      </c>
      <c r="AK982" s="93">
        <v>0</v>
      </c>
    </row>
    <row r="983" spans="1:37" s="100" customFormat="1" outlineLevel="1">
      <c r="A983" s="63">
        <v>976</v>
      </c>
      <c r="B983" s="93" t="s">
        <v>379</v>
      </c>
      <c r="C983" s="93" t="s">
        <v>380</v>
      </c>
      <c r="D983" s="94" t="s">
        <v>614</v>
      </c>
      <c r="E983" s="102" t="s">
        <v>615</v>
      </c>
      <c r="F983" s="99" t="s">
        <v>191</v>
      </c>
      <c r="G983" s="93"/>
      <c r="H983" s="102" t="s">
        <v>616</v>
      </c>
      <c r="I983" s="93" t="s">
        <v>383</v>
      </c>
      <c r="J983" s="93"/>
      <c r="K983" s="96" t="s">
        <v>384</v>
      </c>
      <c r="L983" s="93" t="s">
        <v>232</v>
      </c>
      <c r="M983" s="97">
        <v>1917</v>
      </c>
      <c r="N983" s="64" t="s">
        <v>385</v>
      </c>
      <c r="O983" s="202">
        <v>6</v>
      </c>
      <c r="P983" s="196">
        <v>0</v>
      </c>
      <c r="Q983" s="202">
        <v>9</v>
      </c>
      <c r="R983" s="19">
        <v>54</v>
      </c>
      <c r="S983" s="19">
        <v>9618</v>
      </c>
      <c r="T983" s="19">
        <v>7681</v>
      </c>
      <c r="U983" s="93">
        <v>6748</v>
      </c>
      <c r="V983" s="98">
        <v>991</v>
      </c>
      <c r="W983" s="205" t="s">
        <v>233</v>
      </c>
      <c r="X983" s="205" t="s">
        <v>233</v>
      </c>
      <c r="Y983" s="206" t="s">
        <v>233</v>
      </c>
      <c r="Z983" s="205" t="s">
        <v>233</v>
      </c>
      <c r="AA983" s="205" t="s">
        <v>233</v>
      </c>
      <c r="AB983" s="205" t="s">
        <v>233</v>
      </c>
      <c r="AC983" s="206" t="s">
        <v>240</v>
      </c>
      <c r="AD983" s="205" t="s">
        <v>233</v>
      </c>
      <c r="AE983" s="206" t="s">
        <v>240</v>
      </c>
      <c r="AF983" s="212">
        <v>2</v>
      </c>
      <c r="AG983" s="93">
        <v>1</v>
      </c>
      <c r="AH983" s="93">
        <v>1</v>
      </c>
      <c r="AI983" s="93">
        <v>1</v>
      </c>
      <c r="AJ983" s="93">
        <v>1</v>
      </c>
      <c r="AK983" s="93">
        <v>0</v>
      </c>
    </row>
    <row r="984" spans="1:37" s="100" customFormat="1" outlineLevel="1">
      <c r="A984" s="63">
        <v>977</v>
      </c>
      <c r="B984" s="93" t="s">
        <v>379</v>
      </c>
      <c r="C984" s="93" t="s">
        <v>380</v>
      </c>
      <c r="D984" s="94" t="s">
        <v>614</v>
      </c>
      <c r="E984" s="102" t="s">
        <v>617</v>
      </c>
      <c r="F984" s="99" t="s">
        <v>191</v>
      </c>
      <c r="G984" s="93"/>
      <c r="H984" s="102" t="s">
        <v>618</v>
      </c>
      <c r="I984" s="93" t="s">
        <v>383</v>
      </c>
      <c r="J984" s="93"/>
      <c r="K984" s="96" t="s">
        <v>384</v>
      </c>
      <c r="L984" s="93" t="s">
        <v>232</v>
      </c>
      <c r="M984" s="97">
        <v>1850</v>
      </c>
      <c r="N984" s="64" t="s">
        <v>385</v>
      </c>
      <c r="O984" s="202">
        <v>5</v>
      </c>
      <c r="P984" s="196">
        <v>0</v>
      </c>
      <c r="Q984" s="202">
        <v>4</v>
      </c>
      <c r="R984" s="19">
        <v>57</v>
      </c>
      <c r="S984" s="19">
        <v>5020</v>
      </c>
      <c r="T984" s="19">
        <v>4485</v>
      </c>
      <c r="U984" s="93">
        <v>3839</v>
      </c>
      <c r="V984" s="98">
        <v>671</v>
      </c>
      <c r="W984" s="205" t="s">
        <v>233</v>
      </c>
      <c r="X984" s="205" t="s">
        <v>233</v>
      </c>
      <c r="Y984" s="206" t="s">
        <v>233</v>
      </c>
      <c r="Z984" s="205" t="s">
        <v>233</v>
      </c>
      <c r="AA984" s="205" t="s">
        <v>233</v>
      </c>
      <c r="AB984" s="205" t="s">
        <v>233</v>
      </c>
      <c r="AC984" s="206" t="s">
        <v>240</v>
      </c>
      <c r="AD984" s="205" t="s">
        <v>233</v>
      </c>
      <c r="AE984" s="206" t="s">
        <v>240</v>
      </c>
      <c r="AF984" s="212">
        <v>3</v>
      </c>
      <c r="AG984" s="93">
        <v>1</v>
      </c>
      <c r="AH984" s="93">
        <v>1</v>
      </c>
      <c r="AI984" s="93">
        <v>0</v>
      </c>
      <c r="AJ984" s="93">
        <v>0</v>
      </c>
      <c r="AK984" s="93">
        <v>0</v>
      </c>
    </row>
    <row r="985" spans="1:37" s="100" customFormat="1" outlineLevel="1">
      <c r="A985" s="63">
        <v>978</v>
      </c>
      <c r="B985" s="93" t="s">
        <v>379</v>
      </c>
      <c r="C985" s="93" t="s">
        <v>380</v>
      </c>
      <c r="D985" s="94" t="s">
        <v>614</v>
      </c>
      <c r="E985" s="93">
        <v>7</v>
      </c>
      <c r="F985" s="99" t="s">
        <v>191</v>
      </c>
      <c r="G985" s="93"/>
      <c r="H985" s="102" t="s">
        <v>619</v>
      </c>
      <c r="I985" s="93" t="s">
        <v>383</v>
      </c>
      <c r="J985" s="93"/>
      <c r="K985" s="96" t="s">
        <v>384</v>
      </c>
      <c r="L985" s="93" t="s">
        <v>232</v>
      </c>
      <c r="M985" s="97">
        <v>1902</v>
      </c>
      <c r="N985" s="64" t="s">
        <v>385</v>
      </c>
      <c r="O985" s="202">
        <v>5</v>
      </c>
      <c r="P985" s="196">
        <v>0</v>
      </c>
      <c r="Q985" s="202">
        <v>2</v>
      </c>
      <c r="R985" s="19">
        <v>10</v>
      </c>
      <c r="S985" s="19">
        <v>1024</v>
      </c>
      <c r="T985" s="19">
        <v>880</v>
      </c>
      <c r="U985" s="93">
        <v>880</v>
      </c>
      <c r="V985" s="98">
        <v>0</v>
      </c>
      <c r="W985" s="205" t="s">
        <v>233</v>
      </c>
      <c r="X985" s="205" t="s">
        <v>233</v>
      </c>
      <c r="Y985" s="206" t="s">
        <v>233</v>
      </c>
      <c r="Z985" s="205" t="s">
        <v>233</v>
      </c>
      <c r="AA985" s="205" t="s">
        <v>233</v>
      </c>
      <c r="AB985" s="205" t="s">
        <v>233</v>
      </c>
      <c r="AC985" s="206" t="s">
        <v>240</v>
      </c>
      <c r="AD985" s="205" t="s">
        <v>233</v>
      </c>
      <c r="AE985" s="206" t="s">
        <v>240</v>
      </c>
      <c r="AF985" s="212">
        <v>0</v>
      </c>
      <c r="AG985" s="93">
        <v>0</v>
      </c>
      <c r="AH985" s="93">
        <v>1</v>
      </c>
      <c r="AI985" s="93">
        <v>0</v>
      </c>
      <c r="AJ985" s="93">
        <v>0</v>
      </c>
      <c r="AK985" s="93">
        <v>0</v>
      </c>
    </row>
    <row r="986" spans="1:37" s="100" customFormat="1" outlineLevel="1">
      <c r="A986" s="63">
        <v>979</v>
      </c>
      <c r="B986" s="93" t="s">
        <v>379</v>
      </c>
      <c r="C986" s="93" t="s">
        <v>380</v>
      </c>
      <c r="D986" s="94" t="s">
        <v>614</v>
      </c>
      <c r="E986" s="93">
        <v>8</v>
      </c>
      <c r="F986" s="99" t="s">
        <v>191</v>
      </c>
      <c r="G986" s="93"/>
      <c r="H986" s="102" t="s">
        <v>620</v>
      </c>
      <c r="I986" s="93" t="s">
        <v>383</v>
      </c>
      <c r="J986" s="93"/>
      <c r="K986" s="96" t="s">
        <v>384</v>
      </c>
      <c r="L986" s="93" t="s">
        <v>232</v>
      </c>
      <c r="M986" s="97">
        <v>1886</v>
      </c>
      <c r="N986" s="64" t="s">
        <v>385</v>
      </c>
      <c r="O986" s="202">
        <v>6</v>
      </c>
      <c r="P986" s="196">
        <v>0</v>
      </c>
      <c r="Q986" s="202">
        <v>1</v>
      </c>
      <c r="R986" s="19">
        <v>12</v>
      </c>
      <c r="S986" s="19">
        <v>1417</v>
      </c>
      <c r="T986" s="19">
        <v>1052</v>
      </c>
      <c r="U986" s="93">
        <v>1052</v>
      </c>
      <c r="V986" s="98">
        <v>0</v>
      </c>
      <c r="W986" s="205" t="s">
        <v>233</v>
      </c>
      <c r="X986" s="205" t="s">
        <v>233</v>
      </c>
      <c r="Y986" s="206" t="s">
        <v>233</v>
      </c>
      <c r="Z986" s="205" t="s">
        <v>233</v>
      </c>
      <c r="AA986" s="205" t="s">
        <v>233</v>
      </c>
      <c r="AB986" s="205" t="s">
        <v>233</v>
      </c>
      <c r="AC986" s="206" t="s">
        <v>240</v>
      </c>
      <c r="AD986" s="205" t="s">
        <v>233</v>
      </c>
      <c r="AE986" s="206" t="s">
        <v>240</v>
      </c>
      <c r="AF986" s="212">
        <v>1</v>
      </c>
      <c r="AG986" s="93">
        <v>1</v>
      </c>
      <c r="AH986" s="93">
        <v>1</v>
      </c>
      <c r="AI986" s="93">
        <v>0</v>
      </c>
      <c r="AJ986" s="93">
        <v>0</v>
      </c>
      <c r="AK986" s="93">
        <v>0</v>
      </c>
    </row>
    <row r="987" spans="1:37" s="100" customFormat="1" outlineLevel="1">
      <c r="A987" s="63">
        <v>980</v>
      </c>
      <c r="B987" s="93" t="s">
        <v>379</v>
      </c>
      <c r="C987" s="93" t="s">
        <v>380</v>
      </c>
      <c r="D987" s="94" t="s">
        <v>614</v>
      </c>
      <c r="E987" s="102" t="s">
        <v>206</v>
      </c>
      <c r="F987" s="99" t="s">
        <v>191</v>
      </c>
      <c r="G987" s="93"/>
      <c r="H987" s="102" t="s">
        <v>621</v>
      </c>
      <c r="I987" s="93" t="s">
        <v>383</v>
      </c>
      <c r="J987" s="93"/>
      <c r="K987" s="96" t="s">
        <v>384</v>
      </c>
      <c r="L987" s="93" t="s">
        <v>232</v>
      </c>
      <c r="M987" s="97">
        <v>1901</v>
      </c>
      <c r="N987" s="64" t="s">
        <v>385</v>
      </c>
      <c r="O987" s="202">
        <v>5</v>
      </c>
      <c r="P987" s="196">
        <v>0</v>
      </c>
      <c r="Q987" s="202">
        <v>2</v>
      </c>
      <c r="R987" s="19">
        <v>38</v>
      </c>
      <c r="S987" s="19">
        <v>2771</v>
      </c>
      <c r="T987" s="19">
        <v>2413</v>
      </c>
      <c r="U987" s="93">
        <v>2395</v>
      </c>
      <c r="V987" s="98">
        <v>69</v>
      </c>
      <c r="W987" s="205" t="s">
        <v>233</v>
      </c>
      <c r="X987" s="205" t="s">
        <v>233</v>
      </c>
      <c r="Y987" s="206" t="s">
        <v>233</v>
      </c>
      <c r="Z987" s="205" t="s">
        <v>233</v>
      </c>
      <c r="AA987" s="205" t="s">
        <v>233</v>
      </c>
      <c r="AB987" s="205" t="s">
        <v>233</v>
      </c>
      <c r="AC987" s="206" t="s">
        <v>240</v>
      </c>
      <c r="AD987" s="205" t="s">
        <v>233</v>
      </c>
      <c r="AE987" s="206" t="s">
        <v>240</v>
      </c>
      <c r="AF987" s="212">
        <v>2</v>
      </c>
      <c r="AG987" s="93">
        <v>1</v>
      </c>
      <c r="AH987" s="93">
        <v>1</v>
      </c>
      <c r="AI987" s="93">
        <v>0</v>
      </c>
      <c r="AJ987" s="93">
        <v>0</v>
      </c>
      <c r="AK987" s="93">
        <v>0</v>
      </c>
    </row>
    <row r="988" spans="1:37" s="100" customFormat="1" outlineLevel="1">
      <c r="A988" s="63">
        <v>981</v>
      </c>
      <c r="B988" s="93" t="s">
        <v>379</v>
      </c>
      <c r="C988" s="93" t="s">
        <v>380</v>
      </c>
      <c r="D988" s="94" t="s">
        <v>614</v>
      </c>
      <c r="E988" s="93">
        <v>10</v>
      </c>
      <c r="F988" s="99" t="s">
        <v>191</v>
      </c>
      <c r="G988" s="93"/>
      <c r="H988" s="102" t="s">
        <v>622</v>
      </c>
      <c r="I988" s="93" t="s">
        <v>383</v>
      </c>
      <c r="J988" s="93"/>
      <c r="K988" s="96" t="s">
        <v>384</v>
      </c>
      <c r="L988" s="93" t="s">
        <v>232</v>
      </c>
      <c r="M988" s="97">
        <v>1889</v>
      </c>
      <c r="N988" s="64" t="s">
        <v>385</v>
      </c>
      <c r="O988" s="202">
        <v>4</v>
      </c>
      <c r="P988" s="196">
        <v>0</v>
      </c>
      <c r="Q988" s="202">
        <v>2</v>
      </c>
      <c r="R988" s="19">
        <v>13</v>
      </c>
      <c r="S988" s="19">
        <v>1259</v>
      </c>
      <c r="T988" s="19">
        <v>1075</v>
      </c>
      <c r="U988" s="93">
        <v>946</v>
      </c>
      <c r="V988" s="98">
        <v>0</v>
      </c>
      <c r="W988" s="205" t="s">
        <v>233</v>
      </c>
      <c r="X988" s="205" t="s">
        <v>233</v>
      </c>
      <c r="Y988" s="206" t="s">
        <v>233</v>
      </c>
      <c r="Z988" s="205" t="s">
        <v>233</v>
      </c>
      <c r="AA988" s="205" t="s">
        <v>233</v>
      </c>
      <c r="AB988" s="205" t="s">
        <v>233</v>
      </c>
      <c r="AC988" s="206" t="s">
        <v>240</v>
      </c>
      <c r="AD988" s="205" t="s">
        <v>233</v>
      </c>
      <c r="AE988" s="206" t="s">
        <v>240</v>
      </c>
      <c r="AF988" s="212">
        <v>0</v>
      </c>
      <c r="AG988" s="93">
        <v>1</v>
      </c>
      <c r="AH988" s="93">
        <v>1</v>
      </c>
      <c r="AI988" s="93">
        <v>1</v>
      </c>
      <c r="AJ988" s="93">
        <v>1</v>
      </c>
      <c r="AK988" s="93">
        <v>0</v>
      </c>
    </row>
    <row r="989" spans="1:37" s="100" customFormat="1" outlineLevel="1">
      <c r="A989" s="63">
        <v>982</v>
      </c>
      <c r="B989" s="93" t="s">
        <v>379</v>
      </c>
      <c r="C989" s="93" t="s">
        <v>380</v>
      </c>
      <c r="D989" s="94" t="s">
        <v>614</v>
      </c>
      <c r="E989" s="93">
        <v>12</v>
      </c>
      <c r="F989" s="99" t="s">
        <v>191</v>
      </c>
      <c r="G989" s="93"/>
      <c r="H989" s="102" t="s">
        <v>623</v>
      </c>
      <c r="I989" s="93" t="s">
        <v>383</v>
      </c>
      <c r="J989" s="93"/>
      <c r="K989" s="96" t="s">
        <v>384</v>
      </c>
      <c r="L989" s="93" t="s">
        <v>232</v>
      </c>
      <c r="M989" s="97">
        <v>1917</v>
      </c>
      <c r="N989" s="64" t="s">
        <v>385</v>
      </c>
      <c r="O989" s="202">
        <v>5</v>
      </c>
      <c r="P989" s="196">
        <v>0</v>
      </c>
      <c r="Q989" s="202">
        <v>1</v>
      </c>
      <c r="R989" s="19">
        <v>14</v>
      </c>
      <c r="S989" s="19">
        <v>1277</v>
      </c>
      <c r="T989" s="19">
        <v>992</v>
      </c>
      <c r="U989" s="93">
        <v>992</v>
      </c>
      <c r="V989" s="98">
        <v>0</v>
      </c>
      <c r="W989" s="205" t="s">
        <v>233</v>
      </c>
      <c r="X989" s="205" t="s">
        <v>233</v>
      </c>
      <c r="Y989" s="206" t="s">
        <v>233</v>
      </c>
      <c r="Z989" s="205" t="s">
        <v>233</v>
      </c>
      <c r="AA989" s="205" t="s">
        <v>233</v>
      </c>
      <c r="AB989" s="205" t="s">
        <v>233</v>
      </c>
      <c r="AC989" s="206" t="s">
        <v>240</v>
      </c>
      <c r="AD989" s="205" t="s">
        <v>233</v>
      </c>
      <c r="AE989" s="206" t="s">
        <v>240</v>
      </c>
      <c r="AF989" s="212">
        <v>1</v>
      </c>
      <c r="AG989" s="93">
        <v>1</v>
      </c>
      <c r="AH989" s="93">
        <v>1</v>
      </c>
      <c r="AI989" s="93">
        <v>0</v>
      </c>
      <c r="AJ989" s="93">
        <v>0</v>
      </c>
      <c r="AK989" s="93">
        <v>0</v>
      </c>
    </row>
    <row r="990" spans="1:37" s="100" customFormat="1" outlineLevel="1">
      <c r="A990" s="63">
        <v>983</v>
      </c>
      <c r="B990" s="93" t="s">
        <v>379</v>
      </c>
      <c r="C990" s="93" t="s">
        <v>380</v>
      </c>
      <c r="D990" s="94" t="s">
        <v>614</v>
      </c>
      <c r="E990" s="93">
        <v>13</v>
      </c>
      <c r="F990" s="99" t="s">
        <v>191</v>
      </c>
      <c r="G990" s="93"/>
      <c r="H990" s="102" t="s">
        <v>624</v>
      </c>
      <c r="I990" s="93" t="s">
        <v>383</v>
      </c>
      <c r="J990" s="93"/>
      <c r="K990" s="96" t="s">
        <v>384</v>
      </c>
      <c r="L990" s="93" t="s">
        <v>232</v>
      </c>
      <c r="M990" s="97">
        <v>1897</v>
      </c>
      <c r="N990" s="64" t="s">
        <v>385</v>
      </c>
      <c r="O990" s="202">
        <v>5</v>
      </c>
      <c r="P990" s="196">
        <v>0</v>
      </c>
      <c r="Q990" s="202">
        <v>3</v>
      </c>
      <c r="R990" s="19">
        <v>21</v>
      </c>
      <c r="S990" s="19">
        <v>2206</v>
      </c>
      <c r="T990" s="19">
        <v>1975</v>
      </c>
      <c r="U990" s="93">
        <v>1695</v>
      </c>
      <c r="V990" s="98">
        <v>286</v>
      </c>
      <c r="W990" s="205" t="s">
        <v>233</v>
      </c>
      <c r="X990" s="205" t="s">
        <v>233</v>
      </c>
      <c r="Y990" s="206" t="s">
        <v>233</v>
      </c>
      <c r="Z990" s="205" t="s">
        <v>233</v>
      </c>
      <c r="AA990" s="205" t="s">
        <v>233</v>
      </c>
      <c r="AB990" s="205" t="s">
        <v>233</v>
      </c>
      <c r="AC990" s="206" t="s">
        <v>240</v>
      </c>
      <c r="AD990" s="205" t="s">
        <v>233</v>
      </c>
      <c r="AE990" s="206" t="s">
        <v>240</v>
      </c>
      <c r="AF990" s="212">
        <v>0</v>
      </c>
      <c r="AG990" s="93">
        <v>1</v>
      </c>
      <c r="AH990" s="93">
        <v>1</v>
      </c>
      <c r="AI990" s="93">
        <v>0</v>
      </c>
      <c r="AJ990" s="93">
        <v>0</v>
      </c>
      <c r="AK990" s="93">
        <v>0</v>
      </c>
    </row>
    <row r="991" spans="1:37" s="100" customFormat="1" outlineLevel="1">
      <c r="A991" s="63">
        <v>984</v>
      </c>
      <c r="B991" s="93" t="s">
        <v>379</v>
      </c>
      <c r="C991" s="93" t="s">
        <v>380</v>
      </c>
      <c r="D991" s="94" t="s">
        <v>614</v>
      </c>
      <c r="E991" s="93">
        <v>14</v>
      </c>
      <c r="F991" s="99" t="s">
        <v>191</v>
      </c>
      <c r="G991" s="93"/>
      <c r="H991" s="102" t="s">
        <v>625</v>
      </c>
      <c r="I991" s="93" t="s">
        <v>383</v>
      </c>
      <c r="J991" s="93"/>
      <c r="K991" s="96" t="s">
        <v>384</v>
      </c>
      <c r="L991" s="93" t="s">
        <v>232</v>
      </c>
      <c r="M991" s="97">
        <v>1826</v>
      </c>
      <c r="N991" s="64" t="s">
        <v>385</v>
      </c>
      <c r="O991" s="202">
        <v>4</v>
      </c>
      <c r="P991" s="196">
        <v>0</v>
      </c>
      <c r="Q991" s="202">
        <v>3</v>
      </c>
      <c r="R991" s="19">
        <v>31</v>
      </c>
      <c r="S991" s="19">
        <v>3018</v>
      </c>
      <c r="T991" s="19">
        <v>2696</v>
      </c>
      <c r="U991" s="93">
        <v>2272</v>
      </c>
      <c r="V991" s="98">
        <v>454</v>
      </c>
      <c r="W991" s="205" t="s">
        <v>233</v>
      </c>
      <c r="X991" s="205" t="s">
        <v>233</v>
      </c>
      <c r="Y991" s="206" t="s">
        <v>233</v>
      </c>
      <c r="Z991" s="205" t="s">
        <v>233</v>
      </c>
      <c r="AA991" s="205" t="s">
        <v>233</v>
      </c>
      <c r="AB991" s="205" t="s">
        <v>233</v>
      </c>
      <c r="AC991" s="206" t="s">
        <v>240</v>
      </c>
      <c r="AD991" s="205" t="s">
        <v>233</v>
      </c>
      <c r="AE991" s="206" t="s">
        <v>240</v>
      </c>
      <c r="AF991" s="212">
        <v>0</v>
      </c>
      <c r="AG991" s="93">
        <v>1</v>
      </c>
      <c r="AH991" s="93">
        <v>1</v>
      </c>
      <c r="AI991" s="93">
        <v>1</v>
      </c>
      <c r="AJ991" s="93">
        <v>1</v>
      </c>
      <c r="AK991" s="93">
        <v>0</v>
      </c>
    </row>
    <row r="992" spans="1:37" s="100" customFormat="1" outlineLevel="1">
      <c r="A992" s="63">
        <v>985</v>
      </c>
      <c r="B992" s="93" t="s">
        <v>379</v>
      </c>
      <c r="C992" s="93" t="s">
        <v>380</v>
      </c>
      <c r="D992" s="94" t="s">
        <v>614</v>
      </c>
      <c r="E992" s="93">
        <v>15</v>
      </c>
      <c r="F992" s="99" t="s">
        <v>191</v>
      </c>
      <c r="G992" s="93"/>
      <c r="H992" s="102" t="s">
        <v>626</v>
      </c>
      <c r="I992" s="93" t="s">
        <v>383</v>
      </c>
      <c r="J992" s="93"/>
      <c r="K992" s="96" t="s">
        <v>384</v>
      </c>
      <c r="L992" s="93" t="s">
        <v>232</v>
      </c>
      <c r="M992" s="97">
        <v>1898</v>
      </c>
      <c r="N992" s="64" t="s">
        <v>385</v>
      </c>
      <c r="O992" s="202">
        <v>4</v>
      </c>
      <c r="P992" s="196">
        <v>0</v>
      </c>
      <c r="Q992" s="202">
        <v>1</v>
      </c>
      <c r="R992" s="19">
        <v>17</v>
      </c>
      <c r="S992" s="19">
        <v>1300</v>
      </c>
      <c r="T992" s="19">
        <v>1207</v>
      </c>
      <c r="U992" s="93">
        <v>1076</v>
      </c>
      <c r="V992" s="98">
        <v>124</v>
      </c>
      <c r="W992" s="205" t="s">
        <v>233</v>
      </c>
      <c r="X992" s="205" t="s">
        <v>233</v>
      </c>
      <c r="Y992" s="206" t="s">
        <v>233</v>
      </c>
      <c r="Z992" s="205" t="s">
        <v>233</v>
      </c>
      <c r="AA992" s="205" t="s">
        <v>233</v>
      </c>
      <c r="AB992" s="205" t="s">
        <v>233</v>
      </c>
      <c r="AC992" s="206" t="s">
        <v>240</v>
      </c>
      <c r="AD992" s="205" t="s">
        <v>233</v>
      </c>
      <c r="AE992" s="206" t="s">
        <v>240</v>
      </c>
      <c r="AF992" s="212">
        <v>0</v>
      </c>
      <c r="AG992" s="93">
        <v>1</v>
      </c>
      <c r="AH992" s="93">
        <v>1</v>
      </c>
      <c r="AI992" s="93">
        <v>1</v>
      </c>
      <c r="AJ992" s="93">
        <v>1</v>
      </c>
      <c r="AK992" s="93">
        <v>0</v>
      </c>
    </row>
    <row r="993" spans="1:37" s="100" customFormat="1" outlineLevel="1">
      <c r="A993" s="63">
        <v>986</v>
      </c>
      <c r="B993" s="93" t="s">
        <v>379</v>
      </c>
      <c r="C993" s="93" t="s">
        <v>380</v>
      </c>
      <c r="D993" s="94" t="s">
        <v>614</v>
      </c>
      <c r="E993" s="93">
        <v>16</v>
      </c>
      <c r="F993" s="99" t="s">
        <v>191</v>
      </c>
      <c r="G993" s="93"/>
      <c r="H993" s="102" t="s">
        <v>627</v>
      </c>
      <c r="I993" s="93" t="s">
        <v>383</v>
      </c>
      <c r="J993" s="93"/>
      <c r="K993" s="96" t="s">
        <v>384</v>
      </c>
      <c r="L993" s="93" t="s">
        <v>232</v>
      </c>
      <c r="M993" s="97">
        <v>1837</v>
      </c>
      <c r="N993" s="64" t="s">
        <v>385</v>
      </c>
      <c r="O993" s="202">
        <v>5</v>
      </c>
      <c r="P993" s="196">
        <v>0</v>
      </c>
      <c r="Q993" s="202">
        <v>3</v>
      </c>
      <c r="R993" s="19">
        <v>34</v>
      </c>
      <c r="S993" s="19">
        <v>3579</v>
      </c>
      <c r="T993" s="19">
        <v>3022</v>
      </c>
      <c r="U993" s="93">
        <v>2784</v>
      </c>
      <c r="V993" s="98">
        <v>257</v>
      </c>
      <c r="W993" s="205" t="s">
        <v>233</v>
      </c>
      <c r="X993" s="205" t="s">
        <v>233</v>
      </c>
      <c r="Y993" s="206" t="s">
        <v>233</v>
      </c>
      <c r="Z993" s="205" t="s">
        <v>233</v>
      </c>
      <c r="AA993" s="205" t="s">
        <v>233</v>
      </c>
      <c r="AB993" s="205" t="s">
        <v>233</v>
      </c>
      <c r="AC993" s="206" t="s">
        <v>240</v>
      </c>
      <c r="AD993" s="205" t="s">
        <v>233</v>
      </c>
      <c r="AE993" s="206" t="s">
        <v>240</v>
      </c>
      <c r="AF993" s="212">
        <v>3</v>
      </c>
      <c r="AG993" s="93">
        <v>1</v>
      </c>
      <c r="AH993" s="93">
        <v>1</v>
      </c>
      <c r="AI993" s="93">
        <v>1</v>
      </c>
      <c r="AJ993" s="93">
        <v>1</v>
      </c>
      <c r="AK993" s="93">
        <v>0</v>
      </c>
    </row>
    <row r="994" spans="1:37" s="100" customFormat="1" outlineLevel="1">
      <c r="A994" s="63">
        <v>987</v>
      </c>
      <c r="B994" s="93" t="s">
        <v>379</v>
      </c>
      <c r="C994" s="93" t="s">
        <v>380</v>
      </c>
      <c r="D994" s="94" t="s">
        <v>614</v>
      </c>
      <c r="E994" s="93">
        <v>17</v>
      </c>
      <c r="F994" s="99" t="s">
        <v>191</v>
      </c>
      <c r="G994" s="93"/>
      <c r="H994" s="102" t="s">
        <v>628</v>
      </c>
      <c r="I994" s="93" t="s">
        <v>383</v>
      </c>
      <c r="J994" s="93"/>
      <c r="K994" s="96" t="s">
        <v>384</v>
      </c>
      <c r="L994" s="93" t="s">
        <v>232</v>
      </c>
      <c r="M994" s="97">
        <v>1862</v>
      </c>
      <c r="N994" s="64" t="s">
        <v>385</v>
      </c>
      <c r="O994" s="202">
        <v>4</v>
      </c>
      <c r="P994" s="196">
        <v>0</v>
      </c>
      <c r="Q994" s="202">
        <v>2</v>
      </c>
      <c r="R994" s="19">
        <v>15</v>
      </c>
      <c r="S994" s="19">
        <v>1964</v>
      </c>
      <c r="T994" s="19">
        <v>1597</v>
      </c>
      <c r="U994" s="93">
        <v>1248</v>
      </c>
      <c r="V994" s="98">
        <v>527</v>
      </c>
      <c r="W994" s="205" t="s">
        <v>233</v>
      </c>
      <c r="X994" s="205" t="s">
        <v>233</v>
      </c>
      <c r="Y994" s="206" t="s">
        <v>233</v>
      </c>
      <c r="Z994" s="205" t="s">
        <v>233</v>
      </c>
      <c r="AA994" s="205" t="s">
        <v>233</v>
      </c>
      <c r="AB994" s="205" t="s">
        <v>233</v>
      </c>
      <c r="AC994" s="206" t="s">
        <v>240</v>
      </c>
      <c r="AD994" s="205" t="s">
        <v>233</v>
      </c>
      <c r="AE994" s="206" t="s">
        <v>240</v>
      </c>
      <c r="AF994" s="212">
        <v>0</v>
      </c>
      <c r="AG994" s="93">
        <v>0</v>
      </c>
      <c r="AH994" s="93">
        <v>1</v>
      </c>
      <c r="AI994" s="93">
        <v>0</v>
      </c>
      <c r="AJ994" s="93">
        <v>0</v>
      </c>
      <c r="AK994" s="93">
        <v>0</v>
      </c>
    </row>
    <row r="995" spans="1:37" s="100" customFormat="1" outlineLevel="1">
      <c r="A995" s="63">
        <v>988</v>
      </c>
      <c r="B995" s="93" t="s">
        <v>379</v>
      </c>
      <c r="C995" s="93" t="s">
        <v>380</v>
      </c>
      <c r="D995" s="94" t="s">
        <v>614</v>
      </c>
      <c r="E995" s="93">
        <v>19</v>
      </c>
      <c r="F995" s="99" t="s">
        <v>191</v>
      </c>
      <c r="G995" s="93"/>
      <c r="H995" s="102" t="s">
        <v>629</v>
      </c>
      <c r="I995" s="93" t="s">
        <v>383</v>
      </c>
      <c r="J995" s="93"/>
      <c r="K995" s="96" t="s">
        <v>384</v>
      </c>
      <c r="L995" s="93" t="s">
        <v>232</v>
      </c>
      <c r="M995" s="97">
        <v>1899</v>
      </c>
      <c r="N995" s="64" t="s">
        <v>385</v>
      </c>
      <c r="O995" s="202">
        <v>5</v>
      </c>
      <c r="P995" s="196">
        <v>0</v>
      </c>
      <c r="Q995" s="202">
        <v>3</v>
      </c>
      <c r="R995" s="19">
        <v>20</v>
      </c>
      <c r="S995" s="19">
        <v>2025</v>
      </c>
      <c r="T995" s="19">
        <v>1645</v>
      </c>
      <c r="U995" s="93">
        <v>1649</v>
      </c>
      <c r="V995" s="98">
        <v>98</v>
      </c>
      <c r="W995" s="205" t="s">
        <v>233</v>
      </c>
      <c r="X995" s="205" t="s">
        <v>233</v>
      </c>
      <c r="Y995" s="206" t="s">
        <v>233</v>
      </c>
      <c r="Z995" s="205" t="s">
        <v>233</v>
      </c>
      <c r="AA995" s="205" t="s">
        <v>233</v>
      </c>
      <c r="AB995" s="205" t="s">
        <v>233</v>
      </c>
      <c r="AC995" s="206" t="s">
        <v>240</v>
      </c>
      <c r="AD995" s="205" t="s">
        <v>233</v>
      </c>
      <c r="AE995" s="206" t="s">
        <v>240</v>
      </c>
      <c r="AF995" s="212">
        <v>0</v>
      </c>
      <c r="AG995" s="93">
        <v>1</v>
      </c>
      <c r="AH995" s="93">
        <v>1</v>
      </c>
      <c r="AI995" s="93">
        <v>0</v>
      </c>
      <c r="AJ995" s="93">
        <v>0</v>
      </c>
      <c r="AK995" s="93">
        <v>0</v>
      </c>
    </row>
    <row r="996" spans="1:37" s="100" customFormat="1" outlineLevel="1">
      <c r="A996" s="63">
        <v>989</v>
      </c>
      <c r="B996" s="93" t="s">
        <v>379</v>
      </c>
      <c r="C996" s="93" t="s">
        <v>380</v>
      </c>
      <c r="D996" s="94" t="s">
        <v>614</v>
      </c>
      <c r="E996" s="93">
        <v>21</v>
      </c>
      <c r="F996" s="99" t="s">
        <v>191</v>
      </c>
      <c r="G996" s="93"/>
      <c r="H996" s="102" t="s">
        <v>630</v>
      </c>
      <c r="I996" s="93" t="s">
        <v>383</v>
      </c>
      <c r="J996" s="93"/>
      <c r="K996" s="96" t="s">
        <v>384</v>
      </c>
      <c r="L996" s="93" t="s">
        <v>232</v>
      </c>
      <c r="M996" s="97">
        <v>1917</v>
      </c>
      <c r="N996" s="64" t="s">
        <v>385</v>
      </c>
      <c r="O996" s="202">
        <v>5</v>
      </c>
      <c r="P996" s="196">
        <v>0</v>
      </c>
      <c r="Q996" s="202">
        <v>3</v>
      </c>
      <c r="R996" s="19">
        <v>24</v>
      </c>
      <c r="S996" s="19">
        <v>2308</v>
      </c>
      <c r="T996" s="19">
        <v>1975</v>
      </c>
      <c r="U996" s="93">
        <v>1664</v>
      </c>
      <c r="V996" s="98">
        <v>335</v>
      </c>
      <c r="W996" s="205" t="s">
        <v>233</v>
      </c>
      <c r="X996" s="205" t="s">
        <v>233</v>
      </c>
      <c r="Y996" s="206" t="s">
        <v>233</v>
      </c>
      <c r="Z996" s="205" t="s">
        <v>233</v>
      </c>
      <c r="AA996" s="205" t="s">
        <v>233</v>
      </c>
      <c r="AB996" s="205" t="s">
        <v>233</v>
      </c>
      <c r="AC996" s="206" t="s">
        <v>240</v>
      </c>
      <c r="AD996" s="205" t="s">
        <v>233</v>
      </c>
      <c r="AE996" s="206" t="s">
        <v>240</v>
      </c>
      <c r="AF996" s="212">
        <v>3</v>
      </c>
      <c r="AG996" s="93">
        <v>1</v>
      </c>
      <c r="AH996" s="93">
        <v>1</v>
      </c>
      <c r="AI996" s="93">
        <v>0</v>
      </c>
      <c r="AJ996" s="93">
        <v>0</v>
      </c>
      <c r="AK996" s="93">
        <v>0</v>
      </c>
    </row>
    <row r="997" spans="1:37" s="100" customFormat="1" outlineLevel="1">
      <c r="A997" s="63">
        <v>990</v>
      </c>
      <c r="B997" s="93" t="s">
        <v>379</v>
      </c>
      <c r="C997" s="93" t="s">
        <v>380</v>
      </c>
      <c r="D997" s="94" t="s">
        <v>614</v>
      </c>
      <c r="E997" s="96" t="s">
        <v>631</v>
      </c>
      <c r="F997" s="99" t="s">
        <v>191</v>
      </c>
      <c r="G997" s="93"/>
      <c r="H997" s="102" t="s">
        <v>632</v>
      </c>
      <c r="I997" s="93" t="s">
        <v>383</v>
      </c>
      <c r="J997" s="93"/>
      <c r="K997" s="96" t="s">
        <v>384</v>
      </c>
      <c r="L997" s="93" t="s">
        <v>232</v>
      </c>
      <c r="M997" s="97">
        <v>1858</v>
      </c>
      <c r="N997" s="64" t="s">
        <v>385</v>
      </c>
      <c r="O997" s="202">
        <v>5</v>
      </c>
      <c r="P997" s="196">
        <v>0</v>
      </c>
      <c r="Q997" s="202">
        <v>4</v>
      </c>
      <c r="R997" s="19">
        <v>45</v>
      </c>
      <c r="S997" s="19">
        <v>3768</v>
      </c>
      <c r="T997" s="19">
        <v>3197</v>
      </c>
      <c r="U997" s="93">
        <v>2586</v>
      </c>
      <c r="V997" s="98">
        <v>638</v>
      </c>
      <c r="W997" s="205" t="s">
        <v>233</v>
      </c>
      <c r="X997" s="205" t="s">
        <v>233</v>
      </c>
      <c r="Y997" s="206" t="s">
        <v>233</v>
      </c>
      <c r="Z997" s="205" t="s">
        <v>233</v>
      </c>
      <c r="AA997" s="205" t="s">
        <v>233</v>
      </c>
      <c r="AB997" s="205" t="s">
        <v>233</v>
      </c>
      <c r="AC997" s="206" t="s">
        <v>240</v>
      </c>
      <c r="AD997" s="205" t="s">
        <v>233</v>
      </c>
      <c r="AE997" s="206" t="s">
        <v>240</v>
      </c>
      <c r="AF997" s="212">
        <v>4</v>
      </c>
      <c r="AG997" s="93">
        <v>1</v>
      </c>
      <c r="AH997" s="93">
        <v>0</v>
      </c>
      <c r="AI997" s="93">
        <v>1</v>
      </c>
      <c r="AJ997" s="93">
        <v>1</v>
      </c>
      <c r="AK997" s="93">
        <v>0</v>
      </c>
    </row>
    <row r="998" spans="1:37" s="100" customFormat="1" outlineLevel="1">
      <c r="A998" s="63">
        <v>991</v>
      </c>
      <c r="B998" s="93" t="s">
        <v>379</v>
      </c>
      <c r="C998" s="93" t="s">
        <v>380</v>
      </c>
      <c r="D998" s="94" t="s">
        <v>614</v>
      </c>
      <c r="E998" s="93">
        <v>25</v>
      </c>
      <c r="F998" s="99" t="s">
        <v>191</v>
      </c>
      <c r="G998" s="93"/>
      <c r="H998" s="102" t="s">
        <v>633</v>
      </c>
      <c r="I998" s="93" t="s">
        <v>383</v>
      </c>
      <c r="J998" s="93"/>
      <c r="K998" s="96" t="s">
        <v>384</v>
      </c>
      <c r="L998" s="93" t="s">
        <v>232</v>
      </c>
      <c r="M998" s="97">
        <v>1895</v>
      </c>
      <c r="N998" s="64" t="s">
        <v>385</v>
      </c>
      <c r="O998" s="202">
        <v>4</v>
      </c>
      <c r="P998" s="196">
        <v>0</v>
      </c>
      <c r="Q998" s="202">
        <v>1</v>
      </c>
      <c r="R998" s="19">
        <v>7</v>
      </c>
      <c r="S998" s="19">
        <v>654</v>
      </c>
      <c r="T998" s="19">
        <v>548</v>
      </c>
      <c r="U998" s="93">
        <v>482</v>
      </c>
      <c r="V998" s="98">
        <v>88</v>
      </c>
      <c r="W998" s="205" t="s">
        <v>233</v>
      </c>
      <c r="X998" s="205" t="s">
        <v>233</v>
      </c>
      <c r="Y998" s="206" t="s">
        <v>233</v>
      </c>
      <c r="Z998" s="205" t="s">
        <v>233</v>
      </c>
      <c r="AA998" s="205" t="s">
        <v>233</v>
      </c>
      <c r="AB998" s="205" t="s">
        <v>233</v>
      </c>
      <c r="AC998" s="206" t="s">
        <v>240</v>
      </c>
      <c r="AD998" s="205" t="s">
        <v>233</v>
      </c>
      <c r="AE998" s="206" t="s">
        <v>240</v>
      </c>
      <c r="AF998" s="212">
        <v>0</v>
      </c>
      <c r="AG998" s="93">
        <v>1</v>
      </c>
      <c r="AH998" s="93">
        <v>1</v>
      </c>
      <c r="AI998" s="93">
        <v>0</v>
      </c>
      <c r="AJ998" s="93">
        <v>0</v>
      </c>
      <c r="AK998" s="93">
        <v>0</v>
      </c>
    </row>
    <row r="999" spans="1:37" s="100" customFormat="1" outlineLevel="1">
      <c r="A999" s="63">
        <v>992</v>
      </c>
      <c r="B999" s="93" t="s">
        <v>379</v>
      </c>
      <c r="C999" s="93" t="s">
        <v>380</v>
      </c>
      <c r="D999" s="94" t="s">
        <v>614</v>
      </c>
      <c r="E999" s="93">
        <v>27</v>
      </c>
      <c r="F999" s="99" t="s">
        <v>191</v>
      </c>
      <c r="G999" s="93"/>
      <c r="H999" s="102" t="s">
        <v>634</v>
      </c>
      <c r="I999" s="93" t="s">
        <v>383</v>
      </c>
      <c r="J999" s="93"/>
      <c r="K999" s="96" t="s">
        <v>384</v>
      </c>
      <c r="L999" s="93" t="s">
        <v>232</v>
      </c>
      <c r="M999" s="97">
        <v>1917</v>
      </c>
      <c r="N999" s="64" t="s">
        <v>385</v>
      </c>
      <c r="O999" s="202">
        <v>6</v>
      </c>
      <c r="P999" s="196">
        <v>0</v>
      </c>
      <c r="Q999" s="202">
        <v>2</v>
      </c>
      <c r="R999" s="19">
        <v>40</v>
      </c>
      <c r="S999" s="19">
        <v>3142</v>
      </c>
      <c r="T999" s="19">
        <v>2447</v>
      </c>
      <c r="U999" s="93">
        <v>2399</v>
      </c>
      <c r="V999" s="98">
        <v>155</v>
      </c>
      <c r="W999" s="205" t="s">
        <v>233</v>
      </c>
      <c r="X999" s="205" t="s">
        <v>233</v>
      </c>
      <c r="Y999" s="206" t="s">
        <v>233</v>
      </c>
      <c r="Z999" s="205" t="s">
        <v>233</v>
      </c>
      <c r="AA999" s="205" t="s">
        <v>233</v>
      </c>
      <c r="AB999" s="205" t="s">
        <v>233</v>
      </c>
      <c r="AC999" s="206" t="s">
        <v>240</v>
      </c>
      <c r="AD999" s="205" t="s">
        <v>233</v>
      </c>
      <c r="AE999" s="206" t="s">
        <v>240</v>
      </c>
      <c r="AF999" s="212">
        <v>2</v>
      </c>
      <c r="AG999" s="93">
        <v>1</v>
      </c>
      <c r="AH999" s="93">
        <v>1</v>
      </c>
      <c r="AI999" s="93">
        <v>1</v>
      </c>
      <c r="AJ999" s="93">
        <v>1</v>
      </c>
      <c r="AK999" s="93">
        <v>0</v>
      </c>
    </row>
    <row r="1000" spans="1:37" s="100" customFormat="1" outlineLevel="1">
      <c r="A1000" s="63">
        <v>993</v>
      </c>
      <c r="B1000" s="93" t="s">
        <v>379</v>
      </c>
      <c r="C1000" s="93" t="s">
        <v>380</v>
      </c>
      <c r="D1000" s="94" t="s">
        <v>614</v>
      </c>
      <c r="E1000" s="93">
        <v>28</v>
      </c>
      <c r="F1000" s="99" t="s">
        <v>191</v>
      </c>
      <c r="G1000" s="93"/>
      <c r="H1000" s="102" t="s">
        <v>635</v>
      </c>
      <c r="I1000" s="93" t="s">
        <v>383</v>
      </c>
      <c r="J1000" s="93"/>
      <c r="K1000" s="96" t="s">
        <v>384</v>
      </c>
      <c r="L1000" s="93" t="s">
        <v>232</v>
      </c>
      <c r="M1000" s="97">
        <v>1900</v>
      </c>
      <c r="N1000" s="64" t="s">
        <v>385</v>
      </c>
      <c r="O1000" s="202">
        <v>4</v>
      </c>
      <c r="P1000" s="196">
        <v>0</v>
      </c>
      <c r="Q1000" s="202">
        <v>3</v>
      </c>
      <c r="R1000" s="19">
        <v>15</v>
      </c>
      <c r="S1000" s="19">
        <v>1934</v>
      </c>
      <c r="T1000" s="19">
        <v>1631</v>
      </c>
      <c r="U1000" s="93">
        <v>1343</v>
      </c>
      <c r="V1000" s="98">
        <v>336</v>
      </c>
      <c r="W1000" s="205" t="s">
        <v>233</v>
      </c>
      <c r="X1000" s="205" t="s">
        <v>233</v>
      </c>
      <c r="Y1000" s="206" t="s">
        <v>233</v>
      </c>
      <c r="Z1000" s="205" t="s">
        <v>233</v>
      </c>
      <c r="AA1000" s="205" t="s">
        <v>233</v>
      </c>
      <c r="AB1000" s="205" t="s">
        <v>233</v>
      </c>
      <c r="AC1000" s="206" t="s">
        <v>240</v>
      </c>
      <c r="AD1000" s="205" t="s">
        <v>233</v>
      </c>
      <c r="AE1000" s="206" t="s">
        <v>240</v>
      </c>
      <c r="AF1000" s="212">
        <v>0</v>
      </c>
      <c r="AG1000" s="93">
        <v>1</v>
      </c>
      <c r="AH1000" s="93">
        <v>1</v>
      </c>
      <c r="AI1000" s="93">
        <v>0</v>
      </c>
      <c r="AJ1000" s="93">
        <v>0</v>
      </c>
      <c r="AK1000" s="93">
        <v>0</v>
      </c>
    </row>
    <row r="1001" spans="1:37" s="100" customFormat="1" outlineLevel="1">
      <c r="A1001" s="63">
        <v>994</v>
      </c>
      <c r="B1001" s="93" t="s">
        <v>379</v>
      </c>
      <c r="C1001" s="93" t="s">
        <v>380</v>
      </c>
      <c r="D1001" s="94" t="s">
        <v>614</v>
      </c>
      <c r="E1001" s="93">
        <v>31</v>
      </c>
      <c r="F1001" s="99" t="s">
        <v>191</v>
      </c>
      <c r="G1001" s="93"/>
      <c r="H1001" s="102" t="s">
        <v>636</v>
      </c>
      <c r="I1001" s="93" t="s">
        <v>383</v>
      </c>
      <c r="J1001" s="93"/>
      <c r="K1001" s="96" t="s">
        <v>384</v>
      </c>
      <c r="L1001" s="93" t="s">
        <v>232</v>
      </c>
      <c r="M1001" s="97">
        <v>1880</v>
      </c>
      <c r="N1001" s="64" t="s">
        <v>385</v>
      </c>
      <c r="O1001" s="202">
        <v>4</v>
      </c>
      <c r="P1001" s="196">
        <v>0</v>
      </c>
      <c r="Q1001" s="202">
        <v>1</v>
      </c>
      <c r="R1001" s="19">
        <v>15</v>
      </c>
      <c r="S1001" s="19">
        <v>1147</v>
      </c>
      <c r="T1001" s="19">
        <v>956</v>
      </c>
      <c r="U1001" s="93">
        <v>735</v>
      </c>
      <c r="V1001" s="98">
        <v>220</v>
      </c>
      <c r="W1001" s="205" t="s">
        <v>233</v>
      </c>
      <c r="X1001" s="205" t="s">
        <v>233</v>
      </c>
      <c r="Y1001" s="206" t="s">
        <v>233</v>
      </c>
      <c r="Z1001" s="205" t="s">
        <v>233</v>
      </c>
      <c r="AA1001" s="205" t="s">
        <v>233</v>
      </c>
      <c r="AB1001" s="205" t="s">
        <v>233</v>
      </c>
      <c r="AC1001" s="206" t="s">
        <v>240</v>
      </c>
      <c r="AD1001" s="205" t="s">
        <v>233</v>
      </c>
      <c r="AE1001" s="206" t="s">
        <v>240</v>
      </c>
      <c r="AF1001" s="212">
        <v>0</v>
      </c>
      <c r="AG1001" s="93">
        <v>1</v>
      </c>
      <c r="AH1001" s="93">
        <v>0</v>
      </c>
      <c r="AI1001" s="93">
        <v>1</v>
      </c>
      <c r="AJ1001" s="93">
        <v>1</v>
      </c>
      <c r="AK1001" s="93">
        <v>0</v>
      </c>
    </row>
    <row r="1002" spans="1:37" s="100" customFormat="1" outlineLevel="1">
      <c r="A1002" s="63">
        <v>995</v>
      </c>
      <c r="B1002" s="93" t="s">
        <v>379</v>
      </c>
      <c r="C1002" s="93" t="s">
        <v>380</v>
      </c>
      <c r="D1002" s="94" t="s">
        <v>614</v>
      </c>
      <c r="E1002" s="93">
        <v>33</v>
      </c>
      <c r="F1002" s="99" t="s">
        <v>191</v>
      </c>
      <c r="G1002" s="93"/>
      <c r="H1002" s="102" t="s">
        <v>637</v>
      </c>
      <c r="I1002" s="93" t="s">
        <v>383</v>
      </c>
      <c r="J1002" s="93"/>
      <c r="K1002" s="96" t="s">
        <v>384</v>
      </c>
      <c r="L1002" s="93" t="s">
        <v>232</v>
      </c>
      <c r="M1002" s="97">
        <v>1917</v>
      </c>
      <c r="N1002" s="64" t="s">
        <v>385</v>
      </c>
      <c r="O1002" s="202">
        <v>3</v>
      </c>
      <c r="P1002" s="196">
        <v>0</v>
      </c>
      <c r="Q1002" s="202">
        <v>1</v>
      </c>
      <c r="R1002" s="19">
        <v>10</v>
      </c>
      <c r="S1002" s="19">
        <v>947</v>
      </c>
      <c r="T1002" s="19">
        <v>809</v>
      </c>
      <c r="U1002" s="93">
        <v>729</v>
      </c>
      <c r="V1002" s="98">
        <v>80</v>
      </c>
      <c r="W1002" s="205" t="s">
        <v>233</v>
      </c>
      <c r="X1002" s="205" t="s">
        <v>233</v>
      </c>
      <c r="Y1002" s="206" t="s">
        <v>233</v>
      </c>
      <c r="Z1002" s="205" t="s">
        <v>233</v>
      </c>
      <c r="AA1002" s="205" t="s">
        <v>233</v>
      </c>
      <c r="AB1002" s="205" t="s">
        <v>233</v>
      </c>
      <c r="AC1002" s="206" t="s">
        <v>240</v>
      </c>
      <c r="AD1002" s="205" t="s">
        <v>233</v>
      </c>
      <c r="AE1002" s="206" t="s">
        <v>240</v>
      </c>
      <c r="AF1002" s="212">
        <v>0</v>
      </c>
      <c r="AG1002" s="93">
        <v>1</v>
      </c>
      <c r="AH1002" s="93">
        <v>1</v>
      </c>
      <c r="AI1002" s="93">
        <v>0</v>
      </c>
      <c r="AJ1002" s="93">
        <v>0</v>
      </c>
      <c r="AK1002" s="93">
        <v>0</v>
      </c>
    </row>
    <row r="1003" spans="1:37" s="100" customFormat="1" outlineLevel="1">
      <c r="A1003" s="63">
        <v>996</v>
      </c>
      <c r="B1003" s="93" t="s">
        <v>379</v>
      </c>
      <c r="C1003" s="93" t="s">
        <v>380</v>
      </c>
      <c r="D1003" s="94" t="s">
        <v>614</v>
      </c>
      <c r="E1003" s="93">
        <v>34</v>
      </c>
      <c r="F1003" s="99" t="s">
        <v>191</v>
      </c>
      <c r="G1003" s="93"/>
      <c r="H1003" s="102" t="s">
        <v>638</v>
      </c>
      <c r="I1003" s="93" t="s">
        <v>383</v>
      </c>
      <c r="J1003" s="93"/>
      <c r="K1003" s="96" t="s">
        <v>384</v>
      </c>
      <c r="L1003" s="93" t="s">
        <v>232</v>
      </c>
      <c r="M1003" s="97">
        <v>1903</v>
      </c>
      <c r="N1003" s="64" t="s">
        <v>385</v>
      </c>
      <c r="O1003" s="202">
        <v>5</v>
      </c>
      <c r="P1003" s="196">
        <v>0</v>
      </c>
      <c r="Q1003" s="202">
        <v>3</v>
      </c>
      <c r="R1003" s="19">
        <v>22</v>
      </c>
      <c r="S1003" s="19">
        <v>2738</v>
      </c>
      <c r="T1003" s="19">
        <v>2378</v>
      </c>
      <c r="U1003" s="93">
        <v>2072</v>
      </c>
      <c r="V1003" s="98">
        <v>377</v>
      </c>
      <c r="W1003" s="205" t="s">
        <v>233</v>
      </c>
      <c r="X1003" s="205" t="s">
        <v>233</v>
      </c>
      <c r="Y1003" s="206" t="s">
        <v>233</v>
      </c>
      <c r="Z1003" s="205" t="s">
        <v>233</v>
      </c>
      <c r="AA1003" s="205" t="s">
        <v>233</v>
      </c>
      <c r="AB1003" s="205" t="s">
        <v>233</v>
      </c>
      <c r="AC1003" s="206" t="s">
        <v>240</v>
      </c>
      <c r="AD1003" s="205" t="s">
        <v>233</v>
      </c>
      <c r="AE1003" s="206" t="s">
        <v>240</v>
      </c>
      <c r="AF1003" s="212">
        <v>0</v>
      </c>
      <c r="AG1003" s="93">
        <v>1</v>
      </c>
      <c r="AH1003" s="93">
        <v>1</v>
      </c>
      <c r="AI1003" s="93">
        <v>0</v>
      </c>
      <c r="AJ1003" s="93">
        <v>0</v>
      </c>
      <c r="AK1003" s="93">
        <v>0</v>
      </c>
    </row>
    <row r="1004" spans="1:37" s="100" customFormat="1" outlineLevel="1">
      <c r="A1004" s="63">
        <v>997</v>
      </c>
      <c r="B1004" s="93" t="s">
        <v>379</v>
      </c>
      <c r="C1004" s="93" t="s">
        <v>380</v>
      </c>
      <c r="D1004" s="94" t="s">
        <v>614</v>
      </c>
      <c r="E1004" s="96" t="s">
        <v>639</v>
      </c>
      <c r="F1004" s="99" t="s">
        <v>191</v>
      </c>
      <c r="G1004" s="93"/>
      <c r="H1004" s="102" t="s">
        <v>640</v>
      </c>
      <c r="I1004" s="93" t="s">
        <v>383</v>
      </c>
      <c r="J1004" s="93"/>
      <c r="K1004" s="96" t="s">
        <v>384</v>
      </c>
      <c r="L1004" s="93" t="s">
        <v>232</v>
      </c>
      <c r="M1004" s="97">
        <v>1881</v>
      </c>
      <c r="N1004" s="64" t="s">
        <v>385</v>
      </c>
      <c r="O1004" s="202">
        <v>4</v>
      </c>
      <c r="P1004" s="196">
        <v>0</v>
      </c>
      <c r="Q1004" s="202">
        <v>2</v>
      </c>
      <c r="R1004" s="19">
        <v>22</v>
      </c>
      <c r="S1004" s="19">
        <v>1445</v>
      </c>
      <c r="T1004" s="19">
        <v>1202</v>
      </c>
      <c r="U1004" s="93">
        <v>1204</v>
      </c>
      <c r="V1004" s="98">
        <v>38</v>
      </c>
      <c r="W1004" s="205" t="s">
        <v>233</v>
      </c>
      <c r="X1004" s="205" t="s">
        <v>233</v>
      </c>
      <c r="Y1004" s="206" t="s">
        <v>233</v>
      </c>
      <c r="Z1004" s="205" t="s">
        <v>233</v>
      </c>
      <c r="AA1004" s="205" t="s">
        <v>233</v>
      </c>
      <c r="AB1004" s="205" t="s">
        <v>233</v>
      </c>
      <c r="AC1004" s="206" t="s">
        <v>240</v>
      </c>
      <c r="AD1004" s="205" t="s">
        <v>233</v>
      </c>
      <c r="AE1004" s="206" t="s">
        <v>240</v>
      </c>
      <c r="AF1004" s="212">
        <v>0</v>
      </c>
      <c r="AG1004" s="93">
        <v>1</v>
      </c>
      <c r="AH1004" s="93">
        <v>1</v>
      </c>
      <c r="AI1004" s="93">
        <v>1</v>
      </c>
      <c r="AJ1004" s="93">
        <v>1</v>
      </c>
      <c r="AK1004" s="93">
        <v>0</v>
      </c>
    </row>
    <row r="1005" spans="1:37" s="100" customFormat="1" outlineLevel="1">
      <c r="A1005" s="63">
        <v>998</v>
      </c>
      <c r="B1005" s="93" t="s">
        <v>379</v>
      </c>
      <c r="C1005" s="93" t="s">
        <v>380</v>
      </c>
      <c r="D1005" s="94" t="s">
        <v>614</v>
      </c>
      <c r="E1005" s="93">
        <v>38</v>
      </c>
      <c r="F1005" s="99" t="s">
        <v>191</v>
      </c>
      <c r="G1005" s="93"/>
      <c r="H1005" s="102" t="s">
        <v>641</v>
      </c>
      <c r="I1005" s="93" t="s">
        <v>383</v>
      </c>
      <c r="J1005" s="93"/>
      <c r="K1005" s="96" t="s">
        <v>384</v>
      </c>
      <c r="L1005" s="93" t="s">
        <v>232</v>
      </c>
      <c r="M1005" s="97">
        <v>1911</v>
      </c>
      <c r="N1005" s="64" t="s">
        <v>385</v>
      </c>
      <c r="O1005" s="202">
        <v>4.5999999999999996</v>
      </c>
      <c r="P1005" s="196">
        <v>0</v>
      </c>
      <c r="Q1005" s="202">
        <v>5</v>
      </c>
      <c r="R1005" s="19">
        <v>34</v>
      </c>
      <c r="S1005" s="19">
        <v>5307</v>
      </c>
      <c r="T1005" s="19">
        <v>4608</v>
      </c>
      <c r="U1005" s="93">
        <v>4026</v>
      </c>
      <c r="V1005" s="98">
        <v>743</v>
      </c>
      <c r="W1005" s="205" t="s">
        <v>233</v>
      </c>
      <c r="X1005" s="205" t="s">
        <v>233</v>
      </c>
      <c r="Y1005" s="206" t="s">
        <v>233</v>
      </c>
      <c r="Z1005" s="205" t="s">
        <v>233</v>
      </c>
      <c r="AA1005" s="205" t="s">
        <v>233</v>
      </c>
      <c r="AB1005" s="205" t="s">
        <v>233</v>
      </c>
      <c r="AC1005" s="206" t="s">
        <v>240</v>
      </c>
      <c r="AD1005" s="205" t="s">
        <v>233</v>
      </c>
      <c r="AE1005" s="206" t="s">
        <v>240</v>
      </c>
      <c r="AF1005" s="212">
        <v>2</v>
      </c>
      <c r="AG1005" s="93">
        <v>1</v>
      </c>
      <c r="AH1005" s="93">
        <v>1</v>
      </c>
      <c r="AI1005" s="93">
        <v>0</v>
      </c>
      <c r="AJ1005" s="93">
        <v>0</v>
      </c>
      <c r="AK1005" s="93">
        <v>0</v>
      </c>
    </row>
    <row r="1006" spans="1:37" s="100" customFormat="1" outlineLevel="1">
      <c r="A1006" s="63">
        <v>999</v>
      </c>
      <c r="B1006" s="93" t="s">
        <v>379</v>
      </c>
      <c r="C1006" s="93" t="s">
        <v>380</v>
      </c>
      <c r="D1006" s="94" t="s">
        <v>614</v>
      </c>
      <c r="E1006" s="96" t="s">
        <v>642</v>
      </c>
      <c r="F1006" s="99" t="s">
        <v>191</v>
      </c>
      <c r="G1006" s="93"/>
      <c r="H1006" s="102" t="s">
        <v>643</v>
      </c>
      <c r="I1006" s="93" t="s">
        <v>383</v>
      </c>
      <c r="J1006" s="93"/>
      <c r="K1006" s="96" t="s">
        <v>384</v>
      </c>
      <c r="L1006" s="93" t="s">
        <v>232</v>
      </c>
      <c r="M1006" s="97">
        <v>1879</v>
      </c>
      <c r="N1006" s="64" t="s">
        <v>385</v>
      </c>
      <c r="O1006" s="202">
        <v>5</v>
      </c>
      <c r="P1006" s="196">
        <v>0</v>
      </c>
      <c r="Q1006" s="202">
        <v>9</v>
      </c>
      <c r="R1006" s="19">
        <v>61</v>
      </c>
      <c r="S1006" s="19">
        <v>6484</v>
      </c>
      <c r="T1006" s="19">
        <v>5710</v>
      </c>
      <c r="U1006" s="93">
        <v>4892</v>
      </c>
      <c r="V1006" s="98">
        <v>816</v>
      </c>
      <c r="W1006" s="205" t="s">
        <v>233</v>
      </c>
      <c r="X1006" s="205" t="s">
        <v>233</v>
      </c>
      <c r="Y1006" s="206" t="s">
        <v>233</v>
      </c>
      <c r="Z1006" s="205" t="s">
        <v>233</v>
      </c>
      <c r="AA1006" s="205" t="s">
        <v>233</v>
      </c>
      <c r="AB1006" s="205" t="s">
        <v>233</v>
      </c>
      <c r="AC1006" s="206" t="s">
        <v>240</v>
      </c>
      <c r="AD1006" s="205" t="s">
        <v>233</v>
      </c>
      <c r="AE1006" s="206" t="s">
        <v>240</v>
      </c>
      <c r="AF1006" s="212">
        <v>0</v>
      </c>
      <c r="AG1006" s="93">
        <v>1</v>
      </c>
      <c r="AH1006" s="93">
        <v>1</v>
      </c>
      <c r="AI1006" s="93">
        <v>0</v>
      </c>
      <c r="AJ1006" s="93">
        <v>0</v>
      </c>
      <c r="AK1006" s="93">
        <v>0</v>
      </c>
    </row>
    <row r="1007" spans="1:37" s="100" customFormat="1" outlineLevel="1">
      <c r="A1007" s="63">
        <v>1000</v>
      </c>
      <c r="B1007" s="93" t="s">
        <v>379</v>
      </c>
      <c r="C1007" s="93" t="s">
        <v>380</v>
      </c>
      <c r="D1007" s="94" t="s">
        <v>614</v>
      </c>
      <c r="E1007" s="93">
        <v>40</v>
      </c>
      <c r="F1007" s="99" t="s">
        <v>191</v>
      </c>
      <c r="G1007" s="93"/>
      <c r="H1007" s="102" t="s">
        <v>644</v>
      </c>
      <c r="I1007" s="93" t="s">
        <v>383</v>
      </c>
      <c r="J1007" s="93"/>
      <c r="K1007" s="96" t="s">
        <v>384</v>
      </c>
      <c r="L1007" s="93" t="s">
        <v>232</v>
      </c>
      <c r="M1007" s="97">
        <v>1881</v>
      </c>
      <c r="N1007" s="64" t="s">
        <v>385</v>
      </c>
      <c r="O1007" s="202">
        <v>4</v>
      </c>
      <c r="P1007" s="196">
        <v>0</v>
      </c>
      <c r="Q1007" s="202">
        <v>2</v>
      </c>
      <c r="R1007" s="19">
        <v>8</v>
      </c>
      <c r="S1007" s="19">
        <v>1040</v>
      </c>
      <c r="T1007" s="19">
        <v>916</v>
      </c>
      <c r="U1007" s="93">
        <v>691</v>
      </c>
      <c r="V1007" s="98">
        <v>225</v>
      </c>
      <c r="W1007" s="205" t="s">
        <v>233</v>
      </c>
      <c r="X1007" s="205" t="s">
        <v>233</v>
      </c>
      <c r="Y1007" s="206" t="s">
        <v>233</v>
      </c>
      <c r="Z1007" s="205" t="s">
        <v>233</v>
      </c>
      <c r="AA1007" s="205" t="s">
        <v>233</v>
      </c>
      <c r="AB1007" s="205" t="s">
        <v>233</v>
      </c>
      <c r="AC1007" s="206" t="s">
        <v>240</v>
      </c>
      <c r="AD1007" s="205" t="s">
        <v>233</v>
      </c>
      <c r="AE1007" s="206" t="s">
        <v>240</v>
      </c>
      <c r="AF1007" s="212">
        <v>0</v>
      </c>
      <c r="AG1007" s="93">
        <v>1</v>
      </c>
      <c r="AH1007" s="93">
        <v>0</v>
      </c>
      <c r="AI1007" s="93">
        <v>0</v>
      </c>
      <c r="AJ1007" s="93">
        <v>0</v>
      </c>
      <c r="AK1007" s="93">
        <v>0</v>
      </c>
    </row>
    <row r="1008" spans="1:37" s="100" customFormat="1" outlineLevel="1">
      <c r="A1008" s="63">
        <v>1001</v>
      </c>
      <c r="B1008" s="93" t="s">
        <v>379</v>
      </c>
      <c r="C1008" s="93" t="s">
        <v>380</v>
      </c>
      <c r="D1008" s="94" t="s">
        <v>614</v>
      </c>
      <c r="E1008" s="93">
        <v>41</v>
      </c>
      <c r="F1008" s="99" t="s">
        <v>191</v>
      </c>
      <c r="G1008" s="93"/>
      <c r="H1008" s="102" t="s">
        <v>645</v>
      </c>
      <c r="I1008" s="93" t="s">
        <v>383</v>
      </c>
      <c r="J1008" s="93"/>
      <c r="K1008" s="96" t="s">
        <v>384</v>
      </c>
      <c r="L1008" s="93" t="s">
        <v>232</v>
      </c>
      <c r="M1008" s="97">
        <v>1898</v>
      </c>
      <c r="N1008" s="64" t="s">
        <v>385</v>
      </c>
      <c r="O1008" s="202">
        <v>3.5</v>
      </c>
      <c r="P1008" s="196">
        <v>0</v>
      </c>
      <c r="Q1008" s="202">
        <v>1</v>
      </c>
      <c r="R1008" s="19">
        <v>11</v>
      </c>
      <c r="S1008" s="19">
        <v>853</v>
      </c>
      <c r="T1008" s="19">
        <v>706</v>
      </c>
      <c r="U1008" s="93">
        <v>695</v>
      </c>
      <c r="V1008" s="98">
        <v>54</v>
      </c>
      <c r="W1008" s="205" t="s">
        <v>233</v>
      </c>
      <c r="X1008" s="205" t="s">
        <v>233</v>
      </c>
      <c r="Y1008" s="206" t="s">
        <v>233</v>
      </c>
      <c r="Z1008" s="205" t="s">
        <v>233</v>
      </c>
      <c r="AA1008" s="205" t="s">
        <v>233</v>
      </c>
      <c r="AB1008" s="205" t="s">
        <v>233</v>
      </c>
      <c r="AC1008" s="206" t="s">
        <v>240</v>
      </c>
      <c r="AD1008" s="205" t="s">
        <v>233</v>
      </c>
      <c r="AE1008" s="206" t="s">
        <v>240</v>
      </c>
      <c r="AF1008" s="212">
        <v>0</v>
      </c>
      <c r="AG1008" s="93">
        <v>1</v>
      </c>
      <c r="AH1008" s="93">
        <v>1</v>
      </c>
      <c r="AI1008" s="93">
        <v>1</v>
      </c>
      <c r="AJ1008" s="93">
        <v>1</v>
      </c>
      <c r="AK1008" s="93">
        <v>0</v>
      </c>
    </row>
    <row r="1009" spans="1:37" s="100" customFormat="1" outlineLevel="1">
      <c r="A1009" s="63">
        <v>1002</v>
      </c>
      <c r="B1009" s="93" t="s">
        <v>379</v>
      </c>
      <c r="C1009" s="93" t="s">
        <v>380</v>
      </c>
      <c r="D1009" s="94" t="s">
        <v>614</v>
      </c>
      <c r="E1009" s="93">
        <v>41</v>
      </c>
      <c r="F1009" s="99" t="s">
        <v>231</v>
      </c>
      <c r="G1009" s="93"/>
      <c r="H1009" s="102" t="s">
        <v>646</v>
      </c>
      <c r="I1009" s="93" t="s">
        <v>383</v>
      </c>
      <c r="J1009" s="93"/>
      <c r="K1009" s="96" t="s">
        <v>384</v>
      </c>
      <c r="L1009" s="93" t="s">
        <v>232</v>
      </c>
      <c r="M1009" s="97">
        <v>1898</v>
      </c>
      <c r="N1009" s="64" t="s">
        <v>385</v>
      </c>
      <c r="O1009" s="202">
        <v>3</v>
      </c>
      <c r="P1009" s="196">
        <v>0</v>
      </c>
      <c r="Q1009" s="202">
        <v>1</v>
      </c>
      <c r="R1009" s="19">
        <v>3</v>
      </c>
      <c r="S1009" s="19">
        <v>233</v>
      </c>
      <c r="T1009" s="19">
        <v>199</v>
      </c>
      <c r="U1009" s="93">
        <v>77</v>
      </c>
      <c r="V1009" s="98">
        <v>104</v>
      </c>
      <c r="W1009" s="205" t="s">
        <v>233</v>
      </c>
      <c r="X1009" s="205" t="s">
        <v>233</v>
      </c>
      <c r="Y1009" s="206" t="s">
        <v>233</v>
      </c>
      <c r="Z1009" s="205" t="s">
        <v>233</v>
      </c>
      <c r="AA1009" s="205" t="s">
        <v>233</v>
      </c>
      <c r="AB1009" s="205" t="s">
        <v>233</v>
      </c>
      <c r="AC1009" s="206" t="s">
        <v>240</v>
      </c>
      <c r="AD1009" s="205" t="s">
        <v>233</v>
      </c>
      <c r="AE1009" s="206" t="s">
        <v>240</v>
      </c>
      <c r="AF1009" s="212">
        <v>0</v>
      </c>
      <c r="AG1009" s="93">
        <v>1</v>
      </c>
      <c r="AH1009" s="93">
        <v>0</v>
      </c>
      <c r="AI1009" s="93">
        <v>0</v>
      </c>
      <c r="AJ1009" s="93">
        <v>0</v>
      </c>
      <c r="AK1009" s="93">
        <v>0</v>
      </c>
    </row>
    <row r="1010" spans="1:37" s="100" customFormat="1" outlineLevel="1">
      <c r="A1010" s="63">
        <v>1003</v>
      </c>
      <c r="B1010" s="93" t="s">
        <v>379</v>
      </c>
      <c r="C1010" s="93" t="s">
        <v>380</v>
      </c>
      <c r="D1010" s="94" t="s">
        <v>614</v>
      </c>
      <c r="E1010" s="93">
        <v>42</v>
      </c>
      <c r="F1010" s="99" t="s">
        <v>191</v>
      </c>
      <c r="G1010" s="93"/>
      <c r="H1010" s="102" t="s">
        <v>647</v>
      </c>
      <c r="I1010" s="93" t="s">
        <v>383</v>
      </c>
      <c r="J1010" s="93"/>
      <c r="K1010" s="96" t="s">
        <v>384</v>
      </c>
      <c r="L1010" s="93" t="s">
        <v>232</v>
      </c>
      <c r="M1010" s="97">
        <v>1904</v>
      </c>
      <c r="N1010" s="64" t="s">
        <v>385</v>
      </c>
      <c r="O1010" s="202">
        <v>5</v>
      </c>
      <c r="P1010" s="196">
        <v>0</v>
      </c>
      <c r="Q1010" s="202">
        <v>3</v>
      </c>
      <c r="R1010" s="19">
        <v>39</v>
      </c>
      <c r="S1010" s="19">
        <v>3569</v>
      </c>
      <c r="T1010" s="19">
        <v>3239</v>
      </c>
      <c r="U1010" s="93">
        <v>2919</v>
      </c>
      <c r="V1010" s="98">
        <v>338</v>
      </c>
      <c r="W1010" s="205" t="s">
        <v>233</v>
      </c>
      <c r="X1010" s="205" t="s">
        <v>233</v>
      </c>
      <c r="Y1010" s="206" t="s">
        <v>233</v>
      </c>
      <c r="Z1010" s="205" t="s">
        <v>233</v>
      </c>
      <c r="AA1010" s="205" t="s">
        <v>233</v>
      </c>
      <c r="AB1010" s="205" t="s">
        <v>233</v>
      </c>
      <c r="AC1010" s="206" t="s">
        <v>240</v>
      </c>
      <c r="AD1010" s="205" t="s">
        <v>233</v>
      </c>
      <c r="AE1010" s="206" t="s">
        <v>240</v>
      </c>
      <c r="AF1010" s="212">
        <v>0</v>
      </c>
      <c r="AG1010" s="93">
        <v>1</v>
      </c>
      <c r="AH1010" s="93">
        <v>1</v>
      </c>
      <c r="AI1010" s="93">
        <v>1</v>
      </c>
      <c r="AJ1010" s="93">
        <v>1</v>
      </c>
      <c r="AK1010" s="93">
        <v>0</v>
      </c>
    </row>
    <row r="1011" spans="1:37" s="100" customFormat="1" outlineLevel="1">
      <c r="A1011" s="63">
        <v>1004</v>
      </c>
      <c r="B1011" s="93" t="s">
        <v>379</v>
      </c>
      <c r="C1011" s="93" t="s">
        <v>380</v>
      </c>
      <c r="D1011" s="94" t="s">
        <v>614</v>
      </c>
      <c r="E1011" s="93">
        <v>43</v>
      </c>
      <c r="F1011" s="99" t="s">
        <v>191</v>
      </c>
      <c r="G1011" s="93"/>
      <c r="H1011" s="102" t="s">
        <v>648</v>
      </c>
      <c r="I1011" s="93" t="s">
        <v>383</v>
      </c>
      <c r="J1011" s="93"/>
      <c r="K1011" s="96" t="s">
        <v>384</v>
      </c>
      <c r="L1011" s="93" t="s">
        <v>232</v>
      </c>
      <c r="M1011" s="97">
        <v>1917</v>
      </c>
      <c r="N1011" s="64" t="s">
        <v>385</v>
      </c>
      <c r="O1011" s="202">
        <v>5</v>
      </c>
      <c r="P1011" s="196">
        <v>0</v>
      </c>
      <c r="Q1011" s="202">
        <v>1</v>
      </c>
      <c r="R1011" s="19">
        <v>32</v>
      </c>
      <c r="S1011" s="19">
        <v>2437</v>
      </c>
      <c r="T1011" s="19">
        <v>2225</v>
      </c>
      <c r="U1011" s="93">
        <v>2229</v>
      </c>
      <c r="V1011" s="98">
        <v>0</v>
      </c>
      <c r="W1011" s="205" t="s">
        <v>233</v>
      </c>
      <c r="X1011" s="205" t="s">
        <v>233</v>
      </c>
      <c r="Y1011" s="206" t="s">
        <v>233</v>
      </c>
      <c r="Z1011" s="205" t="s">
        <v>233</v>
      </c>
      <c r="AA1011" s="205" t="s">
        <v>233</v>
      </c>
      <c r="AB1011" s="205" t="s">
        <v>233</v>
      </c>
      <c r="AC1011" s="206" t="s">
        <v>240</v>
      </c>
      <c r="AD1011" s="205" t="s">
        <v>233</v>
      </c>
      <c r="AE1011" s="206" t="s">
        <v>240</v>
      </c>
      <c r="AF1011" s="212">
        <v>1</v>
      </c>
      <c r="AG1011" s="93">
        <v>1</v>
      </c>
      <c r="AH1011" s="93">
        <v>1</v>
      </c>
      <c r="AI1011" s="93">
        <v>0</v>
      </c>
      <c r="AJ1011" s="93">
        <v>0</v>
      </c>
      <c r="AK1011" s="93">
        <v>0</v>
      </c>
    </row>
    <row r="1012" spans="1:37" s="100" customFormat="1" outlineLevel="1">
      <c r="A1012" s="63">
        <v>1005</v>
      </c>
      <c r="B1012" s="93" t="s">
        <v>379</v>
      </c>
      <c r="C1012" s="93" t="s">
        <v>380</v>
      </c>
      <c r="D1012" s="94" t="s">
        <v>614</v>
      </c>
      <c r="E1012" s="96" t="s">
        <v>649</v>
      </c>
      <c r="F1012" s="99" t="s">
        <v>191</v>
      </c>
      <c r="G1012" s="93"/>
      <c r="H1012" s="102" t="s">
        <v>650</v>
      </c>
      <c r="I1012" s="93" t="s">
        <v>383</v>
      </c>
      <c r="J1012" s="93"/>
      <c r="K1012" s="96" t="s">
        <v>384</v>
      </c>
      <c r="L1012" s="93" t="s">
        <v>232</v>
      </c>
      <c r="M1012" s="97">
        <v>1882</v>
      </c>
      <c r="N1012" s="64" t="s">
        <v>385</v>
      </c>
      <c r="O1012" s="202">
        <v>4</v>
      </c>
      <c r="P1012" s="196">
        <v>0</v>
      </c>
      <c r="Q1012" s="202">
        <v>4</v>
      </c>
      <c r="R1012" s="19">
        <v>41</v>
      </c>
      <c r="S1012" s="19">
        <v>3878</v>
      </c>
      <c r="T1012" s="19">
        <v>3523</v>
      </c>
      <c r="U1012" s="93">
        <v>3376</v>
      </c>
      <c r="V1012" s="19">
        <v>159</v>
      </c>
      <c r="W1012" s="205" t="s">
        <v>233</v>
      </c>
      <c r="X1012" s="205" t="s">
        <v>233</v>
      </c>
      <c r="Y1012" s="206" t="s">
        <v>233</v>
      </c>
      <c r="Z1012" s="205" t="s">
        <v>233</v>
      </c>
      <c r="AA1012" s="205" t="s">
        <v>233</v>
      </c>
      <c r="AB1012" s="205" t="s">
        <v>233</v>
      </c>
      <c r="AC1012" s="206" t="s">
        <v>240</v>
      </c>
      <c r="AD1012" s="205" t="s">
        <v>233</v>
      </c>
      <c r="AE1012" s="206" t="s">
        <v>240</v>
      </c>
      <c r="AF1012" s="212">
        <v>0</v>
      </c>
      <c r="AG1012" s="93">
        <v>1</v>
      </c>
      <c r="AH1012" s="93">
        <v>1</v>
      </c>
      <c r="AI1012" s="93">
        <v>0</v>
      </c>
      <c r="AJ1012" s="93">
        <v>0</v>
      </c>
      <c r="AK1012" s="93">
        <v>0</v>
      </c>
    </row>
    <row r="1013" spans="1:37" s="100" customFormat="1" outlineLevel="1">
      <c r="A1013" s="63">
        <v>1006</v>
      </c>
      <c r="B1013" s="93" t="s">
        <v>379</v>
      </c>
      <c r="C1013" s="93" t="s">
        <v>380</v>
      </c>
      <c r="D1013" s="94" t="s">
        <v>614</v>
      </c>
      <c r="E1013" s="93">
        <v>45</v>
      </c>
      <c r="F1013" s="99" t="s">
        <v>191</v>
      </c>
      <c r="G1013" s="93"/>
      <c r="H1013" s="102" t="s">
        <v>651</v>
      </c>
      <c r="I1013" s="93" t="s">
        <v>383</v>
      </c>
      <c r="J1013" s="93"/>
      <c r="K1013" s="96" t="s">
        <v>384</v>
      </c>
      <c r="L1013" s="93" t="s">
        <v>232</v>
      </c>
      <c r="M1013" s="97">
        <v>1917</v>
      </c>
      <c r="N1013" s="64" t="s">
        <v>385</v>
      </c>
      <c r="O1013" s="202">
        <v>5</v>
      </c>
      <c r="P1013" s="196">
        <v>0</v>
      </c>
      <c r="Q1013" s="202">
        <v>4</v>
      </c>
      <c r="R1013" s="19">
        <v>32</v>
      </c>
      <c r="S1013" s="19">
        <v>3282</v>
      </c>
      <c r="T1013" s="19">
        <v>2532</v>
      </c>
      <c r="U1013" s="93">
        <v>2474</v>
      </c>
      <c r="V1013" s="19">
        <v>96</v>
      </c>
      <c r="W1013" s="205" t="s">
        <v>233</v>
      </c>
      <c r="X1013" s="205" t="s">
        <v>233</v>
      </c>
      <c r="Y1013" s="206" t="s">
        <v>233</v>
      </c>
      <c r="Z1013" s="205" t="s">
        <v>233</v>
      </c>
      <c r="AA1013" s="205" t="s">
        <v>233</v>
      </c>
      <c r="AB1013" s="205" t="s">
        <v>233</v>
      </c>
      <c r="AC1013" s="206" t="s">
        <v>240</v>
      </c>
      <c r="AD1013" s="205" t="s">
        <v>233</v>
      </c>
      <c r="AE1013" s="206" t="s">
        <v>240</v>
      </c>
      <c r="AF1013" s="212">
        <v>0</v>
      </c>
      <c r="AG1013" s="93">
        <v>1</v>
      </c>
      <c r="AH1013" s="93">
        <v>1</v>
      </c>
      <c r="AI1013" s="93">
        <v>0</v>
      </c>
      <c r="AJ1013" s="93">
        <v>0</v>
      </c>
      <c r="AK1013" s="93">
        <v>0</v>
      </c>
    </row>
    <row r="1014" spans="1:37" s="100" customFormat="1" outlineLevel="1">
      <c r="A1014" s="63">
        <v>1007</v>
      </c>
      <c r="B1014" s="93" t="s">
        <v>379</v>
      </c>
      <c r="C1014" s="93" t="s">
        <v>380</v>
      </c>
      <c r="D1014" s="94" t="s">
        <v>614</v>
      </c>
      <c r="E1014" s="93">
        <v>50</v>
      </c>
      <c r="F1014" s="99" t="s">
        <v>191</v>
      </c>
      <c r="G1014" s="93"/>
      <c r="H1014" s="102" t="s">
        <v>652</v>
      </c>
      <c r="I1014" s="93" t="s">
        <v>383</v>
      </c>
      <c r="J1014" s="93"/>
      <c r="K1014" s="96" t="s">
        <v>384</v>
      </c>
      <c r="L1014" s="93" t="s">
        <v>232</v>
      </c>
      <c r="M1014" s="97">
        <v>1917</v>
      </c>
      <c r="N1014" s="64" t="s">
        <v>385</v>
      </c>
      <c r="O1014" s="202">
        <v>3</v>
      </c>
      <c r="P1014" s="196">
        <v>0</v>
      </c>
      <c r="Q1014" s="202">
        <v>3</v>
      </c>
      <c r="R1014" s="19">
        <v>17</v>
      </c>
      <c r="S1014" s="19">
        <v>1937</v>
      </c>
      <c r="T1014" s="19">
        <v>1677</v>
      </c>
      <c r="U1014" s="93">
        <v>1353</v>
      </c>
      <c r="V1014" s="19">
        <v>428</v>
      </c>
      <c r="W1014" s="205" t="s">
        <v>233</v>
      </c>
      <c r="X1014" s="205" t="s">
        <v>233</v>
      </c>
      <c r="Y1014" s="206" t="s">
        <v>233</v>
      </c>
      <c r="Z1014" s="205" t="s">
        <v>233</v>
      </c>
      <c r="AA1014" s="205" t="s">
        <v>233</v>
      </c>
      <c r="AB1014" s="205" t="s">
        <v>233</v>
      </c>
      <c r="AC1014" s="206" t="s">
        <v>240</v>
      </c>
      <c r="AD1014" s="205" t="s">
        <v>233</v>
      </c>
      <c r="AE1014" s="206" t="s">
        <v>240</v>
      </c>
      <c r="AF1014" s="212">
        <v>0</v>
      </c>
      <c r="AG1014" s="93">
        <v>1</v>
      </c>
      <c r="AH1014" s="93">
        <v>1</v>
      </c>
      <c r="AI1014" s="93">
        <v>0</v>
      </c>
      <c r="AJ1014" s="93">
        <v>0</v>
      </c>
      <c r="AK1014" s="93">
        <v>0</v>
      </c>
    </row>
    <row r="1015" spans="1:37" s="100" customFormat="1" outlineLevel="1">
      <c r="A1015" s="63">
        <v>1008</v>
      </c>
      <c r="B1015" s="93" t="s">
        <v>379</v>
      </c>
      <c r="C1015" s="93" t="s">
        <v>380</v>
      </c>
      <c r="D1015" s="94" t="s">
        <v>614</v>
      </c>
      <c r="E1015" s="93">
        <v>50</v>
      </c>
      <c r="F1015" s="99" t="s">
        <v>231</v>
      </c>
      <c r="G1015" s="93"/>
      <c r="H1015" s="102" t="s">
        <v>653</v>
      </c>
      <c r="I1015" s="93" t="s">
        <v>383</v>
      </c>
      <c r="J1015" s="93"/>
      <c r="K1015" s="96" t="s">
        <v>384</v>
      </c>
      <c r="L1015" s="93" t="s">
        <v>232</v>
      </c>
      <c r="M1015" s="97">
        <v>1917</v>
      </c>
      <c r="N1015" s="64" t="s">
        <v>385</v>
      </c>
      <c r="O1015" s="202">
        <v>2</v>
      </c>
      <c r="P1015" s="196">
        <v>0</v>
      </c>
      <c r="Q1015" s="202">
        <v>1</v>
      </c>
      <c r="R1015" s="19">
        <v>4</v>
      </c>
      <c r="S1015" s="19">
        <v>350</v>
      </c>
      <c r="T1015" s="19">
        <v>302</v>
      </c>
      <c r="U1015" s="93">
        <v>222</v>
      </c>
      <c r="V1015" s="19">
        <v>99</v>
      </c>
      <c r="W1015" s="205" t="s">
        <v>233</v>
      </c>
      <c r="X1015" s="205" t="s">
        <v>233</v>
      </c>
      <c r="Y1015" s="206" t="s">
        <v>233</v>
      </c>
      <c r="Z1015" s="205" t="s">
        <v>233</v>
      </c>
      <c r="AA1015" s="205" t="s">
        <v>233</v>
      </c>
      <c r="AB1015" s="205" t="s">
        <v>233</v>
      </c>
      <c r="AC1015" s="206" t="s">
        <v>240</v>
      </c>
      <c r="AD1015" s="205" t="s">
        <v>233</v>
      </c>
      <c r="AE1015" s="206" t="s">
        <v>240</v>
      </c>
      <c r="AF1015" s="212">
        <v>0</v>
      </c>
      <c r="AG1015" s="93">
        <v>1</v>
      </c>
      <c r="AH1015" s="93">
        <v>0</v>
      </c>
      <c r="AI1015" s="93">
        <v>0</v>
      </c>
      <c r="AJ1015" s="93">
        <v>0</v>
      </c>
      <c r="AK1015" s="93">
        <v>0</v>
      </c>
    </row>
    <row r="1016" spans="1:37" s="100" customFormat="1" outlineLevel="1">
      <c r="A1016" s="63">
        <v>1009</v>
      </c>
      <c r="B1016" s="93" t="s">
        <v>379</v>
      </c>
      <c r="C1016" s="93" t="s">
        <v>380</v>
      </c>
      <c r="D1016" s="94" t="s">
        <v>654</v>
      </c>
      <c r="E1016" s="93">
        <v>3</v>
      </c>
      <c r="F1016" s="99" t="s">
        <v>231</v>
      </c>
      <c r="G1016" s="93"/>
      <c r="H1016" s="102" t="s">
        <v>655</v>
      </c>
      <c r="I1016" s="93" t="s">
        <v>383</v>
      </c>
      <c r="J1016" s="93"/>
      <c r="K1016" s="96" t="s">
        <v>384</v>
      </c>
      <c r="L1016" s="93" t="s">
        <v>232</v>
      </c>
      <c r="M1016" s="97">
        <v>1906</v>
      </c>
      <c r="N1016" s="64" t="s">
        <v>385</v>
      </c>
      <c r="O1016" s="202">
        <v>2.4</v>
      </c>
      <c r="P1016" s="196">
        <v>0</v>
      </c>
      <c r="Q1016" s="202">
        <v>2</v>
      </c>
      <c r="R1016" s="19">
        <v>5</v>
      </c>
      <c r="S1016" s="19">
        <v>919</v>
      </c>
      <c r="T1016" s="19">
        <v>803</v>
      </c>
      <c r="U1016" s="93">
        <v>472</v>
      </c>
      <c r="V1016" s="19">
        <v>343</v>
      </c>
      <c r="W1016" s="205" t="s">
        <v>233</v>
      </c>
      <c r="X1016" s="205" t="s">
        <v>233</v>
      </c>
      <c r="Y1016" s="206" t="s">
        <v>240</v>
      </c>
      <c r="Z1016" s="205" t="s">
        <v>233</v>
      </c>
      <c r="AA1016" s="205" t="s">
        <v>233</v>
      </c>
      <c r="AB1016" s="205" t="s">
        <v>233</v>
      </c>
      <c r="AC1016" s="206" t="s">
        <v>233</v>
      </c>
      <c r="AD1016" s="205" t="s">
        <v>233</v>
      </c>
      <c r="AE1016" s="206" t="s">
        <v>240</v>
      </c>
      <c r="AF1016" s="212">
        <v>0</v>
      </c>
      <c r="AG1016" s="93">
        <v>1</v>
      </c>
      <c r="AH1016" s="93">
        <v>0</v>
      </c>
      <c r="AI1016" s="93">
        <v>0</v>
      </c>
      <c r="AJ1016" s="93">
        <v>1</v>
      </c>
      <c r="AK1016" s="93">
        <v>0</v>
      </c>
    </row>
    <row r="1017" spans="1:37" s="100" customFormat="1" outlineLevel="1">
      <c r="A1017" s="63">
        <v>1010</v>
      </c>
      <c r="B1017" s="93" t="s">
        <v>379</v>
      </c>
      <c r="C1017" s="93" t="s">
        <v>380</v>
      </c>
      <c r="D1017" s="94" t="s">
        <v>654</v>
      </c>
      <c r="E1017" s="93">
        <v>3</v>
      </c>
      <c r="F1017" s="99" t="s">
        <v>191</v>
      </c>
      <c r="G1017" s="93"/>
      <c r="H1017" s="102" t="s">
        <v>656</v>
      </c>
      <c r="I1017" s="93" t="s">
        <v>383</v>
      </c>
      <c r="J1017" s="93"/>
      <c r="K1017" s="96" t="s">
        <v>384</v>
      </c>
      <c r="L1017" s="93" t="s">
        <v>232</v>
      </c>
      <c r="M1017" s="97">
        <v>1906</v>
      </c>
      <c r="N1017" s="64" t="s">
        <v>385</v>
      </c>
      <c r="O1017" s="202">
        <v>4</v>
      </c>
      <c r="P1017" s="196">
        <v>0</v>
      </c>
      <c r="Q1017" s="202">
        <v>4</v>
      </c>
      <c r="R1017" s="19">
        <v>18</v>
      </c>
      <c r="S1017" s="19">
        <v>2190</v>
      </c>
      <c r="T1017" s="19">
        <v>1684</v>
      </c>
      <c r="U1017" s="93">
        <v>1355</v>
      </c>
      <c r="V1017" s="19">
        <v>328</v>
      </c>
      <c r="W1017" s="205" t="s">
        <v>233</v>
      </c>
      <c r="X1017" s="205" t="s">
        <v>233</v>
      </c>
      <c r="Y1017" s="206" t="s">
        <v>240</v>
      </c>
      <c r="Z1017" s="205" t="s">
        <v>233</v>
      </c>
      <c r="AA1017" s="205" t="s">
        <v>233</v>
      </c>
      <c r="AB1017" s="205" t="s">
        <v>233</v>
      </c>
      <c r="AC1017" s="206" t="s">
        <v>233</v>
      </c>
      <c r="AD1017" s="205" t="s">
        <v>233</v>
      </c>
      <c r="AE1017" s="206" t="s">
        <v>240</v>
      </c>
      <c r="AF1017" s="212">
        <v>0</v>
      </c>
      <c r="AG1017" s="93">
        <v>1</v>
      </c>
      <c r="AH1017" s="93">
        <v>1</v>
      </c>
      <c r="AI1017" s="93">
        <v>0</v>
      </c>
      <c r="AJ1017" s="93">
        <v>1</v>
      </c>
      <c r="AK1017" s="93">
        <v>0</v>
      </c>
    </row>
    <row r="1018" spans="1:37" s="100" customFormat="1" outlineLevel="1">
      <c r="A1018" s="63">
        <v>1011</v>
      </c>
      <c r="B1018" s="93" t="s">
        <v>379</v>
      </c>
      <c r="C1018" s="93" t="s">
        <v>380</v>
      </c>
      <c r="D1018" s="94" t="s">
        <v>654</v>
      </c>
      <c r="E1018" s="93">
        <v>5</v>
      </c>
      <c r="F1018" s="99" t="s">
        <v>231</v>
      </c>
      <c r="G1018" s="93"/>
      <c r="H1018" s="102" t="s">
        <v>657</v>
      </c>
      <c r="I1018" s="93" t="s">
        <v>383</v>
      </c>
      <c r="J1018" s="93"/>
      <c r="K1018" s="96" t="s">
        <v>384</v>
      </c>
      <c r="L1018" s="93" t="s">
        <v>232</v>
      </c>
      <c r="M1018" s="97">
        <v>1906</v>
      </c>
      <c r="N1018" s="64" t="s">
        <v>385</v>
      </c>
      <c r="O1018" s="202">
        <v>3</v>
      </c>
      <c r="P1018" s="196">
        <v>0</v>
      </c>
      <c r="Q1018" s="202">
        <v>1</v>
      </c>
      <c r="R1018" s="19">
        <v>6</v>
      </c>
      <c r="S1018" s="19">
        <v>884</v>
      </c>
      <c r="T1018" s="19">
        <v>665</v>
      </c>
      <c r="U1018" s="93">
        <v>809</v>
      </c>
      <c r="V1018" s="19">
        <v>0</v>
      </c>
      <c r="W1018" s="205" t="s">
        <v>233</v>
      </c>
      <c r="X1018" s="205" t="s">
        <v>233</v>
      </c>
      <c r="Y1018" s="206" t="s">
        <v>240</v>
      </c>
      <c r="Z1018" s="205" t="s">
        <v>233</v>
      </c>
      <c r="AA1018" s="205" t="s">
        <v>233</v>
      </c>
      <c r="AB1018" s="205" t="s">
        <v>233</v>
      </c>
      <c r="AC1018" s="206" t="s">
        <v>233</v>
      </c>
      <c r="AD1018" s="205" t="s">
        <v>233</v>
      </c>
      <c r="AE1018" s="206" t="s">
        <v>240</v>
      </c>
      <c r="AF1018" s="212">
        <v>0</v>
      </c>
      <c r="AG1018" s="93">
        <v>1</v>
      </c>
      <c r="AH1018" s="93">
        <v>0</v>
      </c>
      <c r="AI1018" s="93">
        <v>0</v>
      </c>
      <c r="AJ1018" s="93">
        <v>1</v>
      </c>
      <c r="AK1018" s="93">
        <v>0</v>
      </c>
    </row>
    <row r="1019" spans="1:37" s="100" customFormat="1" outlineLevel="1">
      <c r="A1019" s="63">
        <v>1012</v>
      </c>
      <c r="B1019" s="93" t="s">
        <v>379</v>
      </c>
      <c r="C1019" s="93" t="s">
        <v>380</v>
      </c>
      <c r="D1019" s="94" t="s">
        <v>654</v>
      </c>
      <c r="E1019" s="93">
        <v>5</v>
      </c>
      <c r="F1019" s="99" t="s">
        <v>191</v>
      </c>
      <c r="G1019" s="93"/>
      <c r="H1019" s="102" t="s">
        <v>658</v>
      </c>
      <c r="I1019" s="93" t="s">
        <v>383</v>
      </c>
      <c r="J1019" s="93"/>
      <c r="K1019" s="96" t="s">
        <v>384</v>
      </c>
      <c r="L1019" s="93" t="s">
        <v>232</v>
      </c>
      <c r="M1019" s="97">
        <v>1906</v>
      </c>
      <c r="N1019" s="64" t="s">
        <v>385</v>
      </c>
      <c r="O1019" s="202">
        <v>4</v>
      </c>
      <c r="P1019" s="196">
        <v>0</v>
      </c>
      <c r="Q1019" s="202">
        <v>2</v>
      </c>
      <c r="R1019" s="19">
        <v>14</v>
      </c>
      <c r="S1019" s="19">
        <v>3325</v>
      </c>
      <c r="T1019" s="19">
        <v>2501</v>
      </c>
      <c r="U1019" s="93">
        <v>2836</v>
      </c>
      <c r="V1019" s="19">
        <v>185</v>
      </c>
      <c r="W1019" s="205" t="s">
        <v>233</v>
      </c>
      <c r="X1019" s="205" t="s">
        <v>233</v>
      </c>
      <c r="Y1019" s="206" t="s">
        <v>240</v>
      </c>
      <c r="Z1019" s="205" t="s">
        <v>233</v>
      </c>
      <c r="AA1019" s="205" t="s">
        <v>233</v>
      </c>
      <c r="AB1019" s="205" t="s">
        <v>233</v>
      </c>
      <c r="AC1019" s="206" t="s">
        <v>233</v>
      </c>
      <c r="AD1019" s="205" t="s">
        <v>233</v>
      </c>
      <c r="AE1019" s="206" t="s">
        <v>240</v>
      </c>
      <c r="AF1019" s="212">
        <v>0</v>
      </c>
      <c r="AG1019" s="93">
        <v>1</v>
      </c>
      <c r="AH1019" s="93">
        <v>1</v>
      </c>
      <c r="AI1019" s="93">
        <v>0</v>
      </c>
      <c r="AJ1019" s="93">
        <v>1</v>
      </c>
      <c r="AK1019" s="93">
        <v>0</v>
      </c>
    </row>
    <row r="1020" spans="1:37" s="100" customFormat="1" outlineLevel="1">
      <c r="A1020" s="63">
        <v>1013</v>
      </c>
      <c r="B1020" s="93" t="s">
        <v>379</v>
      </c>
      <c r="C1020" s="93" t="s">
        <v>380</v>
      </c>
      <c r="D1020" s="94" t="s">
        <v>654</v>
      </c>
      <c r="E1020" s="93">
        <v>7</v>
      </c>
      <c r="F1020" s="99" t="s">
        <v>191</v>
      </c>
      <c r="G1020" s="93"/>
      <c r="H1020" s="102" t="s">
        <v>659</v>
      </c>
      <c r="I1020" s="93" t="s">
        <v>383</v>
      </c>
      <c r="J1020" s="93"/>
      <c r="K1020" s="96" t="s">
        <v>384</v>
      </c>
      <c r="L1020" s="93" t="s">
        <v>232</v>
      </c>
      <c r="M1020" s="97">
        <v>1906</v>
      </c>
      <c r="N1020" s="64" t="s">
        <v>385</v>
      </c>
      <c r="O1020" s="202">
        <v>4</v>
      </c>
      <c r="P1020" s="196">
        <v>0</v>
      </c>
      <c r="Q1020" s="202">
        <v>2</v>
      </c>
      <c r="R1020" s="19">
        <v>13</v>
      </c>
      <c r="S1020" s="19">
        <v>1554</v>
      </c>
      <c r="T1020" s="19">
        <v>1375</v>
      </c>
      <c r="U1020" s="93">
        <v>1074</v>
      </c>
      <c r="V1020" s="19">
        <v>316</v>
      </c>
      <c r="W1020" s="205" t="s">
        <v>233</v>
      </c>
      <c r="X1020" s="205" t="s">
        <v>233</v>
      </c>
      <c r="Y1020" s="206" t="s">
        <v>240</v>
      </c>
      <c r="Z1020" s="205" t="s">
        <v>233</v>
      </c>
      <c r="AA1020" s="205" t="s">
        <v>233</v>
      </c>
      <c r="AB1020" s="205" t="s">
        <v>233</v>
      </c>
      <c r="AC1020" s="206" t="s">
        <v>233</v>
      </c>
      <c r="AD1020" s="205" t="s">
        <v>233</v>
      </c>
      <c r="AE1020" s="206" t="s">
        <v>240</v>
      </c>
      <c r="AF1020" s="212">
        <v>0</v>
      </c>
      <c r="AG1020" s="93">
        <v>1</v>
      </c>
      <c r="AH1020" s="93">
        <v>1</v>
      </c>
      <c r="AI1020" s="93">
        <v>0</v>
      </c>
      <c r="AJ1020" s="93">
        <v>1</v>
      </c>
      <c r="AK1020" s="93">
        <v>0</v>
      </c>
    </row>
    <row r="1021" spans="1:37" s="100" customFormat="1" outlineLevel="1">
      <c r="A1021" s="63">
        <v>1014</v>
      </c>
      <c r="B1021" s="93" t="s">
        <v>379</v>
      </c>
      <c r="C1021" s="93" t="s">
        <v>380</v>
      </c>
      <c r="D1021" s="94" t="s">
        <v>654</v>
      </c>
      <c r="E1021" s="93">
        <v>8</v>
      </c>
      <c r="F1021" s="99" t="s">
        <v>191</v>
      </c>
      <c r="G1021" s="93"/>
      <c r="H1021" s="102" t="s">
        <v>660</v>
      </c>
      <c r="I1021" s="93" t="s">
        <v>383</v>
      </c>
      <c r="J1021" s="93"/>
      <c r="K1021" s="96" t="s">
        <v>384</v>
      </c>
      <c r="L1021" s="93" t="s">
        <v>232</v>
      </c>
      <c r="M1021" s="97">
        <v>1917</v>
      </c>
      <c r="N1021" s="64" t="s">
        <v>385</v>
      </c>
      <c r="O1021" s="202">
        <v>4</v>
      </c>
      <c r="P1021" s="196">
        <v>0</v>
      </c>
      <c r="Q1021" s="202">
        <v>2</v>
      </c>
      <c r="R1021" s="19">
        <v>7</v>
      </c>
      <c r="S1021" s="19">
        <v>853</v>
      </c>
      <c r="T1021" s="19">
        <v>708</v>
      </c>
      <c r="U1021" s="93">
        <v>618</v>
      </c>
      <c r="V1021" s="19">
        <v>90</v>
      </c>
      <c r="W1021" s="205" t="s">
        <v>233</v>
      </c>
      <c r="X1021" s="205" t="s">
        <v>233</v>
      </c>
      <c r="Y1021" s="206" t="s">
        <v>240</v>
      </c>
      <c r="Z1021" s="205" t="s">
        <v>233</v>
      </c>
      <c r="AA1021" s="205" t="s">
        <v>233</v>
      </c>
      <c r="AB1021" s="205" t="s">
        <v>233</v>
      </c>
      <c r="AC1021" s="206" t="s">
        <v>233</v>
      </c>
      <c r="AD1021" s="205" t="s">
        <v>233</v>
      </c>
      <c r="AE1021" s="206" t="s">
        <v>240</v>
      </c>
      <c r="AF1021" s="212">
        <v>0</v>
      </c>
      <c r="AG1021" s="93">
        <v>1</v>
      </c>
      <c r="AH1021" s="93">
        <v>1</v>
      </c>
      <c r="AI1021" s="93">
        <v>0</v>
      </c>
      <c r="AJ1021" s="93">
        <v>0</v>
      </c>
      <c r="AK1021" s="93">
        <v>0</v>
      </c>
    </row>
    <row r="1022" spans="1:37" s="100" customFormat="1" outlineLevel="1">
      <c r="A1022" s="63">
        <v>1015</v>
      </c>
      <c r="B1022" s="93" t="s">
        <v>379</v>
      </c>
      <c r="C1022" s="93" t="s">
        <v>380</v>
      </c>
      <c r="D1022" s="94" t="s">
        <v>654</v>
      </c>
      <c r="E1022" s="93">
        <v>10</v>
      </c>
      <c r="F1022" s="99" t="s">
        <v>191</v>
      </c>
      <c r="G1022" s="93"/>
      <c r="H1022" s="102" t="s">
        <v>661</v>
      </c>
      <c r="I1022" s="93" t="s">
        <v>383</v>
      </c>
      <c r="J1022" s="93"/>
      <c r="K1022" s="96" t="s">
        <v>384</v>
      </c>
      <c r="L1022" s="93" t="s">
        <v>232</v>
      </c>
      <c r="M1022" s="97">
        <v>1917</v>
      </c>
      <c r="N1022" s="64" t="s">
        <v>385</v>
      </c>
      <c r="O1022" s="202">
        <v>3</v>
      </c>
      <c r="P1022" s="196">
        <v>0</v>
      </c>
      <c r="Q1022" s="202">
        <v>3</v>
      </c>
      <c r="R1022" s="19">
        <v>8</v>
      </c>
      <c r="S1022" s="19">
        <v>1200</v>
      </c>
      <c r="T1022" s="19">
        <v>977</v>
      </c>
      <c r="U1022" s="93">
        <v>867</v>
      </c>
      <c r="V1022" s="19">
        <v>112</v>
      </c>
      <c r="W1022" s="205" t="s">
        <v>233</v>
      </c>
      <c r="X1022" s="205" t="s">
        <v>233</v>
      </c>
      <c r="Y1022" s="206" t="s">
        <v>240</v>
      </c>
      <c r="Z1022" s="205" t="s">
        <v>233</v>
      </c>
      <c r="AA1022" s="205" t="s">
        <v>233</v>
      </c>
      <c r="AB1022" s="205" t="s">
        <v>233</v>
      </c>
      <c r="AC1022" s="206" t="s">
        <v>233</v>
      </c>
      <c r="AD1022" s="205" t="s">
        <v>233</v>
      </c>
      <c r="AE1022" s="206" t="s">
        <v>240</v>
      </c>
      <c r="AF1022" s="212">
        <v>0</v>
      </c>
      <c r="AG1022" s="93">
        <v>1</v>
      </c>
      <c r="AH1022" s="93">
        <v>0</v>
      </c>
      <c r="AI1022" s="93">
        <v>0</v>
      </c>
      <c r="AJ1022" s="93">
        <v>1</v>
      </c>
      <c r="AK1022" s="93">
        <v>0</v>
      </c>
    </row>
    <row r="1023" spans="1:37" s="100" customFormat="1" outlineLevel="1">
      <c r="A1023" s="63">
        <v>1016</v>
      </c>
      <c r="B1023" s="93" t="s">
        <v>379</v>
      </c>
      <c r="C1023" s="93" t="s">
        <v>380</v>
      </c>
      <c r="D1023" s="94" t="s">
        <v>654</v>
      </c>
      <c r="E1023" s="93">
        <v>11</v>
      </c>
      <c r="F1023" s="99" t="s">
        <v>191</v>
      </c>
      <c r="G1023" s="93"/>
      <c r="H1023" s="102" t="s">
        <v>662</v>
      </c>
      <c r="I1023" s="93" t="s">
        <v>383</v>
      </c>
      <c r="J1023" s="93"/>
      <c r="K1023" s="96" t="s">
        <v>384</v>
      </c>
      <c r="L1023" s="93" t="s">
        <v>232</v>
      </c>
      <c r="M1023" s="97">
        <v>1906</v>
      </c>
      <c r="N1023" s="64" t="s">
        <v>385</v>
      </c>
      <c r="O1023" s="202">
        <v>4</v>
      </c>
      <c r="P1023" s="196">
        <v>0</v>
      </c>
      <c r="Q1023" s="202">
        <v>2</v>
      </c>
      <c r="R1023" s="19">
        <v>16</v>
      </c>
      <c r="S1023" s="19">
        <v>1728</v>
      </c>
      <c r="T1023" s="19">
        <v>1450</v>
      </c>
      <c r="U1023" s="93">
        <v>1461</v>
      </c>
      <c r="V1023" s="19">
        <v>84</v>
      </c>
      <c r="W1023" s="205" t="s">
        <v>233</v>
      </c>
      <c r="X1023" s="205" t="s">
        <v>233</v>
      </c>
      <c r="Y1023" s="206" t="s">
        <v>240</v>
      </c>
      <c r="Z1023" s="205" t="s">
        <v>233</v>
      </c>
      <c r="AA1023" s="205" t="s">
        <v>233</v>
      </c>
      <c r="AB1023" s="205" t="s">
        <v>233</v>
      </c>
      <c r="AC1023" s="206" t="s">
        <v>233</v>
      </c>
      <c r="AD1023" s="205" t="s">
        <v>233</v>
      </c>
      <c r="AE1023" s="206" t="s">
        <v>240</v>
      </c>
      <c r="AF1023" s="212">
        <v>0</v>
      </c>
      <c r="AG1023" s="93">
        <v>1</v>
      </c>
      <c r="AH1023" s="93">
        <v>1</v>
      </c>
      <c r="AI1023" s="93">
        <v>0</v>
      </c>
      <c r="AJ1023" s="93">
        <v>1</v>
      </c>
      <c r="AK1023" s="93">
        <v>0</v>
      </c>
    </row>
    <row r="1024" spans="1:37" s="100" customFormat="1" outlineLevel="1">
      <c r="A1024" s="63">
        <v>1017</v>
      </c>
      <c r="B1024" s="93" t="s">
        <v>379</v>
      </c>
      <c r="C1024" s="93" t="s">
        <v>380</v>
      </c>
      <c r="D1024" s="94" t="s">
        <v>654</v>
      </c>
      <c r="E1024" s="93">
        <v>14</v>
      </c>
      <c r="F1024" s="99" t="s">
        <v>191</v>
      </c>
      <c r="G1024" s="93"/>
      <c r="H1024" s="102" t="s">
        <v>663</v>
      </c>
      <c r="I1024" s="93" t="s">
        <v>383</v>
      </c>
      <c r="J1024" s="93"/>
      <c r="K1024" s="96" t="s">
        <v>384</v>
      </c>
      <c r="L1024" s="93" t="s">
        <v>232</v>
      </c>
      <c r="M1024" s="97">
        <v>1953</v>
      </c>
      <c r="N1024" s="64" t="s">
        <v>385</v>
      </c>
      <c r="O1024" s="202">
        <v>5</v>
      </c>
      <c r="P1024" s="196">
        <v>0</v>
      </c>
      <c r="Q1024" s="202">
        <v>2</v>
      </c>
      <c r="R1024" s="19">
        <v>30</v>
      </c>
      <c r="S1024" s="19">
        <v>2487</v>
      </c>
      <c r="T1024" s="19">
        <v>2284</v>
      </c>
      <c r="U1024" s="93">
        <v>1930</v>
      </c>
      <c r="V1024" s="19">
        <v>354</v>
      </c>
      <c r="W1024" s="205" t="s">
        <v>233</v>
      </c>
      <c r="X1024" s="205" t="s">
        <v>233</v>
      </c>
      <c r="Y1024" s="206" t="s">
        <v>240</v>
      </c>
      <c r="Z1024" s="205" t="s">
        <v>233</v>
      </c>
      <c r="AA1024" s="205" t="s">
        <v>233</v>
      </c>
      <c r="AB1024" s="205" t="s">
        <v>233</v>
      </c>
      <c r="AC1024" s="206" t="s">
        <v>233</v>
      </c>
      <c r="AD1024" s="205" t="s">
        <v>233</v>
      </c>
      <c r="AE1024" s="206" t="s">
        <v>240</v>
      </c>
      <c r="AF1024" s="212">
        <v>0</v>
      </c>
      <c r="AG1024" s="93">
        <v>1</v>
      </c>
      <c r="AH1024" s="93">
        <v>1</v>
      </c>
      <c r="AI1024" s="93">
        <v>0</v>
      </c>
      <c r="AJ1024" s="93">
        <v>0</v>
      </c>
      <c r="AK1024" s="93">
        <v>0</v>
      </c>
    </row>
    <row r="1025" spans="1:37" s="100" customFormat="1" outlineLevel="1">
      <c r="A1025" s="63">
        <v>1018</v>
      </c>
      <c r="B1025" s="93" t="s">
        <v>379</v>
      </c>
      <c r="C1025" s="93" t="s">
        <v>380</v>
      </c>
      <c r="D1025" s="94" t="s">
        <v>654</v>
      </c>
      <c r="E1025" s="93">
        <v>17</v>
      </c>
      <c r="F1025" s="99" t="s">
        <v>191</v>
      </c>
      <c r="G1025" s="93"/>
      <c r="H1025" s="102" t="s">
        <v>664</v>
      </c>
      <c r="I1025" s="93" t="s">
        <v>383</v>
      </c>
      <c r="J1025" s="93"/>
      <c r="K1025" s="96" t="s">
        <v>384</v>
      </c>
      <c r="L1025" s="93" t="s">
        <v>232</v>
      </c>
      <c r="M1025" s="97">
        <v>1906</v>
      </c>
      <c r="N1025" s="64" t="s">
        <v>385</v>
      </c>
      <c r="O1025" s="202">
        <v>4</v>
      </c>
      <c r="P1025" s="196">
        <v>0</v>
      </c>
      <c r="Q1025" s="202">
        <v>3</v>
      </c>
      <c r="R1025" s="19">
        <v>17</v>
      </c>
      <c r="S1025" s="19">
        <v>1770</v>
      </c>
      <c r="T1025" s="19">
        <v>1482</v>
      </c>
      <c r="U1025" s="93">
        <v>1392</v>
      </c>
      <c r="V1025" s="19">
        <v>91</v>
      </c>
      <c r="W1025" s="205" t="s">
        <v>233</v>
      </c>
      <c r="X1025" s="205" t="s">
        <v>233</v>
      </c>
      <c r="Y1025" s="206" t="s">
        <v>240</v>
      </c>
      <c r="Z1025" s="205" t="s">
        <v>233</v>
      </c>
      <c r="AA1025" s="205" t="s">
        <v>233</v>
      </c>
      <c r="AB1025" s="205" t="s">
        <v>233</v>
      </c>
      <c r="AC1025" s="206" t="s">
        <v>233</v>
      </c>
      <c r="AD1025" s="205" t="s">
        <v>233</v>
      </c>
      <c r="AE1025" s="206" t="s">
        <v>240</v>
      </c>
      <c r="AF1025" s="212">
        <v>0</v>
      </c>
      <c r="AG1025" s="93">
        <v>1</v>
      </c>
      <c r="AH1025" s="93">
        <v>1</v>
      </c>
      <c r="AI1025" s="93">
        <v>0</v>
      </c>
      <c r="AJ1025" s="93">
        <v>1</v>
      </c>
      <c r="AK1025" s="93">
        <v>0</v>
      </c>
    </row>
    <row r="1026" spans="1:37" s="100" customFormat="1" outlineLevel="1">
      <c r="A1026" s="63">
        <v>1019</v>
      </c>
      <c r="B1026" s="93" t="s">
        <v>379</v>
      </c>
      <c r="C1026" s="93" t="s">
        <v>380</v>
      </c>
      <c r="D1026" s="94" t="s">
        <v>665</v>
      </c>
      <c r="E1026" s="93">
        <v>3</v>
      </c>
      <c r="F1026" s="99" t="s">
        <v>191</v>
      </c>
      <c r="G1026" s="93"/>
      <c r="H1026" s="102" t="s">
        <v>666</v>
      </c>
      <c r="I1026" s="93" t="s">
        <v>383</v>
      </c>
      <c r="J1026" s="93"/>
      <c r="K1026" s="96" t="s">
        <v>384</v>
      </c>
      <c r="L1026" s="93" t="s">
        <v>232</v>
      </c>
      <c r="M1026" s="97">
        <v>1850</v>
      </c>
      <c r="N1026" s="64" t="s">
        <v>385</v>
      </c>
      <c r="O1026" s="202">
        <v>5</v>
      </c>
      <c r="P1026" s="196">
        <v>0</v>
      </c>
      <c r="Q1026" s="202">
        <v>2</v>
      </c>
      <c r="R1026" s="19">
        <v>18</v>
      </c>
      <c r="S1026" s="19">
        <v>2034</v>
      </c>
      <c r="T1026" s="19">
        <v>1646</v>
      </c>
      <c r="U1026" s="93">
        <v>1575</v>
      </c>
      <c r="V1026" s="19">
        <v>33</v>
      </c>
      <c r="W1026" s="205" t="s">
        <v>233</v>
      </c>
      <c r="X1026" s="205" t="s">
        <v>233</v>
      </c>
      <c r="Y1026" s="206" t="s">
        <v>233</v>
      </c>
      <c r="Z1026" s="205" t="s">
        <v>233</v>
      </c>
      <c r="AA1026" s="205" t="s">
        <v>233</v>
      </c>
      <c r="AB1026" s="205" t="s">
        <v>233</v>
      </c>
      <c r="AC1026" s="206" t="s">
        <v>240</v>
      </c>
      <c r="AD1026" s="205" t="s">
        <v>233</v>
      </c>
      <c r="AE1026" s="206" t="s">
        <v>240</v>
      </c>
      <c r="AF1026" s="212">
        <v>1</v>
      </c>
      <c r="AG1026" s="93">
        <v>1</v>
      </c>
      <c r="AH1026" s="93">
        <v>1</v>
      </c>
      <c r="AI1026" s="93">
        <v>0</v>
      </c>
      <c r="AJ1026" s="93">
        <v>0</v>
      </c>
      <c r="AK1026" s="93">
        <v>0</v>
      </c>
    </row>
    <row r="1027" spans="1:37" s="100" customFormat="1" outlineLevel="1">
      <c r="A1027" s="63">
        <v>1020</v>
      </c>
      <c r="B1027" s="93" t="s">
        <v>379</v>
      </c>
      <c r="C1027" s="93" t="s">
        <v>380</v>
      </c>
      <c r="D1027" s="94" t="s">
        <v>665</v>
      </c>
      <c r="E1027" s="93">
        <v>5</v>
      </c>
      <c r="F1027" s="99" t="s">
        <v>191</v>
      </c>
      <c r="G1027" s="93"/>
      <c r="H1027" s="102" t="s">
        <v>667</v>
      </c>
      <c r="I1027" s="93" t="s">
        <v>383</v>
      </c>
      <c r="J1027" s="93"/>
      <c r="K1027" s="96" t="s">
        <v>384</v>
      </c>
      <c r="L1027" s="93" t="s">
        <v>232</v>
      </c>
      <c r="M1027" s="97">
        <v>1901</v>
      </c>
      <c r="N1027" s="64" t="s">
        <v>385</v>
      </c>
      <c r="O1027" s="202">
        <v>7</v>
      </c>
      <c r="P1027" s="196">
        <v>0</v>
      </c>
      <c r="Q1027" s="202">
        <v>5</v>
      </c>
      <c r="R1027" s="19">
        <v>25</v>
      </c>
      <c r="S1027" s="19">
        <v>4601</v>
      </c>
      <c r="T1027" s="19">
        <v>4024</v>
      </c>
      <c r="U1027" s="93">
        <v>3026</v>
      </c>
      <c r="V1027" s="19">
        <v>999</v>
      </c>
      <c r="W1027" s="205" t="s">
        <v>233</v>
      </c>
      <c r="X1027" s="205" t="s">
        <v>233</v>
      </c>
      <c r="Y1027" s="206" t="s">
        <v>233</v>
      </c>
      <c r="Z1027" s="205" t="s">
        <v>233</v>
      </c>
      <c r="AA1027" s="205" t="s">
        <v>233</v>
      </c>
      <c r="AB1027" s="205" t="s">
        <v>233</v>
      </c>
      <c r="AC1027" s="206" t="s">
        <v>240</v>
      </c>
      <c r="AD1027" s="205" t="s">
        <v>233</v>
      </c>
      <c r="AE1027" s="206" t="s">
        <v>240</v>
      </c>
      <c r="AF1027" s="212">
        <v>1</v>
      </c>
      <c r="AG1027" s="93">
        <v>1</v>
      </c>
      <c r="AH1027" s="93">
        <v>1</v>
      </c>
      <c r="AI1027" s="93">
        <v>0</v>
      </c>
      <c r="AJ1027" s="93">
        <v>0</v>
      </c>
      <c r="AK1027" s="93">
        <v>0</v>
      </c>
    </row>
    <row r="1028" spans="1:37" s="100" customFormat="1" outlineLevel="1">
      <c r="A1028" s="63">
        <v>1021</v>
      </c>
      <c r="B1028" s="93" t="s">
        <v>379</v>
      </c>
      <c r="C1028" s="93" t="s">
        <v>380</v>
      </c>
      <c r="D1028" s="94" t="s">
        <v>665</v>
      </c>
      <c r="E1028" s="93">
        <v>9</v>
      </c>
      <c r="F1028" s="99" t="s">
        <v>191</v>
      </c>
      <c r="G1028" s="93"/>
      <c r="H1028" s="102" t="s">
        <v>668</v>
      </c>
      <c r="I1028" s="93" t="s">
        <v>383</v>
      </c>
      <c r="J1028" s="93"/>
      <c r="K1028" s="96" t="s">
        <v>384</v>
      </c>
      <c r="L1028" s="93" t="s">
        <v>232</v>
      </c>
      <c r="M1028" s="97">
        <v>1917</v>
      </c>
      <c r="N1028" s="64" t="s">
        <v>385</v>
      </c>
      <c r="O1028" s="202">
        <v>6</v>
      </c>
      <c r="P1028" s="196">
        <v>0</v>
      </c>
      <c r="Q1028" s="202">
        <v>4</v>
      </c>
      <c r="R1028" s="19">
        <v>46</v>
      </c>
      <c r="S1028" s="19">
        <v>5688</v>
      </c>
      <c r="T1028" s="19">
        <v>4746</v>
      </c>
      <c r="U1028" s="93">
        <v>4039</v>
      </c>
      <c r="V1028" s="19">
        <v>1060</v>
      </c>
      <c r="W1028" s="205" t="s">
        <v>233</v>
      </c>
      <c r="X1028" s="205" t="s">
        <v>233</v>
      </c>
      <c r="Y1028" s="206" t="s">
        <v>233</v>
      </c>
      <c r="Z1028" s="205" t="s">
        <v>233</v>
      </c>
      <c r="AA1028" s="205" t="s">
        <v>233</v>
      </c>
      <c r="AB1028" s="205" t="s">
        <v>233</v>
      </c>
      <c r="AC1028" s="206" t="s">
        <v>240</v>
      </c>
      <c r="AD1028" s="205" t="s">
        <v>233</v>
      </c>
      <c r="AE1028" s="206" t="s">
        <v>240</v>
      </c>
      <c r="AF1028" s="212">
        <v>3</v>
      </c>
      <c r="AG1028" s="93">
        <v>1</v>
      </c>
      <c r="AH1028" s="93">
        <v>1</v>
      </c>
      <c r="AI1028" s="93">
        <v>1</v>
      </c>
      <c r="AJ1028" s="93">
        <v>1</v>
      </c>
      <c r="AK1028" s="93">
        <v>0</v>
      </c>
    </row>
    <row r="1029" spans="1:37" s="100" customFormat="1" outlineLevel="1">
      <c r="A1029" s="63">
        <v>1022</v>
      </c>
      <c r="B1029" s="93" t="s">
        <v>379</v>
      </c>
      <c r="C1029" s="93" t="s">
        <v>380</v>
      </c>
      <c r="D1029" s="94" t="s">
        <v>665</v>
      </c>
      <c r="E1029" s="93">
        <v>11</v>
      </c>
      <c r="F1029" s="99" t="s">
        <v>191</v>
      </c>
      <c r="G1029" s="93"/>
      <c r="H1029" s="102" t="s">
        <v>669</v>
      </c>
      <c r="I1029" s="93" t="s">
        <v>383</v>
      </c>
      <c r="J1029" s="93"/>
      <c r="K1029" s="96" t="s">
        <v>384</v>
      </c>
      <c r="L1029" s="93" t="s">
        <v>232</v>
      </c>
      <c r="M1029" s="97">
        <v>1917</v>
      </c>
      <c r="N1029" s="64" t="s">
        <v>385</v>
      </c>
      <c r="O1029" s="202">
        <v>2</v>
      </c>
      <c r="P1029" s="196">
        <v>0</v>
      </c>
      <c r="Q1029" s="202">
        <v>1</v>
      </c>
      <c r="R1029" s="19">
        <v>2</v>
      </c>
      <c r="S1029" s="19">
        <v>379</v>
      </c>
      <c r="T1029" s="19">
        <v>327</v>
      </c>
      <c r="U1029" s="93">
        <v>168</v>
      </c>
      <c r="V1029" s="19">
        <v>158</v>
      </c>
      <c r="W1029" s="205" t="s">
        <v>233</v>
      </c>
      <c r="X1029" s="205" t="s">
        <v>233</v>
      </c>
      <c r="Y1029" s="206" t="s">
        <v>233</v>
      </c>
      <c r="Z1029" s="205" t="s">
        <v>233</v>
      </c>
      <c r="AA1029" s="205" t="s">
        <v>233</v>
      </c>
      <c r="AB1029" s="205" t="s">
        <v>233</v>
      </c>
      <c r="AC1029" s="206" t="s">
        <v>240</v>
      </c>
      <c r="AD1029" s="205" t="s">
        <v>233</v>
      </c>
      <c r="AE1029" s="206" t="s">
        <v>240</v>
      </c>
      <c r="AF1029" s="212">
        <v>0</v>
      </c>
      <c r="AG1029" s="93">
        <v>1</v>
      </c>
      <c r="AH1029" s="93">
        <v>1</v>
      </c>
      <c r="AI1029" s="93">
        <v>0</v>
      </c>
      <c r="AJ1029" s="93">
        <v>0</v>
      </c>
      <c r="AK1029" s="93">
        <v>0</v>
      </c>
    </row>
    <row r="1030" spans="1:37" s="100" customFormat="1" outlineLevel="1">
      <c r="A1030" s="63">
        <v>1023</v>
      </c>
      <c r="B1030" s="93" t="s">
        <v>379</v>
      </c>
      <c r="C1030" s="93" t="s">
        <v>380</v>
      </c>
      <c r="D1030" s="94" t="s">
        <v>665</v>
      </c>
      <c r="E1030" s="93">
        <v>13</v>
      </c>
      <c r="F1030" s="99" t="s">
        <v>191</v>
      </c>
      <c r="G1030" s="93"/>
      <c r="H1030" s="102" t="s">
        <v>670</v>
      </c>
      <c r="I1030" s="93" t="s">
        <v>383</v>
      </c>
      <c r="J1030" s="93"/>
      <c r="K1030" s="96" t="s">
        <v>384</v>
      </c>
      <c r="L1030" s="93" t="s">
        <v>232</v>
      </c>
      <c r="M1030" s="97">
        <v>1860</v>
      </c>
      <c r="N1030" s="64" t="s">
        <v>385</v>
      </c>
      <c r="O1030" s="202">
        <v>5</v>
      </c>
      <c r="P1030" s="196">
        <v>0</v>
      </c>
      <c r="Q1030" s="202">
        <v>4</v>
      </c>
      <c r="R1030" s="19">
        <v>32</v>
      </c>
      <c r="S1030" s="19">
        <v>2825</v>
      </c>
      <c r="T1030" s="19">
        <v>2467</v>
      </c>
      <c r="U1030" s="93">
        <v>2385</v>
      </c>
      <c r="V1030" s="19">
        <v>100</v>
      </c>
      <c r="W1030" s="205" t="s">
        <v>233</v>
      </c>
      <c r="X1030" s="205" t="s">
        <v>233</v>
      </c>
      <c r="Y1030" s="206" t="s">
        <v>233</v>
      </c>
      <c r="Z1030" s="205" t="s">
        <v>233</v>
      </c>
      <c r="AA1030" s="205" t="s">
        <v>233</v>
      </c>
      <c r="AB1030" s="205" t="s">
        <v>233</v>
      </c>
      <c r="AC1030" s="206" t="s">
        <v>240</v>
      </c>
      <c r="AD1030" s="205" t="s">
        <v>233</v>
      </c>
      <c r="AE1030" s="206" t="s">
        <v>240</v>
      </c>
      <c r="AF1030" s="212">
        <v>0</v>
      </c>
      <c r="AG1030" s="93">
        <v>1</v>
      </c>
      <c r="AH1030" s="93">
        <v>1</v>
      </c>
      <c r="AI1030" s="93">
        <v>1</v>
      </c>
      <c r="AJ1030" s="93">
        <v>1</v>
      </c>
      <c r="AK1030" s="93">
        <v>0</v>
      </c>
    </row>
    <row r="1031" spans="1:37" s="100" customFormat="1" outlineLevel="1">
      <c r="A1031" s="63">
        <v>1024</v>
      </c>
      <c r="B1031" s="93" t="s">
        <v>379</v>
      </c>
      <c r="C1031" s="93" t="s">
        <v>380</v>
      </c>
      <c r="D1031" s="94" t="s">
        <v>665</v>
      </c>
      <c r="E1031" s="93">
        <v>14</v>
      </c>
      <c r="F1031" s="99" t="s">
        <v>191</v>
      </c>
      <c r="G1031" s="93"/>
      <c r="H1031" s="102" t="s">
        <v>671</v>
      </c>
      <c r="I1031" s="93" t="s">
        <v>383</v>
      </c>
      <c r="J1031" s="93"/>
      <c r="K1031" s="96" t="s">
        <v>384</v>
      </c>
      <c r="L1031" s="93" t="s">
        <v>232</v>
      </c>
      <c r="M1031" s="97">
        <v>1841</v>
      </c>
      <c r="N1031" s="64" t="s">
        <v>385</v>
      </c>
      <c r="O1031" s="202">
        <v>3</v>
      </c>
      <c r="P1031" s="196">
        <v>0</v>
      </c>
      <c r="Q1031" s="202">
        <v>2</v>
      </c>
      <c r="R1031" s="19">
        <v>13</v>
      </c>
      <c r="S1031" s="19">
        <v>1435</v>
      </c>
      <c r="T1031" s="19">
        <v>1263</v>
      </c>
      <c r="U1031" s="93">
        <v>1263</v>
      </c>
      <c r="V1031" s="19">
        <v>9</v>
      </c>
      <c r="W1031" s="205" t="s">
        <v>233</v>
      </c>
      <c r="X1031" s="205" t="s">
        <v>233</v>
      </c>
      <c r="Y1031" s="206" t="s">
        <v>233</v>
      </c>
      <c r="Z1031" s="205" t="s">
        <v>233</v>
      </c>
      <c r="AA1031" s="205" t="s">
        <v>233</v>
      </c>
      <c r="AB1031" s="205" t="s">
        <v>233</v>
      </c>
      <c r="AC1031" s="206" t="s">
        <v>240</v>
      </c>
      <c r="AD1031" s="205" t="s">
        <v>233</v>
      </c>
      <c r="AE1031" s="206" t="s">
        <v>240</v>
      </c>
      <c r="AF1031" s="212">
        <v>0</v>
      </c>
      <c r="AG1031" s="93">
        <v>1</v>
      </c>
      <c r="AH1031" s="93">
        <v>1</v>
      </c>
      <c r="AI1031" s="93">
        <v>1</v>
      </c>
      <c r="AJ1031" s="93">
        <v>1</v>
      </c>
      <c r="AK1031" s="93">
        <v>0</v>
      </c>
    </row>
    <row r="1032" spans="1:37" s="100" customFormat="1" outlineLevel="1">
      <c r="A1032" s="63">
        <v>1025</v>
      </c>
      <c r="B1032" s="93" t="s">
        <v>379</v>
      </c>
      <c r="C1032" s="93" t="s">
        <v>380</v>
      </c>
      <c r="D1032" s="94" t="s">
        <v>665</v>
      </c>
      <c r="E1032" s="93">
        <v>15</v>
      </c>
      <c r="F1032" s="99" t="s">
        <v>191</v>
      </c>
      <c r="G1032" s="93"/>
      <c r="H1032" s="102" t="s">
        <v>672</v>
      </c>
      <c r="I1032" s="93" t="s">
        <v>383</v>
      </c>
      <c r="J1032" s="93"/>
      <c r="K1032" s="96" t="s">
        <v>384</v>
      </c>
      <c r="L1032" s="93" t="s">
        <v>232</v>
      </c>
      <c r="M1032" s="97">
        <v>1917</v>
      </c>
      <c r="N1032" s="64" t="s">
        <v>385</v>
      </c>
      <c r="O1032" s="202">
        <v>4</v>
      </c>
      <c r="P1032" s="196">
        <v>0</v>
      </c>
      <c r="Q1032" s="202">
        <v>1</v>
      </c>
      <c r="R1032" s="19">
        <v>14</v>
      </c>
      <c r="S1032" s="19">
        <v>1600</v>
      </c>
      <c r="T1032" s="19">
        <v>1233</v>
      </c>
      <c r="U1032" s="93">
        <v>1066</v>
      </c>
      <c r="V1032" s="19">
        <v>166</v>
      </c>
      <c r="W1032" s="205" t="s">
        <v>233</v>
      </c>
      <c r="X1032" s="205" t="s">
        <v>233</v>
      </c>
      <c r="Y1032" s="206" t="s">
        <v>233</v>
      </c>
      <c r="Z1032" s="205" t="s">
        <v>233</v>
      </c>
      <c r="AA1032" s="205" t="s">
        <v>233</v>
      </c>
      <c r="AB1032" s="205" t="s">
        <v>233</v>
      </c>
      <c r="AC1032" s="206" t="s">
        <v>240</v>
      </c>
      <c r="AD1032" s="205" t="s">
        <v>233</v>
      </c>
      <c r="AE1032" s="206" t="s">
        <v>240</v>
      </c>
      <c r="AF1032" s="212">
        <v>0</v>
      </c>
      <c r="AG1032" s="93">
        <v>1</v>
      </c>
      <c r="AH1032" s="93">
        <v>1</v>
      </c>
      <c r="AI1032" s="93">
        <v>0</v>
      </c>
      <c r="AJ1032" s="93">
        <v>0</v>
      </c>
      <c r="AK1032" s="93">
        <v>0</v>
      </c>
    </row>
    <row r="1033" spans="1:37" s="100" customFormat="1" outlineLevel="1">
      <c r="A1033" s="63">
        <v>1026</v>
      </c>
      <c r="B1033" s="93" t="s">
        <v>379</v>
      </c>
      <c r="C1033" s="93" t="s">
        <v>380</v>
      </c>
      <c r="D1033" s="94" t="s">
        <v>665</v>
      </c>
      <c r="E1033" s="93">
        <v>17</v>
      </c>
      <c r="F1033" s="99" t="s">
        <v>191</v>
      </c>
      <c r="G1033" s="93"/>
      <c r="H1033" s="102" t="s">
        <v>673</v>
      </c>
      <c r="I1033" s="93" t="s">
        <v>383</v>
      </c>
      <c r="J1033" s="93"/>
      <c r="K1033" s="96" t="s">
        <v>384</v>
      </c>
      <c r="L1033" s="93" t="s">
        <v>232</v>
      </c>
      <c r="M1033" s="97">
        <v>1910</v>
      </c>
      <c r="N1033" s="64" t="s">
        <v>385</v>
      </c>
      <c r="O1033" s="202">
        <v>6</v>
      </c>
      <c r="P1033" s="196">
        <v>0</v>
      </c>
      <c r="Q1033" s="202">
        <v>3</v>
      </c>
      <c r="R1033" s="19">
        <v>23</v>
      </c>
      <c r="S1033" s="19">
        <v>3346</v>
      </c>
      <c r="T1033" s="19">
        <v>2908</v>
      </c>
      <c r="U1033" s="93">
        <v>2633</v>
      </c>
      <c r="V1033" s="19">
        <v>299</v>
      </c>
      <c r="W1033" s="205" t="s">
        <v>233</v>
      </c>
      <c r="X1033" s="205" t="s">
        <v>233</v>
      </c>
      <c r="Y1033" s="206" t="s">
        <v>233</v>
      </c>
      <c r="Z1033" s="205" t="s">
        <v>233</v>
      </c>
      <c r="AA1033" s="205" t="s">
        <v>233</v>
      </c>
      <c r="AB1033" s="205" t="s">
        <v>233</v>
      </c>
      <c r="AC1033" s="206" t="s">
        <v>240</v>
      </c>
      <c r="AD1033" s="205" t="s">
        <v>233</v>
      </c>
      <c r="AE1033" s="206" t="s">
        <v>240</v>
      </c>
      <c r="AF1033" s="212">
        <v>2</v>
      </c>
      <c r="AG1033" s="93">
        <v>1</v>
      </c>
      <c r="AH1033" s="93">
        <v>1</v>
      </c>
      <c r="AI1033" s="93">
        <v>0</v>
      </c>
      <c r="AJ1033" s="93">
        <v>0</v>
      </c>
      <c r="AK1033" s="93">
        <v>0</v>
      </c>
    </row>
    <row r="1034" spans="1:37" s="100" customFormat="1" outlineLevel="1">
      <c r="A1034" s="63">
        <v>1027</v>
      </c>
      <c r="B1034" s="93" t="s">
        <v>379</v>
      </c>
      <c r="C1034" s="93" t="s">
        <v>380</v>
      </c>
      <c r="D1034" s="94" t="s">
        <v>665</v>
      </c>
      <c r="E1034" s="93">
        <v>19</v>
      </c>
      <c r="F1034" s="99" t="s">
        <v>191</v>
      </c>
      <c r="G1034" s="93"/>
      <c r="H1034" s="102" t="s">
        <v>674</v>
      </c>
      <c r="I1034" s="93" t="s">
        <v>383</v>
      </c>
      <c r="J1034" s="93"/>
      <c r="K1034" s="96" t="s">
        <v>384</v>
      </c>
      <c r="L1034" s="93" t="s">
        <v>232</v>
      </c>
      <c r="M1034" s="97">
        <v>1909</v>
      </c>
      <c r="N1034" s="64" t="s">
        <v>385</v>
      </c>
      <c r="O1034" s="202">
        <v>6</v>
      </c>
      <c r="P1034" s="196">
        <v>0</v>
      </c>
      <c r="Q1034" s="202">
        <v>3</v>
      </c>
      <c r="R1034" s="19">
        <v>17</v>
      </c>
      <c r="S1034" s="19">
        <v>2704</v>
      </c>
      <c r="T1034" s="19">
        <v>2364</v>
      </c>
      <c r="U1034" s="93">
        <v>2038</v>
      </c>
      <c r="V1034" s="19">
        <v>372</v>
      </c>
      <c r="W1034" s="205" t="s">
        <v>233</v>
      </c>
      <c r="X1034" s="205" t="s">
        <v>233</v>
      </c>
      <c r="Y1034" s="206" t="s">
        <v>233</v>
      </c>
      <c r="Z1034" s="205" t="s">
        <v>233</v>
      </c>
      <c r="AA1034" s="205" t="s">
        <v>233</v>
      </c>
      <c r="AB1034" s="205" t="s">
        <v>233</v>
      </c>
      <c r="AC1034" s="206" t="s">
        <v>240</v>
      </c>
      <c r="AD1034" s="205" t="s">
        <v>233</v>
      </c>
      <c r="AE1034" s="206" t="s">
        <v>240</v>
      </c>
      <c r="AF1034" s="212">
        <v>1</v>
      </c>
      <c r="AG1034" s="93">
        <v>1</v>
      </c>
      <c r="AH1034" s="93">
        <v>1</v>
      </c>
      <c r="AI1034" s="93">
        <v>1</v>
      </c>
      <c r="AJ1034" s="93">
        <v>1</v>
      </c>
      <c r="AK1034" s="93">
        <v>0</v>
      </c>
    </row>
    <row r="1035" spans="1:37" s="100" customFormat="1" outlineLevel="1">
      <c r="A1035" s="63">
        <v>1028</v>
      </c>
      <c r="B1035" s="93" t="s">
        <v>379</v>
      </c>
      <c r="C1035" s="93" t="s">
        <v>380</v>
      </c>
      <c r="D1035" s="94" t="s">
        <v>665</v>
      </c>
      <c r="E1035" s="93">
        <v>23</v>
      </c>
      <c r="F1035" s="99" t="s">
        <v>191</v>
      </c>
      <c r="G1035" s="93"/>
      <c r="H1035" s="102" t="s">
        <v>675</v>
      </c>
      <c r="I1035" s="93" t="s">
        <v>383</v>
      </c>
      <c r="J1035" s="93"/>
      <c r="K1035" s="96" t="s">
        <v>384</v>
      </c>
      <c r="L1035" s="93" t="s">
        <v>232</v>
      </c>
      <c r="M1035" s="97">
        <v>1912</v>
      </c>
      <c r="N1035" s="64" t="s">
        <v>385</v>
      </c>
      <c r="O1035" s="202">
        <v>5</v>
      </c>
      <c r="P1035" s="196">
        <v>0</v>
      </c>
      <c r="Q1035" s="202">
        <v>2</v>
      </c>
      <c r="R1035" s="19">
        <v>10</v>
      </c>
      <c r="S1035" s="19">
        <v>968</v>
      </c>
      <c r="T1035" s="19">
        <v>822</v>
      </c>
      <c r="U1035" s="93">
        <v>822</v>
      </c>
      <c r="V1035" s="19">
        <v>0</v>
      </c>
      <c r="W1035" s="205" t="s">
        <v>233</v>
      </c>
      <c r="X1035" s="205" t="s">
        <v>233</v>
      </c>
      <c r="Y1035" s="206" t="s">
        <v>233</v>
      </c>
      <c r="Z1035" s="205" t="s">
        <v>233</v>
      </c>
      <c r="AA1035" s="205" t="s">
        <v>233</v>
      </c>
      <c r="AB1035" s="205" t="s">
        <v>233</v>
      </c>
      <c r="AC1035" s="206" t="s">
        <v>240</v>
      </c>
      <c r="AD1035" s="205" t="s">
        <v>233</v>
      </c>
      <c r="AE1035" s="206" t="s">
        <v>240</v>
      </c>
      <c r="AF1035" s="212">
        <v>0</v>
      </c>
      <c r="AG1035" s="93">
        <v>1</v>
      </c>
      <c r="AH1035" s="93">
        <v>1</v>
      </c>
      <c r="AI1035" s="93">
        <v>0</v>
      </c>
      <c r="AJ1035" s="93">
        <v>0</v>
      </c>
      <c r="AK1035" s="93">
        <v>0</v>
      </c>
    </row>
    <row r="1036" spans="1:37" s="100" customFormat="1" outlineLevel="1">
      <c r="A1036" s="63">
        <v>1029</v>
      </c>
      <c r="B1036" s="93" t="s">
        <v>379</v>
      </c>
      <c r="C1036" s="93" t="s">
        <v>380</v>
      </c>
      <c r="D1036" s="94" t="s">
        <v>665</v>
      </c>
      <c r="E1036" s="93">
        <v>25</v>
      </c>
      <c r="F1036" s="99" t="s">
        <v>191</v>
      </c>
      <c r="G1036" s="93"/>
      <c r="H1036" s="102" t="s">
        <v>676</v>
      </c>
      <c r="I1036" s="93" t="s">
        <v>383</v>
      </c>
      <c r="J1036" s="93"/>
      <c r="K1036" s="96" t="s">
        <v>384</v>
      </c>
      <c r="L1036" s="93" t="s">
        <v>232</v>
      </c>
      <c r="M1036" s="97">
        <v>1903</v>
      </c>
      <c r="N1036" s="64" t="s">
        <v>385</v>
      </c>
      <c r="O1036" s="202">
        <v>5</v>
      </c>
      <c r="P1036" s="196">
        <v>0</v>
      </c>
      <c r="Q1036" s="202">
        <v>4</v>
      </c>
      <c r="R1036" s="19">
        <v>35</v>
      </c>
      <c r="S1036" s="19">
        <v>3024</v>
      </c>
      <c r="T1036" s="19">
        <v>2733</v>
      </c>
      <c r="U1036" s="93">
        <v>2488</v>
      </c>
      <c r="V1036" s="19">
        <v>263</v>
      </c>
      <c r="W1036" s="205" t="s">
        <v>233</v>
      </c>
      <c r="X1036" s="205" t="s">
        <v>233</v>
      </c>
      <c r="Y1036" s="206" t="s">
        <v>233</v>
      </c>
      <c r="Z1036" s="205" t="s">
        <v>233</v>
      </c>
      <c r="AA1036" s="205" t="s">
        <v>233</v>
      </c>
      <c r="AB1036" s="205" t="s">
        <v>233</v>
      </c>
      <c r="AC1036" s="206" t="s">
        <v>240</v>
      </c>
      <c r="AD1036" s="205" t="s">
        <v>233</v>
      </c>
      <c r="AE1036" s="206" t="s">
        <v>240</v>
      </c>
      <c r="AF1036" s="212">
        <v>0</v>
      </c>
      <c r="AG1036" s="93">
        <v>1</v>
      </c>
      <c r="AH1036" s="93">
        <v>1</v>
      </c>
      <c r="AI1036" s="93">
        <v>0</v>
      </c>
      <c r="AJ1036" s="93">
        <v>0</v>
      </c>
      <c r="AK1036" s="93">
        <v>0</v>
      </c>
    </row>
    <row r="1037" spans="1:37" s="100" customFormat="1" outlineLevel="1">
      <c r="A1037" s="63">
        <v>1030</v>
      </c>
      <c r="B1037" s="93" t="s">
        <v>379</v>
      </c>
      <c r="C1037" s="93" t="s">
        <v>380</v>
      </c>
      <c r="D1037" s="94" t="s">
        <v>665</v>
      </c>
      <c r="E1037" s="93">
        <v>29</v>
      </c>
      <c r="F1037" s="99" t="s">
        <v>191</v>
      </c>
      <c r="G1037" s="93"/>
      <c r="H1037" s="102" t="s">
        <v>677</v>
      </c>
      <c r="I1037" s="93" t="s">
        <v>383</v>
      </c>
      <c r="J1037" s="93"/>
      <c r="K1037" s="96" t="s">
        <v>384</v>
      </c>
      <c r="L1037" s="93" t="s">
        <v>232</v>
      </c>
      <c r="M1037" s="97">
        <v>1882</v>
      </c>
      <c r="N1037" s="64" t="s">
        <v>385</v>
      </c>
      <c r="O1037" s="202">
        <v>5</v>
      </c>
      <c r="P1037" s="196">
        <v>0</v>
      </c>
      <c r="Q1037" s="202">
        <v>5</v>
      </c>
      <c r="R1037" s="19">
        <v>40</v>
      </c>
      <c r="S1037" s="19">
        <v>3809</v>
      </c>
      <c r="T1037" s="19">
        <v>3286</v>
      </c>
      <c r="U1037" s="93">
        <v>3077</v>
      </c>
      <c r="V1037" s="19">
        <v>300</v>
      </c>
      <c r="W1037" s="205" t="s">
        <v>233</v>
      </c>
      <c r="X1037" s="205" t="s">
        <v>233</v>
      </c>
      <c r="Y1037" s="206" t="s">
        <v>233</v>
      </c>
      <c r="Z1037" s="205" t="s">
        <v>233</v>
      </c>
      <c r="AA1037" s="205" t="s">
        <v>233</v>
      </c>
      <c r="AB1037" s="205" t="s">
        <v>233</v>
      </c>
      <c r="AC1037" s="206" t="s">
        <v>240</v>
      </c>
      <c r="AD1037" s="205" t="s">
        <v>233</v>
      </c>
      <c r="AE1037" s="206" t="s">
        <v>240</v>
      </c>
      <c r="AF1037" s="212">
        <v>0</v>
      </c>
      <c r="AG1037" s="93">
        <v>1</v>
      </c>
      <c r="AH1037" s="93">
        <v>1</v>
      </c>
      <c r="AI1037" s="93">
        <v>1</v>
      </c>
      <c r="AJ1037" s="93">
        <v>1</v>
      </c>
      <c r="AK1037" s="93">
        <v>0</v>
      </c>
    </row>
    <row r="1038" spans="1:37" s="100" customFormat="1" outlineLevel="1">
      <c r="A1038" s="63">
        <v>1031</v>
      </c>
      <c r="B1038" s="93" t="s">
        <v>379</v>
      </c>
      <c r="C1038" s="93" t="s">
        <v>380</v>
      </c>
      <c r="D1038" s="94" t="s">
        <v>665</v>
      </c>
      <c r="E1038" s="93">
        <v>33</v>
      </c>
      <c r="F1038" s="99" t="s">
        <v>191</v>
      </c>
      <c r="G1038" s="93"/>
      <c r="H1038" s="102" t="s">
        <v>678</v>
      </c>
      <c r="I1038" s="93" t="s">
        <v>383</v>
      </c>
      <c r="J1038" s="93"/>
      <c r="K1038" s="96" t="s">
        <v>384</v>
      </c>
      <c r="L1038" s="93" t="s">
        <v>232</v>
      </c>
      <c r="M1038" s="97">
        <v>1877</v>
      </c>
      <c r="N1038" s="64" t="s">
        <v>385</v>
      </c>
      <c r="O1038" s="202">
        <v>3</v>
      </c>
      <c r="P1038" s="196">
        <v>0</v>
      </c>
      <c r="Q1038" s="202">
        <v>2</v>
      </c>
      <c r="R1038" s="19">
        <v>15</v>
      </c>
      <c r="S1038" s="19">
        <v>2048</v>
      </c>
      <c r="T1038" s="19">
        <v>1855</v>
      </c>
      <c r="U1038" s="93">
        <v>1446</v>
      </c>
      <c r="V1038" s="19">
        <v>480</v>
      </c>
      <c r="W1038" s="205" t="s">
        <v>233</v>
      </c>
      <c r="X1038" s="205" t="s">
        <v>233</v>
      </c>
      <c r="Y1038" s="206" t="s">
        <v>233</v>
      </c>
      <c r="Z1038" s="205" t="s">
        <v>233</v>
      </c>
      <c r="AA1038" s="205" t="s">
        <v>233</v>
      </c>
      <c r="AB1038" s="205" t="s">
        <v>233</v>
      </c>
      <c r="AC1038" s="206" t="s">
        <v>240</v>
      </c>
      <c r="AD1038" s="205" t="s">
        <v>233</v>
      </c>
      <c r="AE1038" s="206" t="s">
        <v>240</v>
      </c>
      <c r="AF1038" s="212">
        <v>0</v>
      </c>
      <c r="AG1038" s="93">
        <v>1</v>
      </c>
      <c r="AH1038" s="93">
        <v>1</v>
      </c>
      <c r="AI1038" s="93">
        <v>1</v>
      </c>
      <c r="AJ1038" s="93">
        <v>1</v>
      </c>
      <c r="AK1038" s="93">
        <v>0</v>
      </c>
    </row>
    <row r="1039" spans="1:37" s="100" customFormat="1" outlineLevel="1">
      <c r="A1039" s="63">
        <v>1032</v>
      </c>
      <c r="B1039" s="93" t="s">
        <v>379</v>
      </c>
      <c r="C1039" s="93" t="s">
        <v>380</v>
      </c>
      <c r="D1039" s="94" t="s">
        <v>665</v>
      </c>
      <c r="E1039" s="93">
        <v>35</v>
      </c>
      <c r="F1039" s="99" t="s">
        <v>191</v>
      </c>
      <c r="G1039" s="93"/>
      <c r="H1039" s="102" t="s">
        <v>679</v>
      </c>
      <c r="I1039" s="93" t="s">
        <v>383</v>
      </c>
      <c r="J1039" s="93"/>
      <c r="K1039" s="96" t="s">
        <v>384</v>
      </c>
      <c r="L1039" s="93" t="s">
        <v>232</v>
      </c>
      <c r="M1039" s="97">
        <v>1901</v>
      </c>
      <c r="N1039" s="64" t="s">
        <v>385</v>
      </c>
      <c r="O1039" s="202">
        <v>5</v>
      </c>
      <c r="P1039" s="196">
        <v>0</v>
      </c>
      <c r="Q1039" s="202">
        <v>4</v>
      </c>
      <c r="R1039" s="19">
        <v>23</v>
      </c>
      <c r="S1039" s="19">
        <v>2691</v>
      </c>
      <c r="T1039" s="19">
        <v>2321</v>
      </c>
      <c r="U1039" s="93">
        <v>1983</v>
      </c>
      <c r="V1039" s="19">
        <v>381</v>
      </c>
      <c r="W1039" s="205" t="s">
        <v>233</v>
      </c>
      <c r="X1039" s="205" t="s">
        <v>233</v>
      </c>
      <c r="Y1039" s="206" t="s">
        <v>233</v>
      </c>
      <c r="Z1039" s="205" t="s">
        <v>233</v>
      </c>
      <c r="AA1039" s="205" t="s">
        <v>233</v>
      </c>
      <c r="AB1039" s="205" t="s">
        <v>233</v>
      </c>
      <c r="AC1039" s="206" t="s">
        <v>240</v>
      </c>
      <c r="AD1039" s="205" t="s">
        <v>233</v>
      </c>
      <c r="AE1039" s="206" t="s">
        <v>240</v>
      </c>
      <c r="AF1039" s="212">
        <v>0</v>
      </c>
      <c r="AG1039" s="93">
        <v>1</v>
      </c>
      <c r="AH1039" s="93">
        <v>1</v>
      </c>
      <c r="AI1039" s="93">
        <v>0</v>
      </c>
      <c r="AJ1039" s="93">
        <v>0</v>
      </c>
      <c r="AK1039" s="93">
        <v>0</v>
      </c>
    </row>
    <row r="1040" spans="1:37" s="100" customFormat="1" outlineLevel="1">
      <c r="A1040" s="63">
        <v>1033</v>
      </c>
      <c r="B1040" s="93" t="s">
        <v>379</v>
      </c>
      <c r="C1040" s="93" t="s">
        <v>380</v>
      </c>
      <c r="D1040" s="94" t="s">
        <v>680</v>
      </c>
      <c r="E1040" s="102" t="s">
        <v>681</v>
      </c>
      <c r="F1040" s="99" t="s">
        <v>191</v>
      </c>
      <c r="G1040" s="93"/>
      <c r="H1040" s="102" t="s">
        <v>682</v>
      </c>
      <c r="I1040" s="93" t="s">
        <v>383</v>
      </c>
      <c r="J1040" s="93"/>
      <c r="K1040" s="96" t="s">
        <v>384</v>
      </c>
      <c r="L1040" s="93" t="s">
        <v>232</v>
      </c>
      <c r="M1040" s="97">
        <v>1907</v>
      </c>
      <c r="N1040" s="64" t="s">
        <v>385</v>
      </c>
      <c r="O1040" s="202">
        <v>5</v>
      </c>
      <c r="P1040" s="196">
        <v>0</v>
      </c>
      <c r="Q1040" s="202">
        <v>3</v>
      </c>
      <c r="R1040" s="19">
        <v>30</v>
      </c>
      <c r="S1040" s="19">
        <v>3317</v>
      </c>
      <c r="T1040" s="19">
        <v>2961</v>
      </c>
      <c r="U1040" s="93">
        <v>2496</v>
      </c>
      <c r="V1040" s="19">
        <v>0</v>
      </c>
      <c r="W1040" s="205" t="s">
        <v>233</v>
      </c>
      <c r="X1040" s="205" t="s">
        <v>233</v>
      </c>
      <c r="Y1040" s="206" t="s">
        <v>233</v>
      </c>
      <c r="Z1040" s="205" t="s">
        <v>233</v>
      </c>
      <c r="AA1040" s="205" t="s">
        <v>233</v>
      </c>
      <c r="AB1040" s="205" t="s">
        <v>233</v>
      </c>
      <c r="AC1040" s="206" t="s">
        <v>240</v>
      </c>
      <c r="AD1040" s="205" t="s">
        <v>233</v>
      </c>
      <c r="AE1040" s="206" t="s">
        <v>240</v>
      </c>
      <c r="AF1040" s="212">
        <v>0</v>
      </c>
      <c r="AG1040" s="93">
        <v>0</v>
      </c>
      <c r="AH1040" s="93">
        <v>1</v>
      </c>
      <c r="AI1040" s="93">
        <v>1</v>
      </c>
      <c r="AJ1040" s="93">
        <v>1</v>
      </c>
      <c r="AK1040" s="93">
        <v>0</v>
      </c>
    </row>
    <row r="1041" spans="1:37" s="100" customFormat="1" outlineLevel="1">
      <c r="A1041" s="63">
        <v>1034</v>
      </c>
      <c r="B1041" s="93" t="s">
        <v>379</v>
      </c>
      <c r="C1041" s="93" t="s">
        <v>380</v>
      </c>
      <c r="D1041" s="94" t="s">
        <v>680</v>
      </c>
      <c r="E1041" s="93">
        <v>3</v>
      </c>
      <c r="F1041" s="99" t="s">
        <v>191</v>
      </c>
      <c r="G1041" s="93"/>
      <c r="H1041" s="102" t="s">
        <v>683</v>
      </c>
      <c r="I1041" s="93" t="s">
        <v>383</v>
      </c>
      <c r="J1041" s="93"/>
      <c r="K1041" s="96" t="s">
        <v>384</v>
      </c>
      <c r="L1041" s="93" t="s">
        <v>232</v>
      </c>
      <c r="M1041" s="97">
        <v>1880</v>
      </c>
      <c r="N1041" s="64" t="s">
        <v>385</v>
      </c>
      <c r="O1041" s="202">
        <v>6</v>
      </c>
      <c r="P1041" s="196">
        <v>0</v>
      </c>
      <c r="Q1041" s="202">
        <v>2</v>
      </c>
      <c r="R1041" s="19">
        <v>28</v>
      </c>
      <c r="S1041" s="19">
        <v>1913</v>
      </c>
      <c r="T1041" s="19">
        <v>1599</v>
      </c>
      <c r="U1041" s="93">
        <v>1581</v>
      </c>
      <c r="V1041" s="19">
        <v>55</v>
      </c>
      <c r="W1041" s="205" t="s">
        <v>233</v>
      </c>
      <c r="X1041" s="205" t="s">
        <v>233</v>
      </c>
      <c r="Y1041" s="206" t="s">
        <v>233</v>
      </c>
      <c r="Z1041" s="205" t="s">
        <v>233</v>
      </c>
      <c r="AA1041" s="205" t="s">
        <v>233</v>
      </c>
      <c r="AB1041" s="205" t="s">
        <v>233</v>
      </c>
      <c r="AC1041" s="206" t="s">
        <v>240</v>
      </c>
      <c r="AD1041" s="205" t="s">
        <v>233</v>
      </c>
      <c r="AE1041" s="206" t="s">
        <v>240</v>
      </c>
      <c r="AF1041" s="212">
        <v>2</v>
      </c>
      <c r="AG1041" s="93">
        <v>1</v>
      </c>
      <c r="AH1041" s="93">
        <v>1</v>
      </c>
      <c r="AI1041" s="93">
        <v>1</v>
      </c>
      <c r="AJ1041" s="93">
        <v>1</v>
      </c>
      <c r="AK1041" s="93">
        <v>0</v>
      </c>
    </row>
    <row r="1042" spans="1:37" s="100" customFormat="1" outlineLevel="1">
      <c r="A1042" s="63">
        <v>1035</v>
      </c>
      <c r="B1042" s="93" t="s">
        <v>379</v>
      </c>
      <c r="C1042" s="93" t="s">
        <v>380</v>
      </c>
      <c r="D1042" s="94" t="s">
        <v>680</v>
      </c>
      <c r="E1042" s="93">
        <v>4</v>
      </c>
      <c r="F1042" s="99" t="s">
        <v>191</v>
      </c>
      <c r="G1042" s="93"/>
      <c r="H1042" s="102" t="s">
        <v>684</v>
      </c>
      <c r="I1042" s="93" t="s">
        <v>383</v>
      </c>
      <c r="J1042" s="93"/>
      <c r="K1042" s="96" t="s">
        <v>384</v>
      </c>
      <c r="L1042" s="93" t="s">
        <v>232</v>
      </c>
      <c r="M1042" s="97">
        <v>1877</v>
      </c>
      <c r="N1042" s="64" t="s">
        <v>385</v>
      </c>
      <c r="O1042" s="202">
        <v>4</v>
      </c>
      <c r="P1042" s="196">
        <v>0</v>
      </c>
      <c r="Q1042" s="202">
        <v>1</v>
      </c>
      <c r="R1042" s="19">
        <v>15</v>
      </c>
      <c r="S1042" s="19">
        <v>1511</v>
      </c>
      <c r="T1042" s="19">
        <v>1374</v>
      </c>
      <c r="U1042" s="93">
        <v>1032</v>
      </c>
      <c r="V1042" s="19">
        <v>308</v>
      </c>
      <c r="W1042" s="205" t="s">
        <v>233</v>
      </c>
      <c r="X1042" s="205" t="s">
        <v>233</v>
      </c>
      <c r="Y1042" s="206" t="s">
        <v>233</v>
      </c>
      <c r="Z1042" s="205" t="s">
        <v>233</v>
      </c>
      <c r="AA1042" s="205" t="s">
        <v>233</v>
      </c>
      <c r="AB1042" s="205" t="s">
        <v>233</v>
      </c>
      <c r="AC1042" s="206" t="s">
        <v>240</v>
      </c>
      <c r="AD1042" s="205" t="s">
        <v>233</v>
      </c>
      <c r="AE1042" s="206" t="s">
        <v>240</v>
      </c>
      <c r="AF1042" s="212">
        <v>0</v>
      </c>
      <c r="AG1042" s="93">
        <v>1</v>
      </c>
      <c r="AH1042" s="93">
        <v>1</v>
      </c>
      <c r="AI1042" s="93">
        <v>0</v>
      </c>
      <c r="AJ1042" s="93">
        <v>0</v>
      </c>
      <c r="AK1042" s="93">
        <v>0</v>
      </c>
    </row>
    <row r="1043" spans="1:37" s="100" customFormat="1" outlineLevel="1">
      <c r="A1043" s="63">
        <v>1036</v>
      </c>
      <c r="B1043" s="93" t="s">
        <v>379</v>
      </c>
      <c r="C1043" s="93" t="s">
        <v>380</v>
      </c>
      <c r="D1043" s="94" t="s">
        <v>680</v>
      </c>
      <c r="E1043" s="93">
        <v>5</v>
      </c>
      <c r="F1043" s="99" t="s">
        <v>191</v>
      </c>
      <c r="G1043" s="93"/>
      <c r="H1043" s="102" t="s">
        <v>685</v>
      </c>
      <c r="I1043" s="93" t="s">
        <v>383</v>
      </c>
      <c r="J1043" s="93"/>
      <c r="K1043" s="96" t="s">
        <v>384</v>
      </c>
      <c r="L1043" s="93" t="s">
        <v>232</v>
      </c>
      <c r="M1043" s="97">
        <v>1899</v>
      </c>
      <c r="N1043" s="64" t="s">
        <v>385</v>
      </c>
      <c r="O1043" s="202">
        <v>5</v>
      </c>
      <c r="P1043" s="196">
        <v>0</v>
      </c>
      <c r="Q1043" s="202">
        <v>2</v>
      </c>
      <c r="R1043" s="19">
        <v>17</v>
      </c>
      <c r="S1043" s="19">
        <v>1678</v>
      </c>
      <c r="T1043" s="19">
        <v>1271</v>
      </c>
      <c r="U1043" s="93">
        <v>1149</v>
      </c>
      <c r="V1043" s="19">
        <v>282</v>
      </c>
      <c r="W1043" s="205" t="s">
        <v>233</v>
      </c>
      <c r="X1043" s="205" t="s">
        <v>233</v>
      </c>
      <c r="Y1043" s="206" t="s">
        <v>233</v>
      </c>
      <c r="Z1043" s="205" t="s">
        <v>233</v>
      </c>
      <c r="AA1043" s="205" t="s">
        <v>233</v>
      </c>
      <c r="AB1043" s="205" t="s">
        <v>233</v>
      </c>
      <c r="AC1043" s="206" t="s">
        <v>240</v>
      </c>
      <c r="AD1043" s="205" t="s">
        <v>233</v>
      </c>
      <c r="AE1043" s="206" t="s">
        <v>240</v>
      </c>
      <c r="AF1043" s="212">
        <v>2</v>
      </c>
      <c r="AG1043" s="93">
        <v>1</v>
      </c>
      <c r="AH1043" s="93">
        <v>0</v>
      </c>
      <c r="AI1043" s="93">
        <v>0</v>
      </c>
      <c r="AJ1043" s="93">
        <v>0</v>
      </c>
      <c r="AK1043" s="93">
        <v>0</v>
      </c>
    </row>
    <row r="1044" spans="1:37" s="100" customFormat="1" outlineLevel="1">
      <c r="A1044" s="63">
        <v>1037</v>
      </c>
      <c r="B1044" s="93" t="s">
        <v>379</v>
      </c>
      <c r="C1044" s="93" t="s">
        <v>380</v>
      </c>
      <c r="D1044" s="94" t="s">
        <v>680</v>
      </c>
      <c r="E1044" s="93">
        <v>6</v>
      </c>
      <c r="F1044" s="99" t="s">
        <v>191</v>
      </c>
      <c r="G1044" s="93"/>
      <c r="H1044" s="102" t="s">
        <v>686</v>
      </c>
      <c r="I1044" s="93" t="s">
        <v>383</v>
      </c>
      <c r="J1044" s="93"/>
      <c r="K1044" s="96" t="s">
        <v>384</v>
      </c>
      <c r="L1044" s="93" t="s">
        <v>232</v>
      </c>
      <c r="M1044" s="97">
        <v>1902</v>
      </c>
      <c r="N1044" s="64" t="s">
        <v>385</v>
      </c>
      <c r="O1044" s="202">
        <v>5</v>
      </c>
      <c r="P1044" s="196">
        <v>0</v>
      </c>
      <c r="Q1044" s="202">
        <v>4</v>
      </c>
      <c r="R1044" s="19">
        <v>25</v>
      </c>
      <c r="S1044" s="19">
        <v>3133</v>
      </c>
      <c r="T1044" s="19">
        <v>2875</v>
      </c>
      <c r="U1044" s="93">
        <v>2292</v>
      </c>
      <c r="V1044" s="19">
        <v>610</v>
      </c>
      <c r="W1044" s="205" t="s">
        <v>233</v>
      </c>
      <c r="X1044" s="205" t="s">
        <v>233</v>
      </c>
      <c r="Y1044" s="206" t="s">
        <v>233</v>
      </c>
      <c r="Z1044" s="205" t="s">
        <v>233</v>
      </c>
      <c r="AA1044" s="205" t="s">
        <v>233</v>
      </c>
      <c r="AB1044" s="205" t="s">
        <v>233</v>
      </c>
      <c r="AC1044" s="206" t="s">
        <v>240</v>
      </c>
      <c r="AD1044" s="205" t="s">
        <v>233</v>
      </c>
      <c r="AE1044" s="206" t="s">
        <v>240</v>
      </c>
      <c r="AF1044" s="212">
        <v>1</v>
      </c>
      <c r="AG1044" s="93">
        <v>1</v>
      </c>
      <c r="AH1044" s="93">
        <v>1</v>
      </c>
      <c r="AI1044" s="93">
        <v>1</v>
      </c>
      <c r="AJ1044" s="93">
        <v>1</v>
      </c>
      <c r="AK1044" s="93">
        <v>0</v>
      </c>
    </row>
    <row r="1045" spans="1:37" s="100" customFormat="1" outlineLevel="1">
      <c r="A1045" s="63">
        <v>1038</v>
      </c>
      <c r="B1045" s="93" t="s">
        <v>379</v>
      </c>
      <c r="C1045" s="93" t="s">
        <v>380</v>
      </c>
      <c r="D1045" s="94" t="s">
        <v>680</v>
      </c>
      <c r="E1045" s="93">
        <v>7</v>
      </c>
      <c r="F1045" s="99" t="s">
        <v>191</v>
      </c>
      <c r="G1045" s="93"/>
      <c r="H1045" s="102" t="s">
        <v>687</v>
      </c>
      <c r="I1045" s="93" t="s">
        <v>383</v>
      </c>
      <c r="J1045" s="93"/>
      <c r="K1045" s="96" t="s">
        <v>384</v>
      </c>
      <c r="L1045" s="93" t="s">
        <v>232</v>
      </c>
      <c r="M1045" s="97">
        <v>1917</v>
      </c>
      <c r="N1045" s="64" t="s">
        <v>385</v>
      </c>
      <c r="O1045" s="202">
        <v>5</v>
      </c>
      <c r="P1045" s="196">
        <v>0</v>
      </c>
      <c r="Q1045" s="202">
        <v>3</v>
      </c>
      <c r="R1045" s="19">
        <v>25</v>
      </c>
      <c r="S1045" s="19">
        <v>3988</v>
      </c>
      <c r="T1045" s="19">
        <v>3236</v>
      </c>
      <c r="U1045" s="93">
        <v>2859</v>
      </c>
      <c r="V1045" s="19">
        <v>772</v>
      </c>
      <c r="W1045" s="205" t="s">
        <v>233</v>
      </c>
      <c r="X1045" s="205" t="s">
        <v>233</v>
      </c>
      <c r="Y1045" s="206" t="s">
        <v>233</v>
      </c>
      <c r="Z1045" s="205" t="s">
        <v>233</v>
      </c>
      <c r="AA1045" s="205" t="s">
        <v>233</v>
      </c>
      <c r="AB1045" s="205" t="s">
        <v>233</v>
      </c>
      <c r="AC1045" s="206" t="s">
        <v>240</v>
      </c>
      <c r="AD1045" s="205" t="s">
        <v>233</v>
      </c>
      <c r="AE1045" s="206" t="s">
        <v>240</v>
      </c>
      <c r="AF1045" s="212">
        <v>0</v>
      </c>
      <c r="AG1045" s="93">
        <v>1</v>
      </c>
      <c r="AH1045" s="93">
        <v>1</v>
      </c>
      <c r="AI1045" s="93">
        <v>0</v>
      </c>
      <c r="AJ1045" s="93">
        <v>0</v>
      </c>
      <c r="AK1045" s="93">
        <v>0</v>
      </c>
    </row>
    <row r="1046" spans="1:37" s="100" customFormat="1" outlineLevel="1">
      <c r="A1046" s="63">
        <v>1039</v>
      </c>
      <c r="B1046" s="93" t="s">
        <v>379</v>
      </c>
      <c r="C1046" s="93" t="s">
        <v>380</v>
      </c>
      <c r="D1046" s="94" t="s">
        <v>680</v>
      </c>
      <c r="E1046" s="93">
        <v>8</v>
      </c>
      <c r="F1046" s="99" t="s">
        <v>191</v>
      </c>
      <c r="G1046" s="93"/>
      <c r="H1046" s="102" t="s">
        <v>688</v>
      </c>
      <c r="I1046" s="93" t="s">
        <v>383</v>
      </c>
      <c r="J1046" s="93"/>
      <c r="K1046" s="96" t="s">
        <v>384</v>
      </c>
      <c r="L1046" s="93" t="s">
        <v>232</v>
      </c>
      <c r="M1046" s="97">
        <v>1917</v>
      </c>
      <c r="N1046" s="64" t="s">
        <v>385</v>
      </c>
      <c r="O1046" s="202">
        <v>3</v>
      </c>
      <c r="P1046" s="196">
        <v>0</v>
      </c>
      <c r="Q1046" s="202">
        <v>1</v>
      </c>
      <c r="R1046" s="19">
        <v>7</v>
      </c>
      <c r="S1046" s="19">
        <v>587</v>
      </c>
      <c r="T1046" s="19">
        <v>525</v>
      </c>
      <c r="U1046" s="93">
        <v>474</v>
      </c>
      <c r="V1046" s="19">
        <v>51</v>
      </c>
      <c r="W1046" s="205" t="s">
        <v>233</v>
      </c>
      <c r="X1046" s="205" t="s">
        <v>233</v>
      </c>
      <c r="Y1046" s="206" t="s">
        <v>233</v>
      </c>
      <c r="Z1046" s="205" t="s">
        <v>233</v>
      </c>
      <c r="AA1046" s="205" t="s">
        <v>233</v>
      </c>
      <c r="AB1046" s="205" t="s">
        <v>233</v>
      </c>
      <c r="AC1046" s="206" t="s">
        <v>240</v>
      </c>
      <c r="AD1046" s="205" t="s">
        <v>233</v>
      </c>
      <c r="AE1046" s="206" t="s">
        <v>240</v>
      </c>
      <c r="AF1046" s="212">
        <v>0</v>
      </c>
      <c r="AG1046" s="93">
        <v>1</v>
      </c>
      <c r="AH1046" s="93">
        <v>1</v>
      </c>
      <c r="AI1046" s="93">
        <v>0</v>
      </c>
      <c r="AJ1046" s="93">
        <v>0</v>
      </c>
      <c r="AK1046" s="93">
        <v>0</v>
      </c>
    </row>
    <row r="1047" spans="1:37" s="100" customFormat="1" outlineLevel="1">
      <c r="A1047" s="63">
        <v>1040</v>
      </c>
      <c r="B1047" s="93" t="s">
        <v>379</v>
      </c>
      <c r="C1047" s="93" t="s">
        <v>380</v>
      </c>
      <c r="D1047" s="94" t="s">
        <v>680</v>
      </c>
      <c r="E1047" s="93">
        <v>9</v>
      </c>
      <c r="F1047" s="99" t="s">
        <v>191</v>
      </c>
      <c r="G1047" s="93"/>
      <c r="H1047" s="102" t="s">
        <v>689</v>
      </c>
      <c r="I1047" s="93" t="s">
        <v>383</v>
      </c>
      <c r="J1047" s="93"/>
      <c r="K1047" s="96" t="s">
        <v>384</v>
      </c>
      <c r="L1047" s="93" t="s">
        <v>232</v>
      </c>
      <c r="M1047" s="97">
        <v>1891</v>
      </c>
      <c r="N1047" s="64" t="s">
        <v>385</v>
      </c>
      <c r="O1047" s="202">
        <v>4</v>
      </c>
      <c r="P1047" s="196">
        <v>0</v>
      </c>
      <c r="Q1047" s="202">
        <v>2</v>
      </c>
      <c r="R1047" s="19">
        <v>7</v>
      </c>
      <c r="S1047" s="19">
        <v>625</v>
      </c>
      <c r="T1047" s="19">
        <v>625</v>
      </c>
      <c r="U1047" s="93">
        <v>388</v>
      </c>
      <c r="V1047" s="19">
        <v>60</v>
      </c>
      <c r="W1047" s="205" t="s">
        <v>233</v>
      </c>
      <c r="X1047" s="205" t="s">
        <v>233</v>
      </c>
      <c r="Y1047" s="206" t="s">
        <v>233</v>
      </c>
      <c r="Z1047" s="205" t="s">
        <v>233</v>
      </c>
      <c r="AA1047" s="205" t="s">
        <v>233</v>
      </c>
      <c r="AB1047" s="205" t="s">
        <v>233</v>
      </c>
      <c r="AC1047" s="206" t="s">
        <v>240</v>
      </c>
      <c r="AD1047" s="205" t="s">
        <v>233</v>
      </c>
      <c r="AE1047" s="206" t="s">
        <v>240</v>
      </c>
      <c r="AF1047" s="212">
        <v>0</v>
      </c>
      <c r="AG1047" s="93">
        <v>1</v>
      </c>
      <c r="AH1047" s="93">
        <v>1</v>
      </c>
      <c r="AI1047" s="93">
        <v>0</v>
      </c>
      <c r="AJ1047" s="93">
        <v>0</v>
      </c>
      <c r="AK1047" s="93">
        <v>0</v>
      </c>
    </row>
    <row r="1048" spans="1:37" s="100" customFormat="1" outlineLevel="1">
      <c r="A1048" s="63">
        <v>1041</v>
      </c>
      <c r="B1048" s="93" t="s">
        <v>379</v>
      </c>
      <c r="C1048" s="93" t="s">
        <v>380</v>
      </c>
      <c r="D1048" s="94" t="s">
        <v>680</v>
      </c>
      <c r="E1048" s="93">
        <v>11</v>
      </c>
      <c r="F1048" s="99" t="s">
        <v>191</v>
      </c>
      <c r="G1048" s="93"/>
      <c r="H1048" s="102" t="s">
        <v>690</v>
      </c>
      <c r="I1048" s="93" t="s">
        <v>383</v>
      </c>
      <c r="J1048" s="93"/>
      <c r="K1048" s="96" t="s">
        <v>384</v>
      </c>
      <c r="L1048" s="93" t="s">
        <v>232</v>
      </c>
      <c r="M1048" s="97">
        <v>1904</v>
      </c>
      <c r="N1048" s="64" t="s">
        <v>385</v>
      </c>
      <c r="O1048" s="202">
        <v>4</v>
      </c>
      <c r="P1048" s="196">
        <v>0</v>
      </c>
      <c r="Q1048" s="202">
        <v>3</v>
      </c>
      <c r="R1048" s="19">
        <v>16</v>
      </c>
      <c r="S1048" s="19">
        <v>1410</v>
      </c>
      <c r="T1048" s="19">
        <v>1230</v>
      </c>
      <c r="U1048" s="93">
        <v>1202</v>
      </c>
      <c r="V1048" s="19">
        <v>24</v>
      </c>
      <c r="W1048" s="205" t="s">
        <v>233</v>
      </c>
      <c r="X1048" s="205" t="s">
        <v>233</v>
      </c>
      <c r="Y1048" s="206" t="s">
        <v>233</v>
      </c>
      <c r="Z1048" s="205" t="s">
        <v>233</v>
      </c>
      <c r="AA1048" s="205" t="s">
        <v>233</v>
      </c>
      <c r="AB1048" s="205" t="s">
        <v>233</v>
      </c>
      <c r="AC1048" s="206" t="s">
        <v>240</v>
      </c>
      <c r="AD1048" s="205" t="s">
        <v>233</v>
      </c>
      <c r="AE1048" s="206" t="s">
        <v>240</v>
      </c>
      <c r="AF1048" s="212">
        <v>0</v>
      </c>
      <c r="AG1048" s="93">
        <v>1</v>
      </c>
      <c r="AH1048" s="93">
        <v>1</v>
      </c>
      <c r="AI1048" s="93">
        <v>0</v>
      </c>
      <c r="AJ1048" s="93">
        <v>0</v>
      </c>
      <c r="AK1048" s="93">
        <v>0</v>
      </c>
    </row>
    <row r="1049" spans="1:37" s="100" customFormat="1" outlineLevel="1">
      <c r="A1049" s="63">
        <v>1042</v>
      </c>
      <c r="B1049" s="93" t="s">
        <v>379</v>
      </c>
      <c r="C1049" s="93" t="s">
        <v>380</v>
      </c>
      <c r="D1049" s="94" t="s">
        <v>680</v>
      </c>
      <c r="E1049" s="93">
        <v>12</v>
      </c>
      <c r="F1049" s="99" t="s">
        <v>307</v>
      </c>
      <c r="G1049" s="93"/>
      <c r="H1049" s="102" t="s">
        <v>691</v>
      </c>
      <c r="I1049" s="93" t="s">
        <v>383</v>
      </c>
      <c r="J1049" s="93"/>
      <c r="K1049" s="96" t="s">
        <v>384</v>
      </c>
      <c r="L1049" s="93" t="s">
        <v>232</v>
      </c>
      <c r="M1049" s="97">
        <v>1902</v>
      </c>
      <c r="N1049" s="64" t="s">
        <v>385</v>
      </c>
      <c r="O1049" s="202">
        <v>5</v>
      </c>
      <c r="P1049" s="196">
        <v>0</v>
      </c>
      <c r="Q1049" s="202">
        <v>2</v>
      </c>
      <c r="R1049" s="19">
        <v>5</v>
      </c>
      <c r="S1049" s="19">
        <v>858</v>
      </c>
      <c r="T1049" s="19">
        <v>553</v>
      </c>
      <c r="U1049" s="93">
        <v>553</v>
      </c>
      <c r="V1049" s="19">
        <v>112</v>
      </c>
      <c r="W1049" s="205" t="s">
        <v>233</v>
      </c>
      <c r="X1049" s="205" t="s">
        <v>233</v>
      </c>
      <c r="Y1049" s="206" t="s">
        <v>233</v>
      </c>
      <c r="Z1049" s="205" t="s">
        <v>233</v>
      </c>
      <c r="AA1049" s="205" t="s">
        <v>233</v>
      </c>
      <c r="AB1049" s="205" t="s">
        <v>233</v>
      </c>
      <c r="AC1049" s="206" t="s">
        <v>240</v>
      </c>
      <c r="AD1049" s="205" t="s">
        <v>233</v>
      </c>
      <c r="AE1049" s="206" t="s">
        <v>240</v>
      </c>
      <c r="AF1049" s="212">
        <v>0</v>
      </c>
      <c r="AG1049" s="93">
        <v>0</v>
      </c>
      <c r="AH1049" s="93">
        <v>1</v>
      </c>
      <c r="AI1049" s="93">
        <v>0</v>
      </c>
      <c r="AJ1049" s="93">
        <v>0</v>
      </c>
      <c r="AK1049" s="93">
        <v>0</v>
      </c>
    </row>
    <row r="1050" spans="1:37" s="100" customFormat="1" outlineLevel="1">
      <c r="A1050" s="63">
        <v>1043</v>
      </c>
      <c r="B1050" s="93" t="s">
        <v>379</v>
      </c>
      <c r="C1050" s="93" t="s">
        <v>380</v>
      </c>
      <c r="D1050" s="94" t="s">
        <v>680</v>
      </c>
      <c r="E1050" s="93">
        <v>14</v>
      </c>
      <c r="F1050" s="99" t="s">
        <v>191</v>
      </c>
      <c r="G1050" s="93"/>
      <c r="H1050" s="102" t="s">
        <v>692</v>
      </c>
      <c r="I1050" s="93" t="s">
        <v>383</v>
      </c>
      <c r="J1050" s="93"/>
      <c r="K1050" s="96" t="s">
        <v>384</v>
      </c>
      <c r="L1050" s="93" t="s">
        <v>232</v>
      </c>
      <c r="M1050" s="97">
        <v>1917</v>
      </c>
      <c r="N1050" s="64" t="s">
        <v>385</v>
      </c>
      <c r="O1050" s="202">
        <v>5</v>
      </c>
      <c r="P1050" s="196">
        <v>0</v>
      </c>
      <c r="Q1050" s="202">
        <v>1</v>
      </c>
      <c r="R1050" s="19">
        <v>17</v>
      </c>
      <c r="S1050" s="19">
        <v>1535</v>
      </c>
      <c r="T1050" s="19">
        <v>1198</v>
      </c>
      <c r="U1050" s="93">
        <v>1128</v>
      </c>
      <c r="V1050" s="19">
        <v>226</v>
      </c>
      <c r="W1050" s="205" t="s">
        <v>233</v>
      </c>
      <c r="X1050" s="205" t="s">
        <v>233</v>
      </c>
      <c r="Y1050" s="206" t="s">
        <v>233</v>
      </c>
      <c r="Z1050" s="205" t="s">
        <v>233</v>
      </c>
      <c r="AA1050" s="205" t="s">
        <v>233</v>
      </c>
      <c r="AB1050" s="205" t="s">
        <v>233</v>
      </c>
      <c r="AC1050" s="206" t="s">
        <v>240</v>
      </c>
      <c r="AD1050" s="205" t="s">
        <v>233</v>
      </c>
      <c r="AE1050" s="206" t="s">
        <v>240</v>
      </c>
      <c r="AF1050" s="212">
        <v>1</v>
      </c>
      <c r="AG1050" s="93">
        <v>1</v>
      </c>
      <c r="AH1050" s="93">
        <v>1</v>
      </c>
      <c r="AI1050" s="93">
        <v>1</v>
      </c>
      <c r="AJ1050" s="93">
        <v>1</v>
      </c>
      <c r="AK1050" s="93">
        <v>0</v>
      </c>
    </row>
    <row r="1051" spans="1:37" s="100" customFormat="1" outlineLevel="1">
      <c r="A1051" s="63">
        <v>1044</v>
      </c>
      <c r="B1051" s="93" t="s">
        <v>379</v>
      </c>
      <c r="C1051" s="93" t="s">
        <v>380</v>
      </c>
      <c r="D1051" s="94" t="s">
        <v>680</v>
      </c>
      <c r="E1051" s="93">
        <v>16</v>
      </c>
      <c r="F1051" s="99" t="s">
        <v>191</v>
      </c>
      <c r="G1051" s="93"/>
      <c r="H1051" s="102" t="s">
        <v>693</v>
      </c>
      <c r="I1051" s="93" t="s">
        <v>383</v>
      </c>
      <c r="J1051" s="93"/>
      <c r="K1051" s="96" t="s">
        <v>384</v>
      </c>
      <c r="L1051" s="93" t="s">
        <v>232</v>
      </c>
      <c r="M1051" s="97">
        <v>1909</v>
      </c>
      <c r="N1051" s="64" t="s">
        <v>385</v>
      </c>
      <c r="O1051" s="202">
        <v>3</v>
      </c>
      <c r="P1051" s="196">
        <v>0</v>
      </c>
      <c r="Q1051" s="202">
        <v>2</v>
      </c>
      <c r="R1051" s="19">
        <v>11</v>
      </c>
      <c r="S1051" s="19">
        <v>1050</v>
      </c>
      <c r="T1051" s="19">
        <v>842</v>
      </c>
      <c r="U1051" s="93">
        <v>724</v>
      </c>
      <c r="V1051" s="19">
        <v>198</v>
      </c>
      <c r="W1051" s="205" t="s">
        <v>233</v>
      </c>
      <c r="X1051" s="205" t="s">
        <v>233</v>
      </c>
      <c r="Y1051" s="206" t="s">
        <v>233</v>
      </c>
      <c r="Z1051" s="205" t="s">
        <v>233</v>
      </c>
      <c r="AA1051" s="205" t="s">
        <v>233</v>
      </c>
      <c r="AB1051" s="205" t="s">
        <v>233</v>
      </c>
      <c r="AC1051" s="206" t="s">
        <v>240</v>
      </c>
      <c r="AD1051" s="205" t="s">
        <v>233</v>
      </c>
      <c r="AE1051" s="206" t="s">
        <v>240</v>
      </c>
      <c r="AF1051" s="212">
        <v>0</v>
      </c>
      <c r="AG1051" s="93">
        <v>1</v>
      </c>
      <c r="AH1051" s="93">
        <v>0</v>
      </c>
      <c r="AI1051" s="93">
        <v>1</v>
      </c>
      <c r="AJ1051" s="93">
        <v>1</v>
      </c>
      <c r="AK1051" s="93">
        <v>0</v>
      </c>
    </row>
    <row r="1052" spans="1:37" s="100" customFormat="1" outlineLevel="1">
      <c r="A1052" s="63">
        <v>1045</v>
      </c>
      <c r="B1052" s="93" t="s">
        <v>379</v>
      </c>
      <c r="C1052" s="93" t="s">
        <v>380</v>
      </c>
      <c r="D1052" s="94" t="s">
        <v>680</v>
      </c>
      <c r="E1052" s="93">
        <v>17</v>
      </c>
      <c r="F1052" s="99" t="s">
        <v>191</v>
      </c>
      <c r="G1052" s="93"/>
      <c r="H1052" s="102" t="s">
        <v>694</v>
      </c>
      <c r="I1052" s="93" t="s">
        <v>383</v>
      </c>
      <c r="J1052" s="93"/>
      <c r="K1052" s="96" t="s">
        <v>384</v>
      </c>
      <c r="L1052" s="93" t="s">
        <v>232</v>
      </c>
      <c r="M1052" s="97">
        <v>1989</v>
      </c>
      <c r="N1052" s="64" t="s">
        <v>385</v>
      </c>
      <c r="O1052" s="202">
        <v>3</v>
      </c>
      <c r="P1052" s="196">
        <v>0</v>
      </c>
      <c r="Q1052" s="202">
        <v>2</v>
      </c>
      <c r="R1052" s="19">
        <v>32</v>
      </c>
      <c r="S1052" s="19">
        <v>2626</v>
      </c>
      <c r="T1052" s="19">
        <v>2182</v>
      </c>
      <c r="U1052" s="93">
        <v>1731</v>
      </c>
      <c r="V1052" s="19">
        <v>685</v>
      </c>
      <c r="W1052" s="205" t="s">
        <v>233</v>
      </c>
      <c r="X1052" s="205" t="s">
        <v>233</v>
      </c>
      <c r="Y1052" s="206" t="s">
        <v>233</v>
      </c>
      <c r="Z1052" s="205" t="s">
        <v>233</v>
      </c>
      <c r="AA1052" s="205" t="s">
        <v>233</v>
      </c>
      <c r="AB1052" s="205" t="s">
        <v>233</v>
      </c>
      <c r="AC1052" s="206" t="s">
        <v>240</v>
      </c>
      <c r="AD1052" s="205" t="s">
        <v>233</v>
      </c>
      <c r="AE1052" s="206" t="s">
        <v>240</v>
      </c>
      <c r="AF1052" s="212">
        <v>0</v>
      </c>
      <c r="AG1052" s="93">
        <v>1</v>
      </c>
      <c r="AH1052" s="93">
        <v>1</v>
      </c>
      <c r="AI1052" s="93">
        <v>1</v>
      </c>
      <c r="AJ1052" s="93">
        <v>1</v>
      </c>
      <c r="AK1052" s="93">
        <v>0</v>
      </c>
    </row>
    <row r="1053" spans="1:37" s="100" customFormat="1" outlineLevel="1">
      <c r="A1053" s="63">
        <v>1046</v>
      </c>
      <c r="B1053" s="93" t="s">
        <v>379</v>
      </c>
      <c r="C1053" s="93" t="s">
        <v>380</v>
      </c>
      <c r="D1053" s="94" t="s">
        <v>680</v>
      </c>
      <c r="E1053" s="96">
        <v>20</v>
      </c>
      <c r="F1053" s="99" t="s">
        <v>191</v>
      </c>
      <c r="G1053" s="93"/>
      <c r="H1053" s="102" t="s">
        <v>695</v>
      </c>
      <c r="I1053" s="93" t="s">
        <v>383</v>
      </c>
      <c r="J1053" s="93"/>
      <c r="K1053" s="96" t="s">
        <v>384</v>
      </c>
      <c r="L1053" s="93" t="s">
        <v>232</v>
      </c>
      <c r="M1053" s="97">
        <v>1878</v>
      </c>
      <c r="N1053" s="64" t="s">
        <v>385</v>
      </c>
      <c r="O1053" s="202">
        <v>4</v>
      </c>
      <c r="P1053" s="196">
        <v>0</v>
      </c>
      <c r="Q1053" s="202">
        <v>1</v>
      </c>
      <c r="R1053" s="19">
        <v>13</v>
      </c>
      <c r="S1053" s="19">
        <v>1387</v>
      </c>
      <c r="T1053" s="19">
        <v>1287</v>
      </c>
      <c r="U1053" s="93">
        <v>1105</v>
      </c>
      <c r="V1053" s="19">
        <v>186</v>
      </c>
      <c r="W1053" s="205" t="s">
        <v>233</v>
      </c>
      <c r="X1053" s="205" t="s">
        <v>233</v>
      </c>
      <c r="Y1053" s="206" t="s">
        <v>233</v>
      </c>
      <c r="Z1053" s="205" t="s">
        <v>233</v>
      </c>
      <c r="AA1053" s="205" t="s">
        <v>233</v>
      </c>
      <c r="AB1053" s="205" t="s">
        <v>233</v>
      </c>
      <c r="AC1053" s="206" t="s">
        <v>240</v>
      </c>
      <c r="AD1053" s="205" t="s">
        <v>233</v>
      </c>
      <c r="AE1053" s="206" t="s">
        <v>240</v>
      </c>
      <c r="AF1053" s="212">
        <v>0</v>
      </c>
      <c r="AG1053" s="93">
        <v>1</v>
      </c>
      <c r="AH1053" s="93">
        <v>1</v>
      </c>
      <c r="AI1053" s="93">
        <v>0</v>
      </c>
      <c r="AJ1053" s="93">
        <v>0</v>
      </c>
      <c r="AK1053" s="93">
        <v>0</v>
      </c>
    </row>
    <row r="1054" spans="1:37" s="100" customFormat="1" outlineLevel="1">
      <c r="A1054" s="63">
        <v>1047</v>
      </c>
      <c r="B1054" s="93" t="s">
        <v>379</v>
      </c>
      <c r="C1054" s="93" t="s">
        <v>380</v>
      </c>
      <c r="D1054" s="94" t="s">
        <v>680</v>
      </c>
      <c r="E1054" s="96" t="s">
        <v>696</v>
      </c>
      <c r="F1054" s="99" t="s">
        <v>191</v>
      </c>
      <c r="G1054" s="93"/>
      <c r="H1054" s="102" t="s">
        <v>697</v>
      </c>
      <c r="I1054" s="93" t="s">
        <v>383</v>
      </c>
      <c r="J1054" s="93"/>
      <c r="K1054" s="96" t="s">
        <v>384</v>
      </c>
      <c r="L1054" s="93" t="s">
        <v>232</v>
      </c>
      <c r="M1054" s="97">
        <v>1902</v>
      </c>
      <c r="N1054" s="64" t="s">
        <v>385</v>
      </c>
      <c r="O1054" s="202">
        <v>4</v>
      </c>
      <c r="P1054" s="196">
        <v>0</v>
      </c>
      <c r="Q1054" s="202">
        <v>2</v>
      </c>
      <c r="R1054" s="19">
        <v>8</v>
      </c>
      <c r="S1054" s="19">
        <v>1056</v>
      </c>
      <c r="T1054" s="19">
        <v>938</v>
      </c>
      <c r="U1054" s="93">
        <v>869</v>
      </c>
      <c r="V1054" s="19">
        <v>69</v>
      </c>
      <c r="W1054" s="205" t="s">
        <v>233</v>
      </c>
      <c r="X1054" s="205" t="s">
        <v>233</v>
      </c>
      <c r="Y1054" s="206" t="s">
        <v>233</v>
      </c>
      <c r="Z1054" s="205" t="s">
        <v>233</v>
      </c>
      <c r="AA1054" s="205" t="s">
        <v>233</v>
      </c>
      <c r="AB1054" s="205" t="s">
        <v>233</v>
      </c>
      <c r="AC1054" s="206" t="s">
        <v>240</v>
      </c>
      <c r="AD1054" s="205" t="s">
        <v>233</v>
      </c>
      <c r="AE1054" s="206" t="s">
        <v>240</v>
      </c>
      <c r="AF1054" s="212">
        <v>0</v>
      </c>
      <c r="AG1054" s="93">
        <v>0</v>
      </c>
      <c r="AH1054" s="93">
        <v>1</v>
      </c>
      <c r="AI1054" s="93">
        <v>0</v>
      </c>
      <c r="AJ1054" s="93">
        <v>0</v>
      </c>
      <c r="AK1054" s="93">
        <v>0</v>
      </c>
    </row>
    <row r="1055" spans="1:37" s="100" customFormat="1" outlineLevel="1">
      <c r="A1055" s="63">
        <v>1048</v>
      </c>
      <c r="B1055" s="93" t="s">
        <v>379</v>
      </c>
      <c r="C1055" s="93" t="s">
        <v>380</v>
      </c>
      <c r="D1055" s="94" t="s">
        <v>680</v>
      </c>
      <c r="E1055" s="96" t="s">
        <v>275</v>
      </c>
      <c r="F1055" s="99" t="s">
        <v>191</v>
      </c>
      <c r="G1055" s="93"/>
      <c r="H1055" s="102" t="s">
        <v>698</v>
      </c>
      <c r="I1055" s="93" t="s">
        <v>383</v>
      </c>
      <c r="J1055" s="93"/>
      <c r="K1055" s="96" t="s">
        <v>384</v>
      </c>
      <c r="L1055" s="93" t="s">
        <v>232</v>
      </c>
      <c r="M1055" s="97">
        <v>1900</v>
      </c>
      <c r="N1055" s="64" t="s">
        <v>385</v>
      </c>
      <c r="O1055" s="202">
        <v>6</v>
      </c>
      <c r="P1055" s="196">
        <v>0</v>
      </c>
      <c r="Q1055" s="202">
        <v>1</v>
      </c>
      <c r="R1055" s="19">
        <v>25</v>
      </c>
      <c r="S1055" s="19">
        <v>1702</v>
      </c>
      <c r="T1055" s="19">
        <v>1503</v>
      </c>
      <c r="U1055" s="93">
        <v>1282</v>
      </c>
      <c r="V1055" s="19">
        <v>236</v>
      </c>
      <c r="W1055" s="205" t="s">
        <v>233</v>
      </c>
      <c r="X1055" s="205" t="s">
        <v>233</v>
      </c>
      <c r="Y1055" s="206" t="s">
        <v>233</v>
      </c>
      <c r="Z1055" s="205" t="s">
        <v>233</v>
      </c>
      <c r="AA1055" s="205" t="s">
        <v>233</v>
      </c>
      <c r="AB1055" s="205" t="s">
        <v>233</v>
      </c>
      <c r="AC1055" s="206" t="s">
        <v>240</v>
      </c>
      <c r="AD1055" s="205" t="s">
        <v>233</v>
      </c>
      <c r="AE1055" s="206" t="s">
        <v>240</v>
      </c>
      <c r="AF1055" s="212">
        <v>1</v>
      </c>
      <c r="AG1055" s="93">
        <v>1</v>
      </c>
      <c r="AH1055" s="93">
        <v>1</v>
      </c>
      <c r="AI1055" s="93">
        <v>1</v>
      </c>
      <c r="AJ1055" s="93">
        <v>1</v>
      </c>
      <c r="AK1055" s="93">
        <v>0</v>
      </c>
    </row>
    <row r="1056" spans="1:37" s="100" customFormat="1" outlineLevel="1">
      <c r="A1056" s="63">
        <v>1049</v>
      </c>
      <c r="B1056" s="93" t="s">
        <v>379</v>
      </c>
      <c r="C1056" s="93" t="s">
        <v>380</v>
      </c>
      <c r="D1056" s="94" t="s">
        <v>680</v>
      </c>
      <c r="E1056" s="93">
        <v>23</v>
      </c>
      <c r="F1056" s="99" t="s">
        <v>191</v>
      </c>
      <c r="G1056" s="93"/>
      <c r="H1056" s="102" t="s">
        <v>699</v>
      </c>
      <c r="I1056" s="93" t="s">
        <v>383</v>
      </c>
      <c r="J1056" s="93"/>
      <c r="K1056" s="96" t="s">
        <v>384</v>
      </c>
      <c r="L1056" s="93" t="s">
        <v>232</v>
      </c>
      <c r="M1056" s="97">
        <v>1873</v>
      </c>
      <c r="N1056" s="64" t="s">
        <v>385</v>
      </c>
      <c r="O1056" s="202">
        <v>5</v>
      </c>
      <c r="P1056" s="196">
        <v>0</v>
      </c>
      <c r="Q1056" s="202">
        <v>1</v>
      </c>
      <c r="R1056" s="19">
        <v>10</v>
      </c>
      <c r="S1056" s="19">
        <v>910</v>
      </c>
      <c r="T1056" s="19">
        <v>800</v>
      </c>
      <c r="U1056" s="93">
        <v>764</v>
      </c>
      <c r="V1056" s="19">
        <v>71</v>
      </c>
      <c r="W1056" s="205" t="s">
        <v>233</v>
      </c>
      <c r="X1056" s="205" t="s">
        <v>233</v>
      </c>
      <c r="Y1056" s="206" t="s">
        <v>233</v>
      </c>
      <c r="Z1056" s="205" t="s">
        <v>233</v>
      </c>
      <c r="AA1056" s="205" t="s">
        <v>233</v>
      </c>
      <c r="AB1056" s="205" t="s">
        <v>233</v>
      </c>
      <c r="AC1056" s="206" t="s">
        <v>240</v>
      </c>
      <c r="AD1056" s="205" t="s">
        <v>233</v>
      </c>
      <c r="AE1056" s="206" t="s">
        <v>240</v>
      </c>
      <c r="AF1056" s="212">
        <v>0</v>
      </c>
      <c r="AG1056" s="93">
        <v>1</v>
      </c>
      <c r="AH1056" s="93">
        <v>1</v>
      </c>
      <c r="AI1056" s="93">
        <v>0</v>
      </c>
      <c r="AJ1056" s="93">
        <v>0</v>
      </c>
      <c r="AK1056" s="93">
        <v>0</v>
      </c>
    </row>
    <row r="1057" spans="1:37" s="100" customFormat="1" outlineLevel="1">
      <c r="A1057" s="63">
        <v>1050</v>
      </c>
      <c r="B1057" s="93" t="s">
        <v>379</v>
      </c>
      <c r="C1057" s="93" t="s">
        <v>380</v>
      </c>
      <c r="D1057" s="94" t="s">
        <v>680</v>
      </c>
      <c r="E1057" s="93">
        <v>23</v>
      </c>
      <c r="F1057" s="99" t="s">
        <v>231</v>
      </c>
      <c r="G1057" s="93"/>
      <c r="H1057" s="102" t="s">
        <v>700</v>
      </c>
      <c r="I1057" s="93" t="s">
        <v>383</v>
      </c>
      <c r="J1057" s="93"/>
      <c r="K1057" s="96" t="s">
        <v>384</v>
      </c>
      <c r="L1057" s="93" t="s">
        <v>232</v>
      </c>
      <c r="M1057" s="97">
        <v>1874</v>
      </c>
      <c r="N1057" s="64" t="s">
        <v>385</v>
      </c>
      <c r="O1057" s="202">
        <v>5</v>
      </c>
      <c r="P1057" s="196">
        <v>0</v>
      </c>
      <c r="Q1057" s="202">
        <v>1</v>
      </c>
      <c r="R1057" s="19">
        <v>8</v>
      </c>
      <c r="S1057" s="19">
        <v>660</v>
      </c>
      <c r="T1057" s="19">
        <v>580</v>
      </c>
      <c r="U1057" s="93">
        <v>491</v>
      </c>
      <c r="V1057" s="19">
        <v>70</v>
      </c>
      <c r="W1057" s="205" t="s">
        <v>233</v>
      </c>
      <c r="X1057" s="205" t="s">
        <v>233</v>
      </c>
      <c r="Y1057" s="206" t="s">
        <v>233</v>
      </c>
      <c r="Z1057" s="205" t="s">
        <v>233</v>
      </c>
      <c r="AA1057" s="205" t="s">
        <v>233</v>
      </c>
      <c r="AB1057" s="205" t="s">
        <v>233</v>
      </c>
      <c r="AC1057" s="206" t="s">
        <v>240</v>
      </c>
      <c r="AD1057" s="205" t="s">
        <v>233</v>
      </c>
      <c r="AE1057" s="206" t="s">
        <v>240</v>
      </c>
      <c r="AF1057" s="212">
        <v>0</v>
      </c>
      <c r="AG1057" s="93">
        <v>1</v>
      </c>
      <c r="AH1057" s="93">
        <v>0</v>
      </c>
      <c r="AI1057" s="93">
        <v>0</v>
      </c>
      <c r="AJ1057" s="93">
        <v>0</v>
      </c>
      <c r="AK1057" s="93">
        <v>0</v>
      </c>
    </row>
    <row r="1058" spans="1:37" s="100" customFormat="1" outlineLevel="1">
      <c r="A1058" s="63">
        <v>1051</v>
      </c>
      <c r="B1058" s="93" t="s">
        <v>379</v>
      </c>
      <c r="C1058" s="93" t="s">
        <v>380</v>
      </c>
      <c r="D1058" s="94" t="s">
        <v>680</v>
      </c>
      <c r="E1058" s="93">
        <v>25</v>
      </c>
      <c r="F1058" s="99" t="s">
        <v>191</v>
      </c>
      <c r="G1058" s="93"/>
      <c r="H1058" s="102" t="s">
        <v>701</v>
      </c>
      <c r="I1058" s="93" t="s">
        <v>383</v>
      </c>
      <c r="J1058" s="93"/>
      <c r="K1058" s="96" t="s">
        <v>384</v>
      </c>
      <c r="L1058" s="93" t="s">
        <v>232</v>
      </c>
      <c r="M1058" s="97">
        <v>1873</v>
      </c>
      <c r="N1058" s="64" t="s">
        <v>385</v>
      </c>
      <c r="O1058" s="202">
        <v>5</v>
      </c>
      <c r="P1058" s="196">
        <v>0</v>
      </c>
      <c r="Q1058" s="202">
        <v>2</v>
      </c>
      <c r="R1058" s="19">
        <v>14</v>
      </c>
      <c r="S1058" s="19">
        <v>1222</v>
      </c>
      <c r="T1058" s="19">
        <v>994</v>
      </c>
      <c r="U1058" s="93">
        <v>994</v>
      </c>
      <c r="V1058" s="19">
        <v>232</v>
      </c>
      <c r="W1058" s="205" t="s">
        <v>233</v>
      </c>
      <c r="X1058" s="205" t="s">
        <v>233</v>
      </c>
      <c r="Y1058" s="206" t="s">
        <v>233</v>
      </c>
      <c r="Z1058" s="205" t="s">
        <v>233</v>
      </c>
      <c r="AA1058" s="205" t="s">
        <v>233</v>
      </c>
      <c r="AB1058" s="205" t="s">
        <v>233</v>
      </c>
      <c r="AC1058" s="206" t="s">
        <v>240</v>
      </c>
      <c r="AD1058" s="205" t="s">
        <v>233</v>
      </c>
      <c r="AE1058" s="206" t="s">
        <v>240</v>
      </c>
      <c r="AF1058" s="212">
        <v>0</v>
      </c>
      <c r="AG1058" s="93">
        <v>1</v>
      </c>
      <c r="AH1058" s="93">
        <v>1</v>
      </c>
      <c r="AI1058" s="93">
        <v>0</v>
      </c>
      <c r="AJ1058" s="93">
        <v>0</v>
      </c>
      <c r="AK1058" s="93">
        <v>0</v>
      </c>
    </row>
    <row r="1059" spans="1:37" s="100" customFormat="1" outlineLevel="1">
      <c r="A1059" s="63">
        <v>1052</v>
      </c>
      <c r="B1059" s="93" t="s">
        <v>379</v>
      </c>
      <c r="C1059" s="93" t="s">
        <v>380</v>
      </c>
      <c r="D1059" s="94" t="s">
        <v>680</v>
      </c>
      <c r="E1059" s="93">
        <v>26</v>
      </c>
      <c r="F1059" s="99" t="s">
        <v>191</v>
      </c>
      <c r="G1059" s="93"/>
      <c r="H1059" s="102" t="s">
        <v>702</v>
      </c>
      <c r="I1059" s="93" t="s">
        <v>383</v>
      </c>
      <c r="J1059" s="93"/>
      <c r="K1059" s="96" t="s">
        <v>384</v>
      </c>
      <c r="L1059" s="93" t="s">
        <v>232</v>
      </c>
      <c r="M1059" s="97">
        <v>1862</v>
      </c>
      <c r="N1059" s="64" t="s">
        <v>385</v>
      </c>
      <c r="O1059" s="202">
        <v>4</v>
      </c>
      <c r="P1059" s="196">
        <v>0</v>
      </c>
      <c r="Q1059" s="202">
        <v>1</v>
      </c>
      <c r="R1059" s="19">
        <v>6</v>
      </c>
      <c r="S1059" s="19">
        <v>531</v>
      </c>
      <c r="T1059" s="19">
        <v>472</v>
      </c>
      <c r="U1059" s="93">
        <v>364</v>
      </c>
      <c r="V1059" s="19">
        <v>108</v>
      </c>
      <c r="W1059" s="205" t="s">
        <v>233</v>
      </c>
      <c r="X1059" s="205" t="s">
        <v>233</v>
      </c>
      <c r="Y1059" s="206" t="s">
        <v>233</v>
      </c>
      <c r="Z1059" s="205" t="s">
        <v>233</v>
      </c>
      <c r="AA1059" s="205" t="s">
        <v>233</v>
      </c>
      <c r="AB1059" s="205" t="s">
        <v>233</v>
      </c>
      <c r="AC1059" s="206" t="s">
        <v>240</v>
      </c>
      <c r="AD1059" s="205" t="s">
        <v>233</v>
      </c>
      <c r="AE1059" s="206" t="s">
        <v>240</v>
      </c>
      <c r="AF1059" s="212">
        <v>0</v>
      </c>
      <c r="AG1059" s="93">
        <v>1</v>
      </c>
      <c r="AH1059" s="93">
        <v>0</v>
      </c>
      <c r="AI1059" s="93">
        <v>0</v>
      </c>
      <c r="AJ1059" s="93">
        <v>0</v>
      </c>
      <c r="AK1059" s="93">
        <v>0</v>
      </c>
    </row>
    <row r="1060" spans="1:37" s="100" customFormat="1" outlineLevel="1">
      <c r="A1060" s="63">
        <v>1053</v>
      </c>
      <c r="B1060" s="93" t="s">
        <v>379</v>
      </c>
      <c r="C1060" s="93" t="s">
        <v>380</v>
      </c>
      <c r="D1060" s="94" t="s">
        <v>680</v>
      </c>
      <c r="E1060" s="93">
        <v>28</v>
      </c>
      <c r="F1060" s="99" t="s">
        <v>191</v>
      </c>
      <c r="G1060" s="93"/>
      <c r="H1060" s="102" t="s">
        <v>703</v>
      </c>
      <c r="I1060" s="93" t="s">
        <v>383</v>
      </c>
      <c r="J1060" s="93"/>
      <c r="K1060" s="96" t="s">
        <v>384</v>
      </c>
      <c r="L1060" s="93" t="s">
        <v>232</v>
      </c>
      <c r="M1060" s="97">
        <v>1862</v>
      </c>
      <c r="N1060" s="64" t="s">
        <v>385</v>
      </c>
      <c r="O1060" s="202">
        <v>4</v>
      </c>
      <c r="P1060" s="196">
        <v>0</v>
      </c>
      <c r="Q1060" s="202">
        <v>1</v>
      </c>
      <c r="R1060" s="19">
        <v>6</v>
      </c>
      <c r="S1060" s="19">
        <v>587</v>
      </c>
      <c r="T1060" s="19">
        <v>534</v>
      </c>
      <c r="U1060" s="93">
        <v>403</v>
      </c>
      <c r="V1060" s="19">
        <v>131</v>
      </c>
      <c r="W1060" s="205" t="s">
        <v>233</v>
      </c>
      <c r="X1060" s="205" t="s">
        <v>233</v>
      </c>
      <c r="Y1060" s="206" t="s">
        <v>233</v>
      </c>
      <c r="Z1060" s="205" t="s">
        <v>233</v>
      </c>
      <c r="AA1060" s="205" t="s">
        <v>233</v>
      </c>
      <c r="AB1060" s="205" t="s">
        <v>233</v>
      </c>
      <c r="AC1060" s="206" t="s">
        <v>240</v>
      </c>
      <c r="AD1060" s="205" t="s">
        <v>233</v>
      </c>
      <c r="AE1060" s="206" t="s">
        <v>240</v>
      </c>
      <c r="AF1060" s="212">
        <v>0</v>
      </c>
      <c r="AG1060" s="93">
        <v>1</v>
      </c>
      <c r="AH1060" s="93">
        <v>0</v>
      </c>
      <c r="AI1060" s="93">
        <v>0</v>
      </c>
      <c r="AJ1060" s="93">
        <v>0</v>
      </c>
      <c r="AK1060" s="93">
        <v>0</v>
      </c>
    </row>
    <row r="1061" spans="1:37" s="100" customFormat="1" outlineLevel="1">
      <c r="A1061" s="63">
        <v>1054</v>
      </c>
      <c r="B1061" s="93" t="s">
        <v>379</v>
      </c>
      <c r="C1061" s="93" t="s">
        <v>380</v>
      </c>
      <c r="D1061" s="94" t="s">
        <v>680</v>
      </c>
      <c r="E1061" s="96" t="s">
        <v>704</v>
      </c>
      <c r="F1061" s="99" t="s">
        <v>191</v>
      </c>
      <c r="G1061" s="93"/>
      <c r="H1061" s="102" t="s">
        <v>705</v>
      </c>
      <c r="I1061" s="93" t="s">
        <v>383</v>
      </c>
      <c r="J1061" s="93"/>
      <c r="K1061" s="96" t="s">
        <v>384</v>
      </c>
      <c r="L1061" s="93" t="s">
        <v>232</v>
      </c>
      <c r="M1061" s="97">
        <v>1875</v>
      </c>
      <c r="N1061" s="64" t="s">
        <v>385</v>
      </c>
      <c r="O1061" s="202">
        <v>4.5</v>
      </c>
      <c r="P1061" s="196">
        <v>0</v>
      </c>
      <c r="Q1061" s="202">
        <v>2</v>
      </c>
      <c r="R1061" s="19">
        <v>22</v>
      </c>
      <c r="S1061" s="19">
        <v>1590</v>
      </c>
      <c r="T1061" s="19">
        <v>1267</v>
      </c>
      <c r="U1061" s="93">
        <v>1208</v>
      </c>
      <c r="V1061" s="19">
        <v>220</v>
      </c>
      <c r="W1061" s="205" t="s">
        <v>233</v>
      </c>
      <c r="X1061" s="205" t="s">
        <v>233</v>
      </c>
      <c r="Y1061" s="206" t="s">
        <v>233</v>
      </c>
      <c r="Z1061" s="205" t="s">
        <v>233</v>
      </c>
      <c r="AA1061" s="205" t="s">
        <v>233</v>
      </c>
      <c r="AB1061" s="205" t="s">
        <v>233</v>
      </c>
      <c r="AC1061" s="206" t="s">
        <v>240</v>
      </c>
      <c r="AD1061" s="205" t="s">
        <v>233</v>
      </c>
      <c r="AE1061" s="206" t="s">
        <v>240</v>
      </c>
      <c r="AF1061" s="212">
        <v>0</v>
      </c>
      <c r="AG1061" s="93">
        <v>1</v>
      </c>
      <c r="AH1061" s="93">
        <v>0</v>
      </c>
      <c r="AI1061" s="93">
        <v>0</v>
      </c>
      <c r="AJ1061" s="93">
        <v>0</v>
      </c>
      <c r="AK1061" s="93">
        <v>0</v>
      </c>
    </row>
    <row r="1062" spans="1:37" s="100" customFormat="1" outlineLevel="1">
      <c r="A1062" s="63">
        <v>1055</v>
      </c>
      <c r="B1062" s="93" t="s">
        <v>379</v>
      </c>
      <c r="C1062" s="93" t="s">
        <v>380</v>
      </c>
      <c r="D1062" s="94" t="s">
        <v>680</v>
      </c>
      <c r="E1062" s="96" t="s">
        <v>704</v>
      </c>
      <c r="F1062" s="99" t="s">
        <v>231</v>
      </c>
      <c r="G1062" s="93"/>
      <c r="H1062" s="102" t="s">
        <v>706</v>
      </c>
      <c r="I1062" s="93" t="s">
        <v>383</v>
      </c>
      <c r="J1062" s="93"/>
      <c r="K1062" s="96" t="s">
        <v>384</v>
      </c>
      <c r="L1062" s="93" t="s">
        <v>232</v>
      </c>
      <c r="M1062" s="97">
        <v>1879</v>
      </c>
      <c r="N1062" s="64" t="s">
        <v>385</v>
      </c>
      <c r="O1062" s="202">
        <v>5</v>
      </c>
      <c r="P1062" s="196">
        <v>0</v>
      </c>
      <c r="Q1062" s="202">
        <v>2</v>
      </c>
      <c r="R1062" s="19">
        <v>14</v>
      </c>
      <c r="S1062" s="19">
        <v>1188</v>
      </c>
      <c r="T1062" s="19">
        <v>956</v>
      </c>
      <c r="U1062" s="93">
        <v>834</v>
      </c>
      <c r="V1062" s="19">
        <v>204</v>
      </c>
      <c r="W1062" s="205" t="s">
        <v>233</v>
      </c>
      <c r="X1062" s="205" t="s">
        <v>233</v>
      </c>
      <c r="Y1062" s="206" t="s">
        <v>233</v>
      </c>
      <c r="Z1062" s="205" t="s">
        <v>233</v>
      </c>
      <c r="AA1062" s="205" t="s">
        <v>233</v>
      </c>
      <c r="AB1062" s="205" t="s">
        <v>233</v>
      </c>
      <c r="AC1062" s="206" t="s">
        <v>240</v>
      </c>
      <c r="AD1062" s="205" t="s">
        <v>233</v>
      </c>
      <c r="AE1062" s="206" t="s">
        <v>240</v>
      </c>
      <c r="AF1062" s="212">
        <v>0</v>
      </c>
      <c r="AG1062" s="93">
        <v>1</v>
      </c>
      <c r="AH1062" s="93">
        <v>1</v>
      </c>
      <c r="AI1062" s="93">
        <v>1</v>
      </c>
      <c r="AJ1062" s="93">
        <v>1</v>
      </c>
      <c r="AK1062" s="93">
        <v>0</v>
      </c>
    </row>
    <row r="1063" spans="1:37" s="100" customFormat="1" outlineLevel="1">
      <c r="A1063" s="63">
        <v>1056</v>
      </c>
      <c r="B1063" s="93" t="s">
        <v>379</v>
      </c>
      <c r="C1063" s="93" t="s">
        <v>380</v>
      </c>
      <c r="D1063" s="94" t="s">
        <v>680</v>
      </c>
      <c r="E1063" s="93">
        <v>31</v>
      </c>
      <c r="F1063" s="99" t="s">
        <v>191</v>
      </c>
      <c r="G1063" s="93"/>
      <c r="H1063" s="102" t="s">
        <v>707</v>
      </c>
      <c r="I1063" s="93" t="s">
        <v>383</v>
      </c>
      <c r="J1063" s="93"/>
      <c r="K1063" s="96" t="s">
        <v>384</v>
      </c>
      <c r="L1063" s="93" t="s">
        <v>232</v>
      </c>
      <c r="M1063" s="97">
        <v>1911</v>
      </c>
      <c r="N1063" s="64" t="s">
        <v>385</v>
      </c>
      <c r="O1063" s="202">
        <v>5</v>
      </c>
      <c r="P1063" s="196">
        <v>0</v>
      </c>
      <c r="Q1063" s="202">
        <v>3</v>
      </c>
      <c r="R1063" s="19">
        <v>19</v>
      </c>
      <c r="S1063" s="19">
        <v>1700</v>
      </c>
      <c r="T1063" s="19">
        <v>1396</v>
      </c>
      <c r="U1063" s="93">
        <v>1247</v>
      </c>
      <c r="V1063" s="19">
        <v>182</v>
      </c>
      <c r="W1063" s="205" t="s">
        <v>233</v>
      </c>
      <c r="X1063" s="205" t="s">
        <v>233</v>
      </c>
      <c r="Y1063" s="206" t="s">
        <v>233</v>
      </c>
      <c r="Z1063" s="205" t="s">
        <v>233</v>
      </c>
      <c r="AA1063" s="205" t="s">
        <v>233</v>
      </c>
      <c r="AB1063" s="205" t="s">
        <v>233</v>
      </c>
      <c r="AC1063" s="206" t="s">
        <v>240</v>
      </c>
      <c r="AD1063" s="205" t="s">
        <v>233</v>
      </c>
      <c r="AE1063" s="206" t="s">
        <v>240</v>
      </c>
      <c r="AF1063" s="212">
        <v>0</v>
      </c>
      <c r="AG1063" s="93">
        <v>1</v>
      </c>
      <c r="AH1063" s="93">
        <v>1</v>
      </c>
      <c r="AI1063" s="93">
        <v>1</v>
      </c>
      <c r="AJ1063" s="93">
        <v>1</v>
      </c>
      <c r="AK1063" s="93">
        <v>0</v>
      </c>
    </row>
    <row r="1064" spans="1:37" s="100" customFormat="1" outlineLevel="1">
      <c r="A1064" s="63">
        <v>1057</v>
      </c>
      <c r="B1064" s="93" t="s">
        <v>379</v>
      </c>
      <c r="C1064" s="93" t="s">
        <v>380</v>
      </c>
      <c r="D1064" s="94" t="s">
        <v>680</v>
      </c>
      <c r="E1064" s="93">
        <v>32</v>
      </c>
      <c r="F1064" s="99" t="s">
        <v>191</v>
      </c>
      <c r="G1064" s="93"/>
      <c r="H1064" s="102" t="s">
        <v>708</v>
      </c>
      <c r="I1064" s="93" t="s">
        <v>383</v>
      </c>
      <c r="J1064" s="93"/>
      <c r="K1064" s="96" t="s">
        <v>384</v>
      </c>
      <c r="L1064" s="93" t="s">
        <v>232</v>
      </c>
      <c r="M1064" s="97">
        <v>1912</v>
      </c>
      <c r="N1064" s="64" t="s">
        <v>385</v>
      </c>
      <c r="O1064" s="202">
        <v>5</v>
      </c>
      <c r="P1064" s="196">
        <v>0</v>
      </c>
      <c r="Q1064" s="202">
        <v>1</v>
      </c>
      <c r="R1064" s="19">
        <v>14</v>
      </c>
      <c r="S1064" s="19">
        <v>1021</v>
      </c>
      <c r="T1064" s="19">
        <v>861</v>
      </c>
      <c r="U1064" s="93">
        <v>759</v>
      </c>
      <c r="V1064" s="19">
        <v>112</v>
      </c>
      <c r="W1064" s="205" t="s">
        <v>233</v>
      </c>
      <c r="X1064" s="205" t="s">
        <v>233</v>
      </c>
      <c r="Y1064" s="206" t="s">
        <v>233</v>
      </c>
      <c r="Z1064" s="205" t="s">
        <v>233</v>
      </c>
      <c r="AA1064" s="205" t="s">
        <v>233</v>
      </c>
      <c r="AB1064" s="205" t="s">
        <v>233</v>
      </c>
      <c r="AC1064" s="206" t="s">
        <v>240</v>
      </c>
      <c r="AD1064" s="205" t="s">
        <v>233</v>
      </c>
      <c r="AE1064" s="206" t="s">
        <v>240</v>
      </c>
      <c r="AF1064" s="212">
        <v>1</v>
      </c>
      <c r="AG1064" s="93">
        <v>1</v>
      </c>
      <c r="AH1064" s="93">
        <v>1</v>
      </c>
      <c r="AI1064" s="93">
        <v>0</v>
      </c>
      <c r="AJ1064" s="93">
        <v>0</v>
      </c>
      <c r="AK1064" s="93">
        <v>0</v>
      </c>
    </row>
    <row r="1065" spans="1:37" s="100" customFormat="1" outlineLevel="1">
      <c r="A1065" s="63">
        <v>1058</v>
      </c>
      <c r="B1065" s="93" t="s">
        <v>379</v>
      </c>
      <c r="C1065" s="93" t="s">
        <v>380</v>
      </c>
      <c r="D1065" s="94" t="s">
        <v>680</v>
      </c>
      <c r="E1065" s="93">
        <v>42</v>
      </c>
      <c r="F1065" s="99" t="s">
        <v>191</v>
      </c>
      <c r="G1065" s="93"/>
      <c r="H1065" s="102" t="s">
        <v>709</v>
      </c>
      <c r="I1065" s="93" t="s">
        <v>383</v>
      </c>
      <c r="J1065" s="93"/>
      <c r="K1065" s="96" t="s">
        <v>384</v>
      </c>
      <c r="L1065" s="93" t="s">
        <v>232</v>
      </c>
      <c r="M1065" s="97">
        <v>1880</v>
      </c>
      <c r="N1065" s="64" t="s">
        <v>385</v>
      </c>
      <c r="O1065" s="202">
        <v>4</v>
      </c>
      <c r="P1065" s="196">
        <v>0</v>
      </c>
      <c r="Q1065" s="202">
        <v>1</v>
      </c>
      <c r="R1065" s="19">
        <v>7</v>
      </c>
      <c r="S1065" s="19">
        <v>511</v>
      </c>
      <c r="T1065" s="19">
        <v>422</v>
      </c>
      <c r="U1065" s="93">
        <v>397</v>
      </c>
      <c r="V1065" s="19">
        <v>54</v>
      </c>
      <c r="W1065" s="205" t="s">
        <v>233</v>
      </c>
      <c r="X1065" s="205" t="s">
        <v>233</v>
      </c>
      <c r="Y1065" s="206" t="s">
        <v>233</v>
      </c>
      <c r="Z1065" s="205" t="s">
        <v>233</v>
      </c>
      <c r="AA1065" s="205" t="s">
        <v>233</v>
      </c>
      <c r="AB1065" s="205" t="s">
        <v>233</v>
      </c>
      <c r="AC1065" s="206" t="s">
        <v>240</v>
      </c>
      <c r="AD1065" s="205" t="s">
        <v>233</v>
      </c>
      <c r="AE1065" s="206" t="s">
        <v>240</v>
      </c>
      <c r="AF1065" s="212">
        <v>0</v>
      </c>
      <c r="AG1065" s="93">
        <v>1</v>
      </c>
      <c r="AH1065" s="93">
        <v>1</v>
      </c>
      <c r="AI1065" s="93">
        <v>0</v>
      </c>
      <c r="AJ1065" s="93">
        <v>0</v>
      </c>
      <c r="AK1065" s="93">
        <v>0</v>
      </c>
    </row>
    <row r="1066" spans="1:37" s="100" customFormat="1" outlineLevel="1">
      <c r="A1066" s="63">
        <v>1059</v>
      </c>
      <c r="B1066" s="93" t="s">
        <v>379</v>
      </c>
      <c r="C1066" s="93" t="s">
        <v>380</v>
      </c>
      <c r="D1066" s="94" t="s">
        <v>680</v>
      </c>
      <c r="E1066" s="93">
        <v>43</v>
      </c>
      <c r="F1066" s="99" t="s">
        <v>191</v>
      </c>
      <c r="G1066" s="93"/>
      <c r="H1066" s="102" t="s">
        <v>710</v>
      </c>
      <c r="I1066" s="93" t="s">
        <v>383</v>
      </c>
      <c r="J1066" s="93"/>
      <c r="K1066" s="96" t="s">
        <v>384</v>
      </c>
      <c r="L1066" s="93" t="s">
        <v>232</v>
      </c>
      <c r="M1066" s="97">
        <v>1857</v>
      </c>
      <c r="N1066" s="64" t="s">
        <v>385</v>
      </c>
      <c r="O1066" s="202">
        <v>5</v>
      </c>
      <c r="P1066" s="196">
        <v>0</v>
      </c>
      <c r="Q1066" s="202">
        <v>4</v>
      </c>
      <c r="R1066" s="19">
        <v>34</v>
      </c>
      <c r="S1066" s="19">
        <v>3085</v>
      </c>
      <c r="T1066" s="19">
        <v>2730</v>
      </c>
      <c r="U1066" s="93">
        <v>2394</v>
      </c>
      <c r="V1066" s="19">
        <v>328</v>
      </c>
      <c r="W1066" s="205" t="s">
        <v>233</v>
      </c>
      <c r="X1066" s="205" t="s">
        <v>233</v>
      </c>
      <c r="Y1066" s="206" t="s">
        <v>233</v>
      </c>
      <c r="Z1066" s="205" t="s">
        <v>233</v>
      </c>
      <c r="AA1066" s="205" t="s">
        <v>233</v>
      </c>
      <c r="AB1066" s="205" t="s">
        <v>233</v>
      </c>
      <c r="AC1066" s="206" t="s">
        <v>240</v>
      </c>
      <c r="AD1066" s="205" t="s">
        <v>233</v>
      </c>
      <c r="AE1066" s="206" t="s">
        <v>240</v>
      </c>
      <c r="AF1066" s="212">
        <v>0</v>
      </c>
      <c r="AG1066" s="93">
        <v>1</v>
      </c>
      <c r="AH1066" s="93">
        <v>1</v>
      </c>
      <c r="AI1066" s="93">
        <v>0</v>
      </c>
      <c r="AJ1066" s="93">
        <v>0</v>
      </c>
      <c r="AK1066" s="93">
        <v>0</v>
      </c>
    </row>
    <row r="1067" spans="1:37" s="100" customFormat="1" outlineLevel="1">
      <c r="A1067" s="63">
        <v>1060</v>
      </c>
      <c r="B1067" s="93" t="s">
        <v>379</v>
      </c>
      <c r="C1067" s="93" t="s">
        <v>380</v>
      </c>
      <c r="D1067" s="94" t="s">
        <v>680</v>
      </c>
      <c r="E1067" s="96" t="s">
        <v>711</v>
      </c>
      <c r="F1067" s="99" t="s">
        <v>191</v>
      </c>
      <c r="G1067" s="93"/>
      <c r="H1067" s="102" t="s">
        <v>712</v>
      </c>
      <c r="I1067" s="93" t="s">
        <v>383</v>
      </c>
      <c r="J1067" s="93"/>
      <c r="K1067" s="96" t="s">
        <v>384</v>
      </c>
      <c r="L1067" s="93" t="s">
        <v>232</v>
      </c>
      <c r="M1067" s="97">
        <v>1878</v>
      </c>
      <c r="N1067" s="64" t="s">
        <v>385</v>
      </c>
      <c r="O1067" s="202">
        <v>2.4</v>
      </c>
      <c r="P1067" s="196">
        <v>0</v>
      </c>
      <c r="Q1067" s="202">
        <v>5</v>
      </c>
      <c r="R1067" s="19">
        <v>17</v>
      </c>
      <c r="S1067" s="19">
        <v>2184</v>
      </c>
      <c r="T1067" s="19">
        <v>2138</v>
      </c>
      <c r="U1067" s="93">
        <v>1562</v>
      </c>
      <c r="V1067" s="19">
        <v>316</v>
      </c>
      <c r="W1067" s="205" t="s">
        <v>233</v>
      </c>
      <c r="X1067" s="205" t="s">
        <v>233</v>
      </c>
      <c r="Y1067" s="206" t="s">
        <v>233</v>
      </c>
      <c r="Z1067" s="205" t="s">
        <v>233</v>
      </c>
      <c r="AA1067" s="205" t="s">
        <v>233</v>
      </c>
      <c r="AB1067" s="205" t="s">
        <v>233</v>
      </c>
      <c r="AC1067" s="206" t="s">
        <v>240</v>
      </c>
      <c r="AD1067" s="205" t="s">
        <v>233</v>
      </c>
      <c r="AE1067" s="206" t="s">
        <v>240</v>
      </c>
      <c r="AF1067" s="212">
        <v>0</v>
      </c>
      <c r="AG1067" s="93">
        <v>1</v>
      </c>
      <c r="AH1067" s="93">
        <v>0</v>
      </c>
      <c r="AI1067" s="93">
        <v>0</v>
      </c>
      <c r="AJ1067" s="93">
        <v>0</v>
      </c>
      <c r="AK1067" s="93">
        <v>0</v>
      </c>
    </row>
    <row r="1068" spans="1:37" s="100" customFormat="1" outlineLevel="1">
      <c r="A1068" s="63">
        <v>1061</v>
      </c>
      <c r="B1068" s="93" t="s">
        <v>379</v>
      </c>
      <c r="C1068" s="93" t="s">
        <v>380</v>
      </c>
      <c r="D1068" s="94" t="s">
        <v>680</v>
      </c>
      <c r="E1068" s="96" t="s">
        <v>713</v>
      </c>
      <c r="F1068" s="99" t="s">
        <v>191</v>
      </c>
      <c r="G1068" s="93"/>
      <c r="H1068" s="102" t="s">
        <v>714</v>
      </c>
      <c r="I1068" s="93" t="s">
        <v>383</v>
      </c>
      <c r="J1068" s="93"/>
      <c r="K1068" s="96" t="s">
        <v>384</v>
      </c>
      <c r="L1068" s="93" t="s">
        <v>232</v>
      </c>
      <c r="M1068" s="97">
        <v>1911</v>
      </c>
      <c r="N1068" s="64" t="s">
        <v>385</v>
      </c>
      <c r="O1068" s="202">
        <v>6</v>
      </c>
      <c r="P1068" s="196">
        <v>0</v>
      </c>
      <c r="Q1068" s="202">
        <v>5</v>
      </c>
      <c r="R1068" s="19">
        <v>47</v>
      </c>
      <c r="S1068" s="19">
        <v>5189</v>
      </c>
      <c r="T1068" s="19">
        <v>4179</v>
      </c>
      <c r="U1068" s="93">
        <v>4047</v>
      </c>
      <c r="V1068" s="19">
        <v>490</v>
      </c>
      <c r="W1068" s="205" t="s">
        <v>233</v>
      </c>
      <c r="X1068" s="205" t="s">
        <v>233</v>
      </c>
      <c r="Y1068" s="206" t="s">
        <v>233</v>
      </c>
      <c r="Z1068" s="205" t="s">
        <v>233</v>
      </c>
      <c r="AA1068" s="205" t="s">
        <v>233</v>
      </c>
      <c r="AB1068" s="205" t="s">
        <v>233</v>
      </c>
      <c r="AC1068" s="206" t="s">
        <v>240</v>
      </c>
      <c r="AD1068" s="205" t="s">
        <v>233</v>
      </c>
      <c r="AE1068" s="206" t="s">
        <v>240</v>
      </c>
      <c r="AF1068" s="212">
        <v>3</v>
      </c>
      <c r="AG1068" s="93">
        <v>1</v>
      </c>
      <c r="AH1068" s="93">
        <v>1</v>
      </c>
      <c r="AI1068" s="93">
        <v>1</v>
      </c>
      <c r="AJ1068" s="93">
        <v>1</v>
      </c>
      <c r="AK1068" s="93">
        <v>0</v>
      </c>
    </row>
    <row r="1069" spans="1:37" s="100" customFormat="1" outlineLevel="1">
      <c r="A1069" s="63">
        <v>1062</v>
      </c>
      <c r="B1069" s="93" t="s">
        <v>379</v>
      </c>
      <c r="C1069" s="93" t="s">
        <v>380</v>
      </c>
      <c r="D1069" s="94" t="s">
        <v>715</v>
      </c>
      <c r="E1069" s="93">
        <v>90</v>
      </c>
      <c r="F1069" s="99">
        <v>7</v>
      </c>
      <c r="G1069" s="93"/>
      <c r="H1069" s="102" t="s">
        <v>716</v>
      </c>
      <c r="I1069" s="93" t="s">
        <v>383</v>
      </c>
      <c r="J1069" s="93"/>
      <c r="K1069" s="96" t="s">
        <v>384</v>
      </c>
      <c r="L1069" s="93" t="s">
        <v>232</v>
      </c>
      <c r="M1069" s="97">
        <v>1803</v>
      </c>
      <c r="N1069" s="64" t="s">
        <v>385</v>
      </c>
      <c r="O1069" s="202">
        <v>3</v>
      </c>
      <c r="P1069" s="196">
        <v>0</v>
      </c>
      <c r="Q1069" s="99">
        <v>1</v>
      </c>
      <c r="R1069" s="103">
        <v>8</v>
      </c>
      <c r="S1069" s="19">
        <v>1222</v>
      </c>
      <c r="T1069" s="19">
        <v>1150</v>
      </c>
      <c r="U1069" s="93">
        <v>789</v>
      </c>
      <c r="V1069" s="19">
        <v>364</v>
      </c>
      <c r="W1069" s="205" t="s">
        <v>233</v>
      </c>
      <c r="X1069" s="205" t="s">
        <v>233</v>
      </c>
      <c r="Y1069" s="206" t="s">
        <v>240</v>
      </c>
      <c r="Z1069" s="205" t="s">
        <v>233</v>
      </c>
      <c r="AA1069" s="205" t="s">
        <v>233</v>
      </c>
      <c r="AB1069" s="205" t="s">
        <v>233</v>
      </c>
      <c r="AC1069" s="206" t="s">
        <v>233</v>
      </c>
      <c r="AD1069" s="205" t="s">
        <v>233</v>
      </c>
      <c r="AE1069" s="206" t="s">
        <v>240</v>
      </c>
      <c r="AF1069" s="212">
        <v>0</v>
      </c>
      <c r="AG1069" s="93">
        <v>1</v>
      </c>
      <c r="AH1069" s="93">
        <v>1</v>
      </c>
      <c r="AI1069" s="93">
        <v>0</v>
      </c>
      <c r="AJ1069" s="93">
        <v>0</v>
      </c>
      <c r="AK1069" s="93">
        <v>0</v>
      </c>
    </row>
    <row r="1070" spans="1:37" s="100" customFormat="1" outlineLevel="1">
      <c r="A1070" s="63">
        <v>1063</v>
      </c>
      <c r="B1070" s="93" t="s">
        <v>379</v>
      </c>
      <c r="C1070" s="93" t="s">
        <v>380</v>
      </c>
      <c r="D1070" s="94" t="s">
        <v>715</v>
      </c>
      <c r="E1070" s="93">
        <v>104</v>
      </c>
      <c r="F1070" s="99" t="s">
        <v>191</v>
      </c>
      <c r="G1070" s="93"/>
      <c r="H1070" s="102" t="s">
        <v>717</v>
      </c>
      <c r="I1070" s="93" t="s">
        <v>383</v>
      </c>
      <c r="J1070" s="93"/>
      <c r="K1070" s="96" t="s">
        <v>384</v>
      </c>
      <c r="L1070" s="93" t="s">
        <v>232</v>
      </c>
      <c r="M1070" s="97">
        <v>1898</v>
      </c>
      <c r="N1070" s="64" t="s">
        <v>385</v>
      </c>
      <c r="O1070" s="202">
        <v>4</v>
      </c>
      <c r="P1070" s="196">
        <v>0</v>
      </c>
      <c r="Q1070" s="202">
        <v>4</v>
      </c>
      <c r="R1070" s="103">
        <v>18</v>
      </c>
      <c r="S1070" s="19">
        <v>2499</v>
      </c>
      <c r="T1070" s="19">
        <v>2024</v>
      </c>
      <c r="U1070" s="93">
        <v>1513</v>
      </c>
      <c r="V1070" s="19">
        <v>772</v>
      </c>
      <c r="W1070" s="205" t="s">
        <v>233</v>
      </c>
      <c r="X1070" s="205" t="s">
        <v>233</v>
      </c>
      <c r="Y1070" s="206" t="s">
        <v>240</v>
      </c>
      <c r="Z1070" s="205" t="s">
        <v>233</v>
      </c>
      <c r="AA1070" s="205" t="s">
        <v>233</v>
      </c>
      <c r="AB1070" s="205" t="s">
        <v>233</v>
      </c>
      <c r="AC1070" s="206" t="s">
        <v>233</v>
      </c>
      <c r="AD1070" s="205" t="s">
        <v>233</v>
      </c>
      <c r="AE1070" s="206" t="s">
        <v>240</v>
      </c>
      <c r="AF1070" s="212">
        <v>0</v>
      </c>
      <c r="AG1070" s="93">
        <v>0</v>
      </c>
      <c r="AH1070" s="93">
        <v>1</v>
      </c>
      <c r="AI1070" s="93">
        <v>0</v>
      </c>
      <c r="AJ1070" s="93">
        <v>1</v>
      </c>
      <c r="AK1070" s="93">
        <v>0</v>
      </c>
    </row>
    <row r="1071" spans="1:37" s="100" customFormat="1" outlineLevel="1">
      <c r="A1071" s="63">
        <v>1064</v>
      </c>
      <c r="B1071" s="93" t="s">
        <v>379</v>
      </c>
      <c r="C1071" s="93" t="s">
        <v>380</v>
      </c>
      <c r="D1071" s="94" t="s">
        <v>715</v>
      </c>
      <c r="E1071" s="93">
        <v>90</v>
      </c>
      <c r="F1071" s="99">
        <v>2</v>
      </c>
      <c r="G1071" s="93"/>
      <c r="H1071" s="102" t="s">
        <v>718</v>
      </c>
      <c r="I1071" s="93" t="s">
        <v>383</v>
      </c>
      <c r="J1071" s="93"/>
      <c r="K1071" s="96" t="s">
        <v>384</v>
      </c>
      <c r="L1071" s="93" t="s">
        <v>232</v>
      </c>
      <c r="M1071" s="97">
        <v>1960</v>
      </c>
      <c r="N1071" s="64" t="s">
        <v>385</v>
      </c>
      <c r="O1071" s="202">
        <v>3</v>
      </c>
      <c r="P1071" s="196">
        <v>0</v>
      </c>
      <c r="Q1071" s="202">
        <v>2</v>
      </c>
      <c r="R1071" s="103">
        <v>12</v>
      </c>
      <c r="S1071" s="19">
        <v>2047</v>
      </c>
      <c r="T1071" s="19">
        <v>1669</v>
      </c>
      <c r="U1071" s="93">
        <v>1034</v>
      </c>
      <c r="V1071" s="19">
        <v>640</v>
      </c>
      <c r="W1071" s="205" t="s">
        <v>233</v>
      </c>
      <c r="X1071" s="205" t="s">
        <v>233</v>
      </c>
      <c r="Y1071" s="206" t="s">
        <v>240</v>
      </c>
      <c r="Z1071" s="205" t="s">
        <v>233</v>
      </c>
      <c r="AA1071" s="205" t="s">
        <v>233</v>
      </c>
      <c r="AB1071" s="205" t="s">
        <v>233</v>
      </c>
      <c r="AC1071" s="206" t="s">
        <v>233</v>
      </c>
      <c r="AD1071" s="205" t="s">
        <v>233</v>
      </c>
      <c r="AE1071" s="206" t="s">
        <v>240</v>
      </c>
      <c r="AF1071" s="212">
        <v>0</v>
      </c>
      <c r="AG1071" s="93">
        <v>1</v>
      </c>
      <c r="AH1071" s="93">
        <v>1</v>
      </c>
      <c r="AI1071" s="93">
        <v>0</v>
      </c>
      <c r="AJ1071" s="93">
        <v>1</v>
      </c>
      <c r="AK1071" s="93">
        <v>0</v>
      </c>
    </row>
    <row r="1072" spans="1:37" s="100" customFormat="1" outlineLevel="1">
      <c r="A1072" s="63">
        <v>1065</v>
      </c>
      <c r="B1072" s="93" t="s">
        <v>379</v>
      </c>
      <c r="C1072" s="93" t="s">
        <v>380</v>
      </c>
      <c r="D1072" s="94" t="s">
        <v>715</v>
      </c>
      <c r="E1072" s="93">
        <v>90</v>
      </c>
      <c r="F1072" s="99">
        <v>20</v>
      </c>
      <c r="G1072" s="93"/>
      <c r="H1072" s="102" t="s">
        <v>719</v>
      </c>
      <c r="I1072" s="93" t="s">
        <v>383</v>
      </c>
      <c r="J1072" s="93"/>
      <c r="K1072" s="96" t="s">
        <v>384</v>
      </c>
      <c r="L1072" s="93" t="s">
        <v>232</v>
      </c>
      <c r="M1072" s="97">
        <v>1803</v>
      </c>
      <c r="N1072" s="64" t="s">
        <v>385</v>
      </c>
      <c r="O1072" s="202">
        <v>3</v>
      </c>
      <c r="P1072" s="196">
        <v>0</v>
      </c>
      <c r="Q1072" s="202">
        <v>1</v>
      </c>
      <c r="R1072" s="103">
        <v>4</v>
      </c>
      <c r="S1072" s="19">
        <v>483</v>
      </c>
      <c r="T1072" s="19">
        <v>439</v>
      </c>
      <c r="U1072" s="93">
        <v>439</v>
      </c>
      <c r="V1072" s="19">
        <v>0</v>
      </c>
      <c r="W1072" s="205" t="s">
        <v>233</v>
      </c>
      <c r="X1072" s="205" t="s">
        <v>233</v>
      </c>
      <c r="Y1072" s="206" t="s">
        <v>240</v>
      </c>
      <c r="Z1072" s="205" t="s">
        <v>233</v>
      </c>
      <c r="AA1072" s="205" t="s">
        <v>233</v>
      </c>
      <c r="AB1072" s="205" t="s">
        <v>233</v>
      </c>
      <c r="AC1072" s="206" t="s">
        <v>233</v>
      </c>
      <c r="AD1072" s="205" t="s">
        <v>233</v>
      </c>
      <c r="AE1072" s="206" t="s">
        <v>240</v>
      </c>
      <c r="AF1072" s="212">
        <v>0</v>
      </c>
      <c r="AG1072" s="93">
        <v>0</v>
      </c>
      <c r="AH1072" s="93">
        <v>1</v>
      </c>
      <c r="AI1072" s="93">
        <v>0</v>
      </c>
      <c r="AJ1072" s="93">
        <v>0</v>
      </c>
      <c r="AK1072" s="93">
        <v>0</v>
      </c>
    </row>
    <row r="1073" spans="1:37" s="100" customFormat="1" outlineLevel="1">
      <c r="A1073" s="63">
        <v>1066</v>
      </c>
      <c r="B1073" s="93" t="s">
        <v>379</v>
      </c>
      <c r="C1073" s="93" t="s">
        <v>380</v>
      </c>
      <c r="D1073" s="94" t="s">
        <v>715</v>
      </c>
      <c r="E1073" s="93">
        <v>94</v>
      </c>
      <c r="F1073" s="99" t="s">
        <v>191</v>
      </c>
      <c r="G1073" s="93"/>
      <c r="H1073" s="102" t="s">
        <v>720</v>
      </c>
      <c r="I1073" s="93" t="s">
        <v>383</v>
      </c>
      <c r="J1073" s="93"/>
      <c r="K1073" s="96" t="s">
        <v>384</v>
      </c>
      <c r="L1073" s="93" t="s">
        <v>232</v>
      </c>
      <c r="M1073" s="97">
        <v>1865</v>
      </c>
      <c r="N1073" s="64" t="s">
        <v>385</v>
      </c>
      <c r="O1073" s="202">
        <v>2.4</v>
      </c>
      <c r="P1073" s="196">
        <v>0</v>
      </c>
      <c r="Q1073" s="202">
        <v>5</v>
      </c>
      <c r="R1073" s="103">
        <v>25</v>
      </c>
      <c r="S1073" s="19">
        <v>3299</v>
      </c>
      <c r="T1073" s="19">
        <v>3077</v>
      </c>
      <c r="U1073" s="93">
        <v>2215</v>
      </c>
      <c r="V1073" s="19">
        <v>873</v>
      </c>
      <c r="W1073" s="205" t="s">
        <v>233</v>
      </c>
      <c r="X1073" s="205" t="s">
        <v>233</v>
      </c>
      <c r="Y1073" s="206" t="s">
        <v>240</v>
      </c>
      <c r="Z1073" s="205" t="s">
        <v>233</v>
      </c>
      <c r="AA1073" s="205" t="s">
        <v>233</v>
      </c>
      <c r="AB1073" s="205" t="s">
        <v>233</v>
      </c>
      <c r="AC1073" s="206" t="s">
        <v>233</v>
      </c>
      <c r="AD1073" s="205" t="s">
        <v>233</v>
      </c>
      <c r="AE1073" s="206" t="s">
        <v>240</v>
      </c>
      <c r="AF1073" s="212">
        <v>0</v>
      </c>
      <c r="AG1073" s="93">
        <v>1</v>
      </c>
      <c r="AH1073" s="93">
        <v>1</v>
      </c>
      <c r="AI1073" s="93">
        <v>0</v>
      </c>
      <c r="AJ1073" s="93">
        <v>1</v>
      </c>
      <c r="AK1073" s="93">
        <v>0</v>
      </c>
    </row>
    <row r="1074" spans="1:37" s="100" customFormat="1" outlineLevel="1">
      <c r="A1074" s="63">
        <v>1067</v>
      </c>
      <c r="B1074" s="93" t="s">
        <v>379</v>
      </c>
      <c r="C1074" s="93" t="s">
        <v>380</v>
      </c>
      <c r="D1074" s="94" t="s">
        <v>715</v>
      </c>
      <c r="E1074" s="93">
        <v>94</v>
      </c>
      <c r="F1074" s="99" t="s">
        <v>231</v>
      </c>
      <c r="G1074" s="93"/>
      <c r="H1074" s="102" t="s">
        <v>721</v>
      </c>
      <c r="I1074" s="93" t="s">
        <v>383</v>
      </c>
      <c r="J1074" s="93"/>
      <c r="K1074" s="96" t="s">
        <v>384</v>
      </c>
      <c r="L1074" s="93" t="s">
        <v>232</v>
      </c>
      <c r="M1074" s="97">
        <v>1868</v>
      </c>
      <c r="N1074" s="64" t="s">
        <v>385</v>
      </c>
      <c r="O1074" s="202">
        <v>2</v>
      </c>
      <c r="P1074" s="196">
        <v>0</v>
      </c>
      <c r="Q1074" s="202">
        <v>1</v>
      </c>
      <c r="R1074" s="103">
        <v>4</v>
      </c>
      <c r="S1074" s="19">
        <v>235</v>
      </c>
      <c r="T1074" s="19">
        <v>144</v>
      </c>
      <c r="U1074" s="93">
        <v>208</v>
      </c>
      <c r="V1074" s="19">
        <v>0</v>
      </c>
      <c r="W1074" s="205" t="s">
        <v>233</v>
      </c>
      <c r="X1074" s="205" t="s">
        <v>233</v>
      </c>
      <c r="Y1074" s="206" t="s">
        <v>240</v>
      </c>
      <c r="Z1074" s="205" t="s">
        <v>233</v>
      </c>
      <c r="AA1074" s="205" t="s">
        <v>233</v>
      </c>
      <c r="AB1074" s="205" t="s">
        <v>233</v>
      </c>
      <c r="AC1074" s="206" t="s">
        <v>233</v>
      </c>
      <c r="AD1074" s="205" t="s">
        <v>233</v>
      </c>
      <c r="AE1074" s="206" t="s">
        <v>240</v>
      </c>
      <c r="AF1074" s="212">
        <v>0</v>
      </c>
      <c r="AG1074" s="93">
        <v>1</v>
      </c>
      <c r="AH1074" s="93">
        <v>0</v>
      </c>
      <c r="AI1074" s="93">
        <v>0</v>
      </c>
      <c r="AJ1074" s="93">
        <v>0</v>
      </c>
      <c r="AK1074" s="93">
        <v>0</v>
      </c>
    </row>
    <row r="1075" spans="1:37" s="100" customFormat="1" outlineLevel="1">
      <c r="A1075" s="63">
        <v>1068</v>
      </c>
      <c r="B1075" s="93" t="s">
        <v>379</v>
      </c>
      <c r="C1075" s="93" t="s">
        <v>380</v>
      </c>
      <c r="D1075" s="94" t="s">
        <v>715</v>
      </c>
      <c r="E1075" s="93">
        <v>96</v>
      </c>
      <c r="F1075" s="99" t="s">
        <v>191</v>
      </c>
      <c r="G1075" s="93"/>
      <c r="H1075" s="102" t="s">
        <v>722</v>
      </c>
      <c r="I1075" s="93" t="s">
        <v>383</v>
      </c>
      <c r="J1075" s="93"/>
      <c r="K1075" s="96" t="s">
        <v>384</v>
      </c>
      <c r="L1075" s="93" t="s">
        <v>232</v>
      </c>
      <c r="M1075" s="97">
        <v>1904</v>
      </c>
      <c r="N1075" s="64" t="s">
        <v>385</v>
      </c>
      <c r="O1075" s="202">
        <v>6</v>
      </c>
      <c r="P1075" s="196">
        <v>0</v>
      </c>
      <c r="Q1075" s="202">
        <v>8</v>
      </c>
      <c r="R1075" s="103">
        <v>104</v>
      </c>
      <c r="S1075" s="19">
        <v>11710</v>
      </c>
      <c r="T1075" s="19">
        <v>10135</v>
      </c>
      <c r="U1075" s="93">
        <v>9769</v>
      </c>
      <c r="V1075" s="93">
        <v>962</v>
      </c>
      <c r="W1075" s="205" t="s">
        <v>233</v>
      </c>
      <c r="X1075" s="205" t="s">
        <v>233</v>
      </c>
      <c r="Y1075" s="206" t="s">
        <v>240</v>
      </c>
      <c r="Z1075" s="205" t="s">
        <v>233</v>
      </c>
      <c r="AA1075" s="205" t="s">
        <v>233</v>
      </c>
      <c r="AB1075" s="205" t="s">
        <v>233</v>
      </c>
      <c r="AC1075" s="206" t="s">
        <v>233</v>
      </c>
      <c r="AD1075" s="205" t="s">
        <v>233</v>
      </c>
      <c r="AE1075" s="206" t="s">
        <v>240</v>
      </c>
      <c r="AF1075" s="212">
        <v>3</v>
      </c>
      <c r="AG1075" s="93">
        <v>1</v>
      </c>
      <c r="AH1075" s="93">
        <v>1</v>
      </c>
      <c r="AI1075" s="93">
        <v>0</v>
      </c>
      <c r="AJ1075" s="93">
        <v>1</v>
      </c>
      <c r="AK1075" s="93">
        <v>0</v>
      </c>
    </row>
    <row r="1076" spans="1:37" s="100" customFormat="1" outlineLevel="1">
      <c r="A1076" s="63">
        <v>1069</v>
      </c>
      <c r="B1076" s="93" t="s">
        <v>379</v>
      </c>
      <c r="C1076" s="93" t="s">
        <v>380</v>
      </c>
      <c r="D1076" s="94" t="s">
        <v>715</v>
      </c>
      <c r="E1076" s="93">
        <v>98</v>
      </c>
      <c r="F1076" s="99" t="s">
        <v>191</v>
      </c>
      <c r="G1076" s="93"/>
      <c r="H1076" s="102" t="s">
        <v>723</v>
      </c>
      <c r="I1076" s="93" t="s">
        <v>383</v>
      </c>
      <c r="J1076" s="93"/>
      <c r="K1076" s="96" t="s">
        <v>384</v>
      </c>
      <c r="L1076" s="93" t="s">
        <v>232</v>
      </c>
      <c r="M1076" s="97">
        <v>1828</v>
      </c>
      <c r="N1076" s="64" t="s">
        <v>385</v>
      </c>
      <c r="O1076" s="202">
        <v>5</v>
      </c>
      <c r="P1076" s="196">
        <v>0</v>
      </c>
      <c r="Q1076" s="202">
        <v>1</v>
      </c>
      <c r="R1076" s="103">
        <v>13</v>
      </c>
      <c r="S1076" s="19">
        <v>1382</v>
      </c>
      <c r="T1076" s="19">
        <v>1174</v>
      </c>
      <c r="U1076" s="93">
        <v>1038</v>
      </c>
      <c r="V1076" s="93">
        <v>225</v>
      </c>
      <c r="W1076" s="205" t="s">
        <v>233</v>
      </c>
      <c r="X1076" s="205" t="s">
        <v>233</v>
      </c>
      <c r="Y1076" s="206" t="s">
        <v>240</v>
      </c>
      <c r="Z1076" s="205" t="s">
        <v>233</v>
      </c>
      <c r="AA1076" s="205" t="s">
        <v>233</v>
      </c>
      <c r="AB1076" s="205" t="s">
        <v>233</v>
      </c>
      <c r="AC1076" s="206" t="s">
        <v>233</v>
      </c>
      <c r="AD1076" s="205" t="s">
        <v>233</v>
      </c>
      <c r="AE1076" s="206" t="s">
        <v>240</v>
      </c>
      <c r="AF1076" s="212">
        <v>0</v>
      </c>
      <c r="AG1076" s="93">
        <v>1</v>
      </c>
      <c r="AH1076" s="93">
        <v>1</v>
      </c>
      <c r="AI1076" s="93">
        <v>0</v>
      </c>
      <c r="AJ1076" s="93">
        <v>0</v>
      </c>
      <c r="AK1076" s="93">
        <v>0</v>
      </c>
    </row>
    <row r="1077" spans="1:37" s="100" customFormat="1" outlineLevel="1">
      <c r="A1077" s="63">
        <v>1070</v>
      </c>
      <c r="B1077" s="93" t="s">
        <v>379</v>
      </c>
      <c r="C1077" s="93" t="s">
        <v>380</v>
      </c>
      <c r="D1077" s="94" t="s">
        <v>715</v>
      </c>
      <c r="E1077" s="93">
        <v>98</v>
      </c>
      <c r="F1077" s="99" t="s">
        <v>231</v>
      </c>
      <c r="G1077" s="93"/>
      <c r="H1077" s="102" t="s">
        <v>724</v>
      </c>
      <c r="I1077" s="93" t="s">
        <v>383</v>
      </c>
      <c r="J1077" s="93"/>
      <c r="K1077" s="96" t="s">
        <v>384</v>
      </c>
      <c r="L1077" s="93" t="s">
        <v>232</v>
      </c>
      <c r="M1077" s="97">
        <v>1828</v>
      </c>
      <c r="N1077" s="64" t="s">
        <v>385</v>
      </c>
      <c r="O1077" s="202">
        <v>5</v>
      </c>
      <c r="P1077" s="196">
        <v>0</v>
      </c>
      <c r="Q1077" s="202">
        <v>2</v>
      </c>
      <c r="R1077" s="103">
        <v>20</v>
      </c>
      <c r="S1077" s="19">
        <v>1770</v>
      </c>
      <c r="T1077" s="19">
        <v>1510</v>
      </c>
      <c r="U1077" s="93">
        <v>1319</v>
      </c>
      <c r="V1077" s="93">
        <v>290</v>
      </c>
      <c r="W1077" s="205" t="s">
        <v>233</v>
      </c>
      <c r="X1077" s="205" t="s">
        <v>233</v>
      </c>
      <c r="Y1077" s="206" t="s">
        <v>240</v>
      </c>
      <c r="Z1077" s="205" t="s">
        <v>233</v>
      </c>
      <c r="AA1077" s="205" t="s">
        <v>233</v>
      </c>
      <c r="AB1077" s="205" t="s">
        <v>233</v>
      </c>
      <c r="AC1077" s="206" t="s">
        <v>233</v>
      </c>
      <c r="AD1077" s="205" t="s">
        <v>233</v>
      </c>
      <c r="AE1077" s="206" t="s">
        <v>240</v>
      </c>
      <c r="AF1077" s="212">
        <v>0</v>
      </c>
      <c r="AG1077" s="93">
        <v>1</v>
      </c>
      <c r="AH1077" s="93">
        <v>0</v>
      </c>
      <c r="AI1077" s="93">
        <v>0</v>
      </c>
      <c r="AJ1077" s="93">
        <v>0</v>
      </c>
      <c r="AK1077" s="93">
        <v>0</v>
      </c>
    </row>
    <row r="1078" spans="1:37" s="100" customFormat="1" outlineLevel="1">
      <c r="A1078" s="63">
        <v>1071</v>
      </c>
      <c r="B1078" s="93" t="s">
        <v>379</v>
      </c>
      <c r="C1078" s="93" t="s">
        <v>380</v>
      </c>
      <c r="D1078" s="94" t="s">
        <v>715</v>
      </c>
      <c r="E1078" s="93">
        <v>98</v>
      </c>
      <c r="F1078" s="99" t="s">
        <v>260</v>
      </c>
      <c r="G1078" s="93"/>
      <c r="H1078" s="102" t="s">
        <v>725</v>
      </c>
      <c r="I1078" s="93" t="s">
        <v>383</v>
      </c>
      <c r="J1078" s="93"/>
      <c r="K1078" s="96" t="s">
        <v>384</v>
      </c>
      <c r="L1078" s="93" t="s">
        <v>232</v>
      </c>
      <c r="M1078" s="97">
        <v>1828</v>
      </c>
      <c r="N1078" s="64" t="s">
        <v>385</v>
      </c>
      <c r="O1078" s="202">
        <v>5</v>
      </c>
      <c r="P1078" s="196">
        <v>0</v>
      </c>
      <c r="Q1078" s="202">
        <v>1</v>
      </c>
      <c r="R1078" s="103">
        <v>10</v>
      </c>
      <c r="S1078" s="19">
        <v>782</v>
      </c>
      <c r="T1078" s="19">
        <v>671</v>
      </c>
      <c r="U1078" s="93">
        <v>592</v>
      </c>
      <c r="V1078" s="93">
        <v>111</v>
      </c>
      <c r="W1078" s="205" t="s">
        <v>233</v>
      </c>
      <c r="X1078" s="205" t="s">
        <v>233</v>
      </c>
      <c r="Y1078" s="206" t="s">
        <v>240</v>
      </c>
      <c r="Z1078" s="205" t="s">
        <v>233</v>
      </c>
      <c r="AA1078" s="205" t="s">
        <v>233</v>
      </c>
      <c r="AB1078" s="205" t="s">
        <v>233</v>
      </c>
      <c r="AC1078" s="206" t="s">
        <v>233</v>
      </c>
      <c r="AD1078" s="205" t="s">
        <v>233</v>
      </c>
      <c r="AE1078" s="206" t="s">
        <v>240</v>
      </c>
      <c r="AF1078" s="212">
        <v>0</v>
      </c>
      <c r="AG1078" s="93">
        <v>1</v>
      </c>
      <c r="AH1078" s="93">
        <v>0</v>
      </c>
      <c r="AI1078" s="93">
        <v>0</v>
      </c>
      <c r="AJ1078" s="93">
        <v>0</v>
      </c>
      <c r="AK1078" s="93">
        <v>0</v>
      </c>
    </row>
    <row r="1079" spans="1:37" s="100" customFormat="1" outlineLevel="1">
      <c r="A1079" s="63">
        <v>1072</v>
      </c>
      <c r="B1079" s="93" t="s">
        <v>379</v>
      </c>
      <c r="C1079" s="93" t="s">
        <v>380</v>
      </c>
      <c r="D1079" s="94" t="s">
        <v>715</v>
      </c>
      <c r="E1079" s="93">
        <v>102</v>
      </c>
      <c r="F1079" s="99" t="s">
        <v>191</v>
      </c>
      <c r="G1079" s="93"/>
      <c r="H1079" s="102" t="s">
        <v>726</v>
      </c>
      <c r="I1079" s="93" t="s">
        <v>383</v>
      </c>
      <c r="J1079" s="93"/>
      <c r="K1079" s="96" t="s">
        <v>384</v>
      </c>
      <c r="L1079" s="93" t="s">
        <v>232</v>
      </c>
      <c r="M1079" s="97">
        <v>1828</v>
      </c>
      <c r="N1079" s="64" t="s">
        <v>385</v>
      </c>
      <c r="O1079" s="202">
        <v>3</v>
      </c>
      <c r="P1079" s="196">
        <v>0</v>
      </c>
      <c r="Q1079" s="202">
        <v>4</v>
      </c>
      <c r="R1079" s="103">
        <v>19</v>
      </c>
      <c r="S1079" s="19">
        <v>2572</v>
      </c>
      <c r="T1079" s="19">
        <v>2240</v>
      </c>
      <c r="U1079" s="93">
        <v>1732</v>
      </c>
      <c r="V1079" s="93">
        <v>548</v>
      </c>
      <c r="W1079" s="205" t="s">
        <v>233</v>
      </c>
      <c r="X1079" s="205" t="s">
        <v>233</v>
      </c>
      <c r="Y1079" s="206" t="s">
        <v>240</v>
      </c>
      <c r="Z1079" s="205" t="s">
        <v>233</v>
      </c>
      <c r="AA1079" s="205" t="s">
        <v>233</v>
      </c>
      <c r="AB1079" s="205" t="s">
        <v>233</v>
      </c>
      <c r="AC1079" s="206" t="s">
        <v>233</v>
      </c>
      <c r="AD1079" s="205" t="s">
        <v>233</v>
      </c>
      <c r="AE1079" s="206" t="s">
        <v>240</v>
      </c>
      <c r="AF1079" s="212">
        <v>0</v>
      </c>
      <c r="AG1079" s="93">
        <v>1</v>
      </c>
      <c r="AH1079" s="93">
        <v>1</v>
      </c>
      <c r="AI1079" s="93">
        <v>0</v>
      </c>
      <c r="AJ1079" s="93">
        <v>1</v>
      </c>
      <c r="AK1079" s="93">
        <v>0</v>
      </c>
    </row>
    <row r="1080" spans="1:37" s="100" customFormat="1" outlineLevel="1">
      <c r="A1080" s="63">
        <v>1073</v>
      </c>
      <c r="B1080" s="93" t="s">
        <v>379</v>
      </c>
      <c r="C1080" s="93" t="s">
        <v>380</v>
      </c>
      <c r="D1080" s="94" t="s">
        <v>715</v>
      </c>
      <c r="E1080" s="93">
        <v>108</v>
      </c>
      <c r="F1080" s="99" t="s">
        <v>191</v>
      </c>
      <c r="G1080" s="93"/>
      <c r="H1080" s="102" t="s">
        <v>727</v>
      </c>
      <c r="I1080" s="93" t="s">
        <v>383</v>
      </c>
      <c r="J1080" s="93"/>
      <c r="K1080" s="96" t="s">
        <v>384</v>
      </c>
      <c r="L1080" s="93" t="s">
        <v>232</v>
      </c>
      <c r="M1080" s="97">
        <v>1880</v>
      </c>
      <c r="N1080" s="64" t="s">
        <v>385</v>
      </c>
      <c r="O1080" s="202">
        <v>2.5</v>
      </c>
      <c r="P1080" s="196">
        <v>0</v>
      </c>
      <c r="Q1080" s="202">
        <v>6</v>
      </c>
      <c r="R1080" s="103">
        <v>39</v>
      </c>
      <c r="S1080" s="19">
        <v>5843</v>
      </c>
      <c r="T1080" s="19">
        <v>5609</v>
      </c>
      <c r="U1080" s="93">
        <v>3131</v>
      </c>
      <c r="V1080" s="93">
        <v>2082</v>
      </c>
      <c r="W1080" s="205" t="s">
        <v>233</v>
      </c>
      <c r="X1080" s="205" t="s">
        <v>233</v>
      </c>
      <c r="Y1080" s="206" t="s">
        <v>240</v>
      </c>
      <c r="Z1080" s="205" t="s">
        <v>233</v>
      </c>
      <c r="AA1080" s="205" t="s">
        <v>233</v>
      </c>
      <c r="AB1080" s="205" t="s">
        <v>233</v>
      </c>
      <c r="AC1080" s="206" t="s">
        <v>233</v>
      </c>
      <c r="AD1080" s="205" t="s">
        <v>233</v>
      </c>
      <c r="AE1080" s="206" t="s">
        <v>240</v>
      </c>
      <c r="AF1080" s="212">
        <v>0</v>
      </c>
      <c r="AG1080" s="93">
        <v>1</v>
      </c>
      <c r="AH1080" s="93">
        <v>1</v>
      </c>
      <c r="AI1080" s="93">
        <v>0</v>
      </c>
      <c r="AJ1080" s="93">
        <v>0</v>
      </c>
      <c r="AK1080" s="93">
        <v>0</v>
      </c>
    </row>
    <row r="1081" spans="1:37" s="100" customFormat="1" outlineLevel="1">
      <c r="A1081" s="63">
        <v>1074</v>
      </c>
      <c r="B1081" s="93" t="s">
        <v>379</v>
      </c>
      <c r="C1081" s="93" t="s">
        <v>380</v>
      </c>
      <c r="D1081" s="94" t="s">
        <v>715</v>
      </c>
      <c r="E1081" s="93">
        <v>108</v>
      </c>
      <c r="F1081" s="99" t="s">
        <v>231</v>
      </c>
      <c r="G1081" s="93"/>
      <c r="H1081" s="102" t="s">
        <v>728</v>
      </c>
      <c r="I1081" s="93" t="s">
        <v>383</v>
      </c>
      <c r="J1081" s="93"/>
      <c r="K1081" s="96" t="s">
        <v>384</v>
      </c>
      <c r="L1081" s="93" t="s">
        <v>232</v>
      </c>
      <c r="M1081" s="97">
        <v>1914</v>
      </c>
      <c r="N1081" s="64" t="s">
        <v>385</v>
      </c>
      <c r="O1081" s="202">
        <v>2</v>
      </c>
      <c r="P1081" s="196">
        <v>0</v>
      </c>
      <c r="Q1081" s="202">
        <v>1</v>
      </c>
      <c r="R1081" s="103">
        <v>4</v>
      </c>
      <c r="S1081" s="19">
        <v>247</v>
      </c>
      <c r="T1081" s="19">
        <v>210</v>
      </c>
      <c r="U1081" s="93">
        <v>186</v>
      </c>
      <c r="V1081" s="93">
        <v>20</v>
      </c>
      <c r="W1081" s="205" t="s">
        <v>233</v>
      </c>
      <c r="X1081" s="205" t="s">
        <v>233</v>
      </c>
      <c r="Y1081" s="206" t="s">
        <v>240</v>
      </c>
      <c r="Z1081" s="205" t="s">
        <v>233</v>
      </c>
      <c r="AA1081" s="205" t="s">
        <v>233</v>
      </c>
      <c r="AB1081" s="205" t="s">
        <v>233</v>
      </c>
      <c r="AC1081" s="206" t="s">
        <v>233</v>
      </c>
      <c r="AD1081" s="205" t="s">
        <v>233</v>
      </c>
      <c r="AE1081" s="206" t="s">
        <v>240</v>
      </c>
      <c r="AF1081" s="212">
        <v>0</v>
      </c>
      <c r="AG1081" s="93">
        <v>1</v>
      </c>
      <c r="AH1081" s="93">
        <v>0</v>
      </c>
      <c r="AI1081" s="93">
        <v>0</v>
      </c>
      <c r="AJ1081" s="93">
        <v>0</v>
      </c>
      <c r="AK1081" s="93">
        <v>0</v>
      </c>
    </row>
    <row r="1082" spans="1:37" s="100" customFormat="1" outlineLevel="1">
      <c r="A1082" s="63">
        <v>1075</v>
      </c>
      <c r="B1082" s="93" t="s">
        <v>379</v>
      </c>
      <c r="C1082" s="93" t="s">
        <v>380</v>
      </c>
      <c r="D1082" s="94" t="s">
        <v>715</v>
      </c>
      <c r="E1082" s="96" t="s">
        <v>729</v>
      </c>
      <c r="F1082" s="99" t="s">
        <v>191</v>
      </c>
      <c r="G1082" s="93"/>
      <c r="H1082" s="102" t="s">
        <v>730</v>
      </c>
      <c r="I1082" s="93" t="s">
        <v>383</v>
      </c>
      <c r="J1082" s="93"/>
      <c r="K1082" s="96" t="s">
        <v>384</v>
      </c>
      <c r="L1082" s="93" t="s">
        <v>232</v>
      </c>
      <c r="M1082" s="97">
        <v>1880</v>
      </c>
      <c r="N1082" s="64" t="s">
        <v>385</v>
      </c>
      <c r="O1082" s="202">
        <v>4.5</v>
      </c>
      <c r="P1082" s="196">
        <v>0</v>
      </c>
      <c r="Q1082" s="202">
        <v>4</v>
      </c>
      <c r="R1082" s="103">
        <v>29</v>
      </c>
      <c r="S1082" s="19">
        <v>4185</v>
      </c>
      <c r="T1082" s="19">
        <v>3715</v>
      </c>
      <c r="U1082" s="93">
        <v>3228</v>
      </c>
      <c r="V1082" s="93">
        <v>597</v>
      </c>
      <c r="W1082" s="205" t="s">
        <v>233</v>
      </c>
      <c r="X1082" s="205" t="s">
        <v>233</v>
      </c>
      <c r="Y1082" s="206" t="s">
        <v>233</v>
      </c>
      <c r="Z1082" s="205" t="s">
        <v>233</v>
      </c>
      <c r="AA1082" s="205" t="s">
        <v>233</v>
      </c>
      <c r="AB1082" s="205" t="s">
        <v>233</v>
      </c>
      <c r="AC1082" s="206" t="s">
        <v>240</v>
      </c>
      <c r="AD1082" s="205" t="s">
        <v>233</v>
      </c>
      <c r="AE1082" s="206" t="s">
        <v>240</v>
      </c>
      <c r="AF1082" s="212">
        <v>0</v>
      </c>
      <c r="AG1082" s="93">
        <v>1</v>
      </c>
      <c r="AH1082" s="93">
        <v>1</v>
      </c>
      <c r="AI1082" s="93">
        <v>1</v>
      </c>
      <c r="AJ1082" s="93">
        <v>1</v>
      </c>
      <c r="AK1082" s="93">
        <v>0</v>
      </c>
    </row>
    <row r="1083" spans="1:37" s="100" customFormat="1">
      <c r="A1083" s="63">
        <v>1076</v>
      </c>
      <c r="B1083" s="93" t="s">
        <v>379</v>
      </c>
      <c r="C1083" s="93" t="s">
        <v>380</v>
      </c>
      <c r="D1083" s="94" t="s">
        <v>715</v>
      </c>
      <c r="E1083" s="96" t="s">
        <v>729</v>
      </c>
      <c r="F1083" s="99" t="s">
        <v>231</v>
      </c>
      <c r="G1083" s="93"/>
      <c r="H1083" s="102" t="s">
        <v>731</v>
      </c>
      <c r="I1083" s="93" t="s">
        <v>383</v>
      </c>
      <c r="J1083" s="93"/>
      <c r="K1083" s="96" t="s">
        <v>384</v>
      </c>
      <c r="L1083" s="93" t="s">
        <v>232</v>
      </c>
      <c r="M1083" s="97">
        <v>1880</v>
      </c>
      <c r="N1083" s="64" t="s">
        <v>385</v>
      </c>
      <c r="O1083" s="202">
        <v>5</v>
      </c>
      <c r="P1083" s="196">
        <v>0</v>
      </c>
      <c r="Q1083" s="202">
        <v>2</v>
      </c>
      <c r="R1083" s="103">
        <v>12</v>
      </c>
      <c r="S1083" s="19">
        <v>3075</v>
      </c>
      <c r="T1083" s="19">
        <v>2690</v>
      </c>
      <c r="U1083" s="93">
        <v>2203</v>
      </c>
      <c r="V1083" s="93">
        <v>567</v>
      </c>
      <c r="W1083" s="205" t="s">
        <v>233</v>
      </c>
      <c r="X1083" s="205" t="s">
        <v>233</v>
      </c>
      <c r="Y1083" s="206" t="s">
        <v>233</v>
      </c>
      <c r="Z1083" s="205" t="s">
        <v>233</v>
      </c>
      <c r="AA1083" s="205" t="s">
        <v>233</v>
      </c>
      <c r="AB1083" s="205" t="s">
        <v>233</v>
      </c>
      <c r="AC1083" s="206" t="s">
        <v>240</v>
      </c>
      <c r="AD1083" s="205" t="s">
        <v>233</v>
      </c>
      <c r="AE1083" s="206" t="s">
        <v>240</v>
      </c>
      <c r="AF1083" s="212">
        <v>0</v>
      </c>
      <c r="AG1083" s="93">
        <v>1</v>
      </c>
      <c r="AH1083" s="93">
        <v>0</v>
      </c>
      <c r="AI1083" s="93">
        <v>0</v>
      </c>
      <c r="AJ1083" s="93">
        <v>0</v>
      </c>
      <c r="AK1083" s="93">
        <v>0</v>
      </c>
    </row>
    <row r="1084" spans="1:37" s="104" customFormat="1" ht="15.75" customHeight="1" outlineLevel="1">
      <c r="A1084" s="92">
        <v>1077</v>
      </c>
      <c r="B1084" s="93" t="s">
        <v>190</v>
      </c>
      <c r="C1084" s="93" t="s">
        <v>1488</v>
      </c>
      <c r="D1084" s="94" t="s">
        <v>732</v>
      </c>
      <c r="E1084" s="105" t="s">
        <v>733</v>
      </c>
      <c r="F1084" s="99" t="s">
        <v>191</v>
      </c>
      <c r="G1084" s="99"/>
      <c r="H1084" s="96" t="s">
        <v>735</v>
      </c>
      <c r="I1084" s="106" t="s">
        <v>736</v>
      </c>
      <c r="J1084" s="93"/>
      <c r="K1084" s="96" t="s">
        <v>384</v>
      </c>
      <c r="L1084" s="93" t="s">
        <v>232</v>
      </c>
      <c r="M1084" s="200">
        <v>1873</v>
      </c>
      <c r="N1084" s="64" t="s">
        <v>385</v>
      </c>
      <c r="O1084" s="106">
        <v>6</v>
      </c>
      <c r="P1084" s="196">
        <v>0</v>
      </c>
      <c r="Q1084" s="106">
        <v>5</v>
      </c>
      <c r="R1084" s="107">
        <v>60</v>
      </c>
      <c r="S1084" s="108">
        <v>6344.2</v>
      </c>
      <c r="T1084" s="108">
        <v>6344.2</v>
      </c>
      <c r="U1084" s="108">
        <v>5308.2</v>
      </c>
      <c r="V1084" s="109">
        <v>1036</v>
      </c>
      <c r="W1084" s="206" t="s">
        <v>233</v>
      </c>
      <c r="X1084" s="206" t="s">
        <v>233</v>
      </c>
      <c r="Y1084" s="206" t="s">
        <v>240</v>
      </c>
      <c r="Z1084" s="206" t="s">
        <v>233</v>
      </c>
      <c r="AA1084" s="206" t="s">
        <v>233</v>
      </c>
      <c r="AB1084" s="206" t="s">
        <v>233</v>
      </c>
      <c r="AC1084" s="206" t="s">
        <v>233</v>
      </c>
      <c r="AD1084" s="206" t="s">
        <v>233</v>
      </c>
      <c r="AE1084" s="206" t="s">
        <v>240</v>
      </c>
      <c r="AF1084" s="96">
        <v>5</v>
      </c>
      <c r="AG1084" s="93">
        <v>0</v>
      </c>
      <c r="AH1084" s="93">
        <v>2</v>
      </c>
      <c r="AI1084" s="93">
        <v>0</v>
      </c>
      <c r="AJ1084" s="93">
        <v>0</v>
      </c>
      <c r="AK1084" s="93">
        <v>0</v>
      </c>
    </row>
    <row r="1085" spans="1:37" s="104" customFormat="1" ht="15.75" customHeight="1" outlineLevel="1">
      <c r="A1085" s="92">
        <v>1078</v>
      </c>
      <c r="B1085" s="93" t="s">
        <v>190</v>
      </c>
      <c r="C1085" s="93" t="s">
        <v>1488</v>
      </c>
      <c r="D1085" s="94" t="s">
        <v>732</v>
      </c>
      <c r="E1085" s="105" t="s">
        <v>733</v>
      </c>
      <c r="F1085" s="99" t="s">
        <v>231</v>
      </c>
      <c r="G1085" s="99"/>
      <c r="H1085" s="96" t="s">
        <v>738</v>
      </c>
      <c r="I1085" s="106" t="s">
        <v>736</v>
      </c>
      <c r="J1085" s="93"/>
      <c r="K1085" s="96" t="s">
        <v>384</v>
      </c>
      <c r="L1085" s="93" t="s">
        <v>232</v>
      </c>
      <c r="M1085" s="200">
        <v>1994</v>
      </c>
      <c r="N1085" s="64" t="s">
        <v>385</v>
      </c>
      <c r="O1085" s="106">
        <v>6</v>
      </c>
      <c r="P1085" s="196">
        <v>0</v>
      </c>
      <c r="Q1085" s="106">
        <v>5</v>
      </c>
      <c r="R1085" s="107">
        <v>60</v>
      </c>
      <c r="S1085" s="108">
        <v>8611</v>
      </c>
      <c r="T1085" s="108">
        <v>8611</v>
      </c>
      <c r="U1085" s="108">
        <v>7233</v>
      </c>
      <c r="V1085" s="109">
        <v>1378</v>
      </c>
      <c r="W1085" s="206" t="s">
        <v>233</v>
      </c>
      <c r="X1085" s="206" t="s">
        <v>233</v>
      </c>
      <c r="Y1085" s="206" t="s">
        <v>233</v>
      </c>
      <c r="Z1085" s="206" t="s">
        <v>233</v>
      </c>
      <c r="AA1085" s="206" t="s">
        <v>233</v>
      </c>
      <c r="AB1085" s="206" t="s">
        <v>233</v>
      </c>
      <c r="AC1085" s="206" t="s">
        <v>240</v>
      </c>
      <c r="AD1085" s="206" t="s">
        <v>233</v>
      </c>
      <c r="AE1085" s="206" t="s">
        <v>240</v>
      </c>
      <c r="AF1085" s="96">
        <v>1</v>
      </c>
      <c r="AG1085" s="93">
        <v>0</v>
      </c>
      <c r="AH1085" s="93">
        <v>0</v>
      </c>
      <c r="AI1085" s="93">
        <v>0</v>
      </c>
      <c r="AJ1085" s="93">
        <v>0</v>
      </c>
      <c r="AK1085" s="93">
        <v>0</v>
      </c>
    </row>
    <row r="1086" spans="1:37" s="104" customFormat="1" outlineLevel="1">
      <c r="A1086" s="92">
        <v>1079</v>
      </c>
      <c r="B1086" s="93" t="s">
        <v>190</v>
      </c>
      <c r="C1086" s="93" t="s">
        <v>1488</v>
      </c>
      <c r="D1086" s="94" t="s">
        <v>739</v>
      </c>
      <c r="E1086" s="105">
        <v>10</v>
      </c>
      <c r="F1086" s="99" t="s">
        <v>191</v>
      </c>
      <c r="G1086" s="99"/>
      <c r="H1086" s="96" t="s">
        <v>740</v>
      </c>
      <c r="I1086" s="106" t="s">
        <v>736</v>
      </c>
      <c r="J1086" s="93"/>
      <c r="K1086" s="96" t="s">
        <v>384</v>
      </c>
      <c r="L1086" s="93" t="s">
        <v>232</v>
      </c>
      <c r="M1086" s="200">
        <v>1813</v>
      </c>
      <c r="N1086" s="64" t="s">
        <v>385</v>
      </c>
      <c r="O1086" s="106">
        <v>4</v>
      </c>
      <c r="P1086" s="196">
        <v>0</v>
      </c>
      <c r="Q1086" s="106">
        <v>7</v>
      </c>
      <c r="R1086" s="107">
        <v>36</v>
      </c>
      <c r="S1086" s="108">
        <v>3984.3</v>
      </c>
      <c r="T1086" s="108">
        <v>3984.3</v>
      </c>
      <c r="U1086" s="108">
        <v>3027.8</v>
      </c>
      <c r="V1086" s="109">
        <v>956.5</v>
      </c>
      <c r="W1086" s="206" t="s">
        <v>233</v>
      </c>
      <c r="X1086" s="206" t="s">
        <v>233</v>
      </c>
      <c r="Y1086" s="206" t="s">
        <v>240</v>
      </c>
      <c r="Z1086" s="206" t="s">
        <v>233</v>
      </c>
      <c r="AA1086" s="206" t="s">
        <v>233</v>
      </c>
      <c r="AB1086" s="206" t="s">
        <v>233</v>
      </c>
      <c r="AC1086" s="206" t="s">
        <v>233</v>
      </c>
      <c r="AD1086" s="206" t="s">
        <v>233</v>
      </c>
      <c r="AE1086" s="206" t="s">
        <v>240</v>
      </c>
      <c r="AF1086" s="96">
        <v>0</v>
      </c>
      <c r="AG1086" s="93">
        <v>0</v>
      </c>
      <c r="AH1086" s="93">
        <v>1</v>
      </c>
      <c r="AI1086" s="93">
        <v>0</v>
      </c>
      <c r="AJ1086" s="93">
        <v>0</v>
      </c>
      <c r="AK1086" s="93">
        <v>0</v>
      </c>
    </row>
    <row r="1087" spans="1:37" s="104" customFormat="1" outlineLevel="1">
      <c r="A1087" s="92">
        <v>1080</v>
      </c>
      <c r="B1087" s="93" t="s">
        <v>190</v>
      </c>
      <c r="C1087" s="93" t="s">
        <v>1488</v>
      </c>
      <c r="D1087" s="94" t="s">
        <v>739</v>
      </c>
      <c r="E1087" s="105">
        <v>2</v>
      </c>
      <c r="F1087" s="99" t="s">
        <v>191</v>
      </c>
      <c r="G1087" s="99"/>
      <c r="H1087" s="96" t="s">
        <v>741</v>
      </c>
      <c r="I1087" s="106" t="s">
        <v>736</v>
      </c>
      <c r="J1087" s="93" t="s">
        <v>242</v>
      </c>
      <c r="K1087" s="178" t="s">
        <v>1486</v>
      </c>
      <c r="L1087" s="93" t="s">
        <v>232</v>
      </c>
      <c r="M1087" s="200">
        <v>1917</v>
      </c>
      <c r="N1087" s="64" t="s">
        <v>385</v>
      </c>
      <c r="O1087" s="106"/>
      <c r="P1087" s="196">
        <v>0</v>
      </c>
      <c r="Q1087" s="106"/>
      <c r="R1087" s="107"/>
      <c r="S1087" s="108"/>
      <c r="T1087" s="108"/>
      <c r="U1087" s="108"/>
      <c r="V1087" s="109"/>
      <c r="W1087" s="206" t="s">
        <v>240</v>
      </c>
      <c r="X1087" s="206" t="s">
        <v>240</v>
      </c>
      <c r="Y1087" s="206" t="s">
        <v>233</v>
      </c>
      <c r="Z1087" s="206" t="s">
        <v>240</v>
      </c>
      <c r="AA1087" s="206" t="s">
        <v>233</v>
      </c>
      <c r="AB1087" s="206" t="s">
        <v>233</v>
      </c>
      <c r="AC1087" s="206" t="s">
        <v>240</v>
      </c>
      <c r="AD1087" s="206" t="s">
        <v>233</v>
      </c>
      <c r="AE1087" s="206" t="s">
        <v>240</v>
      </c>
      <c r="AF1087" s="96">
        <v>0</v>
      </c>
      <c r="AG1087" s="93">
        <v>0</v>
      </c>
      <c r="AH1087" s="93">
        <v>0</v>
      </c>
      <c r="AI1087" s="93">
        <v>0</v>
      </c>
      <c r="AJ1087" s="93">
        <v>0</v>
      </c>
      <c r="AK1087" s="93">
        <v>0</v>
      </c>
    </row>
    <row r="1088" spans="1:37" s="104" customFormat="1" ht="15.75" customHeight="1" outlineLevel="1">
      <c r="A1088" s="92">
        <v>1081</v>
      </c>
      <c r="B1088" s="93" t="s">
        <v>190</v>
      </c>
      <c r="C1088" s="93" t="s">
        <v>1488</v>
      </c>
      <c r="D1088" s="94" t="s">
        <v>739</v>
      </c>
      <c r="E1088" s="105">
        <v>3</v>
      </c>
      <c r="F1088" s="99" t="s">
        <v>191</v>
      </c>
      <c r="G1088" s="99"/>
      <c r="H1088" s="96" t="s">
        <v>742</v>
      </c>
      <c r="I1088" s="106" t="s">
        <v>736</v>
      </c>
      <c r="J1088" s="93"/>
      <c r="K1088" s="99" t="s">
        <v>232</v>
      </c>
      <c r="L1088" s="93" t="s">
        <v>232</v>
      </c>
      <c r="M1088" s="200">
        <v>1815</v>
      </c>
      <c r="N1088" s="64" t="s">
        <v>385</v>
      </c>
      <c r="O1088" s="106">
        <v>5</v>
      </c>
      <c r="P1088" s="196">
        <v>0</v>
      </c>
      <c r="Q1088" s="106">
        <v>5</v>
      </c>
      <c r="R1088" s="107">
        <v>33</v>
      </c>
      <c r="S1088" s="108">
        <v>3085.8999999999996</v>
      </c>
      <c r="T1088" s="108">
        <v>3085.8999999999996</v>
      </c>
      <c r="U1088" s="108">
        <v>2382.3999999999996</v>
      </c>
      <c r="V1088" s="109">
        <v>703.5</v>
      </c>
      <c r="W1088" s="206" t="s">
        <v>233</v>
      </c>
      <c r="X1088" s="206" t="s">
        <v>233</v>
      </c>
      <c r="Y1088" s="206" t="s">
        <v>233</v>
      </c>
      <c r="Z1088" s="206" t="s">
        <v>233</v>
      </c>
      <c r="AA1088" s="206" t="s">
        <v>233</v>
      </c>
      <c r="AB1088" s="206" t="s">
        <v>233</v>
      </c>
      <c r="AC1088" s="206" t="s">
        <v>240</v>
      </c>
      <c r="AD1088" s="206" t="s">
        <v>233</v>
      </c>
      <c r="AE1088" s="206" t="s">
        <v>240</v>
      </c>
      <c r="AF1088" s="96">
        <v>0</v>
      </c>
      <c r="AG1088" s="93">
        <v>0</v>
      </c>
      <c r="AH1088" s="93">
        <v>1</v>
      </c>
      <c r="AI1088" s="93">
        <v>0</v>
      </c>
      <c r="AJ1088" s="93">
        <v>0</v>
      </c>
      <c r="AK1088" s="93">
        <v>0</v>
      </c>
    </row>
    <row r="1089" spans="1:37" s="104" customFormat="1" ht="15.75" customHeight="1" outlineLevel="1">
      <c r="A1089" s="92">
        <v>1082</v>
      </c>
      <c r="B1089" s="93" t="s">
        <v>190</v>
      </c>
      <c r="C1089" s="93" t="s">
        <v>1488</v>
      </c>
      <c r="D1089" s="94" t="s">
        <v>743</v>
      </c>
      <c r="E1089" s="105">
        <v>4</v>
      </c>
      <c r="F1089" s="99" t="s">
        <v>191</v>
      </c>
      <c r="G1089" s="99"/>
      <c r="H1089" s="96" t="s">
        <v>744</v>
      </c>
      <c r="I1089" s="106" t="s">
        <v>736</v>
      </c>
      <c r="J1089" s="93"/>
      <c r="K1089" s="99" t="s">
        <v>232</v>
      </c>
      <c r="L1089" s="93" t="s">
        <v>232</v>
      </c>
      <c r="M1089" s="200">
        <v>1880</v>
      </c>
      <c r="N1089" s="64" t="s">
        <v>385</v>
      </c>
      <c r="O1089" s="106">
        <v>6</v>
      </c>
      <c r="P1089" s="196">
        <v>0</v>
      </c>
      <c r="Q1089" s="106">
        <v>4</v>
      </c>
      <c r="R1089" s="107">
        <v>83</v>
      </c>
      <c r="S1089" s="108">
        <v>4277.7000000000007</v>
      </c>
      <c r="T1089" s="108">
        <v>4277.7000000000007</v>
      </c>
      <c r="U1089" s="108">
        <v>3523.9</v>
      </c>
      <c r="V1089" s="109">
        <v>753.8</v>
      </c>
      <c r="W1089" s="206" t="s">
        <v>233</v>
      </c>
      <c r="X1089" s="206" t="s">
        <v>233</v>
      </c>
      <c r="Y1089" s="206" t="s">
        <v>233</v>
      </c>
      <c r="Z1089" s="206" t="s">
        <v>233</v>
      </c>
      <c r="AA1089" s="206" t="s">
        <v>233</v>
      </c>
      <c r="AB1089" s="206" t="s">
        <v>233</v>
      </c>
      <c r="AC1089" s="206" t="s">
        <v>240</v>
      </c>
      <c r="AD1089" s="206" t="s">
        <v>233</v>
      </c>
      <c r="AE1089" s="206" t="s">
        <v>240</v>
      </c>
      <c r="AF1089" s="96">
        <v>1</v>
      </c>
      <c r="AG1089" s="93">
        <v>0</v>
      </c>
      <c r="AH1089" s="93">
        <v>1</v>
      </c>
      <c r="AI1089" s="93">
        <v>0</v>
      </c>
      <c r="AJ1089" s="93">
        <v>0</v>
      </c>
      <c r="AK1089" s="93">
        <v>0</v>
      </c>
    </row>
    <row r="1090" spans="1:37" s="104" customFormat="1" ht="15.75" customHeight="1" outlineLevel="1">
      <c r="A1090" s="92">
        <v>1083</v>
      </c>
      <c r="B1090" s="93" t="s">
        <v>190</v>
      </c>
      <c r="C1090" s="93" t="s">
        <v>1488</v>
      </c>
      <c r="D1090" s="94" t="s">
        <v>743</v>
      </c>
      <c r="E1090" s="105">
        <v>4</v>
      </c>
      <c r="F1090" s="99" t="s">
        <v>260</v>
      </c>
      <c r="G1090" s="99"/>
      <c r="H1090" s="96" t="s">
        <v>746</v>
      </c>
      <c r="I1090" s="106" t="s">
        <v>736</v>
      </c>
      <c r="J1090" s="93"/>
      <c r="K1090" s="99" t="s">
        <v>232</v>
      </c>
      <c r="L1090" s="93" t="s">
        <v>232</v>
      </c>
      <c r="M1090" s="200">
        <v>1910</v>
      </c>
      <c r="N1090" s="64" t="s">
        <v>385</v>
      </c>
      <c r="O1090" s="106">
        <v>6</v>
      </c>
      <c r="P1090" s="196">
        <v>0</v>
      </c>
      <c r="Q1090" s="106">
        <v>6</v>
      </c>
      <c r="R1090" s="107">
        <v>82</v>
      </c>
      <c r="S1090" s="108">
        <v>9412.9000000000015</v>
      </c>
      <c r="T1090" s="108">
        <v>9412.9000000000015</v>
      </c>
      <c r="U1090" s="108">
        <v>8834.2000000000007</v>
      </c>
      <c r="V1090" s="109">
        <v>578.70000000000005</v>
      </c>
      <c r="W1090" s="206" t="s">
        <v>233</v>
      </c>
      <c r="X1090" s="206" t="s">
        <v>233</v>
      </c>
      <c r="Y1090" s="206" t="s">
        <v>233</v>
      </c>
      <c r="Z1090" s="206" t="s">
        <v>233</v>
      </c>
      <c r="AA1090" s="206" t="s">
        <v>233</v>
      </c>
      <c r="AB1090" s="206" t="s">
        <v>233</v>
      </c>
      <c r="AC1090" s="206" t="s">
        <v>240</v>
      </c>
      <c r="AD1090" s="206" t="s">
        <v>233</v>
      </c>
      <c r="AE1090" s="206" t="s">
        <v>240</v>
      </c>
      <c r="AF1090" s="96">
        <v>6</v>
      </c>
      <c r="AG1090" s="93">
        <v>0</v>
      </c>
      <c r="AH1090" s="93">
        <v>0</v>
      </c>
      <c r="AI1090" s="93">
        <v>0</v>
      </c>
      <c r="AJ1090" s="93">
        <v>0</v>
      </c>
      <c r="AK1090" s="93">
        <v>0</v>
      </c>
    </row>
    <row r="1091" spans="1:37" s="104" customFormat="1" ht="15.75" customHeight="1" outlineLevel="1">
      <c r="A1091" s="92">
        <v>1084</v>
      </c>
      <c r="B1091" s="93" t="s">
        <v>190</v>
      </c>
      <c r="C1091" s="93" t="s">
        <v>1488</v>
      </c>
      <c r="D1091" s="94" t="s">
        <v>743</v>
      </c>
      <c r="E1091" s="105">
        <v>6</v>
      </c>
      <c r="F1091" s="99" t="s">
        <v>191</v>
      </c>
      <c r="G1091" s="99"/>
      <c r="H1091" s="96" t="s">
        <v>747</v>
      </c>
      <c r="I1091" s="106" t="s">
        <v>736</v>
      </c>
      <c r="J1091" s="93"/>
      <c r="K1091" s="99" t="s">
        <v>232</v>
      </c>
      <c r="L1091" s="93" t="s">
        <v>232</v>
      </c>
      <c r="M1091" s="200">
        <v>1826</v>
      </c>
      <c r="N1091" s="64" t="s">
        <v>385</v>
      </c>
      <c r="O1091" s="106">
        <v>6</v>
      </c>
      <c r="P1091" s="196">
        <v>0</v>
      </c>
      <c r="Q1091" s="106">
        <v>5</v>
      </c>
      <c r="R1091" s="107">
        <v>65</v>
      </c>
      <c r="S1091" s="108">
        <v>3697.9</v>
      </c>
      <c r="T1091" s="108">
        <v>3697.9</v>
      </c>
      <c r="U1091" s="108">
        <v>3606.6</v>
      </c>
      <c r="V1091" s="109">
        <v>91.3</v>
      </c>
      <c r="W1091" s="206" t="s">
        <v>233</v>
      </c>
      <c r="X1091" s="206" t="s">
        <v>233</v>
      </c>
      <c r="Y1091" s="206" t="s">
        <v>233</v>
      </c>
      <c r="Z1091" s="206" t="s">
        <v>233</v>
      </c>
      <c r="AA1091" s="206" t="s">
        <v>233</v>
      </c>
      <c r="AB1091" s="206" t="s">
        <v>233</v>
      </c>
      <c r="AC1091" s="206" t="s">
        <v>240</v>
      </c>
      <c r="AD1091" s="206" t="s">
        <v>233</v>
      </c>
      <c r="AE1091" s="206" t="s">
        <v>240</v>
      </c>
      <c r="AF1091" s="96">
        <v>0</v>
      </c>
      <c r="AG1091" s="93">
        <v>0</v>
      </c>
      <c r="AH1091" s="93">
        <v>0</v>
      </c>
      <c r="AI1091" s="93">
        <v>0</v>
      </c>
      <c r="AJ1091" s="93">
        <v>0</v>
      </c>
      <c r="AK1091" s="93">
        <v>0</v>
      </c>
    </row>
    <row r="1092" spans="1:37" s="104" customFormat="1" ht="15.75" customHeight="1" outlineLevel="1">
      <c r="A1092" s="92">
        <v>1085</v>
      </c>
      <c r="B1092" s="93" t="s">
        <v>190</v>
      </c>
      <c r="C1092" s="93" t="s">
        <v>1488</v>
      </c>
      <c r="D1092" s="94" t="s">
        <v>748</v>
      </c>
      <c r="E1092" s="105">
        <v>4</v>
      </c>
      <c r="F1092" s="99" t="s">
        <v>191</v>
      </c>
      <c r="G1092" s="99"/>
      <c r="H1092" s="96" t="s">
        <v>749</v>
      </c>
      <c r="I1092" s="106" t="s">
        <v>736</v>
      </c>
      <c r="J1092" s="93"/>
      <c r="K1092" s="99" t="s">
        <v>232</v>
      </c>
      <c r="L1092" s="93" t="s">
        <v>232</v>
      </c>
      <c r="M1092" s="200">
        <v>1798</v>
      </c>
      <c r="N1092" s="64" t="s">
        <v>385</v>
      </c>
      <c r="O1092" s="106">
        <v>5</v>
      </c>
      <c r="P1092" s="196">
        <v>0</v>
      </c>
      <c r="Q1092" s="106">
        <v>2</v>
      </c>
      <c r="R1092" s="107">
        <v>16</v>
      </c>
      <c r="S1092" s="108">
        <v>1985.6</v>
      </c>
      <c r="T1092" s="108">
        <v>1985.6</v>
      </c>
      <c r="U1092" s="108">
        <v>1717.6999999999998</v>
      </c>
      <c r="V1092" s="109">
        <v>267.89999999999998</v>
      </c>
      <c r="W1092" s="206" t="s">
        <v>233</v>
      </c>
      <c r="X1092" s="206" t="s">
        <v>233</v>
      </c>
      <c r="Y1092" s="206" t="s">
        <v>240</v>
      </c>
      <c r="Z1092" s="206" t="s">
        <v>233</v>
      </c>
      <c r="AA1092" s="206" t="s">
        <v>233</v>
      </c>
      <c r="AB1092" s="206" t="s">
        <v>233</v>
      </c>
      <c r="AC1092" s="206" t="s">
        <v>233</v>
      </c>
      <c r="AD1092" s="206" t="s">
        <v>233</v>
      </c>
      <c r="AE1092" s="206" t="s">
        <v>240</v>
      </c>
      <c r="AF1092" s="96">
        <v>0</v>
      </c>
      <c r="AG1092" s="93">
        <v>0</v>
      </c>
      <c r="AH1092" s="93">
        <v>1</v>
      </c>
      <c r="AI1092" s="93">
        <v>0</v>
      </c>
      <c r="AJ1092" s="93">
        <v>0</v>
      </c>
      <c r="AK1092" s="93">
        <v>0</v>
      </c>
    </row>
    <row r="1093" spans="1:37" s="104" customFormat="1" outlineLevel="1">
      <c r="A1093" s="92">
        <v>1086</v>
      </c>
      <c r="B1093" s="93" t="s">
        <v>190</v>
      </c>
      <c r="C1093" s="93" t="s">
        <v>1488</v>
      </c>
      <c r="D1093" s="94" t="s">
        <v>750</v>
      </c>
      <c r="E1093" s="105">
        <v>18</v>
      </c>
      <c r="F1093" s="99" t="s">
        <v>191</v>
      </c>
      <c r="G1093" s="99"/>
      <c r="H1093" s="96" t="s">
        <v>751</v>
      </c>
      <c r="I1093" s="106" t="s">
        <v>736</v>
      </c>
      <c r="J1093" s="93"/>
      <c r="K1093" s="99" t="s">
        <v>232</v>
      </c>
      <c r="L1093" s="93" t="s">
        <v>232</v>
      </c>
      <c r="M1093" s="200">
        <v>1905</v>
      </c>
      <c r="N1093" s="64" t="s">
        <v>385</v>
      </c>
      <c r="O1093" s="106">
        <v>6</v>
      </c>
      <c r="P1093" s="196">
        <v>0</v>
      </c>
      <c r="Q1093" s="106">
        <v>4</v>
      </c>
      <c r="R1093" s="107">
        <v>43</v>
      </c>
      <c r="S1093" s="108">
        <v>7034</v>
      </c>
      <c r="T1093" s="108">
        <v>7034</v>
      </c>
      <c r="U1093" s="108">
        <v>6177</v>
      </c>
      <c r="V1093" s="109">
        <v>857</v>
      </c>
      <c r="W1093" s="206" t="s">
        <v>233</v>
      </c>
      <c r="X1093" s="206" t="s">
        <v>233</v>
      </c>
      <c r="Y1093" s="206" t="s">
        <v>233</v>
      </c>
      <c r="Z1093" s="206" t="s">
        <v>233</v>
      </c>
      <c r="AA1093" s="206" t="s">
        <v>233</v>
      </c>
      <c r="AB1093" s="206" t="s">
        <v>233</v>
      </c>
      <c r="AC1093" s="206" t="s">
        <v>240</v>
      </c>
      <c r="AD1093" s="206" t="s">
        <v>233</v>
      </c>
      <c r="AE1093" s="206" t="s">
        <v>240</v>
      </c>
      <c r="AF1093" s="96">
        <v>2</v>
      </c>
      <c r="AG1093" s="93">
        <v>0</v>
      </c>
      <c r="AH1093" s="93">
        <v>1</v>
      </c>
      <c r="AI1093" s="93">
        <v>0</v>
      </c>
      <c r="AJ1093" s="93">
        <v>0</v>
      </c>
      <c r="AK1093" s="93">
        <v>0</v>
      </c>
    </row>
    <row r="1094" spans="1:37" s="104" customFormat="1" outlineLevel="1">
      <c r="A1094" s="92">
        <v>1087</v>
      </c>
      <c r="B1094" s="93" t="s">
        <v>190</v>
      </c>
      <c r="C1094" s="93" t="s">
        <v>1488</v>
      </c>
      <c r="D1094" s="94" t="s">
        <v>750</v>
      </c>
      <c r="E1094" s="105">
        <v>21</v>
      </c>
      <c r="F1094" s="99" t="s">
        <v>191</v>
      </c>
      <c r="G1094" s="99"/>
      <c r="H1094" s="96" t="s">
        <v>752</v>
      </c>
      <c r="I1094" s="106" t="s">
        <v>736</v>
      </c>
      <c r="J1094" s="93"/>
      <c r="K1094" s="99" t="s">
        <v>232</v>
      </c>
      <c r="L1094" s="93" t="s">
        <v>232</v>
      </c>
      <c r="M1094" s="200">
        <v>1835</v>
      </c>
      <c r="N1094" s="64" t="s">
        <v>385</v>
      </c>
      <c r="O1094" s="106">
        <v>4</v>
      </c>
      <c r="P1094" s="196">
        <v>0</v>
      </c>
      <c r="Q1094" s="106">
        <v>5</v>
      </c>
      <c r="R1094" s="107">
        <v>43</v>
      </c>
      <c r="S1094" s="108">
        <v>3851.65</v>
      </c>
      <c r="T1094" s="108">
        <v>3851.65</v>
      </c>
      <c r="U1094" s="108">
        <v>3222.6499999999996</v>
      </c>
      <c r="V1094" s="109">
        <v>629</v>
      </c>
      <c r="W1094" s="206" t="s">
        <v>233</v>
      </c>
      <c r="X1094" s="206" t="s">
        <v>233</v>
      </c>
      <c r="Y1094" s="206" t="s">
        <v>233</v>
      </c>
      <c r="Z1094" s="206" t="s">
        <v>233</v>
      </c>
      <c r="AA1094" s="206" t="s">
        <v>233</v>
      </c>
      <c r="AB1094" s="206" t="s">
        <v>233</v>
      </c>
      <c r="AC1094" s="206" t="s">
        <v>240</v>
      </c>
      <c r="AD1094" s="206" t="s">
        <v>233</v>
      </c>
      <c r="AE1094" s="206" t="s">
        <v>240</v>
      </c>
      <c r="AF1094" s="96">
        <v>0</v>
      </c>
      <c r="AG1094" s="93">
        <v>0</v>
      </c>
      <c r="AH1094" s="93">
        <v>1</v>
      </c>
      <c r="AI1094" s="93">
        <v>0</v>
      </c>
      <c r="AJ1094" s="93">
        <v>0</v>
      </c>
      <c r="AK1094" s="93">
        <v>0</v>
      </c>
    </row>
    <row r="1095" spans="1:37" s="104" customFormat="1" outlineLevel="1">
      <c r="A1095" s="92">
        <v>1088</v>
      </c>
      <c r="B1095" s="93" t="s">
        <v>190</v>
      </c>
      <c r="C1095" s="93" t="s">
        <v>1488</v>
      </c>
      <c r="D1095" s="94" t="s">
        <v>750</v>
      </c>
      <c r="E1095" s="105">
        <v>25</v>
      </c>
      <c r="F1095" s="99" t="s">
        <v>191</v>
      </c>
      <c r="G1095" s="99"/>
      <c r="H1095" s="96" t="s">
        <v>753</v>
      </c>
      <c r="I1095" s="106" t="s">
        <v>736</v>
      </c>
      <c r="J1095" s="93"/>
      <c r="K1095" s="99" t="s">
        <v>232</v>
      </c>
      <c r="L1095" s="93" t="s">
        <v>232</v>
      </c>
      <c r="M1095" s="200">
        <v>1917</v>
      </c>
      <c r="N1095" s="64" t="s">
        <v>385</v>
      </c>
      <c r="O1095" s="106">
        <v>3</v>
      </c>
      <c r="P1095" s="196">
        <v>0</v>
      </c>
      <c r="Q1095" s="106">
        <v>2</v>
      </c>
      <c r="R1095" s="107">
        <v>8</v>
      </c>
      <c r="S1095" s="108">
        <v>3182.2</v>
      </c>
      <c r="T1095" s="108">
        <v>3182.2</v>
      </c>
      <c r="U1095" s="108">
        <v>795.2</v>
      </c>
      <c r="V1095" s="109">
        <v>2387</v>
      </c>
      <c r="W1095" s="206" t="s">
        <v>233</v>
      </c>
      <c r="X1095" s="206" t="s">
        <v>233</v>
      </c>
      <c r="Y1095" s="206" t="s">
        <v>233</v>
      </c>
      <c r="Z1095" s="206" t="s">
        <v>233</v>
      </c>
      <c r="AA1095" s="206" t="s">
        <v>233</v>
      </c>
      <c r="AB1095" s="206" t="s">
        <v>233</v>
      </c>
      <c r="AC1095" s="206" t="s">
        <v>240</v>
      </c>
      <c r="AD1095" s="206" t="s">
        <v>233</v>
      </c>
      <c r="AE1095" s="206" t="s">
        <v>240</v>
      </c>
      <c r="AF1095" s="96">
        <v>0</v>
      </c>
      <c r="AG1095" s="93">
        <v>0</v>
      </c>
      <c r="AH1095" s="93">
        <v>1</v>
      </c>
      <c r="AI1095" s="93">
        <v>0</v>
      </c>
      <c r="AJ1095" s="93">
        <v>0</v>
      </c>
      <c r="AK1095" s="93">
        <v>0</v>
      </c>
    </row>
    <row r="1096" spans="1:37" s="104" customFormat="1" outlineLevel="1">
      <c r="A1096" s="92">
        <v>1089</v>
      </c>
      <c r="B1096" s="93" t="s">
        <v>190</v>
      </c>
      <c r="C1096" s="93" t="s">
        <v>1488</v>
      </c>
      <c r="D1096" s="94" t="s">
        <v>750</v>
      </c>
      <c r="E1096" s="105">
        <v>28</v>
      </c>
      <c r="F1096" s="99" t="s">
        <v>191</v>
      </c>
      <c r="G1096" s="99"/>
      <c r="H1096" s="96" t="s">
        <v>754</v>
      </c>
      <c r="I1096" s="106" t="s">
        <v>736</v>
      </c>
      <c r="J1096" s="93"/>
      <c r="K1096" s="99" t="s">
        <v>232</v>
      </c>
      <c r="L1096" s="93" t="s">
        <v>232</v>
      </c>
      <c r="M1096" s="200">
        <v>1840</v>
      </c>
      <c r="N1096" s="64" t="s">
        <v>385</v>
      </c>
      <c r="O1096" s="106">
        <v>4</v>
      </c>
      <c r="P1096" s="196">
        <v>0</v>
      </c>
      <c r="Q1096" s="106">
        <v>3</v>
      </c>
      <c r="R1096" s="107">
        <v>14</v>
      </c>
      <c r="S1096" s="108">
        <v>2154.04</v>
      </c>
      <c r="T1096" s="108">
        <v>2154.04</v>
      </c>
      <c r="U1096" s="108">
        <v>1593.04</v>
      </c>
      <c r="V1096" s="109">
        <v>561</v>
      </c>
      <c r="W1096" s="206" t="s">
        <v>233</v>
      </c>
      <c r="X1096" s="206" t="s">
        <v>233</v>
      </c>
      <c r="Y1096" s="206" t="s">
        <v>233</v>
      </c>
      <c r="Z1096" s="206" t="s">
        <v>233</v>
      </c>
      <c r="AA1096" s="206" t="s">
        <v>233</v>
      </c>
      <c r="AB1096" s="206" t="s">
        <v>233</v>
      </c>
      <c r="AC1096" s="206" t="s">
        <v>240</v>
      </c>
      <c r="AD1096" s="206" t="s">
        <v>233</v>
      </c>
      <c r="AE1096" s="206" t="s">
        <v>240</v>
      </c>
      <c r="AF1096" s="96">
        <v>0</v>
      </c>
      <c r="AG1096" s="93">
        <v>0</v>
      </c>
      <c r="AH1096" s="93">
        <v>1</v>
      </c>
      <c r="AI1096" s="93">
        <v>0</v>
      </c>
      <c r="AJ1096" s="93">
        <v>0</v>
      </c>
      <c r="AK1096" s="93">
        <v>0</v>
      </c>
    </row>
    <row r="1097" spans="1:37" s="104" customFormat="1" outlineLevel="1">
      <c r="A1097" s="92">
        <v>1090</v>
      </c>
      <c r="B1097" s="93" t="s">
        <v>190</v>
      </c>
      <c r="C1097" s="93" t="s">
        <v>1488</v>
      </c>
      <c r="D1097" s="94" t="s">
        <v>750</v>
      </c>
      <c r="E1097" s="105">
        <v>29</v>
      </c>
      <c r="F1097" s="99" t="s">
        <v>191</v>
      </c>
      <c r="G1097" s="99"/>
      <c r="H1097" s="96" t="s">
        <v>755</v>
      </c>
      <c r="I1097" s="106" t="s">
        <v>736</v>
      </c>
      <c r="J1097" s="93"/>
      <c r="K1097" s="99" t="s">
        <v>232</v>
      </c>
      <c r="L1097" s="93" t="s">
        <v>232</v>
      </c>
      <c r="M1097" s="200">
        <v>1754</v>
      </c>
      <c r="N1097" s="64" t="s">
        <v>385</v>
      </c>
      <c r="O1097" s="106">
        <v>4</v>
      </c>
      <c r="P1097" s="196">
        <v>0</v>
      </c>
      <c r="Q1097" s="106">
        <v>5</v>
      </c>
      <c r="R1097" s="107">
        <v>32</v>
      </c>
      <c r="S1097" s="108">
        <v>3629</v>
      </c>
      <c r="T1097" s="108">
        <v>3629</v>
      </c>
      <c r="U1097" s="108">
        <v>2554</v>
      </c>
      <c r="V1097" s="109">
        <v>1075</v>
      </c>
      <c r="W1097" s="206" t="s">
        <v>233</v>
      </c>
      <c r="X1097" s="206" t="s">
        <v>233</v>
      </c>
      <c r="Y1097" s="206" t="s">
        <v>233</v>
      </c>
      <c r="Z1097" s="206" t="s">
        <v>233</v>
      </c>
      <c r="AA1097" s="206" t="s">
        <v>233</v>
      </c>
      <c r="AB1097" s="206" t="s">
        <v>233</v>
      </c>
      <c r="AC1097" s="206" t="s">
        <v>240</v>
      </c>
      <c r="AD1097" s="206" t="s">
        <v>233</v>
      </c>
      <c r="AE1097" s="206" t="s">
        <v>240</v>
      </c>
      <c r="AF1097" s="96">
        <v>0</v>
      </c>
      <c r="AG1097" s="93">
        <v>0</v>
      </c>
      <c r="AH1097" s="93">
        <v>1</v>
      </c>
      <c r="AI1097" s="93">
        <v>0</v>
      </c>
      <c r="AJ1097" s="93">
        <v>0</v>
      </c>
      <c r="AK1097" s="93">
        <v>0</v>
      </c>
    </row>
    <row r="1098" spans="1:37" s="104" customFormat="1" outlineLevel="1">
      <c r="A1098" s="92">
        <v>1091</v>
      </c>
      <c r="B1098" s="93" t="s">
        <v>190</v>
      </c>
      <c r="C1098" s="93" t="s">
        <v>1488</v>
      </c>
      <c r="D1098" s="94" t="s">
        <v>750</v>
      </c>
      <c r="E1098" s="105">
        <v>31</v>
      </c>
      <c r="F1098" s="99" t="s">
        <v>191</v>
      </c>
      <c r="G1098" s="99"/>
      <c r="H1098" s="96" t="s">
        <v>756</v>
      </c>
      <c r="I1098" s="106" t="s">
        <v>736</v>
      </c>
      <c r="J1098" s="93"/>
      <c r="K1098" s="99" t="s">
        <v>232</v>
      </c>
      <c r="L1098" s="93" t="s">
        <v>232</v>
      </c>
      <c r="M1098" s="200">
        <v>1843</v>
      </c>
      <c r="N1098" s="64" t="s">
        <v>385</v>
      </c>
      <c r="O1098" s="106">
        <v>4</v>
      </c>
      <c r="P1098" s="196">
        <v>0</v>
      </c>
      <c r="Q1098" s="106">
        <v>9</v>
      </c>
      <c r="R1098" s="107">
        <v>55</v>
      </c>
      <c r="S1098" s="108">
        <v>5945</v>
      </c>
      <c r="T1098" s="108">
        <v>5945</v>
      </c>
      <c r="U1098" s="108">
        <v>5365</v>
      </c>
      <c r="V1098" s="109">
        <v>580</v>
      </c>
      <c r="W1098" s="206" t="s">
        <v>233</v>
      </c>
      <c r="X1098" s="206" t="s">
        <v>233</v>
      </c>
      <c r="Y1098" s="206" t="s">
        <v>233</v>
      </c>
      <c r="Z1098" s="206" t="s">
        <v>233</v>
      </c>
      <c r="AA1098" s="206" t="s">
        <v>233</v>
      </c>
      <c r="AB1098" s="206" t="s">
        <v>233</v>
      </c>
      <c r="AC1098" s="206" t="s">
        <v>240</v>
      </c>
      <c r="AD1098" s="206" t="s">
        <v>233</v>
      </c>
      <c r="AE1098" s="206" t="s">
        <v>240</v>
      </c>
      <c r="AF1098" s="96">
        <v>0</v>
      </c>
      <c r="AG1098" s="93">
        <v>0</v>
      </c>
      <c r="AH1098" s="93">
        <v>1</v>
      </c>
      <c r="AI1098" s="93">
        <v>0</v>
      </c>
      <c r="AJ1098" s="93">
        <v>0</v>
      </c>
      <c r="AK1098" s="93">
        <v>0</v>
      </c>
    </row>
    <row r="1099" spans="1:37" s="104" customFormat="1" outlineLevel="1">
      <c r="A1099" s="92">
        <v>1092</v>
      </c>
      <c r="B1099" s="93" t="s">
        <v>190</v>
      </c>
      <c r="C1099" s="93" t="s">
        <v>1488</v>
      </c>
      <c r="D1099" s="94" t="s">
        <v>750</v>
      </c>
      <c r="E1099" s="105">
        <v>33</v>
      </c>
      <c r="F1099" s="99" t="s">
        <v>191</v>
      </c>
      <c r="G1099" s="99"/>
      <c r="H1099" s="96" t="s">
        <v>757</v>
      </c>
      <c r="I1099" s="106" t="s">
        <v>736</v>
      </c>
      <c r="J1099" s="93"/>
      <c r="K1099" s="99" t="s">
        <v>232</v>
      </c>
      <c r="L1099" s="93" t="s">
        <v>232</v>
      </c>
      <c r="M1099" s="200">
        <v>1832</v>
      </c>
      <c r="N1099" s="64" t="s">
        <v>385</v>
      </c>
      <c r="O1099" s="106">
        <v>4</v>
      </c>
      <c r="P1099" s="196">
        <v>0</v>
      </c>
      <c r="Q1099" s="106">
        <v>4</v>
      </c>
      <c r="R1099" s="107">
        <v>18</v>
      </c>
      <c r="S1099" s="108">
        <v>3135</v>
      </c>
      <c r="T1099" s="108">
        <v>3135</v>
      </c>
      <c r="U1099" s="108">
        <v>1881</v>
      </c>
      <c r="V1099" s="109">
        <v>1254</v>
      </c>
      <c r="W1099" s="206" t="s">
        <v>233</v>
      </c>
      <c r="X1099" s="206" t="s">
        <v>233</v>
      </c>
      <c r="Y1099" s="206" t="s">
        <v>233</v>
      </c>
      <c r="Z1099" s="206" t="s">
        <v>233</v>
      </c>
      <c r="AA1099" s="206" t="s">
        <v>233</v>
      </c>
      <c r="AB1099" s="206" t="s">
        <v>233</v>
      </c>
      <c r="AC1099" s="206" t="s">
        <v>240</v>
      </c>
      <c r="AD1099" s="206" t="s">
        <v>233</v>
      </c>
      <c r="AE1099" s="206" t="s">
        <v>240</v>
      </c>
      <c r="AF1099" s="96">
        <v>0</v>
      </c>
      <c r="AG1099" s="93">
        <v>0</v>
      </c>
      <c r="AH1099" s="93">
        <v>1</v>
      </c>
      <c r="AI1099" s="93">
        <v>0</v>
      </c>
      <c r="AJ1099" s="93">
        <v>0</v>
      </c>
      <c r="AK1099" s="93">
        <v>0</v>
      </c>
    </row>
    <row r="1100" spans="1:37" s="104" customFormat="1" ht="15.75" customHeight="1" outlineLevel="1">
      <c r="A1100" s="92">
        <v>1093</v>
      </c>
      <c r="B1100" s="93" t="s">
        <v>190</v>
      </c>
      <c r="C1100" s="93" t="s">
        <v>1488</v>
      </c>
      <c r="D1100" s="94" t="s">
        <v>750</v>
      </c>
      <c r="E1100" s="105">
        <v>33</v>
      </c>
      <c r="F1100" s="99" t="s">
        <v>260</v>
      </c>
      <c r="G1100" s="99"/>
      <c r="H1100" s="96" t="s">
        <v>758</v>
      </c>
      <c r="I1100" s="106" t="s">
        <v>736</v>
      </c>
      <c r="J1100" s="93"/>
      <c r="K1100" s="99" t="s">
        <v>232</v>
      </c>
      <c r="L1100" s="93" t="s">
        <v>232</v>
      </c>
      <c r="M1100" s="200">
        <v>1832</v>
      </c>
      <c r="N1100" s="64" t="s">
        <v>385</v>
      </c>
      <c r="O1100" s="106">
        <v>4</v>
      </c>
      <c r="P1100" s="196">
        <v>0</v>
      </c>
      <c r="Q1100" s="106">
        <v>4</v>
      </c>
      <c r="R1100" s="107">
        <v>20</v>
      </c>
      <c r="S1100" s="108">
        <v>2508</v>
      </c>
      <c r="T1100" s="108">
        <v>2508</v>
      </c>
      <c r="U1100" s="108">
        <v>1881</v>
      </c>
      <c r="V1100" s="109">
        <v>627</v>
      </c>
      <c r="W1100" s="206" t="s">
        <v>233</v>
      </c>
      <c r="X1100" s="206" t="s">
        <v>233</v>
      </c>
      <c r="Y1100" s="206" t="s">
        <v>233</v>
      </c>
      <c r="Z1100" s="206" t="s">
        <v>233</v>
      </c>
      <c r="AA1100" s="206" t="s">
        <v>233</v>
      </c>
      <c r="AB1100" s="206" t="s">
        <v>233</v>
      </c>
      <c r="AC1100" s="206" t="s">
        <v>240</v>
      </c>
      <c r="AD1100" s="206" t="s">
        <v>233</v>
      </c>
      <c r="AE1100" s="206" t="s">
        <v>240</v>
      </c>
      <c r="AF1100" s="96">
        <v>0</v>
      </c>
      <c r="AG1100" s="93">
        <v>0</v>
      </c>
      <c r="AH1100" s="93">
        <v>0</v>
      </c>
      <c r="AI1100" s="93">
        <v>0</v>
      </c>
      <c r="AJ1100" s="93">
        <v>0</v>
      </c>
      <c r="AK1100" s="93">
        <v>0</v>
      </c>
    </row>
    <row r="1101" spans="1:37" s="104" customFormat="1" ht="15.75" customHeight="1" outlineLevel="1">
      <c r="A1101" s="92">
        <v>1094</v>
      </c>
      <c r="B1101" s="93" t="s">
        <v>190</v>
      </c>
      <c r="C1101" s="93" t="s">
        <v>1488</v>
      </c>
      <c r="D1101" s="94" t="s">
        <v>750</v>
      </c>
      <c r="E1101" s="105">
        <v>34</v>
      </c>
      <c r="F1101" s="99" t="s">
        <v>260</v>
      </c>
      <c r="G1101" s="99"/>
      <c r="H1101" s="96" t="s">
        <v>759</v>
      </c>
      <c r="I1101" s="106" t="s">
        <v>736</v>
      </c>
      <c r="J1101" s="93"/>
      <c r="K1101" s="99" t="s">
        <v>232</v>
      </c>
      <c r="L1101" s="93" t="s">
        <v>232</v>
      </c>
      <c r="M1101" s="200">
        <v>1880</v>
      </c>
      <c r="N1101" s="64" t="s">
        <v>385</v>
      </c>
      <c r="O1101" s="106">
        <v>2</v>
      </c>
      <c r="P1101" s="196">
        <v>0</v>
      </c>
      <c r="Q1101" s="106">
        <v>6</v>
      </c>
      <c r="R1101" s="107">
        <v>41</v>
      </c>
      <c r="S1101" s="108">
        <v>4707.5</v>
      </c>
      <c r="T1101" s="108">
        <v>4707.5</v>
      </c>
      <c r="U1101" s="108">
        <v>3391</v>
      </c>
      <c r="V1101" s="109">
        <v>1316.5</v>
      </c>
      <c r="W1101" s="206" t="s">
        <v>233</v>
      </c>
      <c r="X1101" s="206" t="s">
        <v>233</v>
      </c>
      <c r="Y1101" s="206" t="s">
        <v>233</v>
      </c>
      <c r="Z1101" s="206" t="s">
        <v>233</v>
      </c>
      <c r="AA1101" s="206" t="s">
        <v>233</v>
      </c>
      <c r="AB1101" s="206" t="s">
        <v>233</v>
      </c>
      <c r="AC1101" s="206" t="s">
        <v>240</v>
      </c>
      <c r="AD1101" s="206" t="s">
        <v>233</v>
      </c>
      <c r="AE1101" s="206" t="s">
        <v>240</v>
      </c>
      <c r="AF1101" s="96">
        <v>0</v>
      </c>
      <c r="AG1101" s="93">
        <v>0</v>
      </c>
      <c r="AH1101" s="93">
        <v>1</v>
      </c>
      <c r="AI1101" s="93">
        <v>0</v>
      </c>
      <c r="AJ1101" s="93">
        <v>0</v>
      </c>
      <c r="AK1101" s="93">
        <v>0</v>
      </c>
    </row>
    <row r="1102" spans="1:37" s="104" customFormat="1" ht="15.75" customHeight="1" outlineLevel="1">
      <c r="A1102" s="92">
        <v>1095</v>
      </c>
      <c r="B1102" s="93" t="s">
        <v>190</v>
      </c>
      <c r="C1102" s="93" t="s">
        <v>1488</v>
      </c>
      <c r="D1102" s="94" t="s">
        <v>750</v>
      </c>
      <c r="E1102" s="105">
        <v>34</v>
      </c>
      <c r="F1102" s="99" t="s">
        <v>261</v>
      </c>
      <c r="G1102" s="99"/>
      <c r="H1102" s="96" t="s">
        <v>761</v>
      </c>
      <c r="I1102" s="106" t="s">
        <v>736</v>
      </c>
      <c r="J1102" s="93"/>
      <c r="K1102" s="99" t="s">
        <v>232</v>
      </c>
      <c r="L1102" s="93" t="s">
        <v>232</v>
      </c>
      <c r="M1102" s="200">
        <v>1872</v>
      </c>
      <c r="N1102" s="64" t="s">
        <v>385</v>
      </c>
      <c r="O1102" s="106">
        <v>2</v>
      </c>
      <c r="P1102" s="196">
        <v>0</v>
      </c>
      <c r="Q1102" s="106">
        <v>6</v>
      </c>
      <c r="R1102" s="107">
        <v>43</v>
      </c>
      <c r="S1102" s="108">
        <v>4704.5</v>
      </c>
      <c r="T1102" s="108">
        <v>4704.5</v>
      </c>
      <c r="U1102" s="108">
        <v>3388</v>
      </c>
      <c r="V1102" s="109">
        <v>1316.5</v>
      </c>
      <c r="W1102" s="206" t="s">
        <v>233</v>
      </c>
      <c r="X1102" s="206" t="s">
        <v>233</v>
      </c>
      <c r="Y1102" s="206" t="s">
        <v>233</v>
      </c>
      <c r="Z1102" s="206" t="s">
        <v>233</v>
      </c>
      <c r="AA1102" s="206" t="s">
        <v>233</v>
      </c>
      <c r="AB1102" s="206" t="s">
        <v>233</v>
      </c>
      <c r="AC1102" s="206" t="s">
        <v>240</v>
      </c>
      <c r="AD1102" s="206" t="s">
        <v>233</v>
      </c>
      <c r="AE1102" s="206" t="s">
        <v>240</v>
      </c>
      <c r="AF1102" s="96">
        <v>0</v>
      </c>
      <c r="AG1102" s="93">
        <v>0</v>
      </c>
      <c r="AH1102" s="93">
        <v>0</v>
      </c>
      <c r="AI1102" s="93">
        <v>0</v>
      </c>
      <c r="AJ1102" s="93">
        <v>0</v>
      </c>
      <c r="AK1102" s="93">
        <v>0</v>
      </c>
    </row>
    <row r="1103" spans="1:37" s="104" customFormat="1" ht="15.75" customHeight="1" outlineLevel="1">
      <c r="A1103" s="92">
        <v>1096</v>
      </c>
      <c r="B1103" s="93" t="s">
        <v>190</v>
      </c>
      <c r="C1103" s="93" t="s">
        <v>1488</v>
      </c>
      <c r="D1103" s="94" t="s">
        <v>750</v>
      </c>
      <c r="E1103" s="105">
        <v>35</v>
      </c>
      <c r="F1103" s="99" t="s">
        <v>191</v>
      </c>
      <c r="G1103" s="99"/>
      <c r="H1103" s="96" t="s">
        <v>762</v>
      </c>
      <c r="I1103" s="106" t="s">
        <v>736</v>
      </c>
      <c r="J1103" s="93"/>
      <c r="K1103" s="99" t="s">
        <v>232</v>
      </c>
      <c r="L1103" s="93" t="s">
        <v>232</v>
      </c>
      <c r="M1103" s="200">
        <v>1917</v>
      </c>
      <c r="N1103" s="64" t="s">
        <v>385</v>
      </c>
      <c r="O1103" s="106">
        <v>3</v>
      </c>
      <c r="P1103" s="196">
        <v>0</v>
      </c>
      <c r="Q1103" s="106">
        <v>4</v>
      </c>
      <c r="R1103" s="107">
        <v>15</v>
      </c>
      <c r="S1103" s="108">
        <v>2052</v>
      </c>
      <c r="T1103" s="108">
        <v>2052</v>
      </c>
      <c r="U1103" s="108">
        <v>1353</v>
      </c>
      <c r="V1103" s="109">
        <v>699</v>
      </c>
      <c r="W1103" s="206" t="s">
        <v>233</v>
      </c>
      <c r="X1103" s="206" t="s">
        <v>233</v>
      </c>
      <c r="Y1103" s="206" t="s">
        <v>233</v>
      </c>
      <c r="Z1103" s="206" t="s">
        <v>233</v>
      </c>
      <c r="AA1103" s="206" t="s">
        <v>233</v>
      </c>
      <c r="AB1103" s="206" t="s">
        <v>233</v>
      </c>
      <c r="AC1103" s="206" t="s">
        <v>240</v>
      </c>
      <c r="AD1103" s="206" t="s">
        <v>233</v>
      </c>
      <c r="AE1103" s="206" t="s">
        <v>240</v>
      </c>
      <c r="AF1103" s="96">
        <v>0</v>
      </c>
      <c r="AG1103" s="93">
        <v>0</v>
      </c>
      <c r="AH1103" s="93">
        <v>1</v>
      </c>
      <c r="AI1103" s="93">
        <v>0</v>
      </c>
      <c r="AJ1103" s="93">
        <v>0</v>
      </c>
      <c r="AK1103" s="93">
        <v>0</v>
      </c>
    </row>
    <row r="1104" spans="1:37" s="104" customFormat="1" outlineLevel="1">
      <c r="A1104" s="92">
        <v>1097</v>
      </c>
      <c r="B1104" s="93" t="s">
        <v>190</v>
      </c>
      <c r="C1104" s="93" t="s">
        <v>1488</v>
      </c>
      <c r="D1104" s="94" t="s">
        <v>750</v>
      </c>
      <c r="E1104" s="105" t="s">
        <v>763</v>
      </c>
      <c r="F1104" s="99" t="s">
        <v>191</v>
      </c>
      <c r="G1104" s="99"/>
      <c r="H1104" s="96" t="s">
        <v>764</v>
      </c>
      <c r="I1104" s="106" t="s">
        <v>736</v>
      </c>
      <c r="J1104" s="93"/>
      <c r="K1104" s="99" t="s">
        <v>232</v>
      </c>
      <c r="L1104" s="93" t="s">
        <v>232</v>
      </c>
      <c r="M1104" s="200">
        <v>1798</v>
      </c>
      <c r="N1104" s="64" t="s">
        <v>385</v>
      </c>
      <c r="O1104" s="106">
        <v>6</v>
      </c>
      <c r="P1104" s="196">
        <v>0</v>
      </c>
      <c r="Q1104" s="106">
        <v>8</v>
      </c>
      <c r="R1104" s="107">
        <v>51</v>
      </c>
      <c r="S1104" s="108">
        <v>6768</v>
      </c>
      <c r="T1104" s="108">
        <v>6768</v>
      </c>
      <c r="U1104" s="108">
        <v>3867</v>
      </c>
      <c r="V1104" s="109">
        <v>2901</v>
      </c>
      <c r="W1104" s="206" t="s">
        <v>233</v>
      </c>
      <c r="X1104" s="206" t="s">
        <v>233</v>
      </c>
      <c r="Y1104" s="206" t="s">
        <v>233</v>
      </c>
      <c r="Z1104" s="206" t="s">
        <v>233</v>
      </c>
      <c r="AA1104" s="206" t="s">
        <v>233</v>
      </c>
      <c r="AB1104" s="206" t="s">
        <v>233</v>
      </c>
      <c r="AC1104" s="206" t="s">
        <v>240</v>
      </c>
      <c r="AD1104" s="206" t="s">
        <v>233</v>
      </c>
      <c r="AE1104" s="206" t="s">
        <v>240</v>
      </c>
      <c r="AF1104" s="96">
        <v>0</v>
      </c>
      <c r="AG1104" s="93">
        <v>0</v>
      </c>
      <c r="AH1104" s="93">
        <v>2</v>
      </c>
      <c r="AI1104" s="93">
        <v>0</v>
      </c>
      <c r="AJ1104" s="93">
        <v>0</v>
      </c>
      <c r="AK1104" s="93">
        <v>0</v>
      </c>
    </row>
    <row r="1105" spans="1:37" s="104" customFormat="1" outlineLevel="1">
      <c r="A1105" s="92">
        <v>1098</v>
      </c>
      <c r="B1105" s="93" t="s">
        <v>190</v>
      </c>
      <c r="C1105" s="93" t="s">
        <v>1488</v>
      </c>
      <c r="D1105" s="94" t="s">
        <v>750</v>
      </c>
      <c r="E1105" s="105">
        <v>36</v>
      </c>
      <c r="F1105" s="99" t="s">
        <v>191</v>
      </c>
      <c r="G1105" s="99"/>
      <c r="H1105" s="96" t="s">
        <v>765</v>
      </c>
      <c r="I1105" s="106" t="s">
        <v>736</v>
      </c>
      <c r="J1105" s="93"/>
      <c r="K1105" s="99" t="s">
        <v>232</v>
      </c>
      <c r="L1105" s="93" t="s">
        <v>232</v>
      </c>
      <c r="M1105" s="200">
        <v>1868</v>
      </c>
      <c r="N1105" s="64" t="s">
        <v>385</v>
      </c>
      <c r="O1105" s="106">
        <v>4</v>
      </c>
      <c r="P1105" s="196">
        <v>0</v>
      </c>
      <c r="Q1105" s="106">
        <v>8</v>
      </c>
      <c r="R1105" s="107">
        <v>20</v>
      </c>
      <c r="S1105" s="108">
        <v>2866</v>
      </c>
      <c r="T1105" s="108">
        <v>2866</v>
      </c>
      <c r="U1105" s="108">
        <v>2219</v>
      </c>
      <c r="V1105" s="109">
        <v>647</v>
      </c>
      <c r="W1105" s="206" t="s">
        <v>240</v>
      </c>
      <c r="X1105" s="206" t="s">
        <v>240</v>
      </c>
      <c r="Y1105" s="206" t="s">
        <v>233</v>
      </c>
      <c r="Z1105" s="206" t="s">
        <v>240</v>
      </c>
      <c r="AA1105" s="206" t="s">
        <v>233</v>
      </c>
      <c r="AB1105" s="206" t="s">
        <v>233</v>
      </c>
      <c r="AC1105" s="206" t="s">
        <v>240</v>
      </c>
      <c r="AD1105" s="206" t="s">
        <v>233</v>
      </c>
      <c r="AE1105" s="206" t="s">
        <v>240</v>
      </c>
      <c r="AF1105" s="96">
        <v>0</v>
      </c>
      <c r="AG1105" s="93">
        <v>0</v>
      </c>
      <c r="AH1105" s="93">
        <v>0</v>
      </c>
      <c r="AI1105" s="93">
        <v>0</v>
      </c>
      <c r="AJ1105" s="93">
        <v>0</v>
      </c>
      <c r="AK1105" s="93">
        <v>0</v>
      </c>
    </row>
    <row r="1106" spans="1:37" s="104" customFormat="1" ht="15" customHeight="1" outlineLevel="1">
      <c r="A1106" s="92">
        <v>1099</v>
      </c>
      <c r="B1106" s="93" t="s">
        <v>190</v>
      </c>
      <c r="C1106" s="93" t="s">
        <v>1488</v>
      </c>
      <c r="D1106" s="94" t="s">
        <v>750</v>
      </c>
      <c r="E1106" s="105" t="s">
        <v>766</v>
      </c>
      <c r="F1106" s="99" t="s">
        <v>191</v>
      </c>
      <c r="G1106" s="99"/>
      <c r="H1106" s="96" t="s">
        <v>768</v>
      </c>
      <c r="I1106" s="106" t="s">
        <v>736</v>
      </c>
      <c r="J1106" s="93"/>
      <c r="K1106" s="99" t="s">
        <v>232</v>
      </c>
      <c r="L1106" s="93" t="s">
        <v>232</v>
      </c>
      <c r="M1106" s="200">
        <v>1988</v>
      </c>
      <c r="N1106" s="64" t="s">
        <v>385</v>
      </c>
      <c r="O1106" s="106">
        <v>6</v>
      </c>
      <c r="P1106" s="196">
        <v>0</v>
      </c>
      <c r="Q1106" s="106">
        <v>5</v>
      </c>
      <c r="R1106" s="107">
        <v>94</v>
      </c>
      <c r="S1106" s="108">
        <v>6641</v>
      </c>
      <c r="T1106" s="108">
        <v>6641</v>
      </c>
      <c r="U1106" s="108">
        <v>5124</v>
      </c>
      <c r="V1106" s="109">
        <v>1517</v>
      </c>
      <c r="W1106" s="206" t="s">
        <v>233</v>
      </c>
      <c r="X1106" s="206" t="s">
        <v>233</v>
      </c>
      <c r="Y1106" s="206" t="s">
        <v>233</v>
      </c>
      <c r="Z1106" s="206" t="s">
        <v>233</v>
      </c>
      <c r="AA1106" s="206" t="s">
        <v>233</v>
      </c>
      <c r="AB1106" s="206" t="s">
        <v>233</v>
      </c>
      <c r="AC1106" s="206" t="s">
        <v>240</v>
      </c>
      <c r="AD1106" s="206" t="s">
        <v>233</v>
      </c>
      <c r="AE1106" s="206" t="s">
        <v>240</v>
      </c>
      <c r="AF1106" s="96">
        <v>5</v>
      </c>
      <c r="AG1106" s="93">
        <v>0</v>
      </c>
      <c r="AH1106" s="93">
        <v>1</v>
      </c>
      <c r="AI1106" s="93">
        <v>0</v>
      </c>
      <c r="AJ1106" s="93">
        <v>0</v>
      </c>
      <c r="AK1106" s="93">
        <v>0</v>
      </c>
    </row>
    <row r="1107" spans="1:37" s="104" customFormat="1" outlineLevel="1">
      <c r="A1107" s="92">
        <v>1100</v>
      </c>
      <c r="B1107" s="93" t="s">
        <v>190</v>
      </c>
      <c r="C1107" s="93" t="s">
        <v>1488</v>
      </c>
      <c r="D1107" s="94" t="s">
        <v>750</v>
      </c>
      <c r="E1107" s="105">
        <v>39</v>
      </c>
      <c r="F1107" s="99" t="s">
        <v>260</v>
      </c>
      <c r="G1107" s="99"/>
      <c r="H1107" s="96" t="s">
        <v>769</v>
      </c>
      <c r="I1107" s="106" t="s">
        <v>736</v>
      </c>
      <c r="J1107" s="93"/>
      <c r="K1107" s="99" t="s">
        <v>232</v>
      </c>
      <c r="L1107" s="93" t="s">
        <v>232</v>
      </c>
      <c r="M1107" s="200">
        <v>1893</v>
      </c>
      <c r="N1107" s="64" t="s">
        <v>385</v>
      </c>
      <c r="O1107" s="106">
        <v>3</v>
      </c>
      <c r="P1107" s="196">
        <v>0</v>
      </c>
      <c r="Q1107" s="106">
        <v>3</v>
      </c>
      <c r="R1107" s="107">
        <v>8</v>
      </c>
      <c r="S1107" s="108">
        <v>1238</v>
      </c>
      <c r="T1107" s="108">
        <v>1238</v>
      </c>
      <c r="U1107" s="108">
        <v>706.7</v>
      </c>
      <c r="V1107" s="109">
        <v>531.29999999999995</v>
      </c>
      <c r="W1107" s="206" t="s">
        <v>233</v>
      </c>
      <c r="X1107" s="206" t="s">
        <v>233</v>
      </c>
      <c r="Y1107" s="206" t="s">
        <v>233</v>
      </c>
      <c r="Z1107" s="206" t="s">
        <v>233</v>
      </c>
      <c r="AA1107" s="206" t="s">
        <v>233</v>
      </c>
      <c r="AB1107" s="206" t="s">
        <v>233</v>
      </c>
      <c r="AC1107" s="206" t="s">
        <v>240</v>
      </c>
      <c r="AD1107" s="206" t="s">
        <v>233</v>
      </c>
      <c r="AE1107" s="206" t="s">
        <v>240</v>
      </c>
      <c r="AF1107" s="96">
        <v>0</v>
      </c>
      <c r="AG1107" s="93">
        <v>0</v>
      </c>
      <c r="AH1107" s="93">
        <v>1</v>
      </c>
      <c r="AI1107" s="93">
        <v>0</v>
      </c>
      <c r="AJ1107" s="93">
        <v>0</v>
      </c>
      <c r="AK1107" s="93">
        <v>0</v>
      </c>
    </row>
    <row r="1108" spans="1:37" s="104" customFormat="1" outlineLevel="1">
      <c r="A1108" s="92">
        <v>1101</v>
      </c>
      <c r="B1108" s="93" t="s">
        <v>190</v>
      </c>
      <c r="C1108" s="93" t="s">
        <v>1488</v>
      </c>
      <c r="D1108" s="94" t="s">
        <v>750</v>
      </c>
      <c r="E1108" s="105">
        <v>41</v>
      </c>
      <c r="F1108" s="99" t="s">
        <v>191</v>
      </c>
      <c r="G1108" s="99"/>
      <c r="H1108" s="96" t="s">
        <v>770</v>
      </c>
      <c r="I1108" s="106" t="s">
        <v>736</v>
      </c>
      <c r="J1108" s="93" t="s">
        <v>242</v>
      </c>
      <c r="K1108" s="178" t="s">
        <v>1486</v>
      </c>
      <c r="L1108" s="93" t="s">
        <v>232</v>
      </c>
      <c r="M1108" s="200">
        <v>1917</v>
      </c>
      <c r="N1108" s="64" t="s">
        <v>385</v>
      </c>
      <c r="O1108" s="106"/>
      <c r="P1108" s="196">
        <v>0</v>
      </c>
      <c r="Q1108" s="106">
        <v>2</v>
      </c>
      <c r="R1108" s="107"/>
      <c r="S1108" s="108"/>
      <c r="T1108" s="108"/>
      <c r="U1108" s="108"/>
      <c r="V1108" s="109"/>
      <c r="W1108" s="206" t="s">
        <v>233</v>
      </c>
      <c r="X1108" s="206" t="s">
        <v>233</v>
      </c>
      <c r="Y1108" s="206" t="s">
        <v>233</v>
      </c>
      <c r="Z1108" s="206" t="s">
        <v>233</v>
      </c>
      <c r="AA1108" s="206" t="s">
        <v>233</v>
      </c>
      <c r="AB1108" s="206" t="s">
        <v>233</v>
      </c>
      <c r="AC1108" s="206" t="s">
        <v>240</v>
      </c>
      <c r="AD1108" s="206" t="s">
        <v>233</v>
      </c>
      <c r="AE1108" s="206" t="s">
        <v>240</v>
      </c>
      <c r="AF1108" s="96">
        <v>0</v>
      </c>
      <c r="AG1108" s="93">
        <v>0</v>
      </c>
      <c r="AH1108" s="93">
        <v>1</v>
      </c>
      <c r="AI1108" s="93">
        <v>0</v>
      </c>
      <c r="AJ1108" s="93">
        <v>0</v>
      </c>
      <c r="AK1108" s="93">
        <v>0</v>
      </c>
    </row>
    <row r="1109" spans="1:37" s="104" customFormat="1" outlineLevel="1">
      <c r="A1109" s="92">
        <v>1102</v>
      </c>
      <c r="B1109" s="93" t="s">
        <v>190</v>
      </c>
      <c r="C1109" s="93" t="s">
        <v>1488</v>
      </c>
      <c r="D1109" s="94" t="s">
        <v>750</v>
      </c>
      <c r="E1109" s="105">
        <v>45</v>
      </c>
      <c r="F1109" s="99" t="s">
        <v>191</v>
      </c>
      <c r="G1109" s="99"/>
      <c r="H1109" s="96" t="s">
        <v>771</v>
      </c>
      <c r="I1109" s="106" t="s">
        <v>736</v>
      </c>
      <c r="J1109" s="93"/>
      <c r="K1109" s="99" t="s">
        <v>232</v>
      </c>
      <c r="L1109" s="93" t="s">
        <v>232</v>
      </c>
      <c r="M1109" s="200">
        <v>1831</v>
      </c>
      <c r="N1109" s="64" t="s">
        <v>385</v>
      </c>
      <c r="O1109" s="106">
        <v>5</v>
      </c>
      <c r="P1109" s="196">
        <v>0</v>
      </c>
      <c r="Q1109" s="106">
        <v>8</v>
      </c>
      <c r="R1109" s="107">
        <v>30</v>
      </c>
      <c r="S1109" s="108">
        <v>4682</v>
      </c>
      <c r="T1109" s="108">
        <v>4682</v>
      </c>
      <c r="U1109" s="108">
        <v>3002</v>
      </c>
      <c r="V1109" s="109">
        <v>1680</v>
      </c>
      <c r="W1109" s="206" t="s">
        <v>233</v>
      </c>
      <c r="X1109" s="206" t="s">
        <v>233</v>
      </c>
      <c r="Y1109" s="206" t="s">
        <v>233</v>
      </c>
      <c r="Z1109" s="206" t="s">
        <v>233</v>
      </c>
      <c r="AA1109" s="206" t="s">
        <v>233</v>
      </c>
      <c r="AB1109" s="206" t="s">
        <v>233</v>
      </c>
      <c r="AC1109" s="206" t="s">
        <v>240</v>
      </c>
      <c r="AD1109" s="206" t="s">
        <v>233</v>
      </c>
      <c r="AE1109" s="206" t="s">
        <v>240</v>
      </c>
      <c r="AF1109" s="96">
        <v>0</v>
      </c>
      <c r="AG1109" s="93">
        <v>0</v>
      </c>
      <c r="AH1109" s="93">
        <v>1</v>
      </c>
      <c r="AI1109" s="93">
        <v>0</v>
      </c>
      <c r="AJ1109" s="93">
        <v>0</v>
      </c>
      <c r="AK1109" s="93">
        <v>0</v>
      </c>
    </row>
    <row r="1110" spans="1:37" s="104" customFormat="1" outlineLevel="1">
      <c r="A1110" s="92">
        <v>1103</v>
      </c>
      <c r="B1110" s="93" t="s">
        <v>190</v>
      </c>
      <c r="C1110" s="93" t="s">
        <v>1488</v>
      </c>
      <c r="D1110" s="94" t="s">
        <v>750</v>
      </c>
      <c r="E1110" s="105">
        <v>47</v>
      </c>
      <c r="F1110" s="99" t="s">
        <v>191</v>
      </c>
      <c r="G1110" s="99"/>
      <c r="H1110" s="96" t="s">
        <v>772</v>
      </c>
      <c r="I1110" s="106" t="s">
        <v>736</v>
      </c>
      <c r="J1110" s="93"/>
      <c r="K1110" s="99" t="s">
        <v>232</v>
      </c>
      <c r="L1110" s="93" t="s">
        <v>232</v>
      </c>
      <c r="M1110" s="200">
        <v>1882</v>
      </c>
      <c r="N1110" s="64" t="s">
        <v>385</v>
      </c>
      <c r="O1110" s="106">
        <v>5</v>
      </c>
      <c r="P1110" s="196">
        <v>0</v>
      </c>
      <c r="Q1110" s="106">
        <v>5</v>
      </c>
      <c r="R1110" s="107">
        <v>58</v>
      </c>
      <c r="S1110" s="108">
        <v>5256</v>
      </c>
      <c r="T1110" s="108">
        <v>5256</v>
      </c>
      <c r="U1110" s="108">
        <v>4177</v>
      </c>
      <c r="V1110" s="109">
        <v>1079</v>
      </c>
      <c r="W1110" s="206" t="s">
        <v>233</v>
      </c>
      <c r="X1110" s="206" t="s">
        <v>233</v>
      </c>
      <c r="Y1110" s="206" t="s">
        <v>233</v>
      </c>
      <c r="Z1110" s="206" t="s">
        <v>233</v>
      </c>
      <c r="AA1110" s="206" t="s">
        <v>233</v>
      </c>
      <c r="AB1110" s="206" t="s">
        <v>233</v>
      </c>
      <c r="AC1110" s="206" t="s">
        <v>240</v>
      </c>
      <c r="AD1110" s="206" t="s">
        <v>233</v>
      </c>
      <c r="AE1110" s="206" t="s">
        <v>240</v>
      </c>
      <c r="AF1110" s="96">
        <v>0</v>
      </c>
      <c r="AG1110" s="93">
        <v>0</v>
      </c>
      <c r="AH1110" s="93">
        <v>1</v>
      </c>
      <c r="AI1110" s="93">
        <v>0</v>
      </c>
      <c r="AJ1110" s="93">
        <v>0</v>
      </c>
      <c r="AK1110" s="93">
        <v>0</v>
      </c>
    </row>
    <row r="1111" spans="1:37" s="104" customFormat="1" outlineLevel="1">
      <c r="A1111" s="92">
        <v>1104</v>
      </c>
      <c r="B1111" s="93" t="s">
        <v>190</v>
      </c>
      <c r="C1111" s="93" t="s">
        <v>1488</v>
      </c>
      <c r="D1111" s="94" t="s">
        <v>750</v>
      </c>
      <c r="E1111" s="105">
        <v>49</v>
      </c>
      <c r="F1111" s="99" t="s">
        <v>191</v>
      </c>
      <c r="G1111" s="99"/>
      <c r="H1111" s="96" t="s">
        <v>773</v>
      </c>
      <c r="I1111" s="106" t="s">
        <v>736</v>
      </c>
      <c r="J1111" s="93"/>
      <c r="K1111" s="99" t="s">
        <v>232</v>
      </c>
      <c r="L1111" s="93" t="s">
        <v>232</v>
      </c>
      <c r="M1111" s="200">
        <v>1822</v>
      </c>
      <c r="N1111" s="64" t="s">
        <v>385</v>
      </c>
      <c r="O1111" s="106">
        <v>4</v>
      </c>
      <c r="P1111" s="196">
        <v>0</v>
      </c>
      <c r="Q1111" s="106">
        <v>6</v>
      </c>
      <c r="R1111" s="107">
        <v>50</v>
      </c>
      <c r="S1111" s="108">
        <v>4343</v>
      </c>
      <c r="T1111" s="108">
        <v>4343</v>
      </c>
      <c r="U1111" s="108">
        <v>3504</v>
      </c>
      <c r="V1111" s="109">
        <v>839</v>
      </c>
      <c r="W1111" s="206" t="s">
        <v>233</v>
      </c>
      <c r="X1111" s="206" t="s">
        <v>233</v>
      </c>
      <c r="Y1111" s="206" t="s">
        <v>233</v>
      </c>
      <c r="Z1111" s="206" t="s">
        <v>233</v>
      </c>
      <c r="AA1111" s="206" t="s">
        <v>233</v>
      </c>
      <c r="AB1111" s="206" t="s">
        <v>233</v>
      </c>
      <c r="AC1111" s="206" t="s">
        <v>240</v>
      </c>
      <c r="AD1111" s="206" t="s">
        <v>233</v>
      </c>
      <c r="AE1111" s="206" t="s">
        <v>240</v>
      </c>
      <c r="AF1111" s="96">
        <v>0</v>
      </c>
      <c r="AG1111" s="93">
        <v>0</v>
      </c>
      <c r="AH1111" s="93">
        <v>0</v>
      </c>
      <c r="AI1111" s="93">
        <v>0</v>
      </c>
      <c r="AJ1111" s="93">
        <v>0</v>
      </c>
      <c r="AK1111" s="93">
        <v>0</v>
      </c>
    </row>
    <row r="1112" spans="1:37" s="104" customFormat="1" outlineLevel="1">
      <c r="A1112" s="92">
        <v>1105</v>
      </c>
      <c r="B1112" s="93" t="s">
        <v>190</v>
      </c>
      <c r="C1112" s="93" t="s">
        <v>1488</v>
      </c>
      <c r="D1112" s="94" t="s">
        <v>750</v>
      </c>
      <c r="E1112" s="105">
        <v>51</v>
      </c>
      <c r="F1112" s="99" t="s">
        <v>191</v>
      </c>
      <c r="G1112" s="99"/>
      <c r="H1112" s="96" t="s">
        <v>774</v>
      </c>
      <c r="I1112" s="106" t="s">
        <v>736</v>
      </c>
      <c r="J1112" s="93"/>
      <c r="K1112" s="99" t="s">
        <v>232</v>
      </c>
      <c r="L1112" s="93" t="s">
        <v>232</v>
      </c>
      <c r="M1112" s="200">
        <v>1857</v>
      </c>
      <c r="N1112" s="64" t="s">
        <v>385</v>
      </c>
      <c r="O1112" s="106">
        <v>4</v>
      </c>
      <c r="P1112" s="196">
        <v>0</v>
      </c>
      <c r="Q1112" s="106">
        <v>4</v>
      </c>
      <c r="R1112" s="107">
        <v>25</v>
      </c>
      <c r="S1112" s="108">
        <v>2796</v>
      </c>
      <c r="T1112" s="108">
        <v>2796</v>
      </c>
      <c r="U1112" s="108">
        <v>2305</v>
      </c>
      <c r="V1112" s="109">
        <v>491</v>
      </c>
      <c r="W1112" s="206" t="s">
        <v>233</v>
      </c>
      <c r="X1112" s="206" t="s">
        <v>233</v>
      </c>
      <c r="Y1112" s="206" t="s">
        <v>233</v>
      </c>
      <c r="Z1112" s="206" t="s">
        <v>233</v>
      </c>
      <c r="AA1112" s="206" t="s">
        <v>233</v>
      </c>
      <c r="AB1112" s="206" t="s">
        <v>233</v>
      </c>
      <c r="AC1112" s="206" t="s">
        <v>240</v>
      </c>
      <c r="AD1112" s="206" t="s">
        <v>233</v>
      </c>
      <c r="AE1112" s="206" t="s">
        <v>240</v>
      </c>
      <c r="AF1112" s="96">
        <v>0</v>
      </c>
      <c r="AG1112" s="93">
        <v>0</v>
      </c>
      <c r="AH1112" s="93">
        <v>1</v>
      </c>
      <c r="AI1112" s="93">
        <v>0</v>
      </c>
      <c r="AJ1112" s="93">
        <v>0</v>
      </c>
      <c r="AK1112" s="93">
        <v>0</v>
      </c>
    </row>
    <row r="1113" spans="1:37" s="104" customFormat="1" outlineLevel="1">
      <c r="A1113" s="92">
        <v>1106</v>
      </c>
      <c r="B1113" s="93" t="s">
        <v>190</v>
      </c>
      <c r="C1113" s="93" t="s">
        <v>1488</v>
      </c>
      <c r="D1113" s="94" t="s">
        <v>750</v>
      </c>
      <c r="E1113" s="105">
        <v>53</v>
      </c>
      <c r="F1113" s="99" t="s">
        <v>191</v>
      </c>
      <c r="G1113" s="99"/>
      <c r="H1113" s="96" t="s">
        <v>775</v>
      </c>
      <c r="I1113" s="106" t="s">
        <v>736</v>
      </c>
      <c r="J1113" s="93"/>
      <c r="K1113" s="99" t="s">
        <v>232</v>
      </c>
      <c r="L1113" s="93" t="s">
        <v>232</v>
      </c>
      <c r="M1113" s="200">
        <v>1843</v>
      </c>
      <c r="N1113" s="64" t="s">
        <v>385</v>
      </c>
      <c r="O1113" s="106">
        <v>4</v>
      </c>
      <c r="P1113" s="196">
        <v>0</v>
      </c>
      <c r="Q1113" s="106">
        <v>3</v>
      </c>
      <c r="R1113" s="107">
        <v>18</v>
      </c>
      <c r="S1113" s="108">
        <v>2590</v>
      </c>
      <c r="T1113" s="108">
        <v>2590</v>
      </c>
      <c r="U1113" s="108">
        <v>1947</v>
      </c>
      <c r="V1113" s="109">
        <v>643</v>
      </c>
      <c r="W1113" s="206" t="s">
        <v>233</v>
      </c>
      <c r="X1113" s="206" t="s">
        <v>233</v>
      </c>
      <c r="Y1113" s="206" t="s">
        <v>233</v>
      </c>
      <c r="Z1113" s="206" t="s">
        <v>233</v>
      </c>
      <c r="AA1113" s="206" t="s">
        <v>233</v>
      </c>
      <c r="AB1113" s="206" t="s">
        <v>233</v>
      </c>
      <c r="AC1113" s="206" t="s">
        <v>240</v>
      </c>
      <c r="AD1113" s="206" t="s">
        <v>233</v>
      </c>
      <c r="AE1113" s="206" t="s">
        <v>240</v>
      </c>
      <c r="AF1113" s="96">
        <v>0</v>
      </c>
      <c r="AG1113" s="93">
        <v>0</v>
      </c>
      <c r="AH1113" s="93">
        <v>1</v>
      </c>
      <c r="AI1113" s="93">
        <v>0</v>
      </c>
      <c r="AJ1113" s="93">
        <v>0</v>
      </c>
      <c r="AK1113" s="93">
        <v>0</v>
      </c>
    </row>
    <row r="1114" spans="1:37" s="104" customFormat="1" outlineLevel="1">
      <c r="A1114" s="92">
        <v>1107</v>
      </c>
      <c r="B1114" s="93" t="s">
        <v>190</v>
      </c>
      <c r="C1114" s="93" t="s">
        <v>1488</v>
      </c>
      <c r="D1114" s="94" t="s">
        <v>750</v>
      </c>
      <c r="E1114" s="105">
        <v>55</v>
      </c>
      <c r="F1114" s="99" t="s">
        <v>191</v>
      </c>
      <c r="G1114" s="99"/>
      <c r="H1114" s="96" t="s">
        <v>776</v>
      </c>
      <c r="I1114" s="106" t="s">
        <v>736</v>
      </c>
      <c r="J1114" s="93"/>
      <c r="K1114" s="99" t="s">
        <v>232</v>
      </c>
      <c r="L1114" s="93" t="s">
        <v>232</v>
      </c>
      <c r="M1114" s="200">
        <v>1893</v>
      </c>
      <c r="N1114" s="64" t="s">
        <v>385</v>
      </c>
      <c r="O1114" s="106">
        <v>5</v>
      </c>
      <c r="P1114" s="196">
        <v>0</v>
      </c>
      <c r="Q1114" s="106">
        <v>11</v>
      </c>
      <c r="R1114" s="107">
        <v>138</v>
      </c>
      <c r="S1114" s="108">
        <v>14584.7</v>
      </c>
      <c r="T1114" s="108">
        <v>14584.7</v>
      </c>
      <c r="U1114" s="108">
        <v>11354</v>
      </c>
      <c r="V1114" s="109">
        <v>3230.7</v>
      </c>
      <c r="W1114" s="206" t="s">
        <v>233</v>
      </c>
      <c r="X1114" s="206" t="s">
        <v>233</v>
      </c>
      <c r="Y1114" s="206" t="s">
        <v>233</v>
      </c>
      <c r="Z1114" s="206" t="s">
        <v>233</v>
      </c>
      <c r="AA1114" s="206" t="s">
        <v>233</v>
      </c>
      <c r="AB1114" s="206" t="s">
        <v>233</v>
      </c>
      <c r="AC1114" s="206" t="s">
        <v>240</v>
      </c>
      <c r="AD1114" s="206" t="s">
        <v>233</v>
      </c>
      <c r="AE1114" s="206" t="s">
        <v>240</v>
      </c>
      <c r="AF1114" s="96">
        <v>1</v>
      </c>
      <c r="AG1114" s="93">
        <v>0</v>
      </c>
      <c r="AH1114" s="93">
        <v>1</v>
      </c>
      <c r="AI1114" s="93">
        <v>0</v>
      </c>
      <c r="AJ1114" s="93">
        <v>0</v>
      </c>
      <c r="AK1114" s="93">
        <v>0</v>
      </c>
    </row>
    <row r="1115" spans="1:37" s="104" customFormat="1" outlineLevel="1">
      <c r="A1115" s="92">
        <v>1108</v>
      </c>
      <c r="B1115" s="93" t="s">
        <v>190</v>
      </c>
      <c r="C1115" s="93" t="s">
        <v>1488</v>
      </c>
      <c r="D1115" s="94" t="s">
        <v>750</v>
      </c>
      <c r="E1115" s="105">
        <v>7</v>
      </c>
      <c r="F1115" s="99" t="s">
        <v>191</v>
      </c>
      <c r="G1115" s="99"/>
      <c r="H1115" s="96" t="s">
        <v>777</v>
      </c>
      <c r="I1115" s="106" t="s">
        <v>736</v>
      </c>
      <c r="J1115" s="93"/>
      <c r="K1115" s="99" t="s">
        <v>232</v>
      </c>
      <c r="L1115" s="93" t="s">
        <v>232</v>
      </c>
      <c r="M1115" s="200">
        <v>1861</v>
      </c>
      <c r="N1115" s="64" t="s">
        <v>385</v>
      </c>
      <c r="O1115" s="106">
        <v>4</v>
      </c>
      <c r="P1115" s="196">
        <v>0</v>
      </c>
      <c r="Q1115" s="106">
        <v>5</v>
      </c>
      <c r="R1115" s="107">
        <v>15</v>
      </c>
      <c r="S1115" s="108">
        <v>1323.8000000000002</v>
      </c>
      <c r="T1115" s="108">
        <v>1323.8000000000002</v>
      </c>
      <c r="U1115" s="108">
        <v>975.90000000000009</v>
      </c>
      <c r="V1115" s="109">
        <v>347.9</v>
      </c>
      <c r="W1115" s="206" t="s">
        <v>233</v>
      </c>
      <c r="X1115" s="206" t="s">
        <v>233</v>
      </c>
      <c r="Y1115" s="206" t="s">
        <v>233</v>
      </c>
      <c r="Z1115" s="206" t="s">
        <v>233</v>
      </c>
      <c r="AA1115" s="206" t="s">
        <v>233</v>
      </c>
      <c r="AB1115" s="206" t="s">
        <v>233</v>
      </c>
      <c r="AC1115" s="206" t="s">
        <v>240</v>
      </c>
      <c r="AD1115" s="206" t="s">
        <v>233</v>
      </c>
      <c r="AE1115" s="206" t="s">
        <v>240</v>
      </c>
      <c r="AF1115" s="96">
        <v>0</v>
      </c>
      <c r="AG1115" s="93">
        <v>0</v>
      </c>
      <c r="AH1115" s="93">
        <v>1</v>
      </c>
      <c r="AI1115" s="93">
        <v>0</v>
      </c>
      <c r="AJ1115" s="93">
        <v>0</v>
      </c>
      <c r="AK1115" s="93">
        <v>0</v>
      </c>
    </row>
    <row r="1116" spans="1:37" s="104" customFormat="1" outlineLevel="1">
      <c r="A1116" s="92">
        <v>1109</v>
      </c>
      <c r="B1116" s="93" t="s">
        <v>190</v>
      </c>
      <c r="C1116" s="93" t="s">
        <v>1488</v>
      </c>
      <c r="D1116" s="94" t="s">
        <v>778</v>
      </c>
      <c r="E1116" s="105">
        <v>1</v>
      </c>
      <c r="F1116" s="99" t="s">
        <v>191</v>
      </c>
      <c r="G1116" s="99"/>
      <c r="H1116" s="96" t="s">
        <v>779</v>
      </c>
      <c r="I1116" s="106" t="s">
        <v>736</v>
      </c>
      <c r="J1116" s="93"/>
      <c r="K1116" s="99" t="s">
        <v>232</v>
      </c>
      <c r="L1116" s="93" t="s">
        <v>232</v>
      </c>
      <c r="M1116" s="200">
        <v>1825</v>
      </c>
      <c r="N1116" s="64" t="s">
        <v>385</v>
      </c>
      <c r="O1116" s="106">
        <v>4</v>
      </c>
      <c r="P1116" s="196">
        <v>0</v>
      </c>
      <c r="Q1116" s="106">
        <v>10</v>
      </c>
      <c r="R1116" s="107">
        <v>45</v>
      </c>
      <c r="S1116" s="108">
        <v>7301.2</v>
      </c>
      <c r="T1116" s="108">
        <v>7301.2</v>
      </c>
      <c r="U1116" s="108">
        <v>5228.8999999999996</v>
      </c>
      <c r="V1116" s="109">
        <v>2072.3000000000002</v>
      </c>
      <c r="W1116" s="206" t="s">
        <v>233</v>
      </c>
      <c r="X1116" s="206" t="s">
        <v>233</v>
      </c>
      <c r="Y1116" s="206" t="s">
        <v>233</v>
      </c>
      <c r="Z1116" s="206" t="s">
        <v>233</v>
      </c>
      <c r="AA1116" s="206" t="s">
        <v>233</v>
      </c>
      <c r="AB1116" s="206" t="s">
        <v>233</v>
      </c>
      <c r="AC1116" s="206" t="s">
        <v>240</v>
      </c>
      <c r="AD1116" s="206" t="s">
        <v>233</v>
      </c>
      <c r="AE1116" s="206" t="s">
        <v>240</v>
      </c>
      <c r="AF1116" s="96">
        <v>1</v>
      </c>
      <c r="AG1116" s="93">
        <v>0</v>
      </c>
      <c r="AH1116" s="93">
        <v>1</v>
      </c>
      <c r="AI1116" s="93">
        <v>0</v>
      </c>
      <c r="AJ1116" s="93">
        <v>0</v>
      </c>
      <c r="AK1116" s="93">
        <v>0</v>
      </c>
    </row>
    <row r="1117" spans="1:37" s="104" customFormat="1" outlineLevel="1">
      <c r="A1117" s="92">
        <v>1110</v>
      </c>
      <c r="B1117" s="93" t="s">
        <v>190</v>
      </c>
      <c r="C1117" s="93" t="s">
        <v>1488</v>
      </c>
      <c r="D1117" s="94" t="s">
        <v>778</v>
      </c>
      <c r="E1117" s="105">
        <v>13</v>
      </c>
      <c r="F1117" s="99" t="s">
        <v>191</v>
      </c>
      <c r="G1117" s="99"/>
      <c r="H1117" s="96" t="s">
        <v>780</v>
      </c>
      <c r="I1117" s="106" t="s">
        <v>736</v>
      </c>
      <c r="J1117" s="93"/>
      <c r="K1117" s="99" t="s">
        <v>232</v>
      </c>
      <c r="L1117" s="93" t="s">
        <v>232</v>
      </c>
      <c r="M1117" s="200">
        <v>1873</v>
      </c>
      <c r="N1117" s="64" t="s">
        <v>385</v>
      </c>
      <c r="O1117" s="106">
        <v>3</v>
      </c>
      <c r="P1117" s="196">
        <v>0</v>
      </c>
      <c r="Q1117" s="106">
        <v>2</v>
      </c>
      <c r="R1117" s="107">
        <v>5</v>
      </c>
      <c r="S1117" s="108">
        <v>1875.9</v>
      </c>
      <c r="T1117" s="108">
        <v>1875.9</v>
      </c>
      <c r="U1117" s="108">
        <v>491.7</v>
      </c>
      <c r="V1117" s="109">
        <v>1384.2</v>
      </c>
      <c r="W1117" s="206" t="s">
        <v>233</v>
      </c>
      <c r="X1117" s="206" t="s">
        <v>233</v>
      </c>
      <c r="Y1117" s="206" t="s">
        <v>233</v>
      </c>
      <c r="Z1117" s="206" t="s">
        <v>233</v>
      </c>
      <c r="AA1117" s="206" t="s">
        <v>233</v>
      </c>
      <c r="AB1117" s="206" t="s">
        <v>233</v>
      </c>
      <c r="AC1117" s="206" t="s">
        <v>240</v>
      </c>
      <c r="AD1117" s="206" t="s">
        <v>233</v>
      </c>
      <c r="AE1117" s="206" t="s">
        <v>240</v>
      </c>
      <c r="AF1117" s="96">
        <v>0</v>
      </c>
      <c r="AG1117" s="93">
        <v>0</v>
      </c>
      <c r="AH1117" s="93">
        <v>1</v>
      </c>
      <c r="AI1117" s="93">
        <v>0</v>
      </c>
      <c r="AJ1117" s="93">
        <v>0</v>
      </c>
      <c r="AK1117" s="93">
        <v>0</v>
      </c>
    </row>
    <row r="1118" spans="1:37" s="104" customFormat="1" outlineLevel="1">
      <c r="A1118" s="92">
        <v>1111</v>
      </c>
      <c r="B1118" s="93" t="s">
        <v>190</v>
      </c>
      <c r="C1118" s="93" t="s">
        <v>1488</v>
      </c>
      <c r="D1118" s="94" t="s">
        <v>778</v>
      </c>
      <c r="E1118" s="105" t="s">
        <v>781</v>
      </c>
      <c r="F1118" s="99" t="s">
        <v>191</v>
      </c>
      <c r="G1118" s="99"/>
      <c r="H1118" s="96" t="s">
        <v>782</v>
      </c>
      <c r="I1118" s="106" t="s">
        <v>736</v>
      </c>
      <c r="J1118" s="93"/>
      <c r="K1118" s="99" t="s">
        <v>232</v>
      </c>
      <c r="L1118" s="93" t="s">
        <v>232</v>
      </c>
      <c r="M1118" s="200">
        <v>1835</v>
      </c>
      <c r="N1118" s="64" t="s">
        <v>385</v>
      </c>
      <c r="O1118" s="106">
        <v>4</v>
      </c>
      <c r="P1118" s="196">
        <v>0</v>
      </c>
      <c r="Q1118" s="106">
        <v>13</v>
      </c>
      <c r="R1118" s="107">
        <v>80</v>
      </c>
      <c r="S1118" s="108">
        <v>12858.4</v>
      </c>
      <c r="T1118" s="108">
        <v>12858.4</v>
      </c>
      <c r="U1118" s="108">
        <v>9188.2999999999993</v>
      </c>
      <c r="V1118" s="109">
        <v>3670.1</v>
      </c>
      <c r="W1118" s="206" t="s">
        <v>233</v>
      </c>
      <c r="X1118" s="206" t="s">
        <v>233</v>
      </c>
      <c r="Y1118" s="206" t="s">
        <v>233</v>
      </c>
      <c r="Z1118" s="206" t="s">
        <v>233</v>
      </c>
      <c r="AA1118" s="206" t="s">
        <v>233</v>
      </c>
      <c r="AB1118" s="206" t="s">
        <v>233</v>
      </c>
      <c r="AC1118" s="206" t="s">
        <v>240</v>
      </c>
      <c r="AD1118" s="206" t="s">
        <v>233</v>
      </c>
      <c r="AE1118" s="206" t="s">
        <v>240</v>
      </c>
      <c r="AF1118" s="96">
        <v>0</v>
      </c>
      <c r="AG1118" s="93">
        <v>0</v>
      </c>
      <c r="AH1118" s="93">
        <v>1</v>
      </c>
      <c r="AI1118" s="93">
        <v>0</v>
      </c>
      <c r="AJ1118" s="93">
        <v>0</v>
      </c>
      <c r="AK1118" s="93">
        <v>0</v>
      </c>
    </row>
    <row r="1119" spans="1:37" s="104" customFormat="1" ht="15.75" customHeight="1" outlineLevel="1">
      <c r="A1119" s="92">
        <v>1112</v>
      </c>
      <c r="B1119" s="93" t="s">
        <v>190</v>
      </c>
      <c r="C1119" s="93" t="s">
        <v>1488</v>
      </c>
      <c r="D1119" s="94" t="s">
        <v>778</v>
      </c>
      <c r="E1119" s="105">
        <v>6</v>
      </c>
      <c r="F1119" s="99" t="s">
        <v>191</v>
      </c>
      <c r="G1119" s="99"/>
      <c r="H1119" s="96" t="s">
        <v>783</v>
      </c>
      <c r="I1119" s="106" t="s">
        <v>736</v>
      </c>
      <c r="J1119" s="93"/>
      <c r="K1119" s="99" t="s">
        <v>232</v>
      </c>
      <c r="L1119" s="93" t="s">
        <v>232</v>
      </c>
      <c r="M1119" s="200">
        <v>1917</v>
      </c>
      <c r="N1119" s="64" t="s">
        <v>385</v>
      </c>
      <c r="O1119" s="106">
        <v>4</v>
      </c>
      <c r="P1119" s="196">
        <v>0</v>
      </c>
      <c r="Q1119" s="106">
        <v>2</v>
      </c>
      <c r="R1119" s="107">
        <v>8</v>
      </c>
      <c r="S1119" s="108">
        <v>641.80000000000007</v>
      </c>
      <c r="T1119" s="108">
        <v>641.80000000000007</v>
      </c>
      <c r="U1119" s="108">
        <v>568.59999999999991</v>
      </c>
      <c r="V1119" s="109">
        <v>73.2</v>
      </c>
      <c r="W1119" s="206" t="s">
        <v>233</v>
      </c>
      <c r="X1119" s="206" t="s">
        <v>233</v>
      </c>
      <c r="Y1119" s="206" t="s">
        <v>233</v>
      </c>
      <c r="Z1119" s="206" t="s">
        <v>233</v>
      </c>
      <c r="AA1119" s="206" t="s">
        <v>233</v>
      </c>
      <c r="AB1119" s="206" t="s">
        <v>233</v>
      </c>
      <c r="AC1119" s="206" t="s">
        <v>240</v>
      </c>
      <c r="AD1119" s="206" t="s">
        <v>233</v>
      </c>
      <c r="AE1119" s="206" t="s">
        <v>240</v>
      </c>
      <c r="AF1119" s="96">
        <v>0</v>
      </c>
      <c r="AG1119" s="93">
        <v>0</v>
      </c>
      <c r="AH1119" s="93">
        <v>1</v>
      </c>
      <c r="AI1119" s="93">
        <v>0</v>
      </c>
      <c r="AJ1119" s="93">
        <v>0</v>
      </c>
      <c r="AK1119" s="93">
        <v>0</v>
      </c>
    </row>
    <row r="1120" spans="1:37" s="104" customFormat="1" ht="15.75" customHeight="1" outlineLevel="1">
      <c r="A1120" s="92">
        <v>1113</v>
      </c>
      <c r="B1120" s="93" t="s">
        <v>190</v>
      </c>
      <c r="C1120" s="93" t="s">
        <v>1488</v>
      </c>
      <c r="D1120" s="94" t="s">
        <v>778</v>
      </c>
      <c r="E1120" s="105">
        <v>6</v>
      </c>
      <c r="F1120" s="99" t="s">
        <v>231</v>
      </c>
      <c r="G1120" s="99"/>
      <c r="H1120" s="96" t="s">
        <v>784</v>
      </c>
      <c r="I1120" s="106" t="s">
        <v>736</v>
      </c>
      <c r="J1120" s="93"/>
      <c r="K1120" s="99" t="s">
        <v>232</v>
      </c>
      <c r="L1120" s="93" t="s">
        <v>232</v>
      </c>
      <c r="M1120" s="200">
        <v>1917</v>
      </c>
      <c r="N1120" s="64" t="s">
        <v>385</v>
      </c>
      <c r="O1120" s="106">
        <v>4</v>
      </c>
      <c r="P1120" s="196">
        <v>0</v>
      </c>
      <c r="Q1120" s="106">
        <v>1</v>
      </c>
      <c r="R1120" s="107">
        <v>8</v>
      </c>
      <c r="S1120" s="108">
        <v>641.80000000000007</v>
      </c>
      <c r="T1120" s="108">
        <v>641.80000000000007</v>
      </c>
      <c r="U1120" s="108">
        <v>568.59999999999991</v>
      </c>
      <c r="V1120" s="109">
        <v>73.2</v>
      </c>
      <c r="W1120" s="206" t="s">
        <v>233</v>
      </c>
      <c r="X1120" s="206" t="s">
        <v>233</v>
      </c>
      <c r="Y1120" s="206" t="s">
        <v>233</v>
      </c>
      <c r="Z1120" s="206" t="s">
        <v>233</v>
      </c>
      <c r="AA1120" s="206" t="s">
        <v>233</v>
      </c>
      <c r="AB1120" s="206" t="s">
        <v>233</v>
      </c>
      <c r="AC1120" s="206" t="s">
        <v>240</v>
      </c>
      <c r="AD1120" s="206" t="s">
        <v>233</v>
      </c>
      <c r="AE1120" s="206" t="s">
        <v>240</v>
      </c>
      <c r="AF1120" s="96">
        <v>0</v>
      </c>
      <c r="AG1120" s="93">
        <v>0</v>
      </c>
      <c r="AH1120" s="93">
        <v>0</v>
      </c>
      <c r="AI1120" s="93">
        <v>0</v>
      </c>
      <c r="AJ1120" s="93">
        <v>0</v>
      </c>
      <c r="AK1120" s="93">
        <v>0</v>
      </c>
    </row>
    <row r="1121" spans="1:37" s="104" customFormat="1" ht="15.75" customHeight="1" outlineLevel="1">
      <c r="A1121" s="92">
        <v>1114</v>
      </c>
      <c r="B1121" s="93" t="s">
        <v>190</v>
      </c>
      <c r="C1121" s="93" t="s">
        <v>1488</v>
      </c>
      <c r="D1121" s="94" t="s">
        <v>778</v>
      </c>
      <c r="E1121" s="105">
        <v>6</v>
      </c>
      <c r="F1121" s="99" t="s">
        <v>260</v>
      </c>
      <c r="G1121" s="99"/>
      <c r="H1121" s="96" t="s">
        <v>785</v>
      </c>
      <c r="I1121" s="106" t="s">
        <v>736</v>
      </c>
      <c r="J1121" s="93"/>
      <c r="K1121" s="99" t="s">
        <v>232</v>
      </c>
      <c r="L1121" s="93" t="s">
        <v>232</v>
      </c>
      <c r="M1121" s="200">
        <v>1839</v>
      </c>
      <c r="N1121" s="64" t="s">
        <v>385</v>
      </c>
      <c r="O1121" s="106">
        <v>3</v>
      </c>
      <c r="P1121" s="196">
        <v>0</v>
      </c>
      <c r="Q1121" s="106">
        <v>1</v>
      </c>
      <c r="R1121" s="107">
        <v>7</v>
      </c>
      <c r="S1121" s="108">
        <v>505.6</v>
      </c>
      <c r="T1121" s="108">
        <v>505.6</v>
      </c>
      <c r="U1121" s="108">
        <v>505.6</v>
      </c>
      <c r="V1121" s="109"/>
      <c r="W1121" s="206" t="s">
        <v>233</v>
      </c>
      <c r="X1121" s="206" t="s">
        <v>233</v>
      </c>
      <c r="Y1121" s="206" t="s">
        <v>233</v>
      </c>
      <c r="Z1121" s="206" t="s">
        <v>233</v>
      </c>
      <c r="AA1121" s="206" t="s">
        <v>233</v>
      </c>
      <c r="AB1121" s="206" t="s">
        <v>233</v>
      </c>
      <c r="AC1121" s="206" t="s">
        <v>240</v>
      </c>
      <c r="AD1121" s="206" t="s">
        <v>233</v>
      </c>
      <c r="AE1121" s="206" t="s">
        <v>240</v>
      </c>
      <c r="AF1121" s="96">
        <v>0</v>
      </c>
      <c r="AG1121" s="93">
        <v>0</v>
      </c>
      <c r="AH1121" s="93">
        <v>0</v>
      </c>
      <c r="AI1121" s="93">
        <v>0</v>
      </c>
      <c r="AJ1121" s="93">
        <v>0</v>
      </c>
      <c r="AK1121" s="93">
        <v>0</v>
      </c>
    </row>
    <row r="1122" spans="1:37" s="104" customFormat="1" ht="15.75" customHeight="1" outlineLevel="1">
      <c r="A1122" s="92">
        <v>1115</v>
      </c>
      <c r="B1122" s="93" t="s">
        <v>190</v>
      </c>
      <c r="C1122" s="93" t="s">
        <v>1488</v>
      </c>
      <c r="D1122" s="94" t="s">
        <v>778</v>
      </c>
      <c r="E1122" s="105">
        <v>6</v>
      </c>
      <c r="F1122" s="99" t="s">
        <v>261</v>
      </c>
      <c r="G1122" s="99"/>
      <c r="H1122" s="96" t="s">
        <v>786</v>
      </c>
      <c r="I1122" s="106" t="s">
        <v>736</v>
      </c>
      <c r="J1122" s="93"/>
      <c r="K1122" s="99" t="s">
        <v>232</v>
      </c>
      <c r="L1122" s="93" t="s">
        <v>232</v>
      </c>
      <c r="M1122" s="200">
        <v>1873</v>
      </c>
      <c r="N1122" s="64" t="s">
        <v>385</v>
      </c>
      <c r="O1122" s="106">
        <v>4</v>
      </c>
      <c r="P1122" s="196">
        <v>0</v>
      </c>
      <c r="Q1122" s="106">
        <v>1</v>
      </c>
      <c r="R1122" s="107">
        <v>7</v>
      </c>
      <c r="S1122" s="108">
        <v>646.20000000000005</v>
      </c>
      <c r="T1122" s="108">
        <v>646.20000000000005</v>
      </c>
      <c r="U1122" s="108">
        <v>625.1</v>
      </c>
      <c r="V1122" s="109">
        <v>21.1</v>
      </c>
      <c r="W1122" s="206" t="s">
        <v>233</v>
      </c>
      <c r="X1122" s="206" t="s">
        <v>233</v>
      </c>
      <c r="Y1122" s="206" t="s">
        <v>233</v>
      </c>
      <c r="Z1122" s="206" t="s">
        <v>233</v>
      </c>
      <c r="AA1122" s="206" t="s">
        <v>233</v>
      </c>
      <c r="AB1122" s="206" t="s">
        <v>233</v>
      </c>
      <c r="AC1122" s="206" t="s">
        <v>240</v>
      </c>
      <c r="AD1122" s="206" t="s">
        <v>233</v>
      </c>
      <c r="AE1122" s="206" t="s">
        <v>240</v>
      </c>
      <c r="AF1122" s="96">
        <v>0</v>
      </c>
      <c r="AG1122" s="93">
        <v>0</v>
      </c>
      <c r="AH1122" s="93">
        <v>0</v>
      </c>
      <c r="AI1122" s="93">
        <v>0</v>
      </c>
      <c r="AJ1122" s="93">
        <v>0</v>
      </c>
      <c r="AK1122" s="93">
        <v>0</v>
      </c>
    </row>
    <row r="1123" spans="1:37" s="104" customFormat="1" ht="15.75" customHeight="1" outlineLevel="1">
      <c r="A1123" s="92">
        <v>1116</v>
      </c>
      <c r="B1123" s="93" t="s">
        <v>190</v>
      </c>
      <c r="C1123" s="93" t="s">
        <v>1488</v>
      </c>
      <c r="D1123" s="94" t="s">
        <v>778</v>
      </c>
      <c r="E1123" s="105">
        <v>6</v>
      </c>
      <c r="F1123" s="99" t="s">
        <v>252</v>
      </c>
      <c r="G1123" s="99"/>
      <c r="H1123" s="96" t="s">
        <v>788</v>
      </c>
      <c r="I1123" s="106" t="s">
        <v>736</v>
      </c>
      <c r="J1123" s="93"/>
      <c r="K1123" s="99" t="s">
        <v>232</v>
      </c>
      <c r="L1123" s="93" t="s">
        <v>232</v>
      </c>
      <c r="M1123" s="200">
        <v>1839</v>
      </c>
      <c r="N1123" s="64" t="s">
        <v>385</v>
      </c>
      <c r="O1123" s="106">
        <v>3</v>
      </c>
      <c r="P1123" s="196">
        <v>0</v>
      </c>
      <c r="Q1123" s="106">
        <v>2</v>
      </c>
      <c r="R1123" s="107">
        <v>9</v>
      </c>
      <c r="S1123" s="108">
        <v>578.9</v>
      </c>
      <c r="T1123" s="108">
        <v>578.9</v>
      </c>
      <c r="U1123" s="108">
        <v>578.9</v>
      </c>
      <c r="V1123" s="109"/>
      <c r="W1123" s="206" t="s">
        <v>233</v>
      </c>
      <c r="X1123" s="206" t="s">
        <v>233</v>
      </c>
      <c r="Y1123" s="206" t="s">
        <v>233</v>
      </c>
      <c r="Z1123" s="206" t="s">
        <v>233</v>
      </c>
      <c r="AA1123" s="206" t="s">
        <v>233</v>
      </c>
      <c r="AB1123" s="206" t="s">
        <v>233</v>
      </c>
      <c r="AC1123" s="206" t="s">
        <v>240</v>
      </c>
      <c r="AD1123" s="206" t="s">
        <v>233</v>
      </c>
      <c r="AE1123" s="206" t="s">
        <v>240</v>
      </c>
      <c r="AF1123" s="96">
        <v>0</v>
      </c>
      <c r="AG1123" s="93">
        <v>0</v>
      </c>
      <c r="AH1123" s="93">
        <v>0</v>
      </c>
      <c r="AI1123" s="93">
        <v>0</v>
      </c>
      <c r="AJ1123" s="93">
        <v>0</v>
      </c>
      <c r="AK1123" s="93">
        <v>0</v>
      </c>
    </row>
    <row r="1124" spans="1:37" s="104" customFormat="1" ht="15.75" customHeight="1" outlineLevel="1">
      <c r="A1124" s="92">
        <v>1117</v>
      </c>
      <c r="B1124" s="93" t="s">
        <v>190</v>
      </c>
      <c r="C1124" s="93" t="s">
        <v>1488</v>
      </c>
      <c r="D1124" s="94" t="s">
        <v>789</v>
      </c>
      <c r="E1124" s="105" t="s">
        <v>790</v>
      </c>
      <c r="F1124" s="99" t="s">
        <v>191</v>
      </c>
      <c r="G1124" s="99"/>
      <c r="H1124" s="96" t="s">
        <v>791</v>
      </c>
      <c r="I1124" s="106" t="s">
        <v>792</v>
      </c>
      <c r="J1124" s="93" t="s">
        <v>793</v>
      </c>
      <c r="K1124" s="178" t="s">
        <v>1486</v>
      </c>
      <c r="L1124" s="93" t="s">
        <v>232</v>
      </c>
      <c r="M1124" s="200">
        <v>1917</v>
      </c>
      <c r="N1124" s="64" t="s">
        <v>385</v>
      </c>
      <c r="O1124" s="106">
        <v>3</v>
      </c>
      <c r="P1124" s="196">
        <v>0</v>
      </c>
      <c r="Q1124" s="106">
        <v>2</v>
      </c>
      <c r="R1124" s="107"/>
      <c r="S1124" s="108"/>
      <c r="T1124" s="108"/>
      <c r="U1124" s="108"/>
      <c r="V1124" s="109"/>
      <c r="W1124" s="206"/>
      <c r="X1124" s="206"/>
      <c r="Y1124" s="206" t="s">
        <v>233</v>
      </c>
      <c r="Z1124" s="206"/>
      <c r="AA1124" s="206" t="s">
        <v>233</v>
      </c>
      <c r="AB1124" s="206" t="s">
        <v>233</v>
      </c>
      <c r="AC1124" s="206" t="s">
        <v>240</v>
      </c>
      <c r="AD1124" s="206" t="s">
        <v>233</v>
      </c>
      <c r="AE1124" s="206" t="s">
        <v>240</v>
      </c>
      <c r="AF1124" s="96">
        <v>0</v>
      </c>
      <c r="AG1124" s="93">
        <v>0</v>
      </c>
      <c r="AH1124" s="93">
        <v>0</v>
      </c>
      <c r="AI1124" s="93">
        <v>0</v>
      </c>
      <c r="AJ1124" s="93">
        <v>0</v>
      </c>
      <c r="AK1124" s="93">
        <v>0</v>
      </c>
    </row>
    <row r="1125" spans="1:37" s="104" customFormat="1" ht="15.75" customHeight="1" outlineLevel="1">
      <c r="A1125" s="92">
        <v>1118</v>
      </c>
      <c r="B1125" s="93" t="s">
        <v>190</v>
      </c>
      <c r="C1125" s="93" t="s">
        <v>1488</v>
      </c>
      <c r="D1125" s="94" t="s">
        <v>789</v>
      </c>
      <c r="E1125" s="105">
        <v>19</v>
      </c>
      <c r="F1125" s="99" t="s">
        <v>191</v>
      </c>
      <c r="G1125" s="99"/>
      <c r="H1125" s="96" t="s">
        <v>794</v>
      </c>
      <c r="I1125" s="106" t="s">
        <v>736</v>
      </c>
      <c r="J1125" s="93"/>
      <c r="K1125" s="99" t="s">
        <v>232</v>
      </c>
      <c r="L1125" s="93" t="s">
        <v>232</v>
      </c>
      <c r="M1125" s="200">
        <v>1917</v>
      </c>
      <c r="N1125" s="64" t="s">
        <v>385</v>
      </c>
      <c r="O1125" s="106">
        <v>3</v>
      </c>
      <c r="P1125" s="196">
        <v>0</v>
      </c>
      <c r="Q1125" s="106">
        <v>2</v>
      </c>
      <c r="R1125" s="107">
        <v>14</v>
      </c>
      <c r="S1125" s="108">
        <v>1615.1999999999998</v>
      </c>
      <c r="T1125" s="108">
        <v>1615.1999999999998</v>
      </c>
      <c r="U1125" s="108">
        <v>1111.8</v>
      </c>
      <c r="V1125" s="109">
        <v>503.4</v>
      </c>
      <c r="W1125" s="206" t="s">
        <v>233</v>
      </c>
      <c r="X1125" s="206" t="s">
        <v>233</v>
      </c>
      <c r="Y1125" s="206" t="s">
        <v>240</v>
      </c>
      <c r="Z1125" s="206" t="s">
        <v>233</v>
      </c>
      <c r="AA1125" s="206" t="s">
        <v>233</v>
      </c>
      <c r="AB1125" s="206" t="s">
        <v>233</v>
      </c>
      <c r="AC1125" s="206" t="s">
        <v>233</v>
      </c>
      <c r="AD1125" s="206" t="s">
        <v>233</v>
      </c>
      <c r="AE1125" s="206" t="s">
        <v>240</v>
      </c>
      <c r="AF1125" s="96">
        <v>0</v>
      </c>
      <c r="AG1125" s="93">
        <v>0</v>
      </c>
      <c r="AH1125" s="93">
        <v>1</v>
      </c>
      <c r="AI1125" s="93">
        <v>0</v>
      </c>
      <c r="AJ1125" s="93">
        <v>0</v>
      </c>
      <c r="AK1125" s="93">
        <v>0</v>
      </c>
    </row>
    <row r="1126" spans="1:37" s="104" customFormat="1" ht="15.75" customHeight="1" outlineLevel="1">
      <c r="A1126" s="92">
        <v>1119</v>
      </c>
      <c r="B1126" s="93" t="s">
        <v>190</v>
      </c>
      <c r="C1126" s="93" t="s">
        <v>1488</v>
      </c>
      <c r="D1126" s="94" t="s">
        <v>789</v>
      </c>
      <c r="E1126" s="105">
        <v>19</v>
      </c>
      <c r="F1126" s="99" t="s">
        <v>231</v>
      </c>
      <c r="G1126" s="99"/>
      <c r="H1126" s="96" t="s">
        <v>795</v>
      </c>
      <c r="I1126" s="106" t="s">
        <v>736</v>
      </c>
      <c r="J1126" s="93"/>
      <c r="K1126" s="99" t="s">
        <v>232</v>
      </c>
      <c r="L1126" s="93" t="s">
        <v>232</v>
      </c>
      <c r="M1126" s="200">
        <v>1917</v>
      </c>
      <c r="N1126" s="64" t="s">
        <v>385</v>
      </c>
      <c r="O1126" s="106">
        <v>3</v>
      </c>
      <c r="P1126" s="196">
        <v>0</v>
      </c>
      <c r="Q1126" s="106">
        <v>3</v>
      </c>
      <c r="R1126" s="107">
        <v>15</v>
      </c>
      <c r="S1126" s="108">
        <v>2293.8000000000002</v>
      </c>
      <c r="T1126" s="108">
        <v>2293.8000000000002</v>
      </c>
      <c r="U1126" s="108">
        <v>1479.9</v>
      </c>
      <c r="V1126" s="109">
        <v>813.9</v>
      </c>
      <c r="W1126" s="206" t="s">
        <v>233</v>
      </c>
      <c r="X1126" s="206" t="s">
        <v>233</v>
      </c>
      <c r="Y1126" s="206" t="s">
        <v>240</v>
      </c>
      <c r="Z1126" s="206" t="s">
        <v>233</v>
      </c>
      <c r="AA1126" s="206" t="s">
        <v>233</v>
      </c>
      <c r="AB1126" s="206" t="s">
        <v>233</v>
      </c>
      <c r="AC1126" s="206" t="s">
        <v>233</v>
      </c>
      <c r="AD1126" s="206" t="s">
        <v>233</v>
      </c>
      <c r="AE1126" s="206" t="s">
        <v>240</v>
      </c>
      <c r="AF1126" s="96">
        <v>0</v>
      </c>
      <c r="AG1126" s="93">
        <v>0</v>
      </c>
      <c r="AH1126" s="93">
        <v>0</v>
      </c>
      <c r="AI1126" s="93">
        <v>0</v>
      </c>
      <c r="AJ1126" s="93">
        <v>0</v>
      </c>
      <c r="AK1126" s="93">
        <v>0</v>
      </c>
    </row>
    <row r="1127" spans="1:37" s="104" customFormat="1" ht="15.75" customHeight="1" outlineLevel="1">
      <c r="A1127" s="92">
        <v>1120</v>
      </c>
      <c r="B1127" s="93" t="s">
        <v>190</v>
      </c>
      <c r="C1127" s="93" t="s">
        <v>1488</v>
      </c>
      <c r="D1127" s="94" t="s">
        <v>789</v>
      </c>
      <c r="E1127" s="105">
        <v>21</v>
      </c>
      <c r="F1127" s="99" t="s">
        <v>191</v>
      </c>
      <c r="G1127" s="99"/>
      <c r="H1127" s="96" t="s">
        <v>796</v>
      </c>
      <c r="I1127" s="106" t="s">
        <v>736</v>
      </c>
      <c r="J1127" s="93"/>
      <c r="K1127" s="99" t="s">
        <v>232</v>
      </c>
      <c r="L1127" s="93" t="s">
        <v>232</v>
      </c>
      <c r="M1127" s="200">
        <v>1798</v>
      </c>
      <c r="N1127" s="64" t="s">
        <v>385</v>
      </c>
      <c r="O1127" s="106">
        <v>5</v>
      </c>
      <c r="P1127" s="196">
        <v>0</v>
      </c>
      <c r="Q1127" s="106">
        <v>1</v>
      </c>
      <c r="R1127" s="107">
        <v>13</v>
      </c>
      <c r="S1127" s="108">
        <v>339.5</v>
      </c>
      <c r="T1127" s="108">
        <v>339.5</v>
      </c>
      <c r="U1127" s="108">
        <v>284.39999999999998</v>
      </c>
      <c r="V1127" s="109">
        <v>55.1</v>
      </c>
      <c r="W1127" s="206" t="s">
        <v>233</v>
      </c>
      <c r="X1127" s="206" t="s">
        <v>233</v>
      </c>
      <c r="Y1127" s="206" t="s">
        <v>240</v>
      </c>
      <c r="Z1127" s="206" t="s">
        <v>233</v>
      </c>
      <c r="AA1127" s="206" t="s">
        <v>233</v>
      </c>
      <c r="AB1127" s="206" t="s">
        <v>233</v>
      </c>
      <c r="AC1127" s="206" t="s">
        <v>233</v>
      </c>
      <c r="AD1127" s="206" t="s">
        <v>233</v>
      </c>
      <c r="AE1127" s="206" t="s">
        <v>240</v>
      </c>
      <c r="AF1127" s="96">
        <v>0</v>
      </c>
      <c r="AG1127" s="93">
        <v>0</v>
      </c>
      <c r="AH1127" s="93">
        <v>0</v>
      </c>
      <c r="AI1127" s="93">
        <v>0</v>
      </c>
      <c r="AJ1127" s="93">
        <v>0</v>
      </c>
      <c r="AK1127" s="93">
        <v>0</v>
      </c>
    </row>
    <row r="1128" spans="1:37" s="104" customFormat="1" outlineLevel="1">
      <c r="A1128" s="92">
        <v>1121</v>
      </c>
      <c r="B1128" s="93" t="s">
        <v>190</v>
      </c>
      <c r="C1128" s="93" t="s">
        <v>1488</v>
      </c>
      <c r="D1128" s="94" t="s">
        <v>789</v>
      </c>
      <c r="E1128" s="105">
        <v>21</v>
      </c>
      <c r="F1128" s="99" t="s">
        <v>231</v>
      </c>
      <c r="G1128" s="99"/>
      <c r="H1128" s="96" t="s">
        <v>797</v>
      </c>
      <c r="I1128" s="106" t="s">
        <v>736</v>
      </c>
      <c r="J1128" s="93"/>
      <c r="K1128" s="99" t="s">
        <v>232</v>
      </c>
      <c r="L1128" s="93" t="s">
        <v>232</v>
      </c>
      <c r="M1128" s="200">
        <v>1798</v>
      </c>
      <c r="N1128" s="64" t="s">
        <v>385</v>
      </c>
      <c r="O1128" s="106">
        <v>4</v>
      </c>
      <c r="P1128" s="196">
        <v>0</v>
      </c>
      <c r="Q1128" s="106">
        <v>3</v>
      </c>
      <c r="R1128" s="107">
        <v>12</v>
      </c>
      <c r="S1128" s="108">
        <v>1583.2</v>
      </c>
      <c r="T1128" s="108">
        <v>1583.2</v>
      </c>
      <c r="U1128" s="108">
        <v>1433</v>
      </c>
      <c r="V1128" s="109">
        <v>150.19999999999999</v>
      </c>
      <c r="W1128" s="206" t="s">
        <v>233</v>
      </c>
      <c r="X1128" s="206" t="s">
        <v>233</v>
      </c>
      <c r="Y1128" s="206" t="s">
        <v>240</v>
      </c>
      <c r="Z1128" s="206" t="s">
        <v>233</v>
      </c>
      <c r="AA1128" s="206" t="s">
        <v>233</v>
      </c>
      <c r="AB1128" s="206" t="s">
        <v>233</v>
      </c>
      <c r="AC1128" s="206" t="s">
        <v>233</v>
      </c>
      <c r="AD1128" s="206" t="s">
        <v>233</v>
      </c>
      <c r="AE1128" s="206" t="s">
        <v>240</v>
      </c>
      <c r="AF1128" s="96">
        <v>0</v>
      </c>
      <c r="AG1128" s="93">
        <v>0</v>
      </c>
      <c r="AH1128" s="93">
        <v>0</v>
      </c>
      <c r="AI1128" s="93">
        <v>0</v>
      </c>
      <c r="AJ1128" s="93">
        <v>0</v>
      </c>
      <c r="AK1128" s="93">
        <v>0</v>
      </c>
    </row>
    <row r="1129" spans="1:37" s="104" customFormat="1" outlineLevel="1">
      <c r="A1129" s="92">
        <v>1122</v>
      </c>
      <c r="B1129" s="93" t="s">
        <v>190</v>
      </c>
      <c r="C1129" s="93" t="s">
        <v>1488</v>
      </c>
      <c r="D1129" s="94" t="s">
        <v>789</v>
      </c>
      <c r="E1129" s="105">
        <v>23</v>
      </c>
      <c r="F1129" s="99" t="s">
        <v>191</v>
      </c>
      <c r="G1129" s="99"/>
      <c r="H1129" s="96" t="s">
        <v>798</v>
      </c>
      <c r="I1129" s="106" t="s">
        <v>736</v>
      </c>
      <c r="J1129" s="93"/>
      <c r="K1129" s="99" t="s">
        <v>232</v>
      </c>
      <c r="L1129" s="93" t="s">
        <v>232</v>
      </c>
      <c r="M1129" s="200">
        <v>1828</v>
      </c>
      <c r="N1129" s="64" t="s">
        <v>385</v>
      </c>
      <c r="O1129" s="106">
        <v>5</v>
      </c>
      <c r="P1129" s="196">
        <v>0</v>
      </c>
      <c r="Q1129" s="106">
        <v>5</v>
      </c>
      <c r="R1129" s="107">
        <v>48</v>
      </c>
      <c r="S1129" s="108">
        <v>4625.2999999999993</v>
      </c>
      <c r="T1129" s="108">
        <v>4625.2999999999993</v>
      </c>
      <c r="U1129" s="108">
        <v>4286.3999999999996</v>
      </c>
      <c r="V1129" s="109">
        <v>338.9</v>
      </c>
      <c r="W1129" s="206" t="s">
        <v>233</v>
      </c>
      <c r="X1129" s="206" t="s">
        <v>233</v>
      </c>
      <c r="Y1129" s="206" t="s">
        <v>240</v>
      </c>
      <c r="Z1129" s="206" t="s">
        <v>233</v>
      </c>
      <c r="AA1129" s="206" t="s">
        <v>233</v>
      </c>
      <c r="AB1129" s="206" t="s">
        <v>233</v>
      </c>
      <c r="AC1129" s="206" t="s">
        <v>233</v>
      </c>
      <c r="AD1129" s="206" t="s">
        <v>233</v>
      </c>
      <c r="AE1129" s="206" t="s">
        <v>240</v>
      </c>
      <c r="AF1129" s="96">
        <v>0</v>
      </c>
      <c r="AG1129" s="93">
        <v>0</v>
      </c>
      <c r="AH1129" s="93">
        <v>1</v>
      </c>
      <c r="AI1129" s="93">
        <v>0</v>
      </c>
      <c r="AJ1129" s="93">
        <v>0</v>
      </c>
      <c r="AK1129" s="93">
        <v>0</v>
      </c>
    </row>
    <row r="1130" spans="1:37" s="104" customFormat="1" outlineLevel="1">
      <c r="A1130" s="92">
        <v>1123</v>
      </c>
      <c r="B1130" s="93" t="s">
        <v>190</v>
      </c>
      <c r="C1130" s="93" t="s">
        <v>1488</v>
      </c>
      <c r="D1130" s="94" t="s">
        <v>789</v>
      </c>
      <c r="E1130" s="105">
        <v>25</v>
      </c>
      <c r="F1130" s="99" t="s">
        <v>191</v>
      </c>
      <c r="G1130" s="99"/>
      <c r="H1130" s="96" t="s">
        <v>799</v>
      </c>
      <c r="I1130" s="106" t="s">
        <v>736</v>
      </c>
      <c r="J1130" s="93"/>
      <c r="K1130" s="99" t="s">
        <v>232</v>
      </c>
      <c r="L1130" s="93" t="s">
        <v>232</v>
      </c>
      <c r="M1130" s="200">
        <v>1898</v>
      </c>
      <c r="N1130" s="64" t="s">
        <v>385</v>
      </c>
      <c r="O1130" s="106">
        <v>3</v>
      </c>
      <c r="P1130" s="196">
        <v>0</v>
      </c>
      <c r="Q1130" s="106">
        <v>7</v>
      </c>
      <c r="R1130" s="107">
        <v>12</v>
      </c>
      <c r="S1130" s="108">
        <v>2846.1</v>
      </c>
      <c r="T1130" s="108">
        <v>2846.1</v>
      </c>
      <c r="U1130" s="108">
        <v>1587</v>
      </c>
      <c r="V1130" s="109">
        <v>1259.0999999999999</v>
      </c>
      <c r="W1130" s="206" t="s">
        <v>233</v>
      </c>
      <c r="X1130" s="206" t="s">
        <v>233</v>
      </c>
      <c r="Y1130" s="206" t="s">
        <v>240</v>
      </c>
      <c r="Z1130" s="206" t="s">
        <v>233</v>
      </c>
      <c r="AA1130" s="206" t="s">
        <v>233</v>
      </c>
      <c r="AB1130" s="206" t="s">
        <v>233</v>
      </c>
      <c r="AC1130" s="206" t="s">
        <v>233</v>
      </c>
      <c r="AD1130" s="206" t="s">
        <v>233</v>
      </c>
      <c r="AE1130" s="206" t="s">
        <v>240</v>
      </c>
      <c r="AF1130" s="96">
        <v>0</v>
      </c>
      <c r="AG1130" s="93">
        <v>0</v>
      </c>
      <c r="AH1130" s="93">
        <v>0</v>
      </c>
      <c r="AI1130" s="93">
        <v>0</v>
      </c>
      <c r="AJ1130" s="93">
        <v>0</v>
      </c>
      <c r="AK1130" s="93">
        <v>0</v>
      </c>
    </row>
    <row r="1131" spans="1:37" s="104" customFormat="1" outlineLevel="1">
      <c r="A1131" s="92">
        <v>1124</v>
      </c>
      <c r="B1131" s="93" t="s">
        <v>190</v>
      </c>
      <c r="C1131" s="93" t="s">
        <v>1488</v>
      </c>
      <c r="D1131" s="94" t="s">
        <v>789</v>
      </c>
      <c r="E1131" s="105">
        <v>31</v>
      </c>
      <c r="F1131" s="99" t="s">
        <v>191</v>
      </c>
      <c r="G1131" s="99"/>
      <c r="H1131" s="96" t="s">
        <v>800</v>
      </c>
      <c r="I1131" s="106" t="s">
        <v>736</v>
      </c>
      <c r="J1131" s="93"/>
      <c r="K1131" s="99" t="s">
        <v>232</v>
      </c>
      <c r="L1131" s="93" t="s">
        <v>232</v>
      </c>
      <c r="M1131" s="200">
        <v>1780</v>
      </c>
      <c r="N1131" s="64" t="s">
        <v>385</v>
      </c>
      <c r="O1131" s="106">
        <v>4</v>
      </c>
      <c r="P1131" s="196">
        <v>0</v>
      </c>
      <c r="Q1131" s="106">
        <v>6</v>
      </c>
      <c r="R1131" s="107">
        <v>29</v>
      </c>
      <c r="S1131" s="108">
        <v>4020.6000000000004</v>
      </c>
      <c r="T1131" s="108">
        <v>4020.6000000000004</v>
      </c>
      <c r="U1131" s="108">
        <v>3000.8</v>
      </c>
      <c r="V1131" s="109">
        <v>1019.8</v>
      </c>
      <c r="W1131" s="206" t="s">
        <v>233</v>
      </c>
      <c r="X1131" s="206" t="s">
        <v>233</v>
      </c>
      <c r="Y1131" s="206" t="s">
        <v>240</v>
      </c>
      <c r="Z1131" s="206" t="s">
        <v>233</v>
      </c>
      <c r="AA1131" s="206" t="s">
        <v>233</v>
      </c>
      <c r="AB1131" s="206" t="s">
        <v>233</v>
      </c>
      <c r="AC1131" s="206" t="s">
        <v>233</v>
      </c>
      <c r="AD1131" s="206" t="s">
        <v>233</v>
      </c>
      <c r="AE1131" s="206" t="s">
        <v>240</v>
      </c>
      <c r="AF1131" s="96">
        <v>0</v>
      </c>
      <c r="AG1131" s="93">
        <v>0</v>
      </c>
      <c r="AH1131" s="93">
        <v>1</v>
      </c>
      <c r="AI1131" s="93">
        <v>0</v>
      </c>
      <c r="AJ1131" s="93">
        <v>0</v>
      </c>
      <c r="AK1131" s="93">
        <v>0</v>
      </c>
    </row>
    <row r="1132" spans="1:37" s="104" customFormat="1" outlineLevel="1">
      <c r="A1132" s="92">
        <v>1125</v>
      </c>
      <c r="B1132" s="93" t="s">
        <v>190</v>
      </c>
      <c r="C1132" s="93" t="s">
        <v>1488</v>
      </c>
      <c r="D1132" s="94" t="s">
        <v>789</v>
      </c>
      <c r="E1132" s="105">
        <v>33</v>
      </c>
      <c r="F1132" s="99" t="s">
        <v>191</v>
      </c>
      <c r="G1132" s="99"/>
      <c r="H1132" s="96" t="s">
        <v>801</v>
      </c>
      <c r="I1132" s="106" t="s">
        <v>736</v>
      </c>
      <c r="J1132" s="93"/>
      <c r="K1132" s="99" t="s">
        <v>232</v>
      </c>
      <c r="L1132" s="93" t="s">
        <v>232</v>
      </c>
      <c r="M1132" s="200">
        <v>1756</v>
      </c>
      <c r="N1132" s="64" t="s">
        <v>385</v>
      </c>
      <c r="O1132" s="106">
        <v>4</v>
      </c>
      <c r="P1132" s="196">
        <v>0</v>
      </c>
      <c r="Q1132" s="106">
        <v>7</v>
      </c>
      <c r="R1132" s="107">
        <v>49</v>
      </c>
      <c r="S1132" s="108">
        <v>5114.5</v>
      </c>
      <c r="T1132" s="108">
        <v>5114.5</v>
      </c>
      <c r="U1132" s="108">
        <v>4170.2</v>
      </c>
      <c r="V1132" s="109">
        <v>944.3</v>
      </c>
      <c r="W1132" s="206" t="s">
        <v>233</v>
      </c>
      <c r="X1132" s="206" t="s">
        <v>233</v>
      </c>
      <c r="Y1132" s="206" t="s">
        <v>240</v>
      </c>
      <c r="Z1132" s="206" t="s">
        <v>233</v>
      </c>
      <c r="AA1132" s="206" t="s">
        <v>233</v>
      </c>
      <c r="AB1132" s="206" t="s">
        <v>233</v>
      </c>
      <c r="AC1132" s="206" t="s">
        <v>233</v>
      </c>
      <c r="AD1132" s="206" t="s">
        <v>233</v>
      </c>
      <c r="AE1132" s="206" t="s">
        <v>240</v>
      </c>
      <c r="AF1132" s="96">
        <v>0</v>
      </c>
      <c r="AG1132" s="93">
        <v>0</v>
      </c>
      <c r="AH1132" s="93">
        <v>1</v>
      </c>
      <c r="AI1132" s="93">
        <v>0</v>
      </c>
      <c r="AJ1132" s="93">
        <v>0</v>
      </c>
      <c r="AK1132" s="93">
        <v>0</v>
      </c>
    </row>
    <row r="1133" spans="1:37" s="104" customFormat="1" outlineLevel="1">
      <c r="A1133" s="92">
        <v>1126</v>
      </c>
      <c r="B1133" s="93" t="s">
        <v>190</v>
      </c>
      <c r="C1133" s="93" t="s">
        <v>1488</v>
      </c>
      <c r="D1133" s="94" t="s">
        <v>789</v>
      </c>
      <c r="E1133" s="105" t="s">
        <v>802</v>
      </c>
      <c r="F1133" s="99" t="s">
        <v>191</v>
      </c>
      <c r="G1133" s="99"/>
      <c r="H1133" s="96" t="s">
        <v>803</v>
      </c>
      <c r="I1133" s="106" t="s">
        <v>736</v>
      </c>
      <c r="J1133" s="93"/>
      <c r="K1133" s="99" t="s">
        <v>232</v>
      </c>
      <c r="L1133" s="93" t="s">
        <v>232</v>
      </c>
      <c r="M1133" s="200">
        <v>1840</v>
      </c>
      <c r="N1133" s="64" t="s">
        <v>385</v>
      </c>
      <c r="O1133" s="106">
        <v>4</v>
      </c>
      <c r="P1133" s="196">
        <v>0</v>
      </c>
      <c r="Q1133" s="106">
        <v>8</v>
      </c>
      <c r="R1133" s="107">
        <v>54</v>
      </c>
      <c r="S1133" s="108">
        <v>3473.2999999999997</v>
      </c>
      <c r="T1133" s="108">
        <v>3473.2999999999997</v>
      </c>
      <c r="U1133" s="108">
        <v>3154.1</v>
      </c>
      <c r="V1133" s="109">
        <v>319.2</v>
      </c>
      <c r="W1133" s="206" t="s">
        <v>233</v>
      </c>
      <c r="X1133" s="206" t="s">
        <v>233</v>
      </c>
      <c r="Y1133" s="206" t="s">
        <v>240</v>
      </c>
      <c r="Z1133" s="206" t="s">
        <v>233</v>
      </c>
      <c r="AA1133" s="206" t="s">
        <v>233</v>
      </c>
      <c r="AB1133" s="206" t="s">
        <v>233</v>
      </c>
      <c r="AC1133" s="206" t="s">
        <v>233</v>
      </c>
      <c r="AD1133" s="206" t="s">
        <v>233</v>
      </c>
      <c r="AE1133" s="206" t="s">
        <v>240</v>
      </c>
      <c r="AF1133" s="96">
        <v>0</v>
      </c>
      <c r="AG1133" s="93">
        <v>0</v>
      </c>
      <c r="AH1133" s="93">
        <v>2</v>
      </c>
      <c r="AI1133" s="93">
        <v>0</v>
      </c>
      <c r="AJ1133" s="93">
        <v>0</v>
      </c>
      <c r="AK1133" s="93">
        <v>0</v>
      </c>
    </row>
    <row r="1134" spans="1:37" s="104" customFormat="1" outlineLevel="1">
      <c r="A1134" s="92">
        <v>1127</v>
      </c>
      <c r="B1134" s="93" t="s">
        <v>190</v>
      </c>
      <c r="C1134" s="93" t="s">
        <v>1488</v>
      </c>
      <c r="D1134" s="94" t="s">
        <v>789</v>
      </c>
      <c r="E1134" s="105">
        <v>39</v>
      </c>
      <c r="F1134" s="99" t="s">
        <v>191</v>
      </c>
      <c r="G1134" s="99"/>
      <c r="H1134" s="96" t="s">
        <v>804</v>
      </c>
      <c r="I1134" s="106" t="s">
        <v>736</v>
      </c>
      <c r="J1134" s="93"/>
      <c r="K1134" s="99" t="s">
        <v>232</v>
      </c>
      <c r="L1134" s="93" t="s">
        <v>232</v>
      </c>
      <c r="M1134" s="200">
        <v>1838</v>
      </c>
      <c r="N1134" s="64" t="s">
        <v>385</v>
      </c>
      <c r="O1134" s="106">
        <v>5</v>
      </c>
      <c r="P1134" s="196">
        <v>0</v>
      </c>
      <c r="Q1134" s="106">
        <v>5</v>
      </c>
      <c r="R1134" s="107">
        <v>36</v>
      </c>
      <c r="S1134" s="108">
        <v>3500.8</v>
      </c>
      <c r="T1134" s="108">
        <v>3500.8</v>
      </c>
      <c r="U1134" s="108">
        <v>2746</v>
      </c>
      <c r="V1134" s="109">
        <v>754.8</v>
      </c>
      <c r="W1134" s="206" t="s">
        <v>233</v>
      </c>
      <c r="X1134" s="206" t="s">
        <v>233</v>
      </c>
      <c r="Y1134" s="206" t="s">
        <v>240</v>
      </c>
      <c r="Z1134" s="206" t="s">
        <v>233</v>
      </c>
      <c r="AA1134" s="206" t="s">
        <v>233</v>
      </c>
      <c r="AB1134" s="206" t="s">
        <v>233</v>
      </c>
      <c r="AC1134" s="206" t="s">
        <v>233</v>
      </c>
      <c r="AD1134" s="206" t="s">
        <v>233</v>
      </c>
      <c r="AE1134" s="206" t="s">
        <v>240</v>
      </c>
      <c r="AF1134" s="96">
        <v>0</v>
      </c>
      <c r="AG1134" s="93">
        <v>0</v>
      </c>
      <c r="AH1134" s="93">
        <v>1</v>
      </c>
      <c r="AI1134" s="93">
        <v>0</v>
      </c>
      <c r="AJ1134" s="93">
        <v>0</v>
      </c>
      <c r="AK1134" s="93">
        <v>0</v>
      </c>
    </row>
    <row r="1135" spans="1:37" s="104" customFormat="1" outlineLevel="1">
      <c r="A1135" s="92">
        <v>1128</v>
      </c>
      <c r="B1135" s="93" t="s">
        <v>190</v>
      </c>
      <c r="C1135" s="93" t="s">
        <v>1488</v>
      </c>
      <c r="D1135" s="94" t="s">
        <v>789</v>
      </c>
      <c r="E1135" s="105">
        <v>41</v>
      </c>
      <c r="F1135" s="99" t="s">
        <v>191</v>
      </c>
      <c r="G1135" s="99"/>
      <c r="H1135" s="96" t="s">
        <v>805</v>
      </c>
      <c r="I1135" s="106" t="s">
        <v>792</v>
      </c>
      <c r="J1135" s="93"/>
      <c r="K1135" s="99" t="s">
        <v>232</v>
      </c>
      <c r="L1135" s="93" t="s">
        <v>232</v>
      </c>
      <c r="M1135" s="200">
        <v>1825</v>
      </c>
      <c r="N1135" s="64" t="s">
        <v>385</v>
      </c>
      <c r="O1135" s="106">
        <v>4</v>
      </c>
      <c r="P1135" s="196">
        <v>0</v>
      </c>
      <c r="Q1135" s="106">
        <v>11</v>
      </c>
      <c r="R1135" s="107">
        <v>31</v>
      </c>
      <c r="S1135" s="108">
        <v>7507</v>
      </c>
      <c r="T1135" s="108">
        <v>7507</v>
      </c>
      <c r="U1135" s="108">
        <v>3990</v>
      </c>
      <c r="V1135" s="109">
        <v>3517</v>
      </c>
      <c r="W1135" s="206" t="s">
        <v>233</v>
      </c>
      <c r="X1135" s="206" t="s">
        <v>233</v>
      </c>
      <c r="Y1135" s="206" t="s">
        <v>240</v>
      </c>
      <c r="Z1135" s="206" t="s">
        <v>233</v>
      </c>
      <c r="AA1135" s="206" t="s">
        <v>233</v>
      </c>
      <c r="AB1135" s="206" t="s">
        <v>233</v>
      </c>
      <c r="AC1135" s="206" t="s">
        <v>233</v>
      </c>
      <c r="AD1135" s="206" t="s">
        <v>233</v>
      </c>
      <c r="AE1135" s="206" t="s">
        <v>240</v>
      </c>
      <c r="AF1135" s="96">
        <v>0</v>
      </c>
      <c r="AG1135" s="93">
        <v>0</v>
      </c>
      <c r="AH1135" s="93">
        <v>1</v>
      </c>
      <c r="AI1135" s="93">
        <v>0</v>
      </c>
      <c r="AJ1135" s="93">
        <v>0</v>
      </c>
      <c r="AK1135" s="93">
        <v>0</v>
      </c>
    </row>
    <row r="1136" spans="1:37" s="104" customFormat="1" outlineLevel="1">
      <c r="A1136" s="92">
        <v>1129</v>
      </c>
      <c r="B1136" s="93" t="s">
        <v>190</v>
      </c>
      <c r="C1136" s="93" t="s">
        <v>1488</v>
      </c>
      <c r="D1136" s="94" t="s">
        <v>789</v>
      </c>
      <c r="E1136" s="105">
        <v>45</v>
      </c>
      <c r="F1136" s="99" t="s">
        <v>191</v>
      </c>
      <c r="G1136" s="99"/>
      <c r="H1136" s="96" t="s">
        <v>806</v>
      </c>
      <c r="I1136" s="106" t="s">
        <v>792</v>
      </c>
      <c r="J1136" s="93" t="s">
        <v>793</v>
      </c>
      <c r="K1136" s="178" t="s">
        <v>1486</v>
      </c>
      <c r="L1136" s="93" t="s">
        <v>232</v>
      </c>
      <c r="M1136" s="200">
        <v>1917</v>
      </c>
      <c r="N1136" s="64" t="s">
        <v>385</v>
      </c>
      <c r="O1136" s="106">
        <v>4</v>
      </c>
      <c r="P1136" s="196">
        <v>0</v>
      </c>
      <c r="Q1136" s="106">
        <v>3</v>
      </c>
      <c r="R1136" s="107"/>
      <c r="S1136" s="108"/>
      <c r="T1136" s="108"/>
      <c r="U1136" s="108"/>
      <c r="V1136" s="109"/>
      <c r="W1136" s="206"/>
      <c r="X1136" s="206"/>
      <c r="Y1136" s="206"/>
      <c r="Z1136" s="206"/>
      <c r="AA1136" s="206" t="s">
        <v>233</v>
      </c>
      <c r="AB1136" s="206" t="s">
        <v>233</v>
      </c>
      <c r="AC1136" s="206" t="s">
        <v>240</v>
      </c>
      <c r="AD1136" s="206" t="s">
        <v>233</v>
      </c>
      <c r="AE1136" s="206" t="s">
        <v>240</v>
      </c>
      <c r="AF1136" s="96">
        <v>0</v>
      </c>
      <c r="AG1136" s="93">
        <v>0</v>
      </c>
      <c r="AH1136" s="93">
        <v>0</v>
      </c>
      <c r="AI1136" s="93">
        <v>0</v>
      </c>
      <c r="AJ1136" s="93">
        <v>0</v>
      </c>
      <c r="AK1136" s="93">
        <v>0</v>
      </c>
    </row>
    <row r="1137" spans="1:37" s="104" customFormat="1" outlineLevel="1">
      <c r="A1137" s="92">
        <v>1130</v>
      </c>
      <c r="B1137" s="93" t="s">
        <v>190</v>
      </c>
      <c r="C1137" s="93" t="s">
        <v>1488</v>
      </c>
      <c r="D1137" s="94" t="s">
        <v>789</v>
      </c>
      <c r="E1137" s="105">
        <v>45</v>
      </c>
      <c r="F1137" s="99" t="s">
        <v>231</v>
      </c>
      <c r="G1137" s="99"/>
      <c r="H1137" s="96" t="s">
        <v>807</v>
      </c>
      <c r="I1137" s="106" t="s">
        <v>792</v>
      </c>
      <c r="J1137" s="93"/>
      <c r="K1137" s="99" t="s">
        <v>232</v>
      </c>
      <c r="L1137" s="93" t="s">
        <v>232</v>
      </c>
      <c r="M1137" s="200">
        <v>1798</v>
      </c>
      <c r="N1137" s="64" t="s">
        <v>385</v>
      </c>
      <c r="O1137" s="106">
        <v>3</v>
      </c>
      <c r="P1137" s="196">
        <v>0</v>
      </c>
      <c r="Q1137" s="106">
        <v>2</v>
      </c>
      <c r="R1137" s="107">
        <v>10</v>
      </c>
      <c r="S1137" s="108">
        <v>1096.7</v>
      </c>
      <c r="T1137" s="108">
        <v>1096.7</v>
      </c>
      <c r="U1137" s="108">
        <v>833.7</v>
      </c>
      <c r="V1137" s="109">
        <v>263</v>
      </c>
      <c r="W1137" s="206" t="s">
        <v>233</v>
      </c>
      <c r="X1137" s="206" t="s">
        <v>233</v>
      </c>
      <c r="Y1137" s="206" t="s">
        <v>240</v>
      </c>
      <c r="Z1137" s="206" t="s">
        <v>233</v>
      </c>
      <c r="AA1137" s="206" t="s">
        <v>233</v>
      </c>
      <c r="AB1137" s="206" t="s">
        <v>233</v>
      </c>
      <c r="AC1137" s="206" t="s">
        <v>233</v>
      </c>
      <c r="AD1137" s="206" t="s">
        <v>233</v>
      </c>
      <c r="AE1137" s="206" t="s">
        <v>240</v>
      </c>
      <c r="AF1137" s="96">
        <v>0</v>
      </c>
      <c r="AG1137" s="93">
        <v>0</v>
      </c>
      <c r="AH1137" s="93">
        <v>1</v>
      </c>
      <c r="AI1137" s="93">
        <v>0</v>
      </c>
      <c r="AJ1137" s="93">
        <v>0</v>
      </c>
      <c r="AK1137" s="93">
        <v>0</v>
      </c>
    </row>
    <row r="1138" spans="1:37" s="104" customFormat="1" ht="15.75" customHeight="1" outlineLevel="1">
      <c r="A1138" s="92">
        <v>1131</v>
      </c>
      <c r="B1138" s="93" t="s">
        <v>190</v>
      </c>
      <c r="C1138" s="93" t="s">
        <v>1488</v>
      </c>
      <c r="D1138" s="94" t="s">
        <v>789</v>
      </c>
      <c r="E1138" s="105">
        <v>51</v>
      </c>
      <c r="F1138" s="99" t="s">
        <v>191</v>
      </c>
      <c r="G1138" s="99"/>
      <c r="H1138" s="96" t="s">
        <v>808</v>
      </c>
      <c r="I1138" s="106" t="s">
        <v>736</v>
      </c>
      <c r="J1138" s="93"/>
      <c r="K1138" s="99" t="s">
        <v>232</v>
      </c>
      <c r="L1138" s="93" t="s">
        <v>232</v>
      </c>
      <c r="M1138" s="200">
        <v>1806</v>
      </c>
      <c r="N1138" s="64" t="s">
        <v>385</v>
      </c>
      <c r="O1138" s="106">
        <v>4</v>
      </c>
      <c r="P1138" s="196">
        <v>0</v>
      </c>
      <c r="Q1138" s="106">
        <v>6</v>
      </c>
      <c r="R1138" s="107">
        <v>33</v>
      </c>
      <c r="S1138" s="108">
        <v>3416.3</v>
      </c>
      <c r="T1138" s="108">
        <v>3416.3</v>
      </c>
      <c r="U1138" s="108">
        <v>2792.9</v>
      </c>
      <c r="V1138" s="109">
        <v>623.4</v>
      </c>
      <c r="W1138" s="206" t="s">
        <v>233</v>
      </c>
      <c r="X1138" s="206" t="s">
        <v>233</v>
      </c>
      <c r="Y1138" s="206" t="s">
        <v>240</v>
      </c>
      <c r="Z1138" s="206" t="s">
        <v>233</v>
      </c>
      <c r="AA1138" s="206" t="s">
        <v>233</v>
      </c>
      <c r="AB1138" s="206" t="s">
        <v>233</v>
      </c>
      <c r="AC1138" s="206" t="s">
        <v>233</v>
      </c>
      <c r="AD1138" s="206" t="s">
        <v>233</v>
      </c>
      <c r="AE1138" s="206" t="s">
        <v>240</v>
      </c>
      <c r="AF1138" s="96">
        <v>0</v>
      </c>
      <c r="AG1138" s="93">
        <v>0</v>
      </c>
      <c r="AH1138" s="93">
        <v>1</v>
      </c>
      <c r="AI1138" s="93">
        <v>0</v>
      </c>
      <c r="AJ1138" s="93">
        <v>0</v>
      </c>
      <c r="AK1138" s="93">
        <v>0</v>
      </c>
    </row>
    <row r="1139" spans="1:37" s="104" customFormat="1" ht="15.75" customHeight="1" outlineLevel="1">
      <c r="A1139" s="92">
        <v>1132</v>
      </c>
      <c r="B1139" s="93" t="s">
        <v>190</v>
      </c>
      <c r="C1139" s="93" t="s">
        <v>1488</v>
      </c>
      <c r="D1139" s="94" t="s">
        <v>789</v>
      </c>
      <c r="E1139" s="105">
        <v>53</v>
      </c>
      <c r="F1139" s="99" t="s">
        <v>191</v>
      </c>
      <c r="G1139" s="99"/>
      <c r="H1139" s="96" t="s">
        <v>809</v>
      </c>
      <c r="I1139" s="106" t="s">
        <v>736</v>
      </c>
      <c r="J1139" s="93"/>
      <c r="K1139" s="99" t="s">
        <v>232</v>
      </c>
      <c r="L1139" s="93" t="s">
        <v>232</v>
      </c>
      <c r="M1139" s="200">
        <v>1833</v>
      </c>
      <c r="N1139" s="64" t="s">
        <v>385</v>
      </c>
      <c r="O1139" s="106">
        <v>5</v>
      </c>
      <c r="P1139" s="196">
        <v>0</v>
      </c>
      <c r="Q1139" s="106">
        <v>4</v>
      </c>
      <c r="R1139" s="107">
        <v>36</v>
      </c>
      <c r="S1139" s="108">
        <v>3781.9</v>
      </c>
      <c r="T1139" s="108">
        <v>3781.9</v>
      </c>
      <c r="U1139" s="108">
        <v>2889</v>
      </c>
      <c r="V1139" s="109">
        <v>892.9</v>
      </c>
      <c r="W1139" s="206" t="s">
        <v>233</v>
      </c>
      <c r="X1139" s="206" t="s">
        <v>233</v>
      </c>
      <c r="Y1139" s="206" t="s">
        <v>240</v>
      </c>
      <c r="Z1139" s="206" t="s">
        <v>233</v>
      </c>
      <c r="AA1139" s="206" t="s">
        <v>233</v>
      </c>
      <c r="AB1139" s="206" t="s">
        <v>233</v>
      </c>
      <c r="AC1139" s="206" t="s">
        <v>233</v>
      </c>
      <c r="AD1139" s="206" t="s">
        <v>233</v>
      </c>
      <c r="AE1139" s="206" t="s">
        <v>240</v>
      </c>
      <c r="AF1139" s="96">
        <v>0</v>
      </c>
      <c r="AG1139" s="93">
        <v>0</v>
      </c>
      <c r="AH1139" s="93">
        <v>1</v>
      </c>
      <c r="AI1139" s="93">
        <v>0</v>
      </c>
      <c r="AJ1139" s="93">
        <v>0</v>
      </c>
      <c r="AK1139" s="93">
        <v>0</v>
      </c>
    </row>
    <row r="1140" spans="1:37" s="104" customFormat="1" ht="15.75" customHeight="1" outlineLevel="1">
      <c r="A1140" s="92">
        <v>1133</v>
      </c>
      <c r="B1140" s="93" t="s">
        <v>190</v>
      </c>
      <c r="C1140" s="93" t="s">
        <v>1488</v>
      </c>
      <c r="D1140" s="94" t="s">
        <v>789</v>
      </c>
      <c r="E1140" s="105">
        <v>55</v>
      </c>
      <c r="F1140" s="99" t="s">
        <v>191</v>
      </c>
      <c r="G1140" s="99"/>
      <c r="H1140" s="96" t="s">
        <v>810</v>
      </c>
      <c r="I1140" s="106" t="s">
        <v>736</v>
      </c>
      <c r="J1140" s="93"/>
      <c r="K1140" s="99" t="s">
        <v>232</v>
      </c>
      <c r="L1140" s="93" t="s">
        <v>232</v>
      </c>
      <c r="M1140" s="200">
        <v>1846</v>
      </c>
      <c r="N1140" s="64" t="s">
        <v>385</v>
      </c>
      <c r="O1140" s="106">
        <v>6</v>
      </c>
      <c r="P1140" s="196">
        <v>0</v>
      </c>
      <c r="Q1140" s="106">
        <v>6</v>
      </c>
      <c r="R1140" s="107">
        <v>28</v>
      </c>
      <c r="S1140" s="108">
        <v>4469.5999999999995</v>
      </c>
      <c r="T1140" s="108">
        <v>4469.5999999999995</v>
      </c>
      <c r="U1140" s="108">
        <v>3746.2</v>
      </c>
      <c r="V1140" s="109">
        <v>723.4</v>
      </c>
      <c r="W1140" s="206" t="s">
        <v>233</v>
      </c>
      <c r="X1140" s="206" t="s">
        <v>233</v>
      </c>
      <c r="Y1140" s="206" t="s">
        <v>240</v>
      </c>
      <c r="Z1140" s="206" t="s">
        <v>233</v>
      </c>
      <c r="AA1140" s="206" t="s">
        <v>233</v>
      </c>
      <c r="AB1140" s="206" t="s">
        <v>233</v>
      </c>
      <c r="AC1140" s="206" t="s">
        <v>233</v>
      </c>
      <c r="AD1140" s="206" t="s">
        <v>233</v>
      </c>
      <c r="AE1140" s="206" t="s">
        <v>240</v>
      </c>
      <c r="AF1140" s="96">
        <v>0</v>
      </c>
      <c r="AG1140" s="93">
        <v>0</v>
      </c>
      <c r="AH1140" s="93">
        <v>1</v>
      </c>
      <c r="AI1140" s="93">
        <v>0</v>
      </c>
      <c r="AJ1140" s="93">
        <v>0</v>
      </c>
      <c r="AK1140" s="93">
        <v>0</v>
      </c>
    </row>
    <row r="1141" spans="1:37" s="104" customFormat="1" outlineLevel="1">
      <c r="A1141" s="92">
        <v>1134</v>
      </c>
      <c r="B1141" s="93" t="s">
        <v>190</v>
      </c>
      <c r="C1141" s="93" t="s">
        <v>1488</v>
      </c>
      <c r="D1141" s="94" t="s">
        <v>789</v>
      </c>
      <c r="E1141" s="105">
        <v>55</v>
      </c>
      <c r="F1141" s="99" t="s">
        <v>231</v>
      </c>
      <c r="G1141" s="99"/>
      <c r="H1141" s="96" t="s">
        <v>811</v>
      </c>
      <c r="I1141" s="106" t="s">
        <v>736</v>
      </c>
      <c r="J1141" s="93"/>
      <c r="K1141" s="99" t="s">
        <v>232</v>
      </c>
      <c r="L1141" s="93" t="s">
        <v>232</v>
      </c>
      <c r="M1141" s="200">
        <v>1902</v>
      </c>
      <c r="N1141" s="64" t="s">
        <v>385</v>
      </c>
      <c r="O1141" s="106">
        <v>5</v>
      </c>
      <c r="P1141" s="196">
        <v>0</v>
      </c>
      <c r="Q1141" s="106">
        <v>1</v>
      </c>
      <c r="R1141" s="107">
        <v>19</v>
      </c>
      <c r="S1141" s="108">
        <v>1622.6999999999998</v>
      </c>
      <c r="T1141" s="108">
        <v>1622.6999999999998</v>
      </c>
      <c r="U1141" s="108">
        <v>1326.8</v>
      </c>
      <c r="V1141" s="109">
        <v>295.89999999999998</v>
      </c>
      <c r="W1141" s="206" t="s">
        <v>233</v>
      </c>
      <c r="X1141" s="206" t="s">
        <v>233</v>
      </c>
      <c r="Y1141" s="206" t="s">
        <v>240</v>
      </c>
      <c r="Z1141" s="206" t="s">
        <v>233</v>
      </c>
      <c r="AA1141" s="206" t="s">
        <v>233</v>
      </c>
      <c r="AB1141" s="206" t="s">
        <v>233</v>
      </c>
      <c r="AC1141" s="206" t="s">
        <v>233</v>
      </c>
      <c r="AD1141" s="206" t="s">
        <v>233</v>
      </c>
      <c r="AE1141" s="206" t="s">
        <v>240</v>
      </c>
      <c r="AF1141" s="96">
        <v>0</v>
      </c>
      <c r="AG1141" s="93">
        <v>0</v>
      </c>
      <c r="AH1141" s="93">
        <v>0</v>
      </c>
      <c r="AI1141" s="93">
        <v>0</v>
      </c>
      <c r="AJ1141" s="93">
        <v>0</v>
      </c>
      <c r="AK1141" s="93">
        <v>0</v>
      </c>
    </row>
    <row r="1142" spans="1:37" s="104" customFormat="1" outlineLevel="1">
      <c r="A1142" s="92">
        <v>1135</v>
      </c>
      <c r="B1142" s="93" t="s">
        <v>190</v>
      </c>
      <c r="C1142" s="93" t="s">
        <v>1488</v>
      </c>
      <c r="D1142" s="94" t="s">
        <v>789</v>
      </c>
      <c r="E1142" s="105">
        <v>55</v>
      </c>
      <c r="F1142" s="99" t="s">
        <v>1485</v>
      </c>
      <c r="G1142" s="99"/>
      <c r="H1142" s="96" t="s">
        <v>813</v>
      </c>
      <c r="I1142" s="106" t="s">
        <v>736</v>
      </c>
      <c r="J1142" s="93"/>
      <c r="K1142" s="99" t="s">
        <v>232</v>
      </c>
      <c r="L1142" s="93" t="s">
        <v>232</v>
      </c>
      <c r="M1142" s="200">
        <v>1846</v>
      </c>
      <c r="N1142" s="64" t="s">
        <v>385</v>
      </c>
      <c r="O1142" s="106">
        <v>3</v>
      </c>
      <c r="P1142" s="196">
        <v>0</v>
      </c>
      <c r="Q1142" s="106">
        <v>4</v>
      </c>
      <c r="R1142" s="107">
        <v>18</v>
      </c>
      <c r="S1142" s="108">
        <v>448.9</v>
      </c>
      <c r="T1142" s="108">
        <v>448.9</v>
      </c>
      <c r="U1142" s="108">
        <v>323</v>
      </c>
      <c r="V1142" s="109">
        <v>125.9</v>
      </c>
      <c r="W1142" s="206" t="s">
        <v>233</v>
      </c>
      <c r="X1142" s="206" t="s">
        <v>233</v>
      </c>
      <c r="Y1142" s="206" t="s">
        <v>240</v>
      </c>
      <c r="Z1142" s="206" t="s">
        <v>233</v>
      </c>
      <c r="AA1142" s="206" t="s">
        <v>233</v>
      </c>
      <c r="AB1142" s="206" t="s">
        <v>233</v>
      </c>
      <c r="AC1142" s="206" t="s">
        <v>233</v>
      </c>
      <c r="AD1142" s="206" t="s">
        <v>233</v>
      </c>
      <c r="AE1142" s="206" t="s">
        <v>240</v>
      </c>
      <c r="AF1142" s="96">
        <v>0</v>
      </c>
      <c r="AG1142" s="93">
        <v>0</v>
      </c>
      <c r="AH1142" s="93">
        <v>0</v>
      </c>
      <c r="AI1142" s="93">
        <v>0</v>
      </c>
      <c r="AJ1142" s="93">
        <v>0</v>
      </c>
      <c r="AK1142" s="93">
        <v>0</v>
      </c>
    </row>
    <row r="1143" spans="1:37" s="104" customFormat="1" outlineLevel="1">
      <c r="A1143" s="92">
        <v>1136</v>
      </c>
      <c r="B1143" s="93" t="s">
        <v>190</v>
      </c>
      <c r="C1143" s="93" t="s">
        <v>1488</v>
      </c>
      <c r="D1143" s="94" t="s">
        <v>789</v>
      </c>
      <c r="E1143" s="105">
        <v>57</v>
      </c>
      <c r="F1143" s="99" t="s">
        <v>191</v>
      </c>
      <c r="G1143" s="99"/>
      <c r="H1143" s="96" t="s">
        <v>814</v>
      </c>
      <c r="I1143" s="106" t="s">
        <v>736</v>
      </c>
      <c r="J1143" s="93"/>
      <c r="K1143" s="99" t="s">
        <v>232</v>
      </c>
      <c r="L1143" s="93" t="s">
        <v>232</v>
      </c>
      <c r="M1143" s="200">
        <v>1798</v>
      </c>
      <c r="N1143" s="64" t="s">
        <v>385</v>
      </c>
      <c r="O1143" s="106">
        <v>3</v>
      </c>
      <c r="P1143" s="196">
        <v>0</v>
      </c>
      <c r="Q1143" s="106">
        <v>6</v>
      </c>
      <c r="R1143" s="107">
        <v>24</v>
      </c>
      <c r="S1143" s="108">
        <v>3022</v>
      </c>
      <c r="T1143" s="108">
        <v>3022</v>
      </c>
      <c r="U1143" s="108">
        <v>2245.4</v>
      </c>
      <c r="V1143" s="109">
        <v>776.6</v>
      </c>
      <c r="W1143" s="206" t="s">
        <v>233</v>
      </c>
      <c r="X1143" s="206" t="s">
        <v>233</v>
      </c>
      <c r="Y1143" s="206" t="s">
        <v>240</v>
      </c>
      <c r="Z1143" s="206" t="s">
        <v>233</v>
      </c>
      <c r="AA1143" s="206" t="s">
        <v>233</v>
      </c>
      <c r="AB1143" s="206" t="s">
        <v>233</v>
      </c>
      <c r="AC1143" s="206" t="s">
        <v>233</v>
      </c>
      <c r="AD1143" s="206" t="s">
        <v>233</v>
      </c>
      <c r="AE1143" s="206" t="s">
        <v>240</v>
      </c>
      <c r="AF1143" s="96">
        <v>0</v>
      </c>
      <c r="AG1143" s="93">
        <v>0</v>
      </c>
      <c r="AH1143" s="93">
        <v>1</v>
      </c>
      <c r="AI1143" s="93">
        <v>0</v>
      </c>
      <c r="AJ1143" s="93">
        <v>0</v>
      </c>
      <c r="AK1143" s="93">
        <v>0</v>
      </c>
    </row>
    <row r="1144" spans="1:37" s="104" customFormat="1" outlineLevel="1">
      <c r="A1144" s="92">
        <v>1137</v>
      </c>
      <c r="B1144" s="93" t="s">
        <v>190</v>
      </c>
      <c r="C1144" s="93" t="s">
        <v>1488</v>
      </c>
      <c r="D1144" s="94" t="s">
        <v>815</v>
      </c>
      <c r="E1144" s="105">
        <v>10</v>
      </c>
      <c r="F1144" s="99" t="s">
        <v>191</v>
      </c>
      <c r="G1144" s="99"/>
      <c r="H1144" s="96" t="s">
        <v>816</v>
      </c>
      <c r="I1144" s="106" t="s">
        <v>736</v>
      </c>
      <c r="J1144" s="93"/>
      <c r="K1144" s="99" t="s">
        <v>232</v>
      </c>
      <c r="L1144" s="93" t="s">
        <v>232</v>
      </c>
      <c r="M1144" s="200">
        <v>1798</v>
      </c>
      <c r="N1144" s="64" t="s">
        <v>385</v>
      </c>
      <c r="O1144" s="106">
        <v>7</v>
      </c>
      <c r="P1144" s="196">
        <v>0</v>
      </c>
      <c r="Q1144" s="106">
        <v>5</v>
      </c>
      <c r="R1144" s="107">
        <v>23</v>
      </c>
      <c r="S1144" s="108">
        <v>2182</v>
      </c>
      <c r="T1144" s="108">
        <v>2182</v>
      </c>
      <c r="U1144" s="108">
        <v>1785</v>
      </c>
      <c r="V1144" s="109">
        <v>397</v>
      </c>
      <c r="W1144" s="206" t="s">
        <v>233</v>
      </c>
      <c r="X1144" s="206" t="s">
        <v>233</v>
      </c>
      <c r="Y1144" s="206" t="s">
        <v>240</v>
      </c>
      <c r="Z1144" s="206" t="s">
        <v>233</v>
      </c>
      <c r="AA1144" s="206" t="s">
        <v>233</v>
      </c>
      <c r="AB1144" s="206" t="s">
        <v>233</v>
      </c>
      <c r="AC1144" s="206" t="s">
        <v>233</v>
      </c>
      <c r="AD1144" s="206" t="s">
        <v>233</v>
      </c>
      <c r="AE1144" s="206" t="s">
        <v>240</v>
      </c>
      <c r="AF1144" s="96">
        <v>1</v>
      </c>
      <c r="AG1144" s="93">
        <v>0</v>
      </c>
      <c r="AH1144" s="93">
        <v>1</v>
      </c>
      <c r="AI1144" s="93">
        <v>0</v>
      </c>
      <c r="AJ1144" s="93">
        <v>0</v>
      </c>
      <c r="AK1144" s="93">
        <v>0</v>
      </c>
    </row>
    <row r="1145" spans="1:37" s="104" customFormat="1" outlineLevel="1">
      <c r="A1145" s="92">
        <v>1138</v>
      </c>
      <c r="B1145" s="93" t="s">
        <v>190</v>
      </c>
      <c r="C1145" s="93" t="s">
        <v>1488</v>
      </c>
      <c r="D1145" s="94" t="s">
        <v>815</v>
      </c>
      <c r="E1145" s="105">
        <v>11</v>
      </c>
      <c r="F1145" s="99" t="s">
        <v>191</v>
      </c>
      <c r="G1145" s="99"/>
      <c r="H1145" s="96" t="s">
        <v>817</v>
      </c>
      <c r="I1145" s="106" t="s">
        <v>736</v>
      </c>
      <c r="J1145" s="93"/>
      <c r="K1145" s="99" t="s">
        <v>232</v>
      </c>
      <c r="L1145" s="93" t="s">
        <v>232</v>
      </c>
      <c r="M1145" s="200">
        <v>1859</v>
      </c>
      <c r="N1145" s="64" t="s">
        <v>385</v>
      </c>
      <c r="O1145" s="106">
        <v>4</v>
      </c>
      <c r="P1145" s="196">
        <v>0</v>
      </c>
      <c r="Q1145" s="106">
        <v>5</v>
      </c>
      <c r="R1145" s="107">
        <v>22</v>
      </c>
      <c r="S1145" s="108">
        <v>1543.3000000000002</v>
      </c>
      <c r="T1145" s="108">
        <v>1543.3000000000002</v>
      </c>
      <c r="U1145" s="108">
        <v>1521.4</v>
      </c>
      <c r="V1145" s="109">
        <v>21.9</v>
      </c>
      <c r="W1145" s="206" t="s">
        <v>233</v>
      </c>
      <c r="X1145" s="206" t="s">
        <v>233</v>
      </c>
      <c r="Y1145" s="206" t="s">
        <v>233</v>
      </c>
      <c r="Z1145" s="206" t="s">
        <v>233</v>
      </c>
      <c r="AA1145" s="206" t="s">
        <v>233</v>
      </c>
      <c r="AB1145" s="206" t="s">
        <v>233</v>
      </c>
      <c r="AC1145" s="206" t="s">
        <v>240</v>
      </c>
      <c r="AD1145" s="206" t="s">
        <v>233</v>
      </c>
      <c r="AE1145" s="206" t="s">
        <v>240</v>
      </c>
      <c r="AF1145" s="96">
        <v>0</v>
      </c>
      <c r="AG1145" s="93">
        <v>0</v>
      </c>
      <c r="AH1145" s="93">
        <v>1</v>
      </c>
      <c r="AI1145" s="93">
        <v>0</v>
      </c>
      <c r="AJ1145" s="93">
        <v>0</v>
      </c>
      <c r="AK1145" s="93">
        <v>0</v>
      </c>
    </row>
    <row r="1146" spans="1:37" s="104" customFormat="1" outlineLevel="1">
      <c r="A1146" s="92">
        <v>1139</v>
      </c>
      <c r="B1146" s="93" t="s">
        <v>190</v>
      </c>
      <c r="C1146" s="93" t="s">
        <v>1488</v>
      </c>
      <c r="D1146" s="94" t="s">
        <v>815</v>
      </c>
      <c r="E1146" s="105">
        <v>12</v>
      </c>
      <c r="F1146" s="99" t="s">
        <v>191</v>
      </c>
      <c r="G1146" s="99"/>
      <c r="H1146" s="96" t="s">
        <v>818</v>
      </c>
      <c r="I1146" s="106" t="s">
        <v>736</v>
      </c>
      <c r="J1146" s="93"/>
      <c r="K1146" s="99" t="s">
        <v>232</v>
      </c>
      <c r="L1146" s="93" t="s">
        <v>232</v>
      </c>
      <c r="M1146" s="200">
        <v>1843</v>
      </c>
      <c r="N1146" s="64" t="s">
        <v>385</v>
      </c>
      <c r="O1146" s="106">
        <v>4</v>
      </c>
      <c r="P1146" s="196">
        <v>0</v>
      </c>
      <c r="Q1146" s="106">
        <v>3</v>
      </c>
      <c r="R1146" s="107">
        <v>16</v>
      </c>
      <c r="S1146" s="108">
        <v>1621</v>
      </c>
      <c r="T1146" s="108">
        <v>1621</v>
      </c>
      <c r="U1146" s="108">
        <v>1206.7</v>
      </c>
      <c r="V1146" s="109">
        <v>414.3</v>
      </c>
      <c r="W1146" s="206" t="s">
        <v>233</v>
      </c>
      <c r="X1146" s="206" t="s">
        <v>233</v>
      </c>
      <c r="Y1146" s="206" t="s">
        <v>240</v>
      </c>
      <c r="Z1146" s="206" t="s">
        <v>233</v>
      </c>
      <c r="AA1146" s="206" t="s">
        <v>233</v>
      </c>
      <c r="AB1146" s="206" t="s">
        <v>233</v>
      </c>
      <c r="AC1146" s="206" t="s">
        <v>233</v>
      </c>
      <c r="AD1146" s="206" t="s">
        <v>233</v>
      </c>
      <c r="AE1146" s="206" t="s">
        <v>240</v>
      </c>
      <c r="AF1146" s="96">
        <v>0</v>
      </c>
      <c r="AG1146" s="93">
        <v>0</v>
      </c>
      <c r="AH1146" s="93">
        <v>0</v>
      </c>
      <c r="AI1146" s="93">
        <v>0</v>
      </c>
      <c r="AJ1146" s="93">
        <v>0</v>
      </c>
      <c r="AK1146" s="93">
        <v>0</v>
      </c>
    </row>
    <row r="1147" spans="1:37" s="104" customFormat="1" outlineLevel="1">
      <c r="A1147" s="92">
        <v>1140</v>
      </c>
      <c r="B1147" s="93" t="s">
        <v>190</v>
      </c>
      <c r="C1147" s="93" t="s">
        <v>1488</v>
      </c>
      <c r="D1147" s="94" t="s">
        <v>815</v>
      </c>
      <c r="E1147" s="105">
        <v>14</v>
      </c>
      <c r="F1147" s="99" t="s">
        <v>191</v>
      </c>
      <c r="G1147" s="99"/>
      <c r="H1147" s="96" t="s">
        <v>819</v>
      </c>
      <c r="I1147" s="106" t="s">
        <v>736</v>
      </c>
      <c r="J1147" s="93"/>
      <c r="K1147" s="99" t="s">
        <v>232</v>
      </c>
      <c r="L1147" s="93" t="s">
        <v>232</v>
      </c>
      <c r="M1147" s="200">
        <v>1833</v>
      </c>
      <c r="N1147" s="64" t="s">
        <v>385</v>
      </c>
      <c r="O1147" s="106">
        <v>4</v>
      </c>
      <c r="P1147" s="196">
        <v>0</v>
      </c>
      <c r="Q1147" s="106">
        <v>3</v>
      </c>
      <c r="R1147" s="107">
        <v>19</v>
      </c>
      <c r="S1147" s="108">
        <v>1229.9000000000001</v>
      </c>
      <c r="T1147" s="108">
        <v>1229.9000000000001</v>
      </c>
      <c r="U1147" s="108">
        <v>1039.4000000000001</v>
      </c>
      <c r="V1147" s="109">
        <v>190.5</v>
      </c>
      <c r="W1147" s="206" t="s">
        <v>233</v>
      </c>
      <c r="X1147" s="206" t="s">
        <v>233</v>
      </c>
      <c r="Y1147" s="206" t="s">
        <v>240</v>
      </c>
      <c r="Z1147" s="206" t="s">
        <v>233</v>
      </c>
      <c r="AA1147" s="206" t="s">
        <v>233</v>
      </c>
      <c r="AB1147" s="206" t="s">
        <v>233</v>
      </c>
      <c r="AC1147" s="206" t="s">
        <v>233</v>
      </c>
      <c r="AD1147" s="206" t="s">
        <v>233</v>
      </c>
      <c r="AE1147" s="206" t="s">
        <v>240</v>
      </c>
      <c r="AF1147" s="96">
        <v>0</v>
      </c>
      <c r="AG1147" s="93">
        <v>0</v>
      </c>
      <c r="AH1147" s="93">
        <v>1</v>
      </c>
      <c r="AI1147" s="93">
        <v>0</v>
      </c>
      <c r="AJ1147" s="93">
        <v>0</v>
      </c>
      <c r="AK1147" s="93">
        <v>0</v>
      </c>
    </row>
    <row r="1148" spans="1:37" s="104" customFormat="1" outlineLevel="1">
      <c r="A1148" s="92">
        <v>1141</v>
      </c>
      <c r="B1148" s="93" t="s">
        <v>190</v>
      </c>
      <c r="C1148" s="93" t="s">
        <v>1488</v>
      </c>
      <c r="D1148" s="94" t="s">
        <v>815</v>
      </c>
      <c r="E1148" s="105" t="s">
        <v>820</v>
      </c>
      <c r="F1148" s="99" t="s">
        <v>191</v>
      </c>
      <c r="G1148" s="99"/>
      <c r="H1148" s="96" t="s">
        <v>821</v>
      </c>
      <c r="I1148" s="106" t="s">
        <v>736</v>
      </c>
      <c r="J1148" s="93"/>
      <c r="K1148" s="99" t="s">
        <v>232</v>
      </c>
      <c r="L1148" s="93" t="s">
        <v>232</v>
      </c>
      <c r="M1148" s="200">
        <v>1917</v>
      </c>
      <c r="N1148" s="64" t="s">
        <v>385</v>
      </c>
      <c r="O1148" s="106">
        <v>3</v>
      </c>
      <c r="P1148" s="196">
        <v>0</v>
      </c>
      <c r="Q1148" s="106">
        <v>2</v>
      </c>
      <c r="R1148" s="107">
        <v>10</v>
      </c>
      <c r="S1148" s="108">
        <v>1250.5</v>
      </c>
      <c r="T1148" s="108">
        <v>1250.5</v>
      </c>
      <c r="U1148" s="108">
        <v>884.4</v>
      </c>
      <c r="V1148" s="109">
        <v>366.1</v>
      </c>
      <c r="W1148" s="206" t="s">
        <v>233</v>
      </c>
      <c r="X1148" s="206" t="s">
        <v>233</v>
      </c>
      <c r="Y1148" s="206" t="s">
        <v>233</v>
      </c>
      <c r="Z1148" s="206" t="s">
        <v>233</v>
      </c>
      <c r="AA1148" s="206" t="s">
        <v>233</v>
      </c>
      <c r="AB1148" s="206" t="s">
        <v>233</v>
      </c>
      <c r="AC1148" s="206" t="s">
        <v>240</v>
      </c>
      <c r="AD1148" s="206" t="s">
        <v>233</v>
      </c>
      <c r="AE1148" s="206" t="s">
        <v>240</v>
      </c>
      <c r="AF1148" s="96">
        <v>0</v>
      </c>
      <c r="AG1148" s="93">
        <v>0</v>
      </c>
      <c r="AH1148" s="93">
        <v>1</v>
      </c>
      <c r="AI1148" s="93">
        <v>0</v>
      </c>
      <c r="AJ1148" s="93">
        <v>0</v>
      </c>
      <c r="AK1148" s="93">
        <v>0</v>
      </c>
    </row>
    <row r="1149" spans="1:37" s="104" customFormat="1" outlineLevel="1">
      <c r="A1149" s="92">
        <v>1142</v>
      </c>
      <c r="B1149" s="93" t="s">
        <v>190</v>
      </c>
      <c r="C1149" s="93" t="s">
        <v>1488</v>
      </c>
      <c r="D1149" s="94" t="s">
        <v>815</v>
      </c>
      <c r="E1149" s="105" t="s">
        <v>822</v>
      </c>
      <c r="F1149" s="99" t="s">
        <v>191</v>
      </c>
      <c r="G1149" s="99"/>
      <c r="H1149" s="96" t="s">
        <v>823</v>
      </c>
      <c r="I1149" s="106" t="s">
        <v>736</v>
      </c>
      <c r="J1149" s="93"/>
      <c r="K1149" s="99" t="s">
        <v>232</v>
      </c>
      <c r="L1149" s="93" t="s">
        <v>232</v>
      </c>
      <c r="M1149" s="200">
        <v>1836</v>
      </c>
      <c r="N1149" s="64" t="s">
        <v>385</v>
      </c>
      <c r="O1149" s="106">
        <v>4</v>
      </c>
      <c r="P1149" s="196">
        <v>0</v>
      </c>
      <c r="Q1149" s="106">
        <v>5</v>
      </c>
      <c r="R1149" s="107">
        <v>46</v>
      </c>
      <c r="S1149" s="108">
        <v>3585.5</v>
      </c>
      <c r="T1149" s="108">
        <v>3585.5</v>
      </c>
      <c r="U1149" s="108">
        <v>3071.1</v>
      </c>
      <c r="V1149" s="110">
        <v>514.4</v>
      </c>
      <c r="W1149" s="206" t="s">
        <v>233</v>
      </c>
      <c r="X1149" s="206" t="s">
        <v>233</v>
      </c>
      <c r="Y1149" s="206" t="s">
        <v>233</v>
      </c>
      <c r="Z1149" s="206" t="s">
        <v>233</v>
      </c>
      <c r="AA1149" s="206" t="s">
        <v>233</v>
      </c>
      <c r="AB1149" s="206" t="s">
        <v>233</v>
      </c>
      <c r="AC1149" s="206" t="s">
        <v>240</v>
      </c>
      <c r="AD1149" s="206" t="s">
        <v>233</v>
      </c>
      <c r="AE1149" s="206" t="s">
        <v>240</v>
      </c>
      <c r="AF1149" s="96">
        <v>0</v>
      </c>
      <c r="AG1149" s="93">
        <v>0</v>
      </c>
      <c r="AH1149" s="93">
        <v>1</v>
      </c>
      <c r="AI1149" s="93">
        <v>0</v>
      </c>
      <c r="AJ1149" s="93">
        <v>0</v>
      </c>
      <c r="AK1149" s="93">
        <v>0</v>
      </c>
    </row>
    <row r="1150" spans="1:37" s="104" customFormat="1" outlineLevel="1">
      <c r="A1150" s="92">
        <v>1143</v>
      </c>
      <c r="B1150" s="93" t="s">
        <v>190</v>
      </c>
      <c r="C1150" s="93" t="s">
        <v>1488</v>
      </c>
      <c r="D1150" s="94" t="s">
        <v>815</v>
      </c>
      <c r="E1150" s="105">
        <v>19</v>
      </c>
      <c r="F1150" s="99" t="s">
        <v>191</v>
      </c>
      <c r="G1150" s="99"/>
      <c r="H1150" s="96" t="s">
        <v>824</v>
      </c>
      <c r="I1150" s="106" t="s">
        <v>736</v>
      </c>
      <c r="J1150" s="93"/>
      <c r="K1150" s="99" t="s">
        <v>232</v>
      </c>
      <c r="L1150" s="93" t="s">
        <v>232</v>
      </c>
      <c r="M1150" s="200">
        <v>1831</v>
      </c>
      <c r="N1150" s="64" t="s">
        <v>385</v>
      </c>
      <c r="O1150" s="106">
        <v>4</v>
      </c>
      <c r="P1150" s="196">
        <v>0</v>
      </c>
      <c r="Q1150" s="106">
        <v>6</v>
      </c>
      <c r="R1150" s="107">
        <v>51</v>
      </c>
      <c r="S1150" s="108">
        <v>4241.7</v>
      </c>
      <c r="T1150" s="108">
        <v>4241.7</v>
      </c>
      <c r="U1150" s="108">
        <v>3502.4</v>
      </c>
      <c r="V1150" s="109">
        <v>739.3</v>
      </c>
      <c r="W1150" s="206" t="s">
        <v>233</v>
      </c>
      <c r="X1150" s="206" t="s">
        <v>233</v>
      </c>
      <c r="Y1150" s="206" t="s">
        <v>233</v>
      </c>
      <c r="Z1150" s="206" t="s">
        <v>233</v>
      </c>
      <c r="AA1150" s="206" t="s">
        <v>233</v>
      </c>
      <c r="AB1150" s="206" t="s">
        <v>233</v>
      </c>
      <c r="AC1150" s="206" t="s">
        <v>240</v>
      </c>
      <c r="AD1150" s="206" t="s">
        <v>233</v>
      </c>
      <c r="AE1150" s="206" t="s">
        <v>240</v>
      </c>
      <c r="AF1150" s="96">
        <v>0</v>
      </c>
      <c r="AG1150" s="93">
        <v>0</v>
      </c>
      <c r="AH1150" s="93">
        <v>1</v>
      </c>
      <c r="AI1150" s="93">
        <v>0</v>
      </c>
      <c r="AJ1150" s="93">
        <v>0</v>
      </c>
      <c r="AK1150" s="93">
        <v>0</v>
      </c>
    </row>
    <row r="1151" spans="1:37" s="104" customFormat="1" ht="15.75" customHeight="1" outlineLevel="1">
      <c r="A1151" s="92">
        <v>1144</v>
      </c>
      <c r="B1151" s="93" t="s">
        <v>190</v>
      </c>
      <c r="C1151" s="93" t="s">
        <v>1488</v>
      </c>
      <c r="D1151" s="94" t="s">
        <v>815</v>
      </c>
      <c r="E1151" s="105">
        <v>21</v>
      </c>
      <c r="F1151" s="99" t="s">
        <v>191</v>
      </c>
      <c r="G1151" s="99"/>
      <c r="H1151" s="96" t="s">
        <v>825</v>
      </c>
      <c r="I1151" s="106" t="s">
        <v>736</v>
      </c>
      <c r="J1151" s="93"/>
      <c r="K1151" s="99" t="s">
        <v>232</v>
      </c>
      <c r="L1151" s="93" t="s">
        <v>232</v>
      </c>
      <c r="M1151" s="200">
        <v>1828</v>
      </c>
      <c r="N1151" s="64" t="s">
        <v>385</v>
      </c>
      <c r="O1151" s="106">
        <v>3</v>
      </c>
      <c r="P1151" s="196">
        <v>0</v>
      </c>
      <c r="Q1151" s="106">
        <v>7</v>
      </c>
      <c r="R1151" s="107">
        <v>29</v>
      </c>
      <c r="S1151" s="108">
        <v>3298</v>
      </c>
      <c r="T1151" s="108">
        <v>3298</v>
      </c>
      <c r="U1151" s="108">
        <v>2212.4</v>
      </c>
      <c r="V1151" s="109">
        <v>1085.5999999999999</v>
      </c>
      <c r="W1151" s="206" t="s">
        <v>233</v>
      </c>
      <c r="X1151" s="206" t="s">
        <v>233</v>
      </c>
      <c r="Y1151" s="206" t="s">
        <v>240</v>
      </c>
      <c r="Z1151" s="206" t="s">
        <v>233</v>
      </c>
      <c r="AA1151" s="206" t="s">
        <v>233</v>
      </c>
      <c r="AB1151" s="206" t="s">
        <v>233</v>
      </c>
      <c r="AC1151" s="206" t="s">
        <v>233</v>
      </c>
      <c r="AD1151" s="206" t="s">
        <v>233</v>
      </c>
      <c r="AE1151" s="206" t="s">
        <v>240</v>
      </c>
      <c r="AF1151" s="96">
        <v>0</v>
      </c>
      <c r="AG1151" s="93">
        <v>0</v>
      </c>
      <c r="AH1151" s="93">
        <v>1</v>
      </c>
      <c r="AI1151" s="93">
        <v>0</v>
      </c>
      <c r="AJ1151" s="93">
        <v>0</v>
      </c>
      <c r="AK1151" s="93">
        <v>0</v>
      </c>
    </row>
    <row r="1152" spans="1:37" s="104" customFormat="1" ht="15.75" customHeight="1" outlineLevel="1">
      <c r="A1152" s="92">
        <v>1145</v>
      </c>
      <c r="B1152" s="93" t="s">
        <v>190</v>
      </c>
      <c r="C1152" s="93" t="s">
        <v>1488</v>
      </c>
      <c r="D1152" s="94" t="s">
        <v>815</v>
      </c>
      <c r="E1152" s="105">
        <v>23</v>
      </c>
      <c r="F1152" s="99" t="s">
        <v>191</v>
      </c>
      <c r="G1152" s="99"/>
      <c r="H1152" s="96" t="s">
        <v>826</v>
      </c>
      <c r="I1152" s="106" t="s">
        <v>736</v>
      </c>
      <c r="J1152" s="93"/>
      <c r="K1152" s="99" t="s">
        <v>232</v>
      </c>
      <c r="L1152" s="93" t="s">
        <v>232</v>
      </c>
      <c r="M1152" s="200">
        <v>1828</v>
      </c>
      <c r="N1152" s="64" t="s">
        <v>385</v>
      </c>
      <c r="O1152" s="106">
        <v>4</v>
      </c>
      <c r="P1152" s="196">
        <v>0</v>
      </c>
      <c r="Q1152" s="106">
        <v>4</v>
      </c>
      <c r="R1152" s="107">
        <v>27</v>
      </c>
      <c r="S1152" s="108">
        <v>1934.2</v>
      </c>
      <c r="T1152" s="108">
        <v>1934.2</v>
      </c>
      <c r="U1152" s="108">
        <v>1698.3</v>
      </c>
      <c r="V1152" s="109">
        <v>235.9</v>
      </c>
      <c r="W1152" s="206" t="s">
        <v>233</v>
      </c>
      <c r="X1152" s="206" t="s">
        <v>233</v>
      </c>
      <c r="Y1152" s="206" t="s">
        <v>233</v>
      </c>
      <c r="Z1152" s="206" t="s">
        <v>233</v>
      </c>
      <c r="AA1152" s="206" t="s">
        <v>233</v>
      </c>
      <c r="AB1152" s="206" t="s">
        <v>233</v>
      </c>
      <c r="AC1152" s="206" t="s">
        <v>240</v>
      </c>
      <c r="AD1152" s="206" t="s">
        <v>233</v>
      </c>
      <c r="AE1152" s="206" t="s">
        <v>240</v>
      </c>
      <c r="AF1152" s="96">
        <v>0</v>
      </c>
      <c r="AG1152" s="93">
        <v>0</v>
      </c>
      <c r="AH1152" s="93">
        <v>1</v>
      </c>
      <c r="AI1152" s="93">
        <v>0</v>
      </c>
      <c r="AJ1152" s="93">
        <v>0</v>
      </c>
      <c r="AK1152" s="93">
        <v>0</v>
      </c>
    </row>
    <row r="1153" spans="1:37" s="104" customFormat="1" outlineLevel="1">
      <c r="A1153" s="92">
        <v>1146</v>
      </c>
      <c r="B1153" s="93" t="s">
        <v>190</v>
      </c>
      <c r="C1153" s="93" t="s">
        <v>1488</v>
      </c>
      <c r="D1153" s="94" t="s">
        <v>815</v>
      </c>
      <c r="E1153" s="105">
        <v>24</v>
      </c>
      <c r="F1153" s="99" t="s">
        <v>191</v>
      </c>
      <c r="G1153" s="99"/>
      <c r="H1153" s="96" t="s">
        <v>827</v>
      </c>
      <c r="I1153" s="106" t="s">
        <v>736</v>
      </c>
      <c r="J1153" s="93"/>
      <c r="K1153" s="99" t="s">
        <v>232</v>
      </c>
      <c r="L1153" s="93" t="s">
        <v>232</v>
      </c>
      <c r="M1153" s="200">
        <v>1798</v>
      </c>
      <c r="N1153" s="64" t="s">
        <v>385</v>
      </c>
      <c r="O1153" s="106">
        <v>5</v>
      </c>
      <c r="P1153" s="196">
        <v>0</v>
      </c>
      <c r="Q1153" s="106">
        <v>2</v>
      </c>
      <c r="R1153" s="107">
        <v>12</v>
      </c>
      <c r="S1153" s="108">
        <v>906.40000000000009</v>
      </c>
      <c r="T1153" s="108">
        <v>906.40000000000009</v>
      </c>
      <c r="U1153" s="108">
        <v>764.1</v>
      </c>
      <c r="V1153" s="109">
        <v>142.30000000000001</v>
      </c>
      <c r="W1153" s="206" t="s">
        <v>233</v>
      </c>
      <c r="X1153" s="206" t="s">
        <v>233</v>
      </c>
      <c r="Y1153" s="206" t="s">
        <v>240</v>
      </c>
      <c r="Z1153" s="206" t="s">
        <v>233</v>
      </c>
      <c r="AA1153" s="206" t="s">
        <v>233</v>
      </c>
      <c r="AB1153" s="206" t="s">
        <v>233</v>
      </c>
      <c r="AC1153" s="206" t="s">
        <v>233</v>
      </c>
      <c r="AD1153" s="206" t="s">
        <v>233</v>
      </c>
      <c r="AE1153" s="206" t="s">
        <v>240</v>
      </c>
      <c r="AF1153" s="96">
        <v>0</v>
      </c>
      <c r="AG1153" s="93">
        <v>0</v>
      </c>
      <c r="AH1153" s="93">
        <v>1</v>
      </c>
      <c r="AI1153" s="93">
        <v>0</v>
      </c>
      <c r="AJ1153" s="93">
        <v>0</v>
      </c>
      <c r="AK1153" s="93">
        <v>0</v>
      </c>
    </row>
    <row r="1154" spans="1:37" s="104" customFormat="1" outlineLevel="1">
      <c r="A1154" s="92">
        <v>1147</v>
      </c>
      <c r="B1154" s="93" t="s">
        <v>190</v>
      </c>
      <c r="C1154" s="93" t="s">
        <v>1488</v>
      </c>
      <c r="D1154" s="94" t="s">
        <v>815</v>
      </c>
      <c r="E1154" s="105">
        <v>24</v>
      </c>
      <c r="F1154" s="99" t="s">
        <v>231</v>
      </c>
      <c r="G1154" s="99"/>
      <c r="H1154" s="96" t="s">
        <v>828</v>
      </c>
      <c r="I1154" s="106" t="s">
        <v>736</v>
      </c>
      <c r="J1154" s="93"/>
      <c r="K1154" s="99" t="s">
        <v>232</v>
      </c>
      <c r="L1154" s="93" t="s">
        <v>232</v>
      </c>
      <c r="M1154" s="200">
        <v>1828</v>
      </c>
      <c r="N1154" s="64" t="s">
        <v>385</v>
      </c>
      <c r="O1154" s="106">
        <v>5</v>
      </c>
      <c r="P1154" s="196">
        <v>0</v>
      </c>
      <c r="Q1154" s="106">
        <v>2</v>
      </c>
      <c r="R1154" s="107">
        <v>12</v>
      </c>
      <c r="S1154" s="108">
        <v>1274.7</v>
      </c>
      <c r="T1154" s="108">
        <v>1274.7</v>
      </c>
      <c r="U1154" s="108">
        <v>1060.3</v>
      </c>
      <c r="V1154" s="109">
        <v>214.4</v>
      </c>
      <c r="W1154" s="206" t="s">
        <v>233</v>
      </c>
      <c r="X1154" s="206" t="s">
        <v>233</v>
      </c>
      <c r="Y1154" s="206" t="s">
        <v>240</v>
      </c>
      <c r="Z1154" s="206" t="s">
        <v>233</v>
      </c>
      <c r="AA1154" s="206" t="s">
        <v>233</v>
      </c>
      <c r="AB1154" s="206" t="s">
        <v>233</v>
      </c>
      <c r="AC1154" s="206" t="s">
        <v>233</v>
      </c>
      <c r="AD1154" s="206" t="s">
        <v>233</v>
      </c>
      <c r="AE1154" s="206" t="s">
        <v>240</v>
      </c>
      <c r="AF1154" s="96">
        <v>0</v>
      </c>
      <c r="AG1154" s="93">
        <v>0</v>
      </c>
      <c r="AH1154" s="93">
        <v>0</v>
      </c>
      <c r="AI1154" s="93">
        <v>0</v>
      </c>
      <c r="AJ1154" s="93">
        <v>0</v>
      </c>
      <c r="AK1154" s="93">
        <v>0</v>
      </c>
    </row>
    <row r="1155" spans="1:37" s="104" customFormat="1" outlineLevel="1">
      <c r="A1155" s="92">
        <v>1148</v>
      </c>
      <c r="B1155" s="93" t="s">
        <v>190</v>
      </c>
      <c r="C1155" s="93" t="s">
        <v>1488</v>
      </c>
      <c r="D1155" s="94" t="s">
        <v>815</v>
      </c>
      <c r="E1155" s="105" t="s">
        <v>204</v>
      </c>
      <c r="F1155" s="99" t="s">
        <v>191</v>
      </c>
      <c r="G1155" s="99"/>
      <c r="H1155" s="96" t="s">
        <v>829</v>
      </c>
      <c r="I1155" s="106" t="s">
        <v>736</v>
      </c>
      <c r="J1155" s="93"/>
      <c r="K1155" s="99" t="s">
        <v>232</v>
      </c>
      <c r="L1155" s="93" t="s">
        <v>232</v>
      </c>
      <c r="M1155" s="200">
        <v>1894</v>
      </c>
      <c r="N1155" s="64" t="s">
        <v>385</v>
      </c>
      <c r="O1155" s="106">
        <v>7</v>
      </c>
      <c r="P1155" s="196">
        <v>0</v>
      </c>
      <c r="Q1155" s="106">
        <v>6</v>
      </c>
      <c r="R1155" s="107">
        <v>71</v>
      </c>
      <c r="S1155" s="108">
        <v>5875.9</v>
      </c>
      <c r="T1155" s="108">
        <v>5875.9</v>
      </c>
      <c r="U1155" s="108">
        <v>4618.5</v>
      </c>
      <c r="V1155" s="109">
        <v>1257.4000000000001</v>
      </c>
      <c r="W1155" s="206" t="s">
        <v>233</v>
      </c>
      <c r="X1155" s="206" t="s">
        <v>233</v>
      </c>
      <c r="Y1155" s="206" t="s">
        <v>240</v>
      </c>
      <c r="Z1155" s="206" t="s">
        <v>233</v>
      </c>
      <c r="AA1155" s="206" t="s">
        <v>233</v>
      </c>
      <c r="AB1155" s="206" t="s">
        <v>233</v>
      </c>
      <c r="AC1155" s="206" t="s">
        <v>233</v>
      </c>
      <c r="AD1155" s="206" t="s">
        <v>233</v>
      </c>
      <c r="AE1155" s="206" t="s">
        <v>240</v>
      </c>
      <c r="AF1155" s="96">
        <v>2</v>
      </c>
      <c r="AG1155" s="93">
        <v>0</v>
      </c>
      <c r="AH1155" s="93">
        <v>1</v>
      </c>
      <c r="AI1155" s="93">
        <v>0</v>
      </c>
      <c r="AJ1155" s="93">
        <v>0</v>
      </c>
      <c r="AK1155" s="93">
        <v>0</v>
      </c>
    </row>
    <row r="1156" spans="1:37" s="104" customFormat="1" outlineLevel="1">
      <c r="A1156" s="92">
        <v>1149</v>
      </c>
      <c r="B1156" s="93" t="s">
        <v>190</v>
      </c>
      <c r="C1156" s="93" t="s">
        <v>1488</v>
      </c>
      <c r="D1156" s="94" t="s">
        <v>815</v>
      </c>
      <c r="E1156" s="105">
        <v>25</v>
      </c>
      <c r="F1156" s="99" t="s">
        <v>191</v>
      </c>
      <c r="G1156" s="99"/>
      <c r="H1156" s="96" t="s">
        <v>830</v>
      </c>
      <c r="I1156" s="106" t="s">
        <v>736</v>
      </c>
      <c r="J1156" s="93"/>
      <c r="K1156" s="99" t="s">
        <v>232</v>
      </c>
      <c r="L1156" s="93" t="s">
        <v>232</v>
      </c>
      <c r="M1156" s="200">
        <v>1756</v>
      </c>
      <c r="N1156" s="64" t="s">
        <v>385</v>
      </c>
      <c r="O1156" s="106">
        <v>5</v>
      </c>
      <c r="P1156" s="196">
        <v>0</v>
      </c>
      <c r="Q1156" s="106">
        <v>3</v>
      </c>
      <c r="R1156" s="107">
        <v>25</v>
      </c>
      <c r="S1156" s="108">
        <v>1966.9</v>
      </c>
      <c r="T1156" s="108">
        <v>1966.9</v>
      </c>
      <c r="U1156" s="108">
        <v>1561.2</v>
      </c>
      <c r="V1156" s="109">
        <v>405.7</v>
      </c>
      <c r="W1156" s="206" t="s">
        <v>233</v>
      </c>
      <c r="X1156" s="206" t="s">
        <v>233</v>
      </c>
      <c r="Y1156" s="206" t="s">
        <v>233</v>
      </c>
      <c r="Z1156" s="206" t="s">
        <v>233</v>
      </c>
      <c r="AA1156" s="206" t="s">
        <v>233</v>
      </c>
      <c r="AB1156" s="206" t="s">
        <v>233</v>
      </c>
      <c r="AC1156" s="206" t="s">
        <v>240</v>
      </c>
      <c r="AD1156" s="206" t="s">
        <v>233</v>
      </c>
      <c r="AE1156" s="206" t="s">
        <v>240</v>
      </c>
      <c r="AF1156" s="96">
        <v>0</v>
      </c>
      <c r="AG1156" s="93">
        <v>0</v>
      </c>
      <c r="AH1156" s="93">
        <v>1</v>
      </c>
      <c r="AI1156" s="93">
        <v>0</v>
      </c>
      <c r="AJ1156" s="93">
        <v>0</v>
      </c>
      <c r="AK1156" s="93">
        <v>0</v>
      </c>
    </row>
    <row r="1157" spans="1:37" s="104" customFormat="1" outlineLevel="1">
      <c r="A1157" s="92">
        <v>1150</v>
      </c>
      <c r="B1157" s="93" t="s">
        <v>190</v>
      </c>
      <c r="C1157" s="93" t="s">
        <v>1488</v>
      </c>
      <c r="D1157" s="94" t="s">
        <v>815</v>
      </c>
      <c r="E1157" s="105">
        <v>27</v>
      </c>
      <c r="F1157" s="99" t="s">
        <v>191</v>
      </c>
      <c r="G1157" s="99"/>
      <c r="H1157" s="96" t="s">
        <v>831</v>
      </c>
      <c r="I1157" s="106" t="s">
        <v>736</v>
      </c>
      <c r="J1157" s="93"/>
      <c r="K1157" s="99" t="s">
        <v>232</v>
      </c>
      <c r="L1157" s="93" t="s">
        <v>232</v>
      </c>
      <c r="M1157" s="200">
        <v>1875</v>
      </c>
      <c r="N1157" s="64" t="s">
        <v>385</v>
      </c>
      <c r="O1157" s="106">
        <v>4</v>
      </c>
      <c r="P1157" s="196">
        <v>0</v>
      </c>
      <c r="Q1157" s="106">
        <v>5</v>
      </c>
      <c r="R1157" s="107">
        <v>21</v>
      </c>
      <c r="S1157" s="108">
        <v>3005.2</v>
      </c>
      <c r="T1157" s="108">
        <v>3005.2</v>
      </c>
      <c r="U1157" s="108">
        <v>1991.8</v>
      </c>
      <c r="V1157" s="109">
        <v>1013.4</v>
      </c>
      <c r="W1157" s="206" t="s">
        <v>233</v>
      </c>
      <c r="X1157" s="206" t="s">
        <v>233</v>
      </c>
      <c r="Y1157" s="206" t="s">
        <v>233</v>
      </c>
      <c r="Z1157" s="206" t="s">
        <v>233</v>
      </c>
      <c r="AA1157" s="206" t="s">
        <v>233</v>
      </c>
      <c r="AB1157" s="206" t="s">
        <v>233</v>
      </c>
      <c r="AC1157" s="206" t="s">
        <v>240</v>
      </c>
      <c r="AD1157" s="206" t="s">
        <v>233</v>
      </c>
      <c r="AE1157" s="206" t="s">
        <v>240</v>
      </c>
      <c r="AF1157" s="96">
        <v>0</v>
      </c>
      <c r="AG1157" s="93">
        <v>0</v>
      </c>
      <c r="AH1157" s="93">
        <v>1</v>
      </c>
      <c r="AI1157" s="93">
        <v>0</v>
      </c>
      <c r="AJ1157" s="93">
        <v>0</v>
      </c>
      <c r="AK1157" s="93">
        <v>0</v>
      </c>
    </row>
    <row r="1158" spans="1:37" s="104" customFormat="1" ht="15.75" customHeight="1" outlineLevel="1">
      <c r="A1158" s="92">
        <v>1151</v>
      </c>
      <c r="B1158" s="93" t="s">
        <v>190</v>
      </c>
      <c r="C1158" s="93" t="s">
        <v>1488</v>
      </c>
      <c r="D1158" s="94" t="s">
        <v>815</v>
      </c>
      <c r="E1158" s="105">
        <v>28</v>
      </c>
      <c r="F1158" s="99" t="s">
        <v>191</v>
      </c>
      <c r="G1158" s="99"/>
      <c r="H1158" s="96" t="s">
        <v>832</v>
      </c>
      <c r="I1158" s="106" t="s">
        <v>736</v>
      </c>
      <c r="J1158" s="93"/>
      <c r="K1158" s="99" t="s">
        <v>232</v>
      </c>
      <c r="L1158" s="93" t="s">
        <v>232</v>
      </c>
      <c r="M1158" s="200">
        <v>1871</v>
      </c>
      <c r="N1158" s="64" t="s">
        <v>385</v>
      </c>
      <c r="O1158" s="106">
        <v>5</v>
      </c>
      <c r="P1158" s="196">
        <v>0</v>
      </c>
      <c r="Q1158" s="106">
        <v>4</v>
      </c>
      <c r="R1158" s="107">
        <v>39</v>
      </c>
      <c r="S1158" s="108">
        <v>3655.1000000000004</v>
      </c>
      <c r="T1158" s="108">
        <v>3655.1000000000004</v>
      </c>
      <c r="U1158" s="108">
        <v>2795.8</v>
      </c>
      <c r="V1158" s="109">
        <v>859.3</v>
      </c>
      <c r="W1158" s="206" t="s">
        <v>233</v>
      </c>
      <c r="X1158" s="206" t="s">
        <v>233</v>
      </c>
      <c r="Y1158" s="206" t="s">
        <v>233</v>
      </c>
      <c r="Z1158" s="206" t="s">
        <v>233</v>
      </c>
      <c r="AA1158" s="206" t="s">
        <v>233</v>
      </c>
      <c r="AB1158" s="206" t="s">
        <v>233</v>
      </c>
      <c r="AC1158" s="206" t="s">
        <v>240</v>
      </c>
      <c r="AD1158" s="206" t="s">
        <v>233</v>
      </c>
      <c r="AE1158" s="206" t="s">
        <v>240</v>
      </c>
      <c r="AF1158" s="96">
        <v>1</v>
      </c>
      <c r="AG1158" s="93">
        <v>0</v>
      </c>
      <c r="AH1158" s="93">
        <v>1</v>
      </c>
      <c r="AI1158" s="93">
        <v>0</v>
      </c>
      <c r="AJ1158" s="93">
        <v>0</v>
      </c>
      <c r="AK1158" s="93">
        <v>0</v>
      </c>
    </row>
    <row r="1159" spans="1:37" s="104" customFormat="1" ht="15.75" customHeight="1" outlineLevel="1">
      <c r="A1159" s="92">
        <v>1152</v>
      </c>
      <c r="B1159" s="93" t="s">
        <v>190</v>
      </c>
      <c r="C1159" s="93" t="s">
        <v>1488</v>
      </c>
      <c r="D1159" s="94" t="s">
        <v>815</v>
      </c>
      <c r="E1159" s="105">
        <v>3</v>
      </c>
      <c r="F1159" s="99" t="s">
        <v>191</v>
      </c>
      <c r="G1159" s="99"/>
      <c r="H1159" s="96" t="s">
        <v>833</v>
      </c>
      <c r="I1159" s="106" t="s">
        <v>792</v>
      </c>
      <c r="J1159" s="93"/>
      <c r="K1159" s="99" t="s">
        <v>232</v>
      </c>
      <c r="L1159" s="93" t="s">
        <v>232</v>
      </c>
      <c r="M1159" s="200">
        <v>1798</v>
      </c>
      <c r="N1159" s="64" t="s">
        <v>385</v>
      </c>
      <c r="O1159" s="106">
        <v>3</v>
      </c>
      <c r="P1159" s="196">
        <v>0</v>
      </c>
      <c r="Q1159" s="106">
        <v>1</v>
      </c>
      <c r="R1159" s="107">
        <v>4</v>
      </c>
      <c r="S1159" s="108">
        <v>1104</v>
      </c>
      <c r="T1159" s="108">
        <v>1104</v>
      </c>
      <c r="U1159" s="108">
        <v>447</v>
      </c>
      <c r="V1159" s="109">
        <v>657</v>
      </c>
      <c r="W1159" s="206" t="s">
        <v>233</v>
      </c>
      <c r="X1159" s="206" t="s">
        <v>233</v>
      </c>
      <c r="Y1159" s="206" t="s">
        <v>233</v>
      </c>
      <c r="Z1159" s="206" t="s">
        <v>233</v>
      </c>
      <c r="AA1159" s="206" t="s">
        <v>233</v>
      </c>
      <c r="AB1159" s="206" t="s">
        <v>233</v>
      </c>
      <c r="AC1159" s="206" t="s">
        <v>240</v>
      </c>
      <c r="AD1159" s="206" t="s">
        <v>233</v>
      </c>
      <c r="AE1159" s="206" t="s">
        <v>240</v>
      </c>
      <c r="AF1159" s="96">
        <v>0</v>
      </c>
      <c r="AG1159" s="93">
        <v>0</v>
      </c>
      <c r="AH1159" s="93">
        <v>1</v>
      </c>
      <c r="AI1159" s="93">
        <v>0</v>
      </c>
      <c r="AJ1159" s="93">
        <v>0</v>
      </c>
      <c r="AK1159" s="93">
        <v>0</v>
      </c>
    </row>
    <row r="1160" spans="1:37" s="104" customFormat="1" outlineLevel="1">
      <c r="A1160" s="92">
        <v>1153</v>
      </c>
      <c r="B1160" s="93" t="s">
        <v>190</v>
      </c>
      <c r="C1160" s="93" t="s">
        <v>1488</v>
      </c>
      <c r="D1160" s="94" t="s">
        <v>815</v>
      </c>
      <c r="E1160" s="105">
        <v>5</v>
      </c>
      <c r="F1160" s="99" t="s">
        <v>191</v>
      </c>
      <c r="G1160" s="99"/>
      <c r="H1160" s="96" t="s">
        <v>834</v>
      </c>
      <c r="I1160" s="106" t="s">
        <v>736</v>
      </c>
      <c r="J1160" s="93"/>
      <c r="K1160" s="99" t="s">
        <v>232</v>
      </c>
      <c r="L1160" s="93" t="s">
        <v>232</v>
      </c>
      <c r="M1160" s="200">
        <v>1860</v>
      </c>
      <c r="N1160" s="64" t="s">
        <v>385</v>
      </c>
      <c r="O1160" s="106">
        <v>3</v>
      </c>
      <c r="P1160" s="196">
        <v>0</v>
      </c>
      <c r="Q1160" s="106">
        <v>1</v>
      </c>
      <c r="R1160" s="107">
        <v>6</v>
      </c>
      <c r="S1160" s="108">
        <v>609</v>
      </c>
      <c r="T1160" s="108">
        <v>609</v>
      </c>
      <c r="U1160" s="108">
        <v>486.8</v>
      </c>
      <c r="V1160" s="109">
        <v>122.2</v>
      </c>
      <c r="W1160" s="206" t="s">
        <v>233</v>
      </c>
      <c r="X1160" s="206" t="s">
        <v>233</v>
      </c>
      <c r="Y1160" s="206" t="s">
        <v>233</v>
      </c>
      <c r="Z1160" s="206" t="s">
        <v>233</v>
      </c>
      <c r="AA1160" s="206" t="s">
        <v>233</v>
      </c>
      <c r="AB1160" s="206" t="s">
        <v>233</v>
      </c>
      <c r="AC1160" s="206" t="s">
        <v>240</v>
      </c>
      <c r="AD1160" s="206" t="s">
        <v>233</v>
      </c>
      <c r="AE1160" s="206" t="s">
        <v>240</v>
      </c>
      <c r="AF1160" s="96">
        <v>0</v>
      </c>
      <c r="AG1160" s="93">
        <v>0</v>
      </c>
      <c r="AH1160" s="93">
        <v>1</v>
      </c>
      <c r="AI1160" s="93">
        <v>0</v>
      </c>
      <c r="AJ1160" s="93">
        <v>0</v>
      </c>
      <c r="AK1160" s="93">
        <v>0</v>
      </c>
    </row>
    <row r="1161" spans="1:37" s="104" customFormat="1" outlineLevel="1">
      <c r="A1161" s="92">
        <v>1154</v>
      </c>
      <c r="B1161" s="93" t="s">
        <v>190</v>
      </c>
      <c r="C1161" s="93" t="s">
        <v>1488</v>
      </c>
      <c r="D1161" s="94" t="s">
        <v>815</v>
      </c>
      <c r="E1161" s="105">
        <v>5</v>
      </c>
      <c r="F1161" s="99" t="s">
        <v>231</v>
      </c>
      <c r="G1161" s="99"/>
      <c r="H1161" s="96" t="s">
        <v>835</v>
      </c>
      <c r="I1161" s="106" t="s">
        <v>736</v>
      </c>
      <c r="J1161" s="93"/>
      <c r="K1161" s="99" t="s">
        <v>232</v>
      </c>
      <c r="L1161" s="93" t="s">
        <v>232</v>
      </c>
      <c r="M1161" s="200">
        <v>1860</v>
      </c>
      <c r="N1161" s="64" t="s">
        <v>385</v>
      </c>
      <c r="O1161" s="106">
        <v>5</v>
      </c>
      <c r="P1161" s="196">
        <v>0</v>
      </c>
      <c r="Q1161" s="106">
        <v>1</v>
      </c>
      <c r="R1161" s="107">
        <v>7</v>
      </c>
      <c r="S1161" s="108">
        <v>760</v>
      </c>
      <c r="T1161" s="108">
        <v>760</v>
      </c>
      <c r="U1161" s="108">
        <v>604.5</v>
      </c>
      <c r="V1161" s="109">
        <v>155.5</v>
      </c>
      <c r="W1161" s="206" t="s">
        <v>233</v>
      </c>
      <c r="X1161" s="206" t="s">
        <v>233</v>
      </c>
      <c r="Y1161" s="206" t="s">
        <v>233</v>
      </c>
      <c r="Z1161" s="206" t="s">
        <v>233</v>
      </c>
      <c r="AA1161" s="206" t="s">
        <v>233</v>
      </c>
      <c r="AB1161" s="206" t="s">
        <v>233</v>
      </c>
      <c r="AC1161" s="206" t="s">
        <v>240</v>
      </c>
      <c r="AD1161" s="206" t="s">
        <v>233</v>
      </c>
      <c r="AE1161" s="206" t="s">
        <v>240</v>
      </c>
      <c r="AF1161" s="96">
        <v>0</v>
      </c>
      <c r="AG1161" s="93">
        <v>0</v>
      </c>
      <c r="AH1161" s="93">
        <v>0</v>
      </c>
      <c r="AI1161" s="93">
        <v>0</v>
      </c>
      <c r="AJ1161" s="93">
        <v>0</v>
      </c>
      <c r="AK1161" s="93">
        <v>0</v>
      </c>
    </row>
    <row r="1162" spans="1:37" s="104" customFormat="1" outlineLevel="1">
      <c r="A1162" s="92">
        <v>1155</v>
      </c>
      <c r="B1162" s="93" t="s">
        <v>190</v>
      </c>
      <c r="C1162" s="93" t="s">
        <v>1488</v>
      </c>
      <c r="D1162" s="94" t="s">
        <v>815</v>
      </c>
      <c r="E1162" s="105">
        <v>6</v>
      </c>
      <c r="F1162" s="99" t="s">
        <v>191</v>
      </c>
      <c r="G1162" s="99"/>
      <c r="H1162" s="96" t="s">
        <v>836</v>
      </c>
      <c r="I1162" s="106" t="s">
        <v>736</v>
      </c>
      <c r="J1162" s="93"/>
      <c r="K1162" s="99" t="s">
        <v>232</v>
      </c>
      <c r="L1162" s="93" t="s">
        <v>232</v>
      </c>
      <c r="M1162" s="200">
        <v>1853</v>
      </c>
      <c r="N1162" s="64" t="s">
        <v>385</v>
      </c>
      <c r="O1162" s="106">
        <v>5</v>
      </c>
      <c r="P1162" s="196">
        <v>0</v>
      </c>
      <c r="Q1162" s="106">
        <v>4</v>
      </c>
      <c r="R1162" s="107">
        <v>32</v>
      </c>
      <c r="S1162" s="108">
        <v>2320.9</v>
      </c>
      <c r="T1162" s="108">
        <v>2320.9</v>
      </c>
      <c r="U1162" s="108">
        <v>1985.7</v>
      </c>
      <c r="V1162" s="109">
        <v>335.2</v>
      </c>
      <c r="W1162" s="206" t="s">
        <v>233</v>
      </c>
      <c r="X1162" s="206" t="s">
        <v>233</v>
      </c>
      <c r="Y1162" s="206" t="s">
        <v>233</v>
      </c>
      <c r="Z1162" s="206" t="s">
        <v>233</v>
      </c>
      <c r="AA1162" s="206" t="s">
        <v>233</v>
      </c>
      <c r="AB1162" s="206" t="s">
        <v>233</v>
      </c>
      <c r="AC1162" s="206" t="s">
        <v>240</v>
      </c>
      <c r="AD1162" s="206" t="s">
        <v>233</v>
      </c>
      <c r="AE1162" s="206" t="s">
        <v>240</v>
      </c>
      <c r="AF1162" s="96">
        <v>2</v>
      </c>
      <c r="AG1162" s="93">
        <v>0</v>
      </c>
      <c r="AH1162" s="93">
        <v>1</v>
      </c>
      <c r="AI1162" s="93">
        <v>0</v>
      </c>
      <c r="AJ1162" s="93">
        <v>0</v>
      </c>
      <c r="AK1162" s="93">
        <v>0</v>
      </c>
    </row>
    <row r="1163" spans="1:37" s="104" customFormat="1" outlineLevel="1">
      <c r="A1163" s="92">
        <v>1156</v>
      </c>
      <c r="B1163" s="93" t="s">
        <v>190</v>
      </c>
      <c r="C1163" s="93" t="s">
        <v>1488</v>
      </c>
      <c r="D1163" s="94" t="s">
        <v>815</v>
      </c>
      <c r="E1163" s="105">
        <v>7</v>
      </c>
      <c r="F1163" s="99" t="s">
        <v>191</v>
      </c>
      <c r="G1163" s="99"/>
      <c r="H1163" s="96" t="s">
        <v>837</v>
      </c>
      <c r="I1163" s="106" t="s">
        <v>736</v>
      </c>
      <c r="J1163" s="93"/>
      <c r="K1163" s="99" t="s">
        <v>232</v>
      </c>
      <c r="L1163" s="93" t="s">
        <v>232</v>
      </c>
      <c r="M1163" s="200">
        <v>1850</v>
      </c>
      <c r="N1163" s="64" t="s">
        <v>385</v>
      </c>
      <c r="O1163" s="106">
        <v>5</v>
      </c>
      <c r="P1163" s="196">
        <v>0</v>
      </c>
      <c r="Q1163" s="106">
        <v>6</v>
      </c>
      <c r="R1163" s="107">
        <v>45</v>
      </c>
      <c r="S1163" s="108">
        <v>4302</v>
      </c>
      <c r="T1163" s="108">
        <v>4302</v>
      </c>
      <c r="U1163" s="108">
        <v>3618.9</v>
      </c>
      <c r="V1163" s="109">
        <v>683.1</v>
      </c>
      <c r="W1163" s="206" t="s">
        <v>233</v>
      </c>
      <c r="X1163" s="206" t="s">
        <v>233</v>
      </c>
      <c r="Y1163" s="206" t="s">
        <v>240</v>
      </c>
      <c r="Z1163" s="206" t="s">
        <v>233</v>
      </c>
      <c r="AA1163" s="206" t="s">
        <v>233</v>
      </c>
      <c r="AB1163" s="206" t="s">
        <v>233</v>
      </c>
      <c r="AC1163" s="206" t="s">
        <v>233</v>
      </c>
      <c r="AD1163" s="206" t="s">
        <v>233</v>
      </c>
      <c r="AE1163" s="206" t="s">
        <v>240</v>
      </c>
      <c r="AF1163" s="96">
        <v>0</v>
      </c>
      <c r="AG1163" s="93">
        <v>0</v>
      </c>
      <c r="AH1163" s="93">
        <v>1</v>
      </c>
      <c r="AI1163" s="93">
        <v>0</v>
      </c>
      <c r="AJ1163" s="93">
        <v>0</v>
      </c>
      <c r="AK1163" s="93">
        <v>0</v>
      </c>
    </row>
    <row r="1164" spans="1:37" s="104" customFormat="1" outlineLevel="1">
      <c r="A1164" s="92">
        <v>1157</v>
      </c>
      <c r="B1164" s="93" t="s">
        <v>190</v>
      </c>
      <c r="C1164" s="93" t="s">
        <v>1488</v>
      </c>
      <c r="D1164" s="94" t="s">
        <v>815</v>
      </c>
      <c r="E1164" s="105">
        <v>8</v>
      </c>
      <c r="F1164" s="99" t="s">
        <v>191</v>
      </c>
      <c r="G1164" s="99"/>
      <c r="H1164" s="96" t="s">
        <v>838</v>
      </c>
      <c r="I1164" s="106" t="s">
        <v>736</v>
      </c>
      <c r="J1164" s="93"/>
      <c r="K1164" s="99" t="s">
        <v>232</v>
      </c>
      <c r="L1164" s="93" t="s">
        <v>232</v>
      </c>
      <c r="M1164" s="200">
        <v>1836</v>
      </c>
      <c r="N1164" s="64" t="s">
        <v>385</v>
      </c>
      <c r="O1164" s="106">
        <v>5</v>
      </c>
      <c r="P1164" s="196">
        <v>0</v>
      </c>
      <c r="Q1164" s="106">
        <v>5</v>
      </c>
      <c r="R1164" s="107">
        <v>39</v>
      </c>
      <c r="S1164" s="108">
        <v>2674.4</v>
      </c>
      <c r="T1164" s="108">
        <v>2674.4</v>
      </c>
      <c r="U1164" s="108">
        <v>2411.8000000000002</v>
      </c>
      <c r="V1164" s="109">
        <v>262.60000000000002</v>
      </c>
      <c r="W1164" s="206" t="s">
        <v>233</v>
      </c>
      <c r="X1164" s="206" t="s">
        <v>233</v>
      </c>
      <c r="Y1164" s="206" t="s">
        <v>233</v>
      </c>
      <c r="Z1164" s="206" t="s">
        <v>233</v>
      </c>
      <c r="AA1164" s="206" t="s">
        <v>233</v>
      </c>
      <c r="AB1164" s="206" t="s">
        <v>233</v>
      </c>
      <c r="AC1164" s="206" t="s">
        <v>240</v>
      </c>
      <c r="AD1164" s="206" t="s">
        <v>233</v>
      </c>
      <c r="AE1164" s="206" t="s">
        <v>240</v>
      </c>
      <c r="AF1164" s="96">
        <v>0</v>
      </c>
      <c r="AG1164" s="93">
        <v>0</v>
      </c>
      <c r="AH1164" s="93">
        <v>1</v>
      </c>
      <c r="AI1164" s="93">
        <v>0</v>
      </c>
      <c r="AJ1164" s="93">
        <v>0</v>
      </c>
      <c r="AK1164" s="93">
        <v>0</v>
      </c>
    </row>
    <row r="1165" spans="1:37" s="104" customFormat="1" ht="15.75" customHeight="1" outlineLevel="1">
      <c r="A1165" s="92">
        <v>1158</v>
      </c>
      <c r="B1165" s="93" t="s">
        <v>190</v>
      </c>
      <c r="C1165" s="93" t="s">
        <v>1488</v>
      </c>
      <c r="D1165" s="94" t="s">
        <v>815</v>
      </c>
      <c r="E1165" s="105">
        <v>9</v>
      </c>
      <c r="F1165" s="99" t="s">
        <v>191</v>
      </c>
      <c r="G1165" s="99"/>
      <c r="H1165" s="96" t="s">
        <v>839</v>
      </c>
      <c r="I1165" s="106" t="s">
        <v>736</v>
      </c>
      <c r="J1165" s="93"/>
      <c r="K1165" s="99" t="s">
        <v>232</v>
      </c>
      <c r="L1165" s="93" t="s">
        <v>232</v>
      </c>
      <c r="M1165" s="200">
        <v>1824</v>
      </c>
      <c r="N1165" s="64" t="s">
        <v>385</v>
      </c>
      <c r="O1165" s="106">
        <v>4</v>
      </c>
      <c r="P1165" s="196">
        <v>0</v>
      </c>
      <c r="Q1165" s="106">
        <v>4</v>
      </c>
      <c r="R1165" s="107">
        <v>23</v>
      </c>
      <c r="S1165" s="108">
        <v>2167.1999999999998</v>
      </c>
      <c r="T1165" s="108">
        <v>2167.1999999999998</v>
      </c>
      <c r="U1165" s="108">
        <v>2041.6</v>
      </c>
      <c r="V1165" s="109">
        <v>125.6</v>
      </c>
      <c r="W1165" s="206" t="s">
        <v>233</v>
      </c>
      <c r="X1165" s="206" t="s">
        <v>233</v>
      </c>
      <c r="Y1165" s="206" t="s">
        <v>240</v>
      </c>
      <c r="Z1165" s="206" t="s">
        <v>233</v>
      </c>
      <c r="AA1165" s="206" t="s">
        <v>233</v>
      </c>
      <c r="AB1165" s="206" t="s">
        <v>233</v>
      </c>
      <c r="AC1165" s="206" t="s">
        <v>233</v>
      </c>
      <c r="AD1165" s="206" t="s">
        <v>233</v>
      </c>
      <c r="AE1165" s="206" t="s">
        <v>240</v>
      </c>
      <c r="AF1165" s="96">
        <v>0</v>
      </c>
      <c r="AG1165" s="93">
        <v>0</v>
      </c>
      <c r="AH1165" s="93">
        <v>1</v>
      </c>
      <c r="AI1165" s="93">
        <v>0</v>
      </c>
      <c r="AJ1165" s="93">
        <v>0</v>
      </c>
      <c r="AK1165" s="93">
        <v>0</v>
      </c>
    </row>
    <row r="1166" spans="1:37" s="104" customFormat="1" ht="15.75" customHeight="1" outlineLevel="1">
      <c r="A1166" s="92">
        <v>1159</v>
      </c>
      <c r="B1166" s="93" t="s">
        <v>190</v>
      </c>
      <c r="C1166" s="93" t="s">
        <v>1488</v>
      </c>
      <c r="D1166" s="94" t="s">
        <v>815</v>
      </c>
      <c r="E1166" s="105" t="s">
        <v>324</v>
      </c>
      <c r="F1166" s="99" t="s">
        <v>191</v>
      </c>
      <c r="G1166" s="99"/>
      <c r="H1166" s="96" t="s">
        <v>840</v>
      </c>
      <c r="I1166" s="106" t="s">
        <v>792</v>
      </c>
      <c r="J1166" s="93"/>
      <c r="K1166" s="99" t="s">
        <v>232</v>
      </c>
      <c r="L1166" s="93" t="s">
        <v>232</v>
      </c>
      <c r="M1166" s="200">
        <v>1875</v>
      </c>
      <c r="N1166" s="64" t="s">
        <v>385</v>
      </c>
      <c r="O1166" s="106">
        <v>4</v>
      </c>
      <c r="P1166" s="196">
        <v>0</v>
      </c>
      <c r="Q1166" s="106">
        <v>6</v>
      </c>
      <c r="R1166" s="107">
        <v>50</v>
      </c>
      <c r="S1166" s="108">
        <v>4218</v>
      </c>
      <c r="T1166" s="108">
        <v>4218</v>
      </c>
      <c r="U1166" s="108">
        <v>3823.17</v>
      </c>
      <c r="V1166" s="109">
        <v>394.83</v>
      </c>
      <c r="W1166" s="206" t="s">
        <v>233</v>
      </c>
      <c r="X1166" s="206" t="s">
        <v>233</v>
      </c>
      <c r="Y1166" s="206" t="s">
        <v>240</v>
      </c>
      <c r="Z1166" s="206" t="s">
        <v>233</v>
      </c>
      <c r="AA1166" s="206" t="s">
        <v>233</v>
      </c>
      <c r="AB1166" s="206" t="s">
        <v>233</v>
      </c>
      <c r="AC1166" s="206" t="s">
        <v>233</v>
      </c>
      <c r="AD1166" s="206" t="s">
        <v>233</v>
      </c>
      <c r="AE1166" s="206" t="s">
        <v>240</v>
      </c>
      <c r="AF1166" s="96">
        <v>0</v>
      </c>
      <c r="AG1166" s="93">
        <v>0</v>
      </c>
      <c r="AH1166" s="93">
        <v>1</v>
      </c>
      <c r="AI1166" s="93">
        <v>0</v>
      </c>
      <c r="AJ1166" s="93">
        <v>0</v>
      </c>
      <c r="AK1166" s="93">
        <v>0</v>
      </c>
    </row>
    <row r="1167" spans="1:37" s="104" customFormat="1" outlineLevel="1">
      <c r="A1167" s="92">
        <v>1160</v>
      </c>
      <c r="B1167" s="93" t="s">
        <v>190</v>
      </c>
      <c r="C1167" s="93" t="s">
        <v>1488</v>
      </c>
      <c r="D1167" s="94" t="s">
        <v>841</v>
      </c>
      <c r="E1167" s="105">
        <v>102</v>
      </c>
      <c r="F1167" s="99" t="s">
        <v>191</v>
      </c>
      <c r="G1167" s="99"/>
      <c r="H1167" s="96" t="s">
        <v>842</v>
      </c>
      <c r="I1167" s="106" t="s">
        <v>736</v>
      </c>
      <c r="J1167" s="93"/>
      <c r="K1167" s="99" t="s">
        <v>232</v>
      </c>
      <c r="L1167" s="93" t="s">
        <v>232</v>
      </c>
      <c r="M1167" s="200">
        <v>1917</v>
      </c>
      <c r="N1167" s="64" t="s">
        <v>385</v>
      </c>
      <c r="O1167" s="106">
        <v>4</v>
      </c>
      <c r="P1167" s="196">
        <v>0</v>
      </c>
      <c r="Q1167" s="106">
        <v>2</v>
      </c>
      <c r="R1167" s="107">
        <v>10</v>
      </c>
      <c r="S1167" s="108">
        <v>805.4</v>
      </c>
      <c r="T1167" s="108">
        <v>805.4</v>
      </c>
      <c r="U1167" s="108">
        <v>758.9</v>
      </c>
      <c r="V1167" s="109">
        <v>46.5</v>
      </c>
      <c r="W1167" s="206" t="s">
        <v>233</v>
      </c>
      <c r="X1167" s="206" t="s">
        <v>233</v>
      </c>
      <c r="Y1167" s="206" t="s">
        <v>233</v>
      </c>
      <c r="Z1167" s="206" t="s">
        <v>233</v>
      </c>
      <c r="AA1167" s="206" t="s">
        <v>233</v>
      </c>
      <c r="AB1167" s="206" t="s">
        <v>233</v>
      </c>
      <c r="AC1167" s="206" t="s">
        <v>240</v>
      </c>
      <c r="AD1167" s="206" t="s">
        <v>233</v>
      </c>
      <c r="AE1167" s="206" t="s">
        <v>240</v>
      </c>
      <c r="AF1167" s="96">
        <v>0</v>
      </c>
      <c r="AG1167" s="93">
        <v>0</v>
      </c>
      <c r="AH1167" s="93">
        <v>1</v>
      </c>
      <c r="AI1167" s="93">
        <v>0</v>
      </c>
      <c r="AJ1167" s="93">
        <v>0</v>
      </c>
      <c r="AK1167" s="93">
        <v>0</v>
      </c>
    </row>
    <row r="1168" spans="1:37" s="104" customFormat="1" outlineLevel="1">
      <c r="A1168" s="92">
        <v>1161</v>
      </c>
      <c r="B1168" s="93" t="s">
        <v>190</v>
      </c>
      <c r="C1168" s="93" t="s">
        <v>1488</v>
      </c>
      <c r="D1168" s="94" t="s">
        <v>841</v>
      </c>
      <c r="E1168" s="105">
        <v>102</v>
      </c>
      <c r="F1168" s="99" t="s">
        <v>231</v>
      </c>
      <c r="G1168" s="99"/>
      <c r="H1168" s="96" t="s">
        <v>843</v>
      </c>
      <c r="I1168" s="106" t="s">
        <v>736</v>
      </c>
      <c r="J1168" s="93"/>
      <c r="K1168" s="99" t="s">
        <v>232</v>
      </c>
      <c r="L1168" s="93" t="s">
        <v>232</v>
      </c>
      <c r="M1168" s="200">
        <v>1917</v>
      </c>
      <c r="N1168" s="64" t="s">
        <v>385</v>
      </c>
      <c r="O1168" s="106">
        <v>3</v>
      </c>
      <c r="P1168" s="196">
        <v>0</v>
      </c>
      <c r="Q1168" s="106">
        <v>2</v>
      </c>
      <c r="R1168" s="107">
        <v>11</v>
      </c>
      <c r="S1168" s="108">
        <v>798.2</v>
      </c>
      <c r="T1168" s="108">
        <v>798.2</v>
      </c>
      <c r="U1168" s="108">
        <v>343.3</v>
      </c>
      <c r="V1168" s="109">
        <v>454.9</v>
      </c>
      <c r="W1168" s="206" t="s">
        <v>233</v>
      </c>
      <c r="X1168" s="206" t="s">
        <v>233</v>
      </c>
      <c r="Y1168" s="206" t="s">
        <v>233</v>
      </c>
      <c r="Z1168" s="206" t="s">
        <v>233</v>
      </c>
      <c r="AA1168" s="206" t="s">
        <v>233</v>
      </c>
      <c r="AB1168" s="206" t="s">
        <v>233</v>
      </c>
      <c r="AC1168" s="206" t="s">
        <v>240</v>
      </c>
      <c r="AD1168" s="206" t="s">
        <v>233</v>
      </c>
      <c r="AE1168" s="206" t="s">
        <v>240</v>
      </c>
      <c r="AF1168" s="96">
        <v>0</v>
      </c>
      <c r="AG1168" s="93">
        <v>0</v>
      </c>
      <c r="AH1168" s="93">
        <v>0</v>
      </c>
      <c r="AI1168" s="93">
        <v>0</v>
      </c>
      <c r="AJ1168" s="93">
        <v>0</v>
      </c>
      <c r="AK1168" s="93">
        <v>0</v>
      </c>
    </row>
    <row r="1169" spans="1:37" s="104" customFormat="1" outlineLevel="1">
      <c r="A1169" s="92">
        <v>1162</v>
      </c>
      <c r="B1169" s="93" t="s">
        <v>190</v>
      </c>
      <c r="C1169" s="93" t="s">
        <v>1488</v>
      </c>
      <c r="D1169" s="94" t="s">
        <v>841</v>
      </c>
      <c r="E1169" s="105">
        <v>105</v>
      </c>
      <c r="F1169" s="99" t="s">
        <v>191</v>
      </c>
      <c r="G1169" s="99"/>
      <c r="H1169" s="96" t="s">
        <v>844</v>
      </c>
      <c r="I1169" s="106" t="s">
        <v>736</v>
      </c>
      <c r="J1169" s="93"/>
      <c r="K1169" s="99" t="s">
        <v>232</v>
      </c>
      <c r="L1169" s="93" t="s">
        <v>232</v>
      </c>
      <c r="M1169" s="200">
        <v>1852</v>
      </c>
      <c r="N1169" s="64" t="s">
        <v>385</v>
      </c>
      <c r="O1169" s="106">
        <v>4</v>
      </c>
      <c r="P1169" s="196">
        <v>0</v>
      </c>
      <c r="Q1169" s="106">
        <v>1</v>
      </c>
      <c r="R1169" s="107">
        <v>28</v>
      </c>
      <c r="S1169" s="108">
        <v>3671.8</v>
      </c>
      <c r="T1169" s="108">
        <v>3671.8</v>
      </c>
      <c r="U1169" s="108">
        <v>2779.9</v>
      </c>
      <c r="V1169" s="109">
        <v>891.9</v>
      </c>
      <c r="W1169" s="206" t="s">
        <v>233</v>
      </c>
      <c r="X1169" s="206" t="s">
        <v>233</v>
      </c>
      <c r="Y1169" s="206" t="s">
        <v>233</v>
      </c>
      <c r="Z1169" s="206" t="s">
        <v>233</v>
      </c>
      <c r="AA1169" s="206" t="s">
        <v>233</v>
      </c>
      <c r="AB1169" s="206" t="s">
        <v>233</v>
      </c>
      <c r="AC1169" s="206" t="s">
        <v>240</v>
      </c>
      <c r="AD1169" s="206" t="s">
        <v>233</v>
      </c>
      <c r="AE1169" s="206" t="s">
        <v>240</v>
      </c>
      <c r="AF1169" s="96">
        <v>0</v>
      </c>
      <c r="AG1169" s="93">
        <v>0</v>
      </c>
      <c r="AH1169" s="93">
        <v>1</v>
      </c>
      <c r="AI1169" s="93">
        <v>0</v>
      </c>
      <c r="AJ1169" s="93">
        <v>0</v>
      </c>
      <c r="AK1169" s="93">
        <v>0</v>
      </c>
    </row>
    <row r="1170" spans="1:37" s="104" customFormat="1" ht="15.75" customHeight="1" outlineLevel="1">
      <c r="A1170" s="92">
        <v>1163</v>
      </c>
      <c r="B1170" s="93" t="s">
        <v>190</v>
      </c>
      <c r="C1170" s="93" t="s">
        <v>1488</v>
      </c>
      <c r="D1170" s="94" t="s">
        <v>841</v>
      </c>
      <c r="E1170" s="105">
        <v>106</v>
      </c>
      <c r="F1170" s="99" t="s">
        <v>191</v>
      </c>
      <c r="G1170" s="99"/>
      <c r="H1170" s="96" t="s">
        <v>845</v>
      </c>
      <c r="I1170" s="106" t="s">
        <v>736</v>
      </c>
      <c r="J1170" s="93"/>
      <c r="K1170" s="99" t="s">
        <v>232</v>
      </c>
      <c r="L1170" s="93" t="s">
        <v>232</v>
      </c>
      <c r="M1170" s="200">
        <v>1806</v>
      </c>
      <c r="N1170" s="64" t="s">
        <v>385</v>
      </c>
      <c r="O1170" s="106">
        <v>3</v>
      </c>
      <c r="P1170" s="196">
        <v>0</v>
      </c>
      <c r="Q1170" s="106">
        <v>7</v>
      </c>
      <c r="R1170" s="107">
        <v>32</v>
      </c>
      <c r="S1170" s="108">
        <v>3263</v>
      </c>
      <c r="T1170" s="108">
        <v>3263</v>
      </c>
      <c r="U1170" s="108">
        <v>2408.1</v>
      </c>
      <c r="V1170" s="109">
        <v>854.9</v>
      </c>
      <c r="W1170" s="206" t="s">
        <v>233</v>
      </c>
      <c r="X1170" s="206" t="s">
        <v>233</v>
      </c>
      <c r="Y1170" s="206" t="s">
        <v>233</v>
      </c>
      <c r="Z1170" s="206" t="s">
        <v>233</v>
      </c>
      <c r="AA1170" s="206" t="s">
        <v>233</v>
      </c>
      <c r="AB1170" s="206" t="s">
        <v>233</v>
      </c>
      <c r="AC1170" s="206" t="s">
        <v>240</v>
      </c>
      <c r="AD1170" s="206" t="s">
        <v>233</v>
      </c>
      <c r="AE1170" s="206" t="s">
        <v>240</v>
      </c>
      <c r="AF1170" s="96">
        <v>0</v>
      </c>
      <c r="AG1170" s="93">
        <v>0</v>
      </c>
      <c r="AH1170" s="93">
        <v>1</v>
      </c>
      <c r="AI1170" s="93">
        <v>0</v>
      </c>
      <c r="AJ1170" s="93">
        <v>0</v>
      </c>
      <c r="AK1170" s="93">
        <v>0</v>
      </c>
    </row>
    <row r="1171" spans="1:37" s="104" customFormat="1" ht="15.75" customHeight="1" outlineLevel="1">
      <c r="A1171" s="92">
        <v>1164</v>
      </c>
      <c r="B1171" s="93" t="s">
        <v>190</v>
      </c>
      <c r="C1171" s="93" t="s">
        <v>1488</v>
      </c>
      <c r="D1171" s="94" t="s">
        <v>841</v>
      </c>
      <c r="E1171" s="105" t="s">
        <v>846</v>
      </c>
      <c r="F1171" s="99" t="s">
        <v>191</v>
      </c>
      <c r="G1171" s="99"/>
      <c r="H1171" s="96" t="s">
        <v>847</v>
      </c>
      <c r="I1171" s="106" t="s">
        <v>736</v>
      </c>
      <c r="J1171" s="93"/>
      <c r="K1171" s="99" t="s">
        <v>232</v>
      </c>
      <c r="L1171" s="93" t="s">
        <v>232</v>
      </c>
      <c r="M1171" s="200">
        <v>1877</v>
      </c>
      <c r="N1171" s="64" t="s">
        <v>385</v>
      </c>
      <c r="O1171" s="106">
        <v>4</v>
      </c>
      <c r="P1171" s="196">
        <v>0</v>
      </c>
      <c r="Q1171" s="106">
        <v>5</v>
      </c>
      <c r="R1171" s="107">
        <v>20</v>
      </c>
      <c r="S1171" s="108">
        <v>3900.8999999999996</v>
      </c>
      <c r="T1171" s="108">
        <v>3900.8999999999996</v>
      </c>
      <c r="U1171" s="108">
        <v>2450.1999999999998</v>
      </c>
      <c r="V1171" s="109">
        <v>1450.7</v>
      </c>
      <c r="W1171" s="206" t="s">
        <v>233</v>
      </c>
      <c r="X1171" s="206" t="s">
        <v>233</v>
      </c>
      <c r="Y1171" s="206" t="s">
        <v>233</v>
      </c>
      <c r="Z1171" s="206" t="s">
        <v>233</v>
      </c>
      <c r="AA1171" s="206" t="s">
        <v>233</v>
      </c>
      <c r="AB1171" s="206" t="s">
        <v>233</v>
      </c>
      <c r="AC1171" s="206" t="s">
        <v>240</v>
      </c>
      <c r="AD1171" s="206" t="s">
        <v>233</v>
      </c>
      <c r="AE1171" s="206" t="s">
        <v>240</v>
      </c>
      <c r="AF1171" s="96">
        <v>0</v>
      </c>
      <c r="AG1171" s="93">
        <v>0</v>
      </c>
      <c r="AH1171" s="93">
        <v>0</v>
      </c>
      <c r="AI1171" s="93">
        <v>0</v>
      </c>
      <c r="AJ1171" s="93">
        <v>0</v>
      </c>
      <c r="AK1171" s="93">
        <v>0</v>
      </c>
    </row>
    <row r="1172" spans="1:37" s="104" customFormat="1" outlineLevel="1">
      <c r="A1172" s="92">
        <v>1165</v>
      </c>
      <c r="B1172" s="93" t="s">
        <v>190</v>
      </c>
      <c r="C1172" s="93" t="s">
        <v>1488</v>
      </c>
      <c r="D1172" s="94" t="s">
        <v>841</v>
      </c>
      <c r="E1172" s="105" t="s">
        <v>848</v>
      </c>
      <c r="F1172" s="99" t="s">
        <v>231</v>
      </c>
      <c r="G1172" s="99"/>
      <c r="H1172" s="96" t="s">
        <v>849</v>
      </c>
      <c r="I1172" s="106" t="s">
        <v>736</v>
      </c>
      <c r="J1172" s="93"/>
      <c r="K1172" s="99" t="s">
        <v>232</v>
      </c>
      <c r="L1172" s="93" t="s">
        <v>232</v>
      </c>
      <c r="M1172" s="200">
        <v>1833</v>
      </c>
      <c r="N1172" s="64" t="s">
        <v>385</v>
      </c>
      <c r="O1172" s="106">
        <v>6</v>
      </c>
      <c r="P1172" s="196">
        <v>0</v>
      </c>
      <c r="Q1172" s="106">
        <v>1</v>
      </c>
      <c r="R1172" s="107">
        <v>33</v>
      </c>
      <c r="S1172" s="108">
        <v>362.40000000000003</v>
      </c>
      <c r="T1172" s="108">
        <v>362.40000000000003</v>
      </c>
      <c r="U1172" s="108">
        <v>282.10000000000002</v>
      </c>
      <c r="V1172" s="109">
        <v>80.3</v>
      </c>
      <c r="W1172" s="206" t="s">
        <v>233</v>
      </c>
      <c r="X1172" s="206" t="s">
        <v>233</v>
      </c>
      <c r="Y1172" s="206" t="s">
        <v>233</v>
      </c>
      <c r="Z1172" s="206" t="s">
        <v>233</v>
      </c>
      <c r="AA1172" s="206" t="s">
        <v>233</v>
      </c>
      <c r="AB1172" s="206" t="s">
        <v>233</v>
      </c>
      <c r="AC1172" s="206" t="s">
        <v>240</v>
      </c>
      <c r="AD1172" s="206" t="s">
        <v>233</v>
      </c>
      <c r="AE1172" s="206" t="s">
        <v>240</v>
      </c>
      <c r="AF1172" s="96">
        <v>1</v>
      </c>
      <c r="AG1172" s="93">
        <v>0</v>
      </c>
      <c r="AH1172" s="93">
        <v>1</v>
      </c>
      <c r="AI1172" s="93">
        <v>0</v>
      </c>
      <c r="AJ1172" s="93">
        <v>0</v>
      </c>
      <c r="AK1172" s="93">
        <v>0</v>
      </c>
    </row>
    <row r="1173" spans="1:37" s="104" customFormat="1" outlineLevel="1">
      <c r="A1173" s="92">
        <v>1166</v>
      </c>
      <c r="B1173" s="93" t="s">
        <v>190</v>
      </c>
      <c r="C1173" s="93" t="s">
        <v>1488</v>
      </c>
      <c r="D1173" s="94" t="s">
        <v>841</v>
      </c>
      <c r="E1173" s="105" t="s">
        <v>848</v>
      </c>
      <c r="F1173" s="99" t="s">
        <v>191</v>
      </c>
      <c r="G1173" s="99"/>
      <c r="H1173" s="96" t="s">
        <v>850</v>
      </c>
      <c r="I1173" s="106" t="s">
        <v>736</v>
      </c>
      <c r="J1173" s="93"/>
      <c r="K1173" s="99" t="s">
        <v>232</v>
      </c>
      <c r="L1173" s="93" t="s">
        <v>232</v>
      </c>
      <c r="M1173" s="200">
        <v>1833</v>
      </c>
      <c r="N1173" s="64" t="s">
        <v>385</v>
      </c>
      <c r="O1173" s="106">
        <v>6</v>
      </c>
      <c r="P1173" s="196">
        <v>0</v>
      </c>
      <c r="Q1173" s="106">
        <v>3</v>
      </c>
      <c r="R1173" s="107">
        <v>35</v>
      </c>
      <c r="S1173" s="108">
        <v>4881.8</v>
      </c>
      <c r="T1173" s="108">
        <v>4881.8</v>
      </c>
      <c r="U1173" s="108">
        <v>4364.5</v>
      </c>
      <c r="V1173" s="109">
        <v>517.29999999999995</v>
      </c>
      <c r="W1173" s="206" t="s">
        <v>233</v>
      </c>
      <c r="X1173" s="206" t="s">
        <v>233</v>
      </c>
      <c r="Y1173" s="206" t="s">
        <v>233</v>
      </c>
      <c r="Z1173" s="206" t="s">
        <v>233</v>
      </c>
      <c r="AA1173" s="206" t="s">
        <v>233</v>
      </c>
      <c r="AB1173" s="206" t="s">
        <v>233</v>
      </c>
      <c r="AC1173" s="206" t="s">
        <v>240</v>
      </c>
      <c r="AD1173" s="206" t="s">
        <v>233</v>
      </c>
      <c r="AE1173" s="206" t="s">
        <v>240</v>
      </c>
      <c r="AF1173" s="96">
        <v>2</v>
      </c>
      <c r="AG1173" s="93">
        <v>0</v>
      </c>
      <c r="AH1173" s="93">
        <v>0</v>
      </c>
      <c r="AI1173" s="93">
        <v>0</v>
      </c>
      <c r="AJ1173" s="93">
        <v>0</v>
      </c>
      <c r="AK1173" s="93">
        <v>0</v>
      </c>
    </row>
    <row r="1174" spans="1:37" s="104" customFormat="1" outlineLevel="1">
      <c r="A1174" s="92">
        <v>1167</v>
      </c>
      <c r="B1174" s="93" t="s">
        <v>190</v>
      </c>
      <c r="C1174" s="93" t="s">
        <v>1488</v>
      </c>
      <c r="D1174" s="94" t="s">
        <v>841</v>
      </c>
      <c r="E1174" s="105">
        <v>111</v>
      </c>
      <c r="F1174" s="99" t="s">
        <v>191</v>
      </c>
      <c r="G1174" s="99"/>
      <c r="H1174" s="96" t="s">
        <v>851</v>
      </c>
      <c r="I1174" s="106" t="s">
        <v>736</v>
      </c>
      <c r="J1174" s="93"/>
      <c r="K1174" s="99" t="s">
        <v>232</v>
      </c>
      <c r="L1174" s="93" t="s">
        <v>232</v>
      </c>
      <c r="M1174" s="200">
        <v>1917</v>
      </c>
      <c r="N1174" s="64" t="s">
        <v>385</v>
      </c>
      <c r="O1174" s="106">
        <v>4</v>
      </c>
      <c r="P1174" s="196">
        <v>0</v>
      </c>
      <c r="Q1174" s="106">
        <v>2</v>
      </c>
      <c r="R1174" s="107">
        <v>19</v>
      </c>
      <c r="S1174" s="108">
        <v>1529.3000000000002</v>
      </c>
      <c r="T1174" s="108">
        <v>1529.3000000000002</v>
      </c>
      <c r="U1174" s="108">
        <v>1332.4</v>
      </c>
      <c r="V1174" s="109">
        <v>196.9</v>
      </c>
      <c r="W1174" s="206" t="s">
        <v>233</v>
      </c>
      <c r="X1174" s="206" t="s">
        <v>233</v>
      </c>
      <c r="Y1174" s="206" t="s">
        <v>233</v>
      </c>
      <c r="Z1174" s="206" t="s">
        <v>233</v>
      </c>
      <c r="AA1174" s="206" t="s">
        <v>233</v>
      </c>
      <c r="AB1174" s="206" t="s">
        <v>233</v>
      </c>
      <c r="AC1174" s="206" t="s">
        <v>240</v>
      </c>
      <c r="AD1174" s="206" t="s">
        <v>233</v>
      </c>
      <c r="AE1174" s="206" t="s">
        <v>240</v>
      </c>
      <c r="AF1174" s="96">
        <v>0</v>
      </c>
      <c r="AG1174" s="93">
        <v>0</v>
      </c>
      <c r="AH1174" s="93">
        <v>1</v>
      </c>
      <c r="AI1174" s="93">
        <v>0</v>
      </c>
      <c r="AJ1174" s="93">
        <v>0</v>
      </c>
      <c r="AK1174" s="93">
        <v>0</v>
      </c>
    </row>
    <row r="1175" spans="1:37" s="104" customFormat="1" outlineLevel="1">
      <c r="A1175" s="92">
        <v>1168</v>
      </c>
      <c r="B1175" s="93" t="s">
        <v>190</v>
      </c>
      <c r="C1175" s="93" t="s">
        <v>1488</v>
      </c>
      <c r="D1175" s="94" t="s">
        <v>841</v>
      </c>
      <c r="E1175" s="105">
        <v>113</v>
      </c>
      <c r="F1175" s="99" t="s">
        <v>191</v>
      </c>
      <c r="G1175" s="99"/>
      <c r="H1175" s="96" t="s">
        <v>852</v>
      </c>
      <c r="I1175" s="106" t="s">
        <v>736</v>
      </c>
      <c r="J1175" s="93"/>
      <c r="K1175" s="99" t="s">
        <v>232</v>
      </c>
      <c r="L1175" s="93" t="s">
        <v>232</v>
      </c>
      <c r="M1175" s="200">
        <v>1912</v>
      </c>
      <c r="N1175" s="64" t="s">
        <v>385</v>
      </c>
      <c r="O1175" s="106">
        <v>6</v>
      </c>
      <c r="P1175" s="196">
        <v>0</v>
      </c>
      <c r="Q1175" s="106">
        <v>4</v>
      </c>
      <c r="R1175" s="107">
        <v>60</v>
      </c>
      <c r="S1175" s="108">
        <v>5087.8999999999996</v>
      </c>
      <c r="T1175" s="108">
        <v>5087.8999999999996</v>
      </c>
      <c r="U1175" s="108">
        <v>4660.2</v>
      </c>
      <c r="V1175" s="109">
        <v>427.7</v>
      </c>
      <c r="W1175" s="206" t="s">
        <v>233</v>
      </c>
      <c r="X1175" s="206" t="s">
        <v>233</v>
      </c>
      <c r="Y1175" s="206" t="s">
        <v>233</v>
      </c>
      <c r="Z1175" s="206" t="s">
        <v>233</v>
      </c>
      <c r="AA1175" s="206" t="s">
        <v>233</v>
      </c>
      <c r="AB1175" s="206" t="s">
        <v>233</v>
      </c>
      <c r="AC1175" s="206" t="s">
        <v>240</v>
      </c>
      <c r="AD1175" s="206" t="s">
        <v>233</v>
      </c>
      <c r="AE1175" s="206" t="s">
        <v>240</v>
      </c>
      <c r="AF1175" s="96">
        <v>1</v>
      </c>
      <c r="AG1175" s="93">
        <v>0</v>
      </c>
      <c r="AH1175" s="93">
        <v>1</v>
      </c>
      <c r="AI1175" s="93">
        <v>0</v>
      </c>
      <c r="AJ1175" s="93">
        <v>0</v>
      </c>
      <c r="AK1175" s="93">
        <v>0</v>
      </c>
    </row>
    <row r="1176" spans="1:37" s="104" customFormat="1" outlineLevel="1">
      <c r="A1176" s="92">
        <v>1169</v>
      </c>
      <c r="B1176" s="93" t="s">
        <v>190</v>
      </c>
      <c r="C1176" s="93" t="s">
        <v>1488</v>
      </c>
      <c r="D1176" s="94" t="s">
        <v>841</v>
      </c>
      <c r="E1176" s="105">
        <v>115</v>
      </c>
      <c r="F1176" s="99" t="s">
        <v>191</v>
      </c>
      <c r="G1176" s="99"/>
      <c r="H1176" s="96" t="s">
        <v>853</v>
      </c>
      <c r="I1176" s="106" t="s">
        <v>736</v>
      </c>
      <c r="J1176" s="93"/>
      <c r="K1176" s="99" t="s">
        <v>232</v>
      </c>
      <c r="L1176" s="93" t="s">
        <v>232</v>
      </c>
      <c r="M1176" s="200">
        <v>1878</v>
      </c>
      <c r="N1176" s="64" t="s">
        <v>385</v>
      </c>
      <c r="O1176" s="106">
        <v>5</v>
      </c>
      <c r="P1176" s="196">
        <v>0</v>
      </c>
      <c r="Q1176" s="106">
        <v>3</v>
      </c>
      <c r="R1176" s="107">
        <v>30</v>
      </c>
      <c r="S1176" s="108">
        <v>2236.9</v>
      </c>
      <c r="T1176" s="108">
        <v>2236.9</v>
      </c>
      <c r="U1176" s="108">
        <v>1854.3</v>
      </c>
      <c r="V1176" s="109">
        <v>382.6</v>
      </c>
      <c r="W1176" s="206" t="s">
        <v>233</v>
      </c>
      <c r="X1176" s="206" t="s">
        <v>233</v>
      </c>
      <c r="Y1176" s="206" t="s">
        <v>233</v>
      </c>
      <c r="Z1176" s="206" t="s">
        <v>233</v>
      </c>
      <c r="AA1176" s="206" t="s">
        <v>233</v>
      </c>
      <c r="AB1176" s="206" t="s">
        <v>233</v>
      </c>
      <c r="AC1176" s="206" t="s">
        <v>240</v>
      </c>
      <c r="AD1176" s="206" t="s">
        <v>233</v>
      </c>
      <c r="AE1176" s="206" t="s">
        <v>240</v>
      </c>
      <c r="AF1176" s="96">
        <v>0</v>
      </c>
      <c r="AG1176" s="93">
        <v>0</v>
      </c>
      <c r="AH1176" s="93">
        <v>1</v>
      </c>
      <c r="AI1176" s="93">
        <v>0</v>
      </c>
      <c r="AJ1176" s="93">
        <v>0</v>
      </c>
      <c r="AK1176" s="93">
        <v>0</v>
      </c>
    </row>
    <row r="1177" spans="1:37" s="104" customFormat="1" outlineLevel="1">
      <c r="A1177" s="92">
        <v>1170</v>
      </c>
      <c r="B1177" s="93" t="s">
        <v>190</v>
      </c>
      <c r="C1177" s="93" t="s">
        <v>1488</v>
      </c>
      <c r="D1177" s="94" t="s">
        <v>841</v>
      </c>
      <c r="E1177" s="105">
        <v>117</v>
      </c>
      <c r="F1177" s="99" t="s">
        <v>191</v>
      </c>
      <c r="G1177" s="99"/>
      <c r="H1177" s="96" t="s">
        <v>854</v>
      </c>
      <c r="I1177" s="106" t="s">
        <v>736</v>
      </c>
      <c r="J1177" s="93"/>
      <c r="K1177" s="99" t="s">
        <v>232</v>
      </c>
      <c r="L1177" s="93" t="s">
        <v>232</v>
      </c>
      <c r="M1177" s="200">
        <v>1855</v>
      </c>
      <c r="N1177" s="64" t="s">
        <v>385</v>
      </c>
      <c r="O1177" s="106">
        <v>4</v>
      </c>
      <c r="P1177" s="196">
        <v>0</v>
      </c>
      <c r="Q1177" s="106">
        <v>6</v>
      </c>
      <c r="R1177" s="107">
        <v>23</v>
      </c>
      <c r="S1177" s="108">
        <v>2759.2000000000003</v>
      </c>
      <c r="T1177" s="108">
        <v>2759.2000000000003</v>
      </c>
      <c r="U1177" s="108">
        <v>2208.3000000000002</v>
      </c>
      <c r="V1177" s="109">
        <v>550.9</v>
      </c>
      <c r="W1177" s="206" t="s">
        <v>233</v>
      </c>
      <c r="X1177" s="206" t="s">
        <v>233</v>
      </c>
      <c r="Y1177" s="206" t="s">
        <v>233</v>
      </c>
      <c r="Z1177" s="206" t="s">
        <v>233</v>
      </c>
      <c r="AA1177" s="206" t="s">
        <v>233</v>
      </c>
      <c r="AB1177" s="206" t="s">
        <v>233</v>
      </c>
      <c r="AC1177" s="206" t="s">
        <v>240</v>
      </c>
      <c r="AD1177" s="206" t="s">
        <v>233</v>
      </c>
      <c r="AE1177" s="206" t="s">
        <v>240</v>
      </c>
      <c r="AF1177" s="96">
        <v>0</v>
      </c>
      <c r="AG1177" s="93">
        <v>0</v>
      </c>
      <c r="AH1177" s="93">
        <v>1</v>
      </c>
      <c r="AI1177" s="93">
        <v>0</v>
      </c>
      <c r="AJ1177" s="93">
        <v>0</v>
      </c>
      <c r="AK1177" s="93">
        <v>0</v>
      </c>
    </row>
    <row r="1178" spans="1:37" s="104" customFormat="1" outlineLevel="1">
      <c r="A1178" s="92">
        <v>1171</v>
      </c>
      <c r="B1178" s="93" t="s">
        <v>190</v>
      </c>
      <c r="C1178" s="93" t="s">
        <v>1488</v>
      </c>
      <c r="D1178" s="94" t="s">
        <v>841</v>
      </c>
      <c r="E1178" s="105" t="s">
        <v>855</v>
      </c>
      <c r="F1178" s="99" t="s">
        <v>191</v>
      </c>
      <c r="G1178" s="99"/>
      <c r="H1178" s="96" t="s">
        <v>856</v>
      </c>
      <c r="I1178" s="106" t="s">
        <v>736</v>
      </c>
      <c r="J1178" s="93"/>
      <c r="K1178" s="99" t="s">
        <v>232</v>
      </c>
      <c r="L1178" s="93" t="s">
        <v>232</v>
      </c>
      <c r="M1178" s="200">
        <v>1912</v>
      </c>
      <c r="N1178" s="64" t="s">
        <v>385</v>
      </c>
      <c r="O1178" s="106">
        <v>6</v>
      </c>
      <c r="P1178" s="196">
        <v>0</v>
      </c>
      <c r="Q1178" s="106">
        <v>10</v>
      </c>
      <c r="R1178" s="107">
        <v>102</v>
      </c>
      <c r="S1178" s="108">
        <v>11076.5</v>
      </c>
      <c r="T1178" s="108">
        <v>11076.5</v>
      </c>
      <c r="U1178" s="108">
        <v>6864</v>
      </c>
      <c r="V1178" s="109">
        <v>4212.5</v>
      </c>
      <c r="W1178" s="206" t="s">
        <v>233</v>
      </c>
      <c r="X1178" s="206" t="s">
        <v>233</v>
      </c>
      <c r="Y1178" s="206" t="s">
        <v>233</v>
      </c>
      <c r="Z1178" s="206" t="s">
        <v>233</v>
      </c>
      <c r="AA1178" s="206" t="s">
        <v>233</v>
      </c>
      <c r="AB1178" s="206" t="s">
        <v>233</v>
      </c>
      <c r="AC1178" s="206" t="s">
        <v>240</v>
      </c>
      <c r="AD1178" s="206" t="s">
        <v>233</v>
      </c>
      <c r="AE1178" s="206" t="s">
        <v>240</v>
      </c>
      <c r="AF1178" s="96">
        <v>3</v>
      </c>
      <c r="AG1178" s="93">
        <v>0</v>
      </c>
      <c r="AH1178" s="93">
        <v>2</v>
      </c>
      <c r="AI1178" s="93">
        <v>0</v>
      </c>
      <c r="AJ1178" s="93">
        <v>0</v>
      </c>
      <c r="AK1178" s="93">
        <v>0</v>
      </c>
    </row>
    <row r="1179" spans="1:37" s="104" customFormat="1" outlineLevel="1">
      <c r="A1179" s="92">
        <v>1172</v>
      </c>
      <c r="B1179" s="93" t="s">
        <v>190</v>
      </c>
      <c r="C1179" s="93" t="s">
        <v>1488</v>
      </c>
      <c r="D1179" s="94" t="s">
        <v>841</v>
      </c>
      <c r="E1179" s="105">
        <v>127</v>
      </c>
      <c r="F1179" s="99" t="s">
        <v>191</v>
      </c>
      <c r="G1179" s="99"/>
      <c r="H1179" s="96" t="s">
        <v>857</v>
      </c>
      <c r="I1179" s="106" t="s">
        <v>736</v>
      </c>
      <c r="J1179" s="93"/>
      <c r="K1179" s="99" t="s">
        <v>232</v>
      </c>
      <c r="L1179" s="93" t="s">
        <v>232</v>
      </c>
      <c r="M1179" s="200">
        <v>1861</v>
      </c>
      <c r="N1179" s="64" t="s">
        <v>385</v>
      </c>
      <c r="O1179" s="106">
        <v>2</v>
      </c>
      <c r="P1179" s="196">
        <v>0</v>
      </c>
      <c r="Q1179" s="106">
        <v>3</v>
      </c>
      <c r="R1179" s="107">
        <v>18</v>
      </c>
      <c r="S1179" s="108">
        <v>1892.9</v>
      </c>
      <c r="T1179" s="108">
        <v>1892.9</v>
      </c>
      <c r="U1179" s="108">
        <v>1239.8</v>
      </c>
      <c r="V1179" s="109">
        <v>653.1</v>
      </c>
      <c r="W1179" s="206" t="s">
        <v>233</v>
      </c>
      <c r="X1179" s="206" t="s">
        <v>233</v>
      </c>
      <c r="Y1179" s="206" t="s">
        <v>233</v>
      </c>
      <c r="Z1179" s="206" t="s">
        <v>233</v>
      </c>
      <c r="AA1179" s="206" t="s">
        <v>233</v>
      </c>
      <c r="AB1179" s="206" t="s">
        <v>233</v>
      </c>
      <c r="AC1179" s="206" t="s">
        <v>240</v>
      </c>
      <c r="AD1179" s="206" t="s">
        <v>233</v>
      </c>
      <c r="AE1179" s="206" t="s">
        <v>240</v>
      </c>
      <c r="AF1179" s="96">
        <v>0</v>
      </c>
      <c r="AG1179" s="93">
        <v>0</v>
      </c>
      <c r="AH1179" s="93">
        <v>1</v>
      </c>
      <c r="AI1179" s="93">
        <v>0</v>
      </c>
      <c r="AJ1179" s="93">
        <v>0</v>
      </c>
      <c r="AK1179" s="93">
        <v>0</v>
      </c>
    </row>
    <row r="1180" spans="1:37" s="104" customFormat="1" outlineLevel="1">
      <c r="A1180" s="92">
        <v>1173</v>
      </c>
      <c r="B1180" s="93" t="s">
        <v>190</v>
      </c>
      <c r="C1180" s="93" t="s">
        <v>1488</v>
      </c>
      <c r="D1180" s="94" t="s">
        <v>841</v>
      </c>
      <c r="E1180" s="105">
        <v>129</v>
      </c>
      <c r="F1180" s="99" t="s">
        <v>252</v>
      </c>
      <c r="G1180" s="99"/>
      <c r="H1180" s="96" t="s">
        <v>858</v>
      </c>
      <c r="I1180" s="106" t="s">
        <v>736</v>
      </c>
      <c r="J1180" s="93"/>
      <c r="K1180" s="99" t="s">
        <v>232</v>
      </c>
      <c r="L1180" s="93" t="s">
        <v>232</v>
      </c>
      <c r="M1180" s="200">
        <v>1861</v>
      </c>
      <c r="N1180" s="64" t="s">
        <v>385</v>
      </c>
      <c r="O1180" s="106">
        <v>2</v>
      </c>
      <c r="P1180" s="196">
        <v>0</v>
      </c>
      <c r="Q1180" s="106">
        <v>1</v>
      </c>
      <c r="R1180" s="107">
        <v>12</v>
      </c>
      <c r="S1180" s="108">
        <v>1946.2</v>
      </c>
      <c r="T1180" s="108">
        <v>1946.2</v>
      </c>
      <c r="U1180" s="108">
        <v>776.3</v>
      </c>
      <c r="V1180" s="109">
        <v>1169.9000000000001</v>
      </c>
      <c r="W1180" s="206" t="s">
        <v>233</v>
      </c>
      <c r="X1180" s="206" t="s">
        <v>233</v>
      </c>
      <c r="Y1180" s="206" t="s">
        <v>233</v>
      </c>
      <c r="Z1180" s="206" t="s">
        <v>233</v>
      </c>
      <c r="AA1180" s="206" t="s">
        <v>233</v>
      </c>
      <c r="AB1180" s="206" t="s">
        <v>233</v>
      </c>
      <c r="AC1180" s="206" t="s">
        <v>240</v>
      </c>
      <c r="AD1180" s="206" t="s">
        <v>233</v>
      </c>
      <c r="AE1180" s="206" t="s">
        <v>240</v>
      </c>
      <c r="AF1180" s="96">
        <v>0</v>
      </c>
      <c r="AG1180" s="93">
        <v>0</v>
      </c>
      <c r="AH1180" s="93">
        <v>1</v>
      </c>
      <c r="AI1180" s="93">
        <v>0</v>
      </c>
      <c r="AJ1180" s="93">
        <v>0</v>
      </c>
      <c r="AK1180" s="93">
        <v>0</v>
      </c>
    </row>
    <row r="1181" spans="1:37" s="104" customFormat="1" outlineLevel="1">
      <c r="A1181" s="92">
        <v>1174</v>
      </c>
      <c r="B1181" s="93" t="s">
        <v>190</v>
      </c>
      <c r="C1181" s="93" t="s">
        <v>1488</v>
      </c>
      <c r="D1181" s="94" t="s">
        <v>859</v>
      </c>
      <c r="E1181" s="105" t="s">
        <v>860</v>
      </c>
      <c r="F1181" s="99" t="s">
        <v>191</v>
      </c>
      <c r="G1181" s="99"/>
      <c r="H1181" s="96" t="s">
        <v>861</v>
      </c>
      <c r="I1181" s="106" t="s">
        <v>792</v>
      </c>
      <c r="J1181" s="93"/>
      <c r="K1181" s="99" t="s">
        <v>232</v>
      </c>
      <c r="L1181" s="93" t="s">
        <v>232</v>
      </c>
      <c r="M1181" s="200">
        <v>1914</v>
      </c>
      <c r="N1181" s="64" t="s">
        <v>385</v>
      </c>
      <c r="O1181" s="106">
        <v>6</v>
      </c>
      <c r="P1181" s="196">
        <v>0</v>
      </c>
      <c r="Q1181" s="106">
        <v>7</v>
      </c>
      <c r="R1181" s="107">
        <v>46</v>
      </c>
      <c r="S1181" s="108">
        <v>9982.7000000000007</v>
      </c>
      <c r="T1181" s="108">
        <v>9982.7000000000007</v>
      </c>
      <c r="U1181" s="108">
        <v>8799</v>
      </c>
      <c r="V1181" s="109">
        <v>1183.7</v>
      </c>
      <c r="W1181" s="206" t="s">
        <v>233</v>
      </c>
      <c r="X1181" s="206" t="s">
        <v>233</v>
      </c>
      <c r="Y1181" s="206" t="s">
        <v>233</v>
      </c>
      <c r="Z1181" s="206" t="s">
        <v>233</v>
      </c>
      <c r="AA1181" s="206" t="s">
        <v>233</v>
      </c>
      <c r="AB1181" s="206" t="s">
        <v>233</v>
      </c>
      <c r="AC1181" s="206" t="s">
        <v>240</v>
      </c>
      <c r="AD1181" s="206" t="s">
        <v>233</v>
      </c>
      <c r="AE1181" s="206" t="s">
        <v>240</v>
      </c>
      <c r="AF1181" s="96">
        <v>3</v>
      </c>
      <c r="AG1181" s="93">
        <v>0</v>
      </c>
      <c r="AH1181" s="93">
        <v>1</v>
      </c>
      <c r="AI1181" s="93">
        <v>0</v>
      </c>
      <c r="AJ1181" s="93">
        <v>0</v>
      </c>
      <c r="AK1181" s="93">
        <v>0</v>
      </c>
    </row>
    <row r="1182" spans="1:37" s="104" customFormat="1" outlineLevel="1">
      <c r="A1182" s="92">
        <v>1175</v>
      </c>
      <c r="B1182" s="93" t="s">
        <v>190</v>
      </c>
      <c r="C1182" s="93" t="s">
        <v>1488</v>
      </c>
      <c r="D1182" s="94" t="s">
        <v>841</v>
      </c>
      <c r="E1182" s="105">
        <v>42</v>
      </c>
      <c r="F1182" s="99" t="s">
        <v>191</v>
      </c>
      <c r="G1182" s="99"/>
      <c r="H1182" s="96" t="s">
        <v>862</v>
      </c>
      <c r="I1182" s="106" t="s">
        <v>736</v>
      </c>
      <c r="J1182" s="93"/>
      <c r="K1182" s="99" t="s">
        <v>232</v>
      </c>
      <c r="L1182" s="93" t="s">
        <v>232</v>
      </c>
      <c r="M1182" s="200">
        <v>1840</v>
      </c>
      <c r="N1182" s="64" t="s">
        <v>385</v>
      </c>
      <c r="O1182" s="106">
        <v>5</v>
      </c>
      <c r="P1182" s="196">
        <v>0</v>
      </c>
      <c r="Q1182" s="106">
        <v>7</v>
      </c>
      <c r="R1182" s="107">
        <v>24</v>
      </c>
      <c r="S1182" s="108">
        <v>4077.2</v>
      </c>
      <c r="T1182" s="108">
        <v>4077.2</v>
      </c>
      <c r="U1182" s="108">
        <v>2635.5</v>
      </c>
      <c r="V1182" s="109">
        <v>1441.7</v>
      </c>
      <c r="W1182" s="206" t="s">
        <v>233</v>
      </c>
      <c r="X1182" s="206" t="s">
        <v>233</v>
      </c>
      <c r="Y1182" s="206" t="s">
        <v>240</v>
      </c>
      <c r="Z1182" s="206" t="s">
        <v>233</v>
      </c>
      <c r="AA1182" s="206" t="s">
        <v>233</v>
      </c>
      <c r="AB1182" s="206" t="s">
        <v>233</v>
      </c>
      <c r="AC1182" s="206" t="s">
        <v>233</v>
      </c>
      <c r="AD1182" s="206" t="s">
        <v>233</v>
      </c>
      <c r="AE1182" s="206" t="s">
        <v>240</v>
      </c>
      <c r="AF1182" s="96">
        <v>0</v>
      </c>
      <c r="AG1182" s="93">
        <v>0</v>
      </c>
      <c r="AH1182" s="93">
        <v>1</v>
      </c>
      <c r="AI1182" s="93">
        <v>0</v>
      </c>
      <c r="AJ1182" s="93">
        <v>0</v>
      </c>
      <c r="AK1182" s="93">
        <v>0</v>
      </c>
    </row>
    <row r="1183" spans="1:37" s="104" customFormat="1" outlineLevel="1">
      <c r="A1183" s="92">
        <v>1176</v>
      </c>
      <c r="B1183" s="93" t="s">
        <v>190</v>
      </c>
      <c r="C1183" s="93" t="s">
        <v>1488</v>
      </c>
      <c r="D1183" s="94" t="s">
        <v>841</v>
      </c>
      <c r="E1183" s="105">
        <v>59</v>
      </c>
      <c r="F1183" s="99" t="s">
        <v>191</v>
      </c>
      <c r="G1183" s="99"/>
      <c r="H1183" s="96" t="s">
        <v>863</v>
      </c>
      <c r="I1183" s="106" t="s">
        <v>736</v>
      </c>
      <c r="J1183" s="93"/>
      <c r="K1183" s="99" t="s">
        <v>232</v>
      </c>
      <c r="L1183" s="93" t="s">
        <v>232</v>
      </c>
      <c r="M1183" s="200">
        <v>1907</v>
      </c>
      <c r="N1183" s="64" t="s">
        <v>385</v>
      </c>
      <c r="O1183" s="106">
        <v>7</v>
      </c>
      <c r="P1183" s="196">
        <v>0</v>
      </c>
      <c r="Q1183" s="106">
        <v>4</v>
      </c>
      <c r="R1183" s="107">
        <v>23</v>
      </c>
      <c r="S1183" s="108">
        <v>2165.8000000000002</v>
      </c>
      <c r="T1183" s="108">
        <v>2165.8000000000002</v>
      </c>
      <c r="U1183" s="108">
        <v>1884.5</v>
      </c>
      <c r="V1183" s="109">
        <v>281.3</v>
      </c>
      <c r="W1183" s="206" t="s">
        <v>233</v>
      </c>
      <c r="X1183" s="206" t="s">
        <v>233</v>
      </c>
      <c r="Y1183" s="206" t="s">
        <v>233</v>
      </c>
      <c r="Z1183" s="206" t="s">
        <v>233</v>
      </c>
      <c r="AA1183" s="206" t="s">
        <v>233</v>
      </c>
      <c r="AB1183" s="206" t="s">
        <v>233</v>
      </c>
      <c r="AC1183" s="206" t="s">
        <v>240</v>
      </c>
      <c r="AD1183" s="206" t="s">
        <v>233</v>
      </c>
      <c r="AE1183" s="206" t="s">
        <v>240</v>
      </c>
      <c r="AF1183" s="96">
        <v>0</v>
      </c>
      <c r="AG1183" s="93">
        <v>0</v>
      </c>
      <c r="AH1183" s="93">
        <v>1</v>
      </c>
      <c r="AI1183" s="93">
        <v>0</v>
      </c>
      <c r="AJ1183" s="93">
        <v>0</v>
      </c>
      <c r="AK1183" s="93">
        <v>0</v>
      </c>
    </row>
    <row r="1184" spans="1:37" s="104" customFormat="1" outlineLevel="1">
      <c r="A1184" s="92">
        <v>1177</v>
      </c>
      <c r="B1184" s="93" t="s">
        <v>190</v>
      </c>
      <c r="C1184" s="93" t="s">
        <v>1488</v>
      </c>
      <c r="D1184" s="94" t="s">
        <v>841</v>
      </c>
      <c r="E1184" s="105" t="s">
        <v>864</v>
      </c>
      <c r="F1184" s="99" t="s">
        <v>191</v>
      </c>
      <c r="G1184" s="99"/>
      <c r="H1184" s="96" t="s">
        <v>865</v>
      </c>
      <c r="I1184" s="106" t="s">
        <v>736</v>
      </c>
      <c r="J1184" s="93"/>
      <c r="K1184" s="99" t="s">
        <v>232</v>
      </c>
      <c r="L1184" s="93" t="s">
        <v>232</v>
      </c>
      <c r="M1184" s="200">
        <v>1845</v>
      </c>
      <c r="N1184" s="64" t="s">
        <v>385</v>
      </c>
      <c r="O1184" s="106">
        <v>4</v>
      </c>
      <c r="P1184" s="196">
        <v>0</v>
      </c>
      <c r="Q1184" s="106">
        <v>3</v>
      </c>
      <c r="R1184" s="107">
        <v>20</v>
      </c>
      <c r="S1184" s="108">
        <v>2304.1999999999998</v>
      </c>
      <c r="T1184" s="108">
        <v>2304.1999999999998</v>
      </c>
      <c r="U1184" s="108">
        <v>1092.2</v>
      </c>
      <c r="V1184" s="109">
        <v>1212</v>
      </c>
      <c r="W1184" s="206" t="s">
        <v>233</v>
      </c>
      <c r="X1184" s="206" t="s">
        <v>233</v>
      </c>
      <c r="Y1184" s="206" t="s">
        <v>233</v>
      </c>
      <c r="Z1184" s="206" t="s">
        <v>233</v>
      </c>
      <c r="AA1184" s="206" t="s">
        <v>233</v>
      </c>
      <c r="AB1184" s="206" t="s">
        <v>233</v>
      </c>
      <c r="AC1184" s="206" t="s">
        <v>240</v>
      </c>
      <c r="AD1184" s="206" t="s">
        <v>233</v>
      </c>
      <c r="AE1184" s="206" t="s">
        <v>240</v>
      </c>
      <c r="AF1184" s="96">
        <v>0</v>
      </c>
      <c r="AG1184" s="93">
        <v>0</v>
      </c>
      <c r="AH1184" s="93">
        <v>1</v>
      </c>
      <c r="AI1184" s="93">
        <v>0</v>
      </c>
      <c r="AJ1184" s="93">
        <v>0</v>
      </c>
      <c r="AK1184" s="93">
        <v>0</v>
      </c>
    </row>
    <row r="1185" spans="1:37" s="104" customFormat="1" ht="15.75" customHeight="1" outlineLevel="1">
      <c r="A1185" s="92">
        <v>1178</v>
      </c>
      <c r="B1185" s="93" t="s">
        <v>190</v>
      </c>
      <c r="C1185" s="93" t="s">
        <v>1488</v>
      </c>
      <c r="D1185" s="94" t="s">
        <v>841</v>
      </c>
      <c r="E1185" s="105">
        <v>66</v>
      </c>
      <c r="F1185" s="99" t="s">
        <v>191</v>
      </c>
      <c r="G1185" s="99"/>
      <c r="H1185" s="96" t="s">
        <v>866</v>
      </c>
      <c r="I1185" s="106" t="s">
        <v>736</v>
      </c>
      <c r="J1185" s="93"/>
      <c r="K1185" s="99" t="s">
        <v>232</v>
      </c>
      <c r="L1185" s="93" t="s">
        <v>232</v>
      </c>
      <c r="M1185" s="200">
        <v>1852</v>
      </c>
      <c r="N1185" s="64" t="s">
        <v>385</v>
      </c>
      <c r="O1185" s="106">
        <v>4</v>
      </c>
      <c r="P1185" s="196">
        <v>0</v>
      </c>
      <c r="Q1185" s="106">
        <v>5</v>
      </c>
      <c r="R1185" s="107">
        <v>38</v>
      </c>
      <c r="S1185" s="108">
        <v>3416.7</v>
      </c>
      <c r="T1185" s="108">
        <v>3416.7</v>
      </c>
      <c r="U1185" s="108">
        <v>2753.6</v>
      </c>
      <c r="V1185" s="109">
        <v>663.1</v>
      </c>
      <c r="W1185" s="206" t="s">
        <v>233</v>
      </c>
      <c r="X1185" s="206" t="s">
        <v>233</v>
      </c>
      <c r="Y1185" s="206" t="s">
        <v>233</v>
      </c>
      <c r="Z1185" s="206" t="s">
        <v>233</v>
      </c>
      <c r="AA1185" s="206" t="s">
        <v>233</v>
      </c>
      <c r="AB1185" s="206" t="s">
        <v>233</v>
      </c>
      <c r="AC1185" s="206" t="s">
        <v>240</v>
      </c>
      <c r="AD1185" s="206" t="s">
        <v>233</v>
      </c>
      <c r="AE1185" s="206" t="s">
        <v>240</v>
      </c>
      <c r="AF1185" s="96">
        <v>0</v>
      </c>
      <c r="AG1185" s="93">
        <v>0</v>
      </c>
      <c r="AH1185" s="93">
        <v>1</v>
      </c>
      <c r="AI1185" s="93">
        <v>0</v>
      </c>
      <c r="AJ1185" s="93">
        <v>0</v>
      </c>
      <c r="AK1185" s="93">
        <v>0</v>
      </c>
    </row>
    <row r="1186" spans="1:37" s="104" customFormat="1" ht="15.75" customHeight="1" outlineLevel="1">
      <c r="A1186" s="92">
        <v>1179</v>
      </c>
      <c r="B1186" s="93" t="s">
        <v>190</v>
      </c>
      <c r="C1186" s="93" t="s">
        <v>1488</v>
      </c>
      <c r="D1186" s="94" t="s">
        <v>841</v>
      </c>
      <c r="E1186" s="105">
        <v>68</v>
      </c>
      <c r="F1186" s="99" t="s">
        <v>191</v>
      </c>
      <c r="G1186" s="99"/>
      <c r="H1186" s="96" t="s">
        <v>867</v>
      </c>
      <c r="I1186" s="106" t="s">
        <v>736</v>
      </c>
      <c r="J1186" s="93"/>
      <c r="K1186" s="99" t="s">
        <v>232</v>
      </c>
      <c r="L1186" s="93" t="s">
        <v>232</v>
      </c>
      <c r="M1186" s="200">
        <v>1868</v>
      </c>
      <c r="N1186" s="64" t="s">
        <v>385</v>
      </c>
      <c r="O1186" s="106">
        <v>7</v>
      </c>
      <c r="P1186" s="196">
        <v>0</v>
      </c>
      <c r="Q1186" s="106">
        <v>6</v>
      </c>
      <c r="R1186" s="107">
        <v>42</v>
      </c>
      <c r="S1186" s="108">
        <v>4828.3</v>
      </c>
      <c r="T1186" s="108">
        <v>4828.3</v>
      </c>
      <c r="U1186" s="108">
        <v>3962</v>
      </c>
      <c r="V1186" s="109">
        <v>866.3</v>
      </c>
      <c r="W1186" s="206" t="s">
        <v>233</v>
      </c>
      <c r="X1186" s="206" t="s">
        <v>233</v>
      </c>
      <c r="Y1186" s="206" t="s">
        <v>233</v>
      </c>
      <c r="Z1186" s="206" t="s">
        <v>233</v>
      </c>
      <c r="AA1186" s="206" t="s">
        <v>233</v>
      </c>
      <c r="AB1186" s="206" t="s">
        <v>233</v>
      </c>
      <c r="AC1186" s="206" t="s">
        <v>240</v>
      </c>
      <c r="AD1186" s="206" t="s">
        <v>233</v>
      </c>
      <c r="AE1186" s="206" t="s">
        <v>240</v>
      </c>
      <c r="AF1186" s="96">
        <v>4</v>
      </c>
      <c r="AG1186" s="93">
        <v>0</v>
      </c>
      <c r="AH1186" s="93">
        <v>1</v>
      </c>
      <c r="AI1186" s="93">
        <v>0</v>
      </c>
      <c r="AJ1186" s="93">
        <v>0</v>
      </c>
      <c r="AK1186" s="93">
        <v>0</v>
      </c>
    </row>
    <row r="1187" spans="1:37" s="104" customFormat="1" ht="15.75" customHeight="1" outlineLevel="1">
      <c r="A1187" s="92">
        <v>1180</v>
      </c>
      <c r="B1187" s="93" t="s">
        <v>190</v>
      </c>
      <c r="C1187" s="93" t="s">
        <v>1488</v>
      </c>
      <c r="D1187" s="94" t="s">
        <v>841</v>
      </c>
      <c r="E1187" s="105">
        <v>70</v>
      </c>
      <c r="F1187" s="99" t="s">
        <v>191</v>
      </c>
      <c r="G1187" s="99"/>
      <c r="H1187" s="96" t="s">
        <v>868</v>
      </c>
      <c r="I1187" s="106" t="s">
        <v>736</v>
      </c>
      <c r="J1187" s="93"/>
      <c r="K1187" s="99" t="s">
        <v>232</v>
      </c>
      <c r="L1187" s="93" t="s">
        <v>232</v>
      </c>
      <c r="M1187" s="200">
        <v>1853</v>
      </c>
      <c r="N1187" s="64" t="s">
        <v>385</v>
      </c>
      <c r="O1187" s="106">
        <v>4</v>
      </c>
      <c r="P1187" s="196">
        <v>0</v>
      </c>
      <c r="Q1187" s="106">
        <v>6</v>
      </c>
      <c r="R1187" s="107">
        <v>53</v>
      </c>
      <c r="S1187" s="108">
        <v>3848.2</v>
      </c>
      <c r="T1187" s="108">
        <v>3848.2</v>
      </c>
      <c r="U1187" s="108">
        <v>3549.1</v>
      </c>
      <c r="V1187" s="109">
        <v>299.10000000000002</v>
      </c>
      <c r="W1187" s="206" t="s">
        <v>233</v>
      </c>
      <c r="X1187" s="206" t="s">
        <v>233</v>
      </c>
      <c r="Y1187" s="206" t="s">
        <v>233</v>
      </c>
      <c r="Z1187" s="206" t="s">
        <v>233</v>
      </c>
      <c r="AA1187" s="206" t="s">
        <v>233</v>
      </c>
      <c r="AB1187" s="206" t="s">
        <v>233</v>
      </c>
      <c r="AC1187" s="206" t="s">
        <v>240</v>
      </c>
      <c r="AD1187" s="206" t="s">
        <v>233</v>
      </c>
      <c r="AE1187" s="206" t="s">
        <v>240</v>
      </c>
      <c r="AF1187" s="96">
        <v>0</v>
      </c>
      <c r="AG1187" s="93">
        <v>0</v>
      </c>
      <c r="AH1187" s="93">
        <v>1</v>
      </c>
      <c r="AI1187" s="93">
        <v>0</v>
      </c>
      <c r="AJ1187" s="93">
        <v>0</v>
      </c>
      <c r="AK1187" s="93">
        <v>0</v>
      </c>
    </row>
    <row r="1188" spans="1:37" s="104" customFormat="1" outlineLevel="1">
      <c r="A1188" s="92">
        <v>1181</v>
      </c>
      <c r="B1188" s="93" t="s">
        <v>190</v>
      </c>
      <c r="C1188" s="93" t="s">
        <v>1488</v>
      </c>
      <c r="D1188" s="94" t="s">
        <v>841</v>
      </c>
      <c r="E1188" s="105">
        <v>72</v>
      </c>
      <c r="F1188" s="99" t="s">
        <v>191</v>
      </c>
      <c r="G1188" s="99"/>
      <c r="H1188" s="96" t="s">
        <v>869</v>
      </c>
      <c r="I1188" s="106" t="s">
        <v>736</v>
      </c>
      <c r="J1188" s="93"/>
      <c r="K1188" s="99" t="s">
        <v>232</v>
      </c>
      <c r="L1188" s="93" t="s">
        <v>232</v>
      </c>
      <c r="M1188" s="200">
        <v>1756</v>
      </c>
      <c r="N1188" s="64" t="s">
        <v>385</v>
      </c>
      <c r="O1188" s="106">
        <v>5</v>
      </c>
      <c r="P1188" s="196">
        <v>0</v>
      </c>
      <c r="Q1188" s="106">
        <v>4</v>
      </c>
      <c r="R1188" s="107">
        <v>26</v>
      </c>
      <c r="S1188" s="108">
        <v>2989.3</v>
      </c>
      <c r="T1188" s="108">
        <v>2989.3</v>
      </c>
      <c r="U1188" s="108">
        <v>2214.4</v>
      </c>
      <c r="V1188" s="109">
        <v>774.9</v>
      </c>
      <c r="W1188" s="206" t="s">
        <v>233</v>
      </c>
      <c r="X1188" s="206" t="s">
        <v>233</v>
      </c>
      <c r="Y1188" s="206" t="s">
        <v>233</v>
      </c>
      <c r="Z1188" s="206" t="s">
        <v>233</v>
      </c>
      <c r="AA1188" s="206" t="s">
        <v>233</v>
      </c>
      <c r="AB1188" s="206" t="s">
        <v>233</v>
      </c>
      <c r="AC1188" s="206" t="s">
        <v>240</v>
      </c>
      <c r="AD1188" s="206" t="s">
        <v>233</v>
      </c>
      <c r="AE1188" s="206" t="s">
        <v>240</v>
      </c>
      <c r="AF1188" s="96">
        <v>0</v>
      </c>
      <c r="AG1188" s="93">
        <v>0</v>
      </c>
      <c r="AH1188" s="93">
        <v>1</v>
      </c>
      <c r="AI1188" s="93">
        <v>0</v>
      </c>
      <c r="AJ1188" s="93">
        <v>0</v>
      </c>
      <c r="AK1188" s="93">
        <v>0</v>
      </c>
    </row>
    <row r="1189" spans="1:37" s="104" customFormat="1" outlineLevel="1">
      <c r="A1189" s="92">
        <v>1182</v>
      </c>
      <c r="B1189" s="93" t="s">
        <v>190</v>
      </c>
      <c r="C1189" s="93" t="s">
        <v>1488</v>
      </c>
      <c r="D1189" s="94" t="s">
        <v>841</v>
      </c>
      <c r="E1189" s="105">
        <v>72</v>
      </c>
      <c r="F1189" s="99" t="s">
        <v>231</v>
      </c>
      <c r="G1189" s="99"/>
      <c r="H1189" s="96" t="s">
        <v>870</v>
      </c>
      <c r="I1189" s="106" t="s">
        <v>736</v>
      </c>
      <c r="J1189" s="93"/>
      <c r="K1189" s="99" t="s">
        <v>232</v>
      </c>
      <c r="L1189" s="93" t="s">
        <v>232</v>
      </c>
      <c r="M1189" s="200">
        <v>1907</v>
      </c>
      <c r="N1189" s="64" t="s">
        <v>385</v>
      </c>
      <c r="O1189" s="106">
        <v>5</v>
      </c>
      <c r="P1189" s="196">
        <v>0</v>
      </c>
      <c r="Q1189" s="106">
        <v>1</v>
      </c>
      <c r="R1189" s="107">
        <v>26</v>
      </c>
      <c r="S1189" s="108">
        <v>846.80000000000007</v>
      </c>
      <c r="T1189" s="108">
        <v>846.80000000000007</v>
      </c>
      <c r="U1189" s="108">
        <v>814.2</v>
      </c>
      <c r="V1189" s="109">
        <v>32.6</v>
      </c>
      <c r="W1189" s="206" t="s">
        <v>233</v>
      </c>
      <c r="X1189" s="206" t="s">
        <v>233</v>
      </c>
      <c r="Y1189" s="206" t="s">
        <v>233</v>
      </c>
      <c r="Z1189" s="206" t="s">
        <v>233</v>
      </c>
      <c r="AA1189" s="206" t="s">
        <v>233</v>
      </c>
      <c r="AB1189" s="206" t="s">
        <v>233</v>
      </c>
      <c r="AC1189" s="206" t="s">
        <v>240</v>
      </c>
      <c r="AD1189" s="206" t="s">
        <v>233</v>
      </c>
      <c r="AE1189" s="206" t="s">
        <v>240</v>
      </c>
      <c r="AF1189" s="96">
        <v>1</v>
      </c>
      <c r="AG1189" s="93">
        <v>0</v>
      </c>
      <c r="AH1189" s="93">
        <v>0</v>
      </c>
      <c r="AI1189" s="93">
        <v>0</v>
      </c>
      <c r="AJ1189" s="93">
        <v>0</v>
      </c>
      <c r="AK1189" s="93">
        <v>0</v>
      </c>
    </row>
    <row r="1190" spans="1:37" s="104" customFormat="1" outlineLevel="1">
      <c r="A1190" s="92">
        <v>1183</v>
      </c>
      <c r="B1190" s="93" t="s">
        <v>190</v>
      </c>
      <c r="C1190" s="93" t="s">
        <v>1488</v>
      </c>
      <c r="D1190" s="94" t="s">
        <v>841</v>
      </c>
      <c r="E1190" s="105">
        <v>72</v>
      </c>
      <c r="F1190" s="99" t="s">
        <v>338</v>
      </c>
      <c r="G1190" s="99"/>
      <c r="H1190" s="96" t="s">
        <v>872</v>
      </c>
      <c r="I1190" s="106" t="s">
        <v>736</v>
      </c>
      <c r="J1190" s="93"/>
      <c r="K1190" s="99" t="s">
        <v>232</v>
      </c>
      <c r="L1190" s="93" t="s">
        <v>232</v>
      </c>
      <c r="M1190" s="200">
        <v>1756</v>
      </c>
      <c r="N1190" s="64" t="s">
        <v>385</v>
      </c>
      <c r="O1190" s="106">
        <v>6</v>
      </c>
      <c r="P1190" s="196">
        <v>0</v>
      </c>
      <c r="Q1190" s="106">
        <v>1</v>
      </c>
      <c r="R1190" s="107">
        <v>28</v>
      </c>
      <c r="S1190" s="108">
        <v>1655.2</v>
      </c>
      <c r="T1190" s="108">
        <v>1655.2</v>
      </c>
      <c r="U1190" s="108">
        <v>1655.2</v>
      </c>
      <c r="V1190" s="109"/>
      <c r="W1190" s="206" t="s">
        <v>233</v>
      </c>
      <c r="X1190" s="206" t="s">
        <v>233</v>
      </c>
      <c r="Y1190" s="206" t="s">
        <v>233</v>
      </c>
      <c r="Z1190" s="206" t="s">
        <v>233</v>
      </c>
      <c r="AA1190" s="206" t="s">
        <v>233</v>
      </c>
      <c r="AB1190" s="206" t="s">
        <v>233</v>
      </c>
      <c r="AC1190" s="206" t="s">
        <v>240</v>
      </c>
      <c r="AD1190" s="206" t="s">
        <v>233</v>
      </c>
      <c r="AE1190" s="206" t="s">
        <v>240</v>
      </c>
      <c r="AF1190" s="96">
        <v>0</v>
      </c>
      <c r="AG1190" s="93">
        <v>0</v>
      </c>
      <c r="AH1190" s="93">
        <v>0</v>
      </c>
      <c r="AI1190" s="93">
        <v>0</v>
      </c>
      <c r="AJ1190" s="93">
        <v>0</v>
      </c>
      <c r="AK1190" s="93">
        <v>0</v>
      </c>
    </row>
    <row r="1191" spans="1:37" s="104" customFormat="1" outlineLevel="1">
      <c r="A1191" s="92">
        <v>1184</v>
      </c>
      <c r="B1191" s="93" t="s">
        <v>190</v>
      </c>
      <c r="C1191" s="93" t="s">
        <v>1488</v>
      </c>
      <c r="D1191" s="94" t="s">
        <v>841</v>
      </c>
      <c r="E1191" s="105">
        <v>79</v>
      </c>
      <c r="F1191" s="99" t="s">
        <v>191</v>
      </c>
      <c r="G1191" s="99"/>
      <c r="H1191" s="96" t="s">
        <v>873</v>
      </c>
      <c r="I1191" s="106" t="s">
        <v>792</v>
      </c>
      <c r="J1191" s="93"/>
      <c r="K1191" s="99" t="s">
        <v>232</v>
      </c>
      <c r="L1191" s="93" t="s">
        <v>232</v>
      </c>
      <c r="M1191" s="200">
        <v>1855</v>
      </c>
      <c r="N1191" s="64" t="s">
        <v>385</v>
      </c>
      <c r="O1191" s="106">
        <v>5</v>
      </c>
      <c r="P1191" s="196">
        <v>0</v>
      </c>
      <c r="Q1191" s="106">
        <v>6</v>
      </c>
      <c r="R1191" s="107">
        <v>58</v>
      </c>
      <c r="S1191" s="108">
        <v>5167</v>
      </c>
      <c r="T1191" s="108">
        <v>5167</v>
      </c>
      <c r="U1191" s="108">
        <v>4454</v>
      </c>
      <c r="V1191" s="109">
        <v>713</v>
      </c>
      <c r="W1191" s="206" t="s">
        <v>233</v>
      </c>
      <c r="X1191" s="206" t="s">
        <v>233</v>
      </c>
      <c r="Y1191" s="206" t="s">
        <v>233</v>
      </c>
      <c r="Z1191" s="206" t="s">
        <v>233</v>
      </c>
      <c r="AA1191" s="206" t="s">
        <v>233</v>
      </c>
      <c r="AB1191" s="206" t="s">
        <v>233</v>
      </c>
      <c r="AC1191" s="206" t="s">
        <v>240</v>
      </c>
      <c r="AD1191" s="206" t="s">
        <v>233</v>
      </c>
      <c r="AE1191" s="206" t="s">
        <v>240</v>
      </c>
      <c r="AF1191" s="96">
        <v>1</v>
      </c>
      <c r="AG1191" s="93">
        <v>0</v>
      </c>
      <c r="AH1191" s="93">
        <v>1</v>
      </c>
      <c r="AI1191" s="93">
        <v>0</v>
      </c>
      <c r="AJ1191" s="93">
        <v>0</v>
      </c>
      <c r="AK1191" s="93">
        <v>0</v>
      </c>
    </row>
    <row r="1192" spans="1:37" s="104" customFormat="1" outlineLevel="1">
      <c r="A1192" s="92">
        <v>1185</v>
      </c>
      <c r="B1192" s="93" t="s">
        <v>190</v>
      </c>
      <c r="C1192" s="93" t="s">
        <v>1488</v>
      </c>
      <c r="D1192" s="94" t="s">
        <v>841</v>
      </c>
      <c r="E1192" s="105">
        <v>80</v>
      </c>
      <c r="F1192" s="99" t="s">
        <v>231</v>
      </c>
      <c r="G1192" s="99"/>
      <c r="H1192" s="96" t="s">
        <v>874</v>
      </c>
      <c r="I1192" s="106" t="s">
        <v>736</v>
      </c>
      <c r="J1192" s="93"/>
      <c r="K1192" s="99" t="s">
        <v>232</v>
      </c>
      <c r="L1192" s="93" t="s">
        <v>232</v>
      </c>
      <c r="M1192" s="200">
        <v>1860</v>
      </c>
      <c r="N1192" s="64" t="s">
        <v>385</v>
      </c>
      <c r="O1192" s="106">
        <v>4</v>
      </c>
      <c r="P1192" s="196">
        <v>0</v>
      </c>
      <c r="Q1192" s="106">
        <v>2</v>
      </c>
      <c r="R1192" s="107">
        <v>14</v>
      </c>
      <c r="S1192" s="108">
        <v>1412.6000000000001</v>
      </c>
      <c r="T1192" s="108">
        <v>1412.6000000000001</v>
      </c>
      <c r="U1192" s="108">
        <v>1291.9000000000001</v>
      </c>
      <c r="V1192" s="109">
        <v>120.7</v>
      </c>
      <c r="W1192" s="206" t="s">
        <v>233</v>
      </c>
      <c r="X1192" s="206" t="s">
        <v>233</v>
      </c>
      <c r="Y1192" s="206" t="s">
        <v>233</v>
      </c>
      <c r="Z1192" s="206" t="s">
        <v>233</v>
      </c>
      <c r="AA1192" s="206" t="s">
        <v>233</v>
      </c>
      <c r="AB1192" s="206" t="s">
        <v>233</v>
      </c>
      <c r="AC1192" s="206" t="s">
        <v>240</v>
      </c>
      <c r="AD1192" s="206" t="s">
        <v>233</v>
      </c>
      <c r="AE1192" s="206" t="s">
        <v>240</v>
      </c>
      <c r="AF1192" s="96">
        <v>0</v>
      </c>
      <c r="AG1192" s="93">
        <v>0</v>
      </c>
      <c r="AH1192" s="93">
        <v>1</v>
      </c>
      <c r="AI1192" s="93">
        <v>0</v>
      </c>
      <c r="AJ1192" s="93">
        <v>0</v>
      </c>
      <c r="AK1192" s="93">
        <v>0</v>
      </c>
    </row>
    <row r="1193" spans="1:37" s="104" customFormat="1" outlineLevel="1">
      <c r="A1193" s="92">
        <v>1186</v>
      </c>
      <c r="B1193" s="93" t="s">
        <v>190</v>
      </c>
      <c r="C1193" s="93" t="s">
        <v>1488</v>
      </c>
      <c r="D1193" s="94" t="s">
        <v>841</v>
      </c>
      <c r="E1193" s="105">
        <v>81</v>
      </c>
      <c r="F1193" s="99" t="s">
        <v>191</v>
      </c>
      <c r="G1193" s="99"/>
      <c r="H1193" s="96" t="s">
        <v>875</v>
      </c>
      <c r="I1193" s="106" t="s">
        <v>792</v>
      </c>
      <c r="J1193" s="93"/>
      <c r="K1193" s="99" t="s">
        <v>232</v>
      </c>
      <c r="L1193" s="93" t="s">
        <v>232</v>
      </c>
      <c r="M1193" s="200">
        <v>1853</v>
      </c>
      <c r="N1193" s="64" t="s">
        <v>385</v>
      </c>
      <c r="O1193" s="106">
        <v>5</v>
      </c>
      <c r="P1193" s="196">
        <v>0</v>
      </c>
      <c r="Q1193" s="106">
        <v>7</v>
      </c>
      <c r="R1193" s="107">
        <v>63</v>
      </c>
      <c r="S1193" s="108">
        <v>3595</v>
      </c>
      <c r="T1193" s="108">
        <v>3595</v>
      </c>
      <c r="U1193" s="108">
        <v>3347</v>
      </c>
      <c r="V1193" s="109">
        <v>248</v>
      </c>
      <c r="W1193" s="206" t="s">
        <v>233</v>
      </c>
      <c r="X1193" s="206" t="s">
        <v>233</v>
      </c>
      <c r="Y1193" s="206" t="s">
        <v>233</v>
      </c>
      <c r="Z1193" s="206" t="s">
        <v>233</v>
      </c>
      <c r="AA1193" s="206" t="s">
        <v>233</v>
      </c>
      <c r="AB1193" s="206" t="s">
        <v>233</v>
      </c>
      <c r="AC1193" s="206" t="s">
        <v>240</v>
      </c>
      <c r="AD1193" s="206" t="s">
        <v>233</v>
      </c>
      <c r="AE1193" s="206" t="s">
        <v>240</v>
      </c>
      <c r="AF1193" s="96">
        <v>1</v>
      </c>
      <c r="AG1193" s="93">
        <v>0</v>
      </c>
      <c r="AH1193" s="93">
        <v>1</v>
      </c>
      <c r="AI1193" s="93">
        <v>0</v>
      </c>
      <c r="AJ1193" s="93">
        <v>0</v>
      </c>
      <c r="AK1193" s="93">
        <v>0</v>
      </c>
    </row>
    <row r="1194" spans="1:37" s="104" customFormat="1" outlineLevel="1">
      <c r="A1194" s="92">
        <v>1187</v>
      </c>
      <c r="B1194" s="93" t="s">
        <v>190</v>
      </c>
      <c r="C1194" s="93" t="s">
        <v>1488</v>
      </c>
      <c r="D1194" s="94" t="s">
        <v>841</v>
      </c>
      <c r="E1194" s="105">
        <v>82</v>
      </c>
      <c r="F1194" s="99" t="s">
        <v>191</v>
      </c>
      <c r="G1194" s="99"/>
      <c r="H1194" s="96" t="s">
        <v>876</v>
      </c>
      <c r="I1194" s="106" t="s">
        <v>736</v>
      </c>
      <c r="J1194" s="93"/>
      <c r="K1194" s="99" t="s">
        <v>232</v>
      </c>
      <c r="L1194" s="93" t="s">
        <v>232</v>
      </c>
      <c r="M1194" s="200">
        <v>1842</v>
      </c>
      <c r="N1194" s="64" t="s">
        <v>385</v>
      </c>
      <c r="O1194" s="106">
        <v>4</v>
      </c>
      <c r="P1194" s="196">
        <v>0</v>
      </c>
      <c r="Q1194" s="106">
        <v>4</v>
      </c>
      <c r="R1194" s="107">
        <v>34</v>
      </c>
      <c r="S1194" s="108">
        <v>2714.2999999999997</v>
      </c>
      <c r="T1194" s="108">
        <v>2714.2999999999997</v>
      </c>
      <c r="U1194" s="108">
        <v>2613.1999999999998</v>
      </c>
      <c r="V1194" s="109">
        <v>101.1</v>
      </c>
      <c r="W1194" s="206" t="s">
        <v>233</v>
      </c>
      <c r="X1194" s="206" t="s">
        <v>233</v>
      </c>
      <c r="Y1194" s="206" t="s">
        <v>233</v>
      </c>
      <c r="Z1194" s="206" t="s">
        <v>233</v>
      </c>
      <c r="AA1194" s="206" t="s">
        <v>233</v>
      </c>
      <c r="AB1194" s="206" t="s">
        <v>233</v>
      </c>
      <c r="AC1194" s="206" t="s">
        <v>240</v>
      </c>
      <c r="AD1194" s="206" t="s">
        <v>233</v>
      </c>
      <c r="AE1194" s="206" t="s">
        <v>240</v>
      </c>
      <c r="AF1194" s="96">
        <v>0</v>
      </c>
      <c r="AG1194" s="93">
        <v>0</v>
      </c>
      <c r="AH1194" s="93">
        <v>1</v>
      </c>
      <c r="AI1194" s="93">
        <v>0</v>
      </c>
      <c r="AJ1194" s="93">
        <v>0</v>
      </c>
      <c r="AK1194" s="93">
        <v>0</v>
      </c>
    </row>
    <row r="1195" spans="1:37" s="104" customFormat="1" outlineLevel="1">
      <c r="A1195" s="92">
        <v>1188</v>
      </c>
      <c r="B1195" s="93" t="s">
        <v>190</v>
      </c>
      <c r="C1195" s="93" t="s">
        <v>1488</v>
      </c>
      <c r="D1195" s="94" t="s">
        <v>841</v>
      </c>
      <c r="E1195" s="105">
        <v>85</v>
      </c>
      <c r="F1195" s="99" t="s">
        <v>191</v>
      </c>
      <c r="G1195" s="99"/>
      <c r="H1195" s="96" t="s">
        <v>877</v>
      </c>
      <c r="I1195" s="106" t="s">
        <v>736</v>
      </c>
      <c r="J1195" s="93"/>
      <c r="K1195" s="99" t="s">
        <v>232</v>
      </c>
      <c r="L1195" s="93" t="s">
        <v>232</v>
      </c>
      <c r="M1195" s="200">
        <v>1997</v>
      </c>
      <c r="N1195" s="64" t="s">
        <v>385</v>
      </c>
      <c r="O1195" s="106">
        <v>5</v>
      </c>
      <c r="P1195" s="196">
        <v>0</v>
      </c>
      <c r="Q1195" s="106">
        <v>4</v>
      </c>
      <c r="R1195" s="107">
        <v>39</v>
      </c>
      <c r="S1195" s="108">
        <v>4517.3</v>
      </c>
      <c r="T1195" s="108">
        <v>4517.3</v>
      </c>
      <c r="U1195" s="108">
        <v>3668.2</v>
      </c>
      <c r="V1195" s="109">
        <v>849.1</v>
      </c>
      <c r="W1195" s="206" t="s">
        <v>233</v>
      </c>
      <c r="X1195" s="206" t="s">
        <v>233</v>
      </c>
      <c r="Y1195" s="206" t="s">
        <v>233</v>
      </c>
      <c r="Z1195" s="206" t="s">
        <v>233</v>
      </c>
      <c r="AA1195" s="206" t="s">
        <v>233</v>
      </c>
      <c r="AB1195" s="206" t="s">
        <v>233</v>
      </c>
      <c r="AC1195" s="206" t="s">
        <v>240</v>
      </c>
      <c r="AD1195" s="206" t="s">
        <v>233</v>
      </c>
      <c r="AE1195" s="206" t="s">
        <v>240</v>
      </c>
      <c r="AF1195" s="96">
        <v>0</v>
      </c>
      <c r="AG1195" s="93">
        <v>0</v>
      </c>
      <c r="AH1195" s="93">
        <v>1</v>
      </c>
      <c r="AI1195" s="93">
        <v>0</v>
      </c>
      <c r="AJ1195" s="93">
        <v>0</v>
      </c>
      <c r="AK1195" s="93">
        <v>0</v>
      </c>
    </row>
    <row r="1196" spans="1:37" s="104" customFormat="1" outlineLevel="1">
      <c r="A1196" s="92">
        <v>1189</v>
      </c>
      <c r="B1196" s="93" t="s">
        <v>190</v>
      </c>
      <c r="C1196" s="93" t="s">
        <v>1488</v>
      </c>
      <c r="D1196" s="94" t="s">
        <v>841</v>
      </c>
      <c r="E1196" s="105">
        <v>86</v>
      </c>
      <c r="F1196" s="99" t="s">
        <v>191</v>
      </c>
      <c r="G1196" s="99"/>
      <c r="H1196" s="96" t="s">
        <v>878</v>
      </c>
      <c r="I1196" s="106" t="s">
        <v>736</v>
      </c>
      <c r="J1196" s="93"/>
      <c r="K1196" s="99" t="s">
        <v>232</v>
      </c>
      <c r="L1196" s="93" t="s">
        <v>232</v>
      </c>
      <c r="M1196" s="200">
        <v>1884</v>
      </c>
      <c r="N1196" s="64" t="s">
        <v>385</v>
      </c>
      <c r="O1196" s="106">
        <v>5</v>
      </c>
      <c r="P1196" s="196">
        <v>0</v>
      </c>
      <c r="Q1196" s="106">
        <v>2</v>
      </c>
      <c r="R1196" s="107">
        <v>19</v>
      </c>
      <c r="S1196" s="108">
        <v>1297</v>
      </c>
      <c r="T1196" s="108">
        <v>1297</v>
      </c>
      <c r="U1196" s="108">
        <v>1297</v>
      </c>
      <c r="V1196" s="109">
        <v>0</v>
      </c>
      <c r="W1196" s="206" t="s">
        <v>233</v>
      </c>
      <c r="X1196" s="206" t="s">
        <v>233</v>
      </c>
      <c r="Y1196" s="206" t="s">
        <v>233</v>
      </c>
      <c r="Z1196" s="206" t="s">
        <v>233</v>
      </c>
      <c r="AA1196" s="206" t="s">
        <v>233</v>
      </c>
      <c r="AB1196" s="206" t="s">
        <v>233</v>
      </c>
      <c r="AC1196" s="206" t="s">
        <v>240</v>
      </c>
      <c r="AD1196" s="206" t="s">
        <v>233</v>
      </c>
      <c r="AE1196" s="206" t="s">
        <v>240</v>
      </c>
      <c r="AF1196" s="96">
        <v>2</v>
      </c>
      <c r="AG1196" s="93">
        <v>0</v>
      </c>
      <c r="AH1196" s="93">
        <v>1</v>
      </c>
      <c r="AI1196" s="93">
        <v>0</v>
      </c>
      <c r="AJ1196" s="93">
        <v>0</v>
      </c>
      <c r="AK1196" s="93">
        <v>0</v>
      </c>
    </row>
    <row r="1197" spans="1:37" s="104" customFormat="1" outlineLevel="1">
      <c r="A1197" s="92">
        <v>1190</v>
      </c>
      <c r="B1197" s="93" t="s">
        <v>190</v>
      </c>
      <c r="C1197" s="93" t="s">
        <v>1488</v>
      </c>
      <c r="D1197" s="94" t="s">
        <v>841</v>
      </c>
      <c r="E1197" s="105">
        <v>91</v>
      </c>
      <c r="F1197" s="99" t="s">
        <v>191</v>
      </c>
      <c r="G1197" s="99"/>
      <c r="H1197" s="96" t="s">
        <v>879</v>
      </c>
      <c r="I1197" s="106" t="s">
        <v>736</v>
      </c>
      <c r="J1197" s="93"/>
      <c r="K1197" s="99" t="s">
        <v>232</v>
      </c>
      <c r="L1197" s="93" t="s">
        <v>232</v>
      </c>
      <c r="M1197" s="200">
        <v>1863</v>
      </c>
      <c r="N1197" s="64" t="s">
        <v>385</v>
      </c>
      <c r="O1197" s="106">
        <v>5</v>
      </c>
      <c r="P1197" s="196">
        <v>0</v>
      </c>
      <c r="Q1197" s="106">
        <v>4</v>
      </c>
      <c r="R1197" s="107">
        <v>42</v>
      </c>
      <c r="S1197" s="108">
        <v>3144.8</v>
      </c>
      <c r="T1197" s="108">
        <v>3144.8</v>
      </c>
      <c r="U1197" s="108">
        <v>2646.3</v>
      </c>
      <c r="V1197" s="109">
        <v>498.5</v>
      </c>
      <c r="W1197" s="206" t="s">
        <v>233</v>
      </c>
      <c r="X1197" s="206" t="s">
        <v>233</v>
      </c>
      <c r="Y1197" s="206" t="s">
        <v>233</v>
      </c>
      <c r="Z1197" s="206" t="s">
        <v>233</v>
      </c>
      <c r="AA1197" s="206" t="s">
        <v>233</v>
      </c>
      <c r="AB1197" s="206" t="s">
        <v>233</v>
      </c>
      <c r="AC1197" s="206" t="s">
        <v>240</v>
      </c>
      <c r="AD1197" s="206" t="s">
        <v>233</v>
      </c>
      <c r="AE1197" s="206" t="s">
        <v>240</v>
      </c>
      <c r="AF1197" s="96">
        <v>0</v>
      </c>
      <c r="AG1197" s="93">
        <v>0</v>
      </c>
      <c r="AH1197" s="93">
        <v>1</v>
      </c>
      <c r="AI1197" s="93">
        <v>0</v>
      </c>
      <c r="AJ1197" s="93">
        <v>0</v>
      </c>
      <c r="AK1197" s="93">
        <v>0</v>
      </c>
    </row>
    <row r="1198" spans="1:37" s="104" customFormat="1" outlineLevel="1">
      <c r="A1198" s="92">
        <v>1191</v>
      </c>
      <c r="B1198" s="93" t="s">
        <v>190</v>
      </c>
      <c r="C1198" s="93" t="s">
        <v>1488</v>
      </c>
      <c r="D1198" s="94" t="s">
        <v>841</v>
      </c>
      <c r="E1198" s="105">
        <v>94</v>
      </c>
      <c r="F1198" s="99" t="s">
        <v>191</v>
      </c>
      <c r="G1198" s="99"/>
      <c r="H1198" s="96" t="s">
        <v>880</v>
      </c>
      <c r="I1198" s="106" t="s">
        <v>736</v>
      </c>
      <c r="J1198" s="93"/>
      <c r="K1198" s="99" t="s">
        <v>232</v>
      </c>
      <c r="L1198" s="93" t="s">
        <v>232</v>
      </c>
      <c r="M1198" s="200">
        <v>1880</v>
      </c>
      <c r="N1198" s="64" t="s">
        <v>385</v>
      </c>
      <c r="O1198" s="106">
        <v>4</v>
      </c>
      <c r="P1198" s="196">
        <v>0</v>
      </c>
      <c r="Q1198" s="106">
        <v>2</v>
      </c>
      <c r="R1198" s="107">
        <v>17</v>
      </c>
      <c r="S1198" s="108">
        <v>1291.5999999999999</v>
      </c>
      <c r="T1198" s="108">
        <v>1291.5999999999999</v>
      </c>
      <c r="U1198" s="108">
        <v>995.8</v>
      </c>
      <c r="V1198" s="109">
        <v>295.8</v>
      </c>
      <c r="W1198" s="206" t="s">
        <v>233</v>
      </c>
      <c r="X1198" s="206" t="s">
        <v>233</v>
      </c>
      <c r="Y1198" s="206" t="s">
        <v>233</v>
      </c>
      <c r="Z1198" s="206" t="s">
        <v>233</v>
      </c>
      <c r="AA1198" s="206" t="s">
        <v>233</v>
      </c>
      <c r="AB1198" s="206" t="s">
        <v>233</v>
      </c>
      <c r="AC1198" s="206" t="s">
        <v>240</v>
      </c>
      <c r="AD1198" s="206" t="s">
        <v>233</v>
      </c>
      <c r="AE1198" s="206" t="s">
        <v>240</v>
      </c>
      <c r="AF1198" s="96">
        <v>0</v>
      </c>
      <c r="AG1198" s="93">
        <v>0</v>
      </c>
      <c r="AH1198" s="93">
        <v>1</v>
      </c>
      <c r="AI1198" s="93">
        <v>0</v>
      </c>
      <c r="AJ1198" s="93">
        <v>0</v>
      </c>
      <c r="AK1198" s="93">
        <v>0</v>
      </c>
    </row>
    <row r="1199" spans="1:37" s="104" customFormat="1" outlineLevel="1">
      <c r="A1199" s="92">
        <v>1192</v>
      </c>
      <c r="B1199" s="93" t="s">
        <v>190</v>
      </c>
      <c r="C1199" s="93" t="s">
        <v>1488</v>
      </c>
      <c r="D1199" s="94" t="s">
        <v>841</v>
      </c>
      <c r="E1199" s="105">
        <v>95</v>
      </c>
      <c r="F1199" s="99" t="s">
        <v>191</v>
      </c>
      <c r="G1199" s="99"/>
      <c r="H1199" s="96" t="s">
        <v>881</v>
      </c>
      <c r="I1199" s="106" t="s">
        <v>736</v>
      </c>
      <c r="J1199" s="93"/>
      <c r="K1199" s="99" t="s">
        <v>232</v>
      </c>
      <c r="L1199" s="93" t="s">
        <v>232</v>
      </c>
      <c r="M1199" s="200">
        <v>1861</v>
      </c>
      <c r="N1199" s="64" t="s">
        <v>385</v>
      </c>
      <c r="O1199" s="106">
        <v>4</v>
      </c>
      <c r="P1199" s="196">
        <v>0</v>
      </c>
      <c r="Q1199" s="106">
        <v>1</v>
      </c>
      <c r="R1199" s="107">
        <v>15</v>
      </c>
      <c r="S1199" s="108">
        <v>1273.9000000000001</v>
      </c>
      <c r="T1199" s="108">
        <v>1273.9000000000001</v>
      </c>
      <c r="U1199" s="108">
        <v>1049.7</v>
      </c>
      <c r="V1199" s="109">
        <v>224.2</v>
      </c>
      <c r="W1199" s="206" t="s">
        <v>233</v>
      </c>
      <c r="X1199" s="206" t="s">
        <v>233</v>
      </c>
      <c r="Y1199" s="206" t="s">
        <v>233</v>
      </c>
      <c r="Z1199" s="206" t="s">
        <v>233</v>
      </c>
      <c r="AA1199" s="206" t="s">
        <v>233</v>
      </c>
      <c r="AB1199" s="206" t="s">
        <v>233</v>
      </c>
      <c r="AC1199" s="206" t="s">
        <v>240</v>
      </c>
      <c r="AD1199" s="206" t="s">
        <v>233</v>
      </c>
      <c r="AE1199" s="206" t="s">
        <v>240</v>
      </c>
      <c r="AF1199" s="96">
        <v>1</v>
      </c>
      <c r="AG1199" s="93">
        <v>0</v>
      </c>
      <c r="AH1199" s="93">
        <v>0</v>
      </c>
      <c r="AI1199" s="93">
        <v>0</v>
      </c>
      <c r="AJ1199" s="93">
        <v>0</v>
      </c>
      <c r="AK1199" s="93">
        <v>0</v>
      </c>
    </row>
    <row r="1200" spans="1:37" s="104" customFormat="1" ht="15.75" customHeight="1" outlineLevel="1">
      <c r="A1200" s="92">
        <v>1193</v>
      </c>
      <c r="B1200" s="93" t="s">
        <v>190</v>
      </c>
      <c r="C1200" s="93" t="s">
        <v>1488</v>
      </c>
      <c r="D1200" s="94" t="s">
        <v>841</v>
      </c>
      <c r="E1200" s="105">
        <v>96</v>
      </c>
      <c r="F1200" s="99" t="s">
        <v>191</v>
      </c>
      <c r="G1200" s="99"/>
      <c r="H1200" s="96" t="s">
        <v>882</v>
      </c>
      <c r="I1200" s="106" t="s">
        <v>736</v>
      </c>
      <c r="J1200" s="93"/>
      <c r="K1200" s="99" t="s">
        <v>232</v>
      </c>
      <c r="L1200" s="93" t="s">
        <v>232</v>
      </c>
      <c r="M1200" s="200">
        <v>1839</v>
      </c>
      <c r="N1200" s="64" t="s">
        <v>385</v>
      </c>
      <c r="O1200" s="106">
        <v>5</v>
      </c>
      <c r="P1200" s="196">
        <v>0</v>
      </c>
      <c r="Q1200" s="106">
        <v>5</v>
      </c>
      <c r="R1200" s="107">
        <v>30</v>
      </c>
      <c r="S1200" s="108">
        <v>4922.2</v>
      </c>
      <c r="T1200" s="108">
        <v>4922.2</v>
      </c>
      <c r="U1200" s="108">
        <v>3811.1</v>
      </c>
      <c r="V1200" s="109">
        <v>1111.0999999999999</v>
      </c>
      <c r="W1200" s="206" t="s">
        <v>233</v>
      </c>
      <c r="X1200" s="206" t="s">
        <v>233</v>
      </c>
      <c r="Y1200" s="206" t="s">
        <v>233</v>
      </c>
      <c r="Z1200" s="206" t="s">
        <v>233</v>
      </c>
      <c r="AA1200" s="206" t="s">
        <v>233</v>
      </c>
      <c r="AB1200" s="206" t="s">
        <v>233</v>
      </c>
      <c r="AC1200" s="206" t="s">
        <v>240</v>
      </c>
      <c r="AD1200" s="206" t="s">
        <v>233</v>
      </c>
      <c r="AE1200" s="206" t="s">
        <v>240</v>
      </c>
      <c r="AF1200" s="96">
        <v>2</v>
      </c>
      <c r="AG1200" s="93">
        <v>0</v>
      </c>
      <c r="AH1200" s="93">
        <v>1</v>
      </c>
      <c r="AI1200" s="93">
        <v>0</v>
      </c>
      <c r="AJ1200" s="93">
        <v>0</v>
      </c>
      <c r="AK1200" s="93">
        <v>0</v>
      </c>
    </row>
    <row r="1201" spans="1:37" s="104" customFormat="1" ht="15.75" customHeight="1" outlineLevel="1">
      <c r="A1201" s="92">
        <v>1194</v>
      </c>
      <c r="B1201" s="93" t="s">
        <v>190</v>
      </c>
      <c r="C1201" s="93" t="s">
        <v>1488</v>
      </c>
      <c r="D1201" s="94" t="s">
        <v>841</v>
      </c>
      <c r="E1201" s="105">
        <v>97</v>
      </c>
      <c r="F1201" s="99" t="s">
        <v>191</v>
      </c>
      <c r="G1201" s="99"/>
      <c r="H1201" s="96" t="s">
        <v>883</v>
      </c>
      <c r="I1201" s="106" t="s">
        <v>736</v>
      </c>
      <c r="J1201" s="93"/>
      <c r="K1201" s="99" t="s">
        <v>232</v>
      </c>
      <c r="L1201" s="93" t="s">
        <v>232</v>
      </c>
      <c r="M1201" s="200">
        <v>1880</v>
      </c>
      <c r="N1201" s="64" t="s">
        <v>385</v>
      </c>
      <c r="O1201" s="106">
        <v>5</v>
      </c>
      <c r="P1201" s="196">
        <v>0</v>
      </c>
      <c r="Q1201" s="106">
        <v>5</v>
      </c>
      <c r="R1201" s="107">
        <v>69</v>
      </c>
      <c r="S1201" s="108">
        <v>6241.6</v>
      </c>
      <c r="T1201" s="108">
        <v>6241.6</v>
      </c>
      <c r="U1201" s="108">
        <v>4893.7</v>
      </c>
      <c r="V1201" s="109">
        <v>1347.9</v>
      </c>
      <c r="W1201" s="206" t="s">
        <v>233</v>
      </c>
      <c r="X1201" s="206" t="s">
        <v>233</v>
      </c>
      <c r="Y1201" s="206" t="s">
        <v>233</v>
      </c>
      <c r="Z1201" s="206" t="s">
        <v>233</v>
      </c>
      <c r="AA1201" s="206" t="s">
        <v>233</v>
      </c>
      <c r="AB1201" s="206" t="s">
        <v>233</v>
      </c>
      <c r="AC1201" s="206" t="s">
        <v>240</v>
      </c>
      <c r="AD1201" s="206" t="s">
        <v>233</v>
      </c>
      <c r="AE1201" s="206" t="s">
        <v>240</v>
      </c>
      <c r="AF1201" s="96">
        <v>0</v>
      </c>
      <c r="AG1201" s="93">
        <v>0</v>
      </c>
      <c r="AH1201" s="93">
        <v>1</v>
      </c>
      <c r="AI1201" s="93">
        <v>0</v>
      </c>
      <c r="AJ1201" s="93">
        <v>0</v>
      </c>
      <c r="AK1201" s="93">
        <v>0</v>
      </c>
    </row>
    <row r="1202" spans="1:37" s="104" customFormat="1" outlineLevel="1">
      <c r="A1202" s="92">
        <v>1195</v>
      </c>
      <c r="B1202" s="93" t="s">
        <v>190</v>
      </c>
      <c r="C1202" s="93" t="s">
        <v>1488</v>
      </c>
      <c r="D1202" s="94" t="s">
        <v>884</v>
      </c>
      <c r="E1202" s="105">
        <v>20</v>
      </c>
      <c r="F1202" s="99" t="s">
        <v>191</v>
      </c>
      <c r="G1202" s="99"/>
      <c r="H1202" s="96" t="s">
        <v>885</v>
      </c>
      <c r="I1202" s="106" t="s">
        <v>736</v>
      </c>
      <c r="J1202" s="93"/>
      <c r="K1202" s="99" t="s">
        <v>232</v>
      </c>
      <c r="L1202" s="93" t="s">
        <v>232</v>
      </c>
      <c r="M1202" s="200">
        <v>1756</v>
      </c>
      <c r="N1202" s="64" t="s">
        <v>385</v>
      </c>
      <c r="O1202" s="106">
        <v>3</v>
      </c>
      <c r="P1202" s="196">
        <v>0</v>
      </c>
      <c r="Q1202" s="106">
        <v>2</v>
      </c>
      <c r="R1202" s="107">
        <v>7</v>
      </c>
      <c r="S1202" s="108">
        <v>816.40000000000009</v>
      </c>
      <c r="T1202" s="108">
        <v>816.40000000000009</v>
      </c>
      <c r="U1202" s="108">
        <v>584.6</v>
      </c>
      <c r="V1202" s="109">
        <v>231.8</v>
      </c>
      <c r="W1202" s="206" t="s">
        <v>233</v>
      </c>
      <c r="X1202" s="206" t="s">
        <v>233</v>
      </c>
      <c r="Y1202" s="206" t="s">
        <v>240</v>
      </c>
      <c r="Z1202" s="206" t="s">
        <v>233</v>
      </c>
      <c r="AA1202" s="206" t="s">
        <v>233</v>
      </c>
      <c r="AB1202" s="206" t="s">
        <v>233</v>
      </c>
      <c r="AC1202" s="206" t="s">
        <v>233</v>
      </c>
      <c r="AD1202" s="206" t="s">
        <v>233</v>
      </c>
      <c r="AE1202" s="206" t="s">
        <v>240</v>
      </c>
      <c r="AF1202" s="96">
        <v>0</v>
      </c>
      <c r="AG1202" s="93">
        <v>0</v>
      </c>
      <c r="AH1202" s="93">
        <v>1</v>
      </c>
      <c r="AI1202" s="93">
        <v>0</v>
      </c>
      <c r="AJ1202" s="93">
        <v>0</v>
      </c>
      <c r="AK1202" s="93">
        <v>0</v>
      </c>
    </row>
    <row r="1203" spans="1:37" s="104" customFormat="1" ht="15.75" customHeight="1" outlineLevel="1">
      <c r="A1203" s="92">
        <v>1196</v>
      </c>
      <c r="B1203" s="93" t="s">
        <v>190</v>
      </c>
      <c r="C1203" s="93" t="s">
        <v>1488</v>
      </c>
      <c r="D1203" s="94" t="s">
        <v>884</v>
      </c>
      <c r="E1203" s="105">
        <v>22</v>
      </c>
      <c r="F1203" s="99" t="s">
        <v>191</v>
      </c>
      <c r="G1203" s="99"/>
      <c r="H1203" s="96" t="s">
        <v>886</v>
      </c>
      <c r="I1203" s="106" t="s">
        <v>736</v>
      </c>
      <c r="J1203" s="93"/>
      <c r="K1203" s="99" t="s">
        <v>232</v>
      </c>
      <c r="L1203" s="93" t="s">
        <v>232</v>
      </c>
      <c r="M1203" s="200">
        <v>1917</v>
      </c>
      <c r="N1203" s="64" t="s">
        <v>385</v>
      </c>
      <c r="O1203" s="106">
        <v>4</v>
      </c>
      <c r="P1203" s="196">
        <v>0</v>
      </c>
      <c r="Q1203" s="106">
        <v>6</v>
      </c>
      <c r="R1203" s="107">
        <v>18</v>
      </c>
      <c r="S1203" s="108">
        <v>2475.8000000000002</v>
      </c>
      <c r="T1203" s="108">
        <v>2475.8000000000002</v>
      </c>
      <c r="U1203" s="108">
        <v>1998.9</v>
      </c>
      <c r="V1203" s="109">
        <v>476.9</v>
      </c>
      <c r="W1203" s="206" t="s">
        <v>233</v>
      </c>
      <c r="X1203" s="206" t="s">
        <v>233</v>
      </c>
      <c r="Y1203" s="206" t="s">
        <v>240</v>
      </c>
      <c r="Z1203" s="206" t="s">
        <v>233</v>
      </c>
      <c r="AA1203" s="206" t="s">
        <v>233</v>
      </c>
      <c r="AB1203" s="206" t="s">
        <v>233</v>
      </c>
      <c r="AC1203" s="206" t="s">
        <v>233</v>
      </c>
      <c r="AD1203" s="206" t="s">
        <v>233</v>
      </c>
      <c r="AE1203" s="206" t="s">
        <v>240</v>
      </c>
      <c r="AF1203" s="96">
        <v>0</v>
      </c>
      <c r="AG1203" s="93">
        <v>0</v>
      </c>
      <c r="AH1203" s="93">
        <v>1</v>
      </c>
      <c r="AI1203" s="93">
        <v>0</v>
      </c>
      <c r="AJ1203" s="93">
        <v>0</v>
      </c>
      <c r="AK1203" s="93">
        <v>0</v>
      </c>
    </row>
    <row r="1204" spans="1:37" s="104" customFormat="1" ht="15.75" customHeight="1" outlineLevel="1">
      <c r="A1204" s="92">
        <v>1197</v>
      </c>
      <c r="B1204" s="93" t="s">
        <v>190</v>
      </c>
      <c r="C1204" s="93" t="s">
        <v>1488</v>
      </c>
      <c r="D1204" s="94" t="s">
        <v>884</v>
      </c>
      <c r="E1204" s="105">
        <v>22</v>
      </c>
      <c r="F1204" s="99" t="s">
        <v>231</v>
      </c>
      <c r="G1204" s="99"/>
      <c r="H1204" s="96" t="s">
        <v>887</v>
      </c>
      <c r="I1204" s="106" t="s">
        <v>736</v>
      </c>
      <c r="J1204" s="93"/>
      <c r="K1204" s="99" t="s">
        <v>232</v>
      </c>
      <c r="L1204" s="93" t="s">
        <v>232</v>
      </c>
      <c r="M1204" s="200">
        <v>1917</v>
      </c>
      <c r="N1204" s="64" t="s">
        <v>385</v>
      </c>
      <c r="O1204" s="106">
        <v>4</v>
      </c>
      <c r="P1204" s="196">
        <v>0</v>
      </c>
      <c r="Q1204" s="106">
        <v>1</v>
      </c>
      <c r="R1204" s="107">
        <v>16</v>
      </c>
      <c r="S1204" s="108">
        <v>453.6</v>
      </c>
      <c r="T1204" s="108">
        <v>453.6</v>
      </c>
      <c r="U1204" s="108">
        <v>346.7</v>
      </c>
      <c r="V1204" s="109">
        <v>106.9</v>
      </c>
      <c r="W1204" s="206" t="s">
        <v>233</v>
      </c>
      <c r="X1204" s="206" t="s">
        <v>233</v>
      </c>
      <c r="Y1204" s="206" t="s">
        <v>240</v>
      </c>
      <c r="Z1204" s="206" t="s">
        <v>233</v>
      </c>
      <c r="AA1204" s="206" t="s">
        <v>233</v>
      </c>
      <c r="AB1204" s="206" t="s">
        <v>233</v>
      </c>
      <c r="AC1204" s="206" t="s">
        <v>233</v>
      </c>
      <c r="AD1204" s="206" t="s">
        <v>233</v>
      </c>
      <c r="AE1204" s="206" t="s">
        <v>240</v>
      </c>
      <c r="AF1204" s="96">
        <v>0</v>
      </c>
      <c r="AG1204" s="93">
        <v>0</v>
      </c>
      <c r="AH1204" s="93">
        <v>0</v>
      </c>
      <c r="AI1204" s="93">
        <v>0</v>
      </c>
      <c r="AJ1204" s="93">
        <v>0</v>
      </c>
      <c r="AK1204" s="93">
        <v>0</v>
      </c>
    </row>
    <row r="1205" spans="1:37" s="104" customFormat="1" ht="15.75" customHeight="1" outlineLevel="1">
      <c r="A1205" s="92">
        <v>1198</v>
      </c>
      <c r="B1205" s="93" t="s">
        <v>190</v>
      </c>
      <c r="C1205" s="93" t="s">
        <v>1488</v>
      </c>
      <c r="D1205" s="94" t="s">
        <v>884</v>
      </c>
      <c r="E1205" s="105">
        <v>26</v>
      </c>
      <c r="F1205" s="99" t="s">
        <v>191</v>
      </c>
      <c r="G1205" s="99"/>
      <c r="H1205" s="96" t="s">
        <v>888</v>
      </c>
      <c r="I1205" s="106" t="s">
        <v>736</v>
      </c>
      <c r="J1205" s="93"/>
      <c r="K1205" s="99" t="s">
        <v>232</v>
      </c>
      <c r="L1205" s="93" t="s">
        <v>232</v>
      </c>
      <c r="M1205" s="200">
        <v>1756</v>
      </c>
      <c r="N1205" s="64" t="s">
        <v>385</v>
      </c>
      <c r="O1205" s="106">
        <v>6</v>
      </c>
      <c r="P1205" s="196">
        <v>0</v>
      </c>
      <c r="Q1205" s="106">
        <v>4</v>
      </c>
      <c r="R1205" s="107">
        <v>37</v>
      </c>
      <c r="S1205" s="108">
        <v>2723.3</v>
      </c>
      <c r="T1205" s="108">
        <v>2723.3</v>
      </c>
      <c r="U1205" s="108">
        <v>2148.4</v>
      </c>
      <c r="V1205" s="109">
        <v>574.9</v>
      </c>
      <c r="W1205" s="206" t="s">
        <v>233</v>
      </c>
      <c r="X1205" s="206" t="s">
        <v>233</v>
      </c>
      <c r="Y1205" s="206" t="s">
        <v>240</v>
      </c>
      <c r="Z1205" s="206" t="s">
        <v>233</v>
      </c>
      <c r="AA1205" s="206" t="s">
        <v>233</v>
      </c>
      <c r="AB1205" s="206" t="s">
        <v>233</v>
      </c>
      <c r="AC1205" s="206" t="s">
        <v>233</v>
      </c>
      <c r="AD1205" s="206" t="s">
        <v>233</v>
      </c>
      <c r="AE1205" s="206" t="s">
        <v>240</v>
      </c>
      <c r="AF1205" s="96">
        <v>1</v>
      </c>
      <c r="AG1205" s="93">
        <v>0</v>
      </c>
      <c r="AH1205" s="93">
        <v>1</v>
      </c>
      <c r="AI1205" s="93">
        <v>0</v>
      </c>
      <c r="AJ1205" s="93">
        <v>0</v>
      </c>
      <c r="AK1205" s="93">
        <v>0</v>
      </c>
    </row>
    <row r="1206" spans="1:37" s="104" customFormat="1" ht="15.75" customHeight="1" outlineLevel="1">
      <c r="A1206" s="92">
        <v>1199</v>
      </c>
      <c r="B1206" s="93" t="s">
        <v>190</v>
      </c>
      <c r="C1206" s="93" t="s">
        <v>1488</v>
      </c>
      <c r="D1206" s="94" t="s">
        <v>884</v>
      </c>
      <c r="E1206" s="105">
        <v>3</v>
      </c>
      <c r="F1206" s="99" t="s">
        <v>191</v>
      </c>
      <c r="G1206" s="99"/>
      <c r="H1206" s="96" t="s">
        <v>889</v>
      </c>
      <c r="I1206" s="106" t="s">
        <v>736</v>
      </c>
      <c r="J1206" s="93"/>
      <c r="K1206" s="99" t="s">
        <v>232</v>
      </c>
      <c r="L1206" s="93" t="s">
        <v>232</v>
      </c>
      <c r="M1206" s="200">
        <v>1834</v>
      </c>
      <c r="N1206" s="64" t="s">
        <v>385</v>
      </c>
      <c r="O1206" s="106">
        <v>4</v>
      </c>
      <c r="P1206" s="196">
        <v>0</v>
      </c>
      <c r="Q1206" s="106">
        <v>4</v>
      </c>
      <c r="R1206" s="107">
        <v>29</v>
      </c>
      <c r="S1206" s="108">
        <v>4616.7</v>
      </c>
      <c r="T1206" s="108">
        <v>4616.7</v>
      </c>
      <c r="U1206" s="108">
        <v>3977.9</v>
      </c>
      <c r="V1206" s="109">
        <v>638.79999999999995</v>
      </c>
      <c r="W1206" s="206" t="s">
        <v>233</v>
      </c>
      <c r="X1206" s="206" t="s">
        <v>233</v>
      </c>
      <c r="Y1206" s="206" t="s">
        <v>240</v>
      </c>
      <c r="Z1206" s="206" t="s">
        <v>233</v>
      </c>
      <c r="AA1206" s="206" t="s">
        <v>233</v>
      </c>
      <c r="AB1206" s="206" t="s">
        <v>233</v>
      </c>
      <c r="AC1206" s="206" t="s">
        <v>233</v>
      </c>
      <c r="AD1206" s="206" t="s">
        <v>233</v>
      </c>
      <c r="AE1206" s="206" t="s">
        <v>240</v>
      </c>
      <c r="AF1206" s="96">
        <v>0</v>
      </c>
      <c r="AG1206" s="93">
        <v>0</v>
      </c>
      <c r="AH1206" s="93">
        <v>1</v>
      </c>
      <c r="AI1206" s="93">
        <v>0</v>
      </c>
      <c r="AJ1206" s="93">
        <v>0</v>
      </c>
      <c r="AK1206" s="93">
        <v>0</v>
      </c>
    </row>
    <row r="1207" spans="1:37" s="104" customFormat="1" outlineLevel="1">
      <c r="A1207" s="92">
        <v>1200</v>
      </c>
      <c r="B1207" s="93" t="s">
        <v>190</v>
      </c>
      <c r="C1207" s="93" t="s">
        <v>1488</v>
      </c>
      <c r="D1207" s="94" t="s">
        <v>884</v>
      </c>
      <c r="E1207" s="105">
        <v>3</v>
      </c>
      <c r="F1207" s="99" t="s">
        <v>1485</v>
      </c>
      <c r="G1207" s="99"/>
      <c r="H1207" s="96" t="s">
        <v>890</v>
      </c>
      <c r="I1207" s="106" t="s">
        <v>736</v>
      </c>
      <c r="J1207" s="93"/>
      <c r="K1207" s="99" t="s">
        <v>232</v>
      </c>
      <c r="L1207" s="93" t="s">
        <v>232</v>
      </c>
      <c r="M1207" s="200">
        <v>1917</v>
      </c>
      <c r="N1207" s="64" t="s">
        <v>385</v>
      </c>
      <c r="O1207" s="106">
        <v>2</v>
      </c>
      <c r="P1207" s="196">
        <v>0</v>
      </c>
      <c r="Q1207" s="106">
        <v>1</v>
      </c>
      <c r="R1207" s="107">
        <v>28</v>
      </c>
      <c r="S1207" s="108">
        <v>355.4</v>
      </c>
      <c r="T1207" s="108">
        <v>355.4</v>
      </c>
      <c r="U1207" s="108">
        <v>355.4</v>
      </c>
      <c r="V1207" s="109"/>
      <c r="W1207" s="206" t="s">
        <v>233</v>
      </c>
      <c r="X1207" s="206" t="s">
        <v>233</v>
      </c>
      <c r="Y1207" s="206" t="s">
        <v>240</v>
      </c>
      <c r="Z1207" s="206" t="s">
        <v>233</v>
      </c>
      <c r="AA1207" s="206" t="s">
        <v>233</v>
      </c>
      <c r="AB1207" s="206" t="s">
        <v>233</v>
      </c>
      <c r="AC1207" s="206" t="s">
        <v>233</v>
      </c>
      <c r="AD1207" s="206" t="s">
        <v>233</v>
      </c>
      <c r="AE1207" s="206" t="s">
        <v>240</v>
      </c>
      <c r="AF1207" s="96">
        <v>0</v>
      </c>
      <c r="AG1207" s="93">
        <v>0</v>
      </c>
      <c r="AH1207" s="93">
        <v>0</v>
      </c>
      <c r="AI1207" s="93">
        <v>0</v>
      </c>
      <c r="AJ1207" s="93">
        <v>0</v>
      </c>
      <c r="AK1207" s="93">
        <v>0</v>
      </c>
    </row>
    <row r="1208" spans="1:37" s="104" customFormat="1" outlineLevel="1">
      <c r="A1208" s="92">
        <v>1201</v>
      </c>
      <c r="B1208" s="93" t="s">
        <v>190</v>
      </c>
      <c r="C1208" s="93" t="s">
        <v>1488</v>
      </c>
      <c r="D1208" s="94" t="s">
        <v>884</v>
      </c>
      <c r="E1208" s="105">
        <v>5</v>
      </c>
      <c r="F1208" s="99" t="s">
        <v>191</v>
      </c>
      <c r="G1208" s="99"/>
      <c r="H1208" s="96" t="s">
        <v>891</v>
      </c>
      <c r="I1208" s="106" t="s">
        <v>736</v>
      </c>
      <c r="J1208" s="93"/>
      <c r="K1208" s="99" t="s">
        <v>232</v>
      </c>
      <c r="L1208" s="93" t="s">
        <v>232</v>
      </c>
      <c r="M1208" s="200">
        <v>1873</v>
      </c>
      <c r="N1208" s="64" t="s">
        <v>385</v>
      </c>
      <c r="O1208" s="106">
        <v>6</v>
      </c>
      <c r="P1208" s="196">
        <v>0</v>
      </c>
      <c r="Q1208" s="106">
        <v>4</v>
      </c>
      <c r="R1208" s="107">
        <v>21</v>
      </c>
      <c r="S1208" s="108">
        <v>5713.5</v>
      </c>
      <c r="T1208" s="108">
        <v>5713.5</v>
      </c>
      <c r="U1208" s="108">
        <v>3816.2</v>
      </c>
      <c r="V1208" s="109">
        <v>1897.3</v>
      </c>
      <c r="W1208" s="206" t="s">
        <v>233</v>
      </c>
      <c r="X1208" s="206" t="s">
        <v>233</v>
      </c>
      <c r="Y1208" s="206" t="s">
        <v>240</v>
      </c>
      <c r="Z1208" s="206" t="s">
        <v>233</v>
      </c>
      <c r="AA1208" s="206" t="s">
        <v>233</v>
      </c>
      <c r="AB1208" s="206" t="s">
        <v>233</v>
      </c>
      <c r="AC1208" s="206" t="s">
        <v>233</v>
      </c>
      <c r="AD1208" s="206" t="s">
        <v>233</v>
      </c>
      <c r="AE1208" s="206" t="s">
        <v>240</v>
      </c>
      <c r="AF1208" s="96">
        <v>0</v>
      </c>
      <c r="AG1208" s="93">
        <v>0</v>
      </c>
      <c r="AH1208" s="93">
        <v>2</v>
      </c>
      <c r="AI1208" s="93">
        <v>0</v>
      </c>
      <c r="AJ1208" s="93">
        <v>0</v>
      </c>
      <c r="AK1208" s="93">
        <v>0</v>
      </c>
    </row>
    <row r="1209" spans="1:37" s="104" customFormat="1" ht="15.75" customHeight="1" outlineLevel="1">
      <c r="A1209" s="92">
        <v>1202</v>
      </c>
      <c r="B1209" s="93" t="s">
        <v>190</v>
      </c>
      <c r="C1209" s="93" t="s">
        <v>1488</v>
      </c>
      <c r="D1209" s="94" t="s">
        <v>884</v>
      </c>
      <c r="E1209" s="105">
        <v>5</v>
      </c>
      <c r="F1209" s="99" t="s">
        <v>260</v>
      </c>
      <c r="G1209" s="99"/>
      <c r="H1209" s="96" t="s">
        <v>892</v>
      </c>
      <c r="I1209" s="106" t="s">
        <v>736</v>
      </c>
      <c r="J1209" s="93"/>
      <c r="K1209" s="99" t="s">
        <v>232</v>
      </c>
      <c r="L1209" s="93" t="s">
        <v>232</v>
      </c>
      <c r="M1209" s="200">
        <v>1873</v>
      </c>
      <c r="N1209" s="64" t="s">
        <v>385</v>
      </c>
      <c r="O1209" s="106">
        <v>5</v>
      </c>
      <c r="P1209" s="196">
        <v>0</v>
      </c>
      <c r="Q1209" s="106">
        <v>3</v>
      </c>
      <c r="R1209" s="107">
        <v>19</v>
      </c>
      <c r="S1209" s="108">
        <v>2986.2</v>
      </c>
      <c r="T1209" s="108">
        <v>2986.2</v>
      </c>
      <c r="U1209" s="108">
        <v>2035.2</v>
      </c>
      <c r="V1209" s="109">
        <v>951</v>
      </c>
      <c r="W1209" s="206" t="s">
        <v>233</v>
      </c>
      <c r="X1209" s="206" t="s">
        <v>233</v>
      </c>
      <c r="Y1209" s="206" t="s">
        <v>240</v>
      </c>
      <c r="Z1209" s="206" t="s">
        <v>233</v>
      </c>
      <c r="AA1209" s="206" t="s">
        <v>233</v>
      </c>
      <c r="AB1209" s="206" t="s">
        <v>233</v>
      </c>
      <c r="AC1209" s="206" t="s">
        <v>233</v>
      </c>
      <c r="AD1209" s="206" t="s">
        <v>233</v>
      </c>
      <c r="AE1209" s="206" t="s">
        <v>240</v>
      </c>
      <c r="AF1209" s="96">
        <v>1</v>
      </c>
      <c r="AG1209" s="93">
        <v>0</v>
      </c>
      <c r="AH1209" s="93">
        <v>0</v>
      </c>
      <c r="AI1209" s="93">
        <v>0</v>
      </c>
      <c r="AJ1209" s="93">
        <v>0</v>
      </c>
      <c r="AK1209" s="93">
        <v>0</v>
      </c>
    </row>
    <row r="1210" spans="1:37" s="104" customFormat="1" ht="15.75" customHeight="1" outlineLevel="1">
      <c r="A1210" s="92">
        <v>1203</v>
      </c>
      <c r="B1210" s="93" t="s">
        <v>190</v>
      </c>
      <c r="C1210" s="93" t="s">
        <v>1488</v>
      </c>
      <c r="D1210" s="94" t="s">
        <v>884</v>
      </c>
      <c r="E1210" s="105">
        <v>6</v>
      </c>
      <c r="F1210" s="99" t="s">
        <v>191</v>
      </c>
      <c r="G1210" s="99"/>
      <c r="H1210" s="96" t="s">
        <v>893</v>
      </c>
      <c r="I1210" s="106" t="s">
        <v>736</v>
      </c>
      <c r="J1210" s="93"/>
      <c r="K1210" s="99" t="s">
        <v>232</v>
      </c>
      <c r="L1210" s="93" t="s">
        <v>232</v>
      </c>
      <c r="M1210" s="200">
        <v>1798</v>
      </c>
      <c r="N1210" s="64" t="s">
        <v>385</v>
      </c>
      <c r="O1210" s="106">
        <v>4</v>
      </c>
      <c r="P1210" s="196">
        <v>0</v>
      </c>
      <c r="Q1210" s="106">
        <v>4</v>
      </c>
      <c r="R1210" s="107">
        <v>29</v>
      </c>
      <c r="S1210" s="108">
        <v>3158.8</v>
      </c>
      <c r="T1210" s="108">
        <v>3158.8</v>
      </c>
      <c r="U1210" s="108">
        <v>2584.4</v>
      </c>
      <c r="V1210" s="109">
        <v>574.4</v>
      </c>
      <c r="W1210" s="206" t="s">
        <v>233</v>
      </c>
      <c r="X1210" s="206" t="s">
        <v>233</v>
      </c>
      <c r="Y1210" s="206" t="s">
        <v>240</v>
      </c>
      <c r="Z1210" s="206" t="s">
        <v>233</v>
      </c>
      <c r="AA1210" s="206" t="s">
        <v>233</v>
      </c>
      <c r="AB1210" s="206" t="s">
        <v>233</v>
      </c>
      <c r="AC1210" s="206" t="s">
        <v>233</v>
      </c>
      <c r="AD1210" s="206" t="s">
        <v>233</v>
      </c>
      <c r="AE1210" s="206" t="s">
        <v>240</v>
      </c>
      <c r="AF1210" s="96">
        <v>0</v>
      </c>
      <c r="AG1210" s="93">
        <v>0</v>
      </c>
      <c r="AH1210" s="93">
        <v>1</v>
      </c>
      <c r="AI1210" s="93">
        <v>0</v>
      </c>
      <c r="AJ1210" s="93">
        <v>0</v>
      </c>
      <c r="AK1210" s="93">
        <v>0</v>
      </c>
    </row>
    <row r="1211" spans="1:37" s="104" customFormat="1" ht="15.75" customHeight="1" outlineLevel="1">
      <c r="A1211" s="92">
        <v>1204</v>
      </c>
      <c r="B1211" s="93" t="s">
        <v>190</v>
      </c>
      <c r="C1211" s="93" t="s">
        <v>1488</v>
      </c>
      <c r="D1211" s="94" t="s">
        <v>884</v>
      </c>
      <c r="E1211" s="105">
        <v>8</v>
      </c>
      <c r="F1211" s="99" t="s">
        <v>191</v>
      </c>
      <c r="G1211" s="99"/>
      <c r="H1211" s="96" t="s">
        <v>894</v>
      </c>
      <c r="I1211" s="106" t="s">
        <v>736</v>
      </c>
      <c r="J1211" s="93"/>
      <c r="K1211" s="99" t="s">
        <v>232</v>
      </c>
      <c r="L1211" s="93" t="s">
        <v>232</v>
      </c>
      <c r="M1211" s="200">
        <v>1977</v>
      </c>
      <c r="N1211" s="64" t="s">
        <v>385</v>
      </c>
      <c r="O1211" s="106">
        <v>3</v>
      </c>
      <c r="P1211" s="196">
        <v>0</v>
      </c>
      <c r="Q1211" s="106">
        <v>1</v>
      </c>
      <c r="R1211" s="107">
        <v>5</v>
      </c>
      <c r="S1211" s="108">
        <v>3297.4</v>
      </c>
      <c r="T1211" s="108">
        <v>3297.4</v>
      </c>
      <c r="U1211" s="108">
        <v>364.9</v>
      </c>
      <c r="V1211" s="109">
        <v>2932.5</v>
      </c>
      <c r="W1211" s="206" t="s">
        <v>233</v>
      </c>
      <c r="X1211" s="206" t="s">
        <v>233</v>
      </c>
      <c r="Y1211" s="206" t="s">
        <v>240</v>
      </c>
      <c r="Z1211" s="206" t="s">
        <v>233</v>
      </c>
      <c r="AA1211" s="206" t="s">
        <v>233</v>
      </c>
      <c r="AB1211" s="206" t="s">
        <v>233</v>
      </c>
      <c r="AC1211" s="206" t="s">
        <v>233</v>
      </c>
      <c r="AD1211" s="206" t="s">
        <v>233</v>
      </c>
      <c r="AE1211" s="206" t="s">
        <v>240</v>
      </c>
      <c r="AF1211" s="96">
        <v>0</v>
      </c>
      <c r="AG1211" s="93">
        <v>0</v>
      </c>
      <c r="AH1211" s="93">
        <v>0</v>
      </c>
      <c r="AI1211" s="93">
        <v>0</v>
      </c>
      <c r="AJ1211" s="93">
        <v>0</v>
      </c>
      <c r="AK1211" s="93">
        <v>0</v>
      </c>
    </row>
    <row r="1212" spans="1:37" s="104" customFormat="1" outlineLevel="1">
      <c r="A1212" s="92">
        <v>1205</v>
      </c>
      <c r="B1212" s="93" t="s">
        <v>190</v>
      </c>
      <c r="C1212" s="93" t="s">
        <v>1488</v>
      </c>
      <c r="D1212" s="94" t="s">
        <v>884</v>
      </c>
      <c r="E1212" s="105">
        <v>9</v>
      </c>
      <c r="F1212" s="99" t="s">
        <v>191</v>
      </c>
      <c r="G1212" s="99"/>
      <c r="H1212" s="96" t="s">
        <v>895</v>
      </c>
      <c r="I1212" s="106" t="s">
        <v>736</v>
      </c>
      <c r="J1212" s="93"/>
      <c r="K1212" s="99" t="s">
        <v>232</v>
      </c>
      <c r="L1212" s="93" t="s">
        <v>232</v>
      </c>
      <c r="M1212" s="200">
        <v>1835</v>
      </c>
      <c r="N1212" s="64" t="s">
        <v>385</v>
      </c>
      <c r="O1212" s="106">
        <v>4</v>
      </c>
      <c r="P1212" s="196">
        <v>0</v>
      </c>
      <c r="Q1212" s="106">
        <v>5</v>
      </c>
      <c r="R1212" s="107">
        <v>19</v>
      </c>
      <c r="S1212" s="108">
        <v>2651.9</v>
      </c>
      <c r="T1212" s="108">
        <v>2651.9</v>
      </c>
      <c r="U1212" s="108">
        <v>2069.9</v>
      </c>
      <c r="V1212" s="109">
        <v>582</v>
      </c>
      <c r="W1212" s="206" t="s">
        <v>233</v>
      </c>
      <c r="X1212" s="206" t="s">
        <v>233</v>
      </c>
      <c r="Y1212" s="206" t="s">
        <v>233</v>
      </c>
      <c r="Z1212" s="206" t="s">
        <v>233</v>
      </c>
      <c r="AA1212" s="206" t="s">
        <v>233</v>
      </c>
      <c r="AB1212" s="206" t="s">
        <v>233</v>
      </c>
      <c r="AC1212" s="206" t="s">
        <v>240</v>
      </c>
      <c r="AD1212" s="206" t="s">
        <v>233</v>
      </c>
      <c r="AE1212" s="206" t="s">
        <v>240</v>
      </c>
      <c r="AF1212" s="96">
        <v>0</v>
      </c>
      <c r="AG1212" s="93">
        <v>0</v>
      </c>
      <c r="AH1212" s="93">
        <v>1</v>
      </c>
      <c r="AI1212" s="93">
        <v>0</v>
      </c>
      <c r="AJ1212" s="93">
        <v>0</v>
      </c>
      <c r="AK1212" s="93">
        <v>0</v>
      </c>
    </row>
    <row r="1213" spans="1:37" s="104" customFormat="1" outlineLevel="1">
      <c r="A1213" s="92">
        <v>1206</v>
      </c>
      <c r="B1213" s="93" t="s">
        <v>190</v>
      </c>
      <c r="C1213" s="93" t="s">
        <v>1488</v>
      </c>
      <c r="D1213" s="94" t="s">
        <v>884</v>
      </c>
      <c r="E1213" s="105">
        <v>9</v>
      </c>
      <c r="F1213" s="99" t="s">
        <v>231</v>
      </c>
      <c r="G1213" s="99"/>
      <c r="H1213" s="96" t="s">
        <v>896</v>
      </c>
      <c r="I1213" s="106" t="s">
        <v>736</v>
      </c>
      <c r="J1213" s="93"/>
      <c r="K1213" s="99" t="s">
        <v>232</v>
      </c>
      <c r="L1213" s="93" t="s">
        <v>232</v>
      </c>
      <c r="M1213" s="200">
        <v>1835</v>
      </c>
      <c r="N1213" s="64" t="s">
        <v>385</v>
      </c>
      <c r="O1213" s="106">
        <v>4</v>
      </c>
      <c r="P1213" s="196">
        <v>0</v>
      </c>
      <c r="Q1213" s="106">
        <v>3</v>
      </c>
      <c r="R1213" s="107">
        <v>16</v>
      </c>
      <c r="S1213" s="108">
        <v>1349.3000000000002</v>
      </c>
      <c r="T1213" s="108">
        <v>1349.3000000000002</v>
      </c>
      <c r="U1213" s="108">
        <v>1026.2</v>
      </c>
      <c r="V1213" s="109">
        <v>323.10000000000002</v>
      </c>
      <c r="W1213" s="206" t="s">
        <v>233</v>
      </c>
      <c r="X1213" s="206" t="s">
        <v>233</v>
      </c>
      <c r="Y1213" s="206" t="s">
        <v>233</v>
      </c>
      <c r="Z1213" s="206" t="s">
        <v>233</v>
      </c>
      <c r="AA1213" s="206" t="s">
        <v>233</v>
      </c>
      <c r="AB1213" s="206" t="s">
        <v>233</v>
      </c>
      <c r="AC1213" s="206" t="s">
        <v>240</v>
      </c>
      <c r="AD1213" s="206" t="s">
        <v>233</v>
      </c>
      <c r="AE1213" s="206" t="s">
        <v>240</v>
      </c>
      <c r="AF1213" s="96">
        <v>0</v>
      </c>
      <c r="AG1213" s="93">
        <v>0</v>
      </c>
      <c r="AH1213" s="93">
        <v>0</v>
      </c>
      <c r="AI1213" s="93">
        <v>0</v>
      </c>
      <c r="AJ1213" s="93">
        <v>0</v>
      </c>
      <c r="AK1213" s="93">
        <v>0</v>
      </c>
    </row>
    <row r="1214" spans="1:37" s="104" customFormat="1" outlineLevel="1">
      <c r="A1214" s="92">
        <v>1207</v>
      </c>
      <c r="B1214" s="93" t="s">
        <v>190</v>
      </c>
      <c r="C1214" s="93" t="s">
        <v>1488</v>
      </c>
      <c r="D1214" s="94" t="s">
        <v>884</v>
      </c>
      <c r="E1214" s="105">
        <v>9</v>
      </c>
      <c r="F1214" s="99" t="s">
        <v>260</v>
      </c>
      <c r="G1214" s="99"/>
      <c r="H1214" s="96" t="s">
        <v>897</v>
      </c>
      <c r="I1214" s="106" t="s">
        <v>736</v>
      </c>
      <c r="J1214" s="93"/>
      <c r="K1214" s="99" t="s">
        <v>232</v>
      </c>
      <c r="L1214" s="93" t="s">
        <v>232</v>
      </c>
      <c r="M1214" s="200">
        <v>1835</v>
      </c>
      <c r="N1214" s="64" t="s">
        <v>385</v>
      </c>
      <c r="O1214" s="106">
        <v>4</v>
      </c>
      <c r="P1214" s="196">
        <v>0</v>
      </c>
      <c r="Q1214" s="106">
        <v>1</v>
      </c>
      <c r="R1214" s="107">
        <v>16</v>
      </c>
      <c r="S1214" s="108">
        <v>489.9</v>
      </c>
      <c r="T1214" s="108">
        <v>489.9</v>
      </c>
      <c r="U1214" s="108">
        <v>367</v>
      </c>
      <c r="V1214" s="109">
        <v>122.9</v>
      </c>
      <c r="W1214" s="206" t="s">
        <v>233</v>
      </c>
      <c r="X1214" s="206" t="s">
        <v>233</v>
      </c>
      <c r="Y1214" s="206" t="s">
        <v>233</v>
      </c>
      <c r="Z1214" s="206" t="s">
        <v>233</v>
      </c>
      <c r="AA1214" s="206" t="s">
        <v>233</v>
      </c>
      <c r="AB1214" s="206" t="s">
        <v>233</v>
      </c>
      <c r="AC1214" s="206" t="s">
        <v>240</v>
      </c>
      <c r="AD1214" s="206" t="s">
        <v>233</v>
      </c>
      <c r="AE1214" s="206" t="s">
        <v>240</v>
      </c>
      <c r="AF1214" s="96">
        <v>0</v>
      </c>
      <c r="AG1214" s="93">
        <v>0</v>
      </c>
      <c r="AH1214" s="93">
        <v>0</v>
      </c>
      <c r="AI1214" s="93">
        <v>0</v>
      </c>
      <c r="AJ1214" s="93">
        <v>0</v>
      </c>
      <c r="AK1214" s="93">
        <v>0</v>
      </c>
    </row>
    <row r="1215" spans="1:37" s="104" customFormat="1" outlineLevel="1">
      <c r="A1215" s="92">
        <v>1208</v>
      </c>
      <c r="B1215" s="93" t="s">
        <v>190</v>
      </c>
      <c r="C1215" s="93" t="s">
        <v>1488</v>
      </c>
      <c r="D1215" s="94" t="s">
        <v>898</v>
      </c>
      <c r="E1215" s="105" t="s">
        <v>899</v>
      </c>
      <c r="F1215" s="99" t="s">
        <v>191</v>
      </c>
      <c r="G1215" s="99"/>
      <c r="H1215" s="96" t="s">
        <v>900</v>
      </c>
      <c r="I1215" s="106" t="s">
        <v>792</v>
      </c>
      <c r="J1215" s="93" t="s">
        <v>793</v>
      </c>
      <c r="K1215" s="178" t="s">
        <v>1486</v>
      </c>
      <c r="L1215" s="93" t="s">
        <v>232</v>
      </c>
      <c r="M1215" s="200">
        <v>1917</v>
      </c>
      <c r="N1215" s="64" t="s">
        <v>385</v>
      </c>
      <c r="O1215" s="106">
        <v>4</v>
      </c>
      <c r="P1215" s="196">
        <v>0</v>
      </c>
      <c r="Q1215" s="106"/>
      <c r="R1215" s="107"/>
      <c r="S1215" s="108"/>
      <c r="T1215" s="108"/>
      <c r="U1215" s="108"/>
      <c r="V1215" s="109"/>
      <c r="W1215" s="206"/>
      <c r="X1215" s="206"/>
      <c r="Y1215" s="206" t="s">
        <v>233</v>
      </c>
      <c r="Z1215" s="206"/>
      <c r="AA1215" s="206" t="s">
        <v>233</v>
      </c>
      <c r="AB1215" s="206" t="s">
        <v>233</v>
      </c>
      <c r="AC1215" s="206" t="s">
        <v>240</v>
      </c>
      <c r="AD1215" s="206" t="s">
        <v>233</v>
      </c>
      <c r="AE1215" s="206" t="s">
        <v>240</v>
      </c>
      <c r="AF1215" s="96">
        <v>0</v>
      </c>
      <c r="AG1215" s="93">
        <v>0</v>
      </c>
      <c r="AH1215" s="93">
        <v>0</v>
      </c>
      <c r="AI1215" s="93">
        <v>0</v>
      </c>
      <c r="AJ1215" s="93">
        <v>0</v>
      </c>
      <c r="AK1215" s="93">
        <v>0</v>
      </c>
    </row>
    <row r="1216" spans="1:37" s="104" customFormat="1" ht="15.75" customHeight="1" outlineLevel="1">
      <c r="A1216" s="92">
        <v>1209</v>
      </c>
      <c r="B1216" s="93" t="s">
        <v>190</v>
      </c>
      <c r="C1216" s="93" t="s">
        <v>1488</v>
      </c>
      <c r="D1216" s="94" t="s">
        <v>901</v>
      </c>
      <c r="E1216" s="105" t="s">
        <v>163</v>
      </c>
      <c r="F1216" s="99" t="s">
        <v>191</v>
      </c>
      <c r="G1216" s="99"/>
      <c r="H1216" s="96" t="s">
        <v>902</v>
      </c>
      <c r="I1216" s="106" t="s">
        <v>736</v>
      </c>
      <c r="J1216" s="93"/>
      <c r="K1216" s="99" t="s">
        <v>232</v>
      </c>
      <c r="L1216" s="93" t="s">
        <v>232</v>
      </c>
      <c r="M1216" s="200">
        <v>1865</v>
      </c>
      <c r="N1216" s="64" t="s">
        <v>385</v>
      </c>
      <c r="O1216" s="106">
        <v>4</v>
      </c>
      <c r="P1216" s="196">
        <v>0</v>
      </c>
      <c r="Q1216" s="106">
        <v>5</v>
      </c>
      <c r="R1216" s="107">
        <v>28</v>
      </c>
      <c r="S1216" s="108">
        <v>2597.1</v>
      </c>
      <c r="T1216" s="108">
        <v>2597.1</v>
      </c>
      <c r="U1216" s="108">
        <v>2205.1</v>
      </c>
      <c r="V1216" s="109">
        <v>392</v>
      </c>
      <c r="W1216" s="206" t="s">
        <v>233</v>
      </c>
      <c r="X1216" s="206" t="s">
        <v>233</v>
      </c>
      <c r="Y1216" s="206" t="s">
        <v>233</v>
      </c>
      <c r="Z1216" s="206" t="s">
        <v>233</v>
      </c>
      <c r="AA1216" s="206" t="s">
        <v>233</v>
      </c>
      <c r="AB1216" s="206" t="s">
        <v>233</v>
      </c>
      <c r="AC1216" s="206" t="s">
        <v>240</v>
      </c>
      <c r="AD1216" s="206" t="s">
        <v>233</v>
      </c>
      <c r="AE1216" s="206" t="s">
        <v>240</v>
      </c>
      <c r="AF1216" s="96">
        <v>0</v>
      </c>
      <c r="AG1216" s="93">
        <v>0</v>
      </c>
      <c r="AH1216" s="93">
        <v>1</v>
      </c>
      <c r="AI1216" s="93">
        <v>0</v>
      </c>
      <c r="AJ1216" s="93">
        <v>0</v>
      </c>
      <c r="AK1216" s="93">
        <v>0</v>
      </c>
    </row>
    <row r="1217" spans="1:37" s="104" customFormat="1" ht="15.75" customHeight="1" outlineLevel="1">
      <c r="A1217" s="92">
        <v>1210</v>
      </c>
      <c r="B1217" s="93" t="s">
        <v>190</v>
      </c>
      <c r="C1217" s="93" t="s">
        <v>1488</v>
      </c>
      <c r="D1217" s="94" t="s">
        <v>901</v>
      </c>
      <c r="E1217" s="105" t="s">
        <v>164</v>
      </c>
      <c r="F1217" s="99" t="s">
        <v>191</v>
      </c>
      <c r="G1217" s="99"/>
      <c r="H1217" s="96" t="s">
        <v>903</v>
      </c>
      <c r="I1217" s="106" t="s">
        <v>736</v>
      </c>
      <c r="J1217" s="93"/>
      <c r="K1217" s="99" t="s">
        <v>232</v>
      </c>
      <c r="L1217" s="93" t="s">
        <v>232</v>
      </c>
      <c r="M1217" s="200">
        <v>1840</v>
      </c>
      <c r="N1217" s="64" t="s">
        <v>385</v>
      </c>
      <c r="O1217" s="106">
        <v>5</v>
      </c>
      <c r="P1217" s="196">
        <v>0</v>
      </c>
      <c r="Q1217" s="106">
        <v>6</v>
      </c>
      <c r="R1217" s="107">
        <v>34</v>
      </c>
      <c r="S1217" s="108">
        <v>4201</v>
      </c>
      <c r="T1217" s="108">
        <v>4201</v>
      </c>
      <c r="U1217" s="108">
        <v>3059.5</v>
      </c>
      <c r="V1217" s="109">
        <v>1141.5</v>
      </c>
      <c r="W1217" s="206" t="s">
        <v>233</v>
      </c>
      <c r="X1217" s="206" t="s">
        <v>233</v>
      </c>
      <c r="Y1217" s="206" t="s">
        <v>233</v>
      </c>
      <c r="Z1217" s="206" t="s">
        <v>233</v>
      </c>
      <c r="AA1217" s="206" t="s">
        <v>233</v>
      </c>
      <c r="AB1217" s="206" t="s">
        <v>233</v>
      </c>
      <c r="AC1217" s="206" t="s">
        <v>240</v>
      </c>
      <c r="AD1217" s="206" t="s">
        <v>233</v>
      </c>
      <c r="AE1217" s="206" t="s">
        <v>240</v>
      </c>
      <c r="AF1217" s="96">
        <v>0</v>
      </c>
      <c r="AG1217" s="93">
        <v>0</v>
      </c>
      <c r="AH1217" s="93">
        <v>1</v>
      </c>
      <c r="AI1217" s="93">
        <v>0</v>
      </c>
      <c r="AJ1217" s="93">
        <v>0</v>
      </c>
      <c r="AK1217" s="93">
        <v>0</v>
      </c>
    </row>
    <row r="1218" spans="1:37" s="104" customFormat="1" outlineLevel="1">
      <c r="A1218" s="92">
        <v>1211</v>
      </c>
      <c r="B1218" s="93" t="s">
        <v>190</v>
      </c>
      <c r="C1218" s="93" t="s">
        <v>1488</v>
      </c>
      <c r="D1218" s="94" t="s">
        <v>901</v>
      </c>
      <c r="E1218" s="105" t="s">
        <v>165</v>
      </c>
      <c r="F1218" s="99" t="s">
        <v>191</v>
      </c>
      <c r="G1218" s="99"/>
      <c r="H1218" s="96" t="s">
        <v>904</v>
      </c>
      <c r="I1218" s="106" t="s">
        <v>736</v>
      </c>
      <c r="J1218" s="93"/>
      <c r="K1218" s="99" t="s">
        <v>232</v>
      </c>
      <c r="L1218" s="93" t="s">
        <v>232</v>
      </c>
      <c r="M1218" s="200">
        <v>1839</v>
      </c>
      <c r="N1218" s="64" t="s">
        <v>385</v>
      </c>
      <c r="O1218" s="106">
        <v>4</v>
      </c>
      <c r="P1218" s="196">
        <v>0</v>
      </c>
      <c r="Q1218" s="106">
        <v>3</v>
      </c>
      <c r="R1218" s="107">
        <v>21</v>
      </c>
      <c r="S1218" s="108">
        <v>2503.8999999999996</v>
      </c>
      <c r="T1218" s="108">
        <v>2503.8999999999996</v>
      </c>
      <c r="U1218" s="108">
        <v>1757.1</v>
      </c>
      <c r="V1218" s="109">
        <v>746.8</v>
      </c>
      <c r="W1218" s="206" t="s">
        <v>233</v>
      </c>
      <c r="X1218" s="206" t="s">
        <v>233</v>
      </c>
      <c r="Y1218" s="206" t="s">
        <v>233</v>
      </c>
      <c r="Z1218" s="206" t="s">
        <v>233</v>
      </c>
      <c r="AA1218" s="206" t="s">
        <v>233</v>
      </c>
      <c r="AB1218" s="206" t="s">
        <v>233</v>
      </c>
      <c r="AC1218" s="206" t="s">
        <v>240</v>
      </c>
      <c r="AD1218" s="206" t="s">
        <v>233</v>
      </c>
      <c r="AE1218" s="206" t="s">
        <v>240</v>
      </c>
      <c r="AF1218" s="96">
        <v>0</v>
      </c>
      <c r="AG1218" s="93">
        <v>0</v>
      </c>
      <c r="AH1218" s="93">
        <v>1</v>
      </c>
      <c r="AI1218" s="93">
        <v>0</v>
      </c>
      <c r="AJ1218" s="93">
        <v>0</v>
      </c>
      <c r="AK1218" s="93">
        <v>0</v>
      </c>
    </row>
    <row r="1219" spans="1:37" s="104" customFormat="1" outlineLevel="1">
      <c r="A1219" s="92">
        <v>1212</v>
      </c>
      <c r="B1219" s="93" t="s">
        <v>190</v>
      </c>
      <c r="C1219" s="93" t="s">
        <v>1488</v>
      </c>
      <c r="D1219" s="94" t="s">
        <v>901</v>
      </c>
      <c r="E1219" s="105" t="s">
        <v>166</v>
      </c>
      <c r="F1219" s="99" t="s">
        <v>191</v>
      </c>
      <c r="G1219" s="99"/>
      <c r="H1219" s="96" t="s">
        <v>905</v>
      </c>
      <c r="I1219" s="106" t="s">
        <v>736</v>
      </c>
      <c r="J1219" s="93"/>
      <c r="K1219" s="99" t="s">
        <v>232</v>
      </c>
      <c r="L1219" s="93" t="s">
        <v>232</v>
      </c>
      <c r="M1219" s="200">
        <v>1833</v>
      </c>
      <c r="N1219" s="64" t="s">
        <v>385</v>
      </c>
      <c r="O1219" s="106">
        <v>6</v>
      </c>
      <c r="P1219" s="196">
        <v>0</v>
      </c>
      <c r="Q1219" s="106">
        <v>10</v>
      </c>
      <c r="R1219" s="107">
        <v>48</v>
      </c>
      <c r="S1219" s="108">
        <v>5761.2000000000007</v>
      </c>
      <c r="T1219" s="108">
        <v>5761.2000000000007</v>
      </c>
      <c r="U1219" s="108">
        <v>4440.8</v>
      </c>
      <c r="V1219" s="109">
        <v>1320.4</v>
      </c>
      <c r="W1219" s="206" t="s">
        <v>233</v>
      </c>
      <c r="X1219" s="206" t="s">
        <v>233</v>
      </c>
      <c r="Y1219" s="206" t="s">
        <v>233</v>
      </c>
      <c r="Z1219" s="206" t="s">
        <v>233</v>
      </c>
      <c r="AA1219" s="206" t="s">
        <v>233</v>
      </c>
      <c r="AB1219" s="206" t="s">
        <v>233</v>
      </c>
      <c r="AC1219" s="206" t="s">
        <v>240</v>
      </c>
      <c r="AD1219" s="206" t="s">
        <v>233</v>
      </c>
      <c r="AE1219" s="206" t="s">
        <v>240</v>
      </c>
      <c r="AF1219" s="96">
        <v>0</v>
      </c>
      <c r="AG1219" s="93">
        <v>0</v>
      </c>
      <c r="AH1219" s="93">
        <v>1</v>
      </c>
      <c r="AI1219" s="93">
        <v>0</v>
      </c>
      <c r="AJ1219" s="93">
        <v>0</v>
      </c>
      <c r="AK1219" s="93">
        <v>0</v>
      </c>
    </row>
    <row r="1220" spans="1:37" s="104" customFormat="1" outlineLevel="1">
      <c r="A1220" s="92">
        <v>1213</v>
      </c>
      <c r="B1220" s="93" t="s">
        <v>190</v>
      </c>
      <c r="C1220" s="93" t="s">
        <v>1488</v>
      </c>
      <c r="D1220" s="94" t="s">
        <v>901</v>
      </c>
      <c r="E1220" s="105" t="s">
        <v>906</v>
      </c>
      <c r="F1220" s="99" t="s">
        <v>191</v>
      </c>
      <c r="G1220" s="99"/>
      <c r="H1220" s="96" t="s">
        <v>907</v>
      </c>
      <c r="I1220" s="106" t="s">
        <v>736</v>
      </c>
      <c r="J1220" s="93"/>
      <c r="K1220" s="99" t="s">
        <v>232</v>
      </c>
      <c r="L1220" s="93" t="s">
        <v>232</v>
      </c>
      <c r="M1220" s="200">
        <v>1917</v>
      </c>
      <c r="N1220" s="64" t="s">
        <v>385</v>
      </c>
      <c r="O1220" s="106">
        <v>4</v>
      </c>
      <c r="P1220" s="196">
        <v>0</v>
      </c>
      <c r="Q1220" s="106">
        <v>3</v>
      </c>
      <c r="R1220" s="107">
        <v>30</v>
      </c>
      <c r="S1220" s="108">
        <v>3924.7</v>
      </c>
      <c r="T1220" s="108">
        <v>3924.7</v>
      </c>
      <c r="U1220" s="108">
        <v>3072.4</v>
      </c>
      <c r="V1220" s="109">
        <v>852.3</v>
      </c>
      <c r="W1220" s="206" t="s">
        <v>233</v>
      </c>
      <c r="X1220" s="206" t="s">
        <v>233</v>
      </c>
      <c r="Y1220" s="206" t="s">
        <v>233</v>
      </c>
      <c r="Z1220" s="206" t="s">
        <v>233</v>
      </c>
      <c r="AA1220" s="206" t="s">
        <v>233</v>
      </c>
      <c r="AB1220" s="206" t="s">
        <v>233</v>
      </c>
      <c r="AC1220" s="206" t="s">
        <v>240</v>
      </c>
      <c r="AD1220" s="206" t="s">
        <v>233</v>
      </c>
      <c r="AE1220" s="206" t="s">
        <v>240</v>
      </c>
      <c r="AF1220" s="96">
        <v>0</v>
      </c>
      <c r="AG1220" s="93">
        <v>0</v>
      </c>
      <c r="AH1220" s="93">
        <v>1</v>
      </c>
      <c r="AI1220" s="93">
        <v>0</v>
      </c>
      <c r="AJ1220" s="93">
        <v>0</v>
      </c>
      <c r="AK1220" s="93">
        <v>0</v>
      </c>
    </row>
    <row r="1221" spans="1:37" s="104" customFormat="1" ht="15.75" customHeight="1" outlineLevel="1">
      <c r="A1221" s="92">
        <v>1214</v>
      </c>
      <c r="B1221" s="93" t="s">
        <v>190</v>
      </c>
      <c r="C1221" s="93" t="s">
        <v>1488</v>
      </c>
      <c r="D1221" s="94" t="s">
        <v>901</v>
      </c>
      <c r="E1221" s="105" t="s">
        <v>906</v>
      </c>
      <c r="F1221" s="99" t="s">
        <v>231</v>
      </c>
      <c r="G1221" s="99"/>
      <c r="H1221" s="96" t="s">
        <v>908</v>
      </c>
      <c r="I1221" s="106" t="s">
        <v>736</v>
      </c>
      <c r="J1221" s="93"/>
      <c r="K1221" s="99" t="s">
        <v>232</v>
      </c>
      <c r="L1221" s="93" t="s">
        <v>232</v>
      </c>
      <c r="M1221" s="200">
        <v>1917</v>
      </c>
      <c r="N1221" s="64" t="s">
        <v>385</v>
      </c>
      <c r="O1221" s="106">
        <v>4</v>
      </c>
      <c r="P1221" s="196">
        <v>0</v>
      </c>
      <c r="Q1221" s="106">
        <v>1</v>
      </c>
      <c r="R1221" s="107">
        <v>29</v>
      </c>
      <c r="S1221" s="108">
        <v>948.5</v>
      </c>
      <c r="T1221" s="108">
        <v>948.5</v>
      </c>
      <c r="U1221" s="108">
        <v>705.5</v>
      </c>
      <c r="V1221" s="109">
        <v>243</v>
      </c>
      <c r="W1221" s="206" t="s">
        <v>233</v>
      </c>
      <c r="X1221" s="206" t="s">
        <v>233</v>
      </c>
      <c r="Y1221" s="206" t="s">
        <v>233</v>
      </c>
      <c r="Z1221" s="206" t="s">
        <v>233</v>
      </c>
      <c r="AA1221" s="206" t="s">
        <v>233</v>
      </c>
      <c r="AB1221" s="206" t="s">
        <v>233</v>
      </c>
      <c r="AC1221" s="206" t="s">
        <v>240</v>
      </c>
      <c r="AD1221" s="206" t="s">
        <v>233</v>
      </c>
      <c r="AE1221" s="206" t="s">
        <v>240</v>
      </c>
      <c r="AF1221" s="96">
        <v>0</v>
      </c>
      <c r="AG1221" s="93">
        <v>0</v>
      </c>
      <c r="AH1221" s="93">
        <v>0</v>
      </c>
      <c r="AI1221" s="93">
        <v>0</v>
      </c>
      <c r="AJ1221" s="93">
        <v>0</v>
      </c>
      <c r="AK1221" s="93">
        <v>0</v>
      </c>
    </row>
    <row r="1222" spans="1:37" s="104" customFormat="1" ht="15.75" customHeight="1" outlineLevel="1">
      <c r="A1222" s="92">
        <v>1215</v>
      </c>
      <c r="B1222" s="93" t="s">
        <v>190</v>
      </c>
      <c r="C1222" s="93" t="s">
        <v>1488</v>
      </c>
      <c r="D1222" s="94" t="s">
        <v>901</v>
      </c>
      <c r="E1222" s="105">
        <v>15</v>
      </c>
      <c r="F1222" s="99" t="s">
        <v>191</v>
      </c>
      <c r="G1222" s="99"/>
      <c r="H1222" s="96" t="s">
        <v>909</v>
      </c>
      <c r="I1222" s="106" t="s">
        <v>736</v>
      </c>
      <c r="J1222" s="93"/>
      <c r="K1222" s="99" t="s">
        <v>232</v>
      </c>
      <c r="L1222" s="93" t="s">
        <v>232</v>
      </c>
      <c r="M1222" s="200">
        <v>1842</v>
      </c>
      <c r="N1222" s="64" t="s">
        <v>385</v>
      </c>
      <c r="O1222" s="106">
        <v>4</v>
      </c>
      <c r="P1222" s="196">
        <v>0</v>
      </c>
      <c r="Q1222" s="106">
        <v>5</v>
      </c>
      <c r="R1222" s="107">
        <v>32</v>
      </c>
      <c r="S1222" s="108">
        <v>2864</v>
      </c>
      <c r="T1222" s="108">
        <v>2864</v>
      </c>
      <c r="U1222" s="108">
        <v>1801.6</v>
      </c>
      <c r="V1222" s="109">
        <v>1062.4000000000001</v>
      </c>
      <c r="W1222" s="206" t="s">
        <v>233</v>
      </c>
      <c r="X1222" s="206" t="s">
        <v>233</v>
      </c>
      <c r="Y1222" s="206" t="s">
        <v>233</v>
      </c>
      <c r="Z1222" s="206" t="s">
        <v>233</v>
      </c>
      <c r="AA1222" s="206" t="s">
        <v>233</v>
      </c>
      <c r="AB1222" s="206" t="s">
        <v>233</v>
      </c>
      <c r="AC1222" s="206" t="s">
        <v>240</v>
      </c>
      <c r="AD1222" s="206" t="s">
        <v>233</v>
      </c>
      <c r="AE1222" s="206" t="s">
        <v>240</v>
      </c>
      <c r="AF1222" s="96">
        <v>0</v>
      </c>
      <c r="AG1222" s="93">
        <v>0</v>
      </c>
      <c r="AH1222" s="93">
        <v>1</v>
      </c>
      <c r="AI1222" s="93">
        <v>0</v>
      </c>
      <c r="AJ1222" s="93">
        <v>0</v>
      </c>
      <c r="AK1222" s="93">
        <v>0</v>
      </c>
    </row>
    <row r="1223" spans="1:37" s="104" customFormat="1" outlineLevel="1">
      <c r="A1223" s="92">
        <v>1216</v>
      </c>
      <c r="B1223" s="93" t="s">
        <v>190</v>
      </c>
      <c r="C1223" s="93" t="s">
        <v>1488</v>
      </c>
      <c r="D1223" s="94" t="s">
        <v>901</v>
      </c>
      <c r="E1223" s="105">
        <v>16</v>
      </c>
      <c r="F1223" s="99" t="s">
        <v>191</v>
      </c>
      <c r="G1223" s="99"/>
      <c r="H1223" s="96" t="s">
        <v>910</v>
      </c>
      <c r="I1223" s="106" t="s">
        <v>736</v>
      </c>
      <c r="J1223" s="93"/>
      <c r="K1223" s="99" t="s">
        <v>232</v>
      </c>
      <c r="L1223" s="93" t="s">
        <v>232</v>
      </c>
      <c r="M1223" s="200">
        <v>1847</v>
      </c>
      <c r="N1223" s="64" t="s">
        <v>385</v>
      </c>
      <c r="O1223" s="106">
        <v>4</v>
      </c>
      <c r="P1223" s="196">
        <v>0</v>
      </c>
      <c r="Q1223" s="106">
        <v>6</v>
      </c>
      <c r="R1223" s="107">
        <v>52</v>
      </c>
      <c r="S1223" s="108">
        <v>3626.2</v>
      </c>
      <c r="T1223" s="108">
        <v>3626.2</v>
      </c>
      <c r="U1223" s="108">
        <v>2966.5</v>
      </c>
      <c r="V1223" s="109">
        <v>659.7</v>
      </c>
      <c r="W1223" s="206" t="s">
        <v>233</v>
      </c>
      <c r="X1223" s="206" t="s">
        <v>233</v>
      </c>
      <c r="Y1223" s="206" t="s">
        <v>233</v>
      </c>
      <c r="Z1223" s="206" t="s">
        <v>233</v>
      </c>
      <c r="AA1223" s="206" t="s">
        <v>233</v>
      </c>
      <c r="AB1223" s="206" t="s">
        <v>233</v>
      </c>
      <c r="AC1223" s="206" t="s">
        <v>240</v>
      </c>
      <c r="AD1223" s="206" t="s">
        <v>233</v>
      </c>
      <c r="AE1223" s="206" t="s">
        <v>240</v>
      </c>
      <c r="AF1223" s="96">
        <v>0</v>
      </c>
      <c r="AG1223" s="93">
        <v>0</v>
      </c>
      <c r="AH1223" s="93">
        <v>1</v>
      </c>
      <c r="AI1223" s="93">
        <v>0</v>
      </c>
      <c r="AJ1223" s="93">
        <v>0</v>
      </c>
      <c r="AK1223" s="93">
        <v>0</v>
      </c>
    </row>
    <row r="1224" spans="1:37" s="104" customFormat="1" outlineLevel="1">
      <c r="A1224" s="92">
        <v>1217</v>
      </c>
      <c r="B1224" s="93" t="s">
        <v>190</v>
      </c>
      <c r="C1224" s="93" t="s">
        <v>1488</v>
      </c>
      <c r="D1224" s="94" t="s">
        <v>901</v>
      </c>
      <c r="E1224" s="105">
        <v>17</v>
      </c>
      <c r="F1224" s="99" t="s">
        <v>191</v>
      </c>
      <c r="G1224" s="99"/>
      <c r="H1224" s="96" t="s">
        <v>911</v>
      </c>
      <c r="I1224" s="106" t="s">
        <v>736</v>
      </c>
      <c r="J1224" s="93"/>
      <c r="K1224" s="99" t="s">
        <v>232</v>
      </c>
      <c r="L1224" s="93" t="s">
        <v>232</v>
      </c>
      <c r="M1224" s="200">
        <v>1828</v>
      </c>
      <c r="N1224" s="64" t="s">
        <v>385</v>
      </c>
      <c r="O1224" s="106">
        <v>5</v>
      </c>
      <c r="P1224" s="196">
        <v>0</v>
      </c>
      <c r="Q1224" s="106">
        <v>5</v>
      </c>
      <c r="R1224" s="107">
        <v>45</v>
      </c>
      <c r="S1224" s="108">
        <v>3953.3</v>
      </c>
      <c r="T1224" s="108">
        <v>3953.3</v>
      </c>
      <c r="U1224" s="108">
        <v>3205.8</v>
      </c>
      <c r="V1224" s="109">
        <v>747.5</v>
      </c>
      <c r="W1224" s="206" t="s">
        <v>233</v>
      </c>
      <c r="X1224" s="206" t="s">
        <v>233</v>
      </c>
      <c r="Y1224" s="206" t="s">
        <v>233</v>
      </c>
      <c r="Z1224" s="206" t="s">
        <v>233</v>
      </c>
      <c r="AA1224" s="206" t="s">
        <v>233</v>
      </c>
      <c r="AB1224" s="206" t="s">
        <v>233</v>
      </c>
      <c r="AC1224" s="206" t="s">
        <v>240</v>
      </c>
      <c r="AD1224" s="206" t="s">
        <v>233</v>
      </c>
      <c r="AE1224" s="206" t="s">
        <v>240</v>
      </c>
      <c r="AF1224" s="96">
        <v>0</v>
      </c>
      <c r="AG1224" s="93">
        <v>0</v>
      </c>
      <c r="AH1224" s="93">
        <v>1</v>
      </c>
      <c r="AI1224" s="93">
        <v>0</v>
      </c>
      <c r="AJ1224" s="93">
        <v>0</v>
      </c>
      <c r="AK1224" s="93">
        <v>0</v>
      </c>
    </row>
    <row r="1225" spans="1:37" s="104" customFormat="1" outlineLevel="1">
      <c r="A1225" s="92">
        <v>1218</v>
      </c>
      <c r="B1225" s="93" t="s">
        <v>190</v>
      </c>
      <c r="C1225" s="93" t="s">
        <v>1488</v>
      </c>
      <c r="D1225" s="94" t="s">
        <v>901</v>
      </c>
      <c r="E1225" s="105">
        <v>18</v>
      </c>
      <c r="F1225" s="99" t="s">
        <v>191</v>
      </c>
      <c r="G1225" s="99"/>
      <c r="H1225" s="96" t="s">
        <v>912</v>
      </c>
      <c r="I1225" s="106" t="s">
        <v>736</v>
      </c>
      <c r="J1225" s="93"/>
      <c r="K1225" s="99" t="s">
        <v>232</v>
      </c>
      <c r="L1225" s="93" t="s">
        <v>232</v>
      </c>
      <c r="M1225" s="200">
        <v>1851</v>
      </c>
      <c r="N1225" s="64" t="s">
        <v>385</v>
      </c>
      <c r="O1225" s="106">
        <v>5</v>
      </c>
      <c r="P1225" s="196">
        <v>0</v>
      </c>
      <c r="Q1225" s="106">
        <v>2</v>
      </c>
      <c r="R1225" s="107">
        <v>25</v>
      </c>
      <c r="S1225" s="108">
        <v>2449.4</v>
      </c>
      <c r="T1225" s="108">
        <v>2449.4</v>
      </c>
      <c r="U1225" s="108">
        <v>2042.6</v>
      </c>
      <c r="V1225" s="109">
        <v>406.8</v>
      </c>
      <c r="W1225" s="206" t="s">
        <v>233</v>
      </c>
      <c r="X1225" s="206" t="s">
        <v>233</v>
      </c>
      <c r="Y1225" s="206" t="s">
        <v>233</v>
      </c>
      <c r="Z1225" s="206" t="s">
        <v>233</v>
      </c>
      <c r="AA1225" s="206" t="s">
        <v>233</v>
      </c>
      <c r="AB1225" s="206" t="s">
        <v>233</v>
      </c>
      <c r="AC1225" s="206" t="s">
        <v>240</v>
      </c>
      <c r="AD1225" s="206" t="s">
        <v>233</v>
      </c>
      <c r="AE1225" s="206" t="s">
        <v>240</v>
      </c>
      <c r="AF1225" s="96">
        <v>2</v>
      </c>
      <c r="AG1225" s="93">
        <v>0</v>
      </c>
      <c r="AH1225" s="93">
        <v>1</v>
      </c>
      <c r="AI1225" s="93">
        <v>0</v>
      </c>
      <c r="AJ1225" s="93">
        <v>0</v>
      </c>
      <c r="AK1225" s="93">
        <v>0</v>
      </c>
    </row>
    <row r="1226" spans="1:37" s="104" customFormat="1" outlineLevel="1">
      <c r="A1226" s="92">
        <v>1219</v>
      </c>
      <c r="B1226" s="93" t="s">
        <v>190</v>
      </c>
      <c r="C1226" s="93" t="s">
        <v>1488</v>
      </c>
      <c r="D1226" s="94" t="s">
        <v>901</v>
      </c>
      <c r="E1226" s="105">
        <v>18</v>
      </c>
      <c r="F1226" s="99" t="s">
        <v>231</v>
      </c>
      <c r="G1226" s="99"/>
      <c r="H1226" s="96" t="s">
        <v>913</v>
      </c>
      <c r="I1226" s="106" t="s">
        <v>736</v>
      </c>
      <c r="J1226" s="93"/>
      <c r="K1226" s="99" t="s">
        <v>232</v>
      </c>
      <c r="L1226" s="93" t="s">
        <v>232</v>
      </c>
      <c r="M1226" s="200">
        <v>1851</v>
      </c>
      <c r="N1226" s="64" t="s">
        <v>385</v>
      </c>
      <c r="O1226" s="106">
        <v>5</v>
      </c>
      <c r="P1226" s="196">
        <v>0</v>
      </c>
      <c r="Q1226" s="106">
        <v>2</v>
      </c>
      <c r="R1226" s="107">
        <v>24</v>
      </c>
      <c r="S1226" s="108">
        <v>1592.7</v>
      </c>
      <c r="T1226" s="108">
        <v>1592.7</v>
      </c>
      <c r="U1226" s="108">
        <v>1330.5</v>
      </c>
      <c r="V1226" s="109">
        <v>262.2</v>
      </c>
      <c r="W1226" s="206" t="s">
        <v>233</v>
      </c>
      <c r="X1226" s="206" t="s">
        <v>233</v>
      </c>
      <c r="Y1226" s="206" t="s">
        <v>233</v>
      </c>
      <c r="Z1226" s="206" t="s">
        <v>233</v>
      </c>
      <c r="AA1226" s="206" t="s">
        <v>233</v>
      </c>
      <c r="AB1226" s="206" t="s">
        <v>233</v>
      </c>
      <c r="AC1226" s="206" t="s">
        <v>240</v>
      </c>
      <c r="AD1226" s="206" t="s">
        <v>233</v>
      </c>
      <c r="AE1226" s="206" t="s">
        <v>240</v>
      </c>
      <c r="AF1226" s="96">
        <v>2</v>
      </c>
      <c r="AG1226" s="93">
        <v>0</v>
      </c>
      <c r="AH1226" s="93">
        <v>0</v>
      </c>
      <c r="AI1226" s="93">
        <v>0</v>
      </c>
      <c r="AJ1226" s="93">
        <v>0</v>
      </c>
      <c r="AK1226" s="93">
        <v>0</v>
      </c>
    </row>
    <row r="1227" spans="1:37" s="104" customFormat="1" ht="15.75" customHeight="1" outlineLevel="1">
      <c r="A1227" s="92">
        <v>1220</v>
      </c>
      <c r="B1227" s="93" t="s">
        <v>190</v>
      </c>
      <c r="C1227" s="93" t="s">
        <v>1488</v>
      </c>
      <c r="D1227" s="94" t="s">
        <v>901</v>
      </c>
      <c r="E1227" s="105">
        <v>19</v>
      </c>
      <c r="F1227" s="99" t="s">
        <v>191</v>
      </c>
      <c r="G1227" s="99"/>
      <c r="H1227" s="96" t="s">
        <v>914</v>
      </c>
      <c r="I1227" s="106" t="s">
        <v>736</v>
      </c>
      <c r="J1227" s="93"/>
      <c r="K1227" s="99" t="s">
        <v>232</v>
      </c>
      <c r="L1227" s="93" t="s">
        <v>232</v>
      </c>
      <c r="M1227" s="200">
        <v>1836</v>
      </c>
      <c r="N1227" s="64" t="s">
        <v>385</v>
      </c>
      <c r="O1227" s="106">
        <v>4</v>
      </c>
      <c r="P1227" s="196">
        <v>0</v>
      </c>
      <c r="Q1227" s="106">
        <v>5</v>
      </c>
      <c r="R1227" s="107">
        <v>36</v>
      </c>
      <c r="S1227" s="108">
        <v>3950.9</v>
      </c>
      <c r="T1227" s="108">
        <v>3950.9</v>
      </c>
      <c r="U1227" s="108">
        <v>3550.6</v>
      </c>
      <c r="V1227" s="109">
        <v>400.3</v>
      </c>
      <c r="W1227" s="206" t="s">
        <v>233</v>
      </c>
      <c r="X1227" s="206" t="s">
        <v>233</v>
      </c>
      <c r="Y1227" s="206" t="s">
        <v>233</v>
      </c>
      <c r="Z1227" s="206" t="s">
        <v>233</v>
      </c>
      <c r="AA1227" s="206" t="s">
        <v>233</v>
      </c>
      <c r="AB1227" s="206" t="s">
        <v>233</v>
      </c>
      <c r="AC1227" s="206" t="s">
        <v>240</v>
      </c>
      <c r="AD1227" s="206" t="s">
        <v>233</v>
      </c>
      <c r="AE1227" s="206" t="s">
        <v>240</v>
      </c>
      <c r="AF1227" s="96">
        <v>0</v>
      </c>
      <c r="AG1227" s="93">
        <v>0</v>
      </c>
      <c r="AH1227" s="93">
        <v>1</v>
      </c>
      <c r="AI1227" s="93">
        <v>0</v>
      </c>
      <c r="AJ1227" s="93">
        <v>0</v>
      </c>
      <c r="AK1227" s="93">
        <v>0</v>
      </c>
    </row>
    <row r="1228" spans="1:37" s="104" customFormat="1" ht="15.75" customHeight="1" outlineLevel="1">
      <c r="A1228" s="92">
        <v>1221</v>
      </c>
      <c r="B1228" s="93" t="s">
        <v>190</v>
      </c>
      <c r="C1228" s="93" t="s">
        <v>1488</v>
      </c>
      <c r="D1228" s="94" t="s">
        <v>915</v>
      </c>
      <c r="E1228" s="105" t="s">
        <v>916</v>
      </c>
      <c r="F1228" s="99" t="s">
        <v>191</v>
      </c>
      <c r="G1228" s="99"/>
      <c r="H1228" s="96" t="s">
        <v>917</v>
      </c>
      <c r="I1228" s="106" t="s">
        <v>736</v>
      </c>
      <c r="J1228" s="93"/>
      <c r="K1228" s="99" t="s">
        <v>232</v>
      </c>
      <c r="L1228" s="93" t="s">
        <v>232</v>
      </c>
      <c r="M1228" s="200">
        <v>1798</v>
      </c>
      <c r="N1228" s="64" t="s">
        <v>385</v>
      </c>
      <c r="O1228" s="106">
        <v>4</v>
      </c>
      <c r="P1228" s="196">
        <v>0</v>
      </c>
      <c r="Q1228" s="106">
        <v>9</v>
      </c>
      <c r="R1228" s="107">
        <v>37</v>
      </c>
      <c r="S1228" s="108">
        <v>4749.6000000000004</v>
      </c>
      <c r="T1228" s="108">
        <v>4749.6000000000004</v>
      </c>
      <c r="U1228" s="108">
        <v>3485.4</v>
      </c>
      <c r="V1228" s="109">
        <v>1264.2</v>
      </c>
      <c r="W1228" s="206" t="s">
        <v>233</v>
      </c>
      <c r="X1228" s="206" t="s">
        <v>233</v>
      </c>
      <c r="Y1228" s="206" t="s">
        <v>233</v>
      </c>
      <c r="Z1228" s="206" t="s">
        <v>233</v>
      </c>
      <c r="AA1228" s="206" t="s">
        <v>233</v>
      </c>
      <c r="AB1228" s="206" t="s">
        <v>233</v>
      </c>
      <c r="AC1228" s="206" t="s">
        <v>240</v>
      </c>
      <c r="AD1228" s="206" t="s">
        <v>233</v>
      </c>
      <c r="AE1228" s="206" t="s">
        <v>240</v>
      </c>
      <c r="AF1228" s="96">
        <v>0</v>
      </c>
      <c r="AG1228" s="93">
        <v>0</v>
      </c>
      <c r="AH1228" s="93">
        <v>1</v>
      </c>
      <c r="AI1228" s="93">
        <v>0</v>
      </c>
      <c r="AJ1228" s="93">
        <v>0</v>
      </c>
      <c r="AK1228" s="93">
        <v>0</v>
      </c>
    </row>
    <row r="1229" spans="1:37" s="104" customFormat="1" outlineLevel="1">
      <c r="A1229" s="92">
        <v>1222</v>
      </c>
      <c r="B1229" s="93" t="s">
        <v>190</v>
      </c>
      <c r="C1229" s="93" t="s">
        <v>1488</v>
      </c>
      <c r="D1229" s="94" t="s">
        <v>901</v>
      </c>
      <c r="E1229" s="105" t="s">
        <v>275</v>
      </c>
      <c r="F1229" s="99" t="s">
        <v>191</v>
      </c>
      <c r="G1229" s="99"/>
      <c r="H1229" s="96" t="s">
        <v>918</v>
      </c>
      <c r="I1229" s="106" t="s">
        <v>736</v>
      </c>
      <c r="J1229" s="93"/>
      <c r="K1229" s="99" t="s">
        <v>232</v>
      </c>
      <c r="L1229" s="93" t="s">
        <v>232</v>
      </c>
      <c r="M1229" s="200">
        <v>1917</v>
      </c>
      <c r="N1229" s="64" t="s">
        <v>385</v>
      </c>
      <c r="O1229" s="106">
        <v>5</v>
      </c>
      <c r="P1229" s="196">
        <v>0</v>
      </c>
      <c r="Q1229" s="106">
        <v>6</v>
      </c>
      <c r="R1229" s="107">
        <v>67</v>
      </c>
      <c r="S1229" s="108">
        <v>5349.7999999999993</v>
      </c>
      <c r="T1229" s="108">
        <v>5349.7999999999993</v>
      </c>
      <c r="U1229" s="108">
        <v>4294.2</v>
      </c>
      <c r="V1229" s="109">
        <v>1055.5999999999999</v>
      </c>
      <c r="W1229" s="206" t="s">
        <v>233</v>
      </c>
      <c r="X1229" s="206" t="s">
        <v>233</v>
      </c>
      <c r="Y1229" s="206" t="s">
        <v>233</v>
      </c>
      <c r="Z1229" s="206" t="s">
        <v>233</v>
      </c>
      <c r="AA1229" s="206" t="s">
        <v>233</v>
      </c>
      <c r="AB1229" s="206" t="s">
        <v>233</v>
      </c>
      <c r="AC1229" s="206" t="s">
        <v>240</v>
      </c>
      <c r="AD1229" s="206" t="s">
        <v>233</v>
      </c>
      <c r="AE1229" s="206" t="s">
        <v>240</v>
      </c>
      <c r="AF1229" s="96">
        <v>3</v>
      </c>
      <c r="AG1229" s="93">
        <v>0</v>
      </c>
      <c r="AH1229" s="93">
        <v>1</v>
      </c>
      <c r="AI1229" s="93">
        <v>0</v>
      </c>
      <c r="AJ1229" s="93">
        <v>0</v>
      </c>
      <c r="AK1229" s="93">
        <v>0</v>
      </c>
    </row>
    <row r="1230" spans="1:37" s="104" customFormat="1" outlineLevel="1">
      <c r="A1230" s="92">
        <v>1223</v>
      </c>
      <c r="B1230" s="93" t="s">
        <v>190</v>
      </c>
      <c r="C1230" s="93" t="s">
        <v>1488</v>
      </c>
      <c r="D1230" s="94" t="s">
        <v>901</v>
      </c>
      <c r="E1230" s="105">
        <v>28</v>
      </c>
      <c r="F1230" s="99" t="s">
        <v>231</v>
      </c>
      <c r="G1230" s="99"/>
      <c r="H1230" s="96" t="s">
        <v>919</v>
      </c>
      <c r="I1230" s="106" t="s">
        <v>736</v>
      </c>
      <c r="J1230" s="93"/>
      <c r="K1230" s="99" t="s">
        <v>232</v>
      </c>
      <c r="L1230" s="93" t="s">
        <v>232</v>
      </c>
      <c r="M1230" s="200">
        <v>1832</v>
      </c>
      <c r="N1230" s="64" t="s">
        <v>385</v>
      </c>
      <c r="O1230" s="106">
        <v>5</v>
      </c>
      <c r="P1230" s="196">
        <v>0</v>
      </c>
      <c r="Q1230" s="106">
        <v>5</v>
      </c>
      <c r="R1230" s="107">
        <v>63</v>
      </c>
      <c r="S1230" s="108">
        <v>4720.3</v>
      </c>
      <c r="T1230" s="108">
        <v>4720.3</v>
      </c>
      <c r="U1230" s="108">
        <v>4223.5</v>
      </c>
      <c r="V1230" s="109">
        <v>496.8</v>
      </c>
      <c r="W1230" s="206" t="s">
        <v>233</v>
      </c>
      <c r="X1230" s="206" t="s">
        <v>233</v>
      </c>
      <c r="Y1230" s="206" t="s">
        <v>233</v>
      </c>
      <c r="Z1230" s="206" t="s">
        <v>233</v>
      </c>
      <c r="AA1230" s="206" t="s">
        <v>233</v>
      </c>
      <c r="AB1230" s="206" t="s">
        <v>233</v>
      </c>
      <c r="AC1230" s="206" t="s">
        <v>240</v>
      </c>
      <c r="AD1230" s="206" t="s">
        <v>233</v>
      </c>
      <c r="AE1230" s="206" t="s">
        <v>240</v>
      </c>
      <c r="AF1230" s="96">
        <v>0</v>
      </c>
      <c r="AG1230" s="93">
        <v>0</v>
      </c>
      <c r="AH1230" s="93">
        <v>1</v>
      </c>
      <c r="AI1230" s="93">
        <v>0</v>
      </c>
      <c r="AJ1230" s="93">
        <v>0</v>
      </c>
      <c r="AK1230" s="93">
        <v>0</v>
      </c>
    </row>
    <row r="1231" spans="1:37" s="104" customFormat="1" outlineLevel="1">
      <c r="A1231" s="92">
        <v>1224</v>
      </c>
      <c r="B1231" s="93" t="s">
        <v>190</v>
      </c>
      <c r="C1231" s="93" t="s">
        <v>1488</v>
      </c>
      <c r="D1231" s="94" t="s">
        <v>901</v>
      </c>
      <c r="E1231" s="105">
        <v>30</v>
      </c>
      <c r="F1231" s="99" t="s">
        <v>191</v>
      </c>
      <c r="G1231" s="99"/>
      <c r="H1231" s="96" t="s">
        <v>920</v>
      </c>
      <c r="I1231" s="106" t="s">
        <v>736</v>
      </c>
      <c r="J1231" s="93"/>
      <c r="K1231" s="99" t="s">
        <v>232</v>
      </c>
      <c r="L1231" s="93" t="s">
        <v>232</v>
      </c>
      <c r="M1231" s="200">
        <v>1871</v>
      </c>
      <c r="N1231" s="64" t="s">
        <v>385</v>
      </c>
      <c r="O1231" s="106">
        <v>5</v>
      </c>
      <c r="P1231" s="196">
        <v>0</v>
      </c>
      <c r="Q1231" s="106">
        <v>5</v>
      </c>
      <c r="R1231" s="107">
        <v>18</v>
      </c>
      <c r="S1231" s="108">
        <v>3088.6</v>
      </c>
      <c r="T1231" s="108">
        <v>3088.6</v>
      </c>
      <c r="U1231" s="108">
        <v>2623.9</v>
      </c>
      <c r="V1231" s="109">
        <v>464.7</v>
      </c>
      <c r="W1231" s="206" t="s">
        <v>233</v>
      </c>
      <c r="X1231" s="206" t="s">
        <v>233</v>
      </c>
      <c r="Y1231" s="206" t="s">
        <v>233</v>
      </c>
      <c r="Z1231" s="206" t="s">
        <v>233</v>
      </c>
      <c r="AA1231" s="206" t="s">
        <v>233</v>
      </c>
      <c r="AB1231" s="206" t="s">
        <v>233</v>
      </c>
      <c r="AC1231" s="206" t="s">
        <v>240</v>
      </c>
      <c r="AD1231" s="206" t="s">
        <v>233</v>
      </c>
      <c r="AE1231" s="206" t="s">
        <v>240</v>
      </c>
      <c r="AF1231" s="96">
        <v>0</v>
      </c>
      <c r="AG1231" s="93">
        <v>0</v>
      </c>
      <c r="AH1231" s="93">
        <v>1</v>
      </c>
      <c r="AI1231" s="93">
        <v>0</v>
      </c>
      <c r="AJ1231" s="93">
        <v>0</v>
      </c>
      <c r="AK1231" s="93">
        <v>0</v>
      </c>
    </row>
    <row r="1232" spans="1:37" s="104" customFormat="1" outlineLevel="1">
      <c r="A1232" s="92">
        <v>1225</v>
      </c>
      <c r="B1232" s="93" t="s">
        <v>190</v>
      </c>
      <c r="C1232" s="93" t="s">
        <v>1488</v>
      </c>
      <c r="D1232" s="94" t="s">
        <v>901</v>
      </c>
      <c r="E1232" s="105">
        <v>30</v>
      </c>
      <c r="F1232" s="99" t="s">
        <v>231</v>
      </c>
      <c r="G1232" s="99"/>
      <c r="H1232" s="96" t="s">
        <v>921</v>
      </c>
      <c r="I1232" s="106" t="s">
        <v>736</v>
      </c>
      <c r="J1232" s="93"/>
      <c r="K1232" s="99" t="s">
        <v>232</v>
      </c>
      <c r="L1232" s="93" t="s">
        <v>232</v>
      </c>
      <c r="M1232" s="200">
        <v>1871</v>
      </c>
      <c r="N1232" s="64" t="s">
        <v>385</v>
      </c>
      <c r="O1232" s="106">
        <v>4</v>
      </c>
      <c r="P1232" s="196">
        <v>0</v>
      </c>
      <c r="Q1232" s="106">
        <v>1</v>
      </c>
      <c r="R1232" s="107">
        <v>20</v>
      </c>
      <c r="S1232" s="108">
        <v>576.19999999999993</v>
      </c>
      <c r="T1232" s="108">
        <v>576.19999999999993</v>
      </c>
      <c r="U1232" s="108">
        <v>546.4</v>
      </c>
      <c r="V1232" s="109">
        <v>29.8</v>
      </c>
      <c r="W1232" s="206" t="s">
        <v>233</v>
      </c>
      <c r="X1232" s="206" t="s">
        <v>233</v>
      </c>
      <c r="Y1232" s="206" t="s">
        <v>233</v>
      </c>
      <c r="Z1232" s="206" t="s">
        <v>233</v>
      </c>
      <c r="AA1232" s="206" t="s">
        <v>233</v>
      </c>
      <c r="AB1232" s="206" t="s">
        <v>233</v>
      </c>
      <c r="AC1232" s="206" t="s">
        <v>240</v>
      </c>
      <c r="AD1232" s="206" t="s">
        <v>233</v>
      </c>
      <c r="AE1232" s="206" t="s">
        <v>240</v>
      </c>
      <c r="AF1232" s="96">
        <v>0</v>
      </c>
      <c r="AG1232" s="93">
        <v>0</v>
      </c>
      <c r="AH1232" s="93">
        <v>0</v>
      </c>
      <c r="AI1232" s="93">
        <v>0</v>
      </c>
      <c r="AJ1232" s="93">
        <v>0</v>
      </c>
      <c r="AK1232" s="93">
        <v>0</v>
      </c>
    </row>
    <row r="1233" spans="1:37" s="104" customFormat="1" outlineLevel="1">
      <c r="A1233" s="92">
        <v>1226</v>
      </c>
      <c r="B1233" s="93" t="s">
        <v>190</v>
      </c>
      <c r="C1233" s="93" t="s">
        <v>1488</v>
      </c>
      <c r="D1233" s="94" t="s">
        <v>901</v>
      </c>
      <c r="E1233" s="105">
        <v>32</v>
      </c>
      <c r="F1233" s="99" t="s">
        <v>191</v>
      </c>
      <c r="G1233" s="99"/>
      <c r="H1233" s="96" t="s">
        <v>922</v>
      </c>
      <c r="I1233" s="106" t="s">
        <v>736</v>
      </c>
      <c r="J1233" s="93"/>
      <c r="K1233" s="99" t="s">
        <v>232</v>
      </c>
      <c r="L1233" s="93" t="s">
        <v>232</v>
      </c>
      <c r="M1233" s="200">
        <v>1874</v>
      </c>
      <c r="N1233" s="64" t="s">
        <v>385</v>
      </c>
      <c r="O1233" s="106">
        <v>5</v>
      </c>
      <c r="P1233" s="196">
        <v>0</v>
      </c>
      <c r="Q1233" s="106">
        <v>6</v>
      </c>
      <c r="R1233" s="107">
        <v>33</v>
      </c>
      <c r="S1233" s="108">
        <v>4648.5999999999995</v>
      </c>
      <c r="T1233" s="108">
        <v>4648.5999999999995</v>
      </c>
      <c r="U1233" s="108">
        <v>3894.2</v>
      </c>
      <c r="V1233" s="109">
        <v>754.4</v>
      </c>
      <c r="W1233" s="206" t="s">
        <v>233</v>
      </c>
      <c r="X1233" s="206" t="s">
        <v>233</v>
      </c>
      <c r="Y1233" s="206" t="s">
        <v>233</v>
      </c>
      <c r="Z1233" s="206" t="s">
        <v>233</v>
      </c>
      <c r="AA1233" s="206" t="s">
        <v>233</v>
      </c>
      <c r="AB1233" s="206" t="s">
        <v>233</v>
      </c>
      <c r="AC1233" s="206" t="s">
        <v>240</v>
      </c>
      <c r="AD1233" s="206" t="s">
        <v>233</v>
      </c>
      <c r="AE1233" s="206" t="s">
        <v>240</v>
      </c>
      <c r="AF1233" s="96">
        <v>1</v>
      </c>
      <c r="AG1233" s="93">
        <v>0</v>
      </c>
      <c r="AH1233" s="93">
        <v>1</v>
      </c>
      <c r="AI1233" s="93">
        <v>0</v>
      </c>
      <c r="AJ1233" s="93">
        <v>0</v>
      </c>
      <c r="AK1233" s="93">
        <v>0</v>
      </c>
    </row>
    <row r="1234" spans="1:37" s="104" customFormat="1" outlineLevel="1">
      <c r="A1234" s="92">
        <v>1227</v>
      </c>
      <c r="B1234" s="93" t="s">
        <v>190</v>
      </c>
      <c r="C1234" s="93" t="s">
        <v>1488</v>
      </c>
      <c r="D1234" s="94" t="s">
        <v>901</v>
      </c>
      <c r="E1234" s="105">
        <v>4</v>
      </c>
      <c r="F1234" s="99" t="s">
        <v>191</v>
      </c>
      <c r="G1234" s="99"/>
      <c r="H1234" s="96" t="s">
        <v>923</v>
      </c>
      <c r="I1234" s="106" t="s">
        <v>736</v>
      </c>
      <c r="J1234" s="93"/>
      <c r="K1234" s="99" t="s">
        <v>232</v>
      </c>
      <c r="L1234" s="93" t="s">
        <v>232</v>
      </c>
      <c r="M1234" s="200">
        <v>1853</v>
      </c>
      <c r="N1234" s="64" t="s">
        <v>385</v>
      </c>
      <c r="O1234" s="106">
        <v>4</v>
      </c>
      <c r="P1234" s="196">
        <v>0</v>
      </c>
      <c r="Q1234" s="106">
        <v>3</v>
      </c>
      <c r="R1234" s="107">
        <v>17</v>
      </c>
      <c r="S1234" s="108">
        <v>1300.5</v>
      </c>
      <c r="T1234" s="108">
        <v>1300.5</v>
      </c>
      <c r="U1234" s="108">
        <v>1092.0999999999999</v>
      </c>
      <c r="V1234" s="109">
        <v>208.4</v>
      </c>
      <c r="W1234" s="206" t="s">
        <v>233</v>
      </c>
      <c r="X1234" s="206" t="s">
        <v>233</v>
      </c>
      <c r="Y1234" s="206" t="s">
        <v>233</v>
      </c>
      <c r="Z1234" s="206" t="s">
        <v>233</v>
      </c>
      <c r="AA1234" s="206" t="s">
        <v>233</v>
      </c>
      <c r="AB1234" s="206" t="s">
        <v>233</v>
      </c>
      <c r="AC1234" s="206" t="s">
        <v>240</v>
      </c>
      <c r="AD1234" s="206" t="s">
        <v>233</v>
      </c>
      <c r="AE1234" s="206" t="s">
        <v>240</v>
      </c>
      <c r="AF1234" s="96">
        <v>0</v>
      </c>
      <c r="AG1234" s="93">
        <v>0</v>
      </c>
      <c r="AH1234" s="93">
        <v>1</v>
      </c>
      <c r="AI1234" s="93">
        <v>0</v>
      </c>
      <c r="AJ1234" s="93">
        <v>0</v>
      </c>
      <c r="AK1234" s="93">
        <v>0</v>
      </c>
    </row>
    <row r="1235" spans="1:37" s="104" customFormat="1" outlineLevel="1">
      <c r="A1235" s="92">
        <v>1228</v>
      </c>
      <c r="B1235" s="93" t="s">
        <v>190</v>
      </c>
      <c r="C1235" s="93" t="s">
        <v>1488</v>
      </c>
      <c r="D1235" s="94" t="s">
        <v>901</v>
      </c>
      <c r="E1235" s="105">
        <v>5</v>
      </c>
      <c r="F1235" s="99" t="s">
        <v>191</v>
      </c>
      <c r="G1235" s="99"/>
      <c r="H1235" s="96" t="s">
        <v>924</v>
      </c>
      <c r="I1235" s="106" t="s">
        <v>736</v>
      </c>
      <c r="J1235" s="93"/>
      <c r="K1235" s="99" t="s">
        <v>232</v>
      </c>
      <c r="L1235" s="93" t="s">
        <v>232</v>
      </c>
      <c r="M1235" s="200">
        <v>1852</v>
      </c>
      <c r="N1235" s="64" t="s">
        <v>385</v>
      </c>
      <c r="O1235" s="106">
        <v>5</v>
      </c>
      <c r="P1235" s="196">
        <v>0</v>
      </c>
      <c r="Q1235" s="106">
        <v>5</v>
      </c>
      <c r="R1235" s="107">
        <v>27</v>
      </c>
      <c r="S1235" s="108">
        <v>2970.1</v>
      </c>
      <c r="T1235" s="108">
        <v>2970.1</v>
      </c>
      <c r="U1235" s="108">
        <v>2635.9</v>
      </c>
      <c r="V1235" s="109">
        <v>334.2</v>
      </c>
      <c r="W1235" s="206" t="s">
        <v>233</v>
      </c>
      <c r="X1235" s="206" t="s">
        <v>233</v>
      </c>
      <c r="Y1235" s="206" t="s">
        <v>233</v>
      </c>
      <c r="Z1235" s="206" t="s">
        <v>233</v>
      </c>
      <c r="AA1235" s="206" t="s">
        <v>233</v>
      </c>
      <c r="AB1235" s="206" t="s">
        <v>233</v>
      </c>
      <c r="AC1235" s="206" t="s">
        <v>240</v>
      </c>
      <c r="AD1235" s="206" t="s">
        <v>233</v>
      </c>
      <c r="AE1235" s="206" t="s">
        <v>240</v>
      </c>
      <c r="AF1235" s="96">
        <v>0</v>
      </c>
      <c r="AG1235" s="93">
        <v>0</v>
      </c>
      <c r="AH1235" s="93">
        <v>1</v>
      </c>
      <c r="AI1235" s="93">
        <v>0</v>
      </c>
      <c r="AJ1235" s="93">
        <v>0</v>
      </c>
      <c r="AK1235" s="93">
        <v>0</v>
      </c>
    </row>
    <row r="1236" spans="1:37" s="104" customFormat="1" outlineLevel="1">
      <c r="A1236" s="92">
        <v>1229</v>
      </c>
      <c r="B1236" s="93" t="s">
        <v>190</v>
      </c>
      <c r="C1236" s="93" t="s">
        <v>1488</v>
      </c>
      <c r="D1236" s="94" t="s">
        <v>901</v>
      </c>
      <c r="E1236" s="105">
        <v>6</v>
      </c>
      <c r="F1236" s="99" t="s">
        <v>191</v>
      </c>
      <c r="G1236" s="99"/>
      <c r="H1236" s="96" t="s">
        <v>925</v>
      </c>
      <c r="I1236" s="106" t="s">
        <v>736</v>
      </c>
      <c r="J1236" s="93"/>
      <c r="K1236" s="99" t="s">
        <v>232</v>
      </c>
      <c r="L1236" s="93" t="s">
        <v>232</v>
      </c>
      <c r="M1236" s="200">
        <v>1814</v>
      </c>
      <c r="N1236" s="64" t="s">
        <v>385</v>
      </c>
      <c r="O1236" s="106">
        <v>4</v>
      </c>
      <c r="P1236" s="196">
        <v>0</v>
      </c>
      <c r="Q1236" s="106">
        <v>7</v>
      </c>
      <c r="R1236" s="107">
        <v>33</v>
      </c>
      <c r="S1236" s="108">
        <v>3698.2</v>
      </c>
      <c r="T1236" s="108">
        <v>3698.2</v>
      </c>
      <c r="U1236" s="108">
        <v>3146.9</v>
      </c>
      <c r="V1236" s="109">
        <v>551.29999999999995</v>
      </c>
      <c r="W1236" s="206" t="s">
        <v>233</v>
      </c>
      <c r="X1236" s="206" t="s">
        <v>233</v>
      </c>
      <c r="Y1236" s="206" t="s">
        <v>233</v>
      </c>
      <c r="Z1236" s="206" t="s">
        <v>233</v>
      </c>
      <c r="AA1236" s="206" t="s">
        <v>233</v>
      </c>
      <c r="AB1236" s="206" t="s">
        <v>233</v>
      </c>
      <c r="AC1236" s="206" t="s">
        <v>240</v>
      </c>
      <c r="AD1236" s="206" t="s">
        <v>233</v>
      </c>
      <c r="AE1236" s="206" t="s">
        <v>240</v>
      </c>
      <c r="AF1236" s="96">
        <v>0</v>
      </c>
      <c r="AG1236" s="93">
        <v>0</v>
      </c>
      <c r="AH1236" s="93">
        <v>1</v>
      </c>
      <c r="AI1236" s="93">
        <v>0</v>
      </c>
      <c r="AJ1236" s="93">
        <v>0</v>
      </c>
      <c r="AK1236" s="93">
        <v>0</v>
      </c>
    </row>
    <row r="1237" spans="1:37" s="104" customFormat="1" outlineLevel="1">
      <c r="A1237" s="92">
        <v>1230</v>
      </c>
      <c r="B1237" s="93" t="s">
        <v>190</v>
      </c>
      <c r="C1237" s="93" t="s">
        <v>1488</v>
      </c>
      <c r="D1237" s="94" t="s">
        <v>901</v>
      </c>
      <c r="E1237" s="105">
        <v>7</v>
      </c>
      <c r="F1237" s="99" t="s">
        <v>191</v>
      </c>
      <c r="G1237" s="99"/>
      <c r="H1237" s="96" t="s">
        <v>926</v>
      </c>
      <c r="I1237" s="106" t="s">
        <v>736</v>
      </c>
      <c r="J1237" s="93"/>
      <c r="K1237" s="99" t="s">
        <v>232</v>
      </c>
      <c r="L1237" s="93" t="s">
        <v>232</v>
      </c>
      <c r="M1237" s="200">
        <v>1856</v>
      </c>
      <c r="N1237" s="64" t="s">
        <v>385</v>
      </c>
      <c r="O1237" s="106">
        <v>4</v>
      </c>
      <c r="P1237" s="196">
        <v>0</v>
      </c>
      <c r="Q1237" s="106">
        <v>4</v>
      </c>
      <c r="R1237" s="107">
        <v>22</v>
      </c>
      <c r="S1237" s="108">
        <v>3627.3999999999996</v>
      </c>
      <c r="T1237" s="108">
        <v>3627.3999999999996</v>
      </c>
      <c r="U1237" s="108">
        <v>2914.2</v>
      </c>
      <c r="V1237" s="109">
        <v>713.2</v>
      </c>
      <c r="W1237" s="206" t="s">
        <v>233</v>
      </c>
      <c r="X1237" s="206" t="s">
        <v>233</v>
      </c>
      <c r="Y1237" s="206" t="s">
        <v>233</v>
      </c>
      <c r="Z1237" s="206" t="s">
        <v>233</v>
      </c>
      <c r="AA1237" s="206" t="s">
        <v>233</v>
      </c>
      <c r="AB1237" s="206" t="s">
        <v>233</v>
      </c>
      <c r="AC1237" s="206" t="s">
        <v>240</v>
      </c>
      <c r="AD1237" s="206" t="s">
        <v>233</v>
      </c>
      <c r="AE1237" s="206" t="s">
        <v>240</v>
      </c>
      <c r="AF1237" s="96">
        <v>0</v>
      </c>
      <c r="AG1237" s="93">
        <v>0</v>
      </c>
      <c r="AH1237" s="93">
        <v>1</v>
      </c>
      <c r="AI1237" s="93">
        <v>0</v>
      </c>
      <c r="AJ1237" s="93">
        <v>0</v>
      </c>
      <c r="AK1237" s="93">
        <v>0</v>
      </c>
    </row>
    <row r="1238" spans="1:37" s="104" customFormat="1" outlineLevel="1">
      <c r="A1238" s="92">
        <v>1231</v>
      </c>
      <c r="B1238" s="93" t="s">
        <v>190</v>
      </c>
      <c r="C1238" s="93" t="s">
        <v>1488</v>
      </c>
      <c r="D1238" s="94" t="s">
        <v>901</v>
      </c>
      <c r="E1238" s="105">
        <v>8</v>
      </c>
      <c r="F1238" s="99" t="s">
        <v>191</v>
      </c>
      <c r="G1238" s="99"/>
      <c r="H1238" s="96" t="s">
        <v>927</v>
      </c>
      <c r="I1238" s="106" t="s">
        <v>736</v>
      </c>
      <c r="J1238" s="93"/>
      <c r="K1238" s="99" t="s">
        <v>232</v>
      </c>
      <c r="L1238" s="93" t="s">
        <v>232</v>
      </c>
      <c r="M1238" s="200">
        <v>1865</v>
      </c>
      <c r="N1238" s="64" t="s">
        <v>385</v>
      </c>
      <c r="O1238" s="106">
        <v>4</v>
      </c>
      <c r="P1238" s="196">
        <v>0</v>
      </c>
      <c r="Q1238" s="106">
        <v>4</v>
      </c>
      <c r="R1238" s="107">
        <v>19</v>
      </c>
      <c r="S1238" s="108">
        <v>2037.3</v>
      </c>
      <c r="T1238" s="108">
        <v>2037.3</v>
      </c>
      <c r="U1238" s="108">
        <v>1569.8</v>
      </c>
      <c r="V1238" s="109">
        <v>467.5</v>
      </c>
      <c r="W1238" s="206" t="s">
        <v>233</v>
      </c>
      <c r="X1238" s="206" t="s">
        <v>233</v>
      </c>
      <c r="Y1238" s="206" t="s">
        <v>233</v>
      </c>
      <c r="Z1238" s="206" t="s">
        <v>233</v>
      </c>
      <c r="AA1238" s="206" t="s">
        <v>233</v>
      </c>
      <c r="AB1238" s="206" t="s">
        <v>233</v>
      </c>
      <c r="AC1238" s="206" t="s">
        <v>240</v>
      </c>
      <c r="AD1238" s="206" t="s">
        <v>233</v>
      </c>
      <c r="AE1238" s="206" t="s">
        <v>240</v>
      </c>
      <c r="AF1238" s="96">
        <v>0</v>
      </c>
      <c r="AG1238" s="93">
        <v>0</v>
      </c>
      <c r="AH1238" s="93">
        <v>1</v>
      </c>
      <c r="AI1238" s="93">
        <v>0</v>
      </c>
      <c r="AJ1238" s="93">
        <v>0</v>
      </c>
      <c r="AK1238" s="93">
        <v>0</v>
      </c>
    </row>
    <row r="1239" spans="1:37" s="104" customFormat="1" outlineLevel="1">
      <c r="A1239" s="92">
        <v>1232</v>
      </c>
      <c r="B1239" s="93" t="s">
        <v>190</v>
      </c>
      <c r="C1239" s="93" t="s">
        <v>1488</v>
      </c>
      <c r="D1239" s="94" t="s">
        <v>901</v>
      </c>
      <c r="E1239" s="105">
        <v>9</v>
      </c>
      <c r="F1239" s="99" t="s">
        <v>191</v>
      </c>
      <c r="G1239" s="99"/>
      <c r="H1239" s="96" t="s">
        <v>928</v>
      </c>
      <c r="I1239" s="106" t="s">
        <v>736</v>
      </c>
      <c r="J1239" s="93"/>
      <c r="K1239" s="99" t="s">
        <v>232</v>
      </c>
      <c r="L1239" s="93" t="s">
        <v>232</v>
      </c>
      <c r="M1239" s="200">
        <v>1880</v>
      </c>
      <c r="N1239" s="64" t="s">
        <v>385</v>
      </c>
      <c r="O1239" s="106">
        <v>5</v>
      </c>
      <c r="P1239" s="196">
        <v>0</v>
      </c>
      <c r="Q1239" s="106">
        <v>3</v>
      </c>
      <c r="R1239" s="107">
        <v>22</v>
      </c>
      <c r="S1239" s="108">
        <v>2138.8000000000002</v>
      </c>
      <c r="T1239" s="108">
        <v>2138.8000000000002</v>
      </c>
      <c r="U1239" s="108">
        <v>1800.9</v>
      </c>
      <c r="V1239" s="109">
        <v>337.9</v>
      </c>
      <c r="W1239" s="206" t="s">
        <v>233</v>
      </c>
      <c r="X1239" s="206" t="s">
        <v>233</v>
      </c>
      <c r="Y1239" s="206" t="s">
        <v>233</v>
      </c>
      <c r="Z1239" s="206" t="s">
        <v>233</v>
      </c>
      <c r="AA1239" s="206" t="s">
        <v>233</v>
      </c>
      <c r="AB1239" s="206" t="s">
        <v>233</v>
      </c>
      <c r="AC1239" s="206" t="s">
        <v>240</v>
      </c>
      <c r="AD1239" s="206" t="s">
        <v>233</v>
      </c>
      <c r="AE1239" s="206" t="s">
        <v>240</v>
      </c>
      <c r="AF1239" s="96">
        <v>0</v>
      </c>
      <c r="AG1239" s="93">
        <v>0</v>
      </c>
      <c r="AH1239" s="93">
        <v>1</v>
      </c>
      <c r="AI1239" s="93">
        <v>0</v>
      </c>
      <c r="AJ1239" s="93">
        <v>0</v>
      </c>
      <c r="AK1239" s="93">
        <v>0</v>
      </c>
    </row>
    <row r="1240" spans="1:37" s="104" customFormat="1" outlineLevel="1">
      <c r="A1240" s="92">
        <v>1233</v>
      </c>
      <c r="B1240" s="93" t="s">
        <v>190</v>
      </c>
      <c r="C1240" s="93" t="s">
        <v>1488</v>
      </c>
      <c r="D1240" s="94" t="s">
        <v>929</v>
      </c>
      <c r="E1240" s="105">
        <v>5</v>
      </c>
      <c r="F1240" s="99" t="s">
        <v>191</v>
      </c>
      <c r="G1240" s="99"/>
      <c r="H1240" s="96" t="s">
        <v>930</v>
      </c>
      <c r="I1240" s="106" t="s">
        <v>736</v>
      </c>
      <c r="J1240" s="93"/>
      <c r="K1240" s="99" t="s">
        <v>232</v>
      </c>
      <c r="L1240" s="93" t="s">
        <v>232</v>
      </c>
      <c r="M1240" s="200">
        <v>1874</v>
      </c>
      <c r="N1240" s="64" t="s">
        <v>385</v>
      </c>
      <c r="O1240" s="106">
        <v>5</v>
      </c>
      <c r="P1240" s="196">
        <v>0</v>
      </c>
      <c r="Q1240" s="106">
        <v>11</v>
      </c>
      <c r="R1240" s="107">
        <v>57</v>
      </c>
      <c r="S1240" s="108">
        <v>8633</v>
      </c>
      <c r="T1240" s="108">
        <v>8633</v>
      </c>
      <c r="U1240" s="108">
        <v>7129.4</v>
      </c>
      <c r="V1240" s="109">
        <v>1503.6</v>
      </c>
      <c r="W1240" s="206" t="s">
        <v>233</v>
      </c>
      <c r="X1240" s="206" t="s">
        <v>233</v>
      </c>
      <c r="Y1240" s="206" t="s">
        <v>233</v>
      </c>
      <c r="Z1240" s="206" t="s">
        <v>233</v>
      </c>
      <c r="AA1240" s="206" t="s">
        <v>233</v>
      </c>
      <c r="AB1240" s="206" t="s">
        <v>233</v>
      </c>
      <c r="AC1240" s="206" t="s">
        <v>240</v>
      </c>
      <c r="AD1240" s="206" t="s">
        <v>233</v>
      </c>
      <c r="AE1240" s="206" t="s">
        <v>240</v>
      </c>
      <c r="AF1240" s="96">
        <v>0</v>
      </c>
      <c r="AG1240" s="93">
        <v>0</v>
      </c>
      <c r="AH1240" s="93">
        <v>1</v>
      </c>
      <c r="AI1240" s="93">
        <v>0</v>
      </c>
      <c r="AJ1240" s="93">
        <v>0</v>
      </c>
      <c r="AK1240" s="93">
        <v>0</v>
      </c>
    </row>
    <row r="1241" spans="1:37" s="104" customFormat="1" outlineLevel="1">
      <c r="A1241" s="92">
        <v>1234</v>
      </c>
      <c r="B1241" s="93" t="s">
        <v>190</v>
      </c>
      <c r="C1241" s="93" t="s">
        <v>1488</v>
      </c>
      <c r="D1241" s="94" t="s">
        <v>929</v>
      </c>
      <c r="E1241" s="105">
        <v>6</v>
      </c>
      <c r="F1241" s="99" t="s">
        <v>191</v>
      </c>
      <c r="G1241" s="99"/>
      <c r="H1241" s="96" t="s">
        <v>931</v>
      </c>
      <c r="I1241" s="106" t="s">
        <v>736</v>
      </c>
      <c r="J1241" s="93"/>
      <c r="K1241" s="99" t="s">
        <v>232</v>
      </c>
      <c r="L1241" s="93" t="s">
        <v>232</v>
      </c>
      <c r="M1241" s="200">
        <v>1874</v>
      </c>
      <c r="N1241" s="64" t="s">
        <v>385</v>
      </c>
      <c r="O1241" s="106">
        <v>4</v>
      </c>
      <c r="P1241" s="196">
        <v>0</v>
      </c>
      <c r="Q1241" s="106">
        <v>9</v>
      </c>
      <c r="R1241" s="107">
        <v>70</v>
      </c>
      <c r="S1241" s="108">
        <v>8930.6999999999989</v>
      </c>
      <c r="T1241" s="108">
        <v>8930.6999999999989</v>
      </c>
      <c r="U1241" s="108">
        <v>7248.9</v>
      </c>
      <c r="V1241" s="109">
        <v>1681.8</v>
      </c>
      <c r="W1241" s="206" t="s">
        <v>233</v>
      </c>
      <c r="X1241" s="206" t="s">
        <v>233</v>
      </c>
      <c r="Y1241" s="206" t="s">
        <v>240</v>
      </c>
      <c r="Z1241" s="206" t="s">
        <v>233</v>
      </c>
      <c r="AA1241" s="206" t="s">
        <v>233</v>
      </c>
      <c r="AB1241" s="206" t="s">
        <v>233</v>
      </c>
      <c r="AC1241" s="206" t="s">
        <v>233</v>
      </c>
      <c r="AD1241" s="206" t="s">
        <v>233</v>
      </c>
      <c r="AE1241" s="206" t="s">
        <v>240</v>
      </c>
      <c r="AF1241" s="96">
        <v>0</v>
      </c>
      <c r="AG1241" s="93">
        <v>0</v>
      </c>
      <c r="AH1241" s="93">
        <v>1</v>
      </c>
      <c r="AI1241" s="93">
        <v>0</v>
      </c>
      <c r="AJ1241" s="93">
        <v>0</v>
      </c>
      <c r="AK1241" s="93">
        <v>0</v>
      </c>
    </row>
    <row r="1242" spans="1:37" s="104" customFormat="1" outlineLevel="1">
      <c r="A1242" s="92">
        <v>1235</v>
      </c>
      <c r="B1242" s="93" t="s">
        <v>190</v>
      </c>
      <c r="C1242" s="93" t="s">
        <v>1488</v>
      </c>
      <c r="D1242" s="94" t="s">
        <v>932</v>
      </c>
      <c r="E1242" s="105" t="s">
        <v>465</v>
      </c>
      <c r="F1242" s="99" t="s">
        <v>191</v>
      </c>
      <c r="G1242" s="99"/>
      <c r="H1242" s="96" t="s">
        <v>933</v>
      </c>
      <c r="I1242" s="106" t="s">
        <v>736</v>
      </c>
      <c r="J1242" s="93"/>
      <c r="K1242" s="99" t="s">
        <v>232</v>
      </c>
      <c r="L1242" s="93" t="s">
        <v>232</v>
      </c>
      <c r="M1242" s="200">
        <v>1798</v>
      </c>
      <c r="N1242" s="64" t="s">
        <v>385</v>
      </c>
      <c r="O1242" s="106">
        <v>5</v>
      </c>
      <c r="P1242" s="196">
        <v>0</v>
      </c>
      <c r="Q1242" s="106">
        <v>4</v>
      </c>
      <c r="R1242" s="107">
        <v>39</v>
      </c>
      <c r="S1242" s="108">
        <v>3251.7999999999997</v>
      </c>
      <c r="T1242" s="108">
        <v>3251.7999999999997</v>
      </c>
      <c r="U1242" s="108">
        <v>2782.7</v>
      </c>
      <c r="V1242" s="109">
        <v>469.1</v>
      </c>
      <c r="W1242" s="206" t="s">
        <v>233</v>
      </c>
      <c r="X1242" s="206" t="s">
        <v>233</v>
      </c>
      <c r="Y1242" s="206" t="s">
        <v>240</v>
      </c>
      <c r="Z1242" s="206" t="s">
        <v>233</v>
      </c>
      <c r="AA1242" s="206" t="s">
        <v>233</v>
      </c>
      <c r="AB1242" s="206" t="s">
        <v>233</v>
      </c>
      <c r="AC1242" s="206" t="s">
        <v>233</v>
      </c>
      <c r="AD1242" s="206" t="s">
        <v>233</v>
      </c>
      <c r="AE1242" s="206" t="s">
        <v>240</v>
      </c>
      <c r="AF1242" s="96">
        <v>0</v>
      </c>
      <c r="AG1242" s="93">
        <v>0</v>
      </c>
      <c r="AH1242" s="93">
        <v>1</v>
      </c>
      <c r="AI1242" s="93">
        <v>0</v>
      </c>
      <c r="AJ1242" s="93">
        <v>0</v>
      </c>
      <c r="AK1242" s="93">
        <v>0</v>
      </c>
    </row>
    <row r="1243" spans="1:37" s="104" customFormat="1" outlineLevel="1">
      <c r="A1243" s="92">
        <v>1236</v>
      </c>
      <c r="B1243" s="93" t="s">
        <v>190</v>
      </c>
      <c r="C1243" s="93" t="s">
        <v>1488</v>
      </c>
      <c r="D1243" s="94" t="s">
        <v>934</v>
      </c>
      <c r="E1243" s="105" t="s">
        <v>935</v>
      </c>
      <c r="F1243" s="99" t="s">
        <v>191</v>
      </c>
      <c r="G1243" s="99"/>
      <c r="H1243" s="96" t="s">
        <v>936</v>
      </c>
      <c r="I1243" s="106" t="s">
        <v>736</v>
      </c>
      <c r="J1243" s="93"/>
      <c r="K1243" s="99" t="s">
        <v>232</v>
      </c>
      <c r="L1243" s="93" t="s">
        <v>232</v>
      </c>
      <c r="M1243" s="200">
        <v>1798</v>
      </c>
      <c r="N1243" s="64" t="s">
        <v>385</v>
      </c>
      <c r="O1243" s="106">
        <v>5</v>
      </c>
      <c r="P1243" s="196">
        <v>0</v>
      </c>
      <c r="Q1243" s="106">
        <v>10</v>
      </c>
      <c r="R1243" s="107">
        <v>56</v>
      </c>
      <c r="S1243" s="108">
        <v>6632.7000000000007</v>
      </c>
      <c r="T1243" s="108">
        <v>6632.7000000000007</v>
      </c>
      <c r="U1243" s="108">
        <v>5146.1000000000004</v>
      </c>
      <c r="V1243" s="109">
        <v>1486.6</v>
      </c>
      <c r="W1243" s="206" t="s">
        <v>233</v>
      </c>
      <c r="X1243" s="206" t="s">
        <v>233</v>
      </c>
      <c r="Y1243" s="206" t="s">
        <v>233</v>
      </c>
      <c r="Z1243" s="206" t="s">
        <v>233</v>
      </c>
      <c r="AA1243" s="206" t="s">
        <v>233</v>
      </c>
      <c r="AB1243" s="206" t="s">
        <v>233</v>
      </c>
      <c r="AC1243" s="206" t="s">
        <v>240</v>
      </c>
      <c r="AD1243" s="206" t="s">
        <v>233</v>
      </c>
      <c r="AE1243" s="206" t="s">
        <v>240</v>
      </c>
      <c r="AF1243" s="96">
        <v>0</v>
      </c>
      <c r="AG1243" s="93">
        <v>0</v>
      </c>
      <c r="AH1243" s="93">
        <v>1</v>
      </c>
      <c r="AI1243" s="93">
        <v>0</v>
      </c>
      <c r="AJ1243" s="93">
        <v>0</v>
      </c>
      <c r="AK1243" s="93">
        <v>0</v>
      </c>
    </row>
    <row r="1244" spans="1:37" s="104" customFormat="1" outlineLevel="1">
      <c r="A1244" s="92">
        <v>1237</v>
      </c>
      <c r="B1244" s="93" t="s">
        <v>190</v>
      </c>
      <c r="C1244" s="93" t="s">
        <v>1488</v>
      </c>
      <c r="D1244" s="94" t="s">
        <v>932</v>
      </c>
      <c r="E1244" s="105" t="s">
        <v>937</v>
      </c>
      <c r="F1244" s="99" t="s">
        <v>191</v>
      </c>
      <c r="G1244" s="99"/>
      <c r="H1244" s="96" t="s">
        <v>938</v>
      </c>
      <c r="I1244" s="106" t="s">
        <v>736</v>
      </c>
      <c r="J1244" s="93"/>
      <c r="K1244" s="99" t="s">
        <v>232</v>
      </c>
      <c r="L1244" s="93" t="s">
        <v>232</v>
      </c>
      <c r="M1244" s="200">
        <v>1917</v>
      </c>
      <c r="N1244" s="64" t="s">
        <v>385</v>
      </c>
      <c r="O1244" s="106">
        <v>6</v>
      </c>
      <c r="P1244" s="196">
        <v>0</v>
      </c>
      <c r="Q1244" s="106">
        <v>11</v>
      </c>
      <c r="R1244" s="107">
        <v>118</v>
      </c>
      <c r="S1244" s="108">
        <v>14329.8</v>
      </c>
      <c r="T1244" s="108">
        <v>14329.8</v>
      </c>
      <c r="U1244" s="108">
        <v>11779</v>
      </c>
      <c r="V1244" s="109">
        <v>2550.8000000000002</v>
      </c>
      <c r="W1244" s="206" t="s">
        <v>233</v>
      </c>
      <c r="X1244" s="206" t="s">
        <v>233</v>
      </c>
      <c r="Y1244" s="206" t="s">
        <v>233</v>
      </c>
      <c r="Z1244" s="206" t="s">
        <v>233</v>
      </c>
      <c r="AA1244" s="206" t="s">
        <v>233</v>
      </c>
      <c r="AB1244" s="206" t="s">
        <v>233</v>
      </c>
      <c r="AC1244" s="206" t="s">
        <v>240</v>
      </c>
      <c r="AD1244" s="206" t="s">
        <v>233</v>
      </c>
      <c r="AE1244" s="206" t="s">
        <v>240</v>
      </c>
      <c r="AF1244" s="96">
        <v>6</v>
      </c>
      <c r="AG1244" s="93">
        <v>0</v>
      </c>
      <c r="AH1244" s="93">
        <v>1</v>
      </c>
      <c r="AI1244" s="93">
        <v>0</v>
      </c>
      <c r="AJ1244" s="93">
        <v>0</v>
      </c>
      <c r="AK1244" s="93">
        <v>0</v>
      </c>
    </row>
    <row r="1245" spans="1:37" s="104" customFormat="1" outlineLevel="1">
      <c r="A1245" s="92">
        <v>1238</v>
      </c>
      <c r="B1245" s="93" t="s">
        <v>190</v>
      </c>
      <c r="C1245" s="93" t="s">
        <v>1488</v>
      </c>
      <c r="D1245" s="94" t="s">
        <v>934</v>
      </c>
      <c r="E1245" s="105">
        <v>34</v>
      </c>
      <c r="F1245" s="99" t="s">
        <v>191</v>
      </c>
      <c r="G1245" s="99"/>
      <c r="H1245" s="96" t="s">
        <v>939</v>
      </c>
      <c r="I1245" s="106" t="s">
        <v>736</v>
      </c>
      <c r="J1245" s="93"/>
      <c r="K1245" s="99" t="s">
        <v>232</v>
      </c>
      <c r="L1245" s="93" t="s">
        <v>232</v>
      </c>
      <c r="M1245" s="200">
        <v>1825</v>
      </c>
      <c r="N1245" s="64" t="s">
        <v>385</v>
      </c>
      <c r="O1245" s="106">
        <v>4</v>
      </c>
      <c r="P1245" s="196">
        <v>0</v>
      </c>
      <c r="Q1245" s="106">
        <v>4</v>
      </c>
      <c r="R1245" s="107">
        <v>28</v>
      </c>
      <c r="S1245" s="108">
        <v>2526.4</v>
      </c>
      <c r="T1245" s="108">
        <v>2526.4</v>
      </c>
      <c r="U1245" s="108">
        <v>1926</v>
      </c>
      <c r="V1245" s="109">
        <v>600.4</v>
      </c>
      <c r="W1245" s="206" t="s">
        <v>233</v>
      </c>
      <c r="X1245" s="206" t="s">
        <v>233</v>
      </c>
      <c r="Y1245" s="206" t="s">
        <v>233</v>
      </c>
      <c r="Z1245" s="206" t="s">
        <v>233</v>
      </c>
      <c r="AA1245" s="206" t="s">
        <v>233</v>
      </c>
      <c r="AB1245" s="206" t="s">
        <v>233</v>
      </c>
      <c r="AC1245" s="206" t="s">
        <v>240</v>
      </c>
      <c r="AD1245" s="206" t="s">
        <v>233</v>
      </c>
      <c r="AE1245" s="206" t="s">
        <v>240</v>
      </c>
      <c r="AF1245" s="96">
        <v>0</v>
      </c>
      <c r="AG1245" s="93">
        <v>0</v>
      </c>
      <c r="AH1245" s="93">
        <v>1</v>
      </c>
      <c r="AI1245" s="93">
        <v>0</v>
      </c>
      <c r="AJ1245" s="93">
        <v>0</v>
      </c>
      <c r="AK1245" s="93">
        <v>0</v>
      </c>
    </row>
    <row r="1246" spans="1:37" s="104" customFormat="1" outlineLevel="1">
      <c r="A1246" s="92">
        <v>1239</v>
      </c>
      <c r="B1246" s="93" t="s">
        <v>190</v>
      </c>
      <c r="C1246" s="93" t="s">
        <v>1488</v>
      </c>
      <c r="D1246" s="94" t="s">
        <v>934</v>
      </c>
      <c r="E1246" s="105">
        <v>35</v>
      </c>
      <c r="F1246" s="99" t="s">
        <v>191</v>
      </c>
      <c r="G1246" s="99"/>
      <c r="H1246" s="96" t="s">
        <v>940</v>
      </c>
      <c r="I1246" s="106" t="s">
        <v>736</v>
      </c>
      <c r="J1246" s="93"/>
      <c r="K1246" s="99" t="s">
        <v>232</v>
      </c>
      <c r="L1246" s="93" t="s">
        <v>232</v>
      </c>
      <c r="M1246" s="200">
        <v>1798</v>
      </c>
      <c r="N1246" s="64" t="s">
        <v>385</v>
      </c>
      <c r="O1246" s="106">
        <v>4</v>
      </c>
      <c r="P1246" s="196">
        <v>0</v>
      </c>
      <c r="Q1246" s="106">
        <v>5</v>
      </c>
      <c r="R1246" s="107">
        <v>29</v>
      </c>
      <c r="S1246" s="108">
        <v>2873</v>
      </c>
      <c r="T1246" s="108">
        <v>2873</v>
      </c>
      <c r="U1246" s="108">
        <v>2596.1</v>
      </c>
      <c r="V1246" s="109">
        <v>276.89999999999998</v>
      </c>
      <c r="W1246" s="206" t="s">
        <v>233</v>
      </c>
      <c r="X1246" s="206" t="s">
        <v>233</v>
      </c>
      <c r="Y1246" s="206" t="s">
        <v>233</v>
      </c>
      <c r="Z1246" s="206" t="s">
        <v>233</v>
      </c>
      <c r="AA1246" s="206" t="s">
        <v>233</v>
      </c>
      <c r="AB1246" s="206" t="s">
        <v>233</v>
      </c>
      <c r="AC1246" s="206" t="s">
        <v>240</v>
      </c>
      <c r="AD1246" s="206" t="s">
        <v>233</v>
      </c>
      <c r="AE1246" s="206" t="s">
        <v>240</v>
      </c>
      <c r="AF1246" s="96">
        <v>0</v>
      </c>
      <c r="AG1246" s="93">
        <v>0</v>
      </c>
      <c r="AH1246" s="93">
        <v>1</v>
      </c>
      <c r="AI1246" s="93">
        <v>0</v>
      </c>
      <c r="AJ1246" s="93">
        <v>0</v>
      </c>
      <c r="AK1246" s="93">
        <v>0</v>
      </c>
    </row>
    <row r="1247" spans="1:37" s="104" customFormat="1" ht="15.75" customHeight="1" outlineLevel="1">
      <c r="A1247" s="92">
        <v>1240</v>
      </c>
      <c r="B1247" s="93" t="s">
        <v>190</v>
      </c>
      <c r="C1247" s="93" t="s">
        <v>1488</v>
      </c>
      <c r="D1247" s="94" t="s">
        <v>934</v>
      </c>
      <c r="E1247" s="105">
        <v>36</v>
      </c>
      <c r="F1247" s="99" t="s">
        <v>191</v>
      </c>
      <c r="G1247" s="99"/>
      <c r="H1247" s="96" t="s">
        <v>942</v>
      </c>
      <c r="I1247" s="106" t="s">
        <v>736</v>
      </c>
      <c r="J1247" s="93"/>
      <c r="K1247" s="99" t="s">
        <v>232</v>
      </c>
      <c r="L1247" s="93" t="s">
        <v>232</v>
      </c>
      <c r="M1247" s="200">
        <v>1847</v>
      </c>
      <c r="N1247" s="64" t="s">
        <v>385</v>
      </c>
      <c r="O1247" s="106">
        <v>7</v>
      </c>
      <c r="P1247" s="196">
        <v>0</v>
      </c>
      <c r="Q1247" s="106">
        <v>5</v>
      </c>
      <c r="R1247" s="107">
        <v>4</v>
      </c>
      <c r="S1247" s="108">
        <v>178</v>
      </c>
      <c r="T1247" s="108">
        <v>178</v>
      </c>
      <c r="U1247" s="108">
        <v>178</v>
      </c>
      <c r="V1247" s="109"/>
      <c r="W1247" s="206"/>
      <c r="X1247" s="206"/>
      <c r="Y1247" s="206" t="s">
        <v>233</v>
      </c>
      <c r="Z1247" s="206"/>
      <c r="AA1247" s="206" t="s">
        <v>233</v>
      </c>
      <c r="AB1247" s="206" t="s">
        <v>233</v>
      </c>
      <c r="AC1247" s="206" t="s">
        <v>240</v>
      </c>
      <c r="AD1247" s="206" t="s">
        <v>233</v>
      </c>
      <c r="AE1247" s="206" t="s">
        <v>240</v>
      </c>
      <c r="AF1247" s="96">
        <v>0</v>
      </c>
      <c r="AG1247" s="93">
        <v>0</v>
      </c>
      <c r="AH1247" s="93">
        <v>0</v>
      </c>
      <c r="AI1247" s="93">
        <v>0</v>
      </c>
      <c r="AJ1247" s="93">
        <v>0</v>
      </c>
      <c r="AK1247" s="93">
        <v>0</v>
      </c>
    </row>
    <row r="1248" spans="1:37" s="104" customFormat="1" ht="15.75" customHeight="1" outlineLevel="1">
      <c r="A1248" s="92">
        <v>1241</v>
      </c>
      <c r="B1248" s="93" t="s">
        <v>190</v>
      </c>
      <c r="C1248" s="93" t="s">
        <v>1488</v>
      </c>
      <c r="D1248" s="94" t="s">
        <v>934</v>
      </c>
      <c r="E1248" s="105">
        <v>38</v>
      </c>
      <c r="F1248" s="99" t="s">
        <v>191</v>
      </c>
      <c r="G1248" s="99"/>
      <c r="H1248" s="96" t="s">
        <v>943</v>
      </c>
      <c r="I1248" s="106" t="s">
        <v>736</v>
      </c>
      <c r="J1248" s="93"/>
      <c r="K1248" s="99" t="s">
        <v>232</v>
      </c>
      <c r="L1248" s="93" t="s">
        <v>232</v>
      </c>
      <c r="M1248" s="200">
        <v>1824</v>
      </c>
      <c r="N1248" s="64" t="s">
        <v>385</v>
      </c>
      <c r="O1248" s="106">
        <v>4</v>
      </c>
      <c r="P1248" s="196">
        <v>0</v>
      </c>
      <c r="Q1248" s="106">
        <v>4</v>
      </c>
      <c r="R1248" s="107">
        <v>34</v>
      </c>
      <c r="S1248" s="108">
        <v>2291</v>
      </c>
      <c r="T1248" s="108">
        <v>2291</v>
      </c>
      <c r="U1248" s="108">
        <v>2049.3000000000002</v>
      </c>
      <c r="V1248" s="109">
        <v>241.7</v>
      </c>
      <c r="W1248" s="206" t="s">
        <v>233</v>
      </c>
      <c r="X1248" s="206" t="s">
        <v>233</v>
      </c>
      <c r="Y1248" s="206" t="s">
        <v>240</v>
      </c>
      <c r="Z1248" s="206" t="s">
        <v>233</v>
      </c>
      <c r="AA1248" s="206" t="s">
        <v>233</v>
      </c>
      <c r="AB1248" s="206" t="s">
        <v>233</v>
      </c>
      <c r="AC1248" s="206" t="s">
        <v>233</v>
      </c>
      <c r="AD1248" s="206" t="s">
        <v>233</v>
      </c>
      <c r="AE1248" s="206" t="s">
        <v>240</v>
      </c>
      <c r="AF1248" s="96">
        <v>0</v>
      </c>
      <c r="AG1248" s="93">
        <v>0</v>
      </c>
      <c r="AH1248" s="93">
        <v>1</v>
      </c>
      <c r="AI1248" s="93">
        <v>0</v>
      </c>
      <c r="AJ1248" s="93">
        <v>0</v>
      </c>
      <c r="AK1248" s="93">
        <v>0</v>
      </c>
    </row>
    <row r="1249" spans="1:37" s="104" customFormat="1" ht="15.75" customHeight="1" outlineLevel="1">
      <c r="A1249" s="92">
        <v>1242</v>
      </c>
      <c r="B1249" s="93" t="s">
        <v>190</v>
      </c>
      <c r="C1249" s="93" t="s">
        <v>1488</v>
      </c>
      <c r="D1249" s="94" t="s">
        <v>934</v>
      </c>
      <c r="E1249" s="105">
        <v>39</v>
      </c>
      <c r="F1249" s="99" t="s">
        <v>191</v>
      </c>
      <c r="G1249" s="99"/>
      <c r="H1249" s="96" t="s">
        <v>944</v>
      </c>
      <c r="I1249" s="106" t="s">
        <v>736</v>
      </c>
      <c r="J1249" s="93"/>
      <c r="K1249" s="99" t="s">
        <v>232</v>
      </c>
      <c r="L1249" s="93" t="s">
        <v>232</v>
      </c>
      <c r="M1249" s="200">
        <v>1827</v>
      </c>
      <c r="N1249" s="64" t="s">
        <v>385</v>
      </c>
      <c r="O1249" s="106">
        <v>4</v>
      </c>
      <c r="P1249" s="196">
        <v>0</v>
      </c>
      <c r="Q1249" s="106">
        <v>7</v>
      </c>
      <c r="R1249" s="107">
        <v>50</v>
      </c>
      <c r="S1249" s="108">
        <v>4981.7000000000007</v>
      </c>
      <c r="T1249" s="108">
        <v>4981.7000000000007</v>
      </c>
      <c r="U1249" s="108">
        <v>4282.6000000000004</v>
      </c>
      <c r="V1249" s="109">
        <v>699.1</v>
      </c>
      <c r="W1249" s="206" t="s">
        <v>233</v>
      </c>
      <c r="X1249" s="206" t="s">
        <v>233</v>
      </c>
      <c r="Y1249" s="206" t="s">
        <v>233</v>
      </c>
      <c r="Z1249" s="206" t="s">
        <v>233</v>
      </c>
      <c r="AA1249" s="206" t="s">
        <v>233</v>
      </c>
      <c r="AB1249" s="206" t="s">
        <v>233</v>
      </c>
      <c r="AC1249" s="206" t="s">
        <v>240</v>
      </c>
      <c r="AD1249" s="206" t="s">
        <v>233</v>
      </c>
      <c r="AE1249" s="206" t="s">
        <v>240</v>
      </c>
      <c r="AF1249" s="96">
        <v>0</v>
      </c>
      <c r="AG1249" s="93">
        <v>0</v>
      </c>
      <c r="AH1249" s="93">
        <v>1</v>
      </c>
      <c r="AI1249" s="93">
        <v>0</v>
      </c>
      <c r="AJ1249" s="93">
        <v>0</v>
      </c>
      <c r="AK1249" s="93">
        <v>0</v>
      </c>
    </row>
    <row r="1250" spans="1:37" s="104" customFormat="1" outlineLevel="1">
      <c r="A1250" s="92">
        <v>1243</v>
      </c>
      <c r="B1250" s="93" t="s">
        <v>190</v>
      </c>
      <c r="C1250" s="93" t="s">
        <v>1488</v>
      </c>
      <c r="D1250" s="94" t="s">
        <v>934</v>
      </c>
      <c r="E1250" s="105">
        <v>40</v>
      </c>
      <c r="F1250" s="99" t="s">
        <v>191</v>
      </c>
      <c r="G1250" s="99"/>
      <c r="H1250" s="96" t="s">
        <v>945</v>
      </c>
      <c r="I1250" s="106" t="s">
        <v>736</v>
      </c>
      <c r="J1250" s="93"/>
      <c r="K1250" s="99" t="s">
        <v>232</v>
      </c>
      <c r="L1250" s="93" t="s">
        <v>232</v>
      </c>
      <c r="M1250" s="200">
        <v>1828</v>
      </c>
      <c r="N1250" s="64" t="s">
        <v>385</v>
      </c>
      <c r="O1250" s="106">
        <v>4</v>
      </c>
      <c r="P1250" s="196">
        <v>0</v>
      </c>
      <c r="Q1250" s="106">
        <v>3</v>
      </c>
      <c r="R1250" s="107">
        <v>8</v>
      </c>
      <c r="S1250" s="108">
        <v>1187.4000000000001</v>
      </c>
      <c r="T1250" s="108">
        <v>1187.4000000000001</v>
      </c>
      <c r="U1250" s="108">
        <v>737.4</v>
      </c>
      <c r="V1250" s="109">
        <v>450</v>
      </c>
      <c r="W1250" s="206" t="s">
        <v>233</v>
      </c>
      <c r="X1250" s="206" t="s">
        <v>233</v>
      </c>
      <c r="Y1250" s="206" t="s">
        <v>240</v>
      </c>
      <c r="Z1250" s="206" t="s">
        <v>233</v>
      </c>
      <c r="AA1250" s="206" t="s">
        <v>233</v>
      </c>
      <c r="AB1250" s="206" t="s">
        <v>233</v>
      </c>
      <c r="AC1250" s="206" t="s">
        <v>233</v>
      </c>
      <c r="AD1250" s="206" t="s">
        <v>233</v>
      </c>
      <c r="AE1250" s="206" t="s">
        <v>240</v>
      </c>
      <c r="AF1250" s="96">
        <v>0</v>
      </c>
      <c r="AG1250" s="93">
        <v>0</v>
      </c>
      <c r="AH1250" s="93">
        <v>1</v>
      </c>
      <c r="AI1250" s="93">
        <v>0</v>
      </c>
      <c r="AJ1250" s="93">
        <v>0</v>
      </c>
      <c r="AK1250" s="93">
        <v>0</v>
      </c>
    </row>
    <row r="1251" spans="1:37" s="104" customFormat="1" outlineLevel="1">
      <c r="A1251" s="92">
        <v>1244</v>
      </c>
      <c r="B1251" s="93" t="s">
        <v>190</v>
      </c>
      <c r="C1251" s="93" t="s">
        <v>1488</v>
      </c>
      <c r="D1251" s="94" t="s">
        <v>934</v>
      </c>
      <c r="E1251" s="105">
        <v>41</v>
      </c>
      <c r="F1251" s="99" t="s">
        <v>191</v>
      </c>
      <c r="G1251" s="99"/>
      <c r="H1251" s="96" t="s">
        <v>946</v>
      </c>
      <c r="I1251" s="106" t="s">
        <v>736</v>
      </c>
      <c r="J1251" s="93"/>
      <c r="K1251" s="99" t="s">
        <v>232</v>
      </c>
      <c r="L1251" s="93" t="s">
        <v>232</v>
      </c>
      <c r="M1251" s="200">
        <v>1923</v>
      </c>
      <c r="N1251" s="64" t="s">
        <v>385</v>
      </c>
      <c r="O1251" s="106">
        <v>4</v>
      </c>
      <c r="P1251" s="196">
        <v>0</v>
      </c>
      <c r="Q1251" s="106">
        <v>2</v>
      </c>
      <c r="R1251" s="107">
        <v>13</v>
      </c>
      <c r="S1251" s="108">
        <v>2357.5</v>
      </c>
      <c r="T1251" s="108">
        <v>2357.5</v>
      </c>
      <c r="U1251" s="108">
        <v>1954.6</v>
      </c>
      <c r="V1251" s="109">
        <v>402.9</v>
      </c>
      <c r="W1251" s="206" t="s">
        <v>233</v>
      </c>
      <c r="X1251" s="206" t="s">
        <v>233</v>
      </c>
      <c r="Y1251" s="206" t="s">
        <v>233</v>
      </c>
      <c r="Z1251" s="206" t="s">
        <v>233</v>
      </c>
      <c r="AA1251" s="206" t="s">
        <v>233</v>
      </c>
      <c r="AB1251" s="206" t="s">
        <v>233</v>
      </c>
      <c r="AC1251" s="206" t="s">
        <v>240</v>
      </c>
      <c r="AD1251" s="206" t="s">
        <v>233</v>
      </c>
      <c r="AE1251" s="206" t="s">
        <v>240</v>
      </c>
      <c r="AF1251" s="96">
        <v>0</v>
      </c>
      <c r="AG1251" s="93">
        <v>0</v>
      </c>
      <c r="AH1251" s="93">
        <v>1</v>
      </c>
      <c r="AI1251" s="93">
        <v>0</v>
      </c>
      <c r="AJ1251" s="93">
        <v>0</v>
      </c>
      <c r="AK1251" s="93">
        <v>0</v>
      </c>
    </row>
    <row r="1252" spans="1:37" s="104" customFormat="1" outlineLevel="1">
      <c r="A1252" s="92">
        <v>1245</v>
      </c>
      <c r="B1252" s="93" t="s">
        <v>190</v>
      </c>
      <c r="C1252" s="93" t="s">
        <v>1488</v>
      </c>
      <c r="D1252" s="94" t="s">
        <v>934</v>
      </c>
      <c r="E1252" s="105">
        <v>41</v>
      </c>
      <c r="F1252" s="99" t="s">
        <v>231</v>
      </c>
      <c r="G1252" s="99"/>
      <c r="H1252" s="96" t="s">
        <v>947</v>
      </c>
      <c r="I1252" s="106" t="s">
        <v>736</v>
      </c>
      <c r="J1252" s="93"/>
      <c r="K1252" s="99" t="s">
        <v>232</v>
      </c>
      <c r="L1252" s="93" t="s">
        <v>232</v>
      </c>
      <c r="M1252" s="200">
        <v>1929</v>
      </c>
      <c r="N1252" s="64" t="s">
        <v>385</v>
      </c>
      <c r="O1252" s="106">
        <v>6</v>
      </c>
      <c r="P1252" s="196">
        <v>0</v>
      </c>
      <c r="Q1252" s="106">
        <v>1</v>
      </c>
      <c r="R1252" s="107">
        <v>13</v>
      </c>
      <c r="S1252" s="108">
        <v>1000.7</v>
      </c>
      <c r="T1252" s="108">
        <v>1000.7</v>
      </c>
      <c r="U1252" s="108">
        <v>852.4</v>
      </c>
      <c r="V1252" s="109">
        <v>148.30000000000001</v>
      </c>
      <c r="W1252" s="206" t="s">
        <v>233</v>
      </c>
      <c r="X1252" s="206" t="s">
        <v>233</v>
      </c>
      <c r="Y1252" s="206" t="s">
        <v>233</v>
      </c>
      <c r="Z1252" s="206" t="s">
        <v>233</v>
      </c>
      <c r="AA1252" s="206" t="s">
        <v>233</v>
      </c>
      <c r="AB1252" s="206" t="s">
        <v>233</v>
      </c>
      <c r="AC1252" s="206" t="s">
        <v>240</v>
      </c>
      <c r="AD1252" s="206" t="s">
        <v>233</v>
      </c>
      <c r="AE1252" s="206" t="s">
        <v>240</v>
      </c>
      <c r="AF1252" s="96">
        <v>0</v>
      </c>
      <c r="AG1252" s="93">
        <v>0</v>
      </c>
      <c r="AH1252" s="93">
        <v>0</v>
      </c>
      <c r="AI1252" s="93">
        <v>0</v>
      </c>
      <c r="AJ1252" s="93">
        <v>0</v>
      </c>
      <c r="AK1252" s="93">
        <v>0</v>
      </c>
    </row>
    <row r="1253" spans="1:37" s="104" customFormat="1" outlineLevel="1">
      <c r="A1253" s="92">
        <v>1246</v>
      </c>
      <c r="B1253" s="93" t="s">
        <v>190</v>
      </c>
      <c r="C1253" s="93" t="s">
        <v>1488</v>
      </c>
      <c r="D1253" s="94" t="s">
        <v>934</v>
      </c>
      <c r="E1253" s="105">
        <v>41</v>
      </c>
      <c r="F1253" s="99" t="s">
        <v>260</v>
      </c>
      <c r="G1253" s="99"/>
      <c r="H1253" s="96" t="s">
        <v>948</v>
      </c>
      <c r="I1253" s="106" t="s">
        <v>736</v>
      </c>
      <c r="J1253" s="93"/>
      <c r="K1253" s="99" t="s">
        <v>232</v>
      </c>
      <c r="L1253" s="93" t="s">
        <v>232</v>
      </c>
      <c r="M1253" s="200">
        <v>1929</v>
      </c>
      <c r="N1253" s="64" t="s">
        <v>385</v>
      </c>
      <c r="O1253" s="106">
        <v>4</v>
      </c>
      <c r="P1253" s="196">
        <v>0</v>
      </c>
      <c r="Q1253" s="106">
        <v>1</v>
      </c>
      <c r="R1253" s="107">
        <v>15</v>
      </c>
      <c r="S1253" s="108">
        <v>845.90000000000009</v>
      </c>
      <c r="T1253" s="108">
        <v>845.90000000000009</v>
      </c>
      <c r="U1253" s="108">
        <v>651.1</v>
      </c>
      <c r="V1253" s="109">
        <v>194.8</v>
      </c>
      <c r="W1253" s="206" t="s">
        <v>233</v>
      </c>
      <c r="X1253" s="206" t="s">
        <v>233</v>
      </c>
      <c r="Y1253" s="206" t="s">
        <v>233</v>
      </c>
      <c r="Z1253" s="206" t="s">
        <v>233</v>
      </c>
      <c r="AA1253" s="206" t="s">
        <v>233</v>
      </c>
      <c r="AB1253" s="206" t="s">
        <v>233</v>
      </c>
      <c r="AC1253" s="206" t="s">
        <v>240</v>
      </c>
      <c r="AD1253" s="206" t="s">
        <v>233</v>
      </c>
      <c r="AE1253" s="206" t="s">
        <v>240</v>
      </c>
      <c r="AF1253" s="96">
        <v>0</v>
      </c>
      <c r="AG1253" s="93">
        <v>0</v>
      </c>
      <c r="AH1253" s="93">
        <v>0</v>
      </c>
      <c r="AI1253" s="93">
        <v>0</v>
      </c>
      <c r="AJ1253" s="93">
        <v>0</v>
      </c>
      <c r="AK1253" s="93">
        <v>0</v>
      </c>
    </row>
    <row r="1254" spans="1:37" s="104" customFormat="1" outlineLevel="1">
      <c r="A1254" s="92">
        <v>1247</v>
      </c>
      <c r="B1254" s="93" t="s">
        <v>190</v>
      </c>
      <c r="C1254" s="93" t="s">
        <v>1488</v>
      </c>
      <c r="D1254" s="94" t="s">
        <v>934</v>
      </c>
      <c r="E1254" s="105">
        <v>42</v>
      </c>
      <c r="F1254" s="99" t="s">
        <v>191</v>
      </c>
      <c r="G1254" s="99"/>
      <c r="H1254" s="96" t="s">
        <v>949</v>
      </c>
      <c r="I1254" s="106" t="s">
        <v>736</v>
      </c>
      <c r="J1254" s="93"/>
      <c r="K1254" s="99" t="s">
        <v>232</v>
      </c>
      <c r="L1254" s="93" t="s">
        <v>232</v>
      </c>
      <c r="M1254" s="200">
        <v>1905</v>
      </c>
      <c r="N1254" s="64" t="s">
        <v>385</v>
      </c>
      <c r="O1254" s="106">
        <v>5</v>
      </c>
      <c r="P1254" s="196">
        <v>0</v>
      </c>
      <c r="Q1254" s="106">
        <v>7</v>
      </c>
      <c r="R1254" s="107">
        <v>53</v>
      </c>
      <c r="S1254" s="108">
        <v>6216.6</v>
      </c>
      <c r="T1254" s="108">
        <v>6216.6</v>
      </c>
      <c r="U1254" s="108">
        <v>4930.6000000000004</v>
      </c>
      <c r="V1254" s="109">
        <v>1286</v>
      </c>
      <c r="W1254" s="206" t="s">
        <v>233</v>
      </c>
      <c r="X1254" s="206" t="s">
        <v>233</v>
      </c>
      <c r="Y1254" s="206" t="s">
        <v>233</v>
      </c>
      <c r="Z1254" s="206" t="s">
        <v>233</v>
      </c>
      <c r="AA1254" s="206" t="s">
        <v>233</v>
      </c>
      <c r="AB1254" s="206" t="s">
        <v>233</v>
      </c>
      <c r="AC1254" s="206" t="s">
        <v>240</v>
      </c>
      <c r="AD1254" s="206" t="s">
        <v>233</v>
      </c>
      <c r="AE1254" s="206" t="s">
        <v>240</v>
      </c>
      <c r="AF1254" s="96">
        <v>0</v>
      </c>
      <c r="AG1254" s="93">
        <v>0</v>
      </c>
      <c r="AH1254" s="93">
        <v>1</v>
      </c>
      <c r="AI1254" s="93">
        <v>0</v>
      </c>
      <c r="AJ1254" s="93">
        <v>0</v>
      </c>
      <c r="AK1254" s="93">
        <v>0</v>
      </c>
    </row>
    <row r="1255" spans="1:37" s="104" customFormat="1" outlineLevel="1">
      <c r="A1255" s="92">
        <v>1248</v>
      </c>
      <c r="B1255" s="93" t="s">
        <v>190</v>
      </c>
      <c r="C1255" s="93" t="s">
        <v>1488</v>
      </c>
      <c r="D1255" s="94" t="s">
        <v>934</v>
      </c>
      <c r="E1255" s="105">
        <v>43</v>
      </c>
      <c r="F1255" s="99" t="s">
        <v>191</v>
      </c>
      <c r="G1255" s="99"/>
      <c r="H1255" s="96" t="s">
        <v>950</v>
      </c>
      <c r="I1255" s="106" t="s">
        <v>736</v>
      </c>
      <c r="J1255" s="93"/>
      <c r="K1255" s="99" t="s">
        <v>232</v>
      </c>
      <c r="L1255" s="93" t="s">
        <v>232</v>
      </c>
      <c r="M1255" s="200">
        <v>1826</v>
      </c>
      <c r="N1255" s="64" t="s">
        <v>385</v>
      </c>
      <c r="O1255" s="106">
        <v>4</v>
      </c>
      <c r="P1255" s="196">
        <v>0</v>
      </c>
      <c r="Q1255" s="106">
        <v>7</v>
      </c>
      <c r="R1255" s="107">
        <v>49</v>
      </c>
      <c r="S1255" s="108">
        <v>5980.4000000000005</v>
      </c>
      <c r="T1255" s="108">
        <v>5980.4000000000005</v>
      </c>
      <c r="U1255" s="108">
        <v>4703.6000000000004</v>
      </c>
      <c r="V1255" s="109">
        <v>1276.8</v>
      </c>
      <c r="W1255" s="206" t="s">
        <v>233</v>
      </c>
      <c r="X1255" s="206" t="s">
        <v>233</v>
      </c>
      <c r="Y1255" s="206" t="s">
        <v>233</v>
      </c>
      <c r="Z1255" s="206" t="s">
        <v>233</v>
      </c>
      <c r="AA1255" s="206" t="s">
        <v>233</v>
      </c>
      <c r="AB1255" s="206" t="s">
        <v>233</v>
      </c>
      <c r="AC1255" s="206" t="s">
        <v>240</v>
      </c>
      <c r="AD1255" s="206" t="s">
        <v>233</v>
      </c>
      <c r="AE1255" s="206" t="s">
        <v>240</v>
      </c>
      <c r="AF1255" s="96">
        <v>0</v>
      </c>
      <c r="AG1255" s="93">
        <v>0</v>
      </c>
      <c r="AH1255" s="93">
        <v>1</v>
      </c>
      <c r="AI1255" s="93">
        <v>0</v>
      </c>
      <c r="AJ1255" s="93">
        <v>0</v>
      </c>
      <c r="AK1255" s="93">
        <v>0</v>
      </c>
    </row>
    <row r="1256" spans="1:37" s="104" customFormat="1" outlineLevel="1">
      <c r="A1256" s="92">
        <v>1249</v>
      </c>
      <c r="B1256" s="93" t="s">
        <v>190</v>
      </c>
      <c r="C1256" s="93" t="s">
        <v>1488</v>
      </c>
      <c r="D1256" s="94" t="s">
        <v>934</v>
      </c>
      <c r="E1256" s="105">
        <v>46</v>
      </c>
      <c r="F1256" s="99" t="s">
        <v>191</v>
      </c>
      <c r="G1256" s="99"/>
      <c r="H1256" s="96" t="s">
        <v>951</v>
      </c>
      <c r="I1256" s="106" t="s">
        <v>736</v>
      </c>
      <c r="J1256" s="93"/>
      <c r="K1256" s="99" t="s">
        <v>232</v>
      </c>
      <c r="L1256" s="93" t="s">
        <v>232</v>
      </c>
      <c r="M1256" s="200">
        <v>1839</v>
      </c>
      <c r="N1256" s="64" t="s">
        <v>385</v>
      </c>
      <c r="O1256" s="106">
        <v>4</v>
      </c>
      <c r="P1256" s="196">
        <v>0</v>
      </c>
      <c r="Q1256" s="106">
        <v>2</v>
      </c>
      <c r="R1256" s="107">
        <v>15</v>
      </c>
      <c r="S1256" s="108">
        <v>1637.1</v>
      </c>
      <c r="T1256" s="108">
        <v>1637.1</v>
      </c>
      <c r="U1256" s="108">
        <v>1258.8</v>
      </c>
      <c r="V1256" s="109">
        <v>378.3</v>
      </c>
      <c r="W1256" s="206" t="s">
        <v>233</v>
      </c>
      <c r="X1256" s="206" t="s">
        <v>233</v>
      </c>
      <c r="Y1256" s="206" t="s">
        <v>233</v>
      </c>
      <c r="Z1256" s="206" t="s">
        <v>233</v>
      </c>
      <c r="AA1256" s="206" t="s">
        <v>233</v>
      </c>
      <c r="AB1256" s="206" t="s">
        <v>233</v>
      </c>
      <c r="AC1256" s="206" t="s">
        <v>240</v>
      </c>
      <c r="AD1256" s="206" t="s">
        <v>233</v>
      </c>
      <c r="AE1256" s="206" t="s">
        <v>240</v>
      </c>
      <c r="AF1256" s="96">
        <v>0</v>
      </c>
      <c r="AG1256" s="93">
        <v>0</v>
      </c>
      <c r="AH1256" s="93">
        <v>1</v>
      </c>
      <c r="AI1256" s="93">
        <v>0</v>
      </c>
      <c r="AJ1256" s="93">
        <v>0</v>
      </c>
      <c r="AK1256" s="93">
        <v>0</v>
      </c>
    </row>
    <row r="1257" spans="1:37" s="104" customFormat="1" outlineLevel="1">
      <c r="A1257" s="92">
        <v>1250</v>
      </c>
      <c r="B1257" s="93" t="s">
        <v>190</v>
      </c>
      <c r="C1257" s="93" t="s">
        <v>1488</v>
      </c>
      <c r="D1257" s="94" t="s">
        <v>934</v>
      </c>
      <c r="E1257" s="105">
        <v>47</v>
      </c>
      <c r="F1257" s="99" t="s">
        <v>191</v>
      </c>
      <c r="G1257" s="99"/>
      <c r="H1257" s="96" t="s">
        <v>952</v>
      </c>
      <c r="I1257" s="106" t="s">
        <v>736</v>
      </c>
      <c r="J1257" s="93"/>
      <c r="K1257" s="99" t="s">
        <v>232</v>
      </c>
      <c r="L1257" s="93" t="s">
        <v>232</v>
      </c>
      <c r="M1257" s="200">
        <v>1854</v>
      </c>
      <c r="N1257" s="64" t="s">
        <v>385</v>
      </c>
      <c r="O1257" s="106">
        <v>5</v>
      </c>
      <c r="P1257" s="196">
        <v>0</v>
      </c>
      <c r="Q1257" s="106">
        <v>5</v>
      </c>
      <c r="R1257" s="107">
        <v>42</v>
      </c>
      <c r="S1257" s="108">
        <v>2868.9</v>
      </c>
      <c r="T1257" s="108">
        <v>2868.9</v>
      </c>
      <c r="U1257" s="108">
        <v>2624</v>
      </c>
      <c r="V1257" s="109">
        <v>244.9</v>
      </c>
      <c r="W1257" s="206" t="s">
        <v>233</v>
      </c>
      <c r="X1257" s="206" t="s">
        <v>233</v>
      </c>
      <c r="Y1257" s="206" t="s">
        <v>233</v>
      </c>
      <c r="Z1257" s="206" t="s">
        <v>233</v>
      </c>
      <c r="AA1257" s="206" t="s">
        <v>233</v>
      </c>
      <c r="AB1257" s="206" t="s">
        <v>233</v>
      </c>
      <c r="AC1257" s="206" t="s">
        <v>240</v>
      </c>
      <c r="AD1257" s="206" t="s">
        <v>233</v>
      </c>
      <c r="AE1257" s="206" t="s">
        <v>240</v>
      </c>
      <c r="AF1257" s="96">
        <v>0</v>
      </c>
      <c r="AG1257" s="93">
        <v>0</v>
      </c>
      <c r="AH1257" s="93">
        <v>1</v>
      </c>
      <c r="AI1257" s="93">
        <v>0</v>
      </c>
      <c r="AJ1257" s="93">
        <v>0</v>
      </c>
      <c r="AK1257" s="93">
        <v>0</v>
      </c>
    </row>
    <row r="1258" spans="1:37" s="104" customFormat="1" ht="15.75" customHeight="1" outlineLevel="1">
      <c r="A1258" s="92">
        <v>1251</v>
      </c>
      <c r="B1258" s="93" t="s">
        <v>190</v>
      </c>
      <c r="C1258" s="93" t="s">
        <v>1488</v>
      </c>
      <c r="D1258" s="94" t="s">
        <v>934</v>
      </c>
      <c r="E1258" s="105">
        <v>50</v>
      </c>
      <c r="F1258" s="99" t="s">
        <v>231</v>
      </c>
      <c r="G1258" s="99"/>
      <c r="H1258" s="96" t="s">
        <v>953</v>
      </c>
      <c r="I1258" s="106" t="s">
        <v>736</v>
      </c>
      <c r="J1258" s="93"/>
      <c r="K1258" s="99" t="s">
        <v>232</v>
      </c>
      <c r="L1258" s="93" t="s">
        <v>232</v>
      </c>
      <c r="M1258" s="200">
        <v>1961</v>
      </c>
      <c r="N1258" s="64" t="s">
        <v>385</v>
      </c>
      <c r="O1258" s="106">
        <v>5</v>
      </c>
      <c r="P1258" s="196">
        <v>0</v>
      </c>
      <c r="Q1258" s="106">
        <v>2</v>
      </c>
      <c r="R1258" s="107">
        <v>39</v>
      </c>
      <c r="S1258" s="108">
        <v>1659.5</v>
      </c>
      <c r="T1258" s="108">
        <v>1659.5</v>
      </c>
      <c r="U1258" s="108">
        <v>1439.2</v>
      </c>
      <c r="V1258" s="109">
        <v>220.3</v>
      </c>
      <c r="W1258" s="206" t="s">
        <v>233</v>
      </c>
      <c r="X1258" s="206" t="s">
        <v>233</v>
      </c>
      <c r="Y1258" s="206" t="s">
        <v>233</v>
      </c>
      <c r="Z1258" s="206" t="s">
        <v>233</v>
      </c>
      <c r="AA1258" s="206" t="s">
        <v>233</v>
      </c>
      <c r="AB1258" s="206" t="s">
        <v>233</v>
      </c>
      <c r="AC1258" s="206" t="s">
        <v>240</v>
      </c>
      <c r="AD1258" s="206" t="s">
        <v>233</v>
      </c>
      <c r="AE1258" s="206" t="s">
        <v>240</v>
      </c>
      <c r="AF1258" s="96">
        <v>0</v>
      </c>
      <c r="AG1258" s="93">
        <v>0</v>
      </c>
      <c r="AH1258" s="93">
        <v>0</v>
      </c>
      <c r="AI1258" s="93">
        <v>0</v>
      </c>
      <c r="AJ1258" s="93">
        <v>0</v>
      </c>
      <c r="AK1258" s="93">
        <v>0</v>
      </c>
    </row>
    <row r="1259" spans="1:37" s="104" customFormat="1" ht="15.75" customHeight="1" outlineLevel="1">
      <c r="A1259" s="92">
        <v>1252</v>
      </c>
      <c r="B1259" s="93" t="s">
        <v>190</v>
      </c>
      <c r="C1259" s="93" t="s">
        <v>1488</v>
      </c>
      <c r="D1259" s="94" t="s">
        <v>932</v>
      </c>
      <c r="E1259" s="105" t="s">
        <v>954</v>
      </c>
      <c r="F1259" s="99" t="s">
        <v>191</v>
      </c>
      <c r="G1259" s="99"/>
      <c r="H1259" s="96" t="s">
        <v>955</v>
      </c>
      <c r="I1259" s="106" t="s">
        <v>736</v>
      </c>
      <c r="J1259" s="93"/>
      <c r="K1259" s="99" t="s">
        <v>232</v>
      </c>
      <c r="L1259" s="93" t="s">
        <v>232</v>
      </c>
      <c r="M1259" s="200">
        <v>1834</v>
      </c>
      <c r="N1259" s="64" t="s">
        <v>385</v>
      </c>
      <c r="O1259" s="106">
        <v>4</v>
      </c>
      <c r="P1259" s="196">
        <v>0</v>
      </c>
      <c r="Q1259" s="106">
        <v>4</v>
      </c>
      <c r="R1259" s="107">
        <v>32</v>
      </c>
      <c r="S1259" s="108">
        <v>3087.9</v>
      </c>
      <c r="T1259" s="108">
        <v>3087.9</v>
      </c>
      <c r="U1259" s="108">
        <v>2493</v>
      </c>
      <c r="V1259" s="109">
        <v>594.9</v>
      </c>
      <c r="W1259" s="206" t="s">
        <v>233</v>
      </c>
      <c r="X1259" s="206" t="s">
        <v>233</v>
      </c>
      <c r="Y1259" s="206" t="s">
        <v>233</v>
      </c>
      <c r="Z1259" s="206" t="s">
        <v>233</v>
      </c>
      <c r="AA1259" s="206" t="s">
        <v>233</v>
      </c>
      <c r="AB1259" s="206" t="s">
        <v>233</v>
      </c>
      <c r="AC1259" s="206" t="s">
        <v>240</v>
      </c>
      <c r="AD1259" s="206" t="s">
        <v>233</v>
      </c>
      <c r="AE1259" s="206" t="s">
        <v>240</v>
      </c>
      <c r="AF1259" s="96">
        <v>0</v>
      </c>
      <c r="AG1259" s="93">
        <v>0</v>
      </c>
      <c r="AH1259" s="93">
        <v>1</v>
      </c>
      <c r="AI1259" s="93">
        <v>0</v>
      </c>
      <c r="AJ1259" s="93">
        <v>0</v>
      </c>
      <c r="AK1259" s="93">
        <v>0</v>
      </c>
    </row>
    <row r="1260" spans="1:37" s="104" customFormat="1" outlineLevel="1">
      <c r="A1260" s="92">
        <v>1253</v>
      </c>
      <c r="B1260" s="93" t="s">
        <v>190</v>
      </c>
      <c r="C1260" s="93" t="s">
        <v>1488</v>
      </c>
      <c r="D1260" s="94" t="s">
        <v>956</v>
      </c>
      <c r="E1260" s="105" t="s">
        <v>957</v>
      </c>
      <c r="F1260" s="99" t="s">
        <v>191</v>
      </c>
      <c r="G1260" s="99"/>
      <c r="H1260" s="96" t="s">
        <v>958</v>
      </c>
      <c r="I1260" s="106" t="s">
        <v>736</v>
      </c>
      <c r="J1260" s="93"/>
      <c r="K1260" s="99" t="s">
        <v>232</v>
      </c>
      <c r="L1260" s="93" t="s">
        <v>232</v>
      </c>
      <c r="M1260" s="200">
        <v>1860</v>
      </c>
      <c r="N1260" s="64" t="s">
        <v>385</v>
      </c>
      <c r="O1260" s="106">
        <v>4</v>
      </c>
      <c r="P1260" s="196">
        <v>0</v>
      </c>
      <c r="Q1260" s="106">
        <v>2</v>
      </c>
      <c r="R1260" s="107">
        <v>17</v>
      </c>
      <c r="S1260" s="108">
        <v>1332.9</v>
      </c>
      <c r="T1260" s="108">
        <v>1332.9</v>
      </c>
      <c r="U1260" s="108">
        <v>1112.2</v>
      </c>
      <c r="V1260" s="109">
        <v>220.7</v>
      </c>
      <c r="W1260" s="206" t="s">
        <v>233</v>
      </c>
      <c r="X1260" s="206" t="s">
        <v>233</v>
      </c>
      <c r="Y1260" s="206" t="s">
        <v>233</v>
      </c>
      <c r="Z1260" s="206" t="s">
        <v>233</v>
      </c>
      <c r="AA1260" s="206" t="s">
        <v>233</v>
      </c>
      <c r="AB1260" s="206" t="s">
        <v>233</v>
      </c>
      <c r="AC1260" s="206" t="s">
        <v>240</v>
      </c>
      <c r="AD1260" s="206" t="s">
        <v>233</v>
      </c>
      <c r="AE1260" s="206" t="s">
        <v>240</v>
      </c>
      <c r="AF1260" s="96">
        <v>0</v>
      </c>
      <c r="AG1260" s="93">
        <v>0</v>
      </c>
      <c r="AH1260" s="93">
        <v>1</v>
      </c>
      <c r="AI1260" s="93">
        <v>0</v>
      </c>
      <c r="AJ1260" s="93">
        <v>0</v>
      </c>
      <c r="AK1260" s="93">
        <v>0</v>
      </c>
    </row>
    <row r="1261" spans="1:37" s="104" customFormat="1" outlineLevel="1">
      <c r="A1261" s="92">
        <v>1254</v>
      </c>
      <c r="B1261" s="93" t="s">
        <v>190</v>
      </c>
      <c r="C1261" s="93" t="s">
        <v>1488</v>
      </c>
      <c r="D1261" s="94" t="s">
        <v>959</v>
      </c>
      <c r="E1261" s="105" t="s">
        <v>960</v>
      </c>
      <c r="F1261" s="99" t="s">
        <v>191</v>
      </c>
      <c r="G1261" s="99"/>
      <c r="H1261" s="96" t="s">
        <v>961</v>
      </c>
      <c r="I1261" s="106" t="s">
        <v>736</v>
      </c>
      <c r="J1261" s="93"/>
      <c r="K1261" s="99" t="s">
        <v>232</v>
      </c>
      <c r="L1261" s="93" t="s">
        <v>232</v>
      </c>
      <c r="M1261" s="200">
        <v>1837</v>
      </c>
      <c r="N1261" s="64" t="s">
        <v>385</v>
      </c>
      <c r="O1261" s="106">
        <v>5</v>
      </c>
      <c r="P1261" s="196">
        <v>0</v>
      </c>
      <c r="Q1261" s="106">
        <v>7</v>
      </c>
      <c r="R1261" s="107">
        <v>52</v>
      </c>
      <c r="S1261" s="108">
        <v>4819.7</v>
      </c>
      <c r="T1261" s="108">
        <v>4819.7</v>
      </c>
      <c r="U1261" s="108">
        <v>3814.7</v>
      </c>
      <c r="V1261" s="109">
        <v>1005</v>
      </c>
      <c r="W1261" s="206" t="s">
        <v>233</v>
      </c>
      <c r="X1261" s="206" t="s">
        <v>233</v>
      </c>
      <c r="Y1261" s="206" t="s">
        <v>233</v>
      </c>
      <c r="Z1261" s="206" t="s">
        <v>233</v>
      </c>
      <c r="AA1261" s="206" t="s">
        <v>233</v>
      </c>
      <c r="AB1261" s="206" t="s">
        <v>233</v>
      </c>
      <c r="AC1261" s="206" t="s">
        <v>240</v>
      </c>
      <c r="AD1261" s="206" t="s">
        <v>233</v>
      </c>
      <c r="AE1261" s="206" t="s">
        <v>240</v>
      </c>
      <c r="AF1261" s="96">
        <v>0</v>
      </c>
      <c r="AG1261" s="93">
        <v>0</v>
      </c>
      <c r="AH1261" s="93">
        <v>1</v>
      </c>
      <c r="AI1261" s="93">
        <v>0</v>
      </c>
      <c r="AJ1261" s="93">
        <v>0</v>
      </c>
      <c r="AK1261" s="93">
        <v>0</v>
      </c>
    </row>
    <row r="1262" spans="1:37" s="104" customFormat="1" outlineLevel="1">
      <c r="A1262" s="92">
        <v>1255</v>
      </c>
      <c r="B1262" s="93" t="s">
        <v>190</v>
      </c>
      <c r="C1262" s="93" t="s">
        <v>1488</v>
      </c>
      <c r="D1262" s="94" t="s">
        <v>962</v>
      </c>
      <c r="E1262" s="105">
        <v>13</v>
      </c>
      <c r="F1262" s="99" t="s">
        <v>231</v>
      </c>
      <c r="G1262" s="99"/>
      <c r="H1262" s="96" t="s">
        <v>963</v>
      </c>
      <c r="I1262" s="106" t="s">
        <v>736</v>
      </c>
      <c r="J1262" s="93"/>
      <c r="K1262" s="99" t="s">
        <v>232</v>
      </c>
      <c r="L1262" s="93" t="s">
        <v>232</v>
      </c>
      <c r="M1262" s="200">
        <v>1798</v>
      </c>
      <c r="N1262" s="64" t="s">
        <v>385</v>
      </c>
      <c r="O1262" s="106">
        <v>4</v>
      </c>
      <c r="P1262" s="196">
        <v>0</v>
      </c>
      <c r="Q1262" s="106">
        <v>4</v>
      </c>
      <c r="R1262" s="107">
        <v>24</v>
      </c>
      <c r="S1262" s="108">
        <v>2669</v>
      </c>
      <c r="T1262" s="108">
        <v>2669</v>
      </c>
      <c r="U1262" s="108">
        <v>2104.5</v>
      </c>
      <c r="V1262" s="109">
        <v>564.5</v>
      </c>
      <c r="W1262" s="206" t="s">
        <v>233</v>
      </c>
      <c r="X1262" s="206" t="s">
        <v>233</v>
      </c>
      <c r="Y1262" s="206" t="s">
        <v>233</v>
      </c>
      <c r="Z1262" s="206" t="s">
        <v>233</v>
      </c>
      <c r="AA1262" s="206" t="s">
        <v>233</v>
      </c>
      <c r="AB1262" s="206" t="s">
        <v>233</v>
      </c>
      <c r="AC1262" s="206" t="s">
        <v>240</v>
      </c>
      <c r="AD1262" s="206" t="s">
        <v>233</v>
      </c>
      <c r="AE1262" s="206" t="s">
        <v>240</v>
      </c>
      <c r="AF1262" s="96">
        <v>0</v>
      </c>
      <c r="AG1262" s="93">
        <v>0</v>
      </c>
      <c r="AH1262" s="93">
        <v>1</v>
      </c>
      <c r="AI1262" s="93">
        <v>0</v>
      </c>
      <c r="AJ1262" s="93">
        <v>0</v>
      </c>
      <c r="AK1262" s="93">
        <v>0</v>
      </c>
    </row>
    <row r="1263" spans="1:37" s="104" customFormat="1" outlineLevel="1">
      <c r="A1263" s="92">
        <v>1256</v>
      </c>
      <c r="B1263" s="93" t="s">
        <v>190</v>
      </c>
      <c r="C1263" s="93" t="s">
        <v>1488</v>
      </c>
      <c r="D1263" s="94" t="s">
        <v>962</v>
      </c>
      <c r="E1263" s="105">
        <v>13</v>
      </c>
      <c r="F1263" s="99" t="s">
        <v>231</v>
      </c>
      <c r="G1263" s="99"/>
      <c r="H1263" s="96" t="s">
        <v>964</v>
      </c>
      <c r="I1263" s="106" t="s">
        <v>736</v>
      </c>
      <c r="J1263" s="93"/>
      <c r="K1263" s="99" t="s">
        <v>232</v>
      </c>
      <c r="L1263" s="93" t="s">
        <v>232</v>
      </c>
      <c r="M1263" s="200">
        <v>1798</v>
      </c>
      <c r="N1263" s="64" t="s">
        <v>385</v>
      </c>
      <c r="O1263" s="106">
        <v>4</v>
      </c>
      <c r="P1263" s="196">
        <v>0</v>
      </c>
      <c r="Q1263" s="106">
        <v>2</v>
      </c>
      <c r="R1263" s="107">
        <v>24</v>
      </c>
      <c r="S1263" s="108">
        <v>1344.9</v>
      </c>
      <c r="T1263" s="108">
        <v>1344.9</v>
      </c>
      <c r="U1263" s="108">
        <v>1034.9000000000001</v>
      </c>
      <c r="V1263" s="109">
        <v>310</v>
      </c>
      <c r="W1263" s="206" t="s">
        <v>233</v>
      </c>
      <c r="X1263" s="206" t="s">
        <v>233</v>
      </c>
      <c r="Y1263" s="206" t="s">
        <v>233</v>
      </c>
      <c r="Z1263" s="206" t="s">
        <v>233</v>
      </c>
      <c r="AA1263" s="206" t="s">
        <v>233</v>
      </c>
      <c r="AB1263" s="206" t="s">
        <v>233</v>
      </c>
      <c r="AC1263" s="206" t="s">
        <v>240</v>
      </c>
      <c r="AD1263" s="206" t="s">
        <v>233</v>
      </c>
      <c r="AE1263" s="206" t="s">
        <v>240</v>
      </c>
      <c r="AF1263" s="96">
        <v>0</v>
      </c>
      <c r="AG1263" s="93">
        <v>0</v>
      </c>
      <c r="AH1263" s="93">
        <v>0</v>
      </c>
      <c r="AI1263" s="93">
        <v>0</v>
      </c>
      <c r="AJ1263" s="93">
        <v>0</v>
      </c>
      <c r="AK1263" s="93">
        <v>0</v>
      </c>
    </row>
    <row r="1264" spans="1:37" s="104" customFormat="1" outlineLevel="1">
      <c r="A1264" s="92">
        <v>1257</v>
      </c>
      <c r="B1264" s="93" t="s">
        <v>190</v>
      </c>
      <c r="C1264" s="93" t="s">
        <v>1488</v>
      </c>
      <c r="D1264" s="94" t="s">
        <v>962</v>
      </c>
      <c r="E1264" s="105">
        <v>2</v>
      </c>
      <c r="F1264" s="99" t="s">
        <v>191</v>
      </c>
      <c r="G1264" s="99"/>
      <c r="H1264" s="96" t="s">
        <v>965</v>
      </c>
      <c r="I1264" s="106" t="s">
        <v>736</v>
      </c>
      <c r="J1264" s="93"/>
      <c r="K1264" s="99" t="s">
        <v>232</v>
      </c>
      <c r="L1264" s="93" t="s">
        <v>232</v>
      </c>
      <c r="M1264" s="200">
        <v>1825</v>
      </c>
      <c r="N1264" s="64" t="s">
        <v>385</v>
      </c>
      <c r="O1264" s="106">
        <v>3</v>
      </c>
      <c r="P1264" s="196">
        <v>0</v>
      </c>
      <c r="Q1264" s="106">
        <v>3</v>
      </c>
      <c r="R1264" s="107">
        <v>20</v>
      </c>
      <c r="S1264" s="108">
        <v>1785.9</v>
      </c>
      <c r="T1264" s="108">
        <v>1785.9</v>
      </c>
      <c r="U1264" s="108">
        <v>1276.2</v>
      </c>
      <c r="V1264" s="109">
        <v>509.7</v>
      </c>
      <c r="W1264" s="206" t="s">
        <v>233</v>
      </c>
      <c r="X1264" s="206" t="s">
        <v>233</v>
      </c>
      <c r="Y1264" s="206" t="s">
        <v>233</v>
      </c>
      <c r="Z1264" s="206" t="s">
        <v>233</v>
      </c>
      <c r="AA1264" s="206" t="s">
        <v>233</v>
      </c>
      <c r="AB1264" s="206" t="s">
        <v>233</v>
      </c>
      <c r="AC1264" s="206" t="s">
        <v>240</v>
      </c>
      <c r="AD1264" s="206" t="s">
        <v>233</v>
      </c>
      <c r="AE1264" s="206" t="s">
        <v>240</v>
      </c>
      <c r="AF1264" s="96">
        <v>0</v>
      </c>
      <c r="AG1264" s="93">
        <v>0</v>
      </c>
      <c r="AH1264" s="93">
        <v>1</v>
      </c>
      <c r="AI1264" s="93">
        <v>0</v>
      </c>
      <c r="AJ1264" s="93">
        <v>0</v>
      </c>
      <c r="AK1264" s="93">
        <v>0</v>
      </c>
    </row>
    <row r="1265" spans="1:37" s="104" customFormat="1" outlineLevel="1">
      <c r="A1265" s="92">
        <v>1258</v>
      </c>
      <c r="B1265" s="93" t="s">
        <v>190</v>
      </c>
      <c r="C1265" s="93" t="s">
        <v>1488</v>
      </c>
      <c r="D1265" s="94" t="s">
        <v>962</v>
      </c>
      <c r="E1265" s="105">
        <v>3</v>
      </c>
      <c r="F1265" s="99" t="s">
        <v>191</v>
      </c>
      <c r="G1265" s="99"/>
      <c r="H1265" s="96" t="s">
        <v>966</v>
      </c>
      <c r="I1265" s="106" t="s">
        <v>736</v>
      </c>
      <c r="J1265" s="93"/>
      <c r="K1265" s="99" t="s">
        <v>232</v>
      </c>
      <c r="L1265" s="93" t="s">
        <v>232</v>
      </c>
      <c r="M1265" s="200">
        <v>1905</v>
      </c>
      <c r="N1265" s="64" t="s">
        <v>385</v>
      </c>
      <c r="O1265" s="106">
        <v>7</v>
      </c>
      <c r="P1265" s="196">
        <v>0</v>
      </c>
      <c r="Q1265" s="106">
        <v>5</v>
      </c>
      <c r="R1265" s="107">
        <v>47</v>
      </c>
      <c r="S1265" s="108">
        <v>3676.7</v>
      </c>
      <c r="T1265" s="108">
        <v>3676.7</v>
      </c>
      <c r="U1265" s="108">
        <v>2943.2</v>
      </c>
      <c r="V1265" s="109">
        <v>733.5</v>
      </c>
      <c r="W1265" s="206" t="s">
        <v>233</v>
      </c>
      <c r="X1265" s="206" t="s">
        <v>233</v>
      </c>
      <c r="Y1265" s="206" t="s">
        <v>240</v>
      </c>
      <c r="Z1265" s="206" t="s">
        <v>233</v>
      </c>
      <c r="AA1265" s="206" t="s">
        <v>233</v>
      </c>
      <c r="AB1265" s="206" t="s">
        <v>233</v>
      </c>
      <c r="AC1265" s="206" t="s">
        <v>233</v>
      </c>
      <c r="AD1265" s="206" t="s">
        <v>233</v>
      </c>
      <c r="AE1265" s="206" t="s">
        <v>240</v>
      </c>
      <c r="AF1265" s="96">
        <v>1</v>
      </c>
      <c r="AG1265" s="93">
        <v>0</v>
      </c>
      <c r="AH1265" s="93">
        <v>1</v>
      </c>
      <c r="AI1265" s="93">
        <v>0</v>
      </c>
      <c r="AJ1265" s="93">
        <v>0</v>
      </c>
      <c r="AK1265" s="93">
        <v>0</v>
      </c>
    </row>
    <row r="1266" spans="1:37" s="104" customFormat="1" outlineLevel="1">
      <c r="A1266" s="92">
        <v>1259</v>
      </c>
      <c r="B1266" s="93" t="s">
        <v>190</v>
      </c>
      <c r="C1266" s="93" t="s">
        <v>1488</v>
      </c>
      <c r="D1266" s="94" t="s">
        <v>967</v>
      </c>
      <c r="E1266" s="105" t="s">
        <v>968</v>
      </c>
      <c r="F1266" s="99" t="s">
        <v>191</v>
      </c>
      <c r="G1266" s="99"/>
      <c r="H1266" s="96" t="s">
        <v>969</v>
      </c>
      <c r="I1266" s="106" t="s">
        <v>736</v>
      </c>
      <c r="J1266" s="93"/>
      <c r="K1266" s="99" t="s">
        <v>232</v>
      </c>
      <c r="L1266" s="93" t="s">
        <v>232</v>
      </c>
      <c r="M1266" s="200">
        <v>1798</v>
      </c>
      <c r="N1266" s="64" t="s">
        <v>385</v>
      </c>
      <c r="O1266" s="106">
        <v>5</v>
      </c>
      <c r="P1266" s="196">
        <v>0</v>
      </c>
      <c r="Q1266" s="106">
        <v>5</v>
      </c>
      <c r="R1266" s="107">
        <v>29</v>
      </c>
      <c r="S1266" s="108">
        <v>3904.2</v>
      </c>
      <c r="T1266" s="108">
        <v>3904.2</v>
      </c>
      <c r="U1266" s="108">
        <v>2846</v>
      </c>
      <c r="V1266" s="109">
        <v>1058.2</v>
      </c>
      <c r="W1266" s="206" t="s">
        <v>233</v>
      </c>
      <c r="X1266" s="206" t="s">
        <v>233</v>
      </c>
      <c r="Y1266" s="206" t="s">
        <v>233</v>
      </c>
      <c r="Z1266" s="206" t="s">
        <v>233</v>
      </c>
      <c r="AA1266" s="206" t="s">
        <v>233</v>
      </c>
      <c r="AB1266" s="206" t="s">
        <v>233</v>
      </c>
      <c r="AC1266" s="206" t="s">
        <v>240</v>
      </c>
      <c r="AD1266" s="206" t="s">
        <v>233</v>
      </c>
      <c r="AE1266" s="206" t="s">
        <v>240</v>
      </c>
      <c r="AF1266" s="96">
        <v>0</v>
      </c>
      <c r="AG1266" s="93">
        <v>0</v>
      </c>
      <c r="AH1266" s="93">
        <v>2</v>
      </c>
      <c r="AI1266" s="93">
        <v>0</v>
      </c>
      <c r="AJ1266" s="93">
        <v>0</v>
      </c>
      <c r="AK1266" s="93">
        <v>0</v>
      </c>
    </row>
    <row r="1267" spans="1:37" s="104" customFormat="1" ht="15.75" customHeight="1" outlineLevel="1">
      <c r="A1267" s="92">
        <v>1260</v>
      </c>
      <c r="B1267" s="93" t="s">
        <v>190</v>
      </c>
      <c r="C1267" s="93" t="s">
        <v>1488</v>
      </c>
      <c r="D1267" s="94" t="s">
        <v>967</v>
      </c>
      <c r="E1267" s="105" t="s">
        <v>970</v>
      </c>
      <c r="F1267" s="99" t="s">
        <v>191</v>
      </c>
      <c r="G1267" s="99"/>
      <c r="H1267" s="96" t="s">
        <v>971</v>
      </c>
      <c r="I1267" s="106" t="s">
        <v>736</v>
      </c>
      <c r="J1267" s="93"/>
      <c r="K1267" s="99" t="s">
        <v>232</v>
      </c>
      <c r="L1267" s="93" t="s">
        <v>232</v>
      </c>
      <c r="M1267" s="200">
        <v>1798</v>
      </c>
      <c r="N1267" s="64" t="s">
        <v>385</v>
      </c>
      <c r="O1267" s="106">
        <v>5</v>
      </c>
      <c r="P1267" s="196">
        <v>0</v>
      </c>
      <c r="Q1267" s="106">
        <v>5</v>
      </c>
      <c r="R1267" s="107">
        <v>35</v>
      </c>
      <c r="S1267" s="108">
        <v>3851.2</v>
      </c>
      <c r="T1267" s="108">
        <v>3851.2</v>
      </c>
      <c r="U1267" s="108">
        <v>3113.2</v>
      </c>
      <c r="V1267" s="109">
        <v>738</v>
      </c>
      <c r="W1267" s="206" t="s">
        <v>233</v>
      </c>
      <c r="X1267" s="206" t="s">
        <v>233</v>
      </c>
      <c r="Y1267" s="206" t="s">
        <v>240</v>
      </c>
      <c r="Z1267" s="206" t="s">
        <v>233</v>
      </c>
      <c r="AA1267" s="206" t="s">
        <v>233</v>
      </c>
      <c r="AB1267" s="206" t="s">
        <v>233</v>
      </c>
      <c r="AC1267" s="206" t="s">
        <v>233</v>
      </c>
      <c r="AD1267" s="206" t="s">
        <v>233</v>
      </c>
      <c r="AE1267" s="206" t="s">
        <v>240</v>
      </c>
      <c r="AF1267" s="96">
        <v>1</v>
      </c>
      <c r="AG1267" s="93">
        <v>0</v>
      </c>
      <c r="AH1267" s="93">
        <v>1</v>
      </c>
      <c r="AI1267" s="93">
        <v>0</v>
      </c>
      <c r="AJ1267" s="93">
        <v>0</v>
      </c>
      <c r="AK1267" s="93">
        <v>0</v>
      </c>
    </row>
    <row r="1268" spans="1:37" s="104" customFormat="1" ht="15.75" customHeight="1" outlineLevel="1">
      <c r="A1268" s="92">
        <v>1261</v>
      </c>
      <c r="B1268" s="93" t="s">
        <v>190</v>
      </c>
      <c r="C1268" s="93" t="s">
        <v>1488</v>
      </c>
      <c r="D1268" s="94" t="s">
        <v>972</v>
      </c>
      <c r="E1268" s="105" t="s">
        <v>973</v>
      </c>
      <c r="F1268" s="99" t="s">
        <v>191</v>
      </c>
      <c r="G1268" s="99"/>
      <c r="H1268" s="96" t="s">
        <v>974</v>
      </c>
      <c r="I1268" s="106" t="s">
        <v>736</v>
      </c>
      <c r="J1268" s="93"/>
      <c r="K1268" s="99" t="s">
        <v>232</v>
      </c>
      <c r="L1268" s="93" t="s">
        <v>232</v>
      </c>
      <c r="M1268" s="200">
        <v>1887</v>
      </c>
      <c r="N1268" s="64" t="s">
        <v>385</v>
      </c>
      <c r="O1268" s="106">
        <v>5</v>
      </c>
      <c r="P1268" s="196">
        <v>0</v>
      </c>
      <c r="Q1268" s="106">
        <v>10</v>
      </c>
      <c r="R1268" s="107">
        <v>58</v>
      </c>
      <c r="S1268" s="108">
        <v>9750.1</v>
      </c>
      <c r="T1268" s="108">
        <v>9750.1</v>
      </c>
      <c r="U1268" s="108">
        <v>8077.3</v>
      </c>
      <c r="V1268" s="109">
        <v>1672.8</v>
      </c>
      <c r="W1268" s="206" t="s">
        <v>233</v>
      </c>
      <c r="X1268" s="206" t="s">
        <v>233</v>
      </c>
      <c r="Y1268" s="206" t="s">
        <v>233</v>
      </c>
      <c r="Z1268" s="206" t="s">
        <v>233</v>
      </c>
      <c r="AA1268" s="206" t="s">
        <v>233</v>
      </c>
      <c r="AB1268" s="206" t="s">
        <v>233</v>
      </c>
      <c r="AC1268" s="206" t="s">
        <v>240</v>
      </c>
      <c r="AD1268" s="206" t="s">
        <v>233</v>
      </c>
      <c r="AE1268" s="206" t="s">
        <v>240</v>
      </c>
      <c r="AF1268" s="96">
        <v>1</v>
      </c>
      <c r="AG1268" s="93">
        <v>0</v>
      </c>
      <c r="AH1268" s="93">
        <v>1</v>
      </c>
      <c r="AI1268" s="93">
        <v>0</v>
      </c>
      <c r="AJ1268" s="93">
        <v>0</v>
      </c>
      <c r="AK1268" s="93">
        <v>0</v>
      </c>
    </row>
    <row r="1269" spans="1:37" s="104" customFormat="1" ht="15.75" customHeight="1" outlineLevel="1">
      <c r="A1269" s="92">
        <v>1262</v>
      </c>
      <c r="B1269" s="93" t="s">
        <v>190</v>
      </c>
      <c r="C1269" s="93" t="s">
        <v>1488</v>
      </c>
      <c r="D1269" s="94" t="s">
        <v>975</v>
      </c>
      <c r="E1269" s="105" t="s">
        <v>976</v>
      </c>
      <c r="F1269" s="99" t="s">
        <v>191</v>
      </c>
      <c r="G1269" s="99"/>
      <c r="H1269" s="96" t="s">
        <v>977</v>
      </c>
      <c r="I1269" s="106" t="s">
        <v>736</v>
      </c>
      <c r="J1269" s="93"/>
      <c r="K1269" s="99" t="s">
        <v>232</v>
      </c>
      <c r="L1269" s="93" t="s">
        <v>232</v>
      </c>
      <c r="M1269" s="200">
        <v>1835</v>
      </c>
      <c r="N1269" s="64" t="s">
        <v>385</v>
      </c>
      <c r="O1269" s="106">
        <v>4</v>
      </c>
      <c r="P1269" s="196">
        <v>0</v>
      </c>
      <c r="Q1269" s="106">
        <v>4</v>
      </c>
      <c r="R1269" s="107">
        <v>34</v>
      </c>
      <c r="S1269" s="108">
        <v>3144.8</v>
      </c>
      <c r="T1269" s="108">
        <v>3144.8</v>
      </c>
      <c r="U1269" s="108">
        <v>2507.1</v>
      </c>
      <c r="V1269" s="109">
        <v>637.70000000000005</v>
      </c>
      <c r="W1269" s="206" t="s">
        <v>233</v>
      </c>
      <c r="X1269" s="206" t="s">
        <v>233</v>
      </c>
      <c r="Y1269" s="206" t="s">
        <v>240</v>
      </c>
      <c r="Z1269" s="206" t="s">
        <v>233</v>
      </c>
      <c r="AA1269" s="206" t="s">
        <v>233</v>
      </c>
      <c r="AB1269" s="206" t="s">
        <v>233</v>
      </c>
      <c r="AC1269" s="206" t="s">
        <v>233</v>
      </c>
      <c r="AD1269" s="206" t="s">
        <v>233</v>
      </c>
      <c r="AE1269" s="206" t="s">
        <v>240</v>
      </c>
      <c r="AF1269" s="96">
        <v>0</v>
      </c>
      <c r="AG1269" s="93">
        <v>0</v>
      </c>
      <c r="AH1269" s="93">
        <v>1</v>
      </c>
      <c r="AI1269" s="93">
        <v>0</v>
      </c>
      <c r="AJ1269" s="93">
        <v>0</v>
      </c>
      <c r="AK1269" s="93">
        <v>0</v>
      </c>
    </row>
    <row r="1270" spans="1:37" s="104" customFormat="1" outlineLevel="1">
      <c r="A1270" s="92">
        <v>1263</v>
      </c>
      <c r="B1270" s="93" t="s">
        <v>190</v>
      </c>
      <c r="C1270" s="93" t="s">
        <v>1488</v>
      </c>
      <c r="D1270" s="94" t="s">
        <v>967</v>
      </c>
      <c r="E1270" s="105" t="s">
        <v>978</v>
      </c>
      <c r="F1270" s="99" t="s">
        <v>191</v>
      </c>
      <c r="G1270" s="99"/>
      <c r="H1270" s="96" t="s">
        <v>979</v>
      </c>
      <c r="I1270" s="106" t="s">
        <v>736</v>
      </c>
      <c r="J1270" s="93"/>
      <c r="K1270" s="99" t="s">
        <v>232</v>
      </c>
      <c r="L1270" s="93" t="s">
        <v>232</v>
      </c>
      <c r="M1270" s="200">
        <v>1825</v>
      </c>
      <c r="N1270" s="64" t="s">
        <v>385</v>
      </c>
      <c r="O1270" s="106">
        <v>4</v>
      </c>
      <c r="P1270" s="196">
        <v>0</v>
      </c>
      <c r="Q1270" s="106">
        <v>4</v>
      </c>
      <c r="R1270" s="107">
        <v>31</v>
      </c>
      <c r="S1270" s="108">
        <v>2981.8</v>
      </c>
      <c r="T1270" s="108">
        <v>2981.8</v>
      </c>
      <c r="U1270" s="108">
        <v>2355.6</v>
      </c>
      <c r="V1270" s="109">
        <v>626.20000000000005</v>
      </c>
      <c r="W1270" s="206" t="s">
        <v>233</v>
      </c>
      <c r="X1270" s="206" t="s">
        <v>233</v>
      </c>
      <c r="Y1270" s="206" t="s">
        <v>233</v>
      </c>
      <c r="Z1270" s="206" t="s">
        <v>233</v>
      </c>
      <c r="AA1270" s="206" t="s">
        <v>233</v>
      </c>
      <c r="AB1270" s="206" t="s">
        <v>233</v>
      </c>
      <c r="AC1270" s="206" t="s">
        <v>240</v>
      </c>
      <c r="AD1270" s="206" t="s">
        <v>233</v>
      </c>
      <c r="AE1270" s="206" t="s">
        <v>240</v>
      </c>
      <c r="AF1270" s="96">
        <v>0</v>
      </c>
      <c r="AG1270" s="93">
        <v>0</v>
      </c>
      <c r="AH1270" s="93">
        <v>1</v>
      </c>
      <c r="AI1270" s="93">
        <v>0</v>
      </c>
      <c r="AJ1270" s="93">
        <v>0</v>
      </c>
      <c r="AK1270" s="93">
        <v>0</v>
      </c>
    </row>
    <row r="1271" spans="1:37" s="104" customFormat="1" outlineLevel="1">
      <c r="A1271" s="92">
        <v>1264</v>
      </c>
      <c r="B1271" s="93" t="s">
        <v>190</v>
      </c>
      <c r="C1271" s="93" t="s">
        <v>1488</v>
      </c>
      <c r="D1271" s="94" t="s">
        <v>980</v>
      </c>
      <c r="E1271" s="105">
        <v>24</v>
      </c>
      <c r="F1271" s="99" t="s">
        <v>191</v>
      </c>
      <c r="G1271" s="99"/>
      <c r="H1271" s="96" t="s">
        <v>981</v>
      </c>
      <c r="I1271" s="106" t="s">
        <v>736</v>
      </c>
      <c r="J1271" s="93"/>
      <c r="K1271" s="99" t="s">
        <v>232</v>
      </c>
      <c r="L1271" s="93" t="s">
        <v>232</v>
      </c>
      <c r="M1271" s="200">
        <v>1864</v>
      </c>
      <c r="N1271" s="64" t="s">
        <v>385</v>
      </c>
      <c r="O1271" s="106">
        <v>5</v>
      </c>
      <c r="P1271" s="196">
        <v>0</v>
      </c>
      <c r="Q1271" s="106">
        <v>3</v>
      </c>
      <c r="R1271" s="107">
        <v>10</v>
      </c>
      <c r="S1271" s="108">
        <v>1770.1</v>
      </c>
      <c r="T1271" s="108">
        <v>1770.1</v>
      </c>
      <c r="U1271" s="108">
        <v>1407.1</v>
      </c>
      <c r="V1271" s="109">
        <v>363</v>
      </c>
      <c r="W1271" s="206" t="s">
        <v>233</v>
      </c>
      <c r="X1271" s="206" t="s">
        <v>233</v>
      </c>
      <c r="Y1271" s="206" t="s">
        <v>233</v>
      </c>
      <c r="Z1271" s="206" t="s">
        <v>233</v>
      </c>
      <c r="AA1271" s="206" t="s">
        <v>233</v>
      </c>
      <c r="AB1271" s="206" t="s">
        <v>233</v>
      </c>
      <c r="AC1271" s="206" t="s">
        <v>240</v>
      </c>
      <c r="AD1271" s="206" t="s">
        <v>233</v>
      </c>
      <c r="AE1271" s="206" t="s">
        <v>240</v>
      </c>
      <c r="AF1271" s="96">
        <v>0</v>
      </c>
      <c r="AG1271" s="93">
        <v>0</v>
      </c>
      <c r="AH1271" s="93">
        <v>1</v>
      </c>
      <c r="AI1271" s="93">
        <v>0</v>
      </c>
      <c r="AJ1271" s="93">
        <v>0</v>
      </c>
      <c r="AK1271" s="93">
        <v>0</v>
      </c>
    </row>
    <row r="1272" spans="1:37" s="104" customFormat="1" outlineLevel="1">
      <c r="A1272" s="92">
        <v>1265</v>
      </c>
      <c r="B1272" s="93" t="s">
        <v>190</v>
      </c>
      <c r="C1272" s="93" t="s">
        <v>1488</v>
      </c>
      <c r="D1272" s="94" t="s">
        <v>980</v>
      </c>
      <c r="E1272" s="105">
        <v>24</v>
      </c>
      <c r="F1272" s="99" t="s">
        <v>231</v>
      </c>
      <c r="G1272" s="99"/>
      <c r="H1272" s="96" t="s">
        <v>982</v>
      </c>
      <c r="I1272" s="106" t="s">
        <v>736</v>
      </c>
      <c r="J1272" s="93"/>
      <c r="K1272" s="99" t="s">
        <v>232</v>
      </c>
      <c r="L1272" s="93" t="s">
        <v>232</v>
      </c>
      <c r="M1272" s="200">
        <v>1864</v>
      </c>
      <c r="N1272" s="64" t="s">
        <v>385</v>
      </c>
      <c r="O1272" s="106">
        <v>4</v>
      </c>
      <c r="P1272" s="196">
        <v>0</v>
      </c>
      <c r="Q1272" s="106">
        <v>1</v>
      </c>
      <c r="R1272" s="107">
        <v>10</v>
      </c>
      <c r="S1272" s="108">
        <v>903</v>
      </c>
      <c r="T1272" s="108">
        <v>903</v>
      </c>
      <c r="U1272" s="108">
        <v>754.2</v>
      </c>
      <c r="V1272" s="109">
        <v>148.80000000000001</v>
      </c>
      <c r="W1272" s="206" t="s">
        <v>233</v>
      </c>
      <c r="X1272" s="206" t="s">
        <v>233</v>
      </c>
      <c r="Y1272" s="206" t="s">
        <v>233</v>
      </c>
      <c r="Z1272" s="206" t="s">
        <v>233</v>
      </c>
      <c r="AA1272" s="206" t="s">
        <v>233</v>
      </c>
      <c r="AB1272" s="206" t="s">
        <v>233</v>
      </c>
      <c r="AC1272" s="206" t="s">
        <v>240</v>
      </c>
      <c r="AD1272" s="206" t="s">
        <v>233</v>
      </c>
      <c r="AE1272" s="206" t="s">
        <v>240</v>
      </c>
      <c r="AF1272" s="96">
        <v>0</v>
      </c>
      <c r="AG1272" s="93">
        <v>0</v>
      </c>
      <c r="AH1272" s="93">
        <v>0</v>
      </c>
      <c r="AI1272" s="93">
        <v>0</v>
      </c>
      <c r="AJ1272" s="93">
        <v>0</v>
      </c>
      <c r="AK1272" s="93">
        <v>0</v>
      </c>
    </row>
    <row r="1273" spans="1:37" s="104" customFormat="1" outlineLevel="1">
      <c r="A1273" s="92">
        <v>1266</v>
      </c>
      <c r="B1273" s="93" t="s">
        <v>190</v>
      </c>
      <c r="C1273" s="93" t="s">
        <v>1488</v>
      </c>
      <c r="D1273" s="94" t="s">
        <v>980</v>
      </c>
      <c r="E1273" s="105">
        <v>24</v>
      </c>
      <c r="F1273" s="99" t="s">
        <v>261</v>
      </c>
      <c r="G1273" s="99"/>
      <c r="H1273" s="96" t="s">
        <v>983</v>
      </c>
      <c r="I1273" s="106" t="s">
        <v>736</v>
      </c>
      <c r="J1273" s="93"/>
      <c r="K1273" s="99" t="s">
        <v>232</v>
      </c>
      <c r="L1273" s="93" t="s">
        <v>232</v>
      </c>
      <c r="M1273" s="200">
        <v>1864</v>
      </c>
      <c r="N1273" s="64" t="s">
        <v>385</v>
      </c>
      <c r="O1273" s="106">
        <v>5</v>
      </c>
      <c r="P1273" s="196">
        <v>0</v>
      </c>
      <c r="Q1273" s="106">
        <v>2</v>
      </c>
      <c r="R1273" s="107">
        <v>9</v>
      </c>
      <c r="S1273" s="108">
        <v>646</v>
      </c>
      <c r="T1273" s="108">
        <v>646</v>
      </c>
      <c r="U1273" s="108">
        <v>474</v>
      </c>
      <c r="V1273" s="109">
        <v>172</v>
      </c>
      <c r="W1273" s="206" t="s">
        <v>233</v>
      </c>
      <c r="X1273" s="206" t="s">
        <v>233</v>
      </c>
      <c r="Y1273" s="206" t="s">
        <v>233</v>
      </c>
      <c r="Z1273" s="206" t="s">
        <v>233</v>
      </c>
      <c r="AA1273" s="206" t="s">
        <v>233</v>
      </c>
      <c r="AB1273" s="206" t="s">
        <v>233</v>
      </c>
      <c r="AC1273" s="206" t="s">
        <v>240</v>
      </c>
      <c r="AD1273" s="206" t="s">
        <v>233</v>
      </c>
      <c r="AE1273" s="206" t="s">
        <v>240</v>
      </c>
      <c r="AF1273" s="96">
        <v>0</v>
      </c>
      <c r="AG1273" s="93">
        <v>0</v>
      </c>
      <c r="AH1273" s="93">
        <v>0</v>
      </c>
      <c r="AI1273" s="93">
        <v>0</v>
      </c>
      <c r="AJ1273" s="93">
        <v>0</v>
      </c>
      <c r="AK1273" s="93">
        <v>0</v>
      </c>
    </row>
    <row r="1274" spans="1:37" s="104" customFormat="1" outlineLevel="1">
      <c r="A1274" s="92">
        <v>1267</v>
      </c>
      <c r="B1274" s="93" t="s">
        <v>190</v>
      </c>
      <c r="C1274" s="93" t="s">
        <v>1488</v>
      </c>
      <c r="D1274" s="94" t="s">
        <v>980</v>
      </c>
      <c r="E1274" s="105">
        <v>28</v>
      </c>
      <c r="F1274" s="99" t="s">
        <v>191</v>
      </c>
      <c r="G1274" s="99"/>
      <c r="H1274" s="96" t="s">
        <v>984</v>
      </c>
      <c r="I1274" s="106" t="s">
        <v>736</v>
      </c>
      <c r="J1274" s="93" t="s">
        <v>242</v>
      </c>
      <c r="K1274" s="178" t="s">
        <v>1486</v>
      </c>
      <c r="L1274" s="178" t="s">
        <v>1486</v>
      </c>
      <c r="M1274" s="200">
        <v>1917</v>
      </c>
      <c r="N1274" s="64" t="s">
        <v>385</v>
      </c>
      <c r="O1274" s="106">
        <v>5</v>
      </c>
      <c r="P1274" s="196">
        <v>0</v>
      </c>
      <c r="Q1274" s="106">
        <v>2</v>
      </c>
      <c r="R1274" s="107"/>
      <c r="S1274" s="108"/>
      <c r="T1274" s="108"/>
      <c r="U1274" s="108"/>
      <c r="V1274" s="109"/>
      <c r="W1274" s="206" t="s">
        <v>240</v>
      </c>
      <c r="X1274" s="206" t="s">
        <v>240</v>
      </c>
      <c r="Y1274" s="206" t="s">
        <v>240</v>
      </c>
      <c r="Z1274" s="206" t="s">
        <v>240</v>
      </c>
      <c r="AA1274" s="206" t="s">
        <v>233</v>
      </c>
      <c r="AB1274" s="206" t="s">
        <v>233</v>
      </c>
      <c r="AC1274" s="206" t="s">
        <v>233</v>
      </c>
      <c r="AD1274" s="206" t="s">
        <v>233</v>
      </c>
      <c r="AE1274" s="206" t="s">
        <v>240</v>
      </c>
      <c r="AF1274" s="96">
        <v>0</v>
      </c>
      <c r="AG1274" s="93">
        <v>0</v>
      </c>
      <c r="AH1274" s="93">
        <v>0</v>
      </c>
      <c r="AI1274" s="93">
        <v>0</v>
      </c>
      <c r="AJ1274" s="93">
        <v>0</v>
      </c>
      <c r="AK1274" s="93">
        <v>0</v>
      </c>
    </row>
    <row r="1275" spans="1:37" s="104" customFormat="1" outlineLevel="1">
      <c r="A1275" s="92">
        <v>1268</v>
      </c>
      <c r="B1275" s="93" t="s">
        <v>190</v>
      </c>
      <c r="C1275" s="93" t="s">
        <v>1488</v>
      </c>
      <c r="D1275" s="94" t="s">
        <v>985</v>
      </c>
      <c r="E1275" s="105" t="s">
        <v>223</v>
      </c>
      <c r="F1275" s="99" t="s">
        <v>191</v>
      </c>
      <c r="G1275" s="99"/>
      <c r="H1275" s="96" t="s">
        <v>986</v>
      </c>
      <c r="I1275" s="106" t="s">
        <v>736</v>
      </c>
      <c r="J1275" s="93"/>
      <c r="K1275" s="99" t="s">
        <v>232</v>
      </c>
      <c r="L1275" s="93" t="s">
        <v>232</v>
      </c>
      <c r="M1275" s="200">
        <v>1896</v>
      </c>
      <c r="N1275" s="64" t="s">
        <v>385</v>
      </c>
      <c r="O1275" s="106">
        <v>4</v>
      </c>
      <c r="P1275" s="196">
        <v>0</v>
      </c>
      <c r="Q1275" s="106">
        <v>1</v>
      </c>
      <c r="R1275" s="107">
        <v>9</v>
      </c>
      <c r="S1275" s="108">
        <v>839.7</v>
      </c>
      <c r="T1275" s="108">
        <v>839.7</v>
      </c>
      <c r="U1275" s="108">
        <v>593.1</v>
      </c>
      <c r="V1275" s="109">
        <v>246.6</v>
      </c>
      <c r="W1275" s="206" t="s">
        <v>233</v>
      </c>
      <c r="X1275" s="206" t="s">
        <v>233</v>
      </c>
      <c r="Y1275" s="206" t="s">
        <v>233</v>
      </c>
      <c r="Z1275" s="206" t="s">
        <v>233</v>
      </c>
      <c r="AA1275" s="206" t="s">
        <v>233</v>
      </c>
      <c r="AB1275" s="206" t="s">
        <v>233</v>
      </c>
      <c r="AC1275" s="206" t="s">
        <v>240</v>
      </c>
      <c r="AD1275" s="206" t="s">
        <v>233</v>
      </c>
      <c r="AE1275" s="206" t="s">
        <v>240</v>
      </c>
      <c r="AF1275" s="96">
        <v>0</v>
      </c>
      <c r="AG1275" s="93">
        <v>0</v>
      </c>
      <c r="AH1275" s="93">
        <v>1</v>
      </c>
      <c r="AI1275" s="93">
        <v>0</v>
      </c>
      <c r="AJ1275" s="93">
        <v>0</v>
      </c>
      <c r="AK1275" s="93">
        <v>0</v>
      </c>
    </row>
    <row r="1276" spans="1:37" s="104" customFormat="1" outlineLevel="1">
      <c r="A1276" s="92">
        <v>1269</v>
      </c>
      <c r="B1276" s="93" t="s">
        <v>190</v>
      </c>
      <c r="C1276" s="93" t="s">
        <v>1488</v>
      </c>
      <c r="D1276" s="94" t="s">
        <v>985</v>
      </c>
      <c r="E1276" s="105" t="s">
        <v>257</v>
      </c>
      <c r="F1276" s="99" t="s">
        <v>191</v>
      </c>
      <c r="G1276" s="99"/>
      <c r="H1276" s="96" t="s">
        <v>987</v>
      </c>
      <c r="I1276" s="106" t="s">
        <v>736</v>
      </c>
      <c r="J1276" s="93"/>
      <c r="K1276" s="99" t="s">
        <v>232</v>
      </c>
      <c r="L1276" s="93" t="s">
        <v>232</v>
      </c>
      <c r="M1276" s="200">
        <v>1894</v>
      </c>
      <c r="N1276" s="64" t="s">
        <v>385</v>
      </c>
      <c r="O1276" s="106">
        <v>4</v>
      </c>
      <c r="P1276" s="196">
        <v>0</v>
      </c>
      <c r="Q1276" s="106">
        <v>1</v>
      </c>
      <c r="R1276" s="107">
        <v>5</v>
      </c>
      <c r="S1276" s="108">
        <v>404.5</v>
      </c>
      <c r="T1276" s="108">
        <v>404.5</v>
      </c>
      <c r="U1276" s="108">
        <v>395.8</v>
      </c>
      <c r="V1276" s="109">
        <v>8.6999999999999993</v>
      </c>
      <c r="W1276" s="206" t="s">
        <v>240</v>
      </c>
      <c r="X1276" s="206" t="s">
        <v>240</v>
      </c>
      <c r="Y1276" s="206" t="s">
        <v>233</v>
      </c>
      <c r="Z1276" s="206" t="s">
        <v>240</v>
      </c>
      <c r="AA1276" s="206" t="s">
        <v>233</v>
      </c>
      <c r="AB1276" s="206" t="s">
        <v>233</v>
      </c>
      <c r="AC1276" s="206" t="s">
        <v>240</v>
      </c>
      <c r="AD1276" s="206" t="s">
        <v>233</v>
      </c>
      <c r="AE1276" s="206" t="s">
        <v>240</v>
      </c>
      <c r="AF1276" s="96">
        <v>0</v>
      </c>
      <c r="AG1276" s="93">
        <v>0</v>
      </c>
      <c r="AH1276" s="93">
        <v>0</v>
      </c>
      <c r="AI1276" s="93">
        <v>0</v>
      </c>
      <c r="AJ1276" s="93">
        <v>0</v>
      </c>
      <c r="AK1276" s="93">
        <v>0</v>
      </c>
    </row>
    <row r="1277" spans="1:37" s="104" customFormat="1" outlineLevel="1">
      <c r="A1277" s="92">
        <v>1270</v>
      </c>
      <c r="B1277" s="93" t="s">
        <v>190</v>
      </c>
      <c r="C1277" s="93" t="s">
        <v>1488</v>
      </c>
      <c r="D1277" s="94" t="s">
        <v>988</v>
      </c>
      <c r="E1277" s="105" t="s">
        <v>989</v>
      </c>
      <c r="F1277" s="99" t="s">
        <v>191</v>
      </c>
      <c r="G1277" s="99"/>
      <c r="H1277" s="96" t="s">
        <v>990</v>
      </c>
      <c r="I1277" s="106" t="s">
        <v>736</v>
      </c>
      <c r="J1277" s="93"/>
      <c r="K1277" s="99" t="s">
        <v>232</v>
      </c>
      <c r="L1277" s="93" t="s">
        <v>232</v>
      </c>
      <c r="M1277" s="200">
        <v>1856</v>
      </c>
      <c r="N1277" s="64" t="s">
        <v>385</v>
      </c>
      <c r="O1277" s="106">
        <v>4</v>
      </c>
      <c r="P1277" s="196">
        <v>0</v>
      </c>
      <c r="Q1277" s="106">
        <v>5</v>
      </c>
      <c r="R1277" s="107">
        <v>28</v>
      </c>
      <c r="S1277" s="108">
        <v>2626.2000000000003</v>
      </c>
      <c r="T1277" s="108">
        <v>2626.2000000000003</v>
      </c>
      <c r="U1277" s="108">
        <v>2160.4</v>
      </c>
      <c r="V1277" s="109">
        <v>465.8</v>
      </c>
      <c r="W1277" s="206" t="s">
        <v>233</v>
      </c>
      <c r="X1277" s="206" t="s">
        <v>233</v>
      </c>
      <c r="Y1277" s="206" t="s">
        <v>233</v>
      </c>
      <c r="Z1277" s="206" t="s">
        <v>233</v>
      </c>
      <c r="AA1277" s="206" t="s">
        <v>233</v>
      </c>
      <c r="AB1277" s="206" t="s">
        <v>233</v>
      </c>
      <c r="AC1277" s="206" t="s">
        <v>240</v>
      </c>
      <c r="AD1277" s="206" t="s">
        <v>233</v>
      </c>
      <c r="AE1277" s="206" t="s">
        <v>240</v>
      </c>
      <c r="AF1277" s="96">
        <v>0</v>
      </c>
      <c r="AG1277" s="93">
        <v>0</v>
      </c>
      <c r="AH1277" s="93">
        <v>1</v>
      </c>
      <c r="AI1277" s="93">
        <v>0</v>
      </c>
      <c r="AJ1277" s="93">
        <v>0</v>
      </c>
      <c r="AK1277" s="93">
        <v>0</v>
      </c>
    </row>
    <row r="1278" spans="1:37" s="104" customFormat="1" ht="15.75" customHeight="1" outlineLevel="1">
      <c r="A1278" s="92">
        <v>1271</v>
      </c>
      <c r="B1278" s="93" t="s">
        <v>190</v>
      </c>
      <c r="C1278" s="93" t="s">
        <v>1488</v>
      </c>
      <c r="D1278" s="94" t="s">
        <v>991</v>
      </c>
      <c r="E1278" s="105" t="s">
        <v>992</v>
      </c>
      <c r="F1278" s="99" t="s">
        <v>191</v>
      </c>
      <c r="G1278" s="99"/>
      <c r="H1278" s="96" t="s">
        <v>993</v>
      </c>
      <c r="I1278" s="106" t="s">
        <v>792</v>
      </c>
      <c r="J1278" s="93"/>
      <c r="K1278" s="99" t="s">
        <v>232</v>
      </c>
      <c r="L1278" s="93" t="s">
        <v>232</v>
      </c>
      <c r="M1278" s="200">
        <v>1825</v>
      </c>
      <c r="N1278" s="64" t="s">
        <v>385</v>
      </c>
      <c r="O1278" s="106">
        <v>5</v>
      </c>
      <c r="P1278" s="196">
        <v>0</v>
      </c>
      <c r="Q1278" s="106">
        <v>4</v>
      </c>
      <c r="R1278" s="107">
        <v>25</v>
      </c>
      <c r="S1278" s="108">
        <v>2741.7999999999997</v>
      </c>
      <c r="T1278" s="108">
        <v>2741.7999999999997</v>
      </c>
      <c r="U1278" s="108">
        <v>2161.62</v>
      </c>
      <c r="V1278" s="109">
        <v>580.17999999999995</v>
      </c>
      <c r="W1278" s="206" t="s">
        <v>233</v>
      </c>
      <c r="X1278" s="206" t="s">
        <v>233</v>
      </c>
      <c r="Y1278" s="206" t="s">
        <v>233</v>
      </c>
      <c r="Z1278" s="206" t="s">
        <v>233</v>
      </c>
      <c r="AA1278" s="206" t="s">
        <v>233</v>
      </c>
      <c r="AB1278" s="206" t="s">
        <v>233</v>
      </c>
      <c r="AC1278" s="206" t="s">
        <v>240</v>
      </c>
      <c r="AD1278" s="206" t="s">
        <v>233</v>
      </c>
      <c r="AE1278" s="206" t="s">
        <v>240</v>
      </c>
      <c r="AF1278" s="96">
        <v>0</v>
      </c>
      <c r="AG1278" s="93">
        <v>0</v>
      </c>
      <c r="AH1278" s="93">
        <v>1</v>
      </c>
      <c r="AI1278" s="93">
        <v>0</v>
      </c>
      <c r="AJ1278" s="93">
        <v>0</v>
      </c>
      <c r="AK1278" s="93">
        <v>0</v>
      </c>
    </row>
    <row r="1279" spans="1:37" s="104" customFormat="1" ht="15.75" customHeight="1" outlineLevel="1">
      <c r="A1279" s="92">
        <v>1272</v>
      </c>
      <c r="B1279" s="93" t="s">
        <v>190</v>
      </c>
      <c r="C1279" s="93" t="s">
        <v>1488</v>
      </c>
      <c r="D1279" s="94" t="s">
        <v>994</v>
      </c>
      <c r="E1279" s="105" t="s">
        <v>995</v>
      </c>
      <c r="F1279" s="99" t="s">
        <v>191</v>
      </c>
      <c r="G1279" s="99"/>
      <c r="H1279" s="96" t="s">
        <v>996</v>
      </c>
      <c r="I1279" s="106" t="s">
        <v>736</v>
      </c>
      <c r="J1279" s="93"/>
      <c r="K1279" s="99" t="s">
        <v>232</v>
      </c>
      <c r="L1279" s="93" t="s">
        <v>232</v>
      </c>
      <c r="M1279" s="200">
        <v>1849</v>
      </c>
      <c r="N1279" s="64" t="s">
        <v>385</v>
      </c>
      <c r="O1279" s="106">
        <v>4</v>
      </c>
      <c r="P1279" s="196">
        <v>0</v>
      </c>
      <c r="Q1279" s="106">
        <v>5</v>
      </c>
      <c r="R1279" s="107">
        <v>30</v>
      </c>
      <c r="S1279" s="108">
        <v>1401</v>
      </c>
      <c r="T1279" s="108">
        <v>1401</v>
      </c>
      <c r="U1279" s="108">
        <v>1112.8</v>
      </c>
      <c r="V1279" s="109">
        <v>288.2</v>
      </c>
      <c r="W1279" s="206" t="s">
        <v>233</v>
      </c>
      <c r="X1279" s="206" t="s">
        <v>233</v>
      </c>
      <c r="Y1279" s="206" t="s">
        <v>233</v>
      </c>
      <c r="Z1279" s="206" t="s">
        <v>233</v>
      </c>
      <c r="AA1279" s="206" t="s">
        <v>233</v>
      </c>
      <c r="AB1279" s="206" t="s">
        <v>233</v>
      </c>
      <c r="AC1279" s="206" t="s">
        <v>240</v>
      </c>
      <c r="AD1279" s="206" t="s">
        <v>233</v>
      </c>
      <c r="AE1279" s="206" t="s">
        <v>240</v>
      </c>
      <c r="AF1279" s="96">
        <v>0</v>
      </c>
      <c r="AG1279" s="93">
        <v>0</v>
      </c>
      <c r="AH1279" s="93">
        <v>1</v>
      </c>
      <c r="AI1279" s="93">
        <v>0</v>
      </c>
      <c r="AJ1279" s="93">
        <v>0</v>
      </c>
      <c r="AK1279" s="93">
        <v>0</v>
      </c>
    </row>
    <row r="1280" spans="1:37" s="104" customFormat="1" ht="15.75" customHeight="1" outlineLevel="1">
      <c r="A1280" s="92">
        <v>1273</v>
      </c>
      <c r="B1280" s="93" t="s">
        <v>190</v>
      </c>
      <c r="C1280" s="93" t="s">
        <v>1488</v>
      </c>
      <c r="D1280" s="94" t="s">
        <v>997</v>
      </c>
      <c r="E1280" s="105" t="s">
        <v>998</v>
      </c>
      <c r="F1280" s="99" t="s">
        <v>191</v>
      </c>
      <c r="G1280" s="99"/>
      <c r="H1280" s="96" t="s">
        <v>999</v>
      </c>
      <c r="I1280" s="106" t="s">
        <v>736</v>
      </c>
      <c r="J1280" s="93"/>
      <c r="K1280" s="99" t="s">
        <v>232</v>
      </c>
      <c r="L1280" s="93" t="s">
        <v>232</v>
      </c>
      <c r="M1280" s="200">
        <v>1847</v>
      </c>
      <c r="N1280" s="64" t="s">
        <v>385</v>
      </c>
      <c r="O1280" s="106">
        <v>4</v>
      </c>
      <c r="P1280" s="196">
        <v>0</v>
      </c>
      <c r="Q1280" s="106">
        <v>9</v>
      </c>
      <c r="R1280" s="107">
        <v>61</v>
      </c>
      <c r="S1280" s="108">
        <v>5401</v>
      </c>
      <c r="T1280" s="108">
        <v>5401</v>
      </c>
      <c r="U1280" s="108">
        <v>4063.2</v>
      </c>
      <c r="V1280" s="109">
        <v>1337.8</v>
      </c>
      <c r="W1280" s="206" t="s">
        <v>233</v>
      </c>
      <c r="X1280" s="206" t="s">
        <v>233</v>
      </c>
      <c r="Y1280" s="206" t="s">
        <v>233</v>
      </c>
      <c r="Z1280" s="206" t="s">
        <v>233</v>
      </c>
      <c r="AA1280" s="206" t="s">
        <v>233</v>
      </c>
      <c r="AB1280" s="206" t="s">
        <v>233</v>
      </c>
      <c r="AC1280" s="206" t="s">
        <v>240</v>
      </c>
      <c r="AD1280" s="206" t="s">
        <v>233</v>
      </c>
      <c r="AE1280" s="206" t="s">
        <v>240</v>
      </c>
      <c r="AF1280" s="96">
        <v>0</v>
      </c>
      <c r="AG1280" s="93">
        <v>0</v>
      </c>
      <c r="AH1280" s="93">
        <v>1</v>
      </c>
      <c r="AI1280" s="93">
        <v>0</v>
      </c>
      <c r="AJ1280" s="93">
        <v>0</v>
      </c>
      <c r="AK1280" s="93">
        <v>0</v>
      </c>
    </row>
    <row r="1281" spans="1:37" s="104" customFormat="1" outlineLevel="1">
      <c r="A1281" s="92">
        <v>1274</v>
      </c>
      <c r="B1281" s="93" t="s">
        <v>190</v>
      </c>
      <c r="C1281" s="93" t="s">
        <v>1488</v>
      </c>
      <c r="D1281" s="94" t="s">
        <v>1000</v>
      </c>
      <c r="E1281" s="105" t="s">
        <v>1001</v>
      </c>
      <c r="F1281" s="99" t="s">
        <v>191</v>
      </c>
      <c r="G1281" s="99"/>
      <c r="H1281" s="96" t="s">
        <v>1002</v>
      </c>
      <c r="I1281" s="106" t="s">
        <v>736</v>
      </c>
      <c r="J1281" s="93"/>
      <c r="K1281" s="99" t="s">
        <v>232</v>
      </c>
      <c r="L1281" s="93" t="s">
        <v>232</v>
      </c>
      <c r="M1281" s="200">
        <v>1863</v>
      </c>
      <c r="N1281" s="64" t="s">
        <v>385</v>
      </c>
      <c r="O1281" s="106">
        <v>4</v>
      </c>
      <c r="P1281" s="196">
        <v>0</v>
      </c>
      <c r="Q1281" s="106">
        <v>5</v>
      </c>
      <c r="R1281" s="107">
        <v>36</v>
      </c>
      <c r="S1281" s="108">
        <v>4736.8</v>
      </c>
      <c r="T1281" s="108">
        <v>4736.8</v>
      </c>
      <c r="U1281" s="108">
        <v>3750.2</v>
      </c>
      <c r="V1281" s="109">
        <v>986.6</v>
      </c>
      <c r="W1281" s="206" t="s">
        <v>233</v>
      </c>
      <c r="X1281" s="206" t="s">
        <v>233</v>
      </c>
      <c r="Y1281" s="206" t="s">
        <v>240</v>
      </c>
      <c r="Z1281" s="206" t="s">
        <v>233</v>
      </c>
      <c r="AA1281" s="206" t="s">
        <v>233</v>
      </c>
      <c r="AB1281" s="206" t="s">
        <v>233</v>
      </c>
      <c r="AC1281" s="206" t="s">
        <v>233</v>
      </c>
      <c r="AD1281" s="206" t="s">
        <v>233</v>
      </c>
      <c r="AE1281" s="206" t="s">
        <v>240</v>
      </c>
      <c r="AF1281" s="96">
        <v>0</v>
      </c>
      <c r="AG1281" s="93">
        <v>0</v>
      </c>
      <c r="AH1281" s="93">
        <v>0</v>
      </c>
      <c r="AI1281" s="93">
        <v>0</v>
      </c>
      <c r="AJ1281" s="93">
        <v>0</v>
      </c>
      <c r="AK1281" s="93">
        <v>0</v>
      </c>
    </row>
    <row r="1282" spans="1:37" s="104" customFormat="1" outlineLevel="1">
      <c r="A1282" s="92">
        <v>1275</v>
      </c>
      <c r="B1282" s="93" t="s">
        <v>190</v>
      </c>
      <c r="C1282" s="93" t="s">
        <v>1488</v>
      </c>
      <c r="D1282" s="94" t="s">
        <v>1003</v>
      </c>
      <c r="E1282" s="105" t="s">
        <v>1004</v>
      </c>
      <c r="F1282" s="99" t="s">
        <v>191</v>
      </c>
      <c r="G1282" s="99"/>
      <c r="H1282" s="96" t="s">
        <v>1005</v>
      </c>
      <c r="I1282" s="106" t="s">
        <v>736</v>
      </c>
      <c r="J1282" s="93"/>
      <c r="K1282" s="99" t="s">
        <v>232</v>
      </c>
      <c r="L1282" s="93" t="s">
        <v>232</v>
      </c>
      <c r="M1282" s="200">
        <v>1857</v>
      </c>
      <c r="N1282" s="64" t="s">
        <v>385</v>
      </c>
      <c r="O1282" s="106">
        <v>4</v>
      </c>
      <c r="P1282" s="196">
        <v>0</v>
      </c>
      <c r="Q1282" s="106">
        <v>16</v>
      </c>
      <c r="R1282" s="107">
        <v>73</v>
      </c>
      <c r="S1282" s="108">
        <v>12103.400000000001</v>
      </c>
      <c r="T1282" s="108">
        <v>12103.400000000001</v>
      </c>
      <c r="U1282" s="108">
        <v>9444.6</v>
      </c>
      <c r="V1282" s="109">
        <v>2658.8</v>
      </c>
      <c r="W1282" s="206" t="s">
        <v>233</v>
      </c>
      <c r="X1282" s="206" t="s">
        <v>233</v>
      </c>
      <c r="Y1282" s="206" t="s">
        <v>233</v>
      </c>
      <c r="Z1282" s="206" t="s">
        <v>233</v>
      </c>
      <c r="AA1282" s="206" t="s">
        <v>233</v>
      </c>
      <c r="AB1282" s="206" t="s">
        <v>233</v>
      </c>
      <c r="AC1282" s="206" t="s">
        <v>240</v>
      </c>
      <c r="AD1282" s="206" t="s">
        <v>233</v>
      </c>
      <c r="AE1282" s="206" t="s">
        <v>240</v>
      </c>
      <c r="AF1282" s="96">
        <v>0</v>
      </c>
      <c r="AG1282" s="93">
        <v>0</v>
      </c>
      <c r="AH1282" s="93">
        <v>2</v>
      </c>
      <c r="AI1282" s="93">
        <v>0</v>
      </c>
      <c r="AJ1282" s="93">
        <v>0</v>
      </c>
      <c r="AK1282" s="93">
        <v>0</v>
      </c>
    </row>
    <row r="1283" spans="1:37" s="104" customFormat="1" outlineLevel="1">
      <c r="A1283" s="92">
        <v>1276</v>
      </c>
      <c r="B1283" s="93" t="s">
        <v>190</v>
      </c>
      <c r="C1283" s="93" t="s">
        <v>1488</v>
      </c>
      <c r="D1283" s="94" t="s">
        <v>1003</v>
      </c>
      <c r="E1283" s="105" t="s">
        <v>1006</v>
      </c>
      <c r="F1283" s="99" t="s">
        <v>231</v>
      </c>
      <c r="G1283" s="99"/>
      <c r="H1283" s="96" t="s">
        <v>1007</v>
      </c>
      <c r="I1283" s="106" t="s">
        <v>736</v>
      </c>
      <c r="J1283" s="93"/>
      <c r="K1283" s="99" t="s">
        <v>232</v>
      </c>
      <c r="L1283" s="93" t="s">
        <v>232</v>
      </c>
      <c r="M1283" s="200">
        <v>1837</v>
      </c>
      <c r="N1283" s="64" t="s">
        <v>385</v>
      </c>
      <c r="O1283" s="106">
        <v>4</v>
      </c>
      <c r="P1283" s="196">
        <v>0</v>
      </c>
      <c r="Q1283" s="106">
        <v>7</v>
      </c>
      <c r="R1283" s="107">
        <v>48</v>
      </c>
      <c r="S1283" s="108">
        <v>6575.8</v>
      </c>
      <c r="T1283" s="108">
        <v>6575.8</v>
      </c>
      <c r="U1283" s="108">
        <v>5096.8</v>
      </c>
      <c r="V1283" s="109">
        <v>1479</v>
      </c>
      <c r="W1283" s="206" t="s">
        <v>233</v>
      </c>
      <c r="X1283" s="206" t="s">
        <v>233</v>
      </c>
      <c r="Y1283" s="206" t="s">
        <v>240</v>
      </c>
      <c r="Z1283" s="206" t="s">
        <v>233</v>
      </c>
      <c r="AA1283" s="206" t="s">
        <v>233</v>
      </c>
      <c r="AB1283" s="206" t="s">
        <v>233</v>
      </c>
      <c r="AC1283" s="206" t="s">
        <v>233</v>
      </c>
      <c r="AD1283" s="206" t="s">
        <v>233</v>
      </c>
      <c r="AE1283" s="206" t="s">
        <v>240</v>
      </c>
      <c r="AF1283" s="96">
        <v>0</v>
      </c>
      <c r="AG1283" s="93">
        <v>0</v>
      </c>
      <c r="AH1283" s="93">
        <v>1</v>
      </c>
      <c r="AI1283" s="93">
        <v>0</v>
      </c>
      <c r="AJ1283" s="93">
        <v>0</v>
      </c>
      <c r="AK1283" s="93">
        <v>0</v>
      </c>
    </row>
    <row r="1284" spans="1:37" s="104" customFormat="1" ht="15.75" customHeight="1" outlineLevel="1">
      <c r="A1284" s="92">
        <v>1277</v>
      </c>
      <c r="B1284" s="93" t="s">
        <v>190</v>
      </c>
      <c r="C1284" s="93" t="s">
        <v>1488</v>
      </c>
      <c r="D1284" s="94" t="s">
        <v>1008</v>
      </c>
      <c r="E1284" s="105">
        <v>92</v>
      </c>
      <c r="F1284" s="99" t="s">
        <v>191</v>
      </c>
      <c r="G1284" s="99"/>
      <c r="H1284" s="96" t="s">
        <v>1009</v>
      </c>
      <c r="I1284" s="106" t="s">
        <v>736</v>
      </c>
      <c r="J1284" s="93"/>
      <c r="K1284" s="99" t="s">
        <v>232</v>
      </c>
      <c r="L1284" s="93" t="s">
        <v>232</v>
      </c>
      <c r="M1284" s="200">
        <v>1865</v>
      </c>
      <c r="N1284" s="64" t="s">
        <v>385</v>
      </c>
      <c r="O1284" s="106">
        <v>4</v>
      </c>
      <c r="P1284" s="196">
        <v>0</v>
      </c>
      <c r="Q1284" s="106">
        <v>3</v>
      </c>
      <c r="R1284" s="107">
        <v>21</v>
      </c>
      <c r="S1284" s="108">
        <v>1482.7</v>
      </c>
      <c r="T1284" s="108">
        <v>1482.7</v>
      </c>
      <c r="U1284" s="108">
        <v>1482.7</v>
      </c>
      <c r="V1284" s="109">
        <v>0</v>
      </c>
      <c r="W1284" s="206" t="s">
        <v>233</v>
      </c>
      <c r="X1284" s="206" t="s">
        <v>233</v>
      </c>
      <c r="Y1284" s="206" t="s">
        <v>233</v>
      </c>
      <c r="Z1284" s="206" t="s">
        <v>233</v>
      </c>
      <c r="AA1284" s="206" t="s">
        <v>233</v>
      </c>
      <c r="AB1284" s="206" t="s">
        <v>233</v>
      </c>
      <c r="AC1284" s="206" t="s">
        <v>240</v>
      </c>
      <c r="AD1284" s="206" t="s">
        <v>233</v>
      </c>
      <c r="AE1284" s="206" t="s">
        <v>240</v>
      </c>
      <c r="AF1284" s="96">
        <v>0</v>
      </c>
      <c r="AG1284" s="93">
        <v>0</v>
      </c>
      <c r="AH1284" s="93">
        <v>1</v>
      </c>
      <c r="AI1284" s="93">
        <v>0</v>
      </c>
      <c r="AJ1284" s="93">
        <v>0</v>
      </c>
      <c r="AK1284" s="93">
        <v>0</v>
      </c>
    </row>
    <row r="1285" spans="1:37" s="104" customFormat="1" ht="15.75" customHeight="1" outlineLevel="1">
      <c r="A1285" s="92">
        <v>1278</v>
      </c>
      <c r="B1285" s="93" t="s">
        <v>190</v>
      </c>
      <c r="C1285" s="93" t="s">
        <v>1488</v>
      </c>
      <c r="D1285" s="94" t="s">
        <v>1008</v>
      </c>
      <c r="E1285" s="105">
        <v>92</v>
      </c>
      <c r="F1285" s="99" t="s">
        <v>231</v>
      </c>
      <c r="G1285" s="99"/>
      <c r="H1285" s="96" t="s">
        <v>1010</v>
      </c>
      <c r="I1285" s="106" t="s">
        <v>736</v>
      </c>
      <c r="J1285" s="93"/>
      <c r="K1285" s="99" t="s">
        <v>232</v>
      </c>
      <c r="L1285" s="93" t="s">
        <v>232</v>
      </c>
      <c r="M1285" s="200">
        <v>1868</v>
      </c>
      <c r="N1285" s="64" t="s">
        <v>385</v>
      </c>
      <c r="O1285" s="106">
        <v>4</v>
      </c>
      <c r="P1285" s="196">
        <v>0</v>
      </c>
      <c r="Q1285" s="106">
        <v>2</v>
      </c>
      <c r="R1285" s="107">
        <v>22</v>
      </c>
      <c r="S1285" s="108">
        <v>1709.6</v>
      </c>
      <c r="T1285" s="108">
        <v>1709.6</v>
      </c>
      <c r="U1285" s="108">
        <v>1709.6</v>
      </c>
      <c r="V1285" s="109">
        <v>0</v>
      </c>
      <c r="W1285" s="206" t="s">
        <v>233</v>
      </c>
      <c r="X1285" s="206" t="s">
        <v>233</v>
      </c>
      <c r="Y1285" s="206" t="s">
        <v>233</v>
      </c>
      <c r="Z1285" s="206" t="s">
        <v>233</v>
      </c>
      <c r="AA1285" s="206" t="s">
        <v>233</v>
      </c>
      <c r="AB1285" s="206" t="s">
        <v>233</v>
      </c>
      <c r="AC1285" s="206" t="s">
        <v>240</v>
      </c>
      <c r="AD1285" s="206" t="s">
        <v>233</v>
      </c>
      <c r="AE1285" s="206" t="s">
        <v>240</v>
      </c>
      <c r="AF1285" s="96">
        <v>0</v>
      </c>
      <c r="AG1285" s="93">
        <v>0</v>
      </c>
      <c r="AH1285" s="93">
        <v>0</v>
      </c>
      <c r="AI1285" s="93">
        <v>0</v>
      </c>
      <c r="AJ1285" s="93">
        <v>0</v>
      </c>
      <c r="AK1285" s="93">
        <v>0</v>
      </c>
    </row>
    <row r="1286" spans="1:37" s="104" customFormat="1" ht="15.75" customHeight="1" outlineLevel="1">
      <c r="A1286" s="92">
        <v>1279</v>
      </c>
      <c r="B1286" s="93" t="s">
        <v>190</v>
      </c>
      <c r="C1286" s="93" t="s">
        <v>1488</v>
      </c>
      <c r="D1286" s="94" t="s">
        <v>1008</v>
      </c>
      <c r="E1286" s="105">
        <v>92</v>
      </c>
      <c r="F1286" s="99" t="s">
        <v>260</v>
      </c>
      <c r="G1286" s="99"/>
      <c r="H1286" s="96" t="s">
        <v>1011</v>
      </c>
      <c r="I1286" s="106" t="s">
        <v>736</v>
      </c>
      <c r="J1286" s="93"/>
      <c r="K1286" s="99" t="s">
        <v>232</v>
      </c>
      <c r="L1286" s="93" t="s">
        <v>232</v>
      </c>
      <c r="M1286" s="200">
        <v>1868</v>
      </c>
      <c r="N1286" s="64" t="s">
        <v>385</v>
      </c>
      <c r="O1286" s="106">
        <v>4</v>
      </c>
      <c r="P1286" s="196">
        <v>0</v>
      </c>
      <c r="Q1286" s="106">
        <v>3</v>
      </c>
      <c r="R1286" s="107">
        <v>22</v>
      </c>
      <c r="S1286" s="108">
        <v>2131.1999999999998</v>
      </c>
      <c r="T1286" s="108">
        <v>2131.1999999999998</v>
      </c>
      <c r="U1286" s="108">
        <v>1401.6</v>
      </c>
      <c r="V1286" s="109">
        <v>729.6</v>
      </c>
      <c r="W1286" s="206" t="s">
        <v>233</v>
      </c>
      <c r="X1286" s="206" t="s">
        <v>233</v>
      </c>
      <c r="Y1286" s="206" t="s">
        <v>233</v>
      </c>
      <c r="Z1286" s="206" t="s">
        <v>233</v>
      </c>
      <c r="AA1286" s="206" t="s">
        <v>233</v>
      </c>
      <c r="AB1286" s="206" t="s">
        <v>233</v>
      </c>
      <c r="AC1286" s="206" t="s">
        <v>240</v>
      </c>
      <c r="AD1286" s="206" t="s">
        <v>233</v>
      </c>
      <c r="AE1286" s="206" t="s">
        <v>240</v>
      </c>
      <c r="AF1286" s="96">
        <v>0</v>
      </c>
      <c r="AG1286" s="93">
        <v>0</v>
      </c>
      <c r="AH1286" s="93">
        <v>0</v>
      </c>
      <c r="AI1286" s="93">
        <v>0</v>
      </c>
      <c r="AJ1286" s="93">
        <v>0</v>
      </c>
      <c r="AK1286" s="93">
        <v>0</v>
      </c>
    </row>
    <row r="1287" spans="1:37" s="104" customFormat="1" ht="15.75" customHeight="1" outlineLevel="1">
      <c r="A1287" s="92">
        <v>1280</v>
      </c>
      <c r="B1287" s="93" t="s">
        <v>190</v>
      </c>
      <c r="C1287" s="93" t="s">
        <v>1488</v>
      </c>
      <c r="D1287" s="94" t="s">
        <v>1012</v>
      </c>
      <c r="E1287" s="105" t="s">
        <v>1013</v>
      </c>
      <c r="F1287" s="99" t="s">
        <v>191</v>
      </c>
      <c r="G1287" s="99"/>
      <c r="H1287" s="96" t="s">
        <v>1014</v>
      </c>
      <c r="I1287" s="106" t="s">
        <v>736</v>
      </c>
      <c r="J1287" s="93"/>
      <c r="K1287" s="99" t="s">
        <v>232</v>
      </c>
      <c r="L1287" s="93" t="s">
        <v>232</v>
      </c>
      <c r="M1287" s="200">
        <v>1907</v>
      </c>
      <c r="N1287" s="64" t="s">
        <v>385</v>
      </c>
      <c r="O1287" s="106">
        <v>6</v>
      </c>
      <c r="P1287" s="196">
        <v>0</v>
      </c>
      <c r="Q1287" s="106">
        <v>6</v>
      </c>
      <c r="R1287" s="107">
        <v>57</v>
      </c>
      <c r="S1287" s="108">
        <v>6394.6</v>
      </c>
      <c r="T1287" s="108">
        <v>6394.6</v>
      </c>
      <c r="U1287" s="108">
        <v>4432.8</v>
      </c>
      <c r="V1287" s="109">
        <v>1961.8</v>
      </c>
      <c r="W1287" s="206" t="s">
        <v>233</v>
      </c>
      <c r="X1287" s="206" t="s">
        <v>233</v>
      </c>
      <c r="Y1287" s="206" t="s">
        <v>240</v>
      </c>
      <c r="Z1287" s="206" t="s">
        <v>233</v>
      </c>
      <c r="AA1287" s="206" t="s">
        <v>233</v>
      </c>
      <c r="AB1287" s="206" t="s">
        <v>233</v>
      </c>
      <c r="AC1287" s="206" t="s">
        <v>233</v>
      </c>
      <c r="AD1287" s="206" t="s">
        <v>233</v>
      </c>
      <c r="AE1287" s="206" t="s">
        <v>240</v>
      </c>
      <c r="AF1287" s="96">
        <v>3</v>
      </c>
      <c r="AG1287" s="93">
        <v>0</v>
      </c>
      <c r="AH1287" s="93">
        <v>2</v>
      </c>
      <c r="AI1287" s="93">
        <v>0</v>
      </c>
      <c r="AJ1287" s="93">
        <v>0</v>
      </c>
      <c r="AK1287" s="93">
        <v>0</v>
      </c>
    </row>
    <row r="1288" spans="1:37" s="104" customFormat="1" ht="15.75" customHeight="1" outlineLevel="1">
      <c r="A1288" s="92">
        <v>1281</v>
      </c>
      <c r="B1288" s="93" t="s">
        <v>190</v>
      </c>
      <c r="C1288" s="93" t="s">
        <v>1488</v>
      </c>
      <c r="D1288" s="94" t="s">
        <v>1012</v>
      </c>
      <c r="E1288" s="105" t="s">
        <v>1015</v>
      </c>
      <c r="F1288" s="99" t="s">
        <v>191</v>
      </c>
      <c r="G1288" s="99"/>
      <c r="H1288" s="96" t="s">
        <v>1016</v>
      </c>
      <c r="I1288" s="106" t="s">
        <v>736</v>
      </c>
      <c r="J1288" s="93"/>
      <c r="K1288" s="99" t="s">
        <v>232</v>
      </c>
      <c r="L1288" s="93" t="s">
        <v>232</v>
      </c>
      <c r="M1288" s="200">
        <v>1850</v>
      </c>
      <c r="N1288" s="64" t="s">
        <v>385</v>
      </c>
      <c r="O1288" s="106">
        <v>5</v>
      </c>
      <c r="P1288" s="196">
        <v>0</v>
      </c>
      <c r="Q1288" s="106">
        <v>11</v>
      </c>
      <c r="R1288" s="107">
        <v>62</v>
      </c>
      <c r="S1288" s="108">
        <v>9062.5</v>
      </c>
      <c r="T1288" s="108">
        <v>9062.5</v>
      </c>
      <c r="U1288" s="108">
        <v>5081</v>
      </c>
      <c r="V1288" s="109">
        <v>3981.5</v>
      </c>
      <c r="W1288" s="206" t="s">
        <v>233</v>
      </c>
      <c r="X1288" s="206" t="s">
        <v>233</v>
      </c>
      <c r="Y1288" s="206" t="s">
        <v>240</v>
      </c>
      <c r="Z1288" s="206" t="s">
        <v>233</v>
      </c>
      <c r="AA1288" s="206" t="s">
        <v>233</v>
      </c>
      <c r="AB1288" s="206" t="s">
        <v>233</v>
      </c>
      <c r="AC1288" s="206" t="s">
        <v>233</v>
      </c>
      <c r="AD1288" s="206" t="s">
        <v>233</v>
      </c>
      <c r="AE1288" s="206" t="s">
        <v>240</v>
      </c>
      <c r="AF1288" s="96">
        <v>2</v>
      </c>
      <c r="AG1288" s="93">
        <v>0</v>
      </c>
      <c r="AH1288" s="93">
        <v>1</v>
      </c>
      <c r="AI1288" s="93">
        <v>0</v>
      </c>
      <c r="AJ1288" s="93">
        <v>0</v>
      </c>
      <c r="AK1288" s="93">
        <v>0</v>
      </c>
    </row>
    <row r="1289" spans="1:37" s="104" customFormat="1" outlineLevel="1">
      <c r="A1289" s="92">
        <v>1282</v>
      </c>
      <c r="B1289" s="93" t="s">
        <v>190</v>
      </c>
      <c r="C1289" s="93" t="s">
        <v>1488</v>
      </c>
      <c r="D1289" s="94" t="s">
        <v>1012</v>
      </c>
      <c r="E1289" s="105">
        <v>4</v>
      </c>
      <c r="F1289" s="99" t="s">
        <v>191</v>
      </c>
      <c r="G1289" s="99"/>
      <c r="H1289" s="96" t="s">
        <v>1017</v>
      </c>
      <c r="I1289" s="106" t="s">
        <v>736</v>
      </c>
      <c r="J1289" s="93"/>
      <c r="K1289" s="99" t="s">
        <v>232</v>
      </c>
      <c r="L1289" s="93" t="s">
        <v>232</v>
      </c>
      <c r="M1289" s="200">
        <v>1910</v>
      </c>
      <c r="N1289" s="64" t="s">
        <v>385</v>
      </c>
      <c r="O1289" s="106">
        <v>6</v>
      </c>
      <c r="P1289" s="196">
        <v>0</v>
      </c>
      <c r="Q1289" s="106">
        <v>6</v>
      </c>
      <c r="R1289" s="107">
        <v>63</v>
      </c>
      <c r="S1289" s="108">
        <v>7800.3</v>
      </c>
      <c r="T1289" s="108">
        <v>7800.3</v>
      </c>
      <c r="U1289" s="108">
        <v>5824</v>
      </c>
      <c r="V1289" s="109">
        <v>1976.3</v>
      </c>
      <c r="W1289" s="206" t="s">
        <v>233</v>
      </c>
      <c r="X1289" s="206" t="s">
        <v>233</v>
      </c>
      <c r="Y1289" s="206" t="s">
        <v>233</v>
      </c>
      <c r="Z1289" s="206" t="s">
        <v>233</v>
      </c>
      <c r="AA1289" s="206" t="s">
        <v>233</v>
      </c>
      <c r="AB1289" s="206" t="s">
        <v>233</v>
      </c>
      <c r="AC1289" s="206" t="s">
        <v>240</v>
      </c>
      <c r="AD1289" s="206" t="s">
        <v>233</v>
      </c>
      <c r="AE1289" s="206" t="s">
        <v>240</v>
      </c>
      <c r="AF1289" s="96">
        <v>5</v>
      </c>
      <c r="AG1289" s="93">
        <v>0</v>
      </c>
      <c r="AH1289" s="93">
        <v>2</v>
      </c>
      <c r="AI1289" s="93">
        <v>0</v>
      </c>
      <c r="AJ1289" s="93">
        <v>0</v>
      </c>
      <c r="AK1289" s="93">
        <v>0</v>
      </c>
    </row>
    <row r="1290" spans="1:37" s="104" customFormat="1" outlineLevel="1">
      <c r="A1290" s="92">
        <v>1283</v>
      </c>
      <c r="B1290" s="93" t="s">
        <v>190</v>
      </c>
      <c r="C1290" s="93" t="s">
        <v>1488</v>
      </c>
      <c r="D1290" s="94" t="s">
        <v>1012</v>
      </c>
      <c r="E1290" s="105">
        <v>5</v>
      </c>
      <c r="F1290" s="99" t="s">
        <v>191</v>
      </c>
      <c r="G1290" s="99"/>
      <c r="H1290" s="96" t="s">
        <v>1018</v>
      </c>
      <c r="I1290" s="106" t="s">
        <v>736</v>
      </c>
      <c r="J1290" s="93"/>
      <c r="K1290" s="99" t="s">
        <v>232</v>
      </c>
      <c r="L1290" s="93" t="s">
        <v>232</v>
      </c>
      <c r="M1290" s="200">
        <v>1875</v>
      </c>
      <c r="N1290" s="64" t="s">
        <v>385</v>
      </c>
      <c r="O1290" s="106">
        <v>4</v>
      </c>
      <c r="P1290" s="196">
        <v>0</v>
      </c>
      <c r="Q1290" s="106">
        <v>1</v>
      </c>
      <c r="R1290" s="107">
        <v>13</v>
      </c>
      <c r="S1290" s="108">
        <v>1202.8</v>
      </c>
      <c r="T1290" s="108">
        <v>1202.8</v>
      </c>
      <c r="U1290" s="108">
        <v>951.8</v>
      </c>
      <c r="V1290" s="109">
        <v>251</v>
      </c>
      <c r="W1290" s="206" t="s">
        <v>233</v>
      </c>
      <c r="X1290" s="206" t="s">
        <v>233</v>
      </c>
      <c r="Y1290" s="206" t="s">
        <v>240</v>
      </c>
      <c r="Z1290" s="206" t="s">
        <v>233</v>
      </c>
      <c r="AA1290" s="206" t="s">
        <v>233</v>
      </c>
      <c r="AB1290" s="206" t="s">
        <v>233</v>
      </c>
      <c r="AC1290" s="206" t="s">
        <v>233</v>
      </c>
      <c r="AD1290" s="206" t="s">
        <v>233</v>
      </c>
      <c r="AE1290" s="206" t="s">
        <v>240</v>
      </c>
      <c r="AF1290" s="96">
        <v>0</v>
      </c>
      <c r="AG1290" s="93">
        <v>0</v>
      </c>
      <c r="AH1290" s="93">
        <v>1</v>
      </c>
      <c r="AI1290" s="93">
        <v>0</v>
      </c>
      <c r="AJ1290" s="93">
        <v>0</v>
      </c>
      <c r="AK1290" s="93">
        <v>0</v>
      </c>
    </row>
    <row r="1291" spans="1:37" s="104" customFormat="1" outlineLevel="1">
      <c r="A1291" s="92">
        <v>1284</v>
      </c>
      <c r="B1291" s="93" t="s">
        <v>190</v>
      </c>
      <c r="C1291" s="93" t="s">
        <v>1488</v>
      </c>
      <c r="D1291" s="94" t="s">
        <v>1012</v>
      </c>
      <c r="E1291" s="105">
        <v>5</v>
      </c>
      <c r="F1291" s="99" t="s">
        <v>231</v>
      </c>
      <c r="G1291" s="99"/>
      <c r="H1291" s="96" t="s">
        <v>1019</v>
      </c>
      <c r="I1291" s="106" t="s">
        <v>736</v>
      </c>
      <c r="J1291" s="93"/>
      <c r="K1291" s="99" t="s">
        <v>232</v>
      </c>
      <c r="L1291" s="93" t="s">
        <v>232</v>
      </c>
      <c r="M1291" s="200">
        <v>1875</v>
      </c>
      <c r="N1291" s="64" t="s">
        <v>385</v>
      </c>
      <c r="O1291" s="106">
        <v>4</v>
      </c>
      <c r="P1291" s="196">
        <v>0</v>
      </c>
      <c r="Q1291" s="106">
        <v>2</v>
      </c>
      <c r="R1291" s="107">
        <v>13</v>
      </c>
      <c r="S1291" s="108">
        <v>1121.2</v>
      </c>
      <c r="T1291" s="108">
        <v>1121.2</v>
      </c>
      <c r="U1291" s="108">
        <v>851</v>
      </c>
      <c r="V1291" s="109">
        <v>270.2</v>
      </c>
      <c r="W1291" s="206" t="s">
        <v>233</v>
      </c>
      <c r="X1291" s="206" t="s">
        <v>233</v>
      </c>
      <c r="Y1291" s="206" t="s">
        <v>240</v>
      </c>
      <c r="Z1291" s="206" t="s">
        <v>233</v>
      </c>
      <c r="AA1291" s="206" t="s">
        <v>233</v>
      </c>
      <c r="AB1291" s="206" t="s">
        <v>233</v>
      </c>
      <c r="AC1291" s="206" t="s">
        <v>233</v>
      </c>
      <c r="AD1291" s="206" t="s">
        <v>233</v>
      </c>
      <c r="AE1291" s="206" t="s">
        <v>240</v>
      </c>
      <c r="AF1291" s="96">
        <v>0</v>
      </c>
      <c r="AG1291" s="93">
        <v>0</v>
      </c>
      <c r="AH1291" s="93">
        <v>0</v>
      </c>
      <c r="AI1291" s="93">
        <v>0</v>
      </c>
      <c r="AJ1291" s="93">
        <v>0</v>
      </c>
      <c r="AK1291" s="93">
        <v>0</v>
      </c>
    </row>
    <row r="1292" spans="1:37" s="104" customFormat="1" outlineLevel="1">
      <c r="A1292" s="92">
        <v>1285</v>
      </c>
      <c r="B1292" s="93" t="s">
        <v>190</v>
      </c>
      <c r="C1292" s="93" t="s">
        <v>1488</v>
      </c>
      <c r="D1292" s="94" t="s">
        <v>1012</v>
      </c>
      <c r="E1292" s="105">
        <v>7</v>
      </c>
      <c r="F1292" s="99" t="s">
        <v>191</v>
      </c>
      <c r="G1292" s="99"/>
      <c r="H1292" s="96" t="s">
        <v>1020</v>
      </c>
      <c r="I1292" s="106" t="s">
        <v>736</v>
      </c>
      <c r="J1292" s="93" t="s">
        <v>1021</v>
      </c>
      <c r="K1292" s="99" t="s">
        <v>232</v>
      </c>
      <c r="L1292" s="93" t="s">
        <v>232</v>
      </c>
      <c r="M1292" s="200">
        <v>1837</v>
      </c>
      <c r="N1292" s="64" t="s">
        <v>385</v>
      </c>
      <c r="O1292" s="106">
        <v>6</v>
      </c>
      <c r="P1292" s="196">
        <v>0</v>
      </c>
      <c r="Q1292" s="106">
        <v>11</v>
      </c>
      <c r="R1292" s="107">
        <v>49</v>
      </c>
      <c r="S1292" s="108">
        <v>10214.5</v>
      </c>
      <c r="T1292" s="108">
        <v>10214.5</v>
      </c>
      <c r="U1292" s="108">
        <v>6792.6</v>
      </c>
      <c r="V1292" s="109">
        <v>3421.9</v>
      </c>
      <c r="W1292" s="206" t="s">
        <v>233</v>
      </c>
      <c r="X1292" s="206" t="s">
        <v>233</v>
      </c>
      <c r="Y1292" s="206" t="s">
        <v>240</v>
      </c>
      <c r="Z1292" s="206" t="s">
        <v>233</v>
      </c>
      <c r="AA1292" s="206" t="s">
        <v>233</v>
      </c>
      <c r="AB1292" s="206" t="s">
        <v>233</v>
      </c>
      <c r="AC1292" s="206" t="s">
        <v>233</v>
      </c>
      <c r="AD1292" s="206" t="s">
        <v>233</v>
      </c>
      <c r="AE1292" s="206" t="s">
        <v>240</v>
      </c>
      <c r="AF1292" s="96">
        <v>6</v>
      </c>
      <c r="AG1292" s="93">
        <v>0</v>
      </c>
      <c r="AH1292" s="93">
        <v>1</v>
      </c>
      <c r="AI1292" s="93">
        <v>0</v>
      </c>
      <c r="AJ1292" s="93">
        <v>0</v>
      </c>
      <c r="AK1292" s="93">
        <v>0</v>
      </c>
    </row>
    <row r="1293" spans="1:37" s="104" customFormat="1" outlineLevel="1">
      <c r="A1293" s="92">
        <v>1286</v>
      </c>
      <c r="B1293" s="93" t="s">
        <v>190</v>
      </c>
      <c r="C1293" s="93" t="s">
        <v>1488</v>
      </c>
      <c r="D1293" s="94" t="s">
        <v>1012</v>
      </c>
      <c r="E1293" s="105">
        <v>7</v>
      </c>
      <c r="F1293" s="99" t="s">
        <v>231</v>
      </c>
      <c r="G1293" s="99"/>
      <c r="H1293" s="96" t="s">
        <v>1022</v>
      </c>
      <c r="I1293" s="106" t="s">
        <v>736</v>
      </c>
      <c r="J1293" s="93" t="s">
        <v>1021</v>
      </c>
      <c r="K1293" s="99" t="s">
        <v>232</v>
      </c>
      <c r="L1293" s="93" t="s">
        <v>232</v>
      </c>
      <c r="M1293" s="200">
        <v>1838</v>
      </c>
      <c r="N1293" s="64" t="s">
        <v>385</v>
      </c>
      <c r="O1293" s="106">
        <v>5</v>
      </c>
      <c r="P1293" s="196">
        <v>0</v>
      </c>
      <c r="Q1293" s="106">
        <v>4</v>
      </c>
      <c r="R1293" s="107">
        <v>46</v>
      </c>
      <c r="S1293" s="108">
        <v>2783</v>
      </c>
      <c r="T1293" s="108">
        <v>2783</v>
      </c>
      <c r="U1293" s="108">
        <v>2286.3000000000002</v>
      </c>
      <c r="V1293" s="109">
        <v>496.7</v>
      </c>
      <c r="W1293" s="206" t="s">
        <v>233</v>
      </c>
      <c r="X1293" s="206" t="s">
        <v>233</v>
      </c>
      <c r="Y1293" s="206" t="s">
        <v>240</v>
      </c>
      <c r="Z1293" s="206" t="s">
        <v>233</v>
      </c>
      <c r="AA1293" s="206" t="s">
        <v>233</v>
      </c>
      <c r="AB1293" s="206" t="s">
        <v>233</v>
      </c>
      <c r="AC1293" s="206" t="s">
        <v>233</v>
      </c>
      <c r="AD1293" s="206" t="s">
        <v>233</v>
      </c>
      <c r="AE1293" s="206" t="s">
        <v>240</v>
      </c>
      <c r="AF1293" s="96">
        <v>2</v>
      </c>
      <c r="AG1293" s="93">
        <v>0</v>
      </c>
      <c r="AH1293" s="93">
        <v>0</v>
      </c>
      <c r="AI1293" s="93">
        <v>0</v>
      </c>
      <c r="AJ1293" s="93">
        <v>0</v>
      </c>
      <c r="AK1293" s="93">
        <v>0</v>
      </c>
    </row>
    <row r="1294" spans="1:37" s="104" customFormat="1" outlineLevel="1">
      <c r="A1294" s="92">
        <v>1287</v>
      </c>
      <c r="B1294" s="93" t="s">
        <v>190</v>
      </c>
      <c r="C1294" s="93" t="s">
        <v>1488</v>
      </c>
      <c r="D1294" s="94" t="s">
        <v>1012</v>
      </c>
      <c r="E1294" s="105">
        <v>7</v>
      </c>
      <c r="F1294" s="99" t="s">
        <v>260</v>
      </c>
      <c r="G1294" s="99"/>
      <c r="H1294" s="96" t="s">
        <v>1023</v>
      </c>
      <c r="I1294" s="106" t="s">
        <v>736</v>
      </c>
      <c r="J1294" s="93" t="s">
        <v>1021</v>
      </c>
      <c r="K1294" s="99" t="s">
        <v>232</v>
      </c>
      <c r="L1294" s="93" t="s">
        <v>232</v>
      </c>
      <c r="M1294" s="200">
        <v>1846</v>
      </c>
      <c r="N1294" s="64" t="s">
        <v>385</v>
      </c>
      <c r="O1294" s="106">
        <v>3</v>
      </c>
      <c r="P1294" s="196">
        <v>0</v>
      </c>
      <c r="Q1294" s="106">
        <v>1</v>
      </c>
      <c r="R1294" s="107">
        <v>46</v>
      </c>
      <c r="S1294" s="108">
        <v>989.5</v>
      </c>
      <c r="T1294" s="108">
        <v>989.5</v>
      </c>
      <c r="U1294" s="108">
        <v>942.7</v>
      </c>
      <c r="V1294" s="109">
        <v>46.8</v>
      </c>
      <c r="W1294" s="206" t="s">
        <v>233</v>
      </c>
      <c r="X1294" s="206" t="s">
        <v>233</v>
      </c>
      <c r="Y1294" s="206" t="s">
        <v>240</v>
      </c>
      <c r="Z1294" s="206" t="s">
        <v>233</v>
      </c>
      <c r="AA1294" s="206" t="s">
        <v>233</v>
      </c>
      <c r="AB1294" s="206" t="s">
        <v>233</v>
      </c>
      <c r="AC1294" s="206" t="s">
        <v>233</v>
      </c>
      <c r="AD1294" s="206" t="s">
        <v>233</v>
      </c>
      <c r="AE1294" s="206" t="s">
        <v>240</v>
      </c>
      <c r="AF1294" s="96">
        <v>0</v>
      </c>
      <c r="AG1294" s="93">
        <v>0</v>
      </c>
      <c r="AH1294" s="93">
        <v>0</v>
      </c>
      <c r="AI1294" s="93">
        <v>0</v>
      </c>
      <c r="AJ1294" s="93">
        <v>0</v>
      </c>
      <c r="AK1294" s="93">
        <v>0</v>
      </c>
    </row>
    <row r="1295" spans="1:37" s="104" customFormat="1" outlineLevel="1">
      <c r="A1295" s="92">
        <v>1288</v>
      </c>
      <c r="B1295" s="93" t="s">
        <v>190</v>
      </c>
      <c r="C1295" s="93" t="s">
        <v>1488</v>
      </c>
      <c r="D1295" s="94" t="s">
        <v>1024</v>
      </c>
      <c r="E1295" s="105">
        <v>4</v>
      </c>
      <c r="F1295" s="99" t="s">
        <v>191</v>
      </c>
      <c r="G1295" s="99"/>
      <c r="H1295" s="96" t="s">
        <v>1025</v>
      </c>
      <c r="I1295" s="106" t="s">
        <v>736</v>
      </c>
      <c r="J1295" s="93"/>
      <c r="K1295" s="99" t="s">
        <v>232</v>
      </c>
      <c r="L1295" s="93" t="s">
        <v>232</v>
      </c>
      <c r="M1295" s="200">
        <v>1917</v>
      </c>
      <c r="N1295" s="64" t="s">
        <v>385</v>
      </c>
      <c r="O1295" s="106">
        <v>5</v>
      </c>
      <c r="P1295" s="196">
        <v>0</v>
      </c>
      <c r="Q1295" s="106">
        <v>4</v>
      </c>
      <c r="R1295" s="107">
        <v>20</v>
      </c>
      <c r="S1295" s="108">
        <v>1912.1</v>
      </c>
      <c r="T1295" s="108">
        <v>1912.1</v>
      </c>
      <c r="U1295" s="108">
        <v>1458.7</v>
      </c>
      <c r="V1295" s="109">
        <v>453.4</v>
      </c>
      <c r="W1295" s="206" t="s">
        <v>233</v>
      </c>
      <c r="X1295" s="206" t="s">
        <v>233</v>
      </c>
      <c r="Y1295" s="206" t="s">
        <v>233</v>
      </c>
      <c r="Z1295" s="206" t="s">
        <v>233</v>
      </c>
      <c r="AA1295" s="206" t="s">
        <v>233</v>
      </c>
      <c r="AB1295" s="206" t="s">
        <v>233</v>
      </c>
      <c r="AC1295" s="206" t="s">
        <v>240</v>
      </c>
      <c r="AD1295" s="206" t="s">
        <v>233</v>
      </c>
      <c r="AE1295" s="206" t="s">
        <v>240</v>
      </c>
      <c r="AF1295" s="96">
        <v>0</v>
      </c>
      <c r="AG1295" s="93">
        <v>0</v>
      </c>
      <c r="AH1295" s="93">
        <v>1</v>
      </c>
      <c r="AI1295" s="93">
        <v>0</v>
      </c>
      <c r="AJ1295" s="93">
        <v>0</v>
      </c>
      <c r="AK1295" s="93">
        <v>0</v>
      </c>
    </row>
    <row r="1296" spans="1:37" s="104" customFormat="1" outlineLevel="1">
      <c r="A1296" s="92">
        <v>1289</v>
      </c>
      <c r="B1296" s="93" t="s">
        <v>190</v>
      </c>
      <c r="C1296" s="93" t="s">
        <v>1488</v>
      </c>
      <c r="D1296" s="94" t="s">
        <v>1026</v>
      </c>
      <c r="E1296" s="105">
        <v>4</v>
      </c>
      <c r="F1296" s="99" t="s">
        <v>191</v>
      </c>
      <c r="G1296" s="99"/>
      <c r="H1296" s="96" t="s">
        <v>1027</v>
      </c>
      <c r="I1296" s="106" t="s">
        <v>736</v>
      </c>
      <c r="J1296" s="93"/>
      <c r="K1296" s="99" t="s">
        <v>232</v>
      </c>
      <c r="L1296" s="93" t="s">
        <v>232</v>
      </c>
      <c r="M1296" s="200">
        <v>1917</v>
      </c>
      <c r="N1296" s="64" t="s">
        <v>385</v>
      </c>
      <c r="O1296" s="106">
        <v>5</v>
      </c>
      <c r="P1296" s="196">
        <v>0</v>
      </c>
      <c r="Q1296" s="106">
        <v>6</v>
      </c>
      <c r="R1296" s="107">
        <v>31</v>
      </c>
      <c r="S1296" s="108">
        <v>4067.1000000000004</v>
      </c>
      <c r="T1296" s="108">
        <v>4067.1000000000004</v>
      </c>
      <c r="U1296" s="108">
        <v>3120.4</v>
      </c>
      <c r="V1296" s="109">
        <v>946.7</v>
      </c>
      <c r="W1296" s="206" t="s">
        <v>233</v>
      </c>
      <c r="X1296" s="206" t="s">
        <v>233</v>
      </c>
      <c r="Y1296" s="206" t="s">
        <v>233</v>
      </c>
      <c r="Z1296" s="206" t="s">
        <v>233</v>
      </c>
      <c r="AA1296" s="206" t="s">
        <v>233</v>
      </c>
      <c r="AB1296" s="206" t="s">
        <v>233</v>
      </c>
      <c r="AC1296" s="206" t="s">
        <v>240</v>
      </c>
      <c r="AD1296" s="206" t="s">
        <v>233</v>
      </c>
      <c r="AE1296" s="206" t="s">
        <v>240</v>
      </c>
      <c r="AF1296" s="96">
        <v>0</v>
      </c>
      <c r="AG1296" s="93">
        <v>0</v>
      </c>
      <c r="AH1296" s="93">
        <v>1</v>
      </c>
      <c r="AI1296" s="93">
        <v>0</v>
      </c>
      <c r="AJ1296" s="93">
        <v>0</v>
      </c>
      <c r="AK1296" s="93">
        <v>0</v>
      </c>
    </row>
    <row r="1297" spans="1:37" s="104" customFormat="1" outlineLevel="1">
      <c r="A1297" s="92">
        <v>1290</v>
      </c>
      <c r="B1297" s="93" t="s">
        <v>190</v>
      </c>
      <c r="C1297" s="93" t="s">
        <v>1488</v>
      </c>
      <c r="D1297" s="94" t="s">
        <v>1028</v>
      </c>
      <c r="E1297" s="105" t="s">
        <v>976</v>
      </c>
      <c r="F1297" s="99" t="s">
        <v>191</v>
      </c>
      <c r="G1297" s="99"/>
      <c r="H1297" s="96" t="s">
        <v>1029</v>
      </c>
      <c r="I1297" s="106" t="s">
        <v>736</v>
      </c>
      <c r="J1297" s="93"/>
      <c r="K1297" s="99" t="s">
        <v>232</v>
      </c>
      <c r="L1297" s="93" t="s">
        <v>232</v>
      </c>
      <c r="M1297" s="200">
        <v>1917</v>
      </c>
      <c r="N1297" s="64" t="s">
        <v>385</v>
      </c>
      <c r="O1297" s="106">
        <v>4</v>
      </c>
      <c r="P1297" s="196">
        <v>0</v>
      </c>
      <c r="Q1297" s="106">
        <v>4</v>
      </c>
      <c r="R1297" s="107">
        <v>24</v>
      </c>
      <c r="S1297" s="108">
        <v>2353.8000000000002</v>
      </c>
      <c r="T1297" s="108">
        <v>2353.8000000000002</v>
      </c>
      <c r="U1297" s="108">
        <v>1889.2</v>
      </c>
      <c r="V1297" s="109">
        <v>464.6</v>
      </c>
      <c r="W1297" s="206" t="s">
        <v>233</v>
      </c>
      <c r="X1297" s="206" t="s">
        <v>233</v>
      </c>
      <c r="Y1297" s="206" t="s">
        <v>233</v>
      </c>
      <c r="Z1297" s="206" t="s">
        <v>233</v>
      </c>
      <c r="AA1297" s="206" t="s">
        <v>233</v>
      </c>
      <c r="AB1297" s="206" t="s">
        <v>233</v>
      </c>
      <c r="AC1297" s="206" t="s">
        <v>240</v>
      </c>
      <c r="AD1297" s="206" t="s">
        <v>233</v>
      </c>
      <c r="AE1297" s="206" t="s">
        <v>240</v>
      </c>
      <c r="AF1297" s="96">
        <v>0</v>
      </c>
      <c r="AG1297" s="93">
        <v>0</v>
      </c>
      <c r="AH1297" s="93">
        <v>1</v>
      </c>
      <c r="AI1297" s="93">
        <v>0</v>
      </c>
      <c r="AJ1297" s="93">
        <v>0</v>
      </c>
      <c r="AK1297" s="93">
        <v>0</v>
      </c>
    </row>
    <row r="1298" spans="1:37" s="104" customFormat="1" outlineLevel="1">
      <c r="A1298" s="92">
        <v>1291</v>
      </c>
      <c r="B1298" s="93" t="s">
        <v>190</v>
      </c>
      <c r="C1298" s="93" t="s">
        <v>1488</v>
      </c>
      <c r="D1298" s="94" t="s">
        <v>1030</v>
      </c>
      <c r="E1298" s="105">
        <v>10</v>
      </c>
      <c r="F1298" s="99" t="s">
        <v>191</v>
      </c>
      <c r="G1298" s="99"/>
      <c r="H1298" s="96" t="s">
        <v>1031</v>
      </c>
      <c r="I1298" s="106" t="s">
        <v>736</v>
      </c>
      <c r="J1298" s="93"/>
      <c r="K1298" s="99" t="s">
        <v>232</v>
      </c>
      <c r="L1298" s="93" t="s">
        <v>232</v>
      </c>
      <c r="M1298" s="200">
        <v>1883</v>
      </c>
      <c r="N1298" s="64" t="s">
        <v>385</v>
      </c>
      <c r="O1298" s="106">
        <v>5</v>
      </c>
      <c r="P1298" s="196">
        <v>0</v>
      </c>
      <c r="Q1298" s="106">
        <v>2</v>
      </c>
      <c r="R1298" s="107">
        <v>17</v>
      </c>
      <c r="S1298" s="108">
        <v>1899.6</v>
      </c>
      <c r="T1298" s="108">
        <v>1899.6</v>
      </c>
      <c r="U1298" s="108">
        <v>1388.6</v>
      </c>
      <c r="V1298" s="109">
        <v>511</v>
      </c>
      <c r="W1298" s="206" t="s">
        <v>233</v>
      </c>
      <c r="X1298" s="206" t="s">
        <v>233</v>
      </c>
      <c r="Y1298" s="206" t="s">
        <v>233</v>
      </c>
      <c r="Z1298" s="206" t="s">
        <v>233</v>
      </c>
      <c r="AA1298" s="206" t="s">
        <v>233</v>
      </c>
      <c r="AB1298" s="206" t="s">
        <v>233</v>
      </c>
      <c r="AC1298" s="206" t="s">
        <v>240</v>
      </c>
      <c r="AD1298" s="206" t="s">
        <v>233</v>
      </c>
      <c r="AE1298" s="206" t="s">
        <v>240</v>
      </c>
      <c r="AF1298" s="96">
        <v>0</v>
      </c>
      <c r="AG1298" s="93">
        <v>0</v>
      </c>
      <c r="AH1298" s="93">
        <v>1</v>
      </c>
      <c r="AI1298" s="93">
        <v>0</v>
      </c>
      <c r="AJ1298" s="93">
        <v>0</v>
      </c>
      <c r="AK1298" s="93">
        <v>0</v>
      </c>
    </row>
    <row r="1299" spans="1:37" s="104" customFormat="1" ht="15.75" customHeight="1" outlineLevel="1">
      <c r="A1299" s="92">
        <v>1292</v>
      </c>
      <c r="B1299" s="93" t="s">
        <v>190</v>
      </c>
      <c r="C1299" s="93" t="s">
        <v>1488</v>
      </c>
      <c r="D1299" s="94" t="s">
        <v>1030</v>
      </c>
      <c r="E1299" s="105">
        <v>12</v>
      </c>
      <c r="F1299" s="99" t="s">
        <v>191</v>
      </c>
      <c r="G1299" s="99"/>
      <c r="H1299" s="96" t="s">
        <v>1032</v>
      </c>
      <c r="I1299" s="106" t="s">
        <v>736</v>
      </c>
      <c r="J1299" s="93"/>
      <c r="K1299" s="99" t="s">
        <v>232</v>
      </c>
      <c r="L1299" s="93" t="s">
        <v>232</v>
      </c>
      <c r="M1299" s="200">
        <v>1917</v>
      </c>
      <c r="N1299" s="64" t="s">
        <v>385</v>
      </c>
      <c r="O1299" s="106">
        <v>5</v>
      </c>
      <c r="P1299" s="196">
        <v>0</v>
      </c>
      <c r="Q1299" s="106">
        <v>3</v>
      </c>
      <c r="R1299" s="107">
        <v>20</v>
      </c>
      <c r="S1299" s="108">
        <v>2149.8000000000002</v>
      </c>
      <c r="T1299" s="108">
        <v>2149.8000000000002</v>
      </c>
      <c r="U1299" s="108">
        <v>1547.3</v>
      </c>
      <c r="V1299" s="109">
        <v>602.5</v>
      </c>
      <c r="W1299" s="206" t="s">
        <v>233</v>
      </c>
      <c r="X1299" s="206" t="s">
        <v>233</v>
      </c>
      <c r="Y1299" s="206" t="s">
        <v>233</v>
      </c>
      <c r="Z1299" s="206" t="s">
        <v>233</v>
      </c>
      <c r="AA1299" s="206" t="s">
        <v>233</v>
      </c>
      <c r="AB1299" s="206" t="s">
        <v>233</v>
      </c>
      <c r="AC1299" s="206" t="s">
        <v>240</v>
      </c>
      <c r="AD1299" s="206" t="s">
        <v>233</v>
      </c>
      <c r="AE1299" s="206" t="s">
        <v>240</v>
      </c>
      <c r="AF1299" s="96">
        <v>0</v>
      </c>
      <c r="AG1299" s="93">
        <v>0</v>
      </c>
      <c r="AH1299" s="93">
        <v>1</v>
      </c>
      <c r="AI1299" s="93">
        <v>0</v>
      </c>
      <c r="AJ1299" s="93">
        <v>0</v>
      </c>
      <c r="AK1299" s="93">
        <v>0</v>
      </c>
    </row>
    <row r="1300" spans="1:37" s="104" customFormat="1" ht="15.75" customHeight="1" outlineLevel="1">
      <c r="A1300" s="92">
        <v>1293</v>
      </c>
      <c r="B1300" s="93" t="s">
        <v>190</v>
      </c>
      <c r="C1300" s="93" t="s">
        <v>1488</v>
      </c>
      <c r="D1300" s="94" t="s">
        <v>1030</v>
      </c>
      <c r="E1300" s="105">
        <v>13</v>
      </c>
      <c r="F1300" s="99" t="s">
        <v>191</v>
      </c>
      <c r="G1300" s="99"/>
      <c r="H1300" s="96" t="s">
        <v>1033</v>
      </c>
      <c r="I1300" s="106" t="s">
        <v>792</v>
      </c>
      <c r="J1300" s="93" t="s">
        <v>793</v>
      </c>
      <c r="K1300" s="178" t="s">
        <v>1486</v>
      </c>
      <c r="L1300" s="93" t="s">
        <v>232</v>
      </c>
      <c r="M1300" s="200">
        <v>1917</v>
      </c>
      <c r="N1300" s="64" t="s">
        <v>385</v>
      </c>
      <c r="O1300" s="106">
        <v>5</v>
      </c>
      <c r="P1300" s="196">
        <v>0</v>
      </c>
      <c r="Q1300" s="106">
        <v>3</v>
      </c>
      <c r="R1300" s="107"/>
      <c r="S1300" s="108"/>
      <c r="T1300" s="108"/>
      <c r="U1300" s="108"/>
      <c r="V1300" s="109"/>
      <c r="W1300" s="206"/>
      <c r="X1300" s="206"/>
      <c r="Y1300" s="206" t="s">
        <v>240</v>
      </c>
      <c r="Z1300" s="206"/>
      <c r="AA1300" s="206" t="s">
        <v>233</v>
      </c>
      <c r="AB1300" s="206" t="s">
        <v>233</v>
      </c>
      <c r="AC1300" s="206" t="s">
        <v>233</v>
      </c>
      <c r="AD1300" s="206" t="s">
        <v>233</v>
      </c>
      <c r="AE1300" s="206" t="s">
        <v>240</v>
      </c>
      <c r="AF1300" s="96">
        <v>0</v>
      </c>
      <c r="AG1300" s="93">
        <v>0</v>
      </c>
      <c r="AH1300" s="93">
        <v>0</v>
      </c>
      <c r="AI1300" s="93">
        <v>0</v>
      </c>
      <c r="AJ1300" s="93">
        <v>0</v>
      </c>
      <c r="AK1300" s="93">
        <v>0</v>
      </c>
    </row>
    <row r="1301" spans="1:37" s="104" customFormat="1" ht="15.75" customHeight="1" outlineLevel="1">
      <c r="A1301" s="92">
        <v>1294</v>
      </c>
      <c r="B1301" s="93" t="s">
        <v>190</v>
      </c>
      <c r="C1301" s="93" t="s">
        <v>1488</v>
      </c>
      <c r="D1301" s="94" t="s">
        <v>1030</v>
      </c>
      <c r="E1301" s="105">
        <v>14</v>
      </c>
      <c r="F1301" s="99" t="s">
        <v>191</v>
      </c>
      <c r="G1301" s="99"/>
      <c r="H1301" s="96" t="s">
        <v>1034</v>
      </c>
      <c r="I1301" s="106" t="s">
        <v>736</v>
      </c>
      <c r="J1301" s="93"/>
      <c r="K1301" s="99" t="s">
        <v>232</v>
      </c>
      <c r="L1301" s="93" t="s">
        <v>232</v>
      </c>
      <c r="M1301" s="200">
        <v>1878</v>
      </c>
      <c r="N1301" s="64" t="s">
        <v>385</v>
      </c>
      <c r="O1301" s="106">
        <v>5</v>
      </c>
      <c r="P1301" s="196">
        <v>0</v>
      </c>
      <c r="Q1301" s="106">
        <v>5</v>
      </c>
      <c r="R1301" s="107">
        <v>26</v>
      </c>
      <c r="S1301" s="108">
        <v>2740.6</v>
      </c>
      <c r="T1301" s="108">
        <v>2740.6</v>
      </c>
      <c r="U1301" s="108">
        <v>2229.9</v>
      </c>
      <c r="V1301" s="109">
        <v>510.7</v>
      </c>
      <c r="W1301" s="206" t="s">
        <v>233</v>
      </c>
      <c r="X1301" s="206" t="s">
        <v>233</v>
      </c>
      <c r="Y1301" s="206" t="s">
        <v>233</v>
      </c>
      <c r="Z1301" s="206" t="s">
        <v>233</v>
      </c>
      <c r="AA1301" s="206" t="s">
        <v>233</v>
      </c>
      <c r="AB1301" s="206" t="s">
        <v>233</v>
      </c>
      <c r="AC1301" s="206" t="s">
        <v>240</v>
      </c>
      <c r="AD1301" s="206" t="s">
        <v>233</v>
      </c>
      <c r="AE1301" s="206" t="s">
        <v>240</v>
      </c>
      <c r="AF1301" s="96">
        <v>0</v>
      </c>
      <c r="AG1301" s="93">
        <v>0</v>
      </c>
      <c r="AH1301" s="93">
        <v>1</v>
      </c>
      <c r="AI1301" s="93">
        <v>0</v>
      </c>
      <c r="AJ1301" s="93">
        <v>0</v>
      </c>
      <c r="AK1301" s="93">
        <v>0</v>
      </c>
    </row>
    <row r="1302" spans="1:37" s="104" customFormat="1" ht="15.75" customHeight="1" outlineLevel="1">
      <c r="A1302" s="92">
        <v>1295</v>
      </c>
      <c r="B1302" s="93" t="s">
        <v>190</v>
      </c>
      <c r="C1302" s="93" t="s">
        <v>1488</v>
      </c>
      <c r="D1302" s="94" t="s">
        <v>1030</v>
      </c>
      <c r="E1302" s="105">
        <v>15</v>
      </c>
      <c r="F1302" s="99" t="s">
        <v>191</v>
      </c>
      <c r="G1302" s="99"/>
      <c r="H1302" s="96" t="s">
        <v>1035</v>
      </c>
      <c r="I1302" s="106" t="s">
        <v>736</v>
      </c>
      <c r="J1302" s="93"/>
      <c r="K1302" s="99" t="s">
        <v>232</v>
      </c>
      <c r="L1302" s="93" t="s">
        <v>232</v>
      </c>
      <c r="M1302" s="200">
        <v>1837</v>
      </c>
      <c r="N1302" s="64" t="s">
        <v>385</v>
      </c>
      <c r="O1302" s="106">
        <v>3</v>
      </c>
      <c r="P1302" s="196">
        <v>0</v>
      </c>
      <c r="Q1302" s="106">
        <v>4</v>
      </c>
      <c r="R1302" s="107">
        <v>32</v>
      </c>
      <c r="S1302" s="108">
        <v>2783.1000000000004</v>
      </c>
      <c r="T1302" s="108">
        <v>2783.1000000000004</v>
      </c>
      <c r="U1302" s="108">
        <v>2154.9</v>
      </c>
      <c r="V1302" s="109">
        <v>628.20000000000005</v>
      </c>
      <c r="W1302" s="206" t="s">
        <v>233</v>
      </c>
      <c r="X1302" s="206" t="s">
        <v>233</v>
      </c>
      <c r="Y1302" s="206" t="s">
        <v>240</v>
      </c>
      <c r="Z1302" s="206" t="s">
        <v>233</v>
      </c>
      <c r="AA1302" s="206" t="s">
        <v>233</v>
      </c>
      <c r="AB1302" s="206" t="s">
        <v>233</v>
      </c>
      <c r="AC1302" s="206" t="s">
        <v>233</v>
      </c>
      <c r="AD1302" s="206" t="s">
        <v>233</v>
      </c>
      <c r="AE1302" s="206" t="s">
        <v>240</v>
      </c>
      <c r="AF1302" s="96">
        <v>0</v>
      </c>
      <c r="AG1302" s="93">
        <v>0</v>
      </c>
      <c r="AH1302" s="93">
        <v>1</v>
      </c>
      <c r="AI1302" s="93">
        <v>0</v>
      </c>
      <c r="AJ1302" s="93">
        <v>0</v>
      </c>
      <c r="AK1302" s="93">
        <v>0</v>
      </c>
    </row>
    <row r="1303" spans="1:37" s="104" customFormat="1" outlineLevel="1">
      <c r="A1303" s="92">
        <v>1296</v>
      </c>
      <c r="B1303" s="93" t="s">
        <v>190</v>
      </c>
      <c r="C1303" s="93" t="s">
        <v>1488</v>
      </c>
      <c r="D1303" s="94" t="s">
        <v>1030</v>
      </c>
      <c r="E1303" s="105">
        <v>16</v>
      </c>
      <c r="F1303" s="99" t="s">
        <v>191</v>
      </c>
      <c r="G1303" s="99"/>
      <c r="H1303" s="96" t="s">
        <v>1036</v>
      </c>
      <c r="I1303" s="106" t="s">
        <v>736</v>
      </c>
      <c r="J1303" s="93"/>
      <c r="K1303" s="99" t="s">
        <v>232</v>
      </c>
      <c r="L1303" s="93" t="s">
        <v>232</v>
      </c>
      <c r="M1303" s="200">
        <v>1822</v>
      </c>
      <c r="N1303" s="64" t="s">
        <v>385</v>
      </c>
      <c r="O1303" s="106">
        <v>3</v>
      </c>
      <c r="P1303" s="196">
        <v>0</v>
      </c>
      <c r="Q1303" s="106">
        <v>1</v>
      </c>
      <c r="R1303" s="107">
        <v>22</v>
      </c>
      <c r="S1303" s="108">
        <v>1821.6999999999998</v>
      </c>
      <c r="T1303" s="108">
        <v>1821.6999999999998</v>
      </c>
      <c r="U1303" s="108">
        <v>1660.1</v>
      </c>
      <c r="V1303" s="109">
        <v>161.6</v>
      </c>
      <c r="W1303" s="206" t="s">
        <v>233</v>
      </c>
      <c r="X1303" s="206" t="s">
        <v>233</v>
      </c>
      <c r="Y1303" s="206" t="s">
        <v>233</v>
      </c>
      <c r="Z1303" s="206" t="s">
        <v>233</v>
      </c>
      <c r="AA1303" s="206" t="s">
        <v>233</v>
      </c>
      <c r="AB1303" s="206" t="s">
        <v>233</v>
      </c>
      <c r="AC1303" s="206" t="s">
        <v>240</v>
      </c>
      <c r="AD1303" s="206" t="s">
        <v>233</v>
      </c>
      <c r="AE1303" s="206" t="s">
        <v>240</v>
      </c>
      <c r="AF1303" s="96">
        <v>0</v>
      </c>
      <c r="AG1303" s="93">
        <v>0</v>
      </c>
      <c r="AH1303" s="93">
        <v>1</v>
      </c>
      <c r="AI1303" s="93">
        <v>0</v>
      </c>
      <c r="AJ1303" s="93">
        <v>0</v>
      </c>
      <c r="AK1303" s="93">
        <v>0</v>
      </c>
    </row>
    <row r="1304" spans="1:37" s="104" customFormat="1" outlineLevel="1">
      <c r="A1304" s="92">
        <v>1297</v>
      </c>
      <c r="B1304" s="93" t="s">
        <v>190</v>
      </c>
      <c r="C1304" s="93" t="s">
        <v>1488</v>
      </c>
      <c r="D1304" s="94" t="s">
        <v>1030</v>
      </c>
      <c r="E1304" s="105">
        <v>17</v>
      </c>
      <c r="F1304" s="99" t="s">
        <v>191</v>
      </c>
      <c r="G1304" s="99"/>
      <c r="H1304" s="96" t="s">
        <v>1037</v>
      </c>
      <c r="I1304" s="106" t="s">
        <v>736</v>
      </c>
      <c r="J1304" s="93"/>
      <c r="K1304" s="99" t="s">
        <v>232</v>
      </c>
      <c r="L1304" s="93" t="s">
        <v>232</v>
      </c>
      <c r="M1304" s="200">
        <v>1826</v>
      </c>
      <c r="N1304" s="64" t="s">
        <v>385</v>
      </c>
      <c r="O1304" s="106">
        <v>5</v>
      </c>
      <c r="P1304" s="196">
        <v>0</v>
      </c>
      <c r="Q1304" s="106">
        <v>2</v>
      </c>
      <c r="R1304" s="107">
        <v>24</v>
      </c>
      <c r="S1304" s="108">
        <v>2676.6000000000004</v>
      </c>
      <c r="T1304" s="108">
        <v>2676.6000000000004</v>
      </c>
      <c r="U1304" s="108">
        <v>1392.9</v>
      </c>
      <c r="V1304" s="109">
        <v>1283.7</v>
      </c>
      <c r="W1304" s="206" t="s">
        <v>233</v>
      </c>
      <c r="X1304" s="206" t="s">
        <v>233</v>
      </c>
      <c r="Y1304" s="206" t="s">
        <v>233</v>
      </c>
      <c r="Z1304" s="206" t="s">
        <v>233</v>
      </c>
      <c r="AA1304" s="206" t="s">
        <v>233</v>
      </c>
      <c r="AB1304" s="206" t="s">
        <v>233</v>
      </c>
      <c r="AC1304" s="206" t="s">
        <v>240</v>
      </c>
      <c r="AD1304" s="206" t="s">
        <v>233</v>
      </c>
      <c r="AE1304" s="206" t="s">
        <v>240</v>
      </c>
      <c r="AF1304" s="96">
        <v>0</v>
      </c>
      <c r="AG1304" s="93">
        <v>0</v>
      </c>
      <c r="AH1304" s="93">
        <v>1</v>
      </c>
      <c r="AI1304" s="93">
        <v>0</v>
      </c>
      <c r="AJ1304" s="93">
        <v>0</v>
      </c>
      <c r="AK1304" s="93">
        <v>0</v>
      </c>
    </row>
    <row r="1305" spans="1:37" s="104" customFormat="1" outlineLevel="1">
      <c r="A1305" s="92">
        <v>1298</v>
      </c>
      <c r="B1305" s="93" t="s">
        <v>190</v>
      </c>
      <c r="C1305" s="93" t="s">
        <v>1488</v>
      </c>
      <c r="D1305" s="94" t="s">
        <v>1030</v>
      </c>
      <c r="E1305" s="105">
        <v>19</v>
      </c>
      <c r="F1305" s="99" t="s">
        <v>191</v>
      </c>
      <c r="G1305" s="99"/>
      <c r="H1305" s="96" t="s">
        <v>1038</v>
      </c>
      <c r="I1305" s="106" t="s">
        <v>736</v>
      </c>
      <c r="J1305" s="93"/>
      <c r="K1305" s="99" t="s">
        <v>232</v>
      </c>
      <c r="L1305" s="93" t="s">
        <v>232</v>
      </c>
      <c r="M1305" s="200">
        <v>1828</v>
      </c>
      <c r="N1305" s="64" t="s">
        <v>385</v>
      </c>
      <c r="O1305" s="106">
        <v>4</v>
      </c>
      <c r="P1305" s="196">
        <v>0</v>
      </c>
      <c r="Q1305" s="106">
        <v>4</v>
      </c>
      <c r="R1305" s="107">
        <v>27</v>
      </c>
      <c r="S1305" s="108">
        <v>2463.5</v>
      </c>
      <c r="T1305" s="108">
        <v>2463.5</v>
      </c>
      <c r="U1305" s="108">
        <v>1904.9</v>
      </c>
      <c r="V1305" s="110">
        <v>558.6</v>
      </c>
      <c r="W1305" s="206" t="s">
        <v>233</v>
      </c>
      <c r="X1305" s="206" t="s">
        <v>233</v>
      </c>
      <c r="Y1305" s="206" t="s">
        <v>233</v>
      </c>
      <c r="Z1305" s="206" t="s">
        <v>233</v>
      </c>
      <c r="AA1305" s="206" t="s">
        <v>233</v>
      </c>
      <c r="AB1305" s="206" t="s">
        <v>233</v>
      </c>
      <c r="AC1305" s="206" t="s">
        <v>240</v>
      </c>
      <c r="AD1305" s="206" t="s">
        <v>233</v>
      </c>
      <c r="AE1305" s="206" t="s">
        <v>240</v>
      </c>
      <c r="AF1305" s="96">
        <v>0</v>
      </c>
      <c r="AG1305" s="93">
        <v>0</v>
      </c>
      <c r="AH1305" s="93">
        <v>1</v>
      </c>
      <c r="AI1305" s="93">
        <v>0</v>
      </c>
      <c r="AJ1305" s="93">
        <v>0</v>
      </c>
      <c r="AK1305" s="93">
        <v>0</v>
      </c>
    </row>
    <row r="1306" spans="1:37" s="104" customFormat="1" outlineLevel="1">
      <c r="A1306" s="92">
        <v>1299</v>
      </c>
      <c r="B1306" s="93" t="s">
        <v>190</v>
      </c>
      <c r="C1306" s="93" t="s">
        <v>1488</v>
      </c>
      <c r="D1306" s="94" t="s">
        <v>1030</v>
      </c>
      <c r="E1306" s="105">
        <v>21</v>
      </c>
      <c r="F1306" s="99" t="s">
        <v>191</v>
      </c>
      <c r="G1306" s="99"/>
      <c r="H1306" s="96" t="s">
        <v>1039</v>
      </c>
      <c r="I1306" s="106" t="s">
        <v>736</v>
      </c>
      <c r="J1306" s="93"/>
      <c r="K1306" s="99" t="s">
        <v>232</v>
      </c>
      <c r="L1306" s="93" t="s">
        <v>232</v>
      </c>
      <c r="M1306" s="200">
        <v>1856</v>
      </c>
      <c r="N1306" s="64" t="s">
        <v>385</v>
      </c>
      <c r="O1306" s="106">
        <v>3</v>
      </c>
      <c r="P1306" s="196">
        <v>0</v>
      </c>
      <c r="Q1306" s="106">
        <v>2</v>
      </c>
      <c r="R1306" s="107">
        <v>11</v>
      </c>
      <c r="S1306" s="108">
        <v>1558.1999999999998</v>
      </c>
      <c r="T1306" s="108">
        <v>1558.1999999999998</v>
      </c>
      <c r="U1306" s="108">
        <v>1210.3</v>
      </c>
      <c r="V1306" s="110">
        <v>347.9</v>
      </c>
      <c r="W1306" s="206" t="s">
        <v>233</v>
      </c>
      <c r="X1306" s="206" t="s">
        <v>233</v>
      </c>
      <c r="Y1306" s="206" t="s">
        <v>233</v>
      </c>
      <c r="Z1306" s="206" t="s">
        <v>233</v>
      </c>
      <c r="AA1306" s="206" t="s">
        <v>233</v>
      </c>
      <c r="AB1306" s="206" t="s">
        <v>233</v>
      </c>
      <c r="AC1306" s="206" t="s">
        <v>240</v>
      </c>
      <c r="AD1306" s="206" t="s">
        <v>233</v>
      </c>
      <c r="AE1306" s="206" t="s">
        <v>240</v>
      </c>
      <c r="AF1306" s="96">
        <v>0</v>
      </c>
      <c r="AG1306" s="93">
        <v>0</v>
      </c>
      <c r="AH1306" s="93">
        <v>1</v>
      </c>
      <c r="AI1306" s="93">
        <v>0</v>
      </c>
      <c r="AJ1306" s="93">
        <v>0</v>
      </c>
      <c r="AK1306" s="93">
        <v>0</v>
      </c>
    </row>
    <row r="1307" spans="1:37" s="104" customFormat="1" outlineLevel="1">
      <c r="A1307" s="92">
        <v>1300</v>
      </c>
      <c r="B1307" s="93" t="s">
        <v>190</v>
      </c>
      <c r="C1307" s="93" t="s">
        <v>1488</v>
      </c>
      <c r="D1307" s="94" t="s">
        <v>1030</v>
      </c>
      <c r="E1307" s="105">
        <v>21</v>
      </c>
      <c r="F1307" s="99" t="s">
        <v>231</v>
      </c>
      <c r="G1307" s="99"/>
      <c r="H1307" s="96" t="s">
        <v>1040</v>
      </c>
      <c r="I1307" s="106" t="s">
        <v>736</v>
      </c>
      <c r="J1307" s="93"/>
      <c r="K1307" s="99" t="s">
        <v>232</v>
      </c>
      <c r="L1307" s="93" t="s">
        <v>232</v>
      </c>
      <c r="M1307" s="200">
        <v>1856</v>
      </c>
      <c r="N1307" s="64" t="s">
        <v>385</v>
      </c>
      <c r="O1307" s="106">
        <v>4</v>
      </c>
      <c r="P1307" s="196">
        <v>0</v>
      </c>
      <c r="Q1307" s="106">
        <v>1</v>
      </c>
      <c r="R1307" s="107">
        <v>11</v>
      </c>
      <c r="S1307" s="108">
        <v>677.59999999999991</v>
      </c>
      <c r="T1307" s="108">
        <v>677.59999999999991</v>
      </c>
      <c r="U1307" s="108">
        <v>631.29999999999995</v>
      </c>
      <c r="V1307" s="110">
        <v>46.3</v>
      </c>
      <c r="W1307" s="206" t="s">
        <v>233</v>
      </c>
      <c r="X1307" s="206" t="s">
        <v>233</v>
      </c>
      <c r="Y1307" s="206" t="s">
        <v>233</v>
      </c>
      <c r="Z1307" s="206" t="s">
        <v>233</v>
      </c>
      <c r="AA1307" s="206" t="s">
        <v>233</v>
      </c>
      <c r="AB1307" s="206" t="s">
        <v>233</v>
      </c>
      <c r="AC1307" s="206" t="s">
        <v>240</v>
      </c>
      <c r="AD1307" s="206" t="s">
        <v>233</v>
      </c>
      <c r="AE1307" s="206" t="s">
        <v>240</v>
      </c>
      <c r="AF1307" s="96">
        <v>0</v>
      </c>
      <c r="AG1307" s="93">
        <v>0</v>
      </c>
      <c r="AH1307" s="93">
        <v>0</v>
      </c>
      <c r="AI1307" s="93">
        <v>0</v>
      </c>
      <c r="AJ1307" s="93">
        <v>0</v>
      </c>
      <c r="AK1307" s="93">
        <v>0</v>
      </c>
    </row>
    <row r="1308" spans="1:37" s="104" customFormat="1" ht="15.75" customHeight="1" outlineLevel="1">
      <c r="A1308" s="92">
        <v>1301</v>
      </c>
      <c r="B1308" s="93" t="s">
        <v>190</v>
      </c>
      <c r="C1308" s="93" t="s">
        <v>1488</v>
      </c>
      <c r="D1308" s="94" t="s">
        <v>1030</v>
      </c>
      <c r="E1308" s="105">
        <v>21</v>
      </c>
      <c r="F1308" s="99" t="s">
        <v>260</v>
      </c>
      <c r="G1308" s="99"/>
      <c r="H1308" s="96" t="s">
        <v>1041</v>
      </c>
      <c r="I1308" s="106" t="s">
        <v>736</v>
      </c>
      <c r="J1308" s="93"/>
      <c r="K1308" s="99" t="s">
        <v>232</v>
      </c>
      <c r="L1308" s="93" t="s">
        <v>232</v>
      </c>
      <c r="M1308" s="200">
        <v>1857</v>
      </c>
      <c r="N1308" s="64" t="s">
        <v>385</v>
      </c>
      <c r="O1308" s="106">
        <v>4</v>
      </c>
      <c r="P1308" s="196">
        <v>0</v>
      </c>
      <c r="Q1308" s="106">
        <v>1</v>
      </c>
      <c r="R1308" s="107">
        <v>9</v>
      </c>
      <c r="S1308" s="108">
        <v>967.90000000000009</v>
      </c>
      <c r="T1308" s="108">
        <v>967.90000000000009</v>
      </c>
      <c r="U1308" s="108">
        <v>791.1</v>
      </c>
      <c r="V1308" s="110">
        <v>176.8</v>
      </c>
      <c r="W1308" s="206" t="s">
        <v>233</v>
      </c>
      <c r="X1308" s="206" t="s">
        <v>233</v>
      </c>
      <c r="Y1308" s="206" t="s">
        <v>233</v>
      </c>
      <c r="Z1308" s="206" t="s">
        <v>233</v>
      </c>
      <c r="AA1308" s="206" t="s">
        <v>233</v>
      </c>
      <c r="AB1308" s="206" t="s">
        <v>233</v>
      </c>
      <c r="AC1308" s="206" t="s">
        <v>240</v>
      </c>
      <c r="AD1308" s="206" t="s">
        <v>233</v>
      </c>
      <c r="AE1308" s="206" t="s">
        <v>240</v>
      </c>
      <c r="AF1308" s="96">
        <v>0</v>
      </c>
      <c r="AG1308" s="93">
        <v>0</v>
      </c>
      <c r="AH1308" s="93">
        <v>0</v>
      </c>
      <c r="AI1308" s="93">
        <v>0</v>
      </c>
      <c r="AJ1308" s="93">
        <v>0</v>
      </c>
      <c r="AK1308" s="93">
        <v>0</v>
      </c>
    </row>
    <row r="1309" spans="1:37" s="104" customFormat="1" ht="15.75" customHeight="1" outlineLevel="1">
      <c r="A1309" s="92">
        <v>1302</v>
      </c>
      <c r="B1309" s="93" t="s">
        <v>190</v>
      </c>
      <c r="C1309" s="93" t="s">
        <v>1488</v>
      </c>
      <c r="D1309" s="94" t="s">
        <v>1030</v>
      </c>
      <c r="E1309" s="105">
        <v>21</v>
      </c>
      <c r="F1309" s="99" t="s">
        <v>261</v>
      </c>
      <c r="G1309" s="99"/>
      <c r="H1309" s="96" t="s">
        <v>1042</v>
      </c>
      <c r="I1309" s="106" t="s">
        <v>736</v>
      </c>
      <c r="J1309" s="93"/>
      <c r="K1309" s="99" t="s">
        <v>232</v>
      </c>
      <c r="L1309" s="93" t="s">
        <v>232</v>
      </c>
      <c r="M1309" s="200">
        <v>1857</v>
      </c>
      <c r="N1309" s="64" t="s">
        <v>385</v>
      </c>
      <c r="O1309" s="106">
        <v>3</v>
      </c>
      <c r="P1309" s="196">
        <v>0</v>
      </c>
      <c r="Q1309" s="106">
        <v>1</v>
      </c>
      <c r="R1309" s="107">
        <v>9</v>
      </c>
      <c r="S1309" s="108">
        <v>360.9</v>
      </c>
      <c r="T1309" s="108">
        <v>360.9</v>
      </c>
      <c r="U1309" s="108">
        <v>360.9</v>
      </c>
      <c r="V1309" s="109">
        <v>0</v>
      </c>
      <c r="W1309" s="206" t="s">
        <v>233</v>
      </c>
      <c r="X1309" s="206" t="s">
        <v>233</v>
      </c>
      <c r="Y1309" s="206" t="s">
        <v>233</v>
      </c>
      <c r="Z1309" s="206" t="s">
        <v>233</v>
      </c>
      <c r="AA1309" s="206" t="s">
        <v>233</v>
      </c>
      <c r="AB1309" s="206" t="s">
        <v>233</v>
      </c>
      <c r="AC1309" s="206" t="s">
        <v>240</v>
      </c>
      <c r="AD1309" s="206" t="s">
        <v>233</v>
      </c>
      <c r="AE1309" s="206" t="s">
        <v>240</v>
      </c>
      <c r="AF1309" s="96">
        <v>0</v>
      </c>
      <c r="AG1309" s="93">
        <v>0</v>
      </c>
      <c r="AH1309" s="93">
        <v>0</v>
      </c>
      <c r="AI1309" s="93">
        <v>0</v>
      </c>
      <c r="AJ1309" s="93">
        <v>0</v>
      </c>
      <c r="AK1309" s="93">
        <v>0</v>
      </c>
    </row>
    <row r="1310" spans="1:37" s="104" customFormat="1" ht="15.75" customHeight="1" outlineLevel="1">
      <c r="A1310" s="92">
        <v>1303</v>
      </c>
      <c r="B1310" s="93" t="s">
        <v>190</v>
      </c>
      <c r="C1310" s="93" t="s">
        <v>1488</v>
      </c>
      <c r="D1310" s="94" t="s">
        <v>1030</v>
      </c>
      <c r="E1310" s="105">
        <v>3</v>
      </c>
      <c r="F1310" s="99" t="s">
        <v>191</v>
      </c>
      <c r="G1310" s="99"/>
      <c r="H1310" s="96" t="s">
        <v>1043</v>
      </c>
      <c r="I1310" s="106" t="s">
        <v>736</v>
      </c>
      <c r="J1310" s="93"/>
      <c r="K1310" s="99" t="s">
        <v>232</v>
      </c>
      <c r="L1310" s="93" t="s">
        <v>232</v>
      </c>
      <c r="M1310" s="200">
        <v>1862</v>
      </c>
      <c r="N1310" s="64" t="s">
        <v>385</v>
      </c>
      <c r="O1310" s="106">
        <v>4</v>
      </c>
      <c r="P1310" s="196">
        <v>0</v>
      </c>
      <c r="Q1310" s="106">
        <v>4</v>
      </c>
      <c r="R1310" s="107">
        <v>17</v>
      </c>
      <c r="S1310" s="108">
        <v>1943.1</v>
      </c>
      <c r="T1310" s="108">
        <v>1943.1</v>
      </c>
      <c r="U1310" s="108">
        <v>1513.3</v>
      </c>
      <c r="V1310" s="109">
        <v>429.8</v>
      </c>
      <c r="W1310" s="206" t="s">
        <v>233</v>
      </c>
      <c r="X1310" s="206" t="s">
        <v>233</v>
      </c>
      <c r="Y1310" s="206" t="s">
        <v>233</v>
      </c>
      <c r="Z1310" s="206" t="s">
        <v>233</v>
      </c>
      <c r="AA1310" s="206" t="s">
        <v>233</v>
      </c>
      <c r="AB1310" s="206" t="s">
        <v>233</v>
      </c>
      <c r="AC1310" s="206" t="s">
        <v>240</v>
      </c>
      <c r="AD1310" s="206" t="s">
        <v>233</v>
      </c>
      <c r="AE1310" s="206" t="s">
        <v>240</v>
      </c>
      <c r="AF1310" s="96">
        <v>0</v>
      </c>
      <c r="AG1310" s="93">
        <v>0</v>
      </c>
      <c r="AH1310" s="93">
        <v>1</v>
      </c>
      <c r="AI1310" s="93">
        <v>0</v>
      </c>
      <c r="AJ1310" s="93">
        <v>0</v>
      </c>
      <c r="AK1310" s="93">
        <v>0</v>
      </c>
    </row>
    <row r="1311" spans="1:37" s="104" customFormat="1" ht="15.75" customHeight="1" outlineLevel="1">
      <c r="A1311" s="92">
        <v>1304</v>
      </c>
      <c r="B1311" s="93" t="s">
        <v>190</v>
      </c>
      <c r="C1311" s="93" t="s">
        <v>1488</v>
      </c>
      <c r="D1311" s="94" t="s">
        <v>1030</v>
      </c>
      <c r="E1311" s="105">
        <v>4</v>
      </c>
      <c r="F1311" s="99" t="s">
        <v>191</v>
      </c>
      <c r="G1311" s="99"/>
      <c r="H1311" s="96" t="s">
        <v>1044</v>
      </c>
      <c r="I1311" s="106" t="s">
        <v>736</v>
      </c>
      <c r="J1311" s="93"/>
      <c r="K1311" s="99" t="s">
        <v>232</v>
      </c>
      <c r="L1311" s="93" t="s">
        <v>232</v>
      </c>
      <c r="M1311" s="200">
        <v>1852</v>
      </c>
      <c r="N1311" s="64" t="s">
        <v>385</v>
      </c>
      <c r="O1311" s="106">
        <v>4</v>
      </c>
      <c r="P1311" s="196">
        <v>0</v>
      </c>
      <c r="Q1311" s="106">
        <v>1</v>
      </c>
      <c r="R1311" s="107">
        <v>12</v>
      </c>
      <c r="S1311" s="108">
        <v>979</v>
      </c>
      <c r="T1311" s="108">
        <v>979</v>
      </c>
      <c r="U1311" s="108">
        <v>882</v>
      </c>
      <c r="V1311" s="109">
        <v>97</v>
      </c>
      <c r="W1311" s="206" t="s">
        <v>233</v>
      </c>
      <c r="X1311" s="206" t="s">
        <v>233</v>
      </c>
      <c r="Y1311" s="206" t="s">
        <v>233</v>
      </c>
      <c r="Z1311" s="206" t="s">
        <v>233</v>
      </c>
      <c r="AA1311" s="206" t="s">
        <v>233</v>
      </c>
      <c r="AB1311" s="206" t="s">
        <v>233</v>
      </c>
      <c r="AC1311" s="206" t="s">
        <v>240</v>
      </c>
      <c r="AD1311" s="206" t="s">
        <v>233</v>
      </c>
      <c r="AE1311" s="206" t="s">
        <v>240</v>
      </c>
      <c r="AF1311" s="96">
        <v>0</v>
      </c>
      <c r="AG1311" s="93">
        <v>0</v>
      </c>
      <c r="AH1311" s="93">
        <v>1</v>
      </c>
      <c r="AI1311" s="93">
        <v>0</v>
      </c>
      <c r="AJ1311" s="93">
        <v>0</v>
      </c>
      <c r="AK1311" s="93">
        <v>0</v>
      </c>
    </row>
    <row r="1312" spans="1:37" s="104" customFormat="1" outlineLevel="1">
      <c r="A1312" s="92">
        <v>1305</v>
      </c>
      <c r="B1312" s="93" t="s">
        <v>190</v>
      </c>
      <c r="C1312" s="93" t="s">
        <v>1488</v>
      </c>
      <c r="D1312" s="94" t="s">
        <v>1030</v>
      </c>
      <c r="E1312" s="105">
        <v>5</v>
      </c>
      <c r="F1312" s="99" t="s">
        <v>231</v>
      </c>
      <c r="G1312" s="99"/>
      <c r="H1312" s="96" t="s">
        <v>1045</v>
      </c>
      <c r="I1312" s="106" t="s">
        <v>736</v>
      </c>
      <c r="J1312" s="4"/>
      <c r="K1312" s="99" t="s">
        <v>232</v>
      </c>
      <c r="L1312" s="93" t="s">
        <v>232</v>
      </c>
      <c r="M1312" s="200">
        <v>1845</v>
      </c>
      <c r="N1312" s="64" t="s">
        <v>385</v>
      </c>
      <c r="O1312" s="106">
        <v>3</v>
      </c>
      <c r="P1312" s="196">
        <v>0</v>
      </c>
      <c r="Q1312" s="106">
        <v>1</v>
      </c>
      <c r="R1312" s="204">
        <v>26</v>
      </c>
      <c r="S1312" s="108">
        <v>123</v>
      </c>
      <c r="T1312" s="108">
        <v>123</v>
      </c>
      <c r="U1312" s="108">
        <v>0</v>
      </c>
      <c r="V1312" s="109">
        <v>123</v>
      </c>
      <c r="W1312" s="206" t="s">
        <v>233</v>
      </c>
      <c r="X1312" s="206" t="s">
        <v>233</v>
      </c>
      <c r="Y1312" s="206" t="s">
        <v>233</v>
      </c>
      <c r="Z1312" s="206" t="s">
        <v>233</v>
      </c>
      <c r="AA1312" s="206" t="s">
        <v>233</v>
      </c>
      <c r="AB1312" s="206" t="s">
        <v>233</v>
      </c>
      <c r="AC1312" s="206" t="s">
        <v>240</v>
      </c>
      <c r="AD1312" s="206" t="s">
        <v>233</v>
      </c>
      <c r="AE1312" s="206" t="s">
        <v>240</v>
      </c>
      <c r="AF1312" s="96">
        <v>0</v>
      </c>
      <c r="AG1312" s="93">
        <v>0</v>
      </c>
      <c r="AH1312" s="93">
        <v>1</v>
      </c>
      <c r="AI1312" s="93">
        <v>0</v>
      </c>
      <c r="AJ1312" s="93">
        <v>0</v>
      </c>
      <c r="AK1312" s="93">
        <v>0</v>
      </c>
    </row>
    <row r="1313" spans="1:37" s="104" customFormat="1" ht="15.75" customHeight="1" outlineLevel="1">
      <c r="A1313" s="92">
        <v>1306</v>
      </c>
      <c r="B1313" s="93" t="s">
        <v>190</v>
      </c>
      <c r="C1313" s="93" t="s">
        <v>1488</v>
      </c>
      <c r="D1313" s="94" t="s">
        <v>1030</v>
      </c>
      <c r="E1313" s="105">
        <v>6</v>
      </c>
      <c r="F1313" s="99" t="s">
        <v>191</v>
      </c>
      <c r="G1313" s="99"/>
      <c r="H1313" s="96" t="s">
        <v>1046</v>
      </c>
      <c r="I1313" s="106" t="s">
        <v>736</v>
      </c>
      <c r="J1313" s="93"/>
      <c r="K1313" s="99" t="s">
        <v>232</v>
      </c>
      <c r="L1313" s="93" t="s">
        <v>232</v>
      </c>
      <c r="M1313" s="200">
        <v>1830</v>
      </c>
      <c r="N1313" s="64" t="s">
        <v>385</v>
      </c>
      <c r="O1313" s="106">
        <v>5</v>
      </c>
      <c r="P1313" s="196">
        <v>0</v>
      </c>
      <c r="Q1313" s="106">
        <v>8</v>
      </c>
      <c r="R1313" s="107">
        <v>44</v>
      </c>
      <c r="S1313" s="108">
        <v>3666.5</v>
      </c>
      <c r="T1313" s="108">
        <v>3666.5</v>
      </c>
      <c r="U1313" s="108">
        <v>2962.5</v>
      </c>
      <c r="V1313" s="109">
        <v>704</v>
      </c>
      <c r="W1313" s="206" t="s">
        <v>233</v>
      </c>
      <c r="X1313" s="206" t="s">
        <v>233</v>
      </c>
      <c r="Y1313" s="206" t="s">
        <v>233</v>
      </c>
      <c r="Z1313" s="206" t="s">
        <v>233</v>
      </c>
      <c r="AA1313" s="206" t="s">
        <v>233</v>
      </c>
      <c r="AB1313" s="206" t="s">
        <v>233</v>
      </c>
      <c r="AC1313" s="206" t="s">
        <v>240</v>
      </c>
      <c r="AD1313" s="206" t="s">
        <v>233</v>
      </c>
      <c r="AE1313" s="206" t="s">
        <v>240</v>
      </c>
      <c r="AF1313" s="96">
        <v>0</v>
      </c>
      <c r="AG1313" s="93">
        <v>0</v>
      </c>
      <c r="AH1313" s="93">
        <v>1</v>
      </c>
      <c r="AI1313" s="93">
        <v>0</v>
      </c>
      <c r="AJ1313" s="93">
        <v>0</v>
      </c>
      <c r="AK1313" s="93">
        <v>0</v>
      </c>
    </row>
    <row r="1314" spans="1:37" s="104" customFormat="1" ht="15.75" customHeight="1" outlineLevel="1">
      <c r="A1314" s="92">
        <v>1307</v>
      </c>
      <c r="B1314" s="93" t="s">
        <v>190</v>
      </c>
      <c r="C1314" s="93" t="s">
        <v>1488</v>
      </c>
      <c r="D1314" s="94" t="s">
        <v>1030</v>
      </c>
      <c r="E1314" s="105">
        <v>8</v>
      </c>
      <c r="F1314" s="99" t="s">
        <v>191</v>
      </c>
      <c r="G1314" s="99"/>
      <c r="H1314" s="96" t="s">
        <v>1047</v>
      </c>
      <c r="I1314" s="106" t="s">
        <v>736</v>
      </c>
      <c r="J1314" s="93"/>
      <c r="K1314" s="99" t="s">
        <v>232</v>
      </c>
      <c r="L1314" s="93" t="s">
        <v>232</v>
      </c>
      <c r="M1314" s="200">
        <v>1841</v>
      </c>
      <c r="N1314" s="64" t="s">
        <v>385</v>
      </c>
      <c r="O1314" s="106">
        <v>3</v>
      </c>
      <c r="P1314" s="196">
        <v>0</v>
      </c>
      <c r="Q1314" s="106">
        <v>9</v>
      </c>
      <c r="R1314" s="107">
        <v>35</v>
      </c>
      <c r="S1314" s="108">
        <v>4647.6000000000004</v>
      </c>
      <c r="T1314" s="108">
        <v>4647.6000000000004</v>
      </c>
      <c r="U1314" s="108">
        <v>3465.3</v>
      </c>
      <c r="V1314" s="109">
        <v>1182.3</v>
      </c>
      <c r="W1314" s="206" t="s">
        <v>233</v>
      </c>
      <c r="X1314" s="206" t="s">
        <v>233</v>
      </c>
      <c r="Y1314" s="206" t="s">
        <v>233</v>
      </c>
      <c r="Z1314" s="206" t="s">
        <v>233</v>
      </c>
      <c r="AA1314" s="206" t="s">
        <v>233</v>
      </c>
      <c r="AB1314" s="206" t="s">
        <v>233</v>
      </c>
      <c r="AC1314" s="206" t="s">
        <v>240</v>
      </c>
      <c r="AD1314" s="206" t="s">
        <v>233</v>
      </c>
      <c r="AE1314" s="206" t="s">
        <v>240</v>
      </c>
      <c r="AF1314" s="96">
        <v>0</v>
      </c>
      <c r="AG1314" s="93">
        <v>0</v>
      </c>
      <c r="AH1314" s="93">
        <v>1</v>
      </c>
      <c r="AI1314" s="93">
        <v>0</v>
      </c>
      <c r="AJ1314" s="93">
        <v>0</v>
      </c>
      <c r="AK1314" s="93">
        <v>0</v>
      </c>
    </row>
    <row r="1315" spans="1:37" s="104" customFormat="1" ht="15.75" customHeight="1" outlineLevel="1">
      <c r="A1315" s="92">
        <v>1308</v>
      </c>
      <c r="B1315" s="93" t="s">
        <v>190</v>
      </c>
      <c r="C1315" s="93" t="s">
        <v>1488</v>
      </c>
      <c r="D1315" s="94" t="s">
        <v>1048</v>
      </c>
      <c r="E1315" s="105">
        <v>10</v>
      </c>
      <c r="F1315" s="99" t="s">
        <v>191</v>
      </c>
      <c r="G1315" s="99"/>
      <c r="H1315" s="96" t="s">
        <v>1049</v>
      </c>
      <c r="I1315" s="106" t="s">
        <v>736</v>
      </c>
      <c r="J1315" s="93"/>
      <c r="K1315" s="99" t="s">
        <v>232</v>
      </c>
      <c r="L1315" s="93" t="s">
        <v>232</v>
      </c>
      <c r="M1315" s="200">
        <v>1831</v>
      </c>
      <c r="N1315" s="64" t="s">
        <v>385</v>
      </c>
      <c r="O1315" s="106">
        <v>6</v>
      </c>
      <c r="P1315" s="196">
        <v>0</v>
      </c>
      <c r="Q1315" s="106">
        <v>2</v>
      </c>
      <c r="R1315" s="107">
        <v>13</v>
      </c>
      <c r="S1315" s="108">
        <v>1237.03</v>
      </c>
      <c r="T1315" s="108">
        <v>1237.03</v>
      </c>
      <c r="U1315" s="108">
        <v>1022.53</v>
      </c>
      <c r="V1315" s="109">
        <v>214.5</v>
      </c>
      <c r="W1315" s="206" t="s">
        <v>233</v>
      </c>
      <c r="X1315" s="206" t="s">
        <v>233</v>
      </c>
      <c r="Y1315" s="206" t="s">
        <v>233</v>
      </c>
      <c r="Z1315" s="206" t="s">
        <v>233</v>
      </c>
      <c r="AA1315" s="206" t="s">
        <v>233</v>
      </c>
      <c r="AB1315" s="206" t="s">
        <v>233</v>
      </c>
      <c r="AC1315" s="206" t="s">
        <v>240</v>
      </c>
      <c r="AD1315" s="206" t="s">
        <v>233</v>
      </c>
      <c r="AE1315" s="206" t="s">
        <v>240</v>
      </c>
      <c r="AF1315" s="96">
        <v>1</v>
      </c>
      <c r="AG1315" s="93">
        <v>0</v>
      </c>
      <c r="AH1315" s="93">
        <v>1</v>
      </c>
      <c r="AI1315" s="93">
        <v>0</v>
      </c>
      <c r="AJ1315" s="93">
        <v>0</v>
      </c>
      <c r="AK1315" s="93">
        <v>0</v>
      </c>
    </row>
    <row r="1316" spans="1:37" s="104" customFormat="1" ht="15.75" customHeight="1" outlineLevel="1">
      <c r="A1316" s="92">
        <v>1309</v>
      </c>
      <c r="B1316" s="93" t="s">
        <v>190</v>
      </c>
      <c r="C1316" s="93" t="s">
        <v>1488</v>
      </c>
      <c r="D1316" s="94" t="s">
        <v>1048</v>
      </c>
      <c r="E1316" s="105">
        <v>10</v>
      </c>
      <c r="F1316" s="99" t="s">
        <v>231</v>
      </c>
      <c r="G1316" s="99"/>
      <c r="H1316" s="96" t="s">
        <v>1050</v>
      </c>
      <c r="I1316" s="106" t="s">
        <v>736</v>
      </c>
      <c r="J1316" s="93"/>
      <c r="K1316" s="99" t="s">
        <v>232</v>
      </c>
      <c r="L1316" s="93" t="s">
        <v>232</v>
      </c>
      <c r="M1316" s="200">
        <v>1831</v>
      </c>
      <c r="N1316" s="64" t="s">
        <v>385</v>
      </c>
      <c r="O1316" s="106">
        <v>6</v>
      </c>
      <c r="P1316" s="196">
        <v>0</v>
      </c>
      <c r="Q1316" s="106">
        <v>2</v>
      </c>
      <c r="R1316" s="107">
        <v>14</v>
      </c>
      <c r="S1316" s="108">
        <v>1237.03</v>
      </c>
      <c r="T1316" s="108">
        <v>1237.03</v>
      </c>
      <c r="U1316" s="108">
        <v>1022.53</v>
      </c>
      <c r="V1316" s="109">
        <v>214.5</v>
      </c>
      <c r="W1316" s="206" t="s">
        <v>233</v>
      </c>
      <c r="X1316" s="206" t="s">
        <v>233</v>
      </c>
      <c r="Y1316" s="206" t="s">
        <v>233</v>
      </c>
      <c r="Z1316" s="206" t="s">
        <v>233</v>
      </c>
      <c r="AA1316" s="206" t="s">
        <v>233</v>
      </c>
      <c r="AB1316" s="206" t="s">
        <v>233</v>
      </c>
      <c r="AC1316" s="206" t="s">
        <v>240</v>
      </c>
      <c r="AD1316" s="206" t="s">
        <v>233</v>
      </c>
      <c r="AE1316" s="206" t="s">
        <v>240</v>
      </c>
      <c r="AF1316" s="96">
        <v>2</v>
      </c>
      <c r="AG1316" s="93">
        <v>0</v>
      </c>
      <c r="AH1316" s="93">
        <v>0</v>
      </c>
      <c r="AI1316" s="93">
        <v>0</v>
      </c>
      <c r="AJ1316" s="93">
        <v>0</v>
      </c>
      <c r="AK1316" s="93">
        <v>0</v>
      </c>
    </row>
    <row r="1317" spans="1:37" s="104" customFormat="1" outlineLevel="1">
      <c r="A1317" s="92">
        <v>1310</v>
      </c>
      <c r="B1317" s="93" t="s">
        <v>190</v>
      </c>
      <c r="C1317" s="93" t="s">
        <v>1488</v>
      </c>
      <c r="D1317" s="94" t="s">
        <v>1048</v>
      </c>
      <c r="E1317" s="105">
        <v>12</v>
      </c>
      <c r="F1317" s="99" t="s">
        <v>191</v>
      </c>
      <c r="G1317" s="99"/>
      <c r="H1317" s="96" t="s">
        <v>1051</v>
      </c>
      <c r="I1317" s="106" t="s">
        <v>736</v>
      </c>
      <c r="J1317" s="93"/>
      <c r="K1317" s="99" t="s">
        <v>232</v>
      </c>
      <c r="L1317" s="93" t="s">
        <v>232</v>
      </c>
      <c r="M1317" s="200">
        <v>1884</v>
      </c>
      <c r="N1317" s="64" t="s">
        <v>385</v>
      </c>
      <c r="O1317" s="106">
        <v>4</v>
      </c>
      <c r="P1317" s="196">
        <v>0</v>
      </c>
      <c r="Q1317" s="106">
        <v>1</v>
      </c>
      <c r="R1317" s="107">
        <v>11</v>
      </c>
      <c r="S1317" s="108">
        <v>1082.9000000000001</v>
      </c>
      <c r="T1317" s="108">
        <v>1082.9000000000001</v>
      </c>
      <c r="U1317" s="108">
        <v>1017.2</v>
      </c>
      <c r="V1317" s="109">
        <v>65.7</v>
      </c>
      <c r="W1317" s="206" t="s">
        <v>233</v>
      </c>
      <c r="X1317" s="206" t="s">
        <v>233</v>
      </c>
      <c r="Y1317" s="206" t="s">
        <v>233</v>
      </c>
      <c r="Z1317" s="206" t="s">
        <v>233</v>
      </c>
      <c r="AA1317" s="206" t="s">
        <v>233</v>
      </c>
      <c r="AB1317" s="206" t="s">
        <v>233</v>
      </c>
      <c r="AC1317" s="206" t="s">
        <v>240</v>
      </c>
      <c r="AD1317" s="206" t="s">
        <v>233</v>
      </c>
      <c r="AE1317" s="206" t="s">
        <v>240</v>
      </c>
      <c r="AF1317" s="96">
        <v>0</v>
      </c>
      <c r="AG1317" s="93">
        <v>0</v>
      </c>
      <c r="AH1317" s="93">
        <v>1</v>
      </c>
      <c r="AI1317" s="93">
        <v>0</v>
      </c>
      <c r="AJ1317" s="93">
        <v>0</v>
      </c>
      <c r="AK1317" s="93">
        <v>0</v>
      </c>
    </row>
    <row r="1318" spans="1:37" s="104" customFormat="1" outlineLevel="1">
      <c r="A1318" s="92">
        <v>1311</v>
      </c>
      <c r="B1318" s="93" t="s">
        <v>190</v>
      </c>
      <c r="C1318" s="93" t="s">
        <v>1488</v>
      </c>
      <c r="D1318" s="94" t="s">
        <v>1048</v>
      </c>
      <c r="E1318" s="105">
        <v>12</v>
      </c>
      <c r="F1318" s="99" t="s">
        <v>231</v>
      </c>
      <c r="G1318" s="99"/>
      <c r="H1318" s="96" t="s">
        <v>1052</v>
      </c>
      <c r="I1318" s="106" t="s">
        <v>736</v>
      </c>
      <c r="J1318" s="93"/>
      <c r="K1318" s="99" t="s">
        <v>232</v>
      </c>
      <c r="L1318" s="93" t="s">
        <v>232</v>
      </c>
      <c r="M1318" s="200">
        <v>1917</v>
      </c>
      <c r="N1318" s="64" t="s">
        <v>385</v>
      </c>
      <c r="O1318" s="106">
        <v>4</v>
      </c>
      <c r="P1318" s="196">
        <v>0</v>
      </c>
      <c r="Q1318" s="106">
        <v>5</v>
      </c>
      <c r="R1318" s="107">
        <v>11</v>
      </c>
      <c r="S1318" s="108">
        <v>347.8</v>
      </c>
      <c r="T1318" s="108">
        <v>347.8</v>
      </c>
      <c r="U1318" s="108">
        <v>303.5</v>
      </c>
      <c r="V1318" s="109">
        <v>44.3</v>
      </c>
      <c r="W1318" s="206" t="s">
        <v>233</v>
      </c>
      <c r="X1318" s="206" t="s">
        <v>233</v>
      </c>
      <c r="Y1318" s="206" t="s">
        <v>233</v>
      </c>
      <c r="Z1318" s="206" t="s">
        <v>233</v>
      </c>
      <c r="AA1318" s="206" t="s">
        <v>233</v>
      </c>
      <c r="AB1318" s="206" t="s">
        <v>233</v>
      </c>
      <c r="AC1318" s="206" t="s">
        <v>240</v>
      </c>
      <c r="AD1318" s="206" t="s">
        <v>233</v>
      </c>
      <c r="AE1318" s="206" t="s">
        <v>240</v>
      </c>
      <c r="AF1318" s="96">
        <v>0</v>
      </c>
      <c r="AG1318" s="93">
        <v>0</v>
      </c>
      <c r="AH1318" s="93">
        <v>0</v>
      </c>
      <c r="AI1318" s="93">
        <v>0</v>
      </c>
      <c r="AJ1318" s="93">
        <v>0</v>
      </c>
      <c r="AK1318" s="93">
        <v>0</v>
      </c>
    </row>
    <row r="1319" spans="1:37" s="104" customFormat="1" outlineLevel="1">
      <c r="A1319" s="92">
        <v>1312</v>
      </c>
      <c r="B1319" s="93" t="s">
        <v>190</v>
      </c>
      <c r="C1319" s="93" t="s">
        <v>1488</v>
      </c>
      <c r="D1319" s="94" t="s">
        <v>1048</v>
      </c>
      <c r="E1319" s="105" t="s">
        <v>1053</v>
      </c>
      <c r="F1319" s="99" t="s">
        <v>191</v>
      </c>
      <c r="G1319" s="99"/>
      <c r="H1319" s="96" t="s">
        <v>1054</v>
      </c>
      <c r="I1319" s="106" t="s">
        <v>736</v>
      </c>
      <c r="J1319" s="93" t="s">
        <v>242</v>
      </c>
      <c r="K1319" s="99" t="s">
        <v>232</v>
      </c>
      <c r="L1319" s="93" t="s">
        <v>232</v>
      </c>
      <c r="M1319" s="200">
        <v>1917</v>
      </c>
      <c r="N1319" s="64" t="s">
        <v>385</v>
      </c>
      <c r="O1319" s="106">
        <v>3</v>
      </c>
      <c r="P1319" s="196">
        <v>0</v>
      </c>
      <c r="Q1319" s="106">
        <v>2</v>
      </c>
      <c r="R1319" s="107"/>
      <c r="S1319" s="108"/>
      <c r="T1319" s="108"/>
      <c r="U1319" s="108"/>
      <c r="V1319" s="109"/>
      <c r="W1319" s="206" t="s">
        <v>233</v>
      </c>
      <c r="X1319" s="206" t="s">
        <v>233</v>
      </c>
      <c r="Y1319" s="206" t="s">
        <v>233</v>
      </c>
      <c r="Z1319" s="206" t="s">
        <v>233</v>
      </c>
      <c r="AA1319" s="206" t="s">
        <v>233</v>
      </c>
      <c r="AB1319" s="206" t="s">
        <v>233</v>
      </c>
      <c r="AC1319" s="206" t="s">
        <v>240</v>
      </c>
      <c r="AD1319" s="206" t="s">
        <v>233</v>
      </c>
      <c r="AE1319" s="206" t="s">
        <v>240</v>
      </c>
      <c r="AF1319" s="96">
        <v>0</v>
      </c>
      <c r="AG1319" s="93">
        <v>0</v>
      </c>
      <c r="AH1319" s="93">
        <v>1</v>
      </c>
      <c r="AI1319" s="93">
        <v>0</v>
      </c>
      <c r="AJ1319" s="93">
        <v>0</v>
      </c>
      <c r="AK1319" s="93">
        <v>0</v>
      </c>
    </row>
    <row r="1320" spans="1:37" s="104" customFormat="1" ht="15.75" customHeight="1" outlineLevel="1">
      <c r="A1320" s="92">
        <v>1313</v>
      </c>
      <c r="B1320" s="93" t="s">
        <v>190</v>
      </c>
      <c r="C1320" s="93" t="s">
        <v>1488</v>
      </c>
      <c r="D1320" s="94" t="s">
        <v>1048</v>
      </c>
      <c r="E1320" s="105">
        <v>13</v>
      </c>
      <c r="F1320" s="99" t="s">
        <v>191</v>
      </c>
      <c r="G1320" s="99"/>
      <c r="H1320" s="96" t="s">
        <v>1055</v>
      </c>
      <c r="I1320" s="106" t="s">
        <v>736</v>
      </c>
      <c r="J1320" s="93"/>
      <c r="K1320" s="99" t="s">
        <v>232</v>
      </c>
      <c r="L1320" s="93" t="s">
        <v>232</v>
      </c>
      <c r="M1320" s="200">
        <v>1840</v>
      </c>
      <c r="N1320" s="64" t="s">
        <v>385</v>
      </c>
      <c r="O1320" s="106">
        <v>4</v>
      </c>
      <c r="P1320" s="196">
        <v>0</v>
      </c>
      <c r="Q1320" s="106">
        <v>1</v>
      </c>
      <c r="R1320" s="107">
        <v>10</v>
      </c>
      <c r="S1320" s="108">
        <v>629.25</v>
      </c>
      <c r="T1320" s="108">
        <v>629.25</v>
      </c>
      <c r="U1320" s="108">
        <v>550.75</v>
      </c>
      <c r="V1320" s="109">
        <v>78.5</v>
      </c>
      <c r="W1320" s="206" t="s">
        <v>233</v>
      </c>
      <c r="X1320" s="206" t="s">
        <v>233</v>
      </c>
      <c r="Y1320" s="206" t="s">
        <v>233</v>
      </c>
      <c r="Z1320" s="206" t="s">
        <v>233</v>
      </c>
      <c r="AA1320" s="206" t="s">
        <v>233</v>
      </c>
      <c r="AB1320" s="206" t="s">
        <v>233</v>
      </c>
      <c r="AC1320" s="206" t="s">
        <v>240</v>
      </c>
      <c r="AD1320" s="206" t="s">
        <v>233</v>
      </c>
      <c r="AE1320" s="206" t="s">
        <v>240</v>
      </c>
      <c r="AF1320" s="96">
        <v>0</v>
      </c>
      <c r="AG1320" s="93">
        <v>0</v>
      </c>
      <c r="AH1320" s="93">
        <v>1</v>
      </c>
      <c r="AI1320" s="93">
        <v>0</v>
      </c>
      <c r="AJ1320" s="93">
        <v>0</v>
      </c>
      <c r="AK1320" s="93">
        <v>0</v>
      </c>
    </row>
    <row r="1321" spans="1:37" s="104" customFormat="1" ht="15.75" customHeight="1" outlineLevel="1">
      <c r="A1321" s="92">
        <v>1314</v>
      </c>
      <c r="B1321" s="93" t="s">
        <v>190</v>
      </c>
      <c r="C1321" s="93" t="s">
        <v>1488</v>
      </c>
      <c r="D1321" s="94" t="s">
        <v>1048</v>
      </c>
      <c r="E1321" s="105">
        <v>13</v>
      </c>
      <c r="F1321" s="99" t="s">
        <v>231</v>
      </c>
      <c r="G1321" s="99"/>
      <c r="H1321" s="96" t="s">
        <v>1056</v>
      </c>
      <c r="I1321" s="106" t="s">
        <v>736</v>
      </c>
      <c r="J1321" s="93"/>
      <c r="K1321" s="99" t="s">
        <v>232</v>
      </c>
      <c r="L1321" s="93" t="s">
        <v>232</v>
      </c>
      <c r="M1321" s="200">
        <v>1880</v>
      </c>
      <c r="N1321" s="64" t="s">
        <v>385</v>
      </c>
      <c r="O1321" s="106">
        <v>4</v>
      </c>
      <c r="P1321" s="196">
        <v>0</v>
      </c>
      <c r="Q1321" s="106">
        <v>1</v>
      </c>
      <c r="R1321" s="107">
        <v>9</v>
      </c>
      <c r="S1321" s="108">
        <v>629.25</v>
      </c>
      <c r="T1321" s="108">
        <v>629.25</v>
      </c>
      <c r="U1321" s="108">
        <v>550.75</v>
      </c>
      <c r="V1321" s="109">
        <v>78.5</v>
      </c>
      <c r="W1321" s="206" t="s">
        <v>233</v>
      </c>
      <c r="X1321" s="206" t="s">
        <v>233</v>
      </c>
      <c r="Y1321" s="206" t="s">
        <v>233</v>
      </c>
      <c r="Z1321" s="206" t="s">
        <v>233</v>
      </c>
      <c r="AA1321" s="206" t="s">
        <v>233</v>
      </c>
      <c r="AB1321" s="206" t="s">
        <v>233</v>
      </c>
      <c r="AC1321" s="206" t="s">
        <v>240</v>
      </c>
      <c r="AD1321" s="206" t="s">
        <v>233</v>
      </c>
      <c r="AE1321" s="206" t="s">
        <v>240</v>
      </c>
      <c r="AF1321" s="96">
        <v>0</v>
      </c>
      <c r="AG1321" s="93">
        <v>0</v>
      </c>
      <c r="AH1321" s="93">
        <v>0</v>
      </c>
      <c r="AI1321" s="93">
        <v>0</v>
      </c>
      <c r="AJ1321" s="93">
        <v>0</v>
      </c>
      <c r="AK1321" s="93">
        <v>0</v>
      </c>
    </row>
    <row r="1322" spans="1:37" s="104" customFormat="1" outlineLevel="1">
      <c r="A1322" s="92">
        <v>1315</v>
      </c>
      <c r="B1322" s="93" t="s">
        <v>190</v>
      </c>
      <c r="C1322" s="93" t="s">
        <v>1488</v>
      </c>
      <c r="D1322" s="94" t="s">
        <v>1048</v>
      </c>
      <c r="E1322" s="105">
        <v>14</v>
      </c>
      <c r="F1322" s="99" t="s">
        <v>191</v>
      </c>
      <c r="G1322" s="99"/>
      <c r="H1322" s="96" t="s">
        <v>1057</v>
      </c>
      <c r="I1322" s="106" t="s">
        <v>736</v>
      </c>
      <c r="J1322" s="93"/>
      <c r="K1322" s="99" t="s">
        <v>232</v>
      </c>
      <c r="L1322" s="93" t="s">
        <v>232</v>
      </c>
      <c r="M1322" s="200">
        <v>1917</v>
      </c>
      <c r="N1322" s="64" t="s">
        <v>385</v>
      </c>
      <c r="O1322" s="106">
        <v>5</v>
      </c>
      <c r="P1322" s="196">
        <v>0</v>
      </c>
      <c r="Q1322" s="106">
        <v>2</v>
      </c>
      <c r="R1322" s="107">
        <v>6</v>
      </c>
      <c r="S1322" s="108">
        <v>757.30000000000007</v>
      </c>
      <c r="T1322" s="108">
        <v>757.30000000000007</v>
      </c>
      <c r="U1322" s="108">
        <v>639.29999999999995</v>
      </c>
      <c r="V1322" s="109">
        <v>118</v>
      </c>
      <c r="W1322" s="206" t="s">
        <v>233</v>
      </c>
      <c r="X1322" s="206" t="s">
        <v>233</v>
      </c>
      <c r="Y1322" s="206" t="s">
        <v>233</v>
      </c>
      <c r="Z1322" s="206" t="s">
        <v>233</v>
      </c>
      <c r="AA1322" s="206" t="s">
        <v>233</v>
      </c>
      <c r="AB1322" s="206" t="s">
        <v>233</v>
      </c>
      <c r="AC1322" s="206" t="s">
        <v>240</v>
      </c>
      <c r="AD1322" s="206" t="s">
        <v>233</v>
      </c>
      <c r="AE1322" s="206" t="s">
        <v>240</v>
      </c>
      <c r="AF1322" s="96">
        <v>0</v>
      </c>
      <c r="AG1322" s="93">
        <v>0</v>
      </c>
      <c r="AH1322" s="93">
        <v>1</v>
      </c>
      <c r="AI1322" s="93">
        <v>0</v>
      </c>
      <c r="AJ1322" s="93">
        <v>0</v>
      </c>
      <c r="AK1322" s="93">
        <v>0</v>
      </c>
    </row>
    <row r="1323" spans="1:37" s="104" customFormat="1" outlineLevel="1">
      <c r="A1323" s="92">
        <v>1316</v>
      </c>
      <c r="B1323" s="93" t="s">
        <v>190</v>
      </c>
      <c r="C1323" s="93" t="s">
        <v>1488</v>
      </c>
      <c r="D1323" s="94" t="s">
        <v>1048</v>
      </c>
      <c r="E1323" s="105">
        <v>14</v>
      </c>
      <c r="F1323" s="99" t="s">
        <v>231</v>
      </c>
      <c r="G1323" s="99"/>
      <c r="H1323" s="96" t="s">
        <v>1058</v>
      </c>
      <c r="I1323" s="106" t="s">
        <v>736</v>
      </c>
      <c r="J1323" s="93"/>
      <c r="K1323" s="99" t="s">
        <v>232</v>
      </c>
      <c r="L1323" s="93" t="s">
        <v>232</v>
      </c>
      <c r="M1323" s="200">
        <v>1917</v>
      </c>
      <c r="N1323" s="64" t="s">
        <v>385</v>
      </c>
      <c r="O1323" s="106">
        <v>5</v>
      </c>
      <c r="P1323" s="196">
        <v>0</v>
      </c>
      <c r="Q1323" s="106">
        <v>2</v>
      </c>
      <c r="R1323" s="107">
        <v>7</v>
      </c>
      <c r="S1323" s="108">
        <v>757.31000000000006</v>
      </c>
      <c r="T1323" s="108">
        <v>757.31000000000006</v>
      </c>
      <c r="U1323" s="108">
        <v>639.30999999999995</v>
      </c>
      <c r="V1323" s="109">
        <v>118</v>
      </c>
      <c r="W1323" s="206" t="s">
        <v>233</v>
      </c>
      <c r="X1323" s="206" t="s">
        <v>233</v>
      </c>
      <c r="Y1323" s="206" t="s">
        <v>233</v>
      </c>
      <c r="Z1323" s="206" t="s">
        <v>233</v>
      </c>
      <c r="AA1323" s="206" t="s">
        <v>233</v>
      </c>
      <c r="AB1323" s="206" t="s">
        <v>233</v>
      </c>
      <c r="AC1323" s="206" t="s">
        <v>240</v>
      </c>
      <c r="AD1323" s="206" t="s">
        <v>233</v>
      </c>
      <c r="AE1323" s="206" t="s">
        <v>240</v>
      </c>
      <c r="AF1323" s="96">
        <v>0</v>
      </c>
      <c r="AG1323" s="93">
        <v>0</v>
      </c>
      <c r="AH1323" s="93">
        <v>0</v>
      </c>
      <c r="AI1323" s="93">
        <v>0</v>
      </c>
      <c r="AJ1323" s="93">
        <v>0</v>
      </c>
      <c r="AK1323" s="93">
        <v>0</v>
      </c>
    </row>
    <row r="1324" spans="1:37" s="104" customFormat="1" outlineLevel="1">
      <c r="A1324" s="92">
        <v>1317</v>
      </c>
      <c r="B1324" s="93" t="s">
        <v>190</v>
      </c>
      <c r="C1324" s="93" t="s">
        <v>1488</v>
      </c>
      <c r="D1324" s="94" t="s">
        <v>1048</v>
      </c>
      <c r="E1324" s="105">
        <v>16</v>
      </c>
      <c r="F1324" s="99" t="s">
        <v>191</v>
      </c>
      <c r="G1324" s="99"/>
      <c r="H1324" s="96" t="s">
        <v>1059</v>
      </c>
      <c r="I1324" s="106" t="s">
        <v>736</v>
      </c>
      <c r="J1324" s="93"/>
      <c r="K1324" s="99" t="s">
        <v>232</v>
      </c>
      <c r="L1324" s="93" t="s">
        <v>232</v>
      </c>
      <c r="M1324" s="200">
        <v>1917</v>
      </c>
      <c r="N1324" s="64" t="s">
        <v>385</v>
      </c>
      <c r="O1324" s="106">
        <v>3</v>
      </c>
      <c r="P1324" s="196">
        <v>0</v>
      </c>
      <c r="Q1324" s="106">
        <v>2</v>
      </c>
      <c r="R1324" s="107">
        <v>11</v>
      </c>
      <c r="S1324" s="108">
        <v>1263.1999999999998</v>
      </c>
      <c r="T1324" s="108">
        <v>1263.1999999999998</v>
      </c>
      <c r="U1324" s="108">
        <v>952.8</v>
      </c>
      <c r="V1324" s="109">
        <v>310.39999999999998</v>
      </c>
      <c r="W1324" s="206" t="s">
        <v>233</v>
      </c>
      <c r="X1324" s="206" t="s">
        <v>233</v>
      </c>
      <c r="Y1324" s="206" t="s">
        <v>233</v>
      </c>
      <c r="Z1324" s="206" t="s">
        <v>233</v>
      </c>
      <c r="AA1324" s="206" t="s">
        <v>233</v>
      </c>
      <c r="AB1324" s="206" t="s">
        <v>233</v>
      </c>
      <c r="AC1324" s="206" t="s">
        <v>240</v>
      </c>
      <c r="AD1324" s="206" t="s">
        <v>233</v>
      </c>
      <c r="AE1324" s="206" t="s">
        <v>240</v>
      </c>
      <c r="AF1324" s="96">
        <v>0</v>
      </c>
      <c r="AG1324" s="93">
        <v>0</v>
      </c>
      <c r="AH1324" s="93">
        <v>1</v>
      </c>
      <c r="AI1324" s="93">
        <v>0</v>
      </c>
      <c r="AJ1324" s="93">
        <v>0</v>
      </c>
      <c r="AK1324" s="93">
        <v>0</v>
      </c>
    </row>
    <row r="1325" spans="1:37" s="104" customFormat="1" outlineLevel="1">
      <c r="A1325" s="92">
        <v>1318</v>
      </c>
      <c r="B1325" s="93" t="s">
        <v>190</v>
      </c>
      <c r="C1325" s="93" t="s">
        <v>1488</v>
      </c>
      <c r="D1325" s="94" t="s">
        <v>1048</v>
      </c>
      <c r="E1325" s="105">
        <v>17</v>
      </c>
      <c r="F1325" s="99" t="s">
        <v>191</v>
      </c>
      <c r="G1325" s="99"/>
      <c r="H1325" s="96" t="s">
        <v>1060</v>
      </c>
      <c r="I1325" s="106" t="s">
        <v>736</v>
      </c>
      <c r="J1325" s="93"/>
      <c r="K1325" s="99" t="s">
        <v>232</v>
      </c>
      <c r="L1325" s="93" t="s">
        <v>232</v>
      </c>
      <c r="M1325" s="200">
        <v>1857</v>
      </c>
      <c r="N1325" s="64" t="s">
        <v>385</v>
      </c>
      <c r="O1325" s="106">
        <v>4</v>
      </c>
      <c r="P1325" s="196">
        <v>0</v>
      </c>
      <c r="Q1325" s="106">
        <v>5</v>
      </c>
      <c r="R1325" s="107">
        <v>53</v>
      </c>
      <c r="S1325" s="108">
        <v>3906.7400000000007</v>
      </c>
      <c r="T1325" s="108">
        <v>3906.7400000000007</v>
      </c>
      <c r="U1325" s="108">
        <v>3438.7400000000002</v>
      </c>
      <c r="V1325" s="109">
        <v>468</v>
      </c>
      <c r="W1325" s="206" t="s">
        <v>233</v>
      </c>
      <c r="X1325" s="206" t="s">
        <v>233</v>
      </c>
      <c r="Y1325" s="206" t="s">
        <v>233</v>
      </c>
      <c r="Z1325" s="206" t="s">
        <v>233</v>
      </c>
      <c r="AA1325" s="206" t="s">
        <v>233</v>
      </c>
      <c r="AB1325" s="206" t="s">
        <v>233</v>
      </c>
      <c r="AC1325" s="206" t="s">
        <v>240</v>
      </c>
      <c r="AD1325" s="206" t="s">
        <v>233</v>
      </c>
      <c r="AE1325" s="206" t="s">
        <v>240</v>
      </c>
      <c r="AF1325" s="96">
        <v>0</v>
      </c>
      <c r="AG1325" s="93">
        <v>0</v>
      </c>
      <c r="AH1325" s="93">
        <v>1</v>
      </c>
      <c r="AI1325" s="93">
        <v>0</v>
      </c>
      <c r="AJ1325" s="93">
        <v>0</v>
      </c>
      <c r="AK1325" s="93">
        <v>0</v>
      </c>
    </row>
    <row r="1326" spans="1:37" s="104" customFormat="1" outlineLevel="1">
      <c r="A1326" s="92">
        <v>1319</v>
      </c>
      <c r="B1326" s="93" t="s">
        <v>190</v>
      </c>
      <c r="C1326" s="93" t="s">
        <v>1488</v>
      </c>
      <c r="D1326" s="94" t="s">
        <v>1048</v>
      </c>
      <c r="E1326" s="105">
        <v>21</v>
      </c>
      <c r="F1326" s="99" t="s">
        <v>191</v>
      </c>
      <c r="G1326" s="99"/>
      <c r="H1326" s="96" t="s">
        <v>1061</v>
      </c>
      <c r="I1326" s="106" t="s">
        <v>736</v>
      </c>
      <c r="J1326" s="93"/>
      <c r="K1326" s="99" t="s">
        <v>232</v>
      </c>
      <c r="L1326" s="93" t="s">
        <v>232</v>
      </c>
      <c r="M1326" s="200">
        <v>1833</v>
      </c>
      <c r="N1326" s="64" t="s">
        <v>385</v>
      </c>
      <c r="O1326" s="106">
        <v>4</v>
      </c>
      <c r="P1326" s="196">
        <v>0</v>
      </c>
      <c r="Q1326" s="106">
        <v>2</v>
      </c>
      <c r="R1326" s="107">
        <v>13</v>
      </c>
      <c r="S1326" s="108">
        <v>1519.08</v>
      </c>
      <c r="T1326" s="108">
        <v>1519.08</v>
      </c>
      <c r="U1326" s="108">
        <v>1112.08</v>
      </c>
      <c r="V1326" s="109">
        <v>407</v>
      </c>
      <c r="W1326" s="206" t="s">
        <v>233</v>
      </c>
      <c r="X1326" s="206" t="s">
        <v>233</v>
      </c>
      <c r="Y1326" s="206" t="s">
        <v>233</v>
      </c>
      <c r="Z1326" s="206" t="s">
        <v>233</v>
      </c>
      <c r="AA1326" s="206" t="s">
        <v>233</v>
      </c>
      <c r="AB1326" s="206" t="s">
        <v>233</v>
      </c>
      <c r="AC1326" s="206" t="s">
        <v>240</v>
      </c>
      <c r="AD1326" s="206" t="s">
        <v>233</v>
      </c>
      <c r="AE1326" s="206" t="s">
        <v>240</v>
      </c>
      <c r="AF1326" s="96">
        <v>0</v>
      </c>
      <c r="AG1326" s="93">
        <v>0</v>
      </c>
      <c r="AH1326" s="93">
        <v>1</v>
      </c>
      <c r="AI1326" s="93">
        <v>0</v>
      </c>
      <c r="AJ1326" s="93">
        <v>0</v>
      </c>
      <c r="AK1326" s="93">
        <v>0</v>
      </c>
    </row>
    <row r="1327" spans="1:37" s="104" customFormat="1" outlineLevel="1">
      <c r="A1327" s="92">
        <v>1320</v>
      </c>
      <c r="B1327" s="93" t="s">
        <v>190</v>
      </c>
      <c r="C1327" s="93" t="s">
        <v>1488</v>
      </c>
      <c r="D1327" s="94" t="s">
        <v>1048</v>
      </c>
      <c r="E1327" s="105">
        <v>22</v>
      </c>
      <c r="F1327" s="99" t="s">
        <v>191</v>
      </c>
      <c r="G1327" s="99"/>
      <c r="H1327" s="96" t="s">
        <v>1062</v>
      </c>
      <c r="I1327" s="106" t="s">
        <v>736</v>
      </c>
      <c r="J1327" s="93"/>
      <c r="K1327" s="99" t="s">
        <v>232</v>
      </c>
      <c r="L1327" s="93" t="s">
        <v>232</v>
      </c>
      <c r="M1327" s="200">
        <v>1728</v>
      </c>
      <c r="N1327" s="64" t="s">
        <v>385</v>
      </c>
      <c r="O1327" s="106">
        <v>5</v>
      </c>
      <c r="P1327" s="196">
        <v>0</v>
      </c>
      <c r="Q1327" s="106">
        <v>5</v>
      </c>
      <c r="R1327" s="107">
        <v>23</v>
      </c>
      <c r="S1327" s="108">
        <v>3893</v>
      </c>
      <c r="T1327" s="108">
        <v>3893</v>
      </c>
      <c r="U1327" s="108">
        <v>3393.9</v>
      </c>
      <c r="V1327" s="109">
        <v>499.1</v>
      </c>
      <c r="W1327" s="206" t="s">
        <v>233</v>
      </c>
      <c r="X1327" s="206" t="s">
        <v>233</v>
      </c>
      <c r="Y1327" s="206" t="s">
        <v>233</v>
      </c>
      <c r="Z1327" s="206" t="s">
        <v>233</v>
      </c>
      <c r="AA1327" s="206" t="s">
        <v>233</v>
      </c>
      <c r="AB1327" s="206" t="s">
        <v>233</v>
      </c>
      <c r="AC1327" s="206" t="s">
        <v>240</v>
      </c>
      <c r="AD1327" s="206" t="s">
        <v>233</v>
      </c>
      <c r="AE1327" s="206" t="s">
        <v>240</v>
      </c>
      <c r="AF1327" s="96">
        <v>3</v>
      </c>
      <c r="AG1327" s="93">
        <v>0</v>
      </c>
      <c r="AH1327" s="93">
        <v>1</v>
      </c>
      <c r="AI1327" s="93">
        <v>0</v>
      </c>
      <c r="AJ1327" s="93">
        <v>0</v>
      </c>
      <c r="AK1327" s="93">
        <v>0</v>
      </c>
    </row>
    <row r="1328" spans="1:37" s="104" customFormat="1" ht="15.75" customHeight="1" outlineLevel="1">
      <c r="A1328" s="92">
        <v>1321</v>
      </c>
      <c r="B1328" s="93" t="s">
        <v>190</v>
      </c>
      <c r="C1328" s="93" t="s">
        <v>1488</v>
      </c>
      <c r="D1328" s="94" t="s">
        <v>1048</v>
      </c>
      <c r="E1328" s="105">
        <v>22</v>
      </c>
      <c r="F1328" s="99" t="s">
        <v>231</v>
      </c>
      <c r="G1328" s="99"/>
      <c r="H1328" s="96" t="s">
        <v>1063</v>
      </c>
      <c r="I1328" s="106" t="s">
        <v>736</v>
      </c>
      <c r="J1328" s="93"/>
      <c r="K1328" s="99" t="s">
        <v>232</v>
      </c>
      <c r="L1328" s="93" t="s">
        <v>232</v>
      </c>
      <c r="M1328" s="200">
        <v>1728</v>
      </c>
      <c r="N1328" s="64" t="s">
        <v>385</v>
      </c>
      <c r="O1328" s="106">
        <v>4</v>
      </c>
      <c r="P1328" s="196">
        <v>0</v>
      </c>
      <c r="Q1328" s="106">
        <v>1</v>
      </c>
      <c r="R1328" s="107">
        <v>20</v>
      </c>
      <c r="S1328" s="108">
        <v>604.4</v>
      </c>
      <c r="T1328" s="108">
        <v>604.4</v>
      </c>
      <c r="U1328" s="108">
        <v>426.5</v>
      </c>
      <c r="V1328" s="109">
        <v>177.9</v>
      </c>
      <c r="W1328" s="206" t="s">
        <v>233</v>
      </c>
      <c r="X1328" s="206" t="s">
        <v>233</v>
      </c>
      <c r="Y1328" s="206" t="s">
        <v>233</v>
      </c>
      <c r="Z1328" s="206" t="s">
        <v>233</v>
      </c>
      <c r="AA1328" s="206" t="s">
        <v>233</v>
      </c>
      <c r="AB1328" s="206" t="s">
        <v>233</v>
      </c>
      <c r="AC1328" s="206" t="s">
        <v>240</v>
      </c>
      <c r="AD1328" s="206" t="s">
        <v>233</v>
      </c>
      <c r="AE1328" s="206" t="s">
        <v>240</v>
      </c>
      <c r="AF1328" s="96">
        <v>0</v>
      </c>
      <c r="AG1328" s="93">
        <v>0</v>
      </c>
      <c r="AH1328" s="93">
        <v>0</v>
      </c>
      <c r="AI1328" s="93">
        <v>0</v>
      </c>
      <c r="AJ1328" s="93">
        <v>0</v>
      </c>
      <c r="AK1328" s="93">
        <v>0</v>
      </c>
    </row>
    <row r="1329" spans="1:37" s="104" customFormat="1" ht="15.75" customHeight="1" outlineLevel="1">
      <c r="A1329" s="92">
        <v>1322</v>
      </c>
      <c r="B1329" s="93" t="s">
        <v>190</v>
      </c>
      <c r="C1329" s="93" t="s">
        <v>1488</v>
      </c>
      <c r="D1329" s="94" t="s">
        <v>1048</v>
      </c>
      <c r="E1329" s="105">
        <v>23</v>
      </c>
      <c r="F1329" s="99" t="s">
        <v>191</v>
      </c>
      <c r="G1329" s="99"/>
      <c r="H1329" s="96" t="s">
        <v>1064</v>
      </c>
      <c r="I1329" s="106" t="s">
        <v>736</v>
      </c>
      <c r="J1329" s="93"/>
      <c r="K1329" s="99" t="s">
        <v>232</v>
      </c>
      <c r="L1329" s="93" t="s">
        <v>232</v>
      </c>
      <c r="M1329" s="200">
        <v>1858</v>
      </c>
      <c r="N1329" s="64" t="s">
        <v>385</v>
      </c>
      <c r="O1329" s="106">
        <v>4</v>
      </c>
      <c r="P1329" s="196">
        <v>0</v>
      </c>
      <c r="Q1329" s="106">
        <v>3</v>
      </c>
      <c r="R1329" s="107">
        <v>23</v>
      </c>
      <c r="S1329" s="108">
        <v>1769.6000000000001</v>
      </c>
      <c r="T1329" s="108">
        <v>1769.6000000000001</v>
      </c>
      <c r="U1329" s="108">
        <v>1596.2</v>
      </c>
      <c r="V1329" s="109">
        <v>173.4</v>
      </c>
      <c r="W1329" s="206" t="s">
        <v>233</v>
      </c>
      <c r="X1329" s="206" t="s">
        <v>233</v>
      </c>
      <c r="Y1329" s="206" t="s">
        <v>233</v>
      </c>
      <c r="Z1329" s="206" t="s">
        <v>233</v>
      </c>
      <c r="AA1329" s="206" t="s">
        <v>233</v>
      </c>
      <c r="AB1329" s="206" t="s">
        <v>233</v>
      </c>
      <c r="AC1329" s="206" t="s">
        <v>240</v>
      </c>
      <c r="AD1329" s="206" t="s">
        <v>233</v>
      </c>
      <c r="AE1329" s="206" t="s">
        <v>240</v>
      </c>
      <c r="AF1329" s="96">
        <v>0</v>
      </c>
      <c r="AG1329" s="93">
        <v>0</v>
      </c>
      <c r="AH1329" s="93">
        <v>1</v>
      </c>
      <c r="AI1329" s="93">
        <v>0</v>
      </c>
      <c r="AJ1329" s="93">
        <v>0</v>
      </c>
      <c r="AK1329" s="93">
        <v>0</v>
      </c>
    </row>
    <row r="1330" spans="1:37" s="104" customFormat="1" outlineLevel="1">
      <c r="A1330" s="92">
        <v>1323</v>
      </c>
      <c r="B1330" s="93" t="s">
        <v>190</v>
      </c>
      <c r="C1330" s="93" t="s">
        <v>1488</v>
      </c>
      <c r="D1330" s="94" t="s">
        <v>1048</v>
      </c>
      <c r="E1330" s="105">
        <v>25</v>
      </c>
      <c r="F1330" s="99" t="s">
        <v>191</v>
      </c>
      <c r="G1330" s="99"/>
      <c r="H1330" s="96" t="s">
        <v>1065</v>
      </c>
      <c r="I1330" s="106" t="s">
        <v>736</v>
      </c>
      <c r="J1330" s="93"/>
      <c r="K1330" s="99" t="s">
        <v>232</v>
      </c>
      <c r="L1330" s="93" t="s">
        <v>232</v>
      </c>
      <c r="M1330" s="200">
        <v>1893</v>
      </c>
      <c r="N1330" s="64" t="s">
        <v>385</v>
      </c>
      <c r="O1330" s="106">
        <v>4</v>
      </c>
      <c r="P1330" s="196">
        <v>0</v>
      </c>
      <c r="Q1330" s="106">
        <v>3</v>
      </c>
      <c r="R1330" s="107">
        <v>24</v>
      </c>
      <c r="S1330" s="108">
        <v>2436</v>
      </c>
      <c r="T1330" s="108">
        <v>2436</v>
      </c>
      <c r="U1330" s="108">
        <v>1804</v>
      </c>
      <c r="V1330" s="109">
        <v>632</v>
      </c>
      <c r="W1330" s="206" t="s">
        <v>233</v>
      </c>
      <c r="X1330" s="206" t="s">
        <v>233</v>
      </c>
      <c r="Y1330" s="206" t="s">
        <v>233</v>
      </c>
      <c r="Z1330" s="206" t="s">
        <v>233</v>
      </c>
      <c r="AA1330" s="206" t="s">
        <v>233</v>
      </c>
      <c r="AB1330" s="206" t="s">
        <v>233</v>
      </c>
      <c r="AC1330" s="206" t="s">
        <v>240</v>
      </c>
      <c r="AD1330" s="206" t="s">
        <v>233</v>
      </c>
      <c r="AE1330" s="206" t="s">
        <v>240</v>
      </c>
      <c r="AF1330" s="96">
        <v>0</v>
      </c>
      <c r="AG1330" s="93">
        <v>0</v>
      </c>
      <c r="AH1330" s="93">
        <v>1</v>
      </c>
      <c r="AI1330" s="93">
        <v>0</v>
      </c>
      <c r="AJ1330" s="93">
        <v>0</v>
      </c>
      <c r="AK1330" s="93">
        <v>0</v>
      </c>
    </row>
    <row r="1331" spans="1:37" s="104" customFormat="1" ht="15.75" customHeight="1" outlineLevel="1">
      <c r="A1331" s="92">
        <v>1324</v>
      </c>
      <c r="B1331" s="93" t="s">
        <v>190</v>
      </c>
      <c r="C1331" s="93" t="s">
        <v>1488</v>
      </c>
      <c r="D1331" s="94" t="s">
        <v>1048</v>
      </c>
      <c r="E1331" s="105">
        <v>29</v>
      </c>
      <c r="F1331" s="99" t="s">
        <v>191</v>
      </c>
      <c r="G1331" s="99"/>
      <c r="H1331" s="96" t="s">
        <v>1066</v>
      </c>
      <c r="I1331" s="106" t="s">
        <v>736</v>
      </c>
      <c r="J1331" s="93"/>
      <c r="K1331" s="99" t="s">
        <v>232</v>
      </c>
      <c r="L1331" s="93" t="s">
        <v>232</v>
      </c>
      <c r="M1331" s="200">
        <v>1798</v>
      </c>
      <c r="N1331" s="64" t="s">
        <v>385</v>
      </c>
      <c r="O1331" s="106">
        <v>4</v>
      </c>
      <c r="P1331" s="196">
        <v>0</v>
      </c>
      <c r="Q1331" s="106">
        <v>5</v>
      </c>
      <c r="R1331" s="107">
        <v>25</v>
      </c>
      <c r="S1331" s="108">
        <v>2442.7199999999998</v>
      </c>
      <c r="T1331" s="108">
        <v>2442.7199999999998</v>
      </c>
      <c r="U1331" s="108">
        <v>1845.7199999999998</v>
      </c>
      <c r="V1331" s="109">
        <v>597</v>
      </c>
      <c r="W1331" s="206" t="s">
        <v>233</v>
      </c>
      <c r="X1331" s="206" t="s">
        <v>233</v>
      </c>
      <c r="Y1331" s="206" t="s">
        <v>233</v>
      </c>
      <c r="Z1331" s="206" t="s">
        <v>233</v>
      </c>
      <c r="AA1331" s="206" t="s">
        <v>233</v>
      </c>
      <c r="AB1331" s="206" t="s">
        <v>233</v>
      </c>
      <c r="AC1331" s="206" t="s">
        <v>240</v>
      </c>
      <c r="AD1331" s="206" t="s">
        <v>233</v>
      </c>
      <c r="AE1331" s="206" t="s">
        <v>240</v>
      </c>
      <c r="AF1331" s="96">
        <v>0</v>
      </c>
      <c r="AG1331" s="93">
        <v>0</v>
      </c>
      <c r="AH1331" s="93">
        <v>1</v>
      </c>
      <c r="AI1331" s="93">
        <v>0</v>
      </c>
      <c r="AJ1331" s="93">
        <v>0</v>
      </c>
      <c r="AK1331" s="93">
        <v>0</v>
      </c>
    </row>
    <row r="1332" spans="1:37" s="104" customFormat="1" ht="15.75" customHeight="1" outlineLevel="1">
      <c r="A1332" s="92">
        <v>1325</v>
      </c>
      <c r="B1332" s="93" t="s">
        <v>190</v>
      </c>
      <c r="C1332" s="93" t="s">
        <v>1488</v>
      </c>
      <c r="D1332" s="94" t="s">
        <v>1048</v>
      </c>
      <c r="E1332" s="105">
        <v>32</v>
      </c>
      <c r="F1332" s="99" t="s">
        <v>191</v>
      </c>
      <c r="G1332" s="99"/>
      <c r="H1332" s="96" t="s">
        <v>1067</v>
      </c>
      <c r="I1332" s="106" t="s">
        <v>736</v>
      </c>
      <c r="J1332" s="93"/>
      <c r="K1332" s="99" t="s">
        <v>232</v>
      </c>
      <c r="L1332" s="93" t="s">
        <v>232</v>
      </c>
      <c r="M1332" s="200">
        <v>1846</v>
      </c>
      <c r="N1332" s="64" t="s">
        <v>385</v>
      </c>
      <c r="O1332" s="106">
        <v>4</v>
      </c>
      <c r="P1332" s="196">
        <v>0</v>
      </c>
      <c r="Q1332" s="106">
        <v>3</v>
      </c>
      <c r="R1332" s="107">
        <v>22</v>
      </c>
      <c r="S1332" s="108">
        <v>1205.5999999999999</v>
      </c>
      <c r="T1332" s="108">
        <v>1205.5999999999999</v>
      </c>
      <c r="U1332" s="108">
        <v>1187.5999999999999</v>
      </c>
      <c r="V1332" s="109">
        <v>18</v>
      </c>
      <c r="W1332" s="206" t="s">
        <v>233</v>
      </c>
      <c r="X1332" s="206" t="s">
        <v>233</v>
      </c>
      <c r="Y1332" s="206" t="s">
        <v>233</v>
      </c>
      <c r="Z1332" s="206" t="s">
        <v>233</v>
      </c>
      <c r="AA1332" s="206" t="s">
        <v>233</v>
      </c>
      <c r="AB1332" s="206" t="s">
        <v>233</v>
      </c>
      <c r="AC1332" s="206" t="s">
        <v>240</v>
      </c>
      <c r="AD1332" s="206" t="s">
        <v>233</v>
      </c>
      <c r="AE1332" s="206" t="s">
        <v>240</v>
      </c>
      <c r="AF1332" s="96">
        <v>0</v>
      </c>
      <c r="AG1332" s="93">
        <v>0</v>
      </c>
      <c r="AH1332" s="93">
        <v>1</v>
      </c>
      <c r="AI1332" s="93">
        <v>0</v>
      </c>
      <c r="AJ1332" s="93">
        <v>0</v>
      </c>
      <c r="AK1332" s="93">
        <v>0</v>
      </c>
    </row>
    <row r="1333" spans="1:37" s="104" customFormat="1" ht="15.75" customHeight="1" outlineLevel="1">
      <c r="A1333" s="92">
        <v>1326</v>
      </c>
      <c r="B1333" s="93" t="s">
        <v>190</v>
      </c>
      <c r="C1333" s="93" t="s">
        <v>1488</v>
      </c>
      <c r="D1333" s="94" t="s">
        <v>1048</v>
      </c>
      <c r="E1333" s="105">
        <v>34</v>
      </c>
      <c r="F1333" s="99" t="s">
        <v>191</v>
      </c>
      <c r="G1333" s="99"/>
      <c r="H1333" s="96" t="s">
        <v>1068</v>
      </c>
      <c r="I1333" s="106" t="s">
        <v>736</v>
      </c>
      <c r="J1333" s="93"/>
      <c r="K1333" s="99" t="s">
        <v>232</v>
      </c>
      <c r="L1333" s="93" t="s">
        <v>232</v>
      </c>
      <c r="M1333" s="200">
        <v>1864</v>
      </c>
      <c r="N1333" s="64" t="s">
        <v>385</v>
      </c>
      <c r="O1333" s="106">
        <v>3</v>
      </c>
      <c r="P1333" s="196">
        <v>0</v>
      </c>
      <c r="Q1333" s="106">
        <v>4</v>
      </c>
      <c r="R1333" s="107">
        <v>27</v>
      </c>
      <c r="S1333" s="108">
        <v>2203.1</v>
      </c>
      <c r="T1333" s="108">
        <v>2203.1</v>
      </c>
      <c r="U1333" s="108">
        <v>1634.1</v>
      </c>
      <c r="V1333" s="109">
        <v>569</v>
      </c>
      <c r="W1333" s="206" t="s">
        <v>233</v>
      </c>
      <c r="X1333" s="206" t="s">
        <v>233</v>
      </c>
      <c r="Y1333" s="206" t="s">
        <v>233</v>
      </c>
      <c r="Z1333" s="206" t="s">
        <v>233</v>
      </c>
      <c r="AA1333" s="206" t="s">
        <v>233</v>
      </c>
      <c r="AB1333" s="206" t="s">
        <v>233</v>
      </c>
      <c r="AC1333" s="206" t="s">
        <v>240</v>
      </c>
      <c r="AD1333" s="206" t="s">
        <v>233</v>
      </c>
      <c r="AE1333" s="206" t="s">
        <v>240</v>
      </c>
      <c r="AF1333" s="96">
        <v>0</v>
      </c>
      <c r="AG1333" s="93">
        <v>0</v>
      </c>
      <c r="AH1333" s="93">
        <v>1</v>
      </c>
      <c r="AI1333" s="93">
        <v>0</v>
      </c>
      <c r="AJ1333" s="93">
        <v>0</v>
      </c>
      <c r="AK1333" s="93">
        <v>0</v>
      </c>
    </row>
    <row r="1334" spans="1:37" s="104" customFormat="1" ht="15.75" customHeight="1" outlineLevel="1">
      <c r="A1334" s="92">
        <v>1327</v>
      </c>
      <c r="B1334" s="93" t="s">
        <v>190</v>
      </c>
      <c r="C1334" s="93" t="s">
        <v>1488</v>
      </c>
      <c r="D1334" s="94" t="s">
        <v>1048</v>
      </c>
      <c r="E1334" s="105">
        <v>37</v>
      </c>
      <c r="F1334" s="99" t="s">
        <v>191</v>
      </c>
      <c r="G1334" s="99"/>
      <c r="H1334" s="96" t="s">
        <v>1069</v>
      </c>
      <c r="I1334" s="106" t="s">
        <v>736</v>
      </c>
      <c r="J1334" s="93"/>
      <c r="K1334" s="99" t="s">
        <v>232</v>
      </c>
      <c r="L1334" s="93" t="s">
        <v>232</v>
      </c>
      <c r="M1334" s="200">
        <v>1875</v>
      </c>
      <c r="N1334" s="64" t="s">
        <v>385</v>
      </c>
      <c r="O1334" s="106">
        <v>6</v>
      </c>
      <c r="P1334" s="196">
        <v>0</v>
      </c>
      <c r="Q1334" s="106">
        <v>4</v>
      </c>
      <c r="R1334" s="107">
        <v>34</v>
      </c>
      <c r="S1334" s="108">
        <v>3312</v>
      </c>
      <c r="T1334" s="108">
        <v>3312</v>
      </c>
      <c r="U1334" s="108">
        <v>2889</v>
      </c>
      <c r="V1334" s="109">
        <v>423</v>
      </c>
      <c r="W1334" s="206" t="s">
        <v>233</v>
      </c>
      <c r="X1334" s="206" t="s">
        <v>233</v>
      </c>
      <c r="Y1334" s="206" t="s">
        <v>233</v>
      </c>
      <c r="Z1334" s="206" t="s">
        <v>233</v>
      </c>
      <c r="AA1334" s="206" t="s">
        <v>233</v>
      </c>
      <c r="AB1334" s="206" t="s">
        <v>233</v>
      </c>
      <c r="AC1334" s="206" t="s">
        <v>240</v>
      </c>
      <c r="AD1334" s="206" t="s">
        <v>233</v>
      </c>
      <c r="AE1334" s="206" t="s">
        <v>240</v>
      </c>
      <c r="AF1334" s="96">
        <v>0</v>
      </c>
      <c r="AG1334" s="93">
        <v>0</v>
      </c>
      <c r="AH1334" s="93">
        <v>1</v>
      </c>
      <c r="AI1334" s="93">
        <v>0</v>
      </c>
      <c r="AJ1334" s="93">
        <v>0</v>
      </c>
      <c r="AK1334" s="93">
        <v>0</v>
      </c>
    </row>
    <row r="1335" spans="1:37" s="104" customFormat="1" outlineLevel="1">
      <c r="A1335" s="92">
        <v>1328</v>
      </c>
      <c r="B1335" s="93" t="s">
        <v>190</v>
      </c>
      <c r="C1335" s="93" t="s">
        <v>1488</v>
      </c>
      <c r="D1335" s="94" t="s">
        <v>1048</v>
      </c>
      <c r="E1335" s="105">
        <v>4</v>
      </c>
      <c r="F1335" s="99" t="s">
        <v>191</v>
      </c>
      <c r="G1335" s="99"/>
      <c r="H1335" s="96" t="s">
        <v>1070</v>
      </c>
      <c r="I1335" s="106" t="s">
        <v>736</v>
      </c>
      <c r="J1335" s="93"/>
      <c r="K1335" s="99" t="s">
        <v>232</v>
      </c>
      <c r="L1335" s="93" t="s">
        <v>232</v>
      </c>
      <c r="M1335" s="201">
        <v>1917</v>
      </c>
      <c r="N1335" s="64" t="s">
        <v>385</v>
      </c>
      <c r="O1335" s="106">
        <v>3</v>
      </c>
      <c r="P1335" s="196">
        <v>0</v>
      </c>
      <c r="Q1335" s="106">
        <v>1</v>
      </c>
      <c r="R1335" s="107">
        <v>8</v>
      </c>
      <c r="S1335" s="108">
        <v>534.29999999999995</v>
      </c>
      <c r="T1335" s="108">
        <v>534.29999999999995</v>
      </c>
      <c r="U1335" s="108">
        <v>498.29999999999995</v>
      </c>
      <c r="V1335" s="109">
        <v>36</v>
      </c>
      <c r="W1335" s="206" t="s">
        <v>233</v>
      </c>
      <c r="X1335" s="206" t="s">
        <v>233</v>
      </c>
      <c r="Y1335" s="206" t="s">
        <v>233</v>
      </c>
      <c r="Z1335" s="206" t="s">
        <v>233</v>
      </c>
      <c r="AA1335" s="206" t="s">
        <v>233</v>
      </c>
      <c r="AB1335" s="206" t="s">
        <v>233</v>
      </c>
      <c r="AC1335" s="206" t="s">
        <v>240</v>
      </c>
      <c r="AD1335" s="206" t="s">
        <v>233</v>
      </c>
      <c r="AE1335" s="206" t="s">
        <v>240</v>
      </c>
      <c r="AF1335" s="96">
        <v>0</v>
      </c>
      <c r="AG1335" s="93">
        <v>0</v>
      </c>
      <c r="AH1335" s="93">
        <v>0</v>
      </c>
      <c r="AI1335" s="93">
        <v>0</v>
      </c>
      <c r="AJ1335" s="93">
        <v>0</v>
      </c>
      <c r="AK1335" s="93">
        <v>0</v>
      </c>
    </row>
    <row r="1336" spans="1:37" s="104" customFormat="1" outlineLevel="1">
      <c r="A1336" s="92">
        <v>1329</v>
      </c>
      <c r="B1336" s="93" t="s">
        <v>190</v>
      </c>
      <c r="C1336" s="93" t="s">
        <v>1488</v>
      </c>
      <c r="D1336" s="94" t="s">
        <v>1048</v>
      </c>
      <c r="E1336" s="105">
        <v>4</v>
      </c>
      <c r="F1336" s="99" t="s">
        <v>231</v>
      </c>
      <c r="G1336" s="99"/>
      <c r="H1336" s="96" t="s">
        <v>1071</v>
      </c>
      <c r="I1336" s="106" t="s">
        <v>736</v>
      </c>
      <c r="J1336" s="93"/>
      <c r="K1336" s="99" t="s">
        <v>232</v>
      </c>
      <c r="L1336" s="93" t="s">
        <v>232</v>
      </c>
      <c r="M1336" s="201">
        <v>1917</v>
      </c>
      <c r="N1336" s="64" t="s">
        <v>385</v>
      </c>
      <c r="O1336" s="106">
        <v>3</v>
      </c>
      <c r="P1336" s="196">
        <v>0</v>
      </c>
      <c r="Q1336" s="106">
        <v>1</v>
      </c>
      <c r="R1336" s="107">
        <v>8</v>
      </c>
      <c r="S1336" s="108">
        <v>534.29999999999995</v>
      </c>
      <c r="T1336" s="108">
        <v>534.29999999999995</v>
      </c>
      <c r="U1336" s="108">
        <v>498.29999999999995</v>
      </c>
      <c r="V1336" s="109">
        <v>36</v>
      </c>
      <c r="W1336" s="206" t="s">
        <v>233</v>
      </c>
      <c r="X1336" s="206" t="s">
        <v>233</v>
      </c>
      <c r="Y1336" s="206" t="s">
        <v>233</v>
      </c>
      <c r="Z1336" s="206" t="s">
        <v>233</v>
      </c>
      <c r="AA1336" s="206" t="s">
        <v>233</v>
      </c>
      <c r="AB1336" s="206" t="s">
        <v>233</v>
      </c>
      <c r="AC1336" s="206" t="s">
        <v>240</v>
      </c>
      <c r="AD1336" s="206" t="s">
        <v>233</v>
      </c>
      <c r="AE1336" s="206" t="s">
        <v>240</v>
      </c>
      <c r="AF1336" s="96">
        <v>0</v>
      </c>
      <c r="AG1336" s="93">
        <v>0</v>
      </c>
      <c r="AH1336" s="93">
        <v>0</v>
      </c>
      <c r="AI1336" s="93">
        <v>0</v>
      </c>
      <c r="AJ1336" s="93">
        <v>0</v>
      </c>
      <c r="AK1336" s="93">
        <v>0</v>
      </c>
    </row>
    <row r="1337" spans="1:37" s="104" customFormat="1" outlineLevel="1">
      <c r="A1337" s="92">
        <v>1330</v>
      </c>
      <c r="B1337" s="93" t="s">
        <v>190</v>
      </c>
      <c r="C1337" s="93" t="s">
        <v>1488</v>
      </c>
      <c r="D1337" s="94" t="s">
        <v>1048</v>
      </c>
      <c r="E1337" s="105">
        <v>5</v>
      </c>
      <c r="F1337" s="99" t="s">
        <v>191</v>
      </c>
      <c r="G1337" s="99"/>
      <c r="H1337" s="96" t="s">
        <v>1072</v>
      </c>
      <c r="I1337" s="106" t="s">
        <v>736</v>
      </c>
      <c r="J1337" s="93"/>
      <c r="K1337" s="99" t="s">
        <v>232</v>
      </c>
      <c r="L1337" s="93" t="s">
        <v>232</v>
      </c>
      <c r="M1337" s="200">
        <v>1900</v>
      </c>
      <c r="N1337" s="64" t="s">
        <v>385</v>
      </c>
      <c r="O1337" s="106">
        <v>3</v>
      </c>
      <c r="P1337" s="196">
        <v>0</v>
      </c>
      <c r="Q1337" s="106">
        <v>5</v>
      </c>
      <c r="R1337" s="107">
        <v>19</v>
      </c>
      <c r="S1337" s="108">
        <v>1206.0999999999999</v>
      </c>
      <c r="T1337" s="108">
        <v>1206.0999999999999</v>
      </c>
      <c r="U1337" s="108">
        <v>945.1</v>
      </c>
      <c r="V1337" s="109">
        <v>261</v>
      </c>
      <c r="W1337" s="206" t="s">
        <v>233</v>
      </c>
      <c r="X1337" s="206" t="s">
        <v>233</v>
      </c>
      <c r="Y1337" s="206" t="s">
        <v>233</v>
      </c>
      <c r="Z1337" s="206" t="s">
        <v>233</v>
      </c>
      <c r="AA1337" s="206" t="s">
        <v>233</v>
      </c>
      <c r="AB1337" s="206" t="s">
        <v>233</v>
      </c>
      <c r="AC1337" s="206" t="s">
        <v>240</v>
      </c>
      <c r="AD1337" s="206" t="s">
        <v>233</v>
      </c>
      <c r="AE1337" s="206" t="s">
        <v>240</v>
      </c>
      <c r="AF1337" s="96">
        <v>0</v>
      </c>
      <c r="AG1337" s="93">
        <v>0</v>
      </c>
      <c r="AH1337" s="93">
        <v>1</v>
      </c>
      <c r="AI1337" s="93">
        <v>0</v>
      </c>
      <c r="AJ1337" s="93">
        <v>0</v>
      </c>
      <c r="AK1337" s="93">
        <v>0</v>
      </c>
    </row>
    <row r="1338" spans="1:37" s="104" customFormat="1" outlineLevel="1">
      <c r="A1338" s="92">
        <v>1331</v>
      </c>
      <c r="B1338" s="93" t="s">
        <v>190</v>
      </c>
      <c r="C1338" s="93" t="s">
        <v>1488</v>
      </c>
      <c r="D1338" s="94" t="s">
        <v>1048</v>
      </c>
      <c r="E1338" s="105">
        <v>6</v>
      </c>
      <c r="F1338" s="99" t="s">
        <v>191</v>
      </c>
      <c r="G1338" s="99"/>
      <c r="H1338" s="96" t="s">
        <v>1073</v>
      </c>
      <c r="I1338" s="106" t="s">
        <v>736</v>
      </c>
      <c r="J1338" s="93"/>
      <c r="K1338" s="99" t="s">
        <v>232</v>
      </c>
      <c r="L1338" s="93" t="s">
        <v>232</v>
      </c>
      <c r="M1338" s="200">
        <v>1838</v>
      </c>
      <c r="N1338" s="64" t="s">
        <v>385</v>
      </c>
      <c r="O1338" s="106">
        <v>3</v>
      </c>
      <c r="P1338" s="196">
        <v>0</v>
      </c>
      <c r="Q1338" s="106">
        <v>1</v>
      </c>
      <c r="R1338" s="107">
        <v>2</v>
      </c>
      <c r="S1338" s="108">
        <v>323.82</v>
      </c>
      <c r="T1338" s="108">
        <v>323.82</v>
      </c>
      <c r="U1338" s="108">
        <v>177.32</v>
      </c>
      <c r="V1338" s="109">
        <v>146.5</v>
      </c>
      <c r="W1338" s="206" t="s">
        <v>233</v>
      </c>
      <c r="X1338" s="206" t="s">
        <v>233</v>
      </c>
      <c r="Y1338" s="206" t="s">
        <v>233</v>
      </c>
      <c r="Z1338" s="206" t="s">
        <v>233</v>
      </c>
      <c r="AA1338" s="206" t="s">
        <v>233</v>
      </c>
      <c r="AB1338" s="206" t="s">
        <v>233</v>
      </c>
      <c r="AC1338" s="206" t="s">
        <v>240</v>
      </c>
      <c r="AD1338" s="206" t="s">
        <v>233</v>
      </c>
      <c r="AE1338" s="206" t="s">
        <v>240</v>
      </c>
      <c r="AF1338" s="96">
        <v>0</v>
      </c>
      <c r="AG1338" s="93">
        <v>0</v>
      </c>
      <c r="AH1338" s="93">
        <v>1</v>
      </c>
      <c r="AI1338" s="93">
        <v>0</v>
      </c>
      <c r="AJ1338" s="93">
        <v>0</v>
      </c>
      <c r="AK1338" s="93">
        <v>0</v>
      </c>
    </row>
    <row r="1339" spans="1:37" s="104" customFormat="1" outlineLevel="1">
      <c r="A1339" s="92">
        <v>1332</v>
      </c>
      <c r="B1339" s="93" t="s">
        <v>190</v>
      </c>
      <c r="C1339" s="93" t="s">
        <v>1488</v>
      </c>
      <c r="D1339" s="94" t="s">
        <v>1048</v>
      </c>
      <c r="E1339" s="105">
        <v>6</v>
      </c>
      <c r="F1339" s="99" t="s">
        <v>231</v>
      </c>
      <c r="G1339" s="99"/>
      <c r="H1339" s="96" t="s">
        <v>1074</v>
      </c>
      <c r="I1339" s="106" t="s">
        <v>736</v>
      </c>
      <c r="J1339" s="93"/>
      <c r="K1339" s="99" t="s">
        <v>232</v>
      </c>
      <c r="L1339" s="93" t="s">
        <v>232</v>
      </c>
      <c r="M1339" s="200">
        <v>1838</v>
      </c>
      <c r="N1339" s="64" t="s">
        <v>385</v>
      </c>
      <c r="O1339" s="106">
        <v>3</v>
      </c>
      <c r="P1339" s="196">
        <v>0</v>
      </c>
      <c r="Q1339" s="106">
        <v>1</v>
      </c>
      <c r="R1339" s="107">
        <v>2</v>
      </c>
      <c r="S1339" s="108">
        <v>323.82</v>
      </c>
      <c r="T1339" s="108">
        <v>323.82</v>
      </c>
      <c r="U1339" s="108">
        <v>177.32</v>
      </c>
      <c r="V1339" s="109">
        <v>146.5</v>
      </c>
      <c r="W1339" s="206" t="s">
        <v>233</v>
      </c>
      <c r="X1339" s="206" t="s">
        <v>233</v>
      </c>
      <c r="Y1339" s="206" t="s">
        <v>233</v>
      </c>
      <c r="Z1339" s="206" t="s">
        <v>233</v>
      </c>
      <c r="AA1339" s="206" t="s">
        <v>233</v>
      </c>
      <c r="AB1339" s="206" t="s">
        <v>233</v>
      </c>
      <c r="AC1339" s="206" t="s">
        <v>240</v>
      </c>
      <c r="AD1339" s="206" t="s">
        <v>233</v>
      </c>
      <c r="AE1339" s="206" t="s">
        <v>240</v>
      </c>
      <c r="AF1339" s="96">
        <v>0</v>
      </c>
      <c r="AG1339" s="93">
        <v>0</v>
      </c>
      <c r="AH1339" s="93">
        <v>0</v>
      </c>
      <c r="AI1339" s="93">
        <v>0</v>
      </c>
      <c r="AJ1339" s="93">
        <v>0</v>
      </c>
      <c r="AK1339" s="93">
        <v>0</v>
      </c>
    </row>
    <row r="1340" spans="1:37" s="104" customFormat="1" outlineLevel="1">
      <c r="A1340" s="92">
        <v>1333</v>
      </c>
      <c r="B1340" s="93" t="s">
        <v>190</v>
      </c>
      <c r="C1340" s="93" t="s">
        <v>1488</v>
      </c>
      <c r="D1340" s="94" t="s">
        <v>1048</v>
      </c>
      <c r="E1340" s="105">
        <v>7</v>
      </c>
      <c r="F1340" s="99" t="s">
        <v>191</v>
      </c>
      <c r="G1340" s="99"/>
      <c r="H1340" s="96" t="s">
        <v>1075</v>
      </c>
      <c r="I1340" s="106" t="s">
        <v>736</v>
      </c>
      <c r="J1340" s="93"/>
      <c r="K1340" s="99" t="s">
        <v>232</v>
      </c>
      <c r="L1340" s="93" t="s">
        <v>232</v>
      </c>
      <c r="M1340" s="200">
        <v>1875</v>
      </c>
      <c r="N1340" s="64" t="s">
        <v>385</v>
      </c>
      <c r="O1340" s="106">
        <v>4</v>
      </c>
      <c r="P1340" s="196">
        <v>0</v>
      </c>
      <c r="Q1340" s="106">
        <v>3</v>
      </c>
      <c r="R1340" s="107">
        <v>15</v>
      </c>
      <c r="S1340" s="108">
        <v>1358.9</v>
      </c>
      <c r="T1340" s="108">
        <v>1358.9</v>
      </c>
      <c r="U1340" s="108">
        <v>1265.4000000000001</v>
      </c>
      <c r="V1340" s="109">
        <v>93.5</v>
      </c>
      <c r="W1340" s="206" t="s">
        <v>233</v>
      </c>
      <c r="X1340" s="206" t="s">
        <v>233</v>
      </c>
      <c r="Y1340" s="206" t="s">
        <v>233</v>
      </c>
      <c r="Z1340" s="206" t="s">
        <v>233</v>
      </c>
      <c r="AA1340" s="206" t="s">
        <v>233</v>
      </c>
      <c r="AB1340" s="206" t="s">
        <v>233</v>
      </c>
      <c r="AC1340" s="206" t="s">
        <v>240</v>
      </c>
      <c r="AD1340" s="206" t="s">
        <v>233</v>
      </c>
      <c r="AE1340" s="206" t="s">
        <v>240</v>
      </c>
      <c r="AF1340" s="96">
        <v>0</v>
      </c>
      <c r="AG1340" s="93">
        <v>0</v>
      </c>
      <c r="AH1340" s="93">
        <v>2</v>
      </c>
      <c r="AI1340" s="93">
        <v>0</v>
      </c>
      <c r="AJ1340" s="93">
        <v>0</v>
      </c>
      <c r="AK1340" s="93">
        <v>0</v>
      </c>
    </row>
    <row r="1341" spans="1:37" s="104" customFormat="1" ht="15.75" customHeight="1" outlineLevel="1">
      <c r="A1341" s="92">
        <v>1334</v>
      </c>
      <c r="B1341" s="93" t="s">
        <v>190</v>
      </c>
      <c r="C1341" s="93" t="s">
        <v>1488</v>
      </c>
      <c r="D1341" s="94" t="s">
        <v>1048</v>
      </c>
      <c r="E1341" s="105">
        <v>7</v>
      </c>
      <c r="F1341" s="99" t="s">
        <v>231</v>
      </c>
      <c r="G1341" s="99"/>
      <c r="H1341" s="96" t="s">
        <v>1076</v>
      </c>
      <c r="I1341" s="106" t="s">
        <v>736</v>
      </c>
      <c r="J1341" s="93"/>
      <c r="K1341" s="99" t="s">
        <v>232</v>
      </c>
      <c r="L1341" s="93" t="s">
        <v>232</v>
      </c>
      <c r="M1341" s="200">
        <v>1896</v>
      </c>
      <c r="N1341" s="64" t="s">
        <v>385</v>
      </c>
      <c r="O1341" s="106">
        <v>4</v>
      </c>
      <c r="P1341" s="196">
        <v>0</v>
      </c>
      <c r="Q1341" s="106">
        <v>4</v>
      </c>
      <c r="R1341" s="107">
        <v>17</v>
      </c>
      <c r="S1341" s="108">
        <v>1363.2</v>
      </c>
      <c r="T1341" s="108">
        <v>1363.2</v>
      </c>
      <c r="U1341" s="108">
        <v>1269.7</v>
      </c>
      <c r="V1341" s="109">
        <v>93.5</v>
      </c>
      <c r="W1341" s="206" t="s">
        <v>233</v>
      </c>
      <c r="X1341" s="206" t="s">
        <v>233</v>
      </c>
      <c r="Y1341" s="206" t="s">
        <v>233</v>
      </c>
      <c r="Z1341" s="206" t="s">
        <v>233</v>
      </c>
      <c r="AA1341" s="206" t="s">
        <v>233</v>
      </c>
      <c r="AB1341" s="206" t="s">
        <v>233</v>
      </c>
      <c r="AC1341" s="206" t="s">
        <v>240</v>
      </c>
      <c r="AD1341" s="206" t="s">
        <v>233</v>
      </c>
      <c r="AE1341" s="206" t="s">
        <v>240</v>
      </c>
      <c r="AF1341" s="96">
        <v>0</v>
      </c>
      <c r="AG1341" s="93">
        <v>0</v>
      </c>
      <c r="AH1341" s="93">
        <v>0</v>
      </c>
      <c r="AI1341" s="93">
        <v>0</v>
      </c>
      <c r="AJ1341" s="93">
        <v>0</v>
      </c>
      <c r="AK1341" s="93">
        <v>0</v>
      </c>
    </row>
    <row r="1342" spans="1:37" s="104" customFormat="1" ht="15.75" customHeight="1" outlineLevel="1">
      <c r="A1342" s="92">
        <v>1335</v>
      </c>
      <c r="B1342" s="93" t="s">
        <v>190</v>
      </c>
      <c r="C1342" s="93" t="s">
        <v>1488</v>
      </c>
      <c r="D1342" s="94" t="s">
        <v>1048</v>
      </c>
      <c r="E1342" s="105">
        <v>8</v>
      </c>
      <c r="F1342" s="99" t="s">
        <v>191</v>
      </c>
      <c r="G1342" s="99"/>
      <c r="H1342" s="96" t="s">
        <v>1077</v>
      </c>
      <c r="I1342" s="106" t="s">
        <v>736</v>
      </c>
      <c r="J1342" s="93"/>
      <c r="K1342" s="99" t="s">
        <v>232</v>
      </c>
      <c r="L1342" s="93" t="s">
        <v>232</v>
      </c>
      <c r="M1342" s="200">
        <v>1896</v>
      </c>
      <c r="N1342" s="64" t="s">
        <v>385</v>
      </c>
      <c r="O1342" s="106">
        <v>4</v>
      </c>
      <c r="P1342" s="196">
        <v>0</v>
      </c>
      <c r="Q1342" s="106">
        <v>6</v>
      </c>
      <c r="R1342" s="107">
        <v>40</v>
      </c>
      <c r="S1342" s="108">
        <v>4476.6100000000006</v>
      </c>
      <c r="T1342" s="108">
        <v>4476.6100000000006</v>
      </c>
      <c r="U1342" s="108">
        <v>4061.61</v>
      </c>
      <c r="V1342" s="109">
        <v>415</v>
      </c>
      <c r="W1342" s="206" t="s">
        <v>233</v>
      </c>
      <c r="X1342" s="206" t="s">
        <v>233</v>
      </c>
      <c r="Y1342" s="206" t="s">
        <v>233</v>
      </c>
      <c r="Z1342" s="206" t="s">
        <v>233</v>
      </c>
      <c r="AA1342" s="206" t="s">
        <v>233</v>
      </c>
      <c r="AB1342" s="206" t="s">
        <v>233</v>
      </c>
      <c r="AC1342" s="206" t="s">
        <v>240</v>
      </c>
      <c r="AD1342" s="206" t="s">
        <v>233</v>
      </c>
      <c r="AE1342" s="206" t="s">
        <v>240</v>
      </c>
      <c r="AF1342" s="96">
        <v>0</v>
      </c>
      <c r="AG1342" s="93">
        <v>0</v>
      </c>
      <c r="AH1342" s="93">
        <v>1</v>
      </c>
      <c r="AI1342" s="93">
        <v>0</v>
      </c>
      <c r="AJ1342" s="93">
        <v>0</v>
      </c>
      <c r="AK1342" s="93">
        <v>0</v>
      </c>
    </row>
    <row r="1343" spans="1:37" s="104" customFormat="1" outlineLevel="1">
      <c r="A1343" s="92">
        <v>1336</v>
      </c>
      <c r="B1343" s="93" t="s">
        <v>190</v>
      </c>
      <c r="C1343" s="93" t="s">
        <v>1488</v>
      </c>
      <c r="D1343" s="94" t="s">
        <v>1048</v>
      </c>
      <c r="E1343" s="105">
        <v>9</v>
      </c>
      <c r="F1343" s="99" t="s">
        <v>231</v>
      </c>
      <c r="G1343" s="99"/>
      <c r="H1343" s="96" t="s">
        <v>1078</v>
      </c>
      <c r="I1343" s="106" t="s">
        <v>736</v>
      </c>
      <c r="J1343" s="93"/>
      <c r="K1343" s="99" t="s">
        <v>232</v>
      </c>
      <c r="L1343" s="93" t="s">
        <v>232</v>
      </c>
      <c r="M1343" s="200">
        <v>1917</v>
      </c>
      <c r="N1343" s="64" t="s">
        <v>385</v>
      </c>
      <c r="O1343" s="106">
        <v>4</v>
      </c>
      <c r="P1343" s="196">
        <v>0</v>
      </c>
      <c r="Q1343" s="106">
        <v>3</v>
      </c>
      <c r="R1343" s="107">
        <v>26</v>
      </c>
      <c r="S1343" s="108">
        <v>2200.9799999999996</v>
      </c>
      <c r="T1343" s="108">
        <v>2200.9799999999996</v>
      </c>
      <c r="U1343" s="108">
        <v>1889.98</v>
      </c>
      <c r="V1343" s="109">
        <v>311</v>
      </c>
      <c r="W1343" s="206" t="s">
        <v>233</v>
      </c>
      <c r="X1343" s="206" t="s">
        <v>233</v>
      </c>
      <c r="Y1343" s="206" t="s">
        <v>233</v>
      </c>
      <c r="Z1343" s="206" t="s">
        <v>233</v>
      </c>
      <c r="AA1343" s="206" t="s">
        <v>233</v>
      </c>
      <c r="AB1343" s="206" t="s">
        <v>233</v>
      </c>
      <c r="AC1343" s="206" t="s">
        <v>240</v>
      </c>
      <c r="AD1343" s="206" t="s">
        <v>233</v>
      </c>
      <c r="AE1343" s="206" t="s">
        <v>240</v>
      </c>
      <c r="AF1343" s="96">
        <v>0</v>
      </c>
      <c r="AG1343" s="93">
        <v>0</v>
      </c>
      <c r="AH1343" s="93">
        <v>1</v>
      </c>
      <c r="AI1343" s="93">
        <v>0</v>
      </c>
      <c r="AJ1343" s="93">
        <v>0</v>
      </c>
      <c r="AK1343" s="93">
        <v>0</v>
      </c>
    </row>
    <row r="1344" spans="1:37" s="104" customFormat="1" outlineLevel="1">
      <c r="A1344" s="92">
        <v>1337</v>
      </c>
      <c r="B1344" s="93" t="s">
        <v>190</v>
      </c>
      <c r="C1344" s="93" t="s">
        <v>1488</v>
      </c>
      <c r="D1344" s="94" t="s">
        <v>1079</v>
      </c>
      <c r="E1344" s="105">
        <v>24</v>
      </c>
      <c r="F1344" s="99" t="s">
        <v>191</v>
      </c>
      <c r="G1344" s="99"/>
      <c r="H1344" s="96" t="s">
        <v>1080</v>
      </c>
      <c r="I1344" s="106" t="s">
        <v>736</v>
      </c>
      <c r="J1344" s="93"/>
      <c r="K1344" s="99" t="s">
        <v>232</v>
      </c>
      <c r="L1344" s="93" t="s">
        <v>232</v>
      </c>
      <c r="M1344" s="200">
        <v>1870</v>
      </c>
      <c r="N1344" s="64" t="s">
        <v>385</v>
      </c>
      <c r="O1344" s="106">
        <v>5</v>
      </c>
      <c r="P1344" s="196">
        <v>0</v>
      </c>
      <c r="Q1344" s="106">
        <v>8</v>
      </c>
      <c r="R1344" s="107">
        <v>55</v>
      </c>
      <c r="S1344" s="108">
        <v>5420</v>
      </c>
      <c r="T1344" s="108">
        <v>5420</v>
      </c>
      <c r="U1344" s="108">
        <v>4943</v>
      </c>
      <c r="V1344" s="109">
        <v>477</v>
      </c>
      <c r="W1344" s="206" t="s">
        <v>240</v>
      </c>
      <c r="X1344" s="206" t="s">
        <v>240</v>
      </c>
      <c r="Y1344" s="206" t="s">
        <v>233</v>
      </c>
      <c r="Z1344" s="206" t="s">
        <v>240</v>
      </c>
      <c r="AA1344" s="206" t="s">
        <v>233</v>
      </c>
      <c r="AB1344" s="206" t="s">
        <v>233</v>
      </c>
      <c r="AC1344" s="206" t="s">
        <v>240</v>
      </c>
      <c r="AD1344" s="206" t="s">
        <v>233</v>
      </c>
      <c r="AE1344" s="206" t="s">
        <v>240</v>
      </c>
      <c r="AF1344" s="96">
        <v>0</v>
      </c>
      <c r="AG1344" s="93">
        <v>0</v>
      </c>
      <c r="AH1344" s="93">
        <v>0</v>
      </c>
      <c r="AI1344" s="93">
        <v>0</v>
      </c>
      <c r="AJ1344" s="93">
        <v>0</v>
      </c>
      <c r="AK1344" s="93">
        <v>0</v>
      </c>
    </row>
    <row r="1345" spans="1:37" s="104" customFormat="1" outlineLevel="1">
      <c r="A1345" s="92">
        <v>1338</v>
      </c>
      <c r="B1345" s="93" t="s">
        <v>190</v>
      </c>
      <c r="C1345" s="93" t="s">
        <v>1488</v>
      </c>
      <c r="D1345" s="94" t="s">
        <v>1081</v>
      </c>
      <c r="E1345" s="105">
        <v>10</v>
      </c>
      <c r="F1345" s="99" t="s">
        <v>191</v>
      </c>
      <c r="G1345" s="99"/>
      <c r="H1345" s="96" t="s">
        <v>1082</v>
      </c>
      <c r="I1345" s="106" t="s">
        <v>736</v>
      </c>
      <c r="J1345" s="93"/>
      <c r="K1345" s="99" t="s">
        <v>232</v>
      </c>
      <c r="L1345" s="93" t="s">
        <v>232</v>
      </c>
      <c r="M1345" s="200">
        <v>1917</v>
      </c>
      <c r="N1345" s="64" t="s">
        <v>385</v>
      </c>
      <c r="O1345" s="106">
        <v>4</v>
      </c>
      <c r="P1345" s="196">
        <v>0</v>
      </c>
      <c r="Q1345" s="106">
        <v>2</v>
      </c>
      <c r="R1345" s="107">
        <v>15</v>
      </c>
      <c r="S1345" s="108">
        <v>1183.5999999999999</v>
      </c>
      <c r="T1345" s="108">
        <v>1183.5999999999999</v>
      </c>
      <c r="U1345" s="108">
        <v>1028.5</v>
      </c>
      <c r="V1345" s="109">
        <v>155.1</v>
      </c>
      <c r="W1345" s="206" t="s">
        <v>233</v>
      </c>
      <c r="X1345" s="206" t="s">
        <v>233</v>
      </c>
      <c r="Y1345" s="206" t="s">
        <v>233</v>
      </c>
      <c r="Z1345" s="206" t="s">
        <v>233</v>
      </c>
      <c r="AA1345" s="206" t="s">
        <v>233</v>
      </c>
      <c r="AB1345" s="206" t="s">
        <v>233</v>
      </c>
      <c r="AC1345" s="206" t="s">
        <v>240</v>
      </c>
      <c r="AD1345" s="206" t="s">
        <v>233</v>
      </c>
      <c r="AE1345" s="206" t="s">
        <v>240</v>
      </c>
      <c r="AF1345" s="96">
        <v>0</v>
      </c>
      <c r="AG1345" s="93">
        <v>0</v>
      </c>
      <c r="AH1345" s="93">
        <v>0</v>
      </c>
      <c r="AI1345" s="93">
        <v>0</v>
      </c>
      <c r="AJ1345" s="93">
        <v>0</v>
      </c>
      <c r="AK1345" s="93">
        <v>0</v>
      </c>
    </row>
    <row r="1346" spans="1:37" s="104" customFormat="1" outlineLevel="1">
      <c r="A1346" s="92">
        <v>1339</v>
      </c>
      <c r="B1346" s="93" t="s">
        <v>190</v>
      </c>
      <c r="C1346" s="93" t="s">
        <v>1488</v>
      </c>
      <c r="D1346" s="94" t="s">
        <v>1083</v>
      </c>
      <c r="E1346" s="105" t="s">
        <v>1084</v>
      </c>
      <c r="F1346" s="99" t="s">
        <v>191</v>
      </c>
      <c r="G1346" s="99"/>
      <c r="H1346" s="96" t="s">
        <v>1085</v>
      </c>
      <c r="I1346" s="106" t="s">
        <v>736</v>
      </c>
      <c r="J1346" s="93"/>
      <c r="K1346" s="99" t="s">
        <v>232</v>
      </c>
      <c r="L1346" s="93" t="s">
        <v>232</v>
      </c>
      <c r="M1346" s="200">
        <v>1840</v>
      </c>
      <c r="N1346" s="64" t="s">
        <v>385</v>
      </c>
      <c r="O1346" s="106">
        <v>5</v>
      </c>
      <c r="P1346" s="196">
        <v>0</v>
      </c>
      <c r="Q1346" s="106">
        <v>4</v>
      </c>
      <c r="R1346" s="107">
        <v>35</v>
      </c>
      <c r="S1346" s="108">
        <v>2438.1</v>
      </c>
      <c r="T1346" s="108">
        <v>2438.1</v>
      </c>
      <c r="U1346" s="108">
        <v>2223.6</v>
      </c>
      <c r="V1346" s="109">
        <v>214.5</v>
      </c>
      <c r="W1346" s="206" t="s">
        <v>233</v>
      </c>
      <c r="X1346" s="206" t="s">
        <v>233</v>
      </c>
      <c r="Y1346" s="206" t="s">
        <v>233</v>
      </c>
      <c r="Z1346" s="206" t="s">
        <v>233</v>
      </c>
      <c r="AA1346" s="206" t="s">
        <v>233</v>
      </c>
      <c r="AB1346" s="206" t="s">
        <v>233</v>
      </c>
      <c r="AC1346" s="206" t="s">
        <v>240</v>
      </c>
      <c r="AD1346" s="206" t="s">
        <v>233</v>
      </c>
      <c r="AE1346" s="206" t="s">
        <v>240</v>
      </c>
      <c r="AF1346" s="96">
        <v>0</v>
      </c>
      <c r="AG1346" s="93">
        <v>0</v>
      </c>
      <c r="AH1346" s="93">
        <v>1</v>
      </c>
      <c r="AI1346" s="93">
        <v>0</v>
      </c>
      <c r="AJ1346" s="93">
        <v>0</v>
      </c>
      <c r="AK1346" s="93">
        <v>0</v>
      </c>
    </row>
    <row r="1347" spans="1:37" s="104" customFormat="1" outlineLevel="1">
      <c r="A1347" s="92">
        <v>1340</v>
      </c>
      <c r="B1347" s="93" t="s">
        <v>190</v>
      </c>
      <c r="C1347" s="93" t="s">
        <v>1488</v>
      </c>
      <c r="D1347" s="94" t="s">
        <v>1081</v>
      </c>
      <c r="E1347" s="105">
        <v>3</v>
      </c>
      <c r="F1347" s="99" t="s">
        <v>191</v>
      </c>
      <c r="G1347" s="99"/>
      <c r="H1347" s="96" t="s">
        <v>1086</v>
      </c>
      <c r="I1347" s="106" t="s">
        <v>736</v>
      </c>
      <c r="J1347" s="93"/>
      <c r="K1347" s="99" t="s">
        <v>232</v>
      </c>
      <c r="L1347" s="93" t="s">
        <v>232</v>
      </c>
      <c r="M1347" s="200">
        <v>1881</v>
      </c>
      <c r="N1347" s="64" t="s">
        <v>385</v>
      </c>
      <c r="O1347" s="106">
        <v>7</v>
      </c>
      <c r="P1347" s="196">
        <v>0</v>
      </c>
      <c r="Q1347" s="106">
        <v>7</v>
      </c>
      <c r="R1347" s="107">
        <v>81</v>
      </c>
      <c r="S1347" s="108">
        <v>8059.9000000000005</v>
      </c>
      <c r="T1347" s="108">
        <v>8059.9000000000005</v>
      </c>
      <c r="U1347" s="108">
        <v>7532.1</v>
      </c>
      <c r="V1347" s="109">
        <v>527.79999999999995</v>
      </c>
      <c r="W1347" s="206" t="s">
        <v>233</v>
      </c>
      <c r="X1347" s="206" t="s">
        <v>233</v>
      </c>
      <c r="Y1347" s="206" t="s">
        <v>233</v>
      </c>
      <c r="Z1347" s="206" t="s">
        <v>233</v>
      </c>
      <c r="AA1347" s="206" t="s">
        <v>233</v>
      </c>
      <c r="AB1347" s="206" t="s">
        <v>233</v>
      </c>
      <c r="AC1347" s="206" t="s">
        <v>240</v>
      </c>
      <c r="AD1347" s="206" t="s">
        <v>233</v>
      </c>
      <c r="AE1347" s="206" t="s">
        <v>240</v>
      </c>
      <c r="AF1347" s="96">
        <v>6</v>
      </c>
      <c r="AG1347" s="93">
        <v>0</v>
      </c>
      <c r="AH1347" s="93">
        <v>1</v>
      </c>
      <c r="AI1347" s="93">
        <v>0</v>
      </c>
      <c r="AJ1347" s="93">
        <v>0</v>
      </c>
      <c r="AK1347" s="93">
        <v>0</v>
      </c>
    </row>
    <row r="1348" spans="1:37" s="104" customFormat="1" outlineLevel="1">
      <c r="A1348" s="92">
        <v>1341</v>
      </c>
      <c r="B1348" s="93" t="s">
        <v>190</v>
      </c>
      <c r="C1348" s="93" t="s">
        <v>1488</v>
      </c>
      <c r="D1348" s="94" t="s">
        <v>1081</v>
      </c>
      <c r="E1348" s="105">
        <v>4</v>
      </c>
      <c r="F1348" s="99" t="s">
        <v>191</v>
      </c>
      <c r="G1348" s="99"/>
      <c r="H1348" s="96" t="s">
        <v>1087</v>
      </c>
      <c r="I1348" s="106" t="s">
        <v>736</v>
      </c>
      <c r="J1348" s="93"/>
      <c r="K1348" s="99" t="s">
        <v>232</v>
      </c>
      <c r="L1348" s="93" t="s">
        <v>232</v>
      </c>
      <c r="M1348" s="200">
        <v>1858</v>
      </c>
      <c r="N1348" s="64" t="s">
        <v>385</v>
      </c>
      <c r="O1348" s="106">
        <v>5</v>
      </c>
      <c r="P1348" s="196">
        <v>0</v>
      </c>
      <c r="Q1348" s="106">
        <v>2</v>
      </c>
      <c r="R1348" s="107">
        <v>30</v>
      </c>
      <c r="S1348" s="108">
        <v>1930.9</v>
      </c>
      <c r="T1348" s="108">
        <v>1930.9</v>
      </c>
      <c r="U1348" s="108">
        <v>1924</v>
      </c>
      <c r="V1348" s="109">
        <v>6.9</v>
      </c>
      <c r="W1348" s="206" t="s">
        <v>233</v>
      </c>
      <c r="X1348" s="206" t="s">
        <v>233</v>
      </c>
      <c r="Y1348" s="206" t="s">
        <v>233</v>
      </c>
      <c r="Z1348" s="206" t="s">
        <v>233</v>
      </c>
      <c r="AA1348" s="206" t="s">
        <v>233</v>
      </c>
      <c r="AB1348" s="206" t="s">
        <v>233</v>
      </c>
      <c r="AC1348" s="206" t="s">
        <v>240</v>
      </c>
      <c r="AD1348" s="206" t="s">
        <v>233</v>
      </c>
      <c r="AE1348" s="206" t="s">
        <v>240</v>
      </c>
      <c r="AF1348" s="96">
        <v>2</v>
      </c>
      <c r="AG1348" s="93">
        <v>0</v>
      </c>
      <c r="AH1348" s="93">
        <v>1</v>
      </c>
      <c r="AI1348" s="93">
        <v>0</v>
      </c>
      <c r="AJ1348" s="93">
        <v>0</v>
      </c>
      <c r="AK1348" s="93">
        <v>0</v>
      </c>
    </row>
    <row r="1349" spans="1:37" s="104" customFormat="1" outlineLevel="1">
      <c r="A1349" s="92">
        <v>1342</v>
      </c>
      <c r="B1349" s="93" t="s">
        <v>190</v>
      </c>
      <c r="C1349" s="93" t="s">
        <v>1488</v>
      </c>
      <c r="D1349" s="94" t="s">
        <v>1081</v>
      </c>
      <c r="E1349" s="105">
        <v>6</v>
      </c>
      <c r="F1349" s="99" t="s">
        <v>191</v>
      </c>
      <c r="G1349" s="99"/>
      <c r="H1349" s="96" t="s">
        <v>1088</v>
      </c>
      <c r="I1349" s="106" t="s">
        <v>736</v>
      </c>
      <c r="J1349" s="93"/>
      <c r="K1349" s="99" t="s">
        <v>232</v>
      </c>
      <c r="L1349" s="93" t="s">
        <v>232</v>
      </c>
      <c r="M1349" s="200">
        <v>1883</v>
      </c>
      <c r="N1349" s="64" t="s">
        <v>385</v>
      </c>
      <c r="O1349" s="106">
        <v>5</v>
      </c>
      <c r="P1349" s="196">
        <v>0</v>
      </c>
      <c r="Q1349" s="106">
        <v>4</v>
      </c>
      <c r="R1349" s="107">
        <v>22</v>
      </c>
      <c r="S1349" s="108">
        <v>1768</v>
      </c>
      <c r="T1349" s="108">
        <v>1768</v>
      </c>
      <c r="U1349" s="108">
        <v>1630</v>
      </c>
      <c r="V1349" s="109">
        <v>138</v>
      </c>
      <c r="W1349" s="206" t="s">
        <v>233</v>
      </c>
      <c r="X1349" s="206" t="s">
        <v>233</v>
      </c>
      <c r="Y1349" s="206" t="s">
        <v>233</v>
      </c>
      <c r="Z1349" s="206" t="s">
        <v>233</v>
      </c>
      <c r="AA1349" s="206" t="s">
        <v>233</v>
      </c>
      <c r="AB1349" s="206" t="s">
        <v>233</v>
      </c>
      <c r="AC1349" s="206" t="s">
        <v>240</v>
      </c>
      <c r="AD1349" s="206" t="s">
        <v>233</v>
      </c>
      <c r="AE1349" s="206" t="s">
        <v>240</v>
      </c>
      <c r="AF1349" s="96">
        <v>0</v>
      </c>
      <c r="AG1349" s="93">
        <v>0</v>
      </c>
      <c r="AH1349" s="93">
        <v>1</v>
      </c>
      <c r="AI1349" s="93">
        <v>0</v>
      </c>
      <c r="AJ1349" s="93">
        <v>0</v>
      </c>
      <c r="AK1349" s="93">
        <v>0</v>
      </c>
    </row>
    <row r="1350" spans="1:37" s="104" customFormat="1" ht="15.75" customHeight="1" outlineLevel="1">
      <c r="A1350" s="92">
        <v>1343</v>
      </c>
      <c r="B1350" s="93" t="s">
        <v>190</v>
      </c>
      <c r="C1350" s="93" t="s">
        <v>1488</v>
      </c>
      <c r="D1350" s="94" t="s">
        <v>1081</v>
      </c>
      <c r="E1350" s="105">
        <v>6</v>
      </c>
      <c r="F1350" s="99" t="s">
        <v>231</v>
      </c>
      <c r="G1350" s="99"/>
      <c r="H1350" s="96" t="s">
        <v>1089</v>
      </c>
      <c r="I1350" s="106" t="s">
        <v>736</v>
      </c>
      <c r="J1350" s="93"/>
      <c r="K1350" s="99" t="s">
        <v>232</v>
      </c>
      <c r="L1350" s="93" t="s">
        <v>232</v>
      </c>
      <c r="M1350" s="200">
        <v>1883</v>
      </c>
      <c r="N1350" s="64" t="s">
        <v>385</v>
      </c>
      <c r="O1350" s="106">
        <v>5</v>
      </c>
      <c r="P1350" s="196">
        <v>0</v>
      </c>
      <c r="Q1350" s="106">
        <v>1</v>
      </c>
      <c r="R1350" s="107">
        <v>12</v>
      </c>
      <c r="S1350" s="108">
        <v>1049.3</v>
      </c>
      <c r="T1350" s="108">
        <v>1049.3</v>
      </c>
      <c r="U1350" s="108">
        <v>898.9</v>
      </c>
      <c r="V1350" s="109">
        <v>150.4</v>
      </c>
      <c r="W1350" s="206" t="s">
        <v>233</v>
      </c>
      <c r="X1350" s="206" t="s">
        <v>233</v>
      </c>
      <c r="Y1350" s="206" t="s">
        <v>233</v>
      </c>
      <c r="Z1350" s="206" t="s">
        <v>233</v>
      </c>
      <c r="AA1350" s="206" t="s">
        <v>233</v>
      </c>
      <c r="AB1350" s="206" t="s">
        <v>233</v>
      </c>
      <c r="AC1350" s="206" t="s">
        <v>240</v>
      </c>
      <c r="AD1350" s="206" t="s">
        <v>233</v>
      </c>
      <c r="AE1350" s="206" t="s">
        <v>240</v>
      </c>
      <c r="AF1350" s="96">
        <v>0</v>
      </c>
      <c r="AG1350" s="93">
        <v>0</v>
      </c>
      <c r="AH1350" s="93">
        <v>0</v>
      </c>
      <c r="AI1350" s="93">
        <v>0</v>
      </c>
      <c r="AJ1350" s="93">
        <v>0</v>
      </c>
      <c r="AK1350" s="93">
        <v>0</v>
      </c>
    </row>
    <row r="1351" spans="1:37" s="104" customFormat="1" ht="15.75" customHeight="1" outlineLevel="1">
      <c r="A1351" s="92">
        <v>1344</v>
      </c>
      <c r="B1351" s="93" t="s">
        <v>190</v>
      </c>
      <c r="C1351" s="93" t="s">
        <v>1488</v>
      </c>
      <c r="D1351" s="94" t="s">
        <v>1081</v>
      </c>
      <c r="E1351" s="105">
        <v>8</v>
      </c>
      <c r="F1351" s="99" t="s">
        <v>191</v>
      </c>
      <c r="G1351" s="99"/>
      <c r="H1351" s="96" t="s">
        <v>1090</v>
      </c>
      <c r="I1351" s="106" t="s">
        <v>736</v>
      </c>
      <c r="J1351" s="93"/>
      <c r="K1351" s="99" t="s">
        <v>232</v>
      </c>
      <c r="L1351" s="93" t="s">
        <v>232</v>
      </c>
      <c r="M1351" s="200">
        <v>1911</v>
      </c>
      <c r="N1351" s="64" t="s">
        <v>385</v>
      </c>
      <c r="O1351" s="106">
        <v>5</v>
      </c>
      <c r="P1351" s="196">
        <v>0</v>
      </c>
      <c r="Q1351" s="106">
        <v>4</v>
      </c>
      <c r="R1351" s="107">
        <v>27</v>
      </c>
      <c r="S1351" s="108">
        <v>2700.5</v>
      </c>
      <c r="T1351" s="108">
        <v>2700.5</v>
      </c>
      <c r="U1351" s="108">
        <v>2232.8000000000002</v>
      </c>
      <c r="V1351" s="109">
        <v>467.7</v>
      </c>
      <c r="W1351" s="206" t="s">
        <v>233</v>
      </c>
      <c r="X1351" s="206" t="s">
        <v>233</v>
      </c>
      <c r="Y1351" s="206" t="s">
        <v>233</v>
      </c>
      <c r="Z1351" s="206" t="s">
        <v>233</v>
      </c>
      <c r="AA1351" s="206" t="s">
        <v>233</v>
      </c>
      <c r="AB1351" s="206" t="s">
        <v>233</v>
      </c>
      <c r="AC1351" s="206" t="s">
        <v>240</v>
      </c>
      <c r="AD1351" s="206" t="s">
        <v>233</v>
      </c>
      <c r="AE1351" s="206" t="s">
        <v>240</v>
      </c>
      <c r="AF1351" s="96">
        <v>0</v>
      </c>
      <c r="AG1351" s="93">
        <v>0</v>
      </c>
      <c r="AH1351" s="93">
        <v>1</v>
      </c>
      <c r="AI1351" s="93">
        <v>0</v>
      </c>
      <c r="AJ1351" s="93">
        <v>0</v>
      </c>
      <c r="AK1351" s="93">
        <v>0</v>
      </c>
    </row>
    <row r="1352" spans="1:37" s="104" customFormat="1" outlineLevel="1">
      <c r="A1352" s="92">
        <v>1345</v>
      </c>
      <c r="B1352" s="93" t="s">
        <v>190</v>
      </c>
      <c r="C1352" s="93" t="s">
        <v>1488</v>
      </c>
      <c r="D1352" s="94" t="s">
        <v>1091</v>
      </c>
      <c r="E1352" s="105" t="s">
        <v>1092</v>
      </c>
      <c r="F1352" s="99" t="s">
        <v>191</v>
      </c>
      <c r="G1352" s="99"/>
      <c r="H1352" s="96" t="s">
        <v>1093</v>
      </c>
      <c r="I1352" s="106" t="s">
        <v>736</v>
      </c>
      <c r="J1352" s="93"/>
      <c r="K1352" s="99" t="s">
        <v>232</v>
      </c>
      <c r="L1352" s="93" t="s">
        <v>232</v>
      </c>
      <c r="M1352" s="200">
        <v>1848</v>
      </c>
      <c r="N1352" s="64" t="s">
        <v>385</v>
      </c>
      <c r="O1352" s="106">
        <v>4</v>
      </c>
      <c r="P1352" s="196">
        <v>0</v>
      </c>
      <c r="Q1352" s="106">
        <v>4</v>
      </c>
      <c r="R1352" s="107">
        <v>11</v>
      </c>
      <c r="S1352" s="108">
        <v>2274.5</v>
      </c>
      <c r="T1352" s="108">
        <v>2274.5</v>
      </c>
      <c r="U1352" s="108">
        <v>1080.5</v>
      </c>
      <c r="V1352" s="109">
        <v>1194</v>
      </c>
      <c r="W1352" s="206" t="s">
        <v>233</v>
      </c>
      <c r="X1352" s="206" t="s">
        <v>233</v>
      </c>
      <c r="Y1352" s="206" t="s">
        <v>233</v>
      </c>
      <c r="Z1352" s="206" t="s">
        <v>233</v>
      </c>
      <c r="AA1352" s="206" t="s">
        <v>233</v>
      </c>
      <c r="AB1352" s="206" t="s">
        <v>233</v>
      </c>
      <c r="AC1352" s="206" t="s">
        <v>240</v>
      </c>
      <c r="AD1352" s="206" t="s">
        <v>233</v>
      </c>
      <c r="AE1352" s="206" t="s">
        <v>240</v>
      </c>
      <c r="AF1352" s="96">
        <v>0</v>
      </c>
      <c r="AG1352" s="93">
        <v>0</v>
      </c>
      <c r="AH1352" s="93">
        <v>1</v>
      </c>
      <c r="AI1352" s="93">
        <v>0</v>
      </c>
      <c r="AJ1352" s="93">
        <v>0</v>
      </c>
      <c r="AK1352" s="93">
        <v>0</v>
      </c>
    </row>
    <row r="1353" spans="1:37" s="104" customFormat="1" outlineLevel="1">
      <c r="A1353" s="92">
        <v>1346</v>
      </c>
      <c r="B1353" s="93" t="s">
        <v>190</v>
      </c>
      <c r="C1353" s="93" t="s">
        <v>1488</v>
      </c>
      <c r="D1353" s="94" t="s">
        <v>1094</v>
      </c>
      <c r="E1353" s="105">
        <v>10</v>
      </c>
      <c r="F1353" s="99" t="s">
        <v>191</v>
      </c>
      <c r="G1353" s="99"/>
      <c r="H1353" s="96" t="s">
        <v>1095</v>
      </c>
      <c r="I1353" s="106" t="s">
        <v>736</v>
      </c>
      <c r="J1353" s="93"/>
      <c r="K1353" s="99" t="s">
        <v>232</v>
      </c>
      <c r="L1353" s="93" t="s">
        <v>232</v>
      </c>
      <c r="M1353" s="200">
        <v>1917</v>
      </c>
      <c r="N1353" s="64" t="s">
        <v>385</v>
      </c>
      <c r="O1353" s="106">
        <v>4</v>
      </c>
      <c r="P1353" s="196">
        <v>0</v>
      </c>
      <c r="Q1353" s="106">
        <v>2</v>
      </c>
      <c r="R1353" s="107">
        <v>19</v>
      </c>
      <c r="S1353" s="108">
        <v>1466.6000000000001</v>
      </c>
      <c r="T1353" s="108">
        <v>1466.6000000000001</v>
      </c>
      <c r="U1353" s="108">
        <v>1308.7</v>
      </c>
      <c r="V1353" s="109">
        <v>157.9</v>
      </c>
      <c r="W1353" s="206" t="s">
        <v>233</v>
      </c>
      <c r="X1353" s="206" t="s">
        <v>233</v>
      </c>
      <c r="Y1353" s="206" t="s">
        <v>233</v>
      </c>
      <c r="Z1353" s="206" t="s">
        <v>233</v>
      </c>
      <c r="AA1353" s="206" t="s">
        <v>233</v>
      </c>
      <c r="AB1353" s="206" t="s">
        <v>233</v>
      </c>
      <c r="AC1353" s="206" t="s">
        <v>240</v>
      </c>
      <c r="AD1353" s="206" t="s">
        <v>233</v>
      </c>
      <c r="AE1353" s="206" t="s">
        <v>240</v>
      </c>
      <c r="AF1353" s="96">
        <v>0</v>
      </c>
      <c r="AG1353" s="93">
        <v>0</v>
      </c>
      <c r="AH1353" s="93">
        <v>1</v>
      </c>
      <c r="AI1353" s="93">
        <v>0</v>
      </c>
      <c r="AJ1353" s="93">
        <v>0</v>
      </c>
      <c r="AK1353" s="93">
        <v>0</v>
      </c>
    </row>
    <row r="1354" spans="1:37" s="104" customFormat="1" outlineLevel="1">
      <c r="A1354" s="92">
        <v>1347</v>
      </c>
      <c r="B1354" s="93" t="s">
        <v>190</v>
      </c>
      <c r="C1354" s="93" t="s">
        <v>1488</v>
      </c>
      <c r="D1354" s="94" t="s">
        <v>1094</v>
      </c>
      <c r="E1354" s="105">
        <v>11</v>
      </c>
      <c r="F1354" s="99" t="s">
        <v>191</v>
      </c>
      <c r="G1354" s="99"/>
      <c r="H1354" s="96" t="s">
        <v>1096</v>
      </c>
      <c r="I1354" s="106" t="s">
        <v>736</v>
      </c>
      <c r="J1354" s="93"/>
      <c r="K1354" s="99" t="s">
        <v>232</v>
      </c>
      <c r="L1354" s="93" t="s">
        <v>232</v>
      </c>
      <c r="M1354" s="200">
        <v>1829</v>
      </c>
      <c r="N1354" s="64" t="s">
        <v>385</v>
      </c>
      <c r="O1354" s="106">
        <v>4</v>
      </c>
      <c r="P1354" s="196">
        <v>0</v>
      </c>
      <c r="Q1354" s="106">
        <v>5</v>
      </c>
      <c r="R1354" s="107">
        <v>21</v>
      </c>
      <c r="S1354" s="108">
        <v>1870</v>
      </c>
      <c r="T1354" s="108">
        <v>1870</v>
      </c>
      <c r="U1354" s="108">
        <v>1604.2</v>
      </c>
      <c r="V1354" s="109">
        <v>265.8</v>
      </c>
      <c r="W1354" s="206" t="s">
        <v>233</v>
      </c>
      <c r="X1354" s="206" t="s">
        <v>233</v>
      </c>
      <c r="Y1354" s="206" t="s">
        <v>233</v>
      </c>
      <c r="Z1354" s="206" t="s">
        <v>233</v>
      </c>
      <c r="AA1354" s="206" t="s">
        <v>233</v>
      </c>
      <c r="AB1354" s="206" t="s">
        <v>233</v>
      </c>
      <c r="AC1354" s="206" t="s">
        <v>240</v>
      </c>
      <c r="AD1354" s="206" t="s">
        <v>233</v>
      </c>
      <c r="AE1354" s="206" t="s">
        <v>240</v>
      </c>
      <c r="AF1354" s="96">
        <v>0</v>
      </c>
      <c r="AG1354" s="93">
        <v>0</v>
      </c>
      <c r="AH1354" s="93">
        <v>1</v>
      </c>
      <c r="AI1354" s="93">
        <v>0</v>
      </c>
      <c r="AJ1354" s="93">
        <v>0</v>
      </c>
      <c r="AK1354" s="93">
        <v>0</v>
      </c>
    </row>
    <row r="1355" spans="1:37" s="104" customFormat="1" ht="15.75" customHeight="1" outlineLevel="1">
      <c r="A1355" s="92">
        <v>1348</v>
      </c>
      <c r="B1355" s="93" t="s">
        <v>190</v>
      </c>
      <c r="C1355" s="93" t="s">
        <v>1488</v>
      </c>
      <c r="D1355" s="94" t="s">
        <v>1094</v>
      </c>
      <c r="E1355" s="105">
        <v>12</v>
      </c>
      <c r="F1355" s="99" t="s">
        <v>231</v>
      </c>
      <c r="G1355" s="99"/>
      <c r="H1355" s="96" t="s">
        <v>1097</v>
      </c>
      <c r="I1355" s="106" t="s">
        <v>736</v>
      </c>
      <c r="J1355" s="93"/>
      <c r="K1355" s="99" t="s">
        <v>232</v>
      </c>
      <c r="L1355" s="93" t="s">
        <v>232</v>
      </c>
      <c r="M1355" s="200">
        <v>1996</v>
      </c>
      <c r="N1355" s="64" t="s">
        <v>385</v>
      </c>
      <c r="O1355" s="106">
        <v>4</v>
      </c>
      <c r="P1355" s="196">
        <v>0</v>
      </c>
      <c r="Q1355" s="106">
        <v>1</v>
      </c>
      <c r="R1355" s="107">
        <v>12</v>
      </c>
      <c r="S1355" s="108">
        <v>1391.8000000000002</v>
      </c>
      <c r="T1355" s="108">
        <v>1391.8000000000002</v>
      </c>
      <c r="U1355" s="108">
        <v>929.7</v>
      </c>
      <c r="V1355" s="109">
        <v>462.1</v>
      </c>
      <c r="W1355" s="206" t="s">
        <v>233</v>
      </c>
      <c r="X1355" s="206" t="s">
        <v>233</v>
      </c>
      <c r="Y1355" s="206" t="s">
        <v>233</v>
      </c>
      <c r="Z1355" s="206" t="s">
        <v>233</v>
      </c>
      <c r="AA1355" s="206" t="s">
        <v>233</v>
      </c>
      <c r="AB1355" s="206" t="s">
        <v>233</v>
      </c>
      <c r="AC1355" s="206" t="s">
        <v>240</v>
      </c>
      <c r="AD1355" s="206" t="s">
        <v>233</v>
      </c>
      <c r="AE1355" s="206" t="s">
        <v>240</v>
      </c>
      <c r="AF1355" s="96">
        <v>0</v>
      </c>
      <c r="AG1355" s="93">
        <v>0</v>
      </c>
      <c r="AH1355" s="93">
        <v>1</v>
      </c>
      <c r="AI1355" s="93">
        <v>0</v>
      </c>
      <c r="AJ1355" s="93">
        <v>0</v>
      </c>
      <c r="AK1355" s="93">
        <v>0</v>
      </c>
    </row>
    <row r="1356" spans="1:37" s="104" customFormat="1" ht="15.75" customHeight="1" outlineLevel="1">
      <c r="A1356" s="92">
        <v>1349</v>
      </c>
      <c r="B1356" s="93" t="s">
        <v>190</v>
      </c>
      <c r="C1356" s="93" t="s">
        <v>1488</v>
      </c>
      <c r="D1356" s="94" t="s">
        <v>1094</v>
      </c>
      <c r="E1356" s="105">
        <v>13</v>
      </c>
      <c r="F1356" s="99" t="s">
        <v>191</v>
      </c>
      <c r="G1356" s="99"/>
      <c r="H1356" s="96" t="s">
        <v>1098</v>
      </c>
      <c r="I1356" s="106" t="s">
        <v>736</v>
      </c>
      <c r="J1356" s="93"/>
      <c r="K1356" s="99" t="s">
        <v>232</v>
      </c>
      <c r="L1356" s="93" t="s">
        <v>232</v>
      </c>
      <c r="M1356" s="200">
        <v>1917</v>
      </c>
      <c r="N1356" s="64" t="s">
        <v>385</v>
      </c>
      <c r="O1356" s="106">
        <v>5</v>
      </c>
      <c r="P1356" s="196">
        <v>0</v>
      </c>
      <c r="Q1356" s="106">
        <v>5</v>
      </c>
      <c r="R1356" s="107">
        <v>30</v>
      </c>
      <c r="S1356" s="108">
        <v>2335.6999999999998</v>
      </c>
      <c r="T1356" s="108">
        <v>2335.6999999999998</v>
      </c>
      <c r="U1356" s="108">
        <v>1955.7</v>
      </c>
      <c r="V1356" s="109">
        <v>380</v>
      </c>
      <c r="W1356" s="206" t="s">
        <v>233</v>
      </c>
      <c r="X1356" s="206" t="s">
        <v>233</v>
      </c>
      <c r="Y1356" s="206" t="s">
        <v>233</v>
      </c>
      <c r="Z1356" s="206" t="s">
        <v>233</v>
      </c>
      <c r="AA1356" s="206" t="s">
        <v>233</v>
      </c>
      <c r="AB1356" s="206" t="s">
        <v>233</v>
      </c>
      <c r="AC1356" s="206" t="s">
        <v>240</v>
      </c>
      <c r="AD1356" s="206" t="s">
        <v>233</v>
      </c>
      <c r="AE1356" s="206" t="s">
        <v>240</v>
      </c>
      <c r="AF1356" s="96">
        <v>0</v>
      </c>
      <c r="AG1356" s="93">
        <v>0</v>
      </c>
      <c r="AH1356" s="93">
        <v>1</v>
      </c>
      <c r="AI1356" s="93">
        <v>0</v>
      </c>
      <c r="AJ1356" s="93">
        <v>0</v>
      </c>
      <c r="AK1356" s="93">
        <v>0</v>
      </c>
    </row>
    <row r="1357" spans="1:37" s="104" customFormat="1" outlineLevel="1">
      <c r="A1357" s="92">
        <v>1350</v>
      </c>
      <c r="B1357" s="93" t="s">
        <v>190</v>
      </c>
      <c r="C1357" s="93" t="s">
        <v>1488</v>
      </c>
      <c r="D1357" s="94" t="s">
        <v>1094</v>
      </c>
      <c r="E1357" s="105">
        <v>15</v>
      </c>
      <c r="F1357" s="99" t="s">
        <v>191</v>
      </c>
      <c r="G1357" s="99"/>
      <c r="H1357" s="96" t="s">
        <v>1099</v>
      </c>
      <c r="I1357" s="106" t="s">
        <v>736</v>
      </c>
      <c r="J1357" s="93"/>
      <c r="K1357" s="99" t="s">
        <v>232</v>
      </c>
      <c r="L1357" s="93" t="s">
        <v>232</v>
      </c>
      <c r="M1357" s="200">
        <v>1798</v>
      </c>
      <c r="N1357" s="64" t="s">
        <v>385</v>
      </c>
      <c r="O1357" s="106">
        <v>6</v>
      </c>
      <c r="P1357" s="196">
        <v>0</v>
      </c>
      <c r="Q1357" s="106">
        <v>7</v>
      </c>
      <c r="R1357" s="107">
        <v>86</v>
      </c>
      <c r="S1357" s="108">
        <v>6542.4000000000005</v>
      </c>
      <c r="T1357" s="108">
        <v>6542.4000000000005</v>
      </c>
      <c r="U1357" s="108">
        <v>5643.1</v>
      </c>
      <c r="V1357" s="109">
        <v>899.3</v>
      </c>
      <c r="W1357" s="206" t="s">
        <v>233</v>
      </c>
      <c r="X1357" s="206" t="s">
        <v>233</v>
      </c>
      <c r="Y1357" s="206" t="s">
        <v>233</v>
      </c>
      <c r="Z1357" s="206" t="s">
        <v>233</v>
      </c>
      <c r="AA1357" s="206" t="s">
        <v>233</v>
      </c>
      <c r="AB1357" s="206" t="s">
        <v>233</v>
      </c>
      <c r="AC1357" s="206" t="s">
        <v>240</v>
      </c>
      <c r="AD1357" s="206" t="s">
        <v>233</v>
      </c>
      <c r="AE1357" s="206" t="s">
        <v>240</v>
      </c>
      <c r="AF1357" s="96">
        <v>2</v>
      </c>
      <c r="AG1357" s="93">
        <v>0</v>
      </c>
      <c r="AH1357" s="93">
        <v>1</v>
      </c>
      <c r="AI1357" s="93">
        <v>0</v>
      </c>
      <c r="AJ1357" s="93">
        <v>0</v>
      </c>
      <c r="AK1357" s="93">
        <v>0</v>
      </c>
    </row>
    <row r="1358" spans="1:37" s="104" customFormat="1" outlineLevel="1">
      <c r="A1358" s="92">
        <v>1351</v>
      </c>
      <c r="B1358" s="93" t="s">
        <v>190</v>
      </c>
      <c r="C1358" s="93" t="s">
        <v>1488</v>
      </c>
      <c r="D1358" s="94" t="s">
        <v>1094</v>
      </c>
      <c r="E1358" s="105">
        <v>16</v>
      </c>
      <c r="F1358" s="99" t="s">
        <v>191</v>
      </c>
      <c r="G1358" s="99"/>
      <c r="H1358" s="96" t="s">
        <v>1100</v>
      </c>
      <c r="I1358" s="106" t="s">
        <v>736</v>
      </c>
      <c r="J1358" s="93"/>
      <c r="K1358" s="99" t="s">
        <v>232</v>
      </c>
      <c r="L1358" s="93" t="s">
        <v>232</v>
      </c>
      <c r="M1358" s="200">
        <v>1839</v>
      </c>
      <c r="N1358" s="64" t="s">
        <v>385</v>
      </c>
      <c r="O1358" s="106">
        <v>4</v>
      </c>
      <c r="P1358" s="196">
        <v>0</v>
      </c>
      <c r="Q1358" s="106">
        <v>4</v>
      </c>
      <c r="R1358" s="107">
        <v>28</v>
      </c>
      <c r="S1358" s="108">
        <v>4353.8</v>
      </c>
      <c r="T1358" s="108">
        <v>4353.8</v>
      </c>
      <c r="U1358" s="108">
        <v>3493.4</v>
      </c>
      <c r="V1358" s="109">
        <v>860.4</v>
      </c>
      <c r="W1358" s="206" t="s">
        <v>233</v>
      </c>
      <c r="X1358" s="206" t="s">
        <v>233</v>
      </c>
      <c r="Y1358" s="206" t="s">
        <v>233</v>
      </c>
      <c r="Z1358" s="206" t="s">
        <v>233</v>
      </c>
      <c r="AA1358" s="206" t="s">
        <v>233</v>
      </c>
      <c r="AB1358" s="206" t="s">
        <v>233</v>
      </c>
      <c r="AC1358" s="206" t="s">
        <v>240</v>
      </c>
      <c r="AD1358" s="206" t="s">
        <v>233</v>
      </c>
      <c r="AE1358" s="206" t="s">
        <v>240</v>
      </c>
      <c r="AF1358" s="96">
        <v>0</v>
      </c>
      <c r="AG1358" s="93">
        <v>0</v>
      </c>
      <c r="AH1358" s="93">
        <v>1</v>
      </c>
      <c r="AI1358" s="93">
        <v>0</v>
      </c>
      <c r="AJ1358" s="93">
        <v>0</v>
      </c>
      <c r="AK1358" s="93">
        <v>0</v>
      </c>
    </row>
    <row r="1359" spans="1:37" s="104" customFormat="1" ht="15.75" customHeight="1" outlineLevel="1">
      <c r="A1359" s="92">
        <v>1352</v>
      </c>
      <c r="B1359" s="93" t="s">
        <v>190</v>
      </c>
      <c r="C1359" s="93" t="s">
        <v>1488</v>
      </c>
      <c r="D1359" s="94" t="s">
        <v>1094</v>
      </c>
      <c r="E1359" s="105">
        <v>16</v>
      </c>
      <c r="F1359" s="99" t="s">
        <v>231</v>
      </c>
      <c r="G1359" s="99"/>
      <c r="H1359" s="96" t="s">
        <v>1101</v>
      </c>
      <c r="I1359" s="106" t="s">
        <v>736</v>
      </c>
      <c r="J1359" s="93"/>
      <c r="K1359" s="99" t="s">
        <v>232</v>
      </c>
      <c r="L1359" s="93" t="s">
        <v>232</v>
      </c>
      <c r="M1359" s="200">
        <v>1798</v>
      </c>
      <c r="N1359" s="64" t="s">
        <v>385</v>
      </c>
      <c r="O1359" s="106">
        <v>5</v>
      </c>
      <c r="P1359" s="196">
        <v>0</v>
      </c>
      <c r="Q1359" s="106">
        <v>3</v>
      </c>
      <c r="R1359" s="107">
        <v>28</v>
      </c>
      <c r="S1359" s="108">
        <v>2492.5</v>
      </c>
      <c r="T1359" s="108">
        <v>2492.5</v>
      </c>
      <c r="U1359" s="108">
        <v>2179.5</v>
      </c>
      <c r="V1359" s="109">
        <v>313</v>
      </c>
      <c r="W1359" s="206" t="s">
        <v>233</v>
      </c>
      <c r="X1359" s="206" t="s">
        <v>233</v>
      </c>
      <c r="Y1359" s="206" t="s">
        <v>233</v>
      </c>
      <c r="Z1359" s="206" t="s">
        <v>233</v>
      </c>
      <c r="AA1359" s="206" t="s">
        <v>233</v>
      </c>
      <c r="AB1359" s="206" t="s">
        <v>233</v>
      </c>
      <c r="AC1359" s="206" t="s">
        <v>240</v>
      </c>
      <c r="AD1359" s="206" t="s">
        <v>233</v>
      </c>
      <c r="AE1359" s="206" t="s">
        <v>240</v>
      </c>
      <c r="AF1359" s="96">
        <v>0</v>
      </c>
      <c r="AG1359" s="93">
        <v>0</v>
      </c>
      <c r="AH1359" s="93">
        <v>0</v>
      </c>
      <c r="AI1359" s="93">
        <v>0</v>
      </c>
      <c r="AJ1359" s="93">
        <v>0</v>
      </c>
      <c r="AK1359" s="93">
        <v>0</v>
      </c>
    </row>
    <row r="1360" spans="1:37" s="104" customFormat="1" ht="15.75" customHeight="1" outlineLevel="1">
      <c r="A1360" s="92">
        <v>1353</v>
      </c>
      <c r="B1360" s="93" t="s">
        <v>190</v>
      </c>
      <c r="C1360" s="93" t="s">
        <v>1488</v>
      </c>
      <c r="D1360" s="94" t="s">
        <v>1094</v>
      </c>
      <c r="E1360" s="105">
        <v>3</v>
      </c>
      <c r="F1360" s="99" t="s">
        <v>191</v>
      </c>
      <c r="G1360" s="99"/>
      <c r="H1360" s="96" t="s">
        <v>1102</v>
      </c>
      <c r="I1360" s="106" t="s">
        <v>736</v>
      </c>
      <c r="J1360" s="93"/>
      <c r="K1360" s="99" t="s">
        <v>232</v>
      </c>
      <c r="L1360" s="93" t="s">
        <v>232</v>
      </c>
      <c r="M1360" s="200">
        <v>1876</v>
      </c>
      <c r="N1360" s="64" t="s">
        <v>385</v>
      </c>
      <c r="O1360" s="106">
        <v>5</v>
      </c>
      <c r="P1360" s="196">
        <v>0</v>
      </c>
      <c r="Q1360" s="106">
        <v>2</v>
      </c>
      <c r="R1360" s="107">
        <v>19</v>
      </c>
      <c r="S1360" s="108">
        <v>1655</v>
      </c>
      <c r="T1360" s="108">
        <v>1655</v>
      </c>
      <c r="U1360" s="108">
        <v>1620</v>
      </c>
      <c r="V1360" s="109">
        <v>35</v>
      </c>
      <c r="W1360" s="206" t="s">
        <v>233</v>
      </c>
      <c r="X1360" s="206" t="s">
        <v>233</v>
      </c>
      <c r="Y1360" s="206" t="s">
        <v>233</v>
      </c>
      <c r="Z1360" s="206" t="s">
        <v>233</v>
      </c>
      <c r="AA1360" s="206" t="s">
        <v>233</v>
      </c>
      <c r="AB1360" s="206" t="s">
        <v>233</v>
      </c>
      <c r="AC1360" s="206" t="s">
        <v>240</v>
      </c>
      <c r="AD1360" s="206" t="s">
        <v>233</v>
      </c>
      <c r="AE1360" s="206" t="s">
        <v>240</v>
      </c>
      <c r="AF1360" s="96">
        <v>0</v>
      </c>
      <c r="AG1360" s="93">
        <v>0</v>
      </c>
      <c r="AH1360" s="93">
        <v>1</v>
      </c>
      <c r="AI1360" s="93">
        <v>0</v>
      </c>
      <c r="AJ1360" s="93">
        <v>0</v>
      </c>
      <c r="AK1360" s="93">
        <v>0</v>
      </c>
    </row>
    <row r="1361" spans="1:37" s="104" customFormat="1" ht="15.75" customHeight="1" outlineLevel="1">
      <c r="A1361" s="92">
        <v>1354</v>
      </c>
      <c r="B1361" s="93" t="s">
        <v>190</v>
      </c>
      <c r="C1361" s="93" t="s">
        <v>1488</v>
      </c>
      <c r="D1361" s="94" t="s">
        <v>1094</v>
      </c>
      <c r="E1361" s="105">
        <v>5</v>
      </c>
      <c r="F1361" s="99" t="s">
        <v>191</v>
      </c>
      <c r="G1361" s="99"/>
      <c r="H1361" s="96" t="s">
        <v>1103</v>
      </c>
      <c r="I1361" s="106" t="s">
        <v>736</v>
      </c>
      <c r="J1361" s="93"/>
      <c r="K1361" s="99" t="s">
        <v>232</v>
      </c>
      <c r="L1361" s="93" t="s">
        <v>232</v>
      </c>
      <c r="M1361" s="200">
        <v>1917</v>
      </c>
      <c r="N1361" s="64" t="s">
        <v>385</v>
      </c>
      <c r="O1361" s="106">
        <v>5</v>
      </c>
      <c r="P1361" s="196">
        <v>0</v>
      </c>
      <c r="Q1361" s="106">
        <v>4</v>
      </c>
      <c r="R1361" s="107">
        <v>42</v>
      </c>
      <c r="S1361" s="108">
        <v>2576</v>
      </c>
      <c r="T1361" s="108">
        <v>2576</v>
      </c>
      <c r="U1361" s="108">
        <v>2266</v>
      </c>
      <c r="V1361" s="109">
        <v>310</v>
      </c>
      <c r="W1361" s="206" t="s">
        <v>233</v>
      </c>
      <c r="X1361" s="206" t="s">
        <v>233</v>
      </c>
      <c r="Y1361" s="206" t="s">
        <v>233</v>
      </c>
      <c r="Z1361" s="206" t="s">
        <v>233</v>
      </c>
      <c r="AA1361" s="206" t="s">
        <v>233</v>
      </c>
      <c r="AB1361" s="206" t="s">
        <v>233</v>
      </c>
      <c r="AC1361" s="206" t="s">
        <v>240</v>
      </c>
      <c r="AD1361" s="206" t="s">
        <v>233</v>
      </c>
      <c r="AE1361" s="206" t="s">
        <v>240</v>
      </c>
      <c r="AF1361" s="96">
        <v>1</v>
      </c>
      <c r="AG1361" s="93">
        <v>0</v>
      </c>
      <c r="AH1361" s="93">
        <v>1</v>
      </c>
      <c r="AI1361" s="93">
        <v>0</v>
      </c>
      <c r="AJ1361" s="93">
        <v>0</v>
      </c>
      <c r="AK1361" s="93">
        <v>0</v>
      </c>
    </row>
    <row r="1362" spans="1:37" s="104" customFormat="1" ht="15.75" customHeight="1" outlineLevel="1">
      <c r="A1362" s="92">
        <v>1355</v>
      </c>
      <c r="B1362" s="93" t="s">
        <v>190</v>
      </c>
      <c r="C1362" s="93" t="s">
        <v>1488</v>
      </c>
      <c r="D1362" s="94" t="s">
        <v>1094</v>
      </c>
      <c r="E1362" s="105">
        <v>6</v>
      </c>
      <c r="F1362" s="99" t="s">
        <v>191</v>
      </c>
      <c r="G1362" s="99"/>
      <c r="H1362" s="96" t="s">
        <v>1104</v>
      </c>
      <c r="I1362" s="106" t="s">
        <v>736</v>
      </c>
      <c r="J1362" s="93"/>
      <c r="K1362" s="99" t="s">
        <v>232</v>
      </c>
      <c r="L1362" s="93" t="s">
        <v>232</v>
      </c>
      <c r="M1362" s="200">
        <v>1879</v>
      </c>
      <c r="N1362" s="64" t="s">
        <v>385</v>
      </c>
      <c r="O1362" s="106">
        <v>4</v>
      </c>
      <c r="P1362" s="196">
        <v>0</v>
      </c>
      <c r="Q1362" s="106">
        <v>5</v>
      </c>
      <c r="R1362" s="107">
        <v>25</v>
      </c>
      <c r="S1362" s="108">
        <v>1796</v>
      </c>
      <c r="T1362" s="108">
        <v>1796</v>
      </c>
      <c r="U1362" s="108">
        <v>1776</v>
      </c>
      <c r="V1362" s="109">
        <v>20</v>
      </c>
      <c r="W1362" s="206" t="s">
        <v>233</v>
      </c>
      <c r="X1362" s="206" t="s">
        <v>233</v>
      </c>
      <c r="Y1362" s="206" t="s">
        <v>233</v>
      </c>
      <c r="Z1362" s="206" t="s">
        <v>233</v>
      </c>
      <c r="AA1362" s="206" t="s">
        <v>233</v>
      </c>
      <c r="AB1362" s="206" t="s">
        <v>233</v>
      </c>
      <c r="AC1362" s="206" t="s">
        <v>240</v>
      </c>
      <c r="AD1362" s="206" t="s">
        <v>233</v>
      </c>
      <c r="AE1362" s="206" t="s">
        <v>240</v>
      </c>
      <c r="AF1362" s="96">
        <v>0</v>
      </c>
      <c r="AG1362" s="93">
        <v>0</v>
      </c>
      <c r="AH1362" s="93">
        <v>1</v>
      </c>
      <c r="AI1362" s="93">
        <v>0</v>
      </c>
      <c r="AJ1362" s="93">
        <v>0</v>
      </c>
      <c r="AK1362" s="93">
        <v>0</v>
      </c>
    </row>
    <row r="1363" spans="1:37" s="104" customFormat="1" outlineLevel="1">
      <c r="A1363" s="92">
        <v>1356</v>
      </c>
      <c r="B1363" s="93" t="s">
        <v>190</v>
      </c>
      <c r="C1363" s="93" t="s">
        <v>1488</v>
      </c>
      <c r="D1363" s="94" t="s">
        <v>1094</v>
      </c>
      <c r="E1363" s="105">
        <v>7</v>
      </c>
      <c r="F1363" s="99" t="s">
        <v>191</v>
      </c>
      <c r="G1363" s="99"/>
      <c r="H1363" s="96" t="s">
        <v>1105</v>
      </c>
      <c r="I1363" s="106" t="s">
        <v>736</v>
      </c>
      <c r="J1363" s="93"/>
      <c r="K1363" s="99" t="s">
        <v>232</v>
      </c>
      <c r="L1363" s="93" t="s">
        <v>232</v>
      </c>
      <c r="M1363" s="200">
        <v>1917</v>
      </c>
      <c r="N1363" s="64" t="s">
        <v>385</v>
      </c>
      <c r="O1363" s="106">
        <v>4</v>
      </c>
      <c r="P1363" s="196">
        <v>0</v>
      </c>
      <c r="Q1363" s="106">
        <v>1</v>
      </c>
      <c r="R1363" s="107">
        <v>8</v>
      </c>
      <c r="S1363" s="108">
        <v>786.5</v>
      </c>
      <c r="T1363" s="108">
        <v>786.5</v>
      </c>
      <c r="U1363" s="108">
        <v>658</v>
      </c>
      <c r="V1363" s="109">
        <v>128.5</v>
      </c>
      <c r="W1363" s="206" t="s">
        <v>233</v>
      </c>
      <c r="X1363" s="206" t="s">
        <v>233</v>
      </c>
      <c r="Y1363" s="206" t="s">
        <v>233</v>
      </c>
      <c r="Z1363" s="206" t="s">
        <v>233</v>
      </c>
      <c r="AA1363" s="206" t="s">
        <v>233</v>
      </c>
      <c r="AB1363" s="206" t="s">
        <v>233</v>
      </c>
      <c r="AC1363" s="206" t="s">
        <v>240</v>
      </c>
      <c r="AD1363" s="206" t="s">
        <v>233</v>
      </c>
      <c r="AE1363" s="206" t="s">
        <v>240</v>
      </c>
      <c r="AF1363" s="96">
        <v>0</v>
      </c>
      <c r="AG1363" s="93">
        <v>0</v>
      </c>
      <c r="AH1363" s="93">
        <v>1</v>
      </c>
      <c r="AI1363" s="93">
        <v>0</v>
      </c>
      <c r="AJ1363" s="93">
        <v>0</v>
      </c>
      <c r="AK1363" s="93">
        <v>0</v>
      </c>
    </row>
    <row r="1364" spans="1:37" s="104" customFormat="1" outlineLevel="1">
      <c r="A1364" s="92">
        <v>1357</v>
      </c>
      <c r="B1364" s="93" t="s">
        <v>190</v>
      </c>
      <c r="C1364" s="93" t="s">
        <v>1488</v>
      </c>
      <c r="D1364" s="94" t="s">
        <v>1094</v>
      </c>
      <c r="E1364" s="105">
        <v>7</v>
      </c>
      <c r="F1364" s="99" t="s">
        <v>231</v>
      </c>
      <c r="G1364" s="99"/>
      <c r="H1364" s="96" t="s">
        <v>1106</v>
      </c>
      <c r="I1364" s="106" t="s">
        <v>736</v>
      </c>
      <c r="J1364" s="93"/>
      <c r="K1364" s="99" t="s">
        <v>232</v>
      </c>
      <c r="L1364" s="93" t="s">
        <v>232</v>
      </c>
      <c r="M1364" s="200">
        <v>1917</v>
      </c>
      <c r="N1364" s="64" t="s">
        <v>385</v>
      </c>
      <c r="O1364" s="106">
        <v>4</v>
      </c>
      <c r="P1364" s="196">
        <v>0</v>
      </c>
      <c r="Q1364" s="106">
        <v>2</v>
      </c>
      <c r="R1364" s="107">
        <v>9</v>
      </c>
      <c r="S1364" s="108">
        <v>786.5</v>
      </c>
      <c r="T1364" s="108">
        <v>786.5</v>
      </c>
      <c r="U1364" s="108">
        <v>658</v>
      </c>
      <c r="V1364" s="109">
        <v>128.5</v>
      </c>
      <c r="W1364" s="206" t="s">
        <v>233</v>
      </c>
      <c r="X1364" s="206" t="s">
        <v>233</v>
      </c>
      <c r="Y1364" s="206" t="s">
        <v>233</v>
      </c>
      <c r="Z1364" s="206" t="s">
        <v>233</v>
      </c>
      <c r="AA1364" s="206" t="s">
        <v>233</v>
      </c>
      <c r="AB1364" s="206" t="s">
        <v>233</v>
      </c>
      <c r="AC1364" s="206" t="s">
        <v>240</v>
      </c>
      <c r="AD1364" s="206" t="s">
        <v>233</v>
      </c>
      <c r="AE1364" s="206" t="s">
        <v>240</v>
      </c>
      <c r="AF1364" s="96">
        <v>0</v>
      </c>
      <c r="AG1364" s="93">
        <v>0</v>
      </c>
      <c r="AH1364" s="93">
        <v>0</v>
      </c>
      <c r="AI1364" s="93">
        <v>0</v>
      </c>
      <c r="AJ1364" s="93">
        <v>0</v>
      </c>
      <c r="AK1364" s="93">
        <v>0</v>
      </c>
    </row>
    <row r="1365" spans="1:37" s="104" customFormat="1" outlineLevel="1">
      <c r="A1365" s="92">
        <v>1358</v>
      </c>
      <c r="B1365" s="93" t="s">
        <v>190</v>
      </c>
      <c r="C1365" s="93" t="s">
        <v>1488</v>
      </c>
      <c r="D1365" s="94" t="s">
        <v>1094</v>
      </c>
      <c r="E1365" s="105">
        <v>9</v>
      </c>
      <c r="F1365" s="99" t="s">
        <v>191</v>
      </c>
      <c r="G1365" s="99"/>
      <c r="H1365" s="96" t="s">
        <v>1107</v>
      </c>
      <c r="I1365" s="106" t="s">
        <v>736</v>
      </c>
      <c r="J1365" s="93"/>
      <c r="K1365" s="99" t="s">
        <v>232</v>
      </c>
      <c r="L1365" s="93" t="s">
        <v>232</v>
      </c>
      <c r="M1365" s="200">
        <v>1875</v>
      </c>
      <c r="N1365" s="64" t="s">
        <v>385</v>
      </c>
      <c r="O1365" s="106">
        <v>5</v>
      </c>
      <c r="P1365" s="196">
        <v>0</v>
      </c>
      <c r="Q1365" s="106">
        <v>3</v>
      </c>
      <c r="R1365" s="107">
        <v>27</v>
      </c>
      <c r="S1365" s="108">
        <v>2343.5</v>
      </c>
      <c r="T1365" s="108">
        <v>2343.5</v>
      </c>
      <c r="U1365" s="108">
        <v>2147.1</v>
      </c>
      <c r="V1365" s="109">
        <v>196.4</v>
      </c>
      <c r="W1365" s="206" t="s">
        <v>233</v>
      </c>
      <c r="X1365" s="206" t="s">
        <v>233</v>
      </c>
      <c r="Y1365" s="206" t="s">
        <v>233</v>
      </c>
      <c r="Z1365" s="206" t="s">
        <v>233</v>
      </c>
      <c r="AA1365" s="206" t="s">
        <v>233</v>
      </c>
      <c r="AB1365" s="206" t="s">
        <v>233</v>
      </c>
      <c r="AC1365" s="206" t="s">
        <v>240</v>
      </c>
      <c r="AD1365" s="206" t="s">
        <v>233</v>
      </c>
      <c r="AE1365" s="206" t="s">
        <v>240</v>
      </c>
      <c r="AF1365" s="96">
        <v>0</v>
      </c>
      <c r="AG1365" s="93">
        <v>0</v>
      </c>
      <c r="AH1365" s="93">
        <v>1</v>
      </c>
      <c r="AI1365" s="93">
        <v>0</v>
      </c>
      <c r="AJ1365" s="93">
        <v>0</v>
      </c>
      <c r="AK1365" s="93">
        <v>0</v>
      </c>
    </row>
    <row r="1366" spans="1:37" s="104" customFormat="1" outlineLevel="1">
      <c r="A1366" s="92">
        <v>1359</v>
      </c>
      <c r="B1366" s="93" t="s">
        <v>190</v>
      </c>
      <c r="C1366" s="93" t="s">
        <v>1488</v>
      </c>
      <c r="D1366" s="94" t="s">
        <v>1108</v>
      </c>
      <c r="E1366" s="105" t="s">
        <v>1109</v>
      </c>
      <c r="F1366" s="99" t="s">
        <v>191</v>
      </c>
      <c r="G1366" s="99"/>
      <c r="H1366" s="96" t="s">
        <v>1110</v>
      </c>
      <c r="I1366" s="106" t="s">
        <v>792</v>
      </c>
      <c r="J1366" s="93" t="s">
        <v>793</v>
      </c>
      <c r="K1366" s="178" t="s">
        <v>1486</v>
      </c>
      <c r="L1366" s="93" t="s">
        <v>1486</v>
      </c>
      <c r="M1366" s="200">
        <v>1917</v>
      </c>
      <c r="N1366" s="64" t="s">
        <v>385</v>
      </c>
      <c r="O1366" s="106">
        <v>5</v>
      </c>
      <c r="P1366" s="196">
        <v>0</v>
      </c>
      <c r="Q1366" s="106">
        <v>2</v>
      </c>
      <c r="R1366" s="107"/>
      <c r="S1366" s="108"/>
      <c r="T1366" s="108"/>
      <c r="U1366" s="108"/>
      <c r="V1366" s="109"/>
      <c r="W1366" s="206"/>
      <c r="X1366" s="206"/>
      <c r="Y1366" s="206" t="s">
        <v>233</v>
      </c>
      <c r="Z1366" s="206"/>
      <c r="AA1366" s="206" t="s">
        <v>233</v>
      </c>
      <c r="AB1366" s="206" t="s">
        <v>233</v>
      </c>
      <c r="AC1366" s="206" t="s">
        <v>240</v>
      </c>
      <c r="AD1366" s="206" t="s">
        <v>233</v>
      </c>
      <c r="AE1366" s="206" t="s">
        <v>240</v>
      </c>
      <c r="AF1366" s="96">
        <v>0</v>
      </c>
      <c r="AG1366" s="93">
        <v>0</v>
      </c>
      <c r="AH1366" s="93">
        <v>0</v>
      </c>
      <c r="AI1366" s="93">
        <v>0</v>
      </c>
      <c r="AJ1366" s="93">
        <v>0</v>
      </c>
      <c r="AK1366" s="93">
        <v>0</v>
      </c>
    </row>
    <row r="1367" spans="1:37" s="104" customFormat="1" outlineLevel="1">
      <c r="A1367" s="92">
        <v>1360</v>
      </c>
      <c r="B1367" s="93" t="s">
        <v>190</v>
      </c>
      <c r="C1367" s="93" t="s">
        <v>1488</v>
      </c>
      <c r="D1367" s="94" t="s">
        <v>1111</v>
      </c>
      <c r="E1367" s="105">
        <v>3</v>
      </c>
      <c r="F1367" s="99" t="s">
        <v>191</v>
      </c>
      <c r="G1367" s="99"/>
      <c r="H1367" s="96" t="s">
        <v>1112</v>
      </c>
      <c r="I1367" s="106" t="s">
        <v>736</v>
      </c>
      <c r="J1367" s="93"/>
      <c r="K1367" s="178" t="s">
        <v>232</v>
      </c>
      <c r="L1367" s="93" t="s">
        <v>232</v>
      </c>
      <c r="M1367" s="200">
        <v>1843</v>
      </c>
      <c r="N1367" s="64" t="s">
        <v>385</v>
      </c>
      <c r="O1367" s="106">
        <v>4</v>
      </c>
      <c r="P1367" s="196">
        <v>0</v>
      </c>
      <c r="Q1367" s="106">
        <v>4</v>
      </c>
      <c r="R1367" s="107">
        <v>15</v>
      </c>
      <c r="S1367" s="108">
        <v>2109.6</v>
      </c>
      <c r="T1367" s="108">
        <v>2109.6</v>
      </c>
      <c r="U1367" s="108">
        <v>1692.2</v>
      </c>
      <c r="V1367" s="109">
        <v>417.4</v>
      </c>
      <c r="W1367" s="206" t="s">
        <v>233</v>
      </c>
      <c r="X1367" s="206" t="s">
        <v>233</v>
      </c>
      <c r="Y1367" s="206" t="s">
        <v>240</v>
      </c>
      <c r="Z1367" s="206" t="s">
        <v>233</v>
      </c>
      <c r="AA1367" s="206" t="s">
        <v>233</v>
      </c>
      <c r="AB1367" s="206" t="s">
        <v>233</v>
      </c>
      <c r="AC1367" s="206" t="s">
        <v>233</v>
      </c>
      <c r="AD1367" s="206" t="s">
        <v>233</v>
      </c>
      <c r="AE1367" s="206" t="s">
        <v>240</v>
      </c>
      <c r="AF1367" s="96">
        <v>0</v>
      </c>
      <c r="AG1367" s="93">
        <v>0</v>
      </c>
      <c r="AH1367" s="93">
        <v>1</v>
      </c>
      <c r="AI1367" s="93">
        <v>0</v>
      </c>
      <c r="AJ1367" s="93">
        <v>0</v>
      </c>
      <c r="AK1367" s="93">
        <v>0</v>
      </c>
    </row>
    <row r="1368" spans="1:37" s="104" customFormat="1" outlineLevel="1">
      <c r="A1368" s="92">
        <v>1361</v>
      </c>
      <c r="B1368" s="93" t="s">
        <v>190</v>
      </c>
      <c r="C1368" s="93" t="s">
        <v>1488</v>
      </c>
      <c r="D1368" s="94" t="s">
        <v>1111</v>
      </c>
      <c r="E1368" s="105">
        <v>3</v>
      </c>
      <c r="F1368" s="99" t="s">
        <v>231</v>
      </c>
      <c r="G1368" s="99"/>
      <c r="H1368" s="96" t="s">
        <v>1113</v>
      </c>
      <c r="I1368" s="106" t="s">
        <v>736</v>
      </c>
      <c r="J1368" s="93"/>
      <c r="K1368" s="178" t="s">
        <v>232</v>
      </c>
      <c r="L1368" s="93" t="s">
        <v>232</v>
      </c>
      <c r="M1368" s="200">
        <v>1917</v>
      </c>
      <c r="N1368" s="64" t="s">
        <v>385</v>
      </c>
      <c r="O1368" s="106">
        <v>3</v>
      </c>
      <c r="P1368" s="196">
        <v>0</v>
      </c>
      <c r="Q1368" s="106">
        <v>1</v>
      </c>
      <c r="R1368" s="107">
        <v>15</v>
      </c>
      <c r="S1368" s="108">
        <v>403.4</v>
      </c>
      <c r="T1368" s="108">
        <v>403.4</v>
      </c>
      <c r="U1368" s="108">
        <v>282.7</v>
      </c>
      <c r="V1368" s="110">
        <v>120.7</v>
      </c>
      <c r="W1368" s="206" t="s">
        <v>233</v>
      </c>
      <c r="X1368" s="206" t="s">
        <v>233</v>
      </c>
      <c r="Y1368" s="206" t="s">
        <v>240</v>
      </c>
      <c r="Z1368" s="206" t="s">
        <v>233</v>
      </c>
      <c r="AA1368" s="206" t="s">
        <v>233</v>
      </c>
      <c r="AB1368" s="206" t="s">
        <v>233</v>
      </c>
      <c r="AC1368" s="206" t="s">
        <v>233</v>
      </c>
      <c r="AD1368" s="206" t="s">
        <v>233</v>
      </c>
      <c r="AE1368" s="206" t="s">
        <v>240</v>
      </c>
      <c r="AF1368" s="96">
        <v>0</v>
      </c>
      <c r="AG1368" s="93">
        <v>0</v>
      </c>
      <c r="AH1368" s="93">
        <v>0</v>
      </c>
      <c r="AI1368" s="93">
        <v>0</v>
      </c>
      <c r="AJ1368" s="93">
        <v>0</v>
      </c>
      <c r="AK1368" s="93">
        <v>0</v>
      </c>
    </row>
    <row r="1369" spans="1:37" s="104" customFormat="1" ht="15" customHeight="1" outlineLevel="1">
      <c r="A1369" s="92">
        <v>1362</v>
      </c>
      <c r="B1369" s="93" t="s">
        <v>190</v>
      </c>
      <c r="C1369" s="93" t="s">
        <v>1488</v>
      </c>
      <c r="D1369" s="94" t="s">
        <v>1114</v>
      </c>
      <c r="E1369" s="105">
        <v>1</v>
      </c>
      <c r="F1369" s="99" t="s">
        <v>191</v>
      </c>
      <c r="G1369" s="99"/>
      <c r="H1369" s="96" t="s">
        <v>1115</v>
      </c>
      <c r="I1369" s="106" t="s">
        <v>792</v>
      </c>
      <c r="J1369" s="93"/>
      <c r="K1369" s="178" t="s">
        <v>232</v>
      </c>
      <c r="L1369" s="93" t="s">
        <v>232</v>
      </c>
      <c r="M1369" s="200">
        <v>1900</v>
      </c>
      <c r="N1369" s="64" t="s">
        <v>385</v>
      </c>
      <c r="O1369" s="106">
        <v>5</v>
      </c>
      <c r="P1369" s="196">
        <v>0</v>
      </c>
      <c r="Q1369" s="106">
        <v>3</v>
      </c>
      <c r="R1369" s="107">
        <v>27</v>
      </c>
      <c r="S1369" s="108">
        <v>2654.5</v>
      </c>
      <c r="T1369" s="108">
        <v>2654.5</v>
      </c>
      <c r="U1369" s="108">
        <v>2449.5</v>
      </c>
      <c r="V1369" s="110">
        <v>205</v>
      </c>
      <c r="W1369" s="206" t="s">
        <v>233</v>
      </c>
      <c r="X1369" s="206" t="s">
        <v>233</v>
      </c>
      <c r="Y1369" s="206" t="s">
        <v>233</v>
      </c>
      <c r="Z1369" s="206" t="s">
        <v>233</v>
      </c>
      <c r="AA1369" s="206" t="s">
        <v>233</v>
      </c>
      <c r="AB1369" s="206" t="s">
        <v>233</v>
      </c>
      <c r="AC1369" s="206" t="s">
        <v>240</v>
      </c>
      <c r="AD1369" s="206" t="s">
        <v>233</v>
      </c>
      <c r="AE1369" s="206" t="s">
        <v>240</v>
      </c>
      <c r="AF1369" s="96">
        <v>0</v>
      </c>
      <c r="AG1369" s="93">
        <v>0</v>
      </c>
      <c r="AH1369" s="93">
        <v>1</v>
      </c>
      <c r="AI1369" s="93">
        <v>0</v>
      </c>
      <c r="AJ1369" s="93">
        <v>0</v>
      </c>
      <c r="AK1369" s="93">
        <v>0</v>
      </c>
    </row>
    <row r="1370" spans="1:37" s="104" customFormat="1" ht="15" customHeight="1" outlineLevel="1">
      <c r="A1370" s="92">
        <v>1363</v>
      </c>
      <c r="B1370" s="93" t="s">
        <v>190</v>
      </c>
      <c r="C1370" s="93" t="s">
        <v>1488</v>
      </c>
      <c r="D1370" s="94" t="s">
        <v>1114</v>
      </c>
      <c r="E1370" s="105">
        <v>1</v>
      </c>
      <c r="F1370" s="99" t="s">
        <v>231</v>
      </c>
      <c r="G1370" s="99"/>
      <c r="H1370" s="96" t="s">
        <v>1116</v>
      </c>
      <c r="I1370" s="106" t="s">
        <v>792</v>
      </c>
      <c r="J1370" s="93"/>
      <c r="K1370" s="178" t="s">
        <v>232</v>
      </c>
      <c r="L1370" s="93" t="s">
        <v>232</v>
      </c>
      <c r="M1370" s="200">
        <v>1900</v>
      </c>
      <c r="N1370" s="64" t="s">
        <v>385</v>
      </c>
      <c r="O1370" s="106">
        <v>5</v>
      </c>
      <c r="P1370" s="196">
        <v>0</v>
      </c>
      <c r="Q1370" s="106">
        <v>3</v>
      </c>
      <c r="R1370" s="107">
        <v>29</v>
      </c>
      <c r="S1370" s="108">
        <v>2654.5</v>
      </c>
      <c r="T1370" s="108">
        <v>2654.5</v>
      </c>
      <c r="U1370" s="108">
        <v>2449.5</v>
      </c>
      <c r="V1370" s="110">
        <v>205</v>
      </c>
      <c r="W1370" s="206" t="s">
        <v>233</v>
      </c>
      <c r="X1370" s="206" t="s">
        <v>233</v>
      </c>
      <c r="Y1370" s="206" t="s">
        <v>233</v>
      </c>
      <c r="Z1370" s="206" t="s">
        <v>233</v>
      </c>
      <c r="AA1370" s="206" t="s">
        <v>233</v>
      </c>
      <c r="AB1370" s="206" t="s">
        <v>233</v>
      </c>
      <c r="AC1370" s="206" t="s">
        <v>240</v>
      </c>
      <c r="AD1370" s="206" t="s">
        <v>233</v>
      </c>
      <c r="AE1370" s="206" t="s">
        <v>240</v>
      </c>
      <c r="AF1370" s="96">
        <v>0</v>
      </c>
      <c r="AG1370" s="93">
        <v>0</v>
      </c>
      <c r="AH1370" s="93">
        <v>0</v>
      </c>
      <c r="AI1370" s="93">
        <v>0</v>
      </c>
      <c r="AJ1370" s="93">
        <v>0</v>
      </c>
      <c r="AK1370" s="93">
        <v>0</v>
      </c>
    </row>
    <row r="1371" spans="1:37" s="104" customFormat="1" ht="15" customHeight="1" outlineLevel="1">
      <c r="A1371" s="92">
        <v>1364</v>
      </c>
      <c r="B1371" s="93" t="s">
        <v>190</v>
      </c>
      <c r="C1371" s="93" t="s">
        <v>1488</v>
      </c>
      <c r="D1371" s="94" t="s">
        <v>1117</v>
      </c>
      <c r="E1371" s="105" t="s">
        <v>168</v>
      </c>
      <c r="F1371" s="99" t="s">
        <v>191</v>
      </c>
      <c r="G1371" s="99"/>
      <c r="H1371" s="96" t="s">
        <v>1118</v>
      </c>
      <c r="I1371" s="106" t="s">
        <v>736</v>
      </c>
      <c r="J1371" s="93"/>
      <c r="K1371" s="178" t="s">
        <v>232</v>
      </c>
      <c r="L1371" s="93" t="s">
        <v>232</v>
      </c>
      <c r="M1371" s="200">
        <v>1798</v>
      </c>
      <c r="N1371" s="64" t="s">
        <v>385</v>
      </c>
      <c r="O1371" s="106">
        <v>5</v>
      </c>
      <c r="P1371" s="196">
        <v>0</v>
      </c>
      <c r="Q1371" s="106">
        <v>4</v>
      </c>
      <c r="R1371" s="107">
        <v>43</v>
      </c>
      <c r="S1371" s="108">
        <v>3404.5</v>
      </c>
      <c r="T1371" s="108">
        <v>3404.5</v>
      </c>
      <c r="U1371" s="108">
        <v>3084.8</v>
      </c>
      <c r="V1371" s="110">
        <v>319.7</v>
      </c>
      <c r="W1371" s="206" t="s">
        <v>233</v>
      </c>
      <c r="X1371" s="206" t="s">
        <v>233</v>
      </c>
      <c r="Y1371" s="206" t="s">
        <v>233</v>
      </c>
      <c r="Z1371" s="206" t="s">
        <v>233</v>
      </c>
      <c r="AA1371" s="206" t="s">
        <v>233</v>
      </c>
      <c r="AB1371" s="206" t="s">
        <v>233</v>
      </c>
      <c r="AC1371" s="206" t="s">
        <v>240</v>
      </c>
      <c r="AD1371" s="206" t="s">
        <v>233</v>
      </c>
      <c r="AE1371" s="206" t="s">
        <v>240</v>
      </c>
      <c r="AF1371" s="96">
        <v>0</v>
      </c>
      <c r="AG1371" s="93">
        <v>0</v>
      </c>
      <c r="AH1371" s="93">
        <v>1</v>
      </c>
      <c r="AI1371" s="93">
        <v>0</v>
      </c>
      <c r="AJ1371" s="93">
        <v>0</v>
      </c>
      <c r="AK1371" s="93">
        <v>0</v>
      </c>
    </row>
    <row r="1372" spans="1:37" s="104" customFormat="1" ht="15" customHeight="1" outlineLevel="1">
      <c r="A1372" s="92">
        <v>1365</v>
      </c>
      <c r="B1372" s="93" t="s">
        <v>190</v>
      </c>
      <c r="C1372" s="93" t="s">
        <v>1488</v>
      </c>
      <c r="D1372" s="94" t="s">
        <v>1114</v>
      </c>
      <c r="E1372" s="105" t="s">
        <v>1119</v>
      </c>
      <c r="F1372" s="99" t="s">
        <v>191</v>
      </c>
      <c r="G1372" s="99"/>
      <c r="H1372" s="96" t="s">
        <v>1120</v>
      </c>
      <c r="I1372" s="106" t="s">
        <v>792</v>
      </c>
      <c r="J1372" s="93" t="s">
        <v>793</v>
      </c>
      <c r="K1372" s="178" t="s">
        <v>1486</v>
      </c>
      <c r="L1372" s="93" t="s">
        <v>1486</v>
      </c>
      <c r="M1372" s="200">
        <v>1917</v>
      </c>
      <c r="N1372" s="64" t="s">
        <v>385</v>
      </c>
      <c r="O1372" s="106">
        <v>3</v>
      </c>
      <c r="P1372" s="196">
        <v>0</v>
      </c>
      <c r="Q1372" s="106">
        <v>2</v>
      </c>
      <c r="R1372" s="107"/>
      <c r="S1372" s="108"/>
      <c r="T1372" s="108"/>
      <c r="U1372" s="108"/>
      <c r="V1372" s="110"/>
      <c r="W1372" s="206"/>
      <c r="X1372" s="206"/>
      <c r="Y1372" s="206" t="s">
        <v>233</v>
      </c>
      <c r="Z1372" s="206"/>
      <c r="AA1372" s="206" t="s">
        <v>233</v>
      </c>
      <c r="AB1372" s="206" t="s">
        <v>233</v>
      </c>
      <c r="AC1372" s="206" t="s">
        <v>240</v>
      </c>
      <c r="AD1372" s="206" t="s">
        <v>233</v>
      </c>
      <c r="AE1372" s="206" t="s">
        <v>240</v>
      </c>
      <c r="AF1372" s="96">
        <v>0</v>
      </c>
      <c r="AG1372" s="93">
        <v>0</v>
      </c>
      <c r="AH1372" s="93">
        <v>0</v>
      </c>
      <c r="AI1372" s="93">
        <v>0</v>
      </c>
      <c r="AJ1372" s="93">
        <v>0</v>
      </c>
      <c r="AK1372" s="93">
        <v>0</v>
      </c>
    </row>
    <row r="1373" spans="1:37" s="104" customFormat="1" ht="15" customHeight="1" outlineLevel="1">
      <c r="A1373" s="92">
        <v>1366</v>
      </c>
      <c r="B1373" s="93" t="s">
        <v>190</v>
      </c>
      <c r="C1373" s="93" t="s">
        <v>1488</v>
      </c>
      <c r="D1373" s="94" t="s">
        <v>1114</v>
      </c>
      <c r="E1373" s="105" t="s">
        <v>1119</v>
      </c>
      <c r="F1373" s="99" t="s">
        <v>231</v>
      </c>
      <c r="G1373" s="99"/>
      <c r="H1373" s="96" t="s">
        <v>1121</v>
      </c>
      <c r="I1373" s="106" t="s">
        <v>736</v>
      </c>
      <c r="J1373" s="93"/>
      <c r="K1373" s="178" t="s">
        <v>232</v>
      </c>
      <c r="L1373" s="93" t="s">
        <v>232</v>
      </c>
      <c r="M1373" s="200">
        <v>1972</v>
      </c>
      <c r="N1373" s="64" t="s">
        <v>385</v>
      </c>
      <c r="O1373" s="106">
        <v>3</v>
      </c>
      <c r="P1373" s="196">
        <v>0</v>
      </c>
      <c r="Q1373" s="106">
        <v>2</v>
      </c>
      <c r="R1373" s="107">
        <v>8</v>
      </c>
      <c r="S1373" s="108">
        <v>511.5</v>
      </c>
      <c r="T1373" s="108">
        <v>511.5</v>
      </c>
      <c r="U1373" s="108">
        <v>511.5</v>
      </c>
      <c r="V1373" s="110"/>
      <c r="W1373" s="206"/>
      <c r="X1373" s="206"/>
      <c r="Y1373" s="206" t="s">
        <v>233</v>
      </c>
      <c r="Z1373" s="206"/>
      <c r="AA1373" s="206" t="s">
        <v>233</v>
      </c>
      <c r="AB1373" s="206" t="s">
        <v>233</v>
      </c>
      <c r="AC1373" s="206" t="s">
        <v>240</v>
      </c>
      <c r="AD1373" s="206" t="s">
        <v>233</v>
      </c>
      <c r="AE1373" s="206" t="s">
        <v>240</v>
      </c>
      <c r="AF1373" s="96">
        <v>0</v>
      </c>
      <c r="AG1373" s="93">
        <v>0</v>
      </c>
      <c r="AH1373" s="93">
        <v>0</v>
      </c>
      <c r="AI1373" s="93">
        <v>0</v>
      </c>
      <c r="AJ1373" s="93">
        <v>0</v>
      </c>
      <c r="AK1373" s="93">
        <v>0</v>
      </c>
    </row>
    <row r="1374" spans="1:37" s="104" customFormat="1" ht="15" customHeight="1" outlineLevel="1">
      <c r="A1374" s="92">
        <v>1367</v>
      </c>
      <c r="B1374" s="93" t="s">
        <v>190</v>
      </c>
      <c r="C1374" s="93" t="s">
        <v>1488</v>
      </c>
      <c r="D1374" s="94" t="s">
        <v>1114</v>
      </c>
      <c r="E1374" s="105" t="s">
        <v>1119</v>
      </c>
      <c r="F1374" s="99" t="s">
        <v>260</v>
      </c>
      <c r="G1374" s="99"/>
      <c r="H1374" s="96" t="s">
        <v>1122</v>
      </c>
      <c r="I1374" s="106" t="s">
        <v>736</v>
      </c>
      <c r="J1374" s="93"/>
      <c r="K1374" s="99" t="s">
        <v>232</v>
      </c>
      <c r="L1374" s="93" t="s">
        <v>232</v>
      </c>
      <c r="M1374" s="200">
        <v>1972</v>
      </c>
      <c r="N1374" s="64" t="s">
        <v>385</v>
      </c>
      <c r="O1374" s="106">
        <v>3</v>
      </c>
      <c r="P1374" s="196">
        <v>0</v>
      </c>
      <c r="Q1374" s="106">
        <v>1</v>
      </c>
      <c r="R1374" s="107">
        <v>7</v>
      </c>
      <c r="S1374" s="108">
        <v>511.5</v>
      </c>
      <c r="T1374" s="108">
        <v>511.5</v>
      </c>
      <c r="U1374" s="108">
        <v>511.5</v>
      </c>
      <c r="V1374" s="110"/>
      <c r="W1374" s="206"/>
      <c r="X1374" s="206"/>
      <c r="Y1374" s="206" t="s">
        <v>233</v>
      </c>
      <c r="Z1374" s="206"/>
      <c r="AA1374" s="206" t="s">
        <v>233</v>
      </c>
      <c r="AB1374" s="206" t="s">
        <v>233</v>
      </c>
      <c r="AC1374" s="206" t="s">
        <v>240</v>
      </c>
      <c r="AD1374" s="206" t="s">
        <v>233</v>
      </c>
      <c r="AE1374" s="206" t="s">
        <v>240</v>
      </c>
      <c r="AF1374" s="96">
        <v>0</v>
      </c>
      <c r="AG1374" s="93">
        <v>0</v>
      </c>
      <c r="AH1374" s="93">
        <v>0</v>
      </c>
      <c r="AI1374" s="93">
        <v>0</v>
      </c>
      <c r="AJ1374" s="93">
        <v>0</v>
      </c>
      <c r="AK1374" s="93">
        <v>0</v>
      </c>
    </row>
    <row r="1375" spans="1:37" s="104" customFormat="1" ht="15" customHeight="1" outlineLevel="1">
      <c r="A1375" s="92">
        <v>1368</v>
      </c>
      <c r="B1375" s="93" t="s">
        <v>190</v>
      </c>
      <c r="C1375" s="93" t="s">
        <v>1488</v>
      </c>
      <c r="D1375" s="94" t="s">
        <v>1114</v>
      </c>
      <c r="E1375" s="105" t="s">
        <v>1119</v>
      </c>
      <c r="F1375" s="99" t="s">
        <v>261</v>
      </c>
      <c r="G1375" s="99"/>
      <c r="H1375" s="96" t="s">
        <v>1123</v>
      </c>
      <c r="I1375" s="106" t="s">
        <v>736</v>
      </c>
      <c r="J1375" s="93"/>
      <c r="K1375" s="99" t="s">
        <v>232</v>
      </c>
      <c r="L1375" s="93" t="s">
        <v>232</v>
      </c>
      <c r="M1375" s="200">
        <v>1972</v>
      </c>
      <c r="N1375" s="64" t="s">
        <v>385</v>
      </c>
      <c r="O1375" s="106">
        <v>3</v>
      </c>
      <c r="P1375" s="196">
        <v>0</v>
      </c>
      <c r="Q1375" s="106">
        <v>1</v>
      </c>
      <c r="R1375" s="107">
        <v>7</v>
      </c>
      <c r="S1375" s="108">
        <v>511.5</v>
      </c>
      <c r="T1375" s="108">
        <v>511.5</v>
      </c>
      <c r="U1375" s="108">
        <v>511.5</v>
      </c>
      <c r="V1375" s="110"/>
      <c r="W1375" s="206"/>
      <c r="X1375" s="206"/>
      <c r="Y1375" s="206" t="s">
        <v>233</v>
      </c>
      <c r="Z1375" s="206"/>
      <c r="AA1375" s="206" t="s">
        <v>233</v>
      </c>
      <c r="AB1375" s="206" t="s">
        <v>233</v>
      </c>
      <c r="AC1375" s="206" t="s">
        <v>240</v>
      </c>
      <c r="AD1375" s="206" t="s">
        <v>233</v>
      </c>
      <c r="AE1375" s="206" t="s">
        <v>240</v>
      </c>
      <c r="AF1375" s="96">
        <v>0</v>
      </c>
      <c r="AG1375" s="93">
        <v>0</v>
      </c>
      <c r="AH1375" s="93">
        <v>0</v>
      </c>
      <c r="AI1375" s="93">
        <v>0</v>
      </c>
      <c r="AJ1375" s="93">
        <v>0</v>
      </c>
      <c r="AK1375" s="93">
        <v>0</v>
      </c>
    </row>
    <row r="1376" spans="1:37" s="104" customFormat="1" ht="15" customHeight="1" outlineLevel="1">
      <c r="A1376" s="92">
        <v>1369</v>
      </c>
      <c r="B1376" s="93" t="s">
        <v>190</v>
      </c>
      <c r="C1376" s="93" t="s">
        <v>1488</v>
      </c>
      <c r="D1376" s="94" t="s">
        <v>1114</v>
      </c>
      <c r="E1376" s="105">
        <v>17</v>
      </c>
      <c r="F1376" s="99" t="s">
        <v>191</v>
      </c>
      <c r="G1376" s="99"/>
      <c r="H1376" s="96" t="s">
        <v>1124</v>
      </c>
      <c r="I1376" s="106" t="s">
        <v>736</v>
      </c>
      <c r="J1376" s="93"/>
      <c r="K1376" s="99" t="s">
        <v>232</v>
      </c>
      <c r="L1376" s="93" t="s">
        <v>232</v>
      </c>
      <c r="M1376" s="200">
        <v>1836</v>
      </c>
      <c r="N1376" s="64" t="s">
        <v>385</v>
      </c>
      <c r="O1376" s="106">
        <v>3</v>
      </c>
      <c r="P1376" s="196">
        <v>0</v>
      </c>
      <c r="Q1376" s="106">
        <v>3</v>
      </c>
      <c r="R1376" s="107">
        <v>15</v>
      </c>
      <c r="S1376" s="108">
        <v>1333.3</v>
      </c>
      <c r="T1376" s="108">
        <v>1333.3</v>
      </c>
      <c r="U1376" s="108">
        <v>944.1</v>
      </c>
      <c r="V1376" s="110">
        <v>389.2</v>
      </c>
      <c r="W1376" s="206" t="s">
        <v>233</v>
      </c>
      <c r="X1376" s="206" t="s">
        <v>233</v>
      </c>
      <c r="Y1376" s="206" t="s">
        <v>233</v>
      </c>
      <c r="Z1376" s="206" t="s">
        <v>233</v>
      </c>
      <c r="AA1376" s="206" t="s">
        <v>233</v>
      </c>
      <c r="AB1376" s="206" t="s">
        <v>233</v>
      </c>
      <c r="AC1376" s="206" t="s">
        <v>240</v>
      </c>
      <c r="AD1376" s="206" t="s">
        <v>233</v>
      </c>
      <c r="AE1376" s="206" t="s">
        <v>240</v>
      </c>
      <c r="AF1376" s="96">
        <v>0</v>
      </c>
      <c r="AG1376" s="93">
        <v>0</v>
      </c>
      <c r="AH1376" s="93">
        <v>1</v>
      </c>
      <c r="AI1376" s="93">
        <v>0</v>
      </c>
      <c r="AJ1376" s="93">
        <v>0</v>
      </c>
      <c r="AK1376" s="93">
        <v>0</v>
      </c>
    </row>
    <row r="1377" spans="1:37" s="104" customFormat="1" ht="15" customHeight="1" outlineLevel="1">
      <c r="A1377" s="92">
        <v>1370</v>
      </c>
      <c r="B1377" s="93" t="s">
        <v>190</v>
      </c>
      <c r="C1377" s="93" t="s">
        <v>1488</v>
      </c>
      <c r="D1377" s="94" t="s">
        <v>1114</v>
      </c>
      <c r="E1377" s="105">
        <v>29</v>
      </c>
      <c r="F1377" s="99" t="s">
        <v>191</v>
      </c>
      <c r="G1377" s="99"/>
      <c r="H1377" s="96" t="s">
        <v>1125</v>
      </c>
      <c r="I1377" s="106" t="s">
        <v>736</v>
      </c>
      <c r="J1377" s="93"/>
      <c r="K1377" s="99" t="s">
        <v>232</v>
      </c>
      <c r="L1377" s="93" t="s">
        <v>232</v>
      </c>
      <c r="M1377" s="200">
        <v>1838</v>
      </c>
      <c r="N1377" s="64" t="s">
        <v>385</v>
      </c>
      <c r="O1377" s="106">
        <v>4</v>
      </c>
      <c r="P1377" s="196">
        <v>0</v>
      </c>
      <c r="Q1377" s="106">
        <v>3</v>
      </c>
      <c r="R1377" s="107">
        <v>13</v>
      </c>
      <c r="S1377" s="108">
        <v>2034.1</v>
      </c>
      <c r="T1377" s="108">
        <v>2034.1</v>
      </c>
      <c r="U1377" s="108">
        <v>1513.8</v>
      </c>
      <c r="V1377" s="110">
        <v>520.29999999999995</v>
      </c>
      <c r="W1377" s="206" t="s">
        <v>233</v>
      </c>
      <c r="X1377" s="206" t="s">
        <v>233</v>
      </c>
      <c r="Y1377" s="206" t="s">
        <v>233</v>
      </c>
      <c r="Z1377" s="206" t="s">
        <v>233</v>
      </c>
      <c r="AA1377" s="206" t="s">
        <v>233</v>
      </c>
      <c r="AB1377" s="206" t="s">
        <v>233</v>
      </c>
      <c r="AC1377" s="206" t="s">
        <v>240</v>
      </c>
      <c r="AD1377" s="206" t="s">
        <v>233</v>
      </c>
      <c r="AE1377" s="206" t="s">
        <v>240</v>
      </c>
      <c r="AF1377" s="96">
        <v>0</v>
      </c>
      <c r="AG1377" s="93">
        <v>0</v>
      </c>
      <c r="AH1377" s="93">
        <v>1</v>
      </c>
      <c r="AI1377" s="93">
        <v>0</v>
      </c>
      <c r="AJ1377" s="93">
        <v>0</v>
      </c>
      <c r="AK1377" s="93">
        <v>0</v>
      </c>
    </row>
    <row r="1378" spans="1:37" s="104" customFormat="1" ht="15" customHeight="1" outlineLevel="1">
      <c r="A1378" s="92">
        <v>1371</v>
      </c>
      <c r="B1378" s="93" t="s">
        <v>190</v>
      </c>
      <c r="C1378" s="93" t="s">
        <v>1488</v>
      </c>
      <c r="D1378" s="94" t="s">
        <v>1126</v>
      </c>
      <c r="E1378" s="105" t="s">
        <v>1127</v>
      </c>
      <c r="F1378" s="99" t="s">
        <v>191</v>
      </c>
      <c r="G1378" s="99"/>
      <c r="H1378" s="96" t="s">
        <v>1128</v>
      </c>
      <c r="I1378" s="106" t="s">
        <v>736</v>
      </c>
      <c r="J1378" s="93"/>
      <c r="K1378" s="99" t="s">
        <v>232</v>
      </c>
      <c r="L1378" s="93" t="s">
        <v>232</v>
      </c>
      <c r="M1378" s="200">
        <v>1914</v>
      </c>
      <c r="N1378" s="64" t="s">
        <v>385</v>
      </c>
      <c r="O1378" s="106">
        <v>7</v>
      </c>
      <c r="P1378" s="196">
        <v>0</v>
      </c>
      <c r="Q1378" s="106">
        <v>6</v>
      </c>
      <c r="R1378" s="107">
        <v>61</v>
      </c>
      <c r="S1378" s="108">
        <v>6634.8</v>
      </c>
      <c r="T1378" s="108">
        <v>6634.8</v>
      </c>
      <c r="U1378" s="108">
        <v>5153.1000000000004</v>
      </c>
      <c r="V1378" s="110">
        <v>1481.7</v>
      </c>
      <c r="W1378" s="206" t="s">
        <v>233</v>
      </c>
      <c r="X1378" s="206" t="s">
        <v>233</v>
      </c>
      <c r="Y1378" s="206" t="s">
        <v>233</v>
      </c>
      <c r="Z1378" s="206" t="s">
        <v>233</v>
      </c>
      <c r="AA1378" s="206" t="s">
        <v>233</v>
      </c>
      <c r="AB1378" s="206" t="s">
        <v>233</v>
      </c>
      <c r="AC1378" s="206" t="s">
        <v>240</v>
      </c>
      <c r="AD1378" s="206" t="s">
        <v>233</v>
      </c>
      <c r="AE1378" s="206" t="s">
        <v>240</v>
      </c>
      <c r="AF1378" s="96">
        <v>0</v>
      </c>
      <c r="AG1378" s="93">
        <v>0</v>
      </c>
      <c r="AH1378" s="93">
        <v>1</v>
      </c>
      <c r="AI1378" s="93">
        <v>0</v>
      </c>
      <c r="AJ1378" s="93">
        <v>0</v>
      </c>
      <c r="AK1378" s="93">
        <v>0</v>
      </c>
    </row>
    <row r="1379" spans="1:37" s="104" customFormat="1" ht="15" customHeight="1" outlineLevel="1">
      <c r="A1379" s="92">
        <v>1372</v>
      </c>
      <c r="B1379" s="93" t="s">
        <v>190</v>
      </c>
      <c r="C1379" s="93" t="s">
        <v>1488</v>
      </c>
      <c r="D1379" s="94" t="s">
        <v>1114</v>
      </c>
      <c r="E1379" s="105">
        <v>31</v>
      </c>
      <c r="F1379" s="99" t="s">
        <v>191</v>
      </c>
      <c r="G1379" s="99"/>
      <c r="H1379" s="96" t="s">
        <v>1129</v>
      </c>
      <c r="I1379" s="106" t="s">
        <v>736</v>
      </c>
      <c r="J1379" s="93"/>
      <c r="K1379" s="99" t="s">
        <v>232</v>
      </c>
      <c r="L1379" s="93" t="s">
        <v>232</v>
      </c>
      <c r="M1379" s="200">
        <v>1822</v>
      </c>
      <c r="N1379" s="64" t="s">
        <v>385</v>
      </c>
      <c r="O1379" s="106">
        <v>4</v>
      </c>
      <c r="P1379" s="196">
        <v>0</v>
      </c>
      <c r="Q1379" s="106">
        <v>6</v>
      </c>
      <c r="R1379" s="107">
        <v>24</v>
      </c>
      <c r="S1379" s="108">
        <v>2265.1</v>
      </c>
      <c r="T1379" s="108">
        <v>2265.1</v>
      </c>
      <c r="U1379" s="108">
        <v>1744.1</v>
      </c>
      <c r="V1379" s="110">
        <v>521</v>
      </c>
      <c r="W1379" s="206" t="s">
        <v>233</v>
      </c>
      <c r="X1379" s="206" t="s">
        <v>233</v>
      </c>
      <c r="Y1379" s="206" t="s">
        <v>233</v>
      </c>
      <c r="Z1379" s="206" t="s">
        <v>233</v>
      </c>
      <c r="AA1379" s="206" t="s">
        <v>233</v>
      </c>
      <c r="AB1379" s="206" t="s">
        <v>233</v>
      </c>
      <c r="AC1379" s="206" t="s">
        <v>240</v>
      </c>
      <c r="AD1379" s="206" t="s">
        <v>233</v>
      </c>
      <c r="AE1379" s="206" t="s">
        <v>240</v>
      </c>
      <c r="AF1379" s="96">
        <v>0</v>
      </c>
      <c r="AG1379" s="93">
        <v>0</v>
      </c>
      <c r="AH1379" s="93">
        <v>1</v>
      </c>
      <c r="AI1379" s="93">
        <v>0</v>
      </c>
      <c r="AJ1379" s="93">
        <v>0</v>
      </c>
      <c r="AK1379" s="93">
        <v>0</v>
      </c>
    </row>
    <row r="1380" spans="1:37" s="104" customFormat="1" ht="15" customHeight="1" outlineLevel="1">
      <c r="A1380" s="92">
        <v>1373</v>
      </c>
      <c r="B1380" s="93" t="s">
        <v>190</v>
      </c>
      <c r="C1380" s="93" t="s">
        <v>1488</v>
      </c>
      <c r="D1380" s="94" t="s">
        <v>1114</v>
      </c>
      <c r="E1380" s="105">
        <v>33</v>
      </c>
      <c r="F1380" s="99" t="s">
        <v>191</v>
      </c>
      <c r="G1380" s="99"/>
      <c r="H1380" s="96" t="s">
        <v>1130</v>
      </c>
      <c r="I1380" s="106" t="s">
        <v>736</v>
      </c>
      <c r="J1380" s="93"/>
      <c r="K1380" s="99" t="s">
        <v>232</v>
      </c>
      <c r="L1380" s="93" t="s">
        <v>232</v>
      </c>
      <c r="M1380" s="200">
        <v>1877</v>
      </c>
      <c r="N1380" s="64" t="s">
        <v>385</v>
      </c>
      <c r="O1380" s="106">
        <v>4</v>
      </c>
      <c r="P1380" s="196">
        <v>0</v>
      </c>
      <c r="Q1380" s="106">
        <v>4</v>
      </c>
      <c r="R1380" s="107">
        <v>26</v>
      </c>
      <c r="S1380" s="108">
        <v>2923.8</v>
      </c>
      <c r="T1380" s="108">
        <v>2923.8</v>
      </c>
      <c r="U1380" s="108">
        <v>2377.1</v>
      </c>
      <c r="V1380" s="110">
        <v>546.70000000000005</v>
      </c>
      <c r="W1380" s="206" t="s">
        <v>233</v>
      </c>
      <c r="X1380" s="206" t="s">
        <v>233</v>
      </c>
      <c r="Y1380" s="206" t="s">
        <v>233</v>
      </c>
      <c r="Z1380" s="206" t="s">
        <v>233</v>
      </c>
      <c r="AA1380" s="206" t="s">
        <v>233</v>
      </c>
      <c r="AB1380" s="206" t="s">
        <v>233</v>
      </c>
      <c r="AC1380" s="206" t="s">
        <v>240</v>
      </c>
      <c r="AD1380" s="206" t="s">
        <v>233</v>
      </c>
      <c r="AE1380" s="206" t="s">
        <v>240</v>
      </c>
      <c r="AF1380" s="96">
        <v>0</v>
      </c>
      <c r="AG1380" s="93">
        <v>0</v>
      </c>
      <c r="AH1380" s="93">
        <v>1</v>
      </c>
      <c r="AI1380" s="93">
        <v>0</v>
      </c>
      <c r="AJ1380" s="93">
        <v>0</v>
      </c>
      <c r="AK1380" s="93">
        <v>0</v>
      </c>
    </row>
    <row r="1381" spans="1:37" s="104" customFormat="1" ht="15" customHeight="1" outlineLevel="1">
      <c r="A1381" s="92">
        <v>1374</v>
      </c>
      <c r="B1381" s="93" t="s">
        <v>190</v>
      </c>
      <c r="C1381" s="93" t="s">
        <v>1488</v>
      </c>
      <c r="D1381" s="94" t="s">
        <v>1114</v>
      </c>
      <c r="E1381" s="105">
        <v>37</v>
      </c>
      <c r="F1381" s="99" t="s">
        <v>191</v>
      </c>
      <c r="G1381" s="99"/>
      <c r="H1381" s="96" t="s">
        <v>1131</v>
      </c>
      <c r="I1381" s="106" t="s">
        <v>736</v>
      </c>
      <c r="J1381" s="93"/>
      <c r="K1381" s="99" t="s">
        <v>232</v>
      </c>
      <c r="L1381" s="93" t="s">
        <v>232</v>
      </c>
      <c r="M1381" s="200">
        <v>1917</v>
      </c>
      <c r="N1381" s="64" t="s">
        <v>385</v>
      </c>
      <c r="O1381" s="106">
        <v>5</v>
      </c>
      <c r="P1381" s="196">
        <v>0</v>
      </c>
      <c r="Q1381" s="106">
        <v>4</v>
      </c>
      <c r="R1381" s="107">
        <v>19</v>
      </c>
      <c r="S1381" s="108">
        <v>3382.7</v>
      </c>
      <c r="T1381" s="108">
        <v>3382.7</v>
      </c>
      <c r="U1381" s="108">
        <v>2407.1</v>
      </c>
      <c r="V1381" s="110">
        <v>975.6</v>
      </c>
      <c r="W1381" s="206" t="s">
        <v>233</v>
      </c>
      <c r="X1381" s="206" t="s">
        <v>233</v>
      </c>
      <c r="Y1381" s="206" t="s">
        <v>233</v>
      </c>
      <c r="Z1381" s="206" t="s">
        <v>233</v>
      </c>
      <c r="AA1381" s="206" t="s">
        <v>233</v>
      </c>
      <c r="AB1381" s="206" t="s">
        <v>233</v>
      </c>
      <c r="AC1381" s="206" t="s">
        <v>240</v>
      </c>
      <c r="AD1381" s="206" t="s">
        <v>233</v>
      </c>
      <c r="AE1381" s="206" t="s">
        <v>240</v>
      </c>
      <c r="AF1381" s="96">
        <v>0</v>
      </c>
      <c r="AG1381" s="93">
        <v>0</v>
      </c>
      <c r="AH1381" s="93">
        <v>1</v>
      </c>
      <c r="AI1381" s="93">
        <v>0</v>
      </c>
      <c r="AJ1381" s="93">
        <v>0</v>
      </c>
      <c r="AK1381" s="93">
        <v>0</v>
      </c>
    </row>
    <row r="1382" spans="1:37" s="104" customFormat="1" ht="15" customHeight="1" outlineLevel="1">
      <c r="A1382" s="92">
        <v>1375</v>
      </c>
      <c r="B1382" s="93" t="s">
        <v>190</v>
      </c>
      <c r="C1382" s="93" t="s">
        <v>1488</v>
      </c>
      <c r="D1382" s="94" t="s">
        <v>1132</v>
      </c>
      <c r="E1382" s="105" t="s">
        <v>1133</v>
      </c>
      <c r="F1382" s="99" t="s">
        <v>191</v>
      </c>
      <c r="G1382" s="99"/>
      <c r="H1382" s="96" t="s">
        <v>1134</v>
      </c>
      <c r="I1382" s="106" t="s">
        <v>736</v>
      </c>
      <c r="J1382" s="93"/>
      <c r="K1382" s="99" t="s">
        <v>232</v>
      </c>
      <c r="L1382" s="93" t="s">
        <v>232</v>
      </c>
      <c r="M1382" s="200">
        <v>1862</v>
      </c>
      <c r="N1382" s="64" t="s">
        <v>385</v>
      </c>
      <c r="O1382" s="106">
        <v>5</v>
      </c>
      <c r="P1382" s="196">
        <v>0</v>
      </c>
      <c r="Q1382" s="106">
        <v>10</v>
      </c>
      <c r="R1382" s="107">
        <v>65</v>
      </c>
      <c r="S1382" s="108">
        <v>7395.8</v>
      </c>
      <c r="T1382" s="108">
        <v>7395.8</v>
      </c>
      <c r="U1382" s="108">
        <v>5916.8</v>
      </c>
      <c r="V1382" s="110">
        <v>1479</v>
      </c>
      <c r="W1382" s="206" t="s">
        <v>233</v>
      </c>
      <c r="X1382" s="206" t="s">
        <v>233</v>
      </c>
      <c r="Y1382" s="206" t="s">
        <v>233</v>
      </c>
      <c r="Z1382" s="206" t="s">
        <v>233</v>
      </c>
      <c r="AA1382" s="206" t="s">
        <v>233</v>
      </c>
      <c r="AB1382" s="206" t="s">
        <v>233</v>
      </c>
      <c r="AC1382" s="206" t="s">
        <v>240</v>
      </c>
      <c r="AD1382" s="206" t="s">
        <v>233</v>
      </c>
      <c r="AE1382" s="206" t="s">
        <v>240</v>
      </c>
      <c r="AF1382" s="96">
        <v>0</v>
      </c>
      <c r="AG1382" s="93">
        <v>0</v>
      </c>
      <c r="AH1382" s="93">
        <v>1</v>
      </c>
      <c r="AI1382" s="93">
        <v>0</v>
      </c>
      <c r="AJ1382" s="93">
        <v>0</v>
      </c>
      <c r="AK1382" s="93">
        <v>0</v>
      </c>
    </row>
    <row r="1383" spans="1:37" s="104" customFormat="1" outlineLevel="1">
      <c r="A1383" s="92">
        <v>1376</v>
      </c>
      <c r="B1383" s="93" t="s">
        <v>190</v>
      </c>
      <c r="C1383" s="93" t="s">
        <v>1488</v>
      </c>
      <c r="D1383" s="94" t="s">
        <v>1135</v>
      </c>
      <c r="E1383" s="105" t="s">
        <v>1136</v>
      </c>
      <c r="F1383" s="99" t="s">
        <v>191</v>
      </c>
      <c r="G1383" s="99"/>
      <c r="H1383" s="96" t="s">
        <v>1137</v>
      </c>
      <c r="I1383" s="106" t="s">
        <v>792</v>
      </c>
      <c r="J1383" s="93"/>
      <c r="K1383" s="99" t="s">
        <v>232</v>
      </c>
      <c r="L1383" s="93" t="s">
        <v>232</v>
      </c>
      <c r="M1383" s="200">
        <v>1911</v>
      </c>
      <c r="N1383" s="64" t="s">
        <v>385</v>
      </c>
      <c r="O1383" s="106">
        <v>6</v>
      </c>
      <c r="P1383" s="196">
        <v>0</v>
      </c>
      <c r="Q1383" s="106">
        <v>4</v>
      </c>
      <c r="R1383" s="107">
        <v>54</v>
      </c>
      <c r="S1383" s="108">
        <v>5368</v>
      </c>
      <c r="T1383" s="108">
        <v>5368</v>
      </c>
      <c r="U1383" s="108">
        <v>4524.0600000000004</v>
      </c>
      <c r="V1383" s="110">
        <v>843.94</v>
      </c>
      <c r="W1383" s="206" t="s">
        <v>233</v>
      </c>
      <c r="X1383" s="206" t="s">
        <v>233</v>
      </c>
      <c r="Y1383" s="206" t="s">
        <v>233</v>
      </c>
      <c r="Z1383" s="206" t="s">
        <v>233</v>
      </c>
      <c r="AA1383" s="206" t="s">
        <v>233</v>
      </c>
      <c r="AB1383" s="206" t="s">
        <v>233</v>
      </c>
      <c r="AC1383" s="206" t="s">
        <v>240</v>
      </c>
      <c r="AD1383" s="206" t="s">
        <v>233</v>
      </c>
      <c r="AE1383" s="206" t="s">
        <v>240</v>
      </c>
      <c r="AF1383" s="96">
        <v>3</v>
      </c>
      <c r="AG1383" s="93">
        <v>0</v>
      </c>
      <c r="AH1383" s="93">
        <v>1</v>
      </c>
      <c r="AI1383" s="93">
        <v>0</v>
      </c>
      <c r="AJ1383" s="93">
        <v>0</v>
      </c>
      <c r="AK1383" s="93">
        <v>0</v>
      </c>
    </row>
    <row r="1384" spans="1:37" s="104" customFormat="1" outlineLevel="1">
      <c r="A1384" s="92">
        <v>1377</v>
      </c>
      <c r="B1384" s="93" t="s">
        <v>190</v>
      </c>
      <c r="C1384" s="93" t="s">
        <v>1488</v>
      </c>
      <c r="D1384" s="94" t="s">
        <v>1138</v>
      </c>
      <c r="E1384" s="105">
        <v>40</v>
      </c>
      <c r="F1384" s="99" t="s">
        <v>231</v>
      </c>
      <c r="G1384" s="99"/>
      <c r="H1384" s="96" t="s">
        <v>1139</v>
      </c>
      <c r="I1384" s="106" t="s">
        <v>736</v>
      </c>
      <c r="J1384" s="93"/>
      <c r="K1384" s="99" t="s">
        <v>232</v>
      </c>
      <c r="L1384" s="93" t="s">
        <v>232</v>
      </c>
      <c r="M1384" s="200">
        <v>1806</v>
      </c>
      <c r="N1384" s="64" t="s">
        <v>385</v>
      </c>
      <c r="O1384" s="106">
        <v>4</v>
      </c>
      <c r="P1384" s="196">
        <v>0</v>
      </c>
      <c r="Q1384" s="106">
        <v>4</v>
      </c>
      <c r="R1384" s="107">
        <v>13</v>
      </c>
      <c r="S1384" s="108">
        <v>3132</v>
      </c>
      <c r="T1384" s="108">
        <v>3132</v>
      </c>
      <c r="U1384" s="108">
        <v>1101.7</v>
      </c>
      <c r="V1384" s="110">
        <v>2030.3</v>
      </c>
      <c r="W1384" s="206"/>
      <c r="X1384" s="206"/>
      <c r="Y1384" s="206" t="s">
        <v>240</v>
      </c>
      <c r="Z1384" s="206"/>
      <c r="AA1384" s="206" t="s">
        <v>233</v>
      </c>
      <c r="AB1384" s="206" t="s">
        <v>233</v>
      </c>
      <c r="AC1384" s="206" t="s">
        <v>233</v>
      </c>
      <c r="AD1384" s="206" t="s">
        <v>233</v>
      </c>
      <c r="AE1384" s="206" t="s">
        <v>240</v>
      </c>
      <c r="AF1384" s="96">
        <v>0</v>
      </c>
      <c r="AG1384" s="93">
        <v>0</v>
      </c>
      <c r="AH1384" s="93">
        <v>0</v>
      </c>
      <c r="AI1384" s="93">
        <v>0</v>
      </c>
      <c r="AJ1384" s="93">
        <v>0</v>
      </c>
      <c r="AK1384" s="93">
        <v>0</v>
      </c>
    </row>
    <row r="1385" spans="1:37" s="104" customFormat="1" outlineLevel="1">
      <c r="A1385" s="92">
        <v>1378</v>
      </c>
      <c r="B1385" s="93" t="s">
        <v>190</v>
      </c>
      <c r="C1385" s="93" t="s">
        <v>1488</v>
      </c>
      <c r="D1385" s="94" t="s">
        <v>1138</v>
      </c>
      <c r="E1385" s="105">
        <v>44</v>
      </c>
      <c r="F1385" s="99" t="s">
        <v>191</v>
      </c>
      <c r="G1385" s="99"/>
      <c r="H1385" s="96" t="s">
        <v>1140</v>
      </c>
      <c r="I1385" s="106" t="s">
        <v>736</v>
      </c>
      <c r="J1385" s="93"/>
      <c r="K1385" s="99" t="s">
        <v>232</v>
      </c>
      <c r="L1385" s="93" t="s">
        <v>232</v>
      </c>
      <c r="M1385" s="200">
        <v>1798</v>
      </c>
      <c r="N1385" s="64" t="s">
        <v>385</v>
      </c>
      <c r="O1385" s="106">
        <v>4</v>
      </c>
      <c r="P1385" s="196">
        <v>0</v>
      </c>
      <c r="Q1385" s="106">
        <v>6</v>
      </c>
      <c r="R1385" s="107">
        <v>29</v>
      </c>
      <c r="S1385" s="108">
        <v>4132.8</v>
      </c>
      <c r="T1385" s="108">
        <v>4132.8</v>
      </c>
      <c r="U1385" s="108">
        <v>3019.9</v>
      </c>
      <c r="V1385" s="110">
        <v>1112.9000000000001</v>
      </c>
      <c r="W1385" s="206" t="s">
        <v>233</v>
      </c>
      <c r="X1385" s="206" t="s">
        <v>233</v>
      </c>
      <c r="Y1385" s="206" t="s">
        <v>240</v>
      </c>
      <c r="Z1385" s="206" t="s">
        <v>233</v>
      </c>
      <c r="AA1385" s="206" t="s">
        <v>233</v>
      </c>
      <c r="AB1385" s="206" t="s">
        <v>233</v>
      </c>
      <c r="AC1385" s="206" t="s">
        <v>233</v>
      </c>
      <c r="AD1385" s="206" t="s">
        <v>233</v>
      </c>
      <c r="AE1385" s="206" t="s">
        <v>240</v>
      </c>
      <c r="AF1385" s="96">
        <v>0</v>
      </c>
      <c r="AG1385" s="93">
        <v>0</v>
      </c>
      <c r="AH1385" s="93">
        <v>1</v>
      </c>
      <c r="AI1385" s="93">
        <v>0</v>
      </c>
      <c r="AJ1385" s="93">
        <v>0</v>
      </c>
      <c r="AK1385" s="93">
        <v>0</v>
      </c>
    </row>
    <row r="1386" spans="1:37" s="104" customFormat="1" outlineLevel="1">
      <c r="A1386" s="92">
        <v>1379</v>
      </c>
      <c r="B1386" s="93" t="s">
        <v>190</v>
      </c>
      <c r="C1386" s="93" t="s">
        <v>1488</v>
      </c>
      <c r="D1386" s="94" t="s">
        <v>1141</v>
      </c>
      <c r="E1386" s="105" t="s">
        <v>1142</v>
      </c>
      <c r="F1386" s="99" t="s">
        <v>191</v>
      </c>
      <c r="G1386" s="99"/>
      <c r="H1386" s="96" t="s">
        <v>1143</v>
      </c>
      <c r="I1386" s="106" t="s">
        <v>736</v>
      </c>
      <c r="J1386" s="93"/>
      <c r="K1386" s="99" t="s">
        <v>232</v>
      </c>
      <c r="L1386" s="93" t="s">
        <v>232</v>
      </c>
      <c r="M1386" s="200">
        <v>1810</v>
      </c>
      <c r="N1386" s="64" t="s">
        <v>385</v>
      </c>
      <c r="O1386" s="106">
        <v>3</v>
      </c>
      <c r="P1386" s="196">
        <v>0</v>
      </c>
      <c r="Q1386" s="106">
        <v>1</v>
      </c>
      <c r="R1386" s="107">
        <v>33</v>
      </c>
      <c r="S1386" s="108">
        <v>2721.8999999999996</v>
      </c>
      <c r="T1386" s="108">
        <v>2721.8999999999996</v>
      </c>
      <c r="U1386" s="108">
        <v>2115.1999999999998</v>
      </c>
      <c r="V1386" s="110">
        <v>606.70000000000005</v>
      </c>
      <c r="W1386" s="206" t="s">
        <v>233</v>
      </c>
      <c r="X1386" s="206" t="s">
        <v>233</v>
      </c>
      <c r="Y1386" s="206" t="s">
        <v>233</v>
      </c>
      <c r="Z1386" s="206" t="s">
        <v>233</v>
      </c>
      <c r="AA1386" s="206" t="s">
        <v>233</v>
      </c>
      <c r="AB1386" s="206" t="s">
        <v>233</v>
      </c>
      <c r="AC1386" s="206" t="s">
        <v>240</v>
      </c>
      <c r="AD1386" s="206" t="s">
        <v>233</v>
      </c>
      <c r="AE1386" s="206" t="s">
        <v>240</v>
      </c>
      <c r="AF1386" s="96">
        <v>0</v>
      </c>
      <c r="AG1386" s="93">
        <v>0</v>
      </c>
      <c r="AH1386" s="93">
        <v>1</v>
      </c>
      <c r="AI1386" s="93">
        <v>0</v>
      </c>
      <c r="AJ1386" s="93">
        <v>0</v>
      </c>
      <c r="AK1386" s="93">
        <v>0</v>
      </c>
    </row>
    <row r="1387" spans="1:37" s="104" customFormat="1" outlineLevel="1">
      <c r="A1387" s="92">
        <v>1380</v>
      </c>
      <c r="B1387" s="93" t="s">
        <v>190</v>
      </c>
      <c r="C1387" s="93" t="s">
        <v>1488</v>
      </c>
      <c r="D1387" s="94" t="s">
        <v>1138</v>
      </c>
      <c r="E1387" s="105">
        <v>46</v>
      </c>
      <c r="F1387" s="99" t="s">
        <v>191</v>
      </c>
      <c r="G1387" s="99"/>
      <c r="H1387" s="96" t="s">
        <v>1144</v>
      </c>
      <c r="I1387" s="106" t="s">
        <v>736</v>
      </c>
      <c r="J1387" s="93"/>
      <c r="K1387" s="99" t="s">
        <v>232</v>
      </c>
      <c r="L1387" s="93" t="s">
        <v>232</v>
      </c>
      <c r="M1387" s="200">
        <v>1756</v>
      </c>
      <c r="N1387" s="64" t="s">
        <v>385</v>
      </c>
      <c r="O1387" s="106">
        <v>3</v>
      </c>
      <c r="P1387" s="196">
        <v>0</v>
      </c>
      <c r="Q1387" s="106">
        <v>5</v>
      </c>
      <c r="R1387" s="107">
        <v>20</v>
      </c>
      <c r="S1387" s="108">
        <v>1972.3</v>
      </c>
      <c r="T1387" s="108">
        <v>1972.3</v>
      </c>
      <c r="U1387" s="108">
        <v>1435.8</v>
      </c>
      <c r="V1387" s="110">
        <v>536.5</v>
      </c>
      <c r="W1387" s="206" t="s">
        <v>233</v>
      </c>
      <c r="X1387" s="206" t="s">
        <v>233</v>
      </c>
      <c r="Y1387" s="206" t="s">
        <v>240</v>
      </c>
      <c r="Z1387" s="206" t="s">
        <v>233</v>
      </c>
      <c r="AA1387" s="206" t="s">
        <v>233</v>
      </c>
      <c r="AB1387" s="206" t="s">
        <v>233</v>
      </c>
      <c r="AC1387" s="206" t="s">
        <v>233</v>
      </c>
      <c r="AD1387" s="206" t="s">
        <v>233</v>
      </c>
      <c r="AE1387" s="206" t="s">
        <v>240</v>
      </c>
      <c r="AF1387" s="96">
        <v>0</v>
      </c>
      <c r="AG1387" s="93">
        <v>0</v>
      </c>
      <c r="AH1387" s="93">
        <v>1</v>
      </c>
      <c r="AI1387" s="93">
        <v>0</v>
      </c>
      <c r="AJ1387" s="93">
        <v>0</v>
      </c>
      <c r="AK1387" s="93">
        <v>0</v>
      </c>
    </row>
    <row r="1388" spans="1:37" s="104" customFormat="1" outlineLevel="1">
      <c r="A1388" s="92">
        <v>1381</v>
      </c>
      <c r="B1388" s="93" t="s">
        <v>190</v>
      </c>
      <c r="C1388" s="93" t="s">
        <v>1488</v>
      </c>
      <c r="D1388" s="94" t="s">
        <v>1138</v>
      </c>
      <c r="E1388" s="105">
        <v>47</v>
      </c>
      <c r="F1388" s="99" t="s">
        <v>191</v>
      </c>
      <c r="G1388" s="99"/>
      <c r="H1388" s="96" t="s">
        <v>1145</v>
      </c>
      <c r="I1388" s="106" t="s">
        <v>736</v>
      </c>
      <c r="J1388" s="93"/>
      <c r="K1388" s="99" t="s">
        <v>232</v>
      </c>
      <c r="L1388" s="93" t="s">
        <v>232</v>
      </c>
      <c r="M1388" s="200">
        <v>1798</v>
      </c>
      <c r="N1388" s="64" t="s">
        <v>385</v>
      </c>
      <c r="O1388" s="106">
        <v>5</v>
      </c>
      <c r="P1388" s="196">
        <v>0</v>
      </c>
      <c r="Q1388" s="106">
        <v>7</v>
      </c>
      <c r="R1388" s="107">
        <v>50</v>
      </c>
      <c r="S1388" s="108">
        <v>4541</v>
      </c>
      <c r="T1388" s="108">
        <v>4541</v>
      </c>
      <c r="U1388" s="108">
        <v>3450.2</v>
      </c>
      <c r="V1388" s="110">
        <v>1090.8</v>
      </c>
      <c r="W1388" s="206" t="s">
        <v>233</v>
      </c>
      <c r="X1388" s="206" t="s">
        <v>233</v>
      </c>
      <c r="Y1388" s="206" t="s">
        <v>233</v>
      </c>
      <c r="Z1388" s="206" t="s">
        <v>233</v>
      </c>
      <c r="AA1388" s="206" t="s">
        <v>233</v>
      </c>
      <c r="AB1388" s="206" t="s">
        <v>233</v>
      </c>
      <c r="AC1388" s="206" t="s">
        <v>240</v>
      </c>
      <c r="AD1388" s="206" t="s">
        <v>233</v>
      </c>
      <c r="AE1388" s="206" t="s">
        <v>240</v>
      </c>
      <c r="AF1388" s="96">
        <v>0</v>
      </c>
      <c r="AG1388" s="93">
        <v>0</v>
      </c>
      <c r="AH1388" s="93">
        <v>1</v>
      </c>
      <c r="AI1388" s="93">
        <v>0</v>
      </c>
      <c r="AJ1388" s="93">
        <v>0</v>
      </c>
      <c r="AK1388" s="93">
        <v>0</v>
      </c>
    </row>
    <row r="1389" spans="1:37" s="104" customFormat="1" outlineLevel="1">
      <c r="A1389" s="92">
        <v>1382</v>
      </c>
      <c r="B1389" s="93" t="s">
        <v>190</v>
      </c>
      <c r="C1389" s="93" t="s">
        <v>1488</v>
      </c>
      <c r="D1389" s="94" t="s">
        <v>1138</v>
      </c>
      <c r="E1389" s="105">
        <v>48</v>
      </c>
      <c r="F1389" s="99" t="s">
        <v>191</v>
      </c>
      <c r="G1389" s="99"/>
      <c r="H1389" s="96" t="s">
        <v>1146</v>
      </c>
      <c r="I1389" s="106" t="s">
        <v>736</v>
      </c>
      <c r="J1389" s="93"/>
      <c r="K1389" s="99" t="s">
        <v>232</v>
      </c>
      <c r="L1389" s="93" t="s">
        <v>232</v>
      </c>
      <c r="M1389" s="200">
        <v>1836</v>
      </c>
      <c r="N1389" s="64" t="s">
        <v>385</v>
      </c>
      <c r="O1389" s="106">
        <v>5</v>
      </c>
      <c r="P1389" s="196">
        <v>0</v>
      </c>
      <c r="Q1389" s="106">
        <v>5</v>
      </c>
      <c r="R1389" s="107">
        <v>27</v>
      </c>
      <c r="S1389" s="108">
        <v>3803.2</v>
      </c>
      <c r="T1389" s="108">
        <v>3803.2</v>
      </c>
      <c r="U1389" s="108">
        <v>2378.9</v>
      </c>
      <c r="V1389" s="110">
        <v>1424.3</v>
      </c>
      <c r="W1389" s="206" t="s">
        <v>233</v>
      </c>
      <c r="X1389" s="206" t="s">
        <v>233</v>
      </c>
      <c r="Y1389" s="206" t="s">
        <v>240</v>
      </c>
      <c r="Z1389" s="206" t="s">
        <v>233</v>
      </c>
      <c r="AA1389" s="206" t="s">
        <v>233</v>
      </c>
      <c r="AB1389" s="206" t="s">
        <v>233</v>
      </c>
      <c r="AC1389" s="206" t="s">
        <v>233</v>
      </c>
      <c r="AD1389" s="206" t="s">
        <v>233</v>
      </c>
      <c r="AE1389" s="206" t="s">
        <v>240</v>
      </c>
      <c r="AF1389" s="96">
        <v>0</v>
      </c>
      <c r="AG1389" s="93">
        <v>0</v>
      </c>
      <c r="AH1389" s="93">
        <v>1</v>
      </c>
      <c r="AI1389" s="93">
        <v>0</v>
      </c>
      <c r="AJ1389" s="93">
        <v>0</v>
      </c>
      <c r="AK1389" s="93">
        <v>0</v>
      </c>
    </row>
    <row r="1390" spans="1:37" s="104" customFormat="1" ht="15.75" customHeight="1" outlineLevel="1">
      <c r="A1390" s="92">
        <v>1383</v>
      </c>
      <c r="B1390" s="93" t="s">
        <v>190</v>
      </c>
      <c r="C1390" s="93" t="s">
        <v>1488</v>
      </c>
      <c r="D1390" s="94" t="s">
        <v>1138</v>
      </c>
      <c r="E1390" s="105">
        <v>49</v>
      </c>
      <c r="F1390" s="99" t="s">
        <v>191</v>
      </c>
      <c r="G1390" s="99"/>
      <c r="H1390" s="96" t="s">
        <v>1147</v>
      </c>
      <c r="I1390" s="106" t="s">
        <v>736</v>
      </c>
      <c r="J1390" s="93"/>
      <c r="K1390" s="99" t="s">
        <v>232</v>
      </c>
      <c r="L1390" s="93" t="s">
        <v>232</v>
      </c>
      <c r="M1390" s="200">
        <v>1798</v>
      </c>
      <c r="N1390" s="64" t="s">
        <v>385</v>
      </c>
      <c r="O1390" s="106">
        <v>5</v>
      </c>
      <c r="P1390" s="196">
        <v>0</v>
      </c>
      <c r="Q1390" s="106">
        <v>7</v>
      </c>
      <c r="R1390" s="107">
        <v>53</v>
      </c>
      <c r="S1390" s="108">
        <v>5788.5</v>
      </c>
      <c r="T1390" s="108">
        <v>5788.5</v>
      </c>
      <c r="U1390" s="108">
        <v>4658</v>
      </c>
      <c r="V1390" s="110">
        <v>1130.5</v>
      </c>
      <c r="W1390" s="206" t="s">
        <v>233</v>
      </c>
      <c r="X1390" s="206" t="s">
        <v>233</v>
      </c>
      <c r="Y1390" s="206" t="s">
        <v>233</v>
      </c>
      <c r="Z1390" s="206" t="s">
        <v>233</v>
      </c>
      <c r="AA1390" s="206" t="s">
        <v>233</v>
      </c>
      <c r="AB1390" s="206" t="s">
        <v>233</v>
      </c>
      <c r="AC1390" s="206" t="s">
        <v>240</v>
      </c>
      <c r="AD1390" s="206" t="s">
        <v>233</v>
      </c>
      <c r="AE1390" s="206" t="s">
        <v>240</v>
      </c>
      <c r="AF1390" s="96">
        <v>0</v>
      </c>
      <c r="AG1390" s="93">
        <v>0</v>
      </c>
      <c r="AH1390" s="93">
        <v>1</v>
      </c>
      <c r="AI1390" s="93">
        <v>0</v>
      </c>
      <c r="AJ1390" s="93">
        <v>0</v>
      </c>
      <c r="AK1390" s="93">
        <v>0</v>
      </c>
    </row>
    <row r="1391" spans="1:37" s="104" customFormat="1" ht="15.75" customHeight="1" outlineLevel="1">
      <c r="A1391" s="92">
        <v>1384</v>
      </c>
      <c r="B1391" s="93" t="s">
        <v>190</v>
      </c>
      <c r="C1391" s="93" t="s">
        <v>1488</v>
      </c>
      <c r="D1391" s="94" t="s">
        <v>1138</v>
      </c>
      <c r="E1391" s="105">
        <v>51</v>
      </c>
      <c r="F1391" s="99" t="s">
        <v>191</v>
      </c>
      <c r="G1391" s="99"/>
      <c r="H1391" s="96" t="s">
        <v>1148</v>
      </c>
      <c r="I1391" s="106" t="s">
        <v>736</v>
      </c>
      <c r="J1391" s="93"/>
      <c r="K1391" s="99" t="s">
        <v>232</v>
      </c>
      <c r="L1391" s="93" t="s">
        <v>232</v>
      </c>
      <c r="M1391" s="200">
        <v>1800</v>
      </c>
      <c r="N1391" s="64" t="s">
        <v>385</v>
      </c>
      <c r="O1391" s="106">
        <v>5</v>
      </c>
      <c r="P1391" s="196">
        <v>0</v>
      </c>
      <c r="Q1391" s="106">
        <v>2</v>
      </c>
      <c r="R1391" s="107">
        <v>43</v>
      </c>
      <c r="S1391" s="108">
        <v>6789.7</v>
      </c>
      <c r="T1391" s="108">
        <v>6789.7</v>
      </c>
      <c r="U1391" s="108">
        <v>3643.1</v>
      </c>
      <c r="V1391" s="110">
        <v>3146.6</v>
      </c>
      <c r="W1391" s="206" t="s">
        <v>233</v>
      </c>
      <c r="X1391" s="206" t="s">
        <v>233</v>
      </c>
      <c r="Y1391" s="206" t="s">
        <v>233</v>
      </c>
      <c r="Z1391" s="206" t="s">
        <v>233</v>
      </c>
      <c r="AA1391" s="206" t="s">
        <v>233</v>
      </c>
      <c r="AB1391" s="206" t="s">
        <v>233</v>
      </c>
      <c r="AC1391" s="206" t="s">
        <v>240</v>
      </c>
      <c r="AD1391" s="206" t="s">
        <v>233</v>
      </c>
      <c r="AE1391" s="206" t="s">
        <v>240</v>
      </c>
      <c r="AF1391" s="96">
        <v>0</v>
      </c>
      <c r="AG1391" s="93">
        <v>0</v>
      </c>
      <c r="AH1391" s="93">
        <v>1</v>
      </c>
      <c r="AI1391" s="93">
        <v>0</v>
      </c>
      <c r="AJ1391" s="93">
        <v>0</v>
      </c>
      <c r="AK1391" s="93">
        <v>0</v>
      </c>
    </row>
    <row r="1392" spans="1:37" s="104" customFormat="1" outlineLevel="1">
      <c r="A1392" s="92">
        <v>1385</v>
      </c>
      <c r="B1392" s="93" t="s">
        <v>190</v>
      </c>
      <c r="C1392" s="93" t="s">
        <v>1488</v>
      </c>
      <c r="D1392" s="94" t="s">
        <v>1138</v>
      </c>
      <c r="E1392" s="105">
        <v>58</v>
      </c>
      <c r="F1392" s="99" t="s">
        <v>191</v>
      </c>
      <c r="G1392" s="99"/>
      <c r="H1392" s="96" t="s">
        <v>1149</v>
      </c>
      <c r="I1392" s="106" t="s">
        <v>736</v>
      </c>
      <c r="J1392" s="93"/>
      <c r="K1392" s="99" t="s">
        <v>232</v>
      </c>
      <c r="L1392" s="93" t="s">
        <v>232</v>
      </c>
      <c r="M1392" s="200">
        <v>1858</v>
      </c>
      <c r="N1392" s="64" t="s">
        <v>385</v>
      </c>
      <c r="O1392" s="106">
        <v>4</v>
      </c>
      <c r="P1392" s="196">
        <v>0</v>
      </c>
      <c r="Q1392" s="106">
        <v>1</v>
      </c>
      <c r="R1392" s="107">
        <v>16</v>
      </c>
      <c r="S1392" s="108">
        <v>2974.8999999999996</v>
      </c>
      <c r="T1392" s="108">
        <v>2974.8999999999996</v>
      </c>
      <c r="U1392" s="108">
        <v>1077.3</v>
      </c>
      <c r="V1392" s="110">
        <v>1897.6</v>
      </c>
      <c r="W1392" s="206" t="s">
        <v>233</v>
      </c>
      <c r="X1392" s="206" t="s">
        <v>233</v>
      </c>
      <c r="Y1392" s="206" t="s">
        <v>233</v>
      </c>
      <c r="Z1392" s="206" t="s">
        <v>233</v>
      </c>
      <c r="AA1392" s="206" t="s">
        <v>233</v>
      </c>
      <c r="AB1392" s="206" t="s">
        <v>233</v>
      </c>
      <c r="AC1392" s="206" t="s">
        <v>240</v>
      </c>
      <c r="AD1392" s="206" t="s">
        <v>233</v>
      </c>
      <c r="AE1392" s="206" t="s">
        <v>240</v>
      </c>
      <c r="AF1392" s="96">
        <v>0</v>
      </c>
      <c r="AG1392" s="93">
        <v>0</v>
      </c>
      <c r="AH1392" s="93">
        <v>1</v>
      </c>
      <c r="AI1392" s="93">
        <v>0</v>
      </c>
      <c r="AJ1392" s="93">
        <v>0</v>
      </c>
      <c r="AK1392" s="93">
        <v>0</v>
      </c>
    </row>
    <row r="1393" spans="1:37" s="104" customFormat="1" outlineLevel="1">
      <c r="A1393" s="92">
        <v>1386</v>
      </c>
      <c r="B1393" s="93" t="s">
        <v>190</v>
      </c>
      <c r="C1393" s="93" t="s">
        <v>1488</v>
      </c>
      <c r="D1393" s="94" t="s">
        <v>1138</v>
      </c>
      <c r="E1393" s="105">
        <v>59</v>
      </c>
      <c r="F1393" s="99" t="s">
        <v>191</v>
      </c>
      <c r="G1393" s="99"/>
      <c r="H1393" s="96" t="s">
        <v>1150</v>
      </c>
      <c r="I1393" s="106" t="s">
        <v>736</v>
      </c>
      <c r="J1393" s="93"/>
      <c r="K1393" s="99" t="s">
        <v>232</v>
      </c>
      <c r="L1393" s="93" t="s">
        <v>232</v>
      </c>
      <c r="M1393" s="200">
        <v>1880</v>
      </c>
      <c r="N1393" s="64" t="s">
        <v>385</v>
      </c>
      <c r="O1393" s="106">
        <v>6</v>
      </c>
      <c r="P1393" s="196">
        <v>0</v>
      </c>
      <c r="Q1393" s="106">
        <v>9</v>
      </c>
      <c r="R1393" s="107">
        <v>57</v>
      </c>
      <c r="S1393" s="108">
        <v>8164.2</v>
      </c>
      <c r="T1393" s="108">
        <v>8164.2</v>
      </c>
      <c r="U1393" s="108">
        <v>6587.9</v>
      </c>
      <c r="V1393" s="110">
        <v>1576.3</v>
      </c>
      <c r="W1393" s="206" t="s">
        <v>233</v>
      </c>
      <c r="X1393" s="206" t="s">
        <v>233</v>
      </c>
      <c r="Y1393" s="206" t="s">
        <v>233</v>
      </c>
      <c r="Z1393" s="206" t="s">
        <v>233</v>
      </c>
      <c r="AA1393" s="206" t="s">
        <v>233</v>
      </c>
      <c r="AB1393" s="206" t="s">
        <v>233</v>
      </c>
      <c r="AC1393" s="206" t="s">
        <v>240</v>
      </c>
      <c r="AD1393" s="206" t="s">
        <v>233</v>
      </c>
      <c r="AE1393" s="206" t="s">
        <v>240</v>
      </c>
      <c r="AF1393" s="96">
        <v>2</v>
      </c>
      <c r="AG1393" s="93">
        <v>0</v>
      </c>
      <c r="AH1393" s="93">
        <v>2</v>
      </c>
      <c r="AI1393" s="93">
        <v>0</v>
      </c>
      <c r="AJ1393" s="93">
        <v>0</v>
      </c>
      <c r="AK1393" s="93">
        <v>0</v>
      </c>
    </row>
    <row r="1394" spans="1:37" s="104" customFormat="1" ht="15.75" customHeight="1" outlineLevel="1">
      <c r="A1394" s="92">
        <v>1387</v>
      </c>
      <c r="B1394" s="93" t="s">
        <v>190</v>
      </c>
      <c r="C1394" s="93" t="s">
        <v>1488</v>
      </c>
      <c r="D1394" s="94" t="s">
        <v>1138</v>
      </c>
      <c r="E1394" s="105">
        <v>60</v>
      </c>
      <c r="F1394" s="99" t="s">
        <v>191</v>
      </c>
      <c r="G1394" s="99"/>
      <c r="H1394" s="96" t="s">
        <v>1151</v>
      </c>
      <c r="I1394" s="106" t="s">
        <v>736</v>
      </c>
      <c r="J1394" s="93"/>
      <c r="K1394" s="99" t="s">
        <v>232</v>
      </c>
      <c r="L1394" s="93" t="s">
        <v>232</v>
      </c>
      <c r="M1394" s="200">
        <v>1802</v>
      </c>
      <c r="N1394" s="64" t="s">
        <v>385</v>
      </c>
      <c r="O1394" s="106">
        <v>5</v>
      </c>
      <c r="P1394" s="196">
        <v>0</v>
      </c>
      <c r="Q1394" s="106">
        <v>7</v>
      </c>
      <c r="R1394" s="107">
        <v>48</v>
      </c>
      <c r="S1394" s="108">
        <v>8172.7</v>
      </c>
      <c r="T1394" s="108">
        <v>8172.7</v>
      </c>
      <c r="U1394" s="108">
        <v>5267.7</v>
      </c>
      <c r="V1394" s="110">
        <v>2905</v>
      </c>
      <c r="W1394" s="206" t="s">
        <v>233</v>
      </c>
      <c r="X1394" s="206" t="s">
        <v>233</v>
      </c>
      <c r="Y1394" s="206" t="s">
        <v>233</v>
      </c>
      <c r="Z1394" s="206" t="s">
        <v>233</v>
      </c>
      <c r="AA1394" s="206" t="s">
        <v>233</v>
      </c>
      <c r="AB1394" s="206" t="s">
        <v>233</v>
      </c>
      <c r="AC1394" s="206" t="s">
        <v>240</v>
      </c>
      <c r="AD1394" s="206" t="s">
        <v>233</v>
      </c>
      <c r="AE1394" s="206" t="s">
        <v>240</v>
      </c>
      <c r="AF1394" s="96">
        <v>0</v>
      </c>
      <c r="AG1394" s="93">
        <v>0</v>
      </c>
      <c r="AH1394" s="93">
        <v>1</v>
      </c>
      <c r="AI1394" s="93">
        <v>0</v>
      </c>
      <c r="AJ1394" s="93">
        <v>0</v>
      </c>
      <c r="AK1394" s="93">
        <v>0</v>
      </c>
    </row>
    <row r="1395" spans="1:37" s="104" customFormat="1" ht="15.75" customHeight="1" outlineLevel="1">
      <c r="A1395" s="92">
        <v>1388</v>
      </c>
      <c r="B1395" s="93" t="s">
        <v>190</v>
      </c>
      <c r="C1395" s="93" t="s">
        <v>1488</v>
      </c>
      <c r="D1395" s="94" t="s">
        <v>1138</v>
      </c>
      <c r="E1395" s="105">
        <v>60</v>
      </c>
      <c r="F1395" s="99" t="s">
        <v>231</v>
      </c>
      <c r="G1395" s="99"/>
      <c r="H1395" s="96" t="s">
        <v>1152</v>
      </c>
      <c r="I1395" s="106" t="s">
        <v>736</v>
      </c>
      <c r="J1395" s="93"/>
      <c r="K1395" s="99" t="s">
        <v>232</v>
      </c>
      <c r="L1395" s="93" t="s">
        <v>232</v>
      </c>
      <c r="M1395" s="200">
        <v>1802</v>
      </c>
      <c r="N1395" s="64" t="s">
        <v>385</v>
      </c>
      <c r="O1395" s="106">
        <v>5</v>
      </c>
      <c r="P1395" s="196">
        <v>0</v>
      </c>
      <c r="Q1395" s="106">
        <v>2</v>
      </c>
      <c r="R1395" s="107">
        <v>50</v>
      </c>
      <c r="S1395" s="108">
        <v>1598.4</v>
      </c>
      <c r="T1395" s="108">
        <v>1598.4</v>
      </c>
      <c r="U1395" s="108">
        <v>1327.8</v>
      </c>
      <c r="V1395" s="110">
        <v>270.60000000000002</v>
      </c>
      <c r="W1395" s="206" t="s">
        <v>233</v>
      </c>
      <c r="X1395" s="206" t="s">
        <v>233</v>
      </c>
      <c r="Y1395" s="206" t="s">
        <v>233</v>
      </c>
      <c r="Z1395" s="206" t="s">
        <v>233</v>
      </c>
      <c r="AA1395" s="206" t="s">
        <v>233</v>
      </c>
      <c r="AB1395" s="206" t="s">
        <v>233</v>
      </c>
      <c r="AC1395" s="206" t="s">
        <v>240</v>
      </c>
      <c r="AD1395" s="206" t="s">
        <v>233</v>
      </c>
      <c r="AE1395" s="206" t="s">
        <v>240</v>
      </c>
      <c r="AF1395" s="96">
        <v>0</v>
      </c>
      <c r="AG1395" s="93">
        <v>0</v>
      </c>
      <c r="AH1395" s="93">
        <v>0</v>
      </c>
      <c r="AI1395" s="93">
        <v>0</v>
      </c>
      <c r="AJ1395" s="93">
        <v>0</v>
      </c>
      <c r="AK1395" s="93">
        <v>0</v>
      </c>
    </row>
    <row r="1396" spans="1:37" s="104" customFormat="1" outlineLevel="1">
      <c r="A1396" s="92">
        <v>1389</v>
      </c>
      <c r="B1396" s="93" t="s">
        <v>190</v>
      </c>
      <c r="C1396" s="93" t="s">
        <v>1488</v>
      </c>
      <c r="D1396" s="94" t="s">
        <v>1138</v>
      </c>
      <c r="E1396" s="105">
        <v>61</v>
      </c>
      <c r="F1396" s="99" t="s">
        <v>191</v>
      </c>
      <c r="G1396" s="99"/>
      <c r="H1396" s="96" t="s">
        <v>1153</v>
      </c>
      <c r="I1396" s="106" t="s">
        <v>736</v>
      </c>
      <c r="J1396" s="93" t="s">
        <v>242</v>
      </c>
      <c r="K1396" s="178" t="s">
        <v>1486</v>
      </c>
      <c r="L1396" s="178" t="s">
        <v>1486</v>
      </c>
      <c r="M1396" s="200">
        <v>1917</v>
      </c>
      <c r="N1396" s="64" t="s">
        <v>385</v>
      </c>
      <c r="O1396" s="106">
        <v>5</v>
      </c>
      <c r="P1396" s="196">
        <v>0</v>
      </c>
      <c r="Q1396" s="106">
        <v>2</v>
      </c>
      <c r="R1396" s="107"/>
      <c r="S1396" s="108"/>
      <c r="T1396" s="108"/>
      <c r="U1396" s="108"/>
      <c r="V1396" s="110"/>
      <c r="W1396" s="206" t="s">
        <v>240</v>
      </c>
      <c r="X1396" s="206" t="s">
        <v>240</v>
      </c>
      <c r="Y1396" s="206" t="s">
        <v>233</v>
      </c>
      <c r="Z1396" s="206" t="s">
        <v>240</v>
      </c>
      <c r="AA1396" s="206" t="s">
        <v>233</v>
      </c>
      <c r="AB1396" s="206" t="s">
        <v>233</v>
      </c>
      <c r="AC1396" s="206" t="s">
        <v>240</v>
      </c>
      <c r="AD1396" s="206" t="s">
        <v>233</v>
      </c>
      <c r="AE1396" s="206" t="s">
        <v>240</v>
      </c>
      <c r="AF1396" s="96">
        <v>0</v>
      </c>
      <c r="AG1396" s="93">
        <v>0</v>
      </c>
      <c r="AH1396" s="93">
        <v>0</v>
      </c>
      <c r="AI1396" s="93">
        <v>0</v>
      </c>
      <c r="AJ1396" s="93">
        <v>0</v>
      </c>
      <c r="AK1396" s="93">
        <v>0</v>
      </c>
    </row>
    <row r="1397" spans="1:37" s="104" customFormat="1" outlineLevel="1">
      <c r="A1397" s="92">
        <v>1390</v>
      </c>
      <c r="B1397" s="93" t="s">
        <v>190</v>
      </c>
      <c r="C1397" s="93" t="s">
        <v>1488</v>
      </c>
      <c r="D1397" s="94" t="s">
        <v>1138</v>
      </c>
      <c r="E1397" s="105">
        <v>61</v>
      </c>
      <c r="F1397" s="99" t="s">
        <v>231</v>
      </c>
      <c r="G1397" s="99"/>
      <c r="H1397" s="96" t="s">
        <v>1154</v>
      </c>
      <c r="I1397" s="106" t="s">
        <v>736</v>
      </c>
      <c r="J1397" s="93"/>
      <c r="K1397" s="99" t="s">
        <v>232</v>
      </c>
      <c r="L1397" s="93" t="s">
        <v>232</v>
      </c>
      <c r="M1397" s="200">
        <v>1835</v>
      </c>
      <c r="N1397" s="64" t="s">
        <v>385</v>
      </c>
      <c r="O1397" s="106">
        <v>5</v>
      </c>
      <c r="P1397" s="196">
        <v>0</v>
      </c>
      <c r="Q1397" s="106">
        <v>3</v>
      </c>
      <c r="R1397" s="107">
        <v>26</v>
      </c>
      <c r="S1397" s="108">
        <v>3249</v>
      </c>
      <c r="T1397" s="108">
        <v>3249</v>
      </c>
      <c r="U1397" s="108">
        <v>2079.5</v>
      </c>
      <c r="V1397" s="110">
        <v>1169.5</v>
      </c>
      <c r="W1397" s="206" t="s">
        <v>240</v>
      </c>
      <c r="X1397" s="206" t="s">
        <v>240</v>
      </c>
      <c r="Y1397" s="206" t="s">
        <v>233</v>
      </c>
      <c r="Z1397" s="206" t="s">
        <v>240</v>
      </c>
      <c r="AA1397" s="206" t="s">
        <v>233</v>
      </c>
      <c r="AB1397" s="206" t="s">
        <v>233</v>
      </c>
      <c r="AC1397" s="206" t="s">
        <v>240</v>
      </c>
      <c r="AD1397" s="206" t="s">
        <v>233</v>
      </c>
      <c r="AE1397" s="206" t="s">
        <v>240</v>
      </c>
      <c r="AF1397" s="96">
        <v>0</v>
      </c>
      <c r="AG1397" s="93">
        <v>0</v>
      </c>
      <c r="AH1397" s="93">
        <v>0</v>
      </c>
      <c r="AI1397" s="93">
        <v>0</v>
      </c>
      <c r="AJ1397" s="93">
        <v>0</v>
      </c>
      <c r="AK1397" s="93">
        <v>0</v>
      </c>
    </row>
    <row r="1398" spans="1:37" s="104" customFormat="1" outlineLevel="1">
      <c r="A1398" s="92">
        <v>1391</v>
      </c>
      <c r="B1398" s="93" t="s">
        <v>190</v>
      </c>
      <c r="C1398" s="93" t="s">
        <v>1488</v>
      </c>
      <c r="D1398" s="94" t="s">
        <v>1138</v>
      </c>
      <c r="E1398" s="105">
        <v>65</v>
      </c>
      <c r="F1398" s="99" t="s">
        <v>191</v>
      </c>
      <c r="G1398" s="99"/>
      <c r="H1398" s="96" t="s">
        <v>1155</v>
      </c>
      <c r="I1398" s="106" t="s">
        <v>736</v>
      </c>
      <c r="J1398" s="93"/>
      <c r="K1398" s="99" t="s">
        <v>232</v>
      </c>
      <c r="L1398" s="93" t="s">
        <v>232</v>
      </c>
      <c r="M1398" s="200">
        <v>1798</v>
      </c>
      <c r="N1398" s="64" t="s">
        <v>385</v>
      </c>
      <c r="O1398" s="106">
        <v>5</v>
      </c>
      <c r="P1398" s="196">
        <v>0</v>
      </c>
      <c r="Q1398" s="106">
        <v>8</v>
      </c>
      <c r="R1398" s="107">
        <v>60</v>
      </c>
      <c r="S1398" s="108">
        <v>7868.5</v>
      </c>
      <c r="T1398" s="108">
        <v>7868.5</v>
      </c>
      <c r="U1398" s="108">
        <v>6645.7</v>
      </c>
      <c r="V1398" s="110">
        <v>1222.8</v>
      </c>
      <c r="W1398" s="206" t="s">
        <v>233</v>
      </c>
      <c r="X1398" s="206" t="s">
        <v>233</v>
      </c>
      <c r="Y1398" s="206" t="s">
        <v>233</v>
      </c>
      <c r="Z1398" s="206" t="s">
        <v>233</v>
      </c>
      <c r="AA1398" s="206" t="s">
        <v>233</v>
      </c>
      <c r="AB1398" s="206" t="s">
        <v>233</v>
      </c>
      <c r="AC1398" s="206" t="s">
        <v>240</v>
      </c>
      <c r="AD1398" s="206" t="s">
        <v>233</v>
      </c>
      <c r="AE1398" s="206" t="s">
        <v>240</v>
      </c>
      <c r="AF1398" s="96">
        <v>0</v>
      </c>
      <c r="AG1398" s="93">
        <v>0</v>
      </c>
      <c r="AH1398" s="93">
        <v>1</v>
      </c>
      <c r="AI1398" s="93">
        <v>0</v>
      </c>
      <c r="AJ1398" s="93">
        <v>0</v>
      </c>
      <c r="AK1398" s="93">
        <v>0</v>
      </c>
    </row>
    <row r="1399" spans="1:37" s="104" customFormat="1" outlineLevel="1">
      <c r="A1399" s="92">
        <v>1392</v>
      </c>
      <c r="B1399" s="93" t="s">
        <v>190</v>
      </c>
      <c r="C1399" s="93" t="s">
        <v>1488</v>
      </c>
      <c r="D1399" s="94" t="s">
        <v>1138</v>
      </c>
      <c r="E1399" s="105">
        <v>67</v>
      </c>
      <c r="F1399" s="99" t="s">
        <v>191</v>
      </c>
      <c r="G1399" s="99"/>
      <c r="H1399" s="96" t="s">
        <v>1156</v>
      </c>
      <c r="I1399" s="106" t="s">
        <v>736</v>
      </c>
      <c r="J1399" s="93"/>
      <c r="K1399" s="178" t="s">
        <v>1487</v>
      </c>
      <c r="L1399" s="93" t="s">
        <v>232</v>
      </c>
      <c r="M1399" s="200">
        <v>1959</v>
      </c>
      <c r="N1399" s="64" t="s">
        <v>385</v>
      </c>
      <c r="O1399" s="106">
        <v>5</v>
      </c>
      <c r="P1399" s="196">
        <v>0</v>
      </c>
      <c r="Q1399" s="106">
        <v>3</v>
      </c>
      <c r="R1399" s="107">
        <v>47</v>
      </c>
      <c r="S1399" s="108">
        <v>2907</v>
      </c>
      <c r="T1399" s="108">
        <v>2907</v>
      </c>
      <c r="U1399" s="108">
        <v>2433</v>
      </c>
      <c r="V1399" s="110">
        <v>474</v>
      </c>
      <c r="W1399" s="206" t="s">
        <v>233</v>
      </c>
      <c r="X1399" s="206" t="s">
        <v>233</v>
      </c>
      <c r="Y1399" s="206" t="s">
        <v>233</v>
      </c>
      <c r="Z1399" s="206" t="s">
        <v>233</v>
      </c>
      <c r="AA1399" s="206" t="s">
        <v>233</v>
      </c>
      <c r="AB1399" s="206" t="s">
        <v>233</v>
      </c>
      <c r="AC1399" s="206" t="s">
        <v>240</v>
      </c>
      <c r="AD1399" s="206" t="s">
        <v>233</v>
      </c>
      <c r="AE1399" s="206" t="s">
        <v>240</v>
      </c>
      <c r="AF1399" s="96">
        <v>0</v>
      </c>
      <c r="AG1399" s="93">
        <v>0</v>
      </c>
      <c r="AH1399" s="93">
        <v>1</v>
      </c>
      <c r="AI1399" s="93">
        <v>0</v>
      </c>
      <c r="AJ1399" s="93">
        <v>0</v>
      </c>
      <c r="AK1399" s="93">
        <v>0</v>
      </c>
    </row>
    <row r="1400" spans="1:37" s="104" customFormat="1" outlineLevel="1">
      <c r="A1400" s="92">
        <v>1393</v>
      </c>
      <c r="B1400" s="93" t="s">
        <v>190</v>
      </c>
      <c r="C1400" s="93" t="s">
        <v>1488</v>
      </c>
      <c r="D1400" s="94" t="s">
        <v>1157</v>
      </c>
      <c r="E1400" s="105">
        <v>13</v>
      </c>
      <c r="F1400" s="99" t="s">
        <v>191</v>
      </c>
      <c r="G1400" s="99"/>
      <c r="H1400" s="96" t="s">
        <v>1158</v>
      </c>
      <c r="I1400" s="106" t="s">
        <v>736</v>
      </c>
      <c r="J1400" s="93"/>
      <c r="K1400" s="99" t="s">
        <v>232</v>
      </c>
      <c r="L1400" s="93" t="s">
        <v>232</v>
      </c>
      <c r="M1400" s="200">
        <v>1904</v>
      </c>
      <c r="N1400" s="64" t="s">
        <v>385</v>
      </c>
      <c r="O1400" s="106">
        <v>6</v>
      </c>
      <c r="P1400" s="196">
        <v>0</v>
      </c>
      <c r="Q1400" s="106">
        <v>19</v>
      </c>
      <c r="R1400" s="107">
        <v>106</v>
      </c>
      <c r="S1400" s="108">
        <v>19297.7</v>
      </c>
      <c r="T1400" s="108">
        <v>19297.7</v>
      </c>
      <c r="U1400" s="108">
        <v>12809.2</v>
      </c>
      <c r="V1400" s="110">
        <v>6488.5</v>
      </c>
      <c r="W1400" s="206" t="s">
        <v>233</v>
      </c>
      <c r="X1400" s="206" t="s">
        <v>233</v>
      </c>
      <c r="Y1400" s="206" t="s">
        <v>233</v>
      </c>
      <c r="Z1400" s="206" t="s">
        <v>233</v>
      </c>
      <c r="AA1400" s="206" t="s">
        <v>233</v>
      </c>
      <c r="AB1400" s="206" t="s">
        <v>233</v>
      </c>
      <c r="AC1400" s="206" t="s">
        <v>240</v>
      </c>
      <c r="AD1400" s="206" t="s">
        <v>233</v>
      </c>
      <c r="AE1400" s="206" t="s">
        <v>240</v>
      </c>
      <c r="AF1400" s="96">
        <v>10</v>
      </c>
      <c r="AG1400" s="93">
        <v>0</v>
      </c>
      <c r="AH1400" s="93">
        <v>1</v>
      </c>
      <c r="AI1400" s="93">
        <v>0</v>
      </c>
      <c r="AJ1400" s="93">
        <v>0</v>
      </c>
      <c r="AK1400" s="93">
        <v>0</v>
      </c>
    </row>
    <row r="1401" spans="1:37" s="104" customFormat="1" outlineLevel="1">
      <c r="A1401" s="92">
        <v>1394</v>
      </c>
      <c r="B1401" s="93" t="s">
        <v>190</v>
      </c>
      <c r="C1401" s="93" t="s">
        <v>1488</v>
      </c>
      <c r="D1401" s="94" t="s">
        <v>1157</v>
      </c>
      <c r="E1401" s="105">
        <v>3</v>
      </c>
      <c r="F1401" s="99" t="s">
        <v>191</v>
      </c>
      <c r="G1401" s="99"/>
      <c r="H1401" s="96" t="s">
        <v>1159</v>
      </c>
      <c r="I1401" s="106" t="s">
        <v>736</v>
      </c>
      <c r="J1401" s="93"/>
      <c r="K1401" s="99" t="s">
        <v>232</v>
      </c>
      <c r="L1401" s="93" t="s">
        <v>232</v>
      </c>
      <c r="M1401" s="200">
        <v>1863</v>
      </c>
      <c r="N1401" s="64" t="s">
        <v>385</v>
      </c>
      <c r="O1401" s="106">
        <v>5</v>
      </c>
      <c r="P1401" s="196">
        <v>0</v>
      </c>
      <c r="Q1401" s="106">
        <v>3</v>
      </c>
      <c r="R1401" s="107">
        <v>18</v>
      </c>
      <c r="S1401" s="108">
        <v>2447.5</v>
      </c>
      <c r="T1401" s="108">
        <v>2447.5</v>
      </c>
      <c r="U1401" s="108">
        <v>1418.5</v>
      </c>
      <c r="V1401" s="110">
        <v>1029</v>
      </c>
      <c r="W1401" s="206" t="s">
        <v>233</v>
      </c>
      <c r="X1401" s="206" t="s">
        <v>233</v>
      </c>
      <c r="Y1401" s="206" t="s">
        <v>233</v>
      </c>
      <c r="Z1401" s="206" t="s">
        <v>233</v>
      </c>
      <c r="AA1401" s="206" t="s">
        <v>233</v>
      </c>
      <c r="AB1401" s="206" t="s">
        <v>233</v>
      </c>
      <c r="AC1401" s="206" t="s">
        <v>240</v>
      </c>
      <c r="AD1401" s="206" t="s">
        <v>233</v>
      </c>
      <c r="AE1401" s="206" t="s">
        <v>240</v>
      </c>
      <c r="AF1401" s="96">
        <v>0</v>
      </c>
      <c r="AG1401" s="93">
        <v>0</v>
      </c>
      <c r="AH1401" s="93">
        <v>1</v>
      </c>
      <c r="AI1401" s="93">
        <v>0</v>
      </c>
      <c r="AJ1401" s="93">
        <v>0</v>
      </c>
      <c r="AK1401" s="93">
        <v>0</v>
      </c>
    </row>
    <row r="1402" spans="1:37" s="104" customFormat="1" outlineLevel="1">
      <c r="A1402" s="92">
        <v>1395</v>
      </c>
      <c r="B1402" s="93" t="s">
        <v>190</v>
      </c>
      <c r="C1402" s="93" t="s">
        <v>1488</v>
      </c>
      <c r="D1402" s="94" t="s">
        <v>1157</v>
      </c>
      <c r="E1402" s="105">
        <v>5</v>
      </c>
      <c r="F1402" s="99" t="s">
        <v>191</v>
      </c>
      <c r="G1402" s="99"/>
      <c r="H1402" s="96" t="s">
        <v>1160</v>
      </c>
      <c r="I1402" s="106" t="s">
        <v>736</v>
      </c>
      <c r="J1402" s="93"/>
      <c r="K1402" s="99" t="s">
        <v>232</v>
      </c>
      <c r="L1402" s="93" t="s">
        <v>232</v>
      </c>
      <c r="M1402" s="200">
        <v>1846</v>
      </c>
      <c r="N1402" s="64" t="s">
        <v>385</v>
      </c>
      <c r="O1402" s="106">
        <v>5</v>
      </c>
      <c r="P1402" s="196">
        <v>0</v>
      </c>
      <c r="Q1402" s="106">
        <v>1</v>
      </c>
      <c r="R1402" s="107">
        <v>13</v>
      </c>
      <c r="S1402" s="108">
        <v>1578.4</v>
      </c>
      <c r="T1402" s="108">
        <v>1578.4</v>
      </c>
      <c r="U1402" s="108">
        <v>997.9</v>
      </c>
      <c r="V1402" s="110">
        <v>580.5</v>
      </c>
      <c r="W1402" s="206" t="s">
        <v>233</v>
      </c>
      <c r="X1402" s="206" t="s">
        <v>233</v>
      </c>
      <c r="Y1402" s="206" t="s">
        <v>233</v>
      </c>
      <c r="Z1402" s="206" t="s">
        <v>233</v>
      </c>
      <c r="AA1402" s="206" t="s">
        <v>233</v>
      </c>
      <c r="AB1402" s="206" t="s">
        <v>233</v>
      </c>
      <c r="AC1402" s="206" t="s">
        <v>240</v>
      </c>
      <c r="AD1402" s="206" t="s">
        <v>233</v>
      </c>
      <c r="AE1402" s="206" t="s">
        <v>240</v>
      </c>
      <c r="AF1402" s="96">
        <v>0</v>
      </c>
      <c r="AG1402" s="93">
        <v>0</v>
      </c>
      <c r="AH1402" s="93">
        <v>1</v>
      </c>
      <c r="AI1402" s="93">
        <v>0</v>
      </c>
      <c r="AJ1402" s="93">
        <v>0</v>
      </c>
      <c r="AK1402" s="93">
        <v>0</v>
      </c>
    </row>
    <row r="1403" spans="1:37" s="104" customFormat="1" outlineLevel="1">
      <c r="A1403" s="92">
        <v>1396</v>
      </c>
      <c r="B1403" s="93" t="s">
        <v>190</v>
      </c>
      <c r="C1403" s="93" t="s">
        <v>1488</v>
      </c>
      <c r="D1403" s="94" t="s">
        <v>1157</v>
      </c>
      <c r="E1403" s="105">
        <v>7</v>
      </c>
      <c r="F1403" s="99" t="s">
        <v>191</v>
      </c>
      <c r="G1403" s="99"/>
      <c r="H1403" s="96" t="s">
        <v>1161</v>
      </c>
      <c r="I1403" s="106" t="s">
        <v>792</v>
      </c>
      <c r="J1403" s="93" t="s">
        <v>793</v>
      </c>
      <c r="K1403" s="178" t="s">
        <v>1486</v>
      </c>
      <c r="L1403" s="178" t="s">
        <v>1486</v>
      </c>
      <c r="M1403" s="200">
        <v>1917</v>
      </c>
      <c r="N1403" s="64" t="s">
        <v>385</v>
      </c>
      <c r="O1403" s="106">
        <v>5</v>
      </c>
      <c r="P1403" s="196">
        <v>0</v>
      </c>
      <c r="Q1403" s="106">
        <v>2</v>
      </c>
      <c r="R1403" s="107"/>
      <c r="S1403" s="108"/>
      <c r="T1403" s="108"/>
      <c r="U1403" s="108"/>
      <c r="V1403" s="110"/>
      <c r="W1403" s="206"/>
      <c r="X1403" s="206"/>
      <c r="Y1403" s="206" t="s">
        <v>233</v>
      </c>
      <c r="Z1403" s="206"/>
      <c r="AA1403" s="206" t="s">
        <v>233</v>
      </c>
      <c r="AB1403" s="206" t="s">
        <v>233</v>
      </c>
      <c r="AC1403" s="206" t="s">
        <v>240</v>
      </c>
      <c r="AD1403" s="206" t="s">
        <v>233</v>
      </c>
      <c r="AE1403" s="206" t="s">
        <v>240</v>
      </c>
      <c r="AF1403" s="96">
        <v>0</v>
      </c>
      <c r="AG1403" s="93">
        <v>0</v>
      </c>
      <c r="AH1403" s="93">
        <v>0</v>
      </c>
      <c r="AI1403" s="93">
        <v>0</v>
      </c>
      <c r="AJ1403" s="93">
        <v>0</v>
      </c>
      <c r="AK1403" s="93">
        <v>0</v>
      </c>
    </row>
    <row r="1404" spans="1:37" s="104" customFormat="1" outlineLevel="1">
      <c r="A1404" s="92">
        <v>1397</v>
      </c>
      <c r="B1404" s="93" t="s">
        <v>190</v>
      </c>
      <c r="C1404" s="93" t="s">
        <v>1488</v>
      </c>
      <c r="D1404" s="94" t="s">
        <v>1162</v>
      </c>
      <c r="E1404" s="105" t="s">
        <v>1163</v>
      </c>
      <c r="F1404" s="99" t="s">
        <v>191</v>
      </c>
      <c r="G1404" s="99"/>
      <c r="H1404" s="96" t="s">
        <v>1164</v>
      </c>
      <c r="I1404" s="106" t="s">
        <v>736</v>
      </c>
      <c r="J1404" s="93"/>
      <c r="K1404" s="99" t="s">
        <v>232</v>
      </c>
      <c r="L1404" s="93" t="s">
        <v>232</v>
      </c>
      <c r="M1404" s="200">
        <v>1917</v>
      </c>
      <c r="N1404" s="64" t="s">
        <v>385</v>
      </c>
      <c r="O1404" s="106">
        <v>6</v>
      </c>
      <c r="P1404" s="196">
        <v>0</v>
      </c>
      <c r="Q1404" s="106">
        <v>3</v>
      </c>
      <c r="R1404" s="107">
        <v>39</v>
      </c>
      <c r="S1404" s="108">
        <v>3908.3999999999996</v>
      </c>
      <c r="T1404" s="108">
        <v>3908.3999999999996</v>
      </c>
      <c r="U1404" s="108">
        <v>3328.7</v>
      </c>
      <c r="V1404" s="110">
        <v>579.70000000000005</v>
      </c>
      <c r="W1404" s="206" t="s">
        <v>233</v>
      </c>
      <c r="X1404" s="206" t="s">
        <v>233</v>
      </c>
      <c r="Y1404" s="206" t="s">
        <v>240</v>
      </c>
      <c r="Z1404" s="206" t="s">
        <v>233</v>
      </c>
      <c r="AA1404" s="206" t="s">
        <v>233</v>
      </c>
      <c r="AB1404" s="206" t="s">
        <v>233</v>
      </c>
      <c r="AC1404" s="206" t="s">
        <v>233</v>
      </c>
      <c r="AD1404" s="206" t="s">
        <v>233</v>
      </c>
      <c r="AE1404" s="206" t="s">
        <v>240</v>
      </c>
      <c r="AF1404" s="96">
        <v>3</v>
      </c>
      <c r="AG1404" s="93">
        <v>0</v>
      </c>
      <c r="AH1404" s="93">
        <v>1</v>
      </c>
      <c r="AI1404" s="93">
        <v>0</v>
      </c>
      <c r="AJ1404" s="93">
        <v>0</v>
      </c>
      <c r="AK1404" s="93">
        <v>0</v>
      </c>
    </row>
    <row r="1405" spans="1:37" s="104" customFormat="1" outlineLevel="1">
      <c r="A1405" s="92">
        <v>1398</v>
      </c>
      <c r="B1405" s="93" t="s">
        <v>190</v>
      </c>
      <c r="C1405" s="93" t="s">
        <v>1488</v>
      </c>
      <c r="D1405" s="94" t="s">
        <v>1162</v>
      </c>
      <c r="E1405" s="105" t="s">
        <v>1165</v>
      </c>
      <c r="F1405" s="99" t="s">
        <v>191</v>
      </c>
      <c r="G1405" s="99"/>
      <c r="H1405" s="96" t="s">
        <v>1166</v>
      </c>
      <c r="I1405" s="106" t="s">
        <v>736</v>
      </c>
      <c r="J1405" s="93"/>
      <c r="K1405" s="99" t="s">
        <v>232</v>
      </c>
      <c r="L1405" s="93" t="s">
        <v>232</v>
      </c>
      <c r="M1405" s="200">
        <v>1832</v>
      </c>
      <c r="N1405" s="64" t="s">
        <v>385</v>
      </c>
      <c r="O1405" s="106">
        <v>5</v>
      </c>
      <c r="P1405" s="196">
        <v>0</v>
      </c>
      <c r="Q1405" s="106">
        <v>8</v>
      </c>
      <c r="R1405" s="107">
        <v>55</v>
      </c>
      <c r="S1405" s="108">
        <v>6716.4000000000005</v>
      </c>
      <c r="T1405" s="108">
        <v>6716.4000000000005</v>
      </c>
      <c r="U1405" s="108">
        <v>5587.1</v>
      </c>
      <c r="V1405" s="110">
        <v>1129.3</v>
      </c>
      <c r="W1405" s="206" t="s">
        <v>233</v>
      </c>
      <c r="X1405" s="206" t="s">
        <v>233</v>
      </c>
      <c r="Y1405" s="206" t="s">
        <v>240</v>
      </c>
      <c r="Z1405" s="206" t="s">
        <v>233</v>
      </c>
      <c r="AA1405" s="206" t="s">
        <v>233</v>
      </c>
      <c r="AB1405" s="206" t="s">
        <v>233</v>
      </c>
      <c r="AC1405" s="206" t="s">
        <v>233</v>
      </c>
      <c r="AD1405" s="206" t="s">
        <v>233</v>
      </c>
      <c r="AE1405" s="206" t="s">
        <v>240</v>
      </c>
      <c r="AF1405" s="96">
        <v>0</v>
      </c>
      <c r="AG1405" s="93">
        <v>0</v>
      </c>
      <c r="AH1405" s="93">
        <v>1</v>
      </c>
      <c r="AI1405" s="93">
        <v>0</v>
      </c>
      <c r="AJ1405" s="93">
        <v>0</v>
      </c>
      <c r="AK1405" s="93">
        <v>0</v>
      </c>
    </row>
    <row r="1406" spans="1:37" s="104" customFormat="1" outlineLevel="1">
      <c r="A1406" s="92">
        <v>1399</v>
      </c>
      <c r="B1406" s="93" t="s">
        <v>190</v>
      </c>
      <c r="C1406" s="93" t="s">
        <v>1488</v>
      </c>
      <c r="D1406" s="94" t="s">
        <v>1167</v>
      </c>
      <c r="E1406" s="105" t="s">
        <v>1168</v>
      </c>
      <c r="F1406" s="99" t="s">
        <v>191</v>
      </c>
      <c r="G1406" s="99"/>
      <c r="H1406" s="96" t="s">
        <v>1169</v>
      </c>
      <c r="I1406" s="106" t="s">
        <v>792</v>
      </c>
      <c r="J1406" s="93"/>
      <c r="K1406" s="99" t="s">
        <v>232</v>
      </c>
      <c r="L1406" s="93" t="s">
        <v>232</v>
      </c>
      <c r="M1406" s="200">
        <v>1825</v>
      </c>
      <c r="N1406" s="64" t="s">
        <v>385</v>
      </c>
      <c r="O1406" s="106">
        <v>4</v>
      </c>
      <c r="P1406" s="196">
        <v>0</v>
      </c>
      <c r="Q1406" s="106">
        <v>4</v>
      </c>
      <c r="R1406" s="107">
        <v>12</v>
      </c>
      <c r="S1406" s="108">
        <v>2495</v>
      </c>
      <c r="T1406" s="108">
        <v>2495</v>
      </c>
      <c r="U1406" s="108">
        <v>1039.4099999999999</v>
      </c>
      <c r="V1406" s="110">
        <v>1455.59</v>
      </c>
      <c r="W1406" s="206" t="s">
        <v>233</v>
      </c>
      <c r="X1406" s="206" t="s">
        <v>233</v>
      </c>
      <c r="Y1406" s="206" t="s">
        <v>233</v>
      </c>
      <c r="Z1406" s="206" t="s">
        <v>233</v>
      </c>
      <c r="AA1406" s="206" t="s">
        <v>233</v>
      </c>
      <c r="AB1406" s="206" t="s">
        <v>233</v>
      </c>
      <c r="AC1406" s="206" t="s">
        <v>240</v>
      </c>
      <c r="AD1406" s="206" t="s">
        <v>233</v>
      </c>
      <c r="AE1406" s="206" t="s">
        <v>240</v>
      </c>
      <c r="AF1406" s="96">
        <v>0</v>
      </c>
      <c r="AG1406" s="93">
        <v>0</v>
      </c>
      <c r="AH1406" s="93">
        <v>1</v>
      </c>
      <c r="AI1406" s="93">
        <v>0</v>
      </c>
      <c r="AJ1406" s="93">
        <v>0</v>
      </c>
      <c r="AK1406" s="93">
        <v>0</v>
      </c>
    </row>
    <row r="1407" spans="1:37" s="104" customFormat="1" outlineLevel="1">
      <c r="A1407" s="92">
        <v>1400</v>
      </c>
      <c r="B1407" s="93" t="s">
        <v>190</v>
      </c>
      <c r="C1407" s="93" t="s">
        <v>1488</v>
      </c>
      <c r="D1407" s="94" t="s">
        <v>1167</v>
      </c>
      <c r="E1407" s="105" t="s">
        <v>165</v>
      </c>
      <c r="F1407" s="99" t="s">
        <v>191</v>
      </c>
      <c r="G1407" s="99"/>
      <c r="H1407" s="96" t="s">
        <v>1170</v>
      </c>
      <c r="I1407" s="106" t="s">
        <v>736</v>
      </c>
      <c r="J1407" s="93"/>
      <c r="K1407" s="99" t="s">
        <v>232</v>
      </c>
      <c r="L1407" s="93" t="s">
        <v>232</v>
      </c>
      <c r="M1407" s="200">
        <v>1872</v>
      </c>
      <c r="N1407" s="64" t="s">
        <v>385</v>
      </c>
      <c r="O1407" s="106">
        <v>4</v>
      </c>
      <c r="P1407" s="196">
        <v>0</v>
      </c>
      <c r="Q1407" s="106">
        <v>6</v>
      </c>
      <c r="R1407" s="107">
        <v>33</v>
      </c>
      <c r="S1407" s="108">
        <v>2769.7</v>
      </c>
      <c r="T1407" s="108">
        <v>2769.7</v>
      </c>
      <c r="U1407" s="108">
        <v>2142.6</v>
      </c>
      <c r="V1407" s="110">
        <v>627.1</v>
      </c>
      <c r="W1407" s="206" t="s">
        <v>233</v>
      </c>
      <c r="X1407" s="206" t="s">
        <v>233</v>
      </c>
      <c r="Y1407" s="206" t="s">
        <v>233</v>
      </c>
      <c r="Z1407" s="206" t="s">
        <v>233</v>
      </c>
      <c r="AA1407" s="206" t="s">
        <v>233</v>
      </c>
      <c r="AB1407" s="206" t="s">
        <v>233</v>
      </c>
      <c r="AC1407" s="206" t="s">
        <v>240</v>
      </c>
      <c r="AD1407" s="206" t="s">
        <v>233</v>
      </c>
      <c r="AE1407" s="206" t="s">
        <v>240</v>
      </c>
      <c r="AF1407" s="96">
        <v>0</v>
      </c>
      <c r="AG1407" s="93">
        <v>0</v>
      </c>
      <c r="AH1407" s="93">
        <v>1</v>
      </c>
      <c r="AI1407" s="93">
        <v>0</v>
      </c>
      <c r="AJ1407" s="93">
        <v>0</v>
      </c>
      <c r="AK1407" s="93">
        <v>0</v>
      </c>
    </row>
    <row r="1408" spans="1:37" s="104" customFormat="1" outlineLevel="1">
      <c r="A1408" s="92">
        <v>1401</v>
      </c>
      <c r="B1408" s="93" t="s">
        <v>190</v>
      </c>
      <c r="C1408" s="93" t="s">
        <v>1488</v>
      </c>
      <c r="D1408" s="94" t="s">
        <v>1171</v>
      </c>
      <c r="E1408" s="105">
        <v>3</v>
      </c>
      <c r="F1408" s="99" t="s">
        <v>191</v>
      </c>
      <c r="G1408" s="99"/>
      <c r="H1408" s="96" t="s">
        <v>1172</v>
      </c>
      <c r="I1408" s="106" t="s">
        <v>736</v>
      </c>
      <c r="J1408" s="93"/>
      <c r="K1408" s="99" t="s">
        <v>232</v>
      </c>
      <c r="L1408" s="93" t="s">
        <v>232</v>
      </c>
      <c r="M1408" s="200">
        <v>1861</v>
      </c>
      <c r="N1408" s="64" t="s">
        <v>385</v>
      </c>
      <c r="O1408" s="106">
        <v>5</v>
      </c>
      <c r="P1408" s="196">
        <v>0</v>
      </c>
      <c r="Q1408" s="106">
        <v>1</v>
      </c>
      <c r="R1408" s="107">
        <v>14</v>
      </c>
      <c r="S1408" s="108">
        <v>1446.6999999999998</v>
      </c>
      <c r="T1408" s="108">
        <v>1446.6999999999998</v>
      </c>
      <c r="U1408" s="108">
        <v>1239.5999999999999</v>
      </c>
      <c r="V1408" s="110">
        <v>207.1</v>
      </c>
      <c r="W1408" s="206" t="s">
        <v>233</v>
      </c>
      <c r="X1408" s="206" t="s">
        <v>233</v>
      </c>
      <c r="Y1408" s="206" t="s">
        <v>240</v>
      </c>
      <c r="Z1408" s="206" t="s">
        <v>233</v>
      </c>
      <c r="AA1408" s="206" t="s">
        <v>233</v>
      </c>
      <c r="AB1408" s="206" t="s">
        <v>233</v>
      </c>
      <c r="AC1408" s="206" t="s">
        <v>233</v>
      </c>
      <c r="AD1408" s="206" t="s">
        <v>233</v>
      </c>
      <c r="AE1408" s="206" t="s">
        <v>240</v>
      </c>
      <c r="AF1408" s="96">
        <v>2</v>
      </c>
      <c r="AG1408" s="93">
        <v>0</v>
      </c>
      <c r="AH1408" s="93">
        <v>1</v>
      </c>
      <c r="AI1408" s="93">
        <v>0</v>
      </c>
      <c r="AJ1408" s="93">
        <v>0</v>
      </c>
      <c r="AK1408" s="93">
        <v>0</v>
      </c>
    </row>
    <row r="1409" spans="1:37" s="104" customFormat="1" outlineLevel="1">
      <c r="A1409" s="92">
        <v>1402</v>
      </c>
      <c r="B1409" s="93" t="s">
        <v>190</v>
      </c>
      <c r="C1409" s="93" t="s">
        <v>1488</v>
      </c>
      <c r="D1409" s="94" t="s">
        <v>1171</v>
      </c>
      <c r="E1409" s="105">
        <v>3</v>
      </c>
      <c r="F1409" s="99" t="s">
        <v>231</v>
      </c>
      <c r="G1409" s="99"/>
      <c r="H1409" s="96" t="s">
        <v>1173</v>
      </c>
      <c r="I1409" s="106" t="s">
        <v>736</v>
      </c>
      <c r="J1409" s="93"/>
      <c r="K1409" s="99" t="s">
        <v>232</v>
      </c>
      <c r="L1409" s="93" t="s">
        <v>232</v>
      </c>
      <c r="M1409" s="200">
        <v>1901</v>
      </c>
      <c r="N1409" s="64" t="s">
        <v>385</v>
      </c>
      <c r="O1409" s="106">
        <v>5</v>
      </c>
      <c r="P1409" s="196">
        <v>0</v>
      </c>
      <c r="Q1409" s="106">
        <v>2</v>
      </c>
      <c r="R1409" s="107">
        <v>16</v>
      </c>
      <c r="S1409" s="108">
        <v>1318.7</v>
      </c>
      <c r="T1409" s="108">
        <v>1318.7</v>
      </c>
      <c r="U1409" s="108">
        <v>1318.7</v>
      </c>
      <c r="V1409" s="110">
        <v>0</v>
      </c>
      <c r="W1409" s="206" t="s">
        <v>233</v>
      </c>
      <c r="X1409" s="206" t="s">
        <v>233</v>
      </c>
      <c r="Y1409" s="206" t="s">
        <v>240</v>
      </c>
      <c r="Z1409" s="206" t="s">
        <v>233</v>
      </c>
      <c r="AA1409" s="206" t="s">
        <v>233</v>
      </c>
      <c r="AB1409" s="206" t="s">
        <v>233</v>
      </c>
      <c r="AC1409" s="206" t="s">
        <v>233</v>
      </c>
      <c r="AD1409" s="206" t="s">
        <v>233</v>
      </c>
      <c r="AE1409" s="206" t="s">
        <v>240</v>
      </c>
      <c r="AF1409" s="96">
        <v>0</v>
      </c>
      <c r="AG1409" s="93">
        <v>0</v>
      </c>
      <c r="AH1409" s="93">
        <v>0</v>
      </c>
      <c r="AI1409" s="93">
        <v>0</v>
      </c>
      <c r="AJ1409" s="93">
        <v>0</v>
      </c>
      <c r="AK1409" s="93">
        <v>0</v>
      </c>
    </row>
    <row r="1410" spans="1:37" s="104" customFormat="1" outlineLevel="1">
      <c r="A1410" s="92">
        <v>1403</v>
      </c>
      <c r="B1410" s="93" t="s">
        <v>190</v>
      </c>
      <c r="C1410" s="93" t="s">
        <v>1488</v>
      </c>
      <c r="D1410" s="94" t="s">
        <v>1171</v>
      </c>
      <c r="E1410" s="105">
        <v>4</v>
      </c>
      <c r="F1410" s="99" t="s">
        <v>191</v>
      </c>
      <c r="G1410" s="99"/>
      <c r="H1410" s="96" t="s">
        <v>1174</v>
      </c>
      <c r="I1410" s="106" t="s">
        <v>736</v>
      </c>
      <c r="J1410" s="93"/>
      <c r="K1410" s="99" t="s">
        <v>232</v>
      </c>
      <c r="L1410" s="93" t="s">
        <v>232</v>
      </c>
      <c r="M1410" s="200">
        <v>1875</v>
      </c>
      <c r="N1410" s="64" t="s">
        <v>385</v>
      </c>
      <c r="O1410" s="106">
        <v>5</v>
      </c>
      <c r="P1410" s="196">
        <v>0</v>
      </c>
      <c r="Q1410" s="106">
        <v>4</v>
      </c>
      <c r="R1410" s="107">
        <v>48</v>
      </c>
      <c r="S1410" s="108">
        <v>3045.8</v>
      </c>
      <c r="T1410" s="108">
        <v>3045.8</v>
      </c>
      <c r="U1410" s="108">
        <v>2680.5</v>
      </c>
      <c r="V1410" s="110">
        <v>365.3</v>
      </c>
      <c r="W1410" s="206" t="s">
        <v>233</v>
      </c>
      <c r="X1410" s="206" t="s">
        <v>233</v>
      </c>
      <c r="Y1410" s="206" t="s">
        <v>240</v>
      </c>
      <c r="Z1410" s="206" t="s">
        <v>233</v>
      </c>
      <c r="AA1410" s="206" t="s">
        <v>233</v>
      </c>
      <c r="AB1410" s="206" t="s">
        <v>233</v>
      </c>
      <c r="AC1410" s="206" t="s">
        <v>233</v>
      </c>
      <c r="AD1410" s="206" t="s">
        <v>233</v>
      </c>
      <c r="AE1410" s="206" t="s">
        <v>240</v>
      </c>
      <c r="AF1410" s="96">
        <v>0</v>
      </c>
      <c r="AG1410" s="93">
        <v>0</v>
      </c>
      <c r="AH1410" s="93">
        <v>1</v>
      </c>
      <c r="AI1410" s="93">
        <v>0</v>
      </c>
      <c r="AJ1410" s="93">
        <v>0</v>
      </c>
      <c r="AK1410" s="93">
        <v>0</v>
      </c>
    </row>
    <row r="1411" spans="1:37" s="104" customFormat="1" outlineLevel="1">
      <c r="A1411" s="92">
        <v>1404</v>
      </c>
      <c r="B1411" s="93" t="s">
        <v>190</v>
      </c>
      <c r="C1411" s="93" t="s">
        <v>1488</v>
      </c>
      <c r="D1411" s="94" t="s">
        <v>1171</v>
      </c>
      <c r="E1411" s="105">
        <v>5</v>
      </c>
      <c r="F1411" s="99" t="s">
        <v>191</v>
      </c>
      <c r="G1411" s="99"/>
      <c r="H1411" s="96" t="s">
        <v>1175</v>
      </c>
      <c r="I1411" s="106" t="s">
        <v>736</v>
      </c>
      <c r="J1411" s="93"/>
      <c r="K1411" s="99" t="s">
        <v>232</v>
      </c>
      <c r="L1411" s="93" t="s">
        <v>232</v>
      </c>
      <c r="M1411" s="200">
        <v>1880</v>
      </c>
      <c r="N1411" s="64" t="s">
        <v>385</v>
      </c>
      <c r="O1411" s="106">
        <v>4</v>
      </c>
      <c r="P1411" s="196">
        <v>0</v>
      </c>
      <c r="Q1411" s="106">
        <v>4</v>
      </c>
      <c r="R1411" s="107">
        <v>24</v>
      </c>
      <c r="S1411" s="108">
        <v>3005.8</v>
      </c>
      <c r="T1411" s="108">
        <v>3005.8</v>
      </c>
      <c r="U1411" s="108">
        <v>2110.3000000000002</v>
      </c>
      <c r="V1411" s="110">
        <v>895.5</v>
      </c>
      <c r="W1411" s="206" t="s">
        <v>233</v>
      </c>
      <c r="X1411" s="206" t="s">
        <v>233</v>
      </c>
      <c r="Y1411" s="206" t="s">
        <v>240</v>
      </c>
      <c r="Z1411" s="206" t="s">
        <v>233</v>
      </c>
      <c r="AA1411" s="206" t="s">
        <v>233</v>
      </c>
      <c r="AB1411" s="206" t="s">
        <v>233</v>
      </c>
      <c r="AC1411" s="206" t="s">
        <v>233</v>
      </c>
      <c r="AD1411" s="206" t="s">
        <v>233</v>
      </c>
      <c r="AE1411" s="206" t="s">
        <v>240</v>
      </c>
      <c r="AF1411" s="96">
        <v>0</v>
      </c>
      <c r="AG1411" s="93">
        <v>0</v>
      </c>
      <c r="AH1411" s="93">
        <v>1</v>
      </c>
      <c r="AI1411" s="93">
        <v>0</v>
      </c>
      <c r="AJ1411" s="93">
        <v>0</v>
      </c>
      <c r="AK1411" s="93">
        <v>0</v>
      </c>
    </row>
    <row r="1412" spans="1:37" s="104" customFormat="1" outlineLevel="1">
      <c r="A1412" s="92">
        <v>1405</v>
      </c>
      <c r="B1412" s="93" t="s">
        <v>190</v>
      </c>
      <c r="C1412" s="93" t="s">
        <v>1488</v>
      </c>
      <c r="D1412" s="94" t="s">
        <v>1171</v>
      </c>
      <c r="E1412" s="105" t="s">
        <v>1176</v>
      </c>
      <c r="F1412" s="99" t="s">
        <v>191</v>
      </c>
      <c r="G1412" s="99"/>
      <c r="H1412" s="96" t="s">
        <v>1177</v>
      </c>
      <c r="I1412" s="106" t="s">
        <v>736</v>
      </c>
      <c r="J1412" s="93"/>
      <c r="K1412" s="99" t="s">
        <v>232</v>
      </c>
      <c r="L1412" s="93" t="s">
        <v>232</v>
      </c>
      <c r="M1412" s="200">
        <v>1860</v>
      </c>
      <c r="N1412" s="64" t="s">
        <v>385</v>
      </c>
      <c r="O1412" s="106">
        <v>5</v>
      </c>
      <c r="P1412" s="196">
        <v>0</v>
      </c>
      <c r="Q1412" s="106">
        <v>12</v>
      </c>
      <c r="R1412" s="107">
        <v>69</v>
      </c>
      <c r="S1412" s="108">
        <v>9103.2000000000007</v>
      </c>
      <c r="T1412" s="108">
        <v>9103.2000000000007</v>
      </c>
      <c r="U1412" s="108">
        <v>7832.6</v>
      </c>
      <c r="V1412" s="110">
        <v>1270.5999999999999</v>
      </c>
      <c r="W1412" s="206" t="s">
        <v>233</v>
      </c>
      <c r="X1412" s="206" t="s">
        <v>233</v>
      </c>
      <c r="Y1412" s="206" t="s">
        <v>240</v>
      </c>
      <c r="Z1412" s="206" t="s">
        <v>233</v>
      </c>
      <c r="AA1412" s="206" t="s">
        <v>233</v>
      </c>
      <c r="AB1412" s="206" t="s">
        <v>233</v>
      </c>
      <c r="AC1412" s="206" t="s">
        <v>233</v>
      </c>
      <c r="AD1412" s="206" t="s">
        <v>233</v>
      </c>
      <c r="AE1412" s="206" t="s">
        <v>240</v>
      </c>
      <c r="AF1412" s="96">
        <v>0</v>
      </c>
      <c r="AG1412" s="93">
        <v>0</v>
      </c>
      <c r="AH1412" s="93">
        <v>2</v>
      </c>
      <c r="AI1412" s="93">
        <v>0</v>
      </c>
      <c r="AJ1412" s="93">
        <v>0</v>
      </c>
      <c r="AK1412" s="93">
        <v>0</v>
      </c>
    </row>
    <row r="1413" spans="1:37" s="104" customFormat="1" outlineLevel="1">
      <c r="A1413" s="92">
        <v>1406</v>
      </c>
      <c r="B1413" s="93" t="s">
        <v>190</v>
      </c>
      <c r="C1413" s="93" t="s">
        <v>1488</v>
      </c>
      <c r="D1413" s="94" t="s">
        <v>1171</v>
      </c>
      <c r="E1413" s="105" t="s">
        <v>1176</v>
      </c>
      <c r="F1413" s="99" t="s">
        <v>262</v>
      </c>
      <c r="G1413" s="99"/>
      <c r="H1413" s="96" t="s">
        <v>1179</v>
      </c>
      <c r="I1413" s="106" t="s">
        <v>736</v>
      </c>
      <c r="J1413" s="93"/>
      <c r="K1413" s="99" t="s">
        <v>232</v>
      </c>
      <c r="L1413" s="93" t="s">
        <v>232</v>
      </c>
      <c r="M1413" s="200">
        <v>1860</v>
      </c>
      <c r="N1413" s="64" t="s">
        <v>385</v>
      </c>
      <c r="O1413" s="106">
        <v>4</v>
      </c>
      <c r="P1413" s="196">
        <v>0</v>
      </c>
      <c r="Q1413" s="106">
        <v>4</v>
      </c>
      <c r="R1413" s="107">
        <v>71</v>
      </c>
      <c r="S1413" s="108">
        <v>1183.5</v>
      </c>
      <c r="T1413" s="108">
        <v>1183.5</v>
      </c>
      <c r="U1413" s="108">
        <v>910.8</v>
      </c>
      <c r="V1413" s="110">
        <v>272.7</v>
      </c>
      <c r="W1413" s="206" t="s">
        <v>233</v>
      </c>
      <c r="X1413" s="206" t="s">
        <v>233</v>
      </c>
      <c r="Y1413" s="206" t="s">
        <v>240</v>
      </c>
      <c r="Z1413" s="206" t="s">
        <v>233</v>
      </c>
      <c r="AA1413" s="206" t="s">
        <v>233</v>
      </c>
      <c r="AB1413" s="206" t="s">
        <v>233</v>
      </c>
      <c r="AC1413" s="206" t="s">
        <v>233</v>
      </c>
      <c r="AD1413" s="206" t="s">
        <v>233</v>
      </c>
      <c r="AE1413" s="206" t="s">
        <v>240</v>
      </c>
      <c r="AF1413" s="96">
        <v>0</v>
      </c>
      <c r="AG1413" s="93">
        <v>0</v>
      </c>
      <c r="AH1413" s="93">
        <v>0</v>
      </c>
      <c r="AI1413" s="93">
        <v>0</v>
      </c>
      <c r="AJ1413" s="93">
        <v>0</v>
      </c>
      <c r="AK1413" s="93">
        <v>0</v>
      </c>
    </row>
    <row r="1414" spans="1:37" s="104" customFormat="1" outlineLevel="1">
      <c r="A1414" s="92">
        <v>1407</v>
      </c>
      <c r="B1414" s="93" t="s">
        <v>190</v>
      </c>
      <c r="C1414" s="93" t="s">
        <v>1488</v>
      </c>
      <c r="D1414" s="94" t="s">
        <v>1180</v>
      </c>
      <c r="E1414" s="105" t="s">
        <v>976</v>
      </c>
      <c r="F1414" s="99" t="s">
        <v>191</v>
      </c>
      <c r="G1414" s="99"/>
      <c r="H1414" s="96" t="s">
        <v>1181</v>
      </c>
      <c r="I1414" s="106" t="s">
        <v>736</v>
      </c>
      <c r="J1414" s="93"/>
      <c r="K1414" s="99" t="s">
        <v>232</v>
      </c>
      <c r="L1414" s="93" t="s">
        <v>232</v>
      </c>
      <c r="M1414" s="200">
        <v>1846</v>
      </c>
      <c r="N1414" s="64" t="s">
        <v>385</v>
      </c>
      <c r="O1414" s="106">
        <v>4</v>
      </c>
      <c r="P1414" s="196">
        <v>0</v>
      </c>
      <c r="Q1414" s="106">
        <v>5</v>
      </c>
      <c r="R1414" s="107">
        <v>34</v>
      </c>
      <c r="S1414" s="108">
        <v>3493.2000000000003</v>
      </c>
      <c r="T1414" s="108">
        <v>3493.2000000000003</v>
      </c>
      <c r="U1414" s="108">
        <v>2883.3</v>
      </c>
      <c r="V1414" s="110">
        <v>609.9</v>
      </c>
      <c r="W1414" s="206" t="s">
        <v>233</v>
      </c>
      <c r="X1414" s="206" t="s">
        <v>233</v>
      </c>
      <c r="Y1414" s="206" t="s">
        <v>240</v>
      </c>
      <c r="Z1414" s="206" t="s">
        <v>233</v>
      </c>
      <c r="AA1414" s="206" t="s">
        <v>233</v>
      </c>
      <c r="AB1414" s="206" t="s">
        <v>233</v>
      </c>
      <c r="AC1414" s="206" t="s">
        <v>233</v>
      </c>
      <c r="AD1414" s="206" t="s">
        <v>233</v>
      </c>
      <c r="AE1414" s="206" t="s">
        <v>240</v>
      </c>
      <c r="AF1414" s="96">
        <v>0</v>
      </c>
      <c r="AG1414" s="93">
        <v>0</v>
      </c>
      <c r="AH1414" s="93">
        <v>1</v>
      </c>
      <c r="AI1414" s="93">
        <v>0</v>
      </c>
      <c r="AJ1414" s="93">
        <v>0</v>
      </c>
      <c r="AK1414" s="93">
        <v>0</v>
      </c>
    </row>
    <row r="1415" spans="1:37" s="104" customFormat="1" outlineLevel="1">
      <c r="A1415" s="92">
        <v>1408</v>
      </c>
      <c r="B1415" s="93" t="s">
        <v>190</v>
      </c>
      <c r="C1415" s="93" t="s">
        <v>1488</v>
      </c>
      <c r="D1415" s="94" t="s">
        <v>1171</v>
      </c>
      <c r="E1415" s="105" t="s">
        <v>1182</v>
      </c>
      <c r="F1415" s="99" t="s">
        <v>191</v>
      </c>
      <c r="G1415" s="99"/>
      <c r="H1415" s="96" t="s">
        <v>1183</v>
      </c>
      <c r="I1415" s="106" t="s">
        <v>736</v>
      </c>
      <c r="J1415" s="93"/>
      <c r="K1415" s="99" t="s">
        <v>232</v>
      </c>
      <c r="L1415" s="93" t="s">
        <v>232</v>
      </c>
      <c r="M1415" s="200">
        <v>1756</v>
      </c>
      <c r="N1415" s="64" t="s">
        <v>385</v>
      </c>
      <c r="O1415" s="106">
        <v>6</v>
      </c>
      <c r="P1415" s="196">
        <v>0</v>
      </c>
      <c r="Q1415" s="106">
        <v>12</v>
      </c>
      <c r="R1415" s="107">
        <v>120</v>
      </c>
      <c r="S1415" s="108">
        <v>10830.7</v>
      </c>
      <c r="T1415" s="108">
        <v>10830.7</v>
      </c>
      <c r="U1415" s="108">
        <v>8636.5</v>
      </c>
      <c r="V1415" s="110">
        <v>2194.1999999999998</v>
      </c>
      <c r="W1415" s="206" t="s">
        <v>233</v>
      </c>
      <c r="X1415" s="206" t="s">
        <v>233</v>
      </c>
      <c r="Y1415" s="206" t="s">
        <v>240</v>
      </c>
      <c r="Z1415" s="206" t="s">
        <v>233</v>
      </c>
      <c r="AA1415" s="206" t="s">
        <v>233</v>
      </c>
      <c r="AB1415" s="206" t="s">
        <v>233</v>
      </c>
      <c r="AC1415" s="206" t="s">
        <v>233</v>
      </c>
      <c r="AD1415" s="206" t="s">
        <v>233</v>
      </c>
      <c r="AE1415" s="206" t="s">
        <v>240</v>
      </c>
      <c r="AF1415" s="96">
        <v>0</v>
      </c>
      <c r="AG1415" s="93">
        <v>0</v>
      </c>
      <c r="AH1415" s="93">
        <v>2</v>
      </c>
      <c r="AI1415" s="93">
        <v>0</v>
      </c>
      <c r="AJ1415" s="93">
        <v>0</v>
      </c>
      <c r="AK1415" s="93">
        <v>0</v>
      </c>
    </row>
    <row r="1416" spans="1:37" s="104" customFormat="1" outlineLevel="1">
      <c r="A1416" s="92">
        <v>1409</v>
      </c>
      <c r="B1416" s="93" t="s">
        <v>190</v>
      </c>
      <c r="C1416" s="93" t="s">
        <v>1488</v>
      </c>
      <c r="D1416" s="94" t="s">
        <v>1184</v>
      </c>
      <c r="E1416" s="105" t="s">
        <v>163</v>
      </c>
      <c r="F1416" s="99" t="s">
        <v>191</v>
      </c>
      <c r="G1416" s="99"/>
      <c r="H1416" s="96" t="s">
        <v>1185</v>
      </c>
      <c r="I1416" s="106" t="s">
        <v>736</v>
      </c>
      <c r="J1416" s="93"/>
      <c r="K1416" s="99" t="s">
        <v>232</v>
      </c>
      <c r="L1416" s="93" t="s">
        <v>232</v>
      </c>
      <c r="M1416" s="200">
        <v>1859</v>
      </c>
      <c r="N1416" s="64" t="s">
        <v>385</v>
      </c>
      <c r="O1416" s="106">
        <v>5</v>
      </c>
      <c r="P1416" s="196">
        <v>0</v>
      </c>
      <c r="Q1416" s="106">
        <v>6</v>
      </c>
      <c r="R1416" s="107">
        <v>31</v>
      </c>
      <c r="S1416" s="108">
        <v>3197</v>
      </c>
      <c r="T1416" s="108">
        <v>3197</v>
      </c>
      <c r="U1416" s="108">
        <v>1775.2</v>
      </c>
      <c r="V1416" s="110">
        <v>1421.8</v>
      </c>
      <c r="W1416" s="206" t="s">
        <v>233</v>
      </c>
      <c r="X1416" s="206" t="s">
        <v>233</v>
      </c>
      <c r="Y1416" s="206" t="s">
        <v>240</v>
      </c>
      <c r="Z1416" s="206" t="s">
        <v>233</v>
      </c>
      <c r="AA1416" s="206" t="s">
        <v>233</v>
      </c>
      <c r="AB1416" s="206" t="s">
        <v>233</v>
      </c>
      <c r="AC1416" s="206" t="s">
        <v>233</v>
      </c>
      <c r="AD1416" s="206" t="s">
        <v>233</v>
      </c>
      <c r="AE1416" s="206" t="s">
        <v>240</v>
      </c>
      <c r="AF1416" s="96">
        <v>1</v>
      </c>
      <c r="AG1416" s="93">
        <v>0</v>
      </c>
      <c r="AH1416" s="93">
        <v>1</v>
      </c>
      <c r="AI1416" s="93">
        <v>0</v>
      </c>
      <c r="AJ1416" s="93">
        <v>0</v>
      </c>
      <c r="AK1416" s="93">
        <v>0</v>
      </c>
    </row>
    <row r="1417" spans="1:37" s="104" customFormat="1" ht="15.75" customHeight="1" outlineLevel="1">
      <c r="A1417" s="92">
        <v>1410</v>
      </c>
      <c r="B1417" s="93" t="s">
        <v>190</v>
      </c>
      <c r="C1417" s="93" t="s">
        <v>1488</v>
      </c>
      <c r="D1417" s="94" t="s">
        <v>1186</v>
      </c>
      <c r="E1417" s="105" t="s">
        <v>225</v>
      </c>
      <c r="F1417" s="99" t="s">
        <v>191</v>
      </c>
      <c r="G1417" s="99"/>
      <c r="H1417" s="96" t="s">
        <v>1187</v>
      </c>
      <c r="I1417" s="106" t="s">
        <v>736</v>
      </c>
      <c r="J1417" s="93"/>
      <c r="K1417" s="99" t="s">
        <v>232</v>
      </c>
      <c r="L1417" s="93" t="s">
        <v>232</v>
      </c>
      <c r="M1417" s="200">
        <v>1913</v>
      </c>
      <c r="N1417" s="64" t="s">
        <v>385</v>
      </c>
      <c r="O1417" s="106">
        <v>6</v>
      </c>
      <c r="P1417" s="196">
        <v>0</v>
      </c>
      <c r="Q1417" s="106">
        <v>8</v>
      </c>
      <c r="R1417" s="107">
        <v>28</v>
      </c>
      <c r="S1417" s="108">
        <v>6846</v>
      </c>
      <c r="T1417" s="108">
        <v>6846</v>
      </c>
      <c r="U1417" s="108">
        <v>4813</v>
      </c>
      <c r="V1417" s="110">
        <v>2033</v>
      </c>
      <c r="W1417" s="206" t="s">
        <v>233</v>
      </c>
      <c r="X1417" s="206" t="s">
        <v>233</v>
      </c>
      <c r="Y1417" s="206" t="s">
        <v>233</v>
      </c>
      <c r="Z1417" s="206" t="s">
        <v>233</v>
      </c>
      <c r="AA1417" s="206" t="s">
        <v>233</v>
      </c>
      <c r="AB1417" s="206" t="s">
        <v>233</v>
      </c>
      <c r="AC1417" s="206" t="s">
        <v>240</v>
      </c>
      <c r="AD1417" s="206" t="s">
        <v>233</v>
      </c>
      <c r="AE1417" s="206" t="s">
        <v>240</v>
      </c>
      <c r="AF1417" s="96">
        <v>3</v>
      </c>
      <c r="AG1417" s="93">
        <v>0</v>
      </c>
      <c r="AH1417" s="93">
        <v>2</v>
      </c>
      <c r="AI1417" s="93">
        <v>0</v>
      </c>
      <c r="AJ1417" s="93">
        <v>0</v>
      </c>
      <c r="AK1417" s="93">
        <v>0</v>
      </c>
    </row>
    <row r="1418" spans="1:37" s="104" customFormat="1" ht="15.75" customHeight="1" outlineLevel="1">
      <c r="A1418" s="92">
        <v>1411</v>
      </c>
      <c r="B1418" s="93" t="s">
        <v>190</v>
      </c>
      <c r="C1418" s="93" t="s">
        <v>1488</v>
      </c>
      <c r="D1418" s="94" t="s">
        <v>1188</v>
      </c>
      <c r="E1418" s="105" t="s">
        <v>989</v>
      </c>
      <c r="F1418" s="99" t="s">
        <v>191</v>
      </c>
      <c r="G1418" s="99"/>
      <c r="H1418" s="96" t="s">
        <v>1189</v>
      </c>
      <c r="I1418" s="106" t="s">
        <v>736</v>
      </c>
      <c r="J1418" s="93"/>
      <c r="K1418" s="99" t="s">
        <v>232</v>
      </c>
      <c r="L1418" s="93" t="s">
        <v>232</v>
      </c>
      <c r="M1418" s="200">
        <v>1798</v>
      </c>
      <c r="N1418" s="64" t="s">
        <v>385</v>
      </c>
      <c r="O1418" s="106">
        <v>4</v>
      </c>
      <c r="P1418" s="196">
        <v>0</v>
      </c>
      <c r="Q1418" s="106">
        <v>4</v>
      </c>
      <c r="R1418" s="107">
        <v>25</v>
      </c>
      <c r="S1418" s="108">
        <v>2390.3000000000002</v>
      </c>
      <c r="T1418" s="108">
        <v>2390.3000000000002</v>
      </c>
      <c r="U1418" s="108">
        <v>1818.3</v>
      </c>
      <c r="V1418" s="110">
        <v>572</v>
      </c>
      <c r="W1418" s="206" t="s">
        <v>233</v>
      </c>
      <c r="X1418" s="206" t="s">
        <v>233</v>
      </c>
      <c r="Y1418" s="206" t="s">
        <v>233</v>
      </c>
      <c r="Z1418" s="206" t="s">
        <v>233</v>
      </c>
      <c r="AA1418" s="206" t="s">
        <v>233</v>
      </c>
      <c r="AB1418" s="206" t="s">
        <v>233</v>
      </c>
      <c r="AC1418" s="206" t="s">
        <v>240</v>
      </c>
      <c r="AD1418" s="206" t="s">
        <v>233</v>
      </c>
      <c r="AE1418" s="206" t="s">
        <v>240</v>
      </c>
      <c r="AF1418" s="96">
        <v>0</v>
      </c>
      <c r="AG1418" s="93">
        <v>0</v>
      </c>
      <c r="AH1418" s="93">
        <v>1</v>
      </c>
      <c r="AI1418" s="93">
        <v>0</v>
      </c>
      <c r="AJ1418" s="93">
        <v>0</v>
      </c>
      <c r="AK1418" s="93">
        <v>0</v>
      </c>
    </row>
    <row r="1419" spans="1:37" s="104" customFormat="1" ht="15.75" customHeight="1" outlineLevel="1">
      <c r="A1419" s="92">
        <v>1412</v>
      </c>
      <c r="B1419" s="93" t="s">
        <v>190</v>
      </c>
      <c r="C1419" s="93" t="s">
        <v>1488</v>
      </c>
      <c r="D1419" s="94" t="s">
        <v>1190</v>
      </c>
      <c r="E1419" s="105" t="s">
        <v>448</v>
      </c>
      <c r="F1419" s="99" t="s">
        <v>191</v>
      </c>
      <c r="G1419" s="99"/>
      <c r="H1419" s="96" t="s">
        <v>1191</v>
      </c>
      <c r="I1419" s="106" t="s">
        <v>736</v>
      </c>
      <c r="J1419" s="93"/>
      <c r="K1419" s="99" t="s">
        <v>232</v>
      </c>
      <c r="L1419" s="93" t="s">
        <v>232</v>
      </c>
      <c r="M1419" s="200">
        <v>1788</v>
      </c>
      <c r="N1419" s="64" t="s">
        <v>385</v>
      </c>
      <c r="O1419" s="106">
        <v>5</v>
      </c>
      <c r="P1419" s="196">
        <v>0</v>
      </c>
      <c r="Q1419" s="106">
        <v>5</v>
      </c>
      <c r="R1419" s="107">
        <v>22</v>
      </c>
      <c r="S1419" s="108">
        <v>2582</v>
      </c>
      <c r="T1419" s="108">
        <v>2582</v>
      </c>
      <c r="U1419" s="108">
        <v>2039</v>
      </c>
      <c r="V1419" s="110">
        <v>543</v>
      </c>
      <c r="W1419" s="206" t="s">
        <v>233</v>
      </c>
      <c r="X1419" s="206" t="s">
        <v>233</v>
      </c>
      <c r="Y1419" s="206" t="s">
        <v>233</v>
      </c>
      <c r="Z1419" s="206" t="s">
        <v>233</v>
      </c>
      <c r="AA1419" s="206" t="s">
        <v>233</v>
      </c>
      <c r="AB1419" s="206" t="s">
        <v>233</v>
      </c>
      <c r="AC1419" s="206" t="s">
        <v>240</v>
      </c>
      <c r="AD1419" s="206" t="s">
        <v>233</v>
      </c>
      <c r="AE1419" s="206" t="s">
        <v>240</v>
      </c>
      <c r="AF1419" s="96">
        <v>0</v>
      </c>
      <c r="AG1419" s="93">
        <v>0</v>
      </c>
      <c r="AH1419" s="93">
        <v>1</v>
      </c>
      <c r="AI1419" s="93">
        <v>0</v>
      </c>
      <c r="AJ1419" s="93">
        <v>0</v>
      </c>
      <c r="AK1419" s="93">
        <v>0</v>
      </c>
    </row>
    <row r="1420" spans="1:37" s="104" customFormat="1" ht="15.75" customHeight="1" outlineLevel="1">
      <c r="A1420" s="92">
        <v>1413</v>
      </c>
      <c r="B1420" s="93" t="s">
        <v>190</v>
      </c>
      <c r="C1420" s="93" t="s">
        <v>1488</v>
      </c>
      <c r="D1420" s="94" t="s">
        <v>1192</v>
      </c>
      <c r="E1420" s="105" t="s">
        <v>165</v>
      </c>
      <c r="F1420" s="99" t="s">
        <v>191</v>
      </c>
      <c r="G1420" s="99"/>
      <c r="H1420" s="96" t="s">
        <v>1193</v>
      </c>
      <c r="I1420" s="106" t="s">
        <v>736</v>
      </c>
      <c r="J1420" s="93"/>
      <c r="K1420" s="99" t="s">
        <v>232</v>
      </c>
      <c r="L1420" s="93" t="s">
        <v>232</v>
      </c>
      <c r="M1420" s="200">
        <v>1877</v>
      </c>
      <c r="N1420" s="64" t="s">
        <v>385</v>
      </c>
      <c r="O1420" s="106">
        <v>5</v>
      </c>
      <c r="P1420" s="196">
        <v>0</v>
      </c>
      <c r="Q1420" s="106">
        <v>4</v>
      </c>
      <c r="R1420" s="107">
        <v>52</v>
      </c>
      <c r="S1420" s="108">
        <v>3775</v>
      </c>
      <c r="T1420" s="108">
        <v>3775</v>
      </c>
      <c r="U1420" s="108">
        <v>3626.5</v>
      </c>
      <c r="V1420" s="110">
        <v>148.5</v>
      </c>
      <c r="W1420" s="206" t="s">
        <v>233</v>
      </c>
      <c r="X1420" s="206" t="s">
        <v>233</v>
      </c>
      <c r="Y1420" s="206" t="s">
        <v>233</v>
      </c>
      <c r="Z1420" s="206" t="s">
        <v>233</v>
      </c>
      <c r="AA1420" s="206" t="s">
        <v>233</v>
      </c>
      <c r="AB1420" s="206" t="s">
        <v>233</v>
      </c>
      <c r="AC1420" s="206" t="s">
        <v>240</v>
      </c>
      <c r="AD1420" s="206" t="s">
        <v>233</v>
      </c>
      <c r="AE1420" s="206" t="s">
        <v>240</v>
      </c>
      <c r="AF1420" s="96">
        <v>3</v>
      </c>
      <c r="AG1420" s="93">
        <v>0</v>
      </c>
      <c r="AH1420" s="93">
        <v>1</v>
      </c>
      <c r="AI1420" s="93">
        <v>0</v>
      </c>
      <c r="AJ1420" s="93">
        <v>0</v>
      </c>
      <c r="AK1420" s="93">
        <v>0</v>
      </c>
    </row>
    <row r="1421" spans="1:37" s="104" customFormat="1" ht="15.75" customHeight="1" outlineLevel="1">
      <c r="A1421" s="92">
        <v>1414</v>
      </c>
      <c r="B1421" s="93" t="s">
        <v>190</v>
      </c>
      <c r="C1421" s="93" t="s">
        <v>1488</v>
      </c>
      <c r="D1421" s="94" t="s">
        <v>1194</v>
      </c>
      <c r="E1421" s="105" t="s">
        <v>1195</v>
      </c>
      <c r="F1421" s="99" t="s">
        <v>191</v>
      </c>
      <c r="G1421" s="99"/>
      <c r="H1421" s="96" t="s">
        <v>1196</v>
      </c>
      <c r="I1421" s="106" t="s">
        <v>736</v>
      </c>
      <c r="J1421" s="93"/>
      <c r="K1421" s="99" t="s">
        <v>232</v>
      </c>
      <c r="L1421" s="93" t="s">
        <v>232</v>
      </c>
      <c r="M1421" s="200">
        <v>1854</v>
      </c>
      <c r="N1421" s="64" t="s">
        <v>385</v>
      </c>
      <c r="O1421" s="106">
        <v>4</v>
      </c>
      <c r="P1421" s="196">
        <v>0</v>
      </c>
      <c r="Q1421" s="106">
        <v>6</v>
      </c>
      <c r="R1421" s="107">
        <v>40</v>
      </c>
      <c r="S1421" s="108">
        <v>5901.7000000000007</v>
      </c>
      <c r="T1421" s="108">
        <v>5901.7000000000007</v>
      </c>
      <c r="U1421" s="108">
        <v>4687.3</v>
      </c>
      <c r="V1421" s="110">
        <v>1214.4000000000001</v>
      </c>
      <c r="W1421" s="206" t="s">
        <v>233</v>
      </c>
      <c r="X1421" s="206" t="s">
        <v>233</v>
      </c>
      <c r="Y1421" s="206" t="s">
        <v>233</v>
      </c>
      <c r="Z1421" s="206" t="s">
        <v>233</v>
      </c>
      <c r="AA1421" s="206" t="s">
        <v>233</v>
      </c>
      <c r="AB1421" s="206" t="s">
        <v>233</v>
      </c>
      <c r="AC1421" s="206" t="s">
        <v>240</v>
      </c>
      <c r="AD1421" s="206" t="s">
        <v>233</v>
      </c>
      <c r="AE1421" s="206" t="s">
        <v>240</v>
      </c>
      <c r="AF1421" s="96">
        <v>0</v>
      </c>
      <c r="AG1421" s="93">
        <v>0</v>
      </c>
      <c r="AH1421" s="93">
        <v>1</v>
      </c>
      <c r="AI1421" s="93">
        <v>0</v>
      </c>
      <c r="AJ1421" s="93">
        <v>0</v>
      </c>
      <c r="AK1421" s="93">
        <v>0</v>
      </c>
    </row>
    <row r="1422" spans="1:37" s="104" customFormat="1" outlineLevel="1">
      <c r="A1422" s="92">
        <v>1415</v>
      </c>
      <c r="B1422" s="93" t="s">
        <v>190</v>
      </c>
      <c r="C1422" s="93" t="s">
        <v>1488</v>
      </c>
      <c r="D1422" s="94" t="s">
        <v>1197</v>
      </c>
      <c r="E1422" s="105" t="s">
        <v>165</v>
      </c>
      <c r="F1422" s="99" t="s">
        <v>191</v>
      </c>
      <c r="G1422" s="99"/>
      <c r="H1422" s="96" t="s">
        <v>1198</v>
      </c>
      <c r="I1422" s="106" t="s">
        <v>736</v>
      </c>
      <c r="J1422" s="93"/>
      <c r="K1422" s="99" t="s">
        <v>232</v>
      </c>
      <c r="L1422" s="93" t="s">
        <v>232</v>
      </c>
      <c r="M1422" s="200">
        <v>1879</v>
      </c>
      <c r="N1422" s="64" t="s">
        <v>385</v>
      </c>
      <c r="O1422" s="106">
        <v>5</v>
      </c>
      <c r="P1422" s="196">
        <v>0</v>
      </c>
      <c r="Q1422" s="106">
        <v>5</v>
      </c>
      <c r="R1422" s="107">
        <v>41</v>
      </c>
      <c r="S1422" s="108">
        <v>3094.2000000000003</v>
      </c>
      <c r="T1422" s="108">
        <v>3094.2000000000003</v>
      </c>
      <c r="U1422" s="108">
        <v>2750.9</v>
      </c>
      <c r="V1422" s="110">
        <v>343.3</v>
      </c>
      <c r="W1422" s="206" t="s">
        <v>233</v>
      </c>
      <c r="X1422" s="206" t="s">
        <v>233</v>
      </c>
      <c r="Y1422" s="206" t="s">
        <v>233</v>
      </c>
      <c r="Z1422" s="206" t="s">
        <v>233</v>
      </c>
      <c r="AA1422" s="206" t="s">
        <v>233</v>
      </c>
      <c r="AB1422" s="206" t="s">
        <v>233</v>
      </c>
      <c r="AC1422" s="206" t="s">
        <v>240</v>
      </c>
      <c r="AD1422" s="206" t="s">
        <v>233</v>
      </c>
      <c r="AE1422" s="206" t="s">
        <v>240</v>
      </c>
      <c r="AF1422" s="96">
        <v>0</v>
      </c>
      <c r="AG1422" s="93">
        <v>0</v>
      </c>
      <c r="AH1422" s="93">
        <v>1</v>
      </c>
      <c r="AI1422" s="93">
        <v>0</v>
      </c>
      <c r="AJ1422" s="93">
        <v>0</v>
      </c>
      <c r="AK1422" s="93">
        <v>0</v>
      </c>
    </row>
    <row r="1423" spans="1:37" s="104" customFormat="1" outlineLevel="1">
      <c r="A1423" s="92">
        <v>1416</v>
      </c>
      <c r="B1423" s="93" t="s">
        <v>190</v>
      </c>
      <c r="C1423" s="93" t="s">
        <v>1488</v>
      </c>
      <c r="D1423" s="94" t="s">
        <v>1199</v>
      </c>
      <c r="E1423" s="105" t="s">
        <v>167</v>
      </c>
      <c r="F1423" s="99" t="s">
        <v>191</v>
      </c>
      <c r="G1423" s="99"/>
      <c r="H1423" s="96" t="s">
        <v>1200</v>
      </c>
      <c r="I1423" s="106" t="s">
        <v>736</v>
      </c>
      <c r="J1423" s="93"/>
      <c r="K1423" s="99" t="s">
        <v>232</v>
      </c>
      <c r="L1423" s="93" t="s">
        <v>232</v>
      </c>
      <c r="M1423" s="200">
        <v>1867</v>
      </c>
      <c r="N1423" s="64" t="s">
        <v>385</v>
      </c>
      <c r="O1423" s="106">
        <v>4</v>
      </c>
      <c r="P1423" s="196">
        <v>0</v>
      </c>
      <c r="Q1423" s="106">
        <v>3</v>
      </c>
      <c r="R1423" s="107">
        <v>23</v>
      </c>
      <c r="S1423" s="108">
        <v>1535.8999999999999</v>
      </c>
      <c r="T1423" s="108">
        <v>1535.8999999999999</v>
      </c>
      <c r="U1423" s="108">
        <v>1453.6</v>
      </c>
      <c r="V1423" s="110">
        <v>82.3</v>
      </c>
      <c r="W1423" s="206" t="s">
        <v>233</v>
      </c>
      <c r="X1423" s="206" t="s">
        <v>233</v>
      </c>
      <c r="Y1423" s="206" t="s">
        <v>233</v>
      </c>
      <c r="Z1423" s="206" t="s">
        <v>233</v>
      </c>
      <c r="AA1423" s="206" t="s">
        <v>233</v>
      </c>
      <c r="AB1423" s="206" t="s">
        <v>233</v>
      </c>
      <c r="AC1423" s="206" t="s">
        <v>240</v>
      </c>
      <c r="AD1423" s="206" t="s">
        <v>233</v>
      </c>
      <c r="AE1423" s="206" t="s">
        <v>240</v>
      </c>
      <c r="AF1423" s="96">
        <v>0</v>
      </c>
      <c r="AG1423" s="93">
        <v>0</v>
      </c>
      <c r="AH1423" s="93">
        <v>1</v>
      </c>
      <c r="AI1423" s="93">
        <v>0</v>
      </c>
      <c r="AJ1423" s="93">
        <v>0</v>
      </c>
      <c r="AK1423" s="93">
        <v>0</v>
      </c>
    </row>
    <row r="1424" spans="1:37" s="104" customFormat="1" ht="15.75" customHeight="1" outlineLevel="1">
      <c r="A1424" s="92">
        <v>1417</v>
      </c>
      <c r="B1424" s="93" t="s">
        <v>190</v>
      </c>
      <c r="C1424" s="93" t="s">
        <v>1488</v>
      </c>
      <c r="D1424" s="94" t="s">
        <v>1201</v>
      </c>
      <c r="E1424" s="105" t="s">
        <v>171</v>
      </c>
      <c r="F1424" s="99" t="s">
        <v>191</v>
      </c>
      <c r="G1424" s="99"/>
      <c r="H1424" s="96" t="s">
        <v>1202</v>
      </c>
      <c r="I1424" s="106" t="s">
        <v>736</v>
      </c>
      <c r="J1424" s="93"/>
      <c r="K1424" s="99" t="s">
        <v>232</v>
      </c>
      <c r="L1424" s="93" t="s">
        <v>232</v>
      </c>
      <c r="M1424" s="200">
        <v>1911</v>
      </c>
      <c r="N1424" s="64" t="s">
        <v>385</v>
      </c>
      <c r="O1424" s="106">
        <v>6</v>
      </c>
      <c r="P1424" s="196">
        <v>0</v>
      </c>
      <c r="Q1424" s="106">
        <v>6</v>
      </c>
      <c r="R1424" s="107">
        <v>32</v>
      </c>
      <c r="S1424" s="108">
        <v>7635.8</v>
      </c>
      <c r="T1424" s="108">
        <v>7635.8</v>
      </c>
      <c r="U1424" s="108">
        <v>3964.5</v>
      </c>
      <c r="V1424" s="110">
        <v>3671.3</v>
      </c>
      <c r="W1424" s="206" t="s">
        <v>233</v>
      </c>
      <c r="X1424" s="206" t="s">
        <v>233</v>
      </c>
      <c r="Y1424" s="206" t="s">
        <v>233</v>
      </c>
      <c r="Z1424" s="206" t="s">
        <v>233</v>
      </c>
      <c r="AA1424" s="206" t="s">
        <v>233</v>
      </c>
      <c r="AB1424" s="206" t="s">
        <v>233</v>
      </c>
      <c r="AC1424" s="206" t="s">
        <v>240</v>
      </c>
      <c r="AD1424" s="206" t="s">
        <v>233</v>
      </c>
      <c r="AE1424" s="206" t="s">
        <v>240</v>
      </c>
      <c r="AF1424" s="96">
        <v>3</v>
      </c>
      <c r="AG1424" s="93">
        <v>0</v>
      </c>
      <c r="AH1424" s="93">
        <v>1</v>
      </c>
      <c r="AI1424" s="93">
        <v>0</v>
      </c>
      <c r="AJ1424" s="93">
        <v>0</v>
      </c>
      <c r="AK1424" s="93">
        <v>0</v>
      </c>
    </row>
    <row r="1425" spans="1:37" s="104" customFormat="1" ht="15.75" customHeight="1" outlineLevel="1">
      <c r="A1425" s="92">
        <v>1418</v>
      </c>
      <c r="B1425" s="93" t="s">
        <v>190</v>
      </c>
      <c r="C1425" s="93" t="s">
        <v>1488</v>
      </c>
      <c r="D1425" s="94" t="s">
        <v>1203</v>
      </c>
      <c r="E1425" s="105">
        <v>101</v>
      </c>
      <c r="F1425" s="99" t="s">
        <v>191</v>
      </c>
      <c r="G1425" s="99"/>
      <c r="H1425" s="96" t="s">
        <v>1204</v>
      </c>
      <c r="I1425" s="106" t="s">
        <v>736</v>
      </c>
      <c r="J1425" s="93"/>
      <c r="K1425" s="99" t="s">
        <v>232</v>
      </c>
      <c r="L1425" s="93" t="s">
        <v>232</v>
      </c>
      <c r="M1425" s="200">
        <v>1798</v>
      </c>
      <c r="N1425" s="64" t="s">
        <v>385</v>
      </c>
      <c r="O1425" s="106">
        <v>3</v>
      </c>
      <c r="P1425" s="196">
        <v>0</v>
      </c>
      <c r="Q1425" s="106">
        <v>4</v>
      </c>
      <c r="R1425" s="107">
        <v>22</v>
      </c>
      <c r="S1425" s="108">
        <v>2745.1</v>
      </c>
      <c r="T1425" s="108">
        <v>2745.1</v>
      </c>
      <c r="U1425" s="108">
        <v>2332.5</v>
      </c>
      <c r="V1425" s="110">
        <v>412.6</v>
      </c>
      <c r="W1425" s="206" t="s">
        <v>233</v>
      </c>
      <c r="X1425" s="206" t="s">
        <v>233</v>
      </c>
      <c r="Y1425" s="206" t="s">
        <v>233</v>
      </c>
      <c r="Z1425" s="206" t="s">
        <v>233</v>
      </c>
      <c r="AA1425" s="206" t="s">
        <v>233</v>
      </c>
      <c r="AB1425" s="206" t="s">
        <v>233</v>
      </c>
      <c r="AC1425" s="206" t="s">
        <v>240</v>
      </c>
      <c r="AD1425" s="206" t="s">
        <v>233</v>
      </c>
      <c r="AE1425" s="206" t="s">
        <v>240</v>
      </c>
      <c r="AF1425" s="96">
        <v>0</v>
      </c>
      <c r="AG1425" s="93">
        <v>0</v>
      </c>
      <c r="AH1425" s="93">
        <v>1</v>
      </c>
      <c r="AI1425" s="93">
        <v>0</v>
      </c>
      <c r="AJ1425" s="93">
        <v>0</v>
      </c>
      <c r="AK1425" s="93">
        <v>0</v>
      </c>
    </row>
    <row r="1426" spans="1:37" s="104" customFormat="1" ht="15.75" customHeight="1" outlineLevel="1">
      <c r="A1426" s="92">
        <v>1419</v>
      </c>
      <c r="B1426" s="93" t="s">
        <v>190</v>
      </c>
      <c r="C1426" s="93" t="s">
        <v>1488</v>
      </c>
      <c r="D1426" s="94" t="s">
        <v>1203</v>
      </c>
      <c r="E1426" s="105">
        <v>103</v>
      </c>
      <c r="F1426" s="99" t="s">
        <v>191</v>
      </c>
      <c r="G1426" s="99"/>
      <c r="H1426" s="96" t="s">
        <v>1205</v>
      </c>
      <c r="I1426" s="106" t="s">
        <v>736</v>
      </c>
      <c r="J1426" s="93"/>
      <c r="K1426" s="99" t="s">
        <v>232</v>
      </c>
      <c r="L1426" s="93" t="s">
        <v>232</v>
      </c>
      <c r="M1426" s="200">
        <v>1911</v>
      </c>
      <c r="N1426" s="64" t="s">
        <v>385</v>
      </c>
      <c r="O1426" s="106">
        <v>6</v>
      </c>
      <c r="P1426" s="196">
        <v>0</v>
      </c>
      <c r="Q1426" s="106">
        <v>9</v>
      </c>
      <c r="R1426" s="107">
        <v>73</v>
      </c>
      <c r="S1426" s="108">
        <v>9041.9</v>
      </c>
      <c r="T1426" s="108">
        <v>9041.9</v>
      </c>
      <c r="U1426" s="108">
        <v>7530.8</v>
      </c>
      <c r="V1426" s="110">
        <v>1511.1</v>
      </c>
      <c r="W1426" s="206" t="s">
        <v>233</v>
      </c>
      <c r="X1426" s="206" t="s">
        <v>233</v>
      </c>
      <c r="Y1426" s="206" t="s">
        <v>233</v>
      </c>
      <c r="Z1426" s="206" t="s">
        <v>233</v>
      </c>
      <c r="AA1426" s="206" t="s">
        <v>233</v>
      </c>
      <c r="AB1426" s="206" t="s">
        <v>233</v>
      </c>
      <c r="AC1426" s="206" t="s">
        <v>240</v>
      </c>
      <c r="AD1426" s="206" t="s">
        <v>233</v>
      </c>
      <c r="AE1426" s="206" t="s">
        <v>240</v>
      </c>
      <c r="AF1426" s="96">
        <v>2</v>
      </c>
      <c r="AG1426" s="93">
        <v>0</v>
      </c>
      <c r="AH1426" s="93">
        <v>1</v>
      </c>
      <c r="AI1426" s="93">
        <v>0</v>
      </c>
      <c r="AJ1426" s="93">
        <v>0</v>
      </c>
      <c r="AK1426" s="93">
        <v>0</v>
      </c>
    </row>
    <row r="1427" spans="1:37" s="104" customFormat="1" outlineLevel="1">
      <c r="A1427" s="92">
        <v>1420</v>
      </c>
      <c r="B1427" s="93" t="s">
        <v>190</v>
      </c>
      <c r="C1427" s="93" t="s">
        <v>1488</v>
      </c>
      <c r="D1427" s="94" t="s">
        <v>1203</v>
      </c>
      <c r="E1427" s="105">
        <v>107</v>
      </c>
      <c r="F1427" s="99" t="s">
        <v>191</v>
      </c>
      <c r="G1427" s="99"/>
      <c r="H1427" s="96" t="s">
        <v>1206</v>
      </c>
      <c r="I1427" s="106" t="s">
        <v>736</v>
      </c>
      <c r="J1427" s="93"/>
      <c r="K1427" s="99" t="s">
        <v>232</v>
      </c>
      <c r="L1427" s="93" t="s">
        <v>232</v>
      </c>
      <c r="M1427" s="200">
        <v>1827</v>
      </c>
      <c r="N1427" s="64" t="s">
        <v>385</v>
      </c>
      <c r="O1427" s="106">
        <v>5</v>
      </c>
      <c r="P1427" s="196">
        <v>0</v>
      </c>
      <c r="Q1427" s="106">
        <v>3</v>
      </c>
      <c r="R1427" s="107">
        <v>33</v>
      </c>
      <c r="S1427" s="108">
        <v>2576.4</v>
      </c>
      <c r="T1427" s="108">
        <v>2576.4</v>
      </c>
      <c r="U1427" s="108">
        <v>2343.6</v>
      </c>
      <c r="V1427" s="110">
        <v>232.8</v>
      </c>
      <c r="W1427" s="206" t="s">
        <v>233</v>
      </c>
      <c r="X1427" s="206" t="s">
        <v>233</v>
      </c>
      <c r="Y1427" s="206" t="s">
        <v>233</v>
      </c>
      <c r="Z1427" s="206" t="s">
        <v>233</v>
      </c>
      <c r="AA1427" s="206" t="s">
        <v>233</v>
      </c>
      <c r="AB1427" s="206" t="s">
        <v>233</v>
      </c>
      <c r="AC1427" s="206" t="s">
        <v>240</v>
      </c>
      <c r="AD1427" s="206" t="s">
        <v>233</v>
      </c>
      <c r="AE1427" s="206" t="s">
        <v>240</v>
      </c>
      <c r="AF1427" s="96">
        <v>0</v>
      </c>
      <c r="AG1427" s="93">
        <v>0</v>
      </c>
      <c r="AH1427" s="93">
        <v>1</v>
      </c>
      <c r="AI1427" s="93">
        <v>0</v>
      </c>
      <c r="AJ1427" s="93">
        <v>0</v>
      </c>
      <c r="AK1427" s="93">
        <v>0</v>
      </c>
    </row>
    <row r="1428" spans="1:37" s="104" customFormat="1" outlineLevel="1">
      <c r="A1428" s="92">
        <v>1421</v>
      </c>
      <c r="B1428" s="93" t="s">
        <v>190</v>
      </c>
      <c r="C1428" s="93" t="s">
        <v>1488</v>
      </c>
      <c r="D1428" s="94" t="s">
        <v>1203</v>
      </c>
      <c r="E1428" s="105">
        <v>109</v>
      </c>
      <c r="F1428" s="99" t="s">
        <v>191</v>
      </c>
      <c r="G1428" s="99"/>
      <c r="H1428" s="96" t="s">
        <v>1207</v>
      </c>
      <c r="I1428" s="106" t="s">
        <v>736</v>
      </c>
      <c r="J1428" s="93"/>
      <c r="K1428" s="99" t="s">
        <v>232</v>
      </c>
      <c r="L1428" s="93" t="s">
        <v>232</v>
      </c>
      <c r="M1428" s="200">
        <v>1832</v>
      </c>
      <c r="N1428" s="64" t="s">
        <v>385</v>
      </c>
      <c r="O1428" s="106">
        <v>5</v>
      </c>
      <c r="P1428" s="196">
        <v>0</v>
      </c>
      <c r="Q1428" s="106">
        <v>11</v>
      </c>
      <c r="R1428" s="107">
        <v>71</v>
      </c>
      <c r="S1428" s="108">
        <v>8069.0999999999995</v>
      </c>
      <c r="T1428" s="108">
        <v>8069.0999999999995</v>
      </c>
      <c r="U1428" s="108">
        <v>6398.9</v>
      </c>
      <c r="V1428" s="110">
        <v>1670.2</v>
      </c>
      <c r="W1428" s="206" t="s">
        <v>233</v>
      </c>
      <c r="X1428" s="206" t="s">
        <v>233</v>
      </c>
      <c r="Y1428" s="206" t="s">
        <v>233</v>
      </c>
      <c r="Z1428" s="206" t="s">
        <v>233</v>
      </c>
      <c r="AA1428" s="206" t="s">
        <v>233</v>
      </c>
      <c r="AB1428" s="206" t="s">
        <v>233</v>
      </c>
      <c r="AC1428" s="206" t="s">
        <v>240</v>
      </c>
      <c r="AD1428" s="206" t="s">
        <v>233</v>
      </c>
      <c r="AE1428" s="206" t="s">
        <v>240</v>
      </c>
      <c r="AF1428" s="96">
        <v>3</v>
      </c>
      <c r="AG1428" s="93">
        <v>0</v>
      </c>
      <c r="AH1428" s="93">
        <v>1</v>
      </c>
      <c r="AI1428" s="93">
        <v>0</v>
      </c>
      <c r="AJ1428" s="93">
        <v>0</v>
      </c>
      <c r="AK1428" s="93">
        <v>0</v>
      </c>
    </row>
    <row r="1429" spans="1:37" s="104" customFormat="1" outlineLevel="1">
      <c r="A1429" s="92">
        <v>1422</v>
      </c>
      <c r="B1429" s="93" t="s">
        <v>190</v>
      </c>
      <c r="C1429" s="93" t="s">
        <v>1488</v>
      </c>
      <c r="D1429" s="112" t="s">
        <v>1203</v>
      </c>
      <c r="E1429" s="113">
        <v>117</v>
      </c>
      <c r="F1429" s="99" t="s">
        <v>260</v>
      </c>
      <c r="G1429" s="99"/>
      <c r="H1429" s="96" t="s">
        <v>1208</v>
      </c>
      <c r="I1429" s="111" t="s">
        <v>736</v>
      </c>
      <c r="J1429" s="93"/>
      <c r="K1429" s="99" t="s">
        <v>232</v>
      </c>
      <c r="L1429" s="93" t="s">
        <v>232</v>
      </c>
      <c r="M1429" s="201">
        <v>1917</v>
      </c>
      <c r="N1429" s="64" t="s">
        <v>385</v>
      </c>
      <c r="O1429" s="111">
        <v>4</v>
      </c>
      <c r="P1429" s="196">
        <v>0</v>
      </c>
      <c r="Q1429" s="111">
        <v>3</v>
      </c>
      <c r="R1429" s="107">
        <v>14</v>
      </c>
      <c r="S1429" s="108">
        <v>2605.6999999999998</v>
      </c>
      <c r="T1429" s="108">
        <v>2605.6999999999998</v>
      </c>
      <c r="U1429" s="108">
        <v>2370.5</v>
      </c>
      <c r="V1429" s="110">
        <v>235.2</v>
      </c>
      <c r="W1429" s="206" t="s">
        <v>233</v>
      </c>
      <c r="X1429" s="206" t="s">
        <v>233</v>
      </c>
      <c r="Y1429" s="206" t="s">
        <v>233</v>
      </c>
      <c r="Z1429" s="206" t="s">
        <v>233</v>
      </c>
      <c r="AA1429" s="206" t="s">
        <v>233</v>
      </c>
      <c r="AB1429" s="206" t="s">
        <v>233</v>
      </c>
      <c r="AC1429" s="206" t="s">
        <v>240</v>
      </c>
      <c r="AD1429" s="206" t="s">
        <v>233</v>
      </c>
      <c r="AE1429" s="206" t="s">
        <v>240</v>
      </c>
      <c r="AF1429" s="96">
        <v>0</v>
      </c>
      <c r="AG1429" s="93">
        <v>0</v>
      </c>
      <c r="AH1429" s="93">
        <v>1</v>
      </c>
      <c r="AI1429" s="93">
        <v>0</v>
      </c>
      <c r="AJ1429" s="93">
        <v>0</v>
      </c>
      <c r="AK1429" s="93">
        <v>0</v>
      </c>
    </row>
    <row r="1430" spans="1:37" s="104" customFormat="1" outlineLevel="1">
      <c r="A1430" s="92">
        <v>1423</v>
      </c>
      <c r="B1430" s="93" t="s">
        <v>190</v>
      </c>
      <c r="C1430" s="93" t="s">
        <v>1488</v>
      </c>
      <c r="D1430" s="94" t="s">
        <v>1203</v>
      </c>
      <c r="E1430" s="105">
        <v>119</v>
      </c>
      <c r="F1430" s="99" t="s">
        <v>191</v>
      </c>
      <c r="G1430" s="99"/>
      <c r="H1430" s="96" t="s">
        <v>1209</v>
      </c>
      <c r="I1430" s="106" t="s">
        <v>736</v>
      </c>
      <c r="J1430" s="93"/>
      <c r="K1430" s="99" t="s">
        <v>232</v>
      </c>
      <c r="L1430" s="93" t="s">
        <v>232</v>
      </c>
      <c r="M1430" s="200">
        <v>1826</v>
      </c>
      <c r="N1430" s="64" t="s">
        <v>385</v>
      </c>
      <c r="O1430" s="106">
        <v>3</v>
      </c>
      <c r="P1430" s="196">
        <v>0</v>
      </c>
      <c r="Q1430" s="106">
        <v>1</v>
      </c>
      <c r="R1430" s="107">
        <v>48</v>
      </c>
      <c r="S1430" s="108">
        <v>1528.5</v>
      </c>
      <c r="T1430" s="108">
        <v>1528.5</v>
      </c>
      <c r="U1430" s="108">
        <v>1145</v>
      </c>
      <c r="V1430" s="110">
        <v>383.5</v>
      </c>
      <c r="W1430" s="206" t="s">
        <v>233</v>
      </c>
      <c r="X1430" s="206" t="s">
        <v>233</v>
      </c>
      <c r="Y1430" s="206" t="s">
        <v>233</v>
      </c>
      <c r="Z1430" s="206" t="s">
        <v>233</v>
      </c>
      <c r="AA1430" s="206" t="s">
        <v>233</v>
      </c>
      <c r="AB1430" s="206" t="s">
        <v>233</v>
      </c>
      <c r="AC1430" s="206" t="s">
        <v>240</v>
      </c>
      <c r="AD1430" s="206" t="s">
        <v>233</v>
      </c>
      <c r="AE1430" s="206" t="s">
        <v>240</v>
      </c>
      <c r="AF1430" s="96">
        <v>0</v>
      </c>
      <c r="AG1430" s="93">
        <v>0</v>
      </c>
      <c r="AH1430" s="93">
        <v>1</v>
      </c>
      <c r="AI1430" s="93">
        <v>0</v>
      </c>
      <c r="AJ1430" s="93">
        <v>0</v>
      </c>
      <c r="AK1430" s="93">
        <v>0</v>
      </c>
    </row>
    <row r="1431" spans="1:37" s="104" customFormat="1" ht="15.75" customHeight="1" outlineLevel="1">
      <c r="A1431" s="92">
        <v>1424</v>
      </c>
      <c r="B1431" s="93" t="s">
        <v>190</v>
      </c>
      <c r="C1431" s="93" t="s">
        <v>1488</v>
      </c>
      <c r="D1431" s="94" t="s">
        <v>1203</v>
      </c>
      <c r="E1431" s="105">
        <v>119</v>
      </c>
      <c r="F1431" s="99" t="s">
        <v>231</v>
      </c>
      <c r="G1431" s="99"/>
      <c r="H1431" s="96" t="s">
        <v>1210</v>
      </c>
      <c r="I1431" s="106" t="s">
        <v>736</v>
      </c>
      <c r="J1431" s="93"/>
      <c r="K1431" s="99" t="s">
        <v>232</v>
      </c>
      <c r="L1431" s="93" t="s">
        <v>232</v>
      </c>
      <c r="M1431" s="200">
        <v>1826</v>
      </c>
      <c r="N1431" s="64" t="s">
        <v>385</v>
      </c>
      <c r="O1431" s="106">
        <v>4</v>
      </c>
      <c r="P1431" s="196">
        <v>0</v>
      </c>
      <c r="Q1431" s="106">
        <v>2</v>
      </c>
      <c r="R1431" s="107">
        <v>50</v>
      </c>
      <c r="S1431" s="108">
        <v>2332.4</v>
      </c>
      <c r="T1431" s="108">
        <v>2332.4</v>
      </c>
      <c r="U1431" s="108">
        <v>1065.7</v>
      </c>
      <c r="V1431" s="110">
        <v>1266.7</v>
      </c>
      <c r="W1431" s="206" t="s">
        <v>233</v>
      </c>
      <c r="X1431" s="206" t="s">
        <v>233</v>
      </c>
      <c r="Y1431" s="206" t="s">
        <v>233</v>
      </c>
      <c r="Z1431" s="206" t="s">
        <v>233</v>
      </c>
      <c r="AA1431" s="206" t="s">
        <v>233</v>
      </c>
      <c r="AB1431" s="206" t="s">
        <v>233</v>
      </c>
      <c r="AC1431" s="206" t="s">
        <v>240</v>
      </c>
      <c r="AD1431" s="206" t="s">
        <v>233</v>
      </c>
      <c r="AE1431" s="206" t="s">
        <v>240</v>
      </c>
      <c r="AF1431" s="96">
        <v>1</v>
      </c>
      <c r="AG1431" s="93">
        <v>0</v>
      </c>
      <c r="AH1431" s="93">
        <v>0</v>
      </c>
      <c r="AI1431" s="93">
        <v>0</v>
      </c>
      <c r="AJ1431" s="93">
        <v>0</v>
      </c>
      <c r="AK1431" s="93">
        <v>0</v>
      </c>
    </row>
    <row r="1432" spans="1:37" s="104" customFormat="1" ht="15.75" customHeight="1" outlineLevel="1">
      <c r="A1432" s="92">
        <v>1425</v>
      </c>
      <c r="B1432" s="93" t="s">
        <v>190</v>
      </c>
      <c r="C1432" s="93" t="s">
        <v>1488</v>
      </c>
      <c r="D1432" s="94" t="s">
        <v>1203</v>
      </c>
      <c r="E1432" s="105">
        <v>121</v>
      </c>
      <c r="F1432" s="99" t="s">
        <v>191</v>
      </c>
      <c r="G1432" s="99"/>
      <c r="H1432" s="96" t="s">
        <v>1211</v>
      </c>
      <c r="I1432" s="106" t="s">
        <v>736</v>
      </c>
      <c r="J1432" s="93"/>
      <c r="K1432" s="99" t="s">
        <v>232</v>
      </c>
      <c r="L1432" s="93" t="s">
        <v>232</v>
      </c>
      <c r="M1432" s="200">
        <v>1913</v>
      </c>
      <c r="N1432" s="64" t="s">
        <v>385</v>
      </c>
      <c r="O1432" s="106">
        <v>6</v>
      </c>
      <c r="P1432" s="196">
        <v>0</v>
      </c>
      <c r="Q1432" s="106">
        <v>10</v>
      </c>
      <c r="R1432" s="107">
        <v>104</v>
      </c>
      <c r="S1432" s="108">
        <v>12793.800000000001</v>
      </c>
      <c r="T1432" s="108">
        <v>12793.800000000001</v>
      </c>
      <c r="U1432" s="108">
        <v>10540.7</v>
      </c>
      <c r="V1432" s="110">
        <v>2253.1</v>
      </c>
      <c r="W1432" s="206" t="s">
        <v>233</v>
      </c>
      <c r="X1432" s="206" t="s">
        <v>233</v>
      </c>
      <c r="Y1432" s="206" t="s">
        <v>233</v>
      </c>
      <c r="Z1432" s="206" t="s">
        <v>233</v>
      </c>
      <c r="AA1432" s="206" t="s">
        <v>233</v>
      </c>
      <c r="AB1432" s="206" t="s">
        <v>233</v>
      </c>
      <c r="AC1432" s="206" t="s">
        <v>240</v>
      </c>
      <c r="AD1432" s="206" t="s">
        <v>233</v>
      </c>
      <c r="AE1432" s="206" t="s">
        <v>240</v>
      </c>
      <c r="AF1432" s="96">
        <v>5</v>
      </c>
      <c r="AG1432" s="93">
        <v>0</v>
      </c>
      <c r="AH1432" s="93">
        <v>1</v>
      </c>
      <c r="AI1432" s="93">
        <v>0</v>
      </c>
      <c r="AJ1432" s="93">
        <v>0</v>
      </c>
      <c r="AK1432" s="93">
        <v>0</v>
      </c>
    </row>
    <row r="1433" spans="1:37" s="104" customFormat="1" ht="15.75" customHeight="1" outlineLevel="1">
      <c r="A1433" s="92">
        <v>1426</v>
      </c>
      <c r="B1433" s="93" t="s">
        <v>190</v>
      </c>
      <c r="C1433" s="93" t="s">
        <v>1488</v>
      </c>
      <c r="D1433" s="94" t="s">
        <v>1203</v>
      </c>
      <c r="E1433" s="105">
        <v>127</v>
      </c>
      <c r="F1433" s="99" t="s">
        <v>191</v>
      </c>
      <c r="G1433" s="99"/>
      <c r="H1433" s="96" t="s">
        <v>1212</v>
      </c>
      <c r="I1433" s="106" t="s">
        <v>736</v>
      </c>
      <c r="J1433" s="93"/>
      <c r="K1433" s="99" t="s">
        <v>232</v>
      </c>
      <c r="L1433" s="93" t="s">
        <v>232</v>
      </c>
      <c r="M1433" s="200">
        <v>1840</v>
      </c>
      <c r="N1433" s="64" t="s">
        <v>385</v>
      </c>
      <c r="O1433" s="106">
        <v>7</v>
      </c>
      <c r="P1433" s="196">
        <v>0</v>
      </c>
      <c r="Q1433" s="106">
        <v>9</v>
      </c>
      <c r="R1433" s="107">
        <v>81</v>
      </c>
      <c r="S1433" s="108">
        <v>11509.099999999999</v>
      </c>
      <c r="T1433" s="108">
        <v>11509.099999999999</v>
      </c>
      <c r="U1433" s="108">
        <v>9176.4</v>
      </c>
      <c r="V1433" s="110">
        <v>2332.6999999999998</v>
      </c>
      <c r="W1433" s="206" t="s">
        <v>233</v>
      </c>
      <c r="X1433" s="206" t="s">
        <v>233</v>
      </c>
      <c r="Y1433" s="206" t="s">
        <v>233</v>
      </c>
      <c r="Z1433" s="206" t="s">
        <v>233</v>
      </c>
      <c r="AA1433" s="206" t="s">
        <v>233</v>
      </c>
      <c r="AB1433" s="206" t="s">
        <v>233</v>
      </c>
      <c r="AC1433" s="206" t="s">
        <v>240</v>
      </c>
      <c r="AD1433" s="206" t="s">
        <v>233</v>
      </c>
      <c r="AE1433" s="206" t="s">
        <v>240</v>
      </c>
      <c r="AF1433" s="96">
        <v>8</v>
      </c>
      <c r="AG1433" s="93">
        <v>0</v>
      </c>
      <c r="AH1433" s="93">
        <v>1</v>
      </c>
      <c r="AI1433" s="93">
        <v>0</v>
      </c>
      <c r="AJ1433" s="93">
        <v>0</v>
      </c>
      <c r="AK1433" s="93">
        <v>0</v>
      </c>
    </row>
    <row r="1434" spans="1:37" s="104" customFormat="1" outlineLevel="1">
      <c r="A1434" s="92">
        <v>1427</v>
      </c>
      <c r="B1434" s="93" t="s">
        <v>190</v>
      </c>
      <c r="C1434" s="93" t="s">
        <v>1488</v>
      </c>
      <c r="D1434" s="94" t="s">
        <v>1203</v>
      </c>
      <c r="E1434" s="105">
        <v>129</v>
      </c>
      <c r="F1434" s="99" t="s">
        <v>191</v>
      </c>
      <c r="G1434" s="99"/>
      <c r="H1434" s="96" t="s">
        <v>1213</v>
      </c>
      <c r="I1434" s="106" t="s">
        <v>736</v>
      </c>
      <c r="J1434" s="93"/>
      <c r="K1434" s="99" t="s">
        <v>232</v>
      </c>
      <c r="L1434" s="93" t="s">
        <v>232</v>
      </c>
      <c r="M1434" s="200">
        <v>1858</v>
      </c>
      <c r="N1434" s="64" t="s">
        <v>385</v>
      </c>
      <c r="O1434" s="106">
        <v>5</v>
      </c>
      <c r="P1434" s="196">
        <v>0</v>
      </c>
      <c r="Q1434" s="106">
        <v>10</v>
      </c>
      <c r="R1434" s="107">
        <v>57</v>
      </c>
      <c r="S1434" s="108">
        <v>8114.7</v>
      </c>
      <c r="T1434" s="108">
        <v>8114.7</v>
      </c>
      <c r="U1434" s="108">
        <v>6266.7</v>
      </c>
      <c r="V1434" s="110">
        <v>1848</v>
      </c>
      <c r="W1434" s="206" t="s">
        <v>233</v>
      </c>
      <c r="X1434" s="206" t="s">
        <v>233</v>
      </c>
      <c r="Y1434" s="206" t="s">
        <v>233</v>
      </c>
      <c r="Z1434" s="206" t="s">
        <v>233</v>
      </c>
      <c r="AA1434" s="206" t="s">
        <v>233</v>
      </c>
      <c r="AB1434" s="206" t="s">
        <v>233</v>
      </c>
      <c r="AC1434" s="206" t="s">
        <v>240</v>
      </c>
      <c r="AD1434" s="206" t="s">
        <v>233</v>
      </c>
      <c r="AE1434" s="206" t="s">
        <v>240</v>
      </c>
      <c r="AF1434" s="96">
        <v>2</v>
      </c>
      <c r="AG1434" s="93">
        <v>0</v>
      </c>
      <c r="AH1434" s="93">
        <v>1</v>
      </c>
      <c r="AI1434" s="93">
        <v>0</v>
      </c>
      <c r="AJ1434" s="93">
        <v>0</v>
      </c>
      <c r="AK1434" s="93">
        <v>0</v>
      </c>
    </row>
    <row r="1435" spans="1:37" s="104" customFormat="1" outlineLevel="1">
      <c r="A1435" s="92">
        <v>1428</v>
      </c>
      <c r="B1435" s="93" t="s">
        <v>190</v>
      </c>
      <c r="C1435" s="93" t="s">
        <v>1488</v>
      </c>
      <c r="D1435" s="94" t="s">
        <v>1203</v>
      </c>
      <c r="E1435" s="105">
        <v>131</v>
      </c>
      <c r="F1435" s="99" t="s">
        <v>191</v>
      </c>
      <c r="G1435" s="99"/>
      <c r="H1435" s="96" t="s">
        <v>1214</v>
      </c>
      <c r="I1435" s="106" t="s">
        <v>792</v>
      </c>
      <c r="J1435" s="93"/>
      <c r="K1435" s="99" t="s">
        <v>232</v>
      </c>
      <c r="L1435" s="93" t="s">
        <v>232</v>
      </c>
      <c r="M1435" s="200">
        <v>1835</v>
      </c>
      <c r="N1435" s="64" t="s">
        <v>385</v>
      </c>
      <c r="O1435" s="106">
        <v>6</v>
      </c>
      <c r="P1435" s="196">
        <v>0</v>
      </c>
      <c r="Q1435" s="106">
        <v>4</v>
      </c>
      <c r="R1435" s="107">
        <v>42</v>
      </c>
      <c r="S1435" s="108">
        <v>6665.9999999999991</v>
      </c>
      <c r="T1435" s="108">
        <v>6665.9999999999991</v>
      </c>
      <c r="U1435" s="108">
        <v>5937.1</v>
      </c>
      <c r="V1435" s="110">
        <v>728.9</v>
      </c>
      <c r="W1435" s="206" t="s">
        <v>233</v>
      </c>
      <c r="X1435" s="206" t="s">
        <v>233</v>
      </c>
      <c r="Y1435" s="206" t="s">
        <v>240</v>
      </c>
      <c r="Z1435" s="206" t="s">
        <v>233</v>
      </c>
      <c r="AA1435" s="206" t="s">
        <v>233</v>
      </c>
      <c r="AB1435" s="206" t="s">
        <v>233</v>
      </c>
      <c r="AC1435" s="206" t="s">
        <v>233</v>
      </c>
      <c r="AD1435" s="206" t="s">
        <v>233</v>
      </c>
      <c r="AE1435" s="206" t="s">
        <v>240</v>
      </c>
      <c r="AF1435" s="96">
        <v>3</v>
      </c>
      <c r="AG1435" s="93">
        <v>0</v>
      </c>
      <c r="AH1435" s="93">
        <v>1</v>
      </c>
      <c r="AI1435" s="93">
        <v>0</v>
      </c>
      <c r="AJ1435" s="93">
        <v>0</v>
      </c>
      <c r="AK1435" s="93">
        <v>0</v>
      </c>
    </row>
    <row r="1436" spans="1:37" s="104" customFormat="1" outlineLevel="1">
      <c r="A1436" s="92">
        <v>1429</v>
      </c>
      <c r="B1436" s="93" t="s">
        <v>190</v>
      </c>
      <c r="C1436" s="93" t="s">
        <v>1488</v>
      </c>
      <c r="D1436" s="94" t="s">
        <v>1203</v>
      </c>
      <c r="E1436" s="105">
        <v>133</v>
      </c>
      <c r="F1436" s="99" t="s">
        <v>191</v>
      </c>
      <c r="G1436" s="99"/>
      <c r="H1436" s="96" t="s">
        <v>1215</v>
      </c>
      <c r="I1436" s="106" t="s">
        <v>736</v>
      </c>
      <c r="J1436" s="93" t="s">
        <v>242</v>
      </c>
      <c r="K1436" s="99" t="s">
        <v>232</v>
      </c>
      <c r="L1436" s="93" t="s">
        <v>232</v>
      </c>
      <c r="M1436" s="200">
        <v>1917</v>
      </c>
      <c r="N1436" s="64" t="s">
        <v>385</v>
      </c>
      <c r="O1436" s="106">
        <v>6</v>
      </c>
      <c r="P1436" s="196">
        <v>0</v>
      </c>
      <c r="Q1436" s="106">
        <v>2</v>
      </c>
      <c r="R1436" s="107">
        <v>52</v>
      </c>
      <c r="S1436" s="108">
        <v>2839</v>
      </c>
      <c r="T1436" s="108">
        <v>2839</v>
      </c>
      <c r="U1436" s="108">
        <v>1785</v>
      </c>
      <c r="V1436" s="110">
        <v>964</v>
      </c>
      <c r="W1436" s="206" t="s">
        <v>233</v>
      </c>
      <c r="X1436" s="206" t="s">
        <v>233</v>
      </c>
      <c r="Y1436" s="206" t="s">
        <v>233</v>
      </c>
      <c r="Z1436" s="206" t="s">
        <v>233</v>
      </c>
      <c r="AA1436" s="206" t="s">
        <v>233</v>
      </c>
      <c r="AB1436" s="206" t="s">
        <v>233</v>
      </c>
      <c r="AC1436" s="206" t="s">
        <v>240</v>
      </c>
      <c r="AD1436" s="206" t="s">
        <v>233</v>
      </c>
      <c r="AE1436" s="206" t="s">
        <v>240</v>
      </c>
      <c r="AF1436" s="96">
        <v>0</v>
      </c>
      <c r="AG1436" s="93">
        <v>0</v>
      </c>
      <c r="AH1436" s="93">
        <v>2</v>
      </c>
      <c r="AI1436" s="93">
        <v>0</v>
      </c>
      <c r="AJ1436" s="93">
        <v>0</v>
      </c>
      <c r="AK1436" s="93">
        <v>0</v>
      </c>
    </row>
    <row r="1437" spans="1:37" s="104" customFormat="1" outlineLevel="1">
      <c r="A1437" s="92">
        <v>1430</v>
      </c>
      <c r="B1437" s="93" t="s">
        <v>190</v>
      </c>
      <c r="C1437" s="93" t="s">
        <v>1488</v>
      </c>
      <c r="D1437" s="94" t="s">
        <v>1203</v>
      </c>
      <c r="E1437" s="105">
        <v>135</v>
      </c>
      <c r="F1437" s="99" t="s">
        <v>191</v>
      </c>
      <c r="G1437" s="99"/>
      <c r="H1437" s="96" t="s">
        <v>1216</v>
      </c>
      <c r="I1437" s="106" t="s">
        <v>736</v>
      </c>
      <c r="J1437" s="93"/>
      <c r="K1437" s="99" t="s">
        <v>232</v>
      </c>
      <c r="L1437" s="93" t="s">
        <v>232</v>
      </c>
      <c r="M1437" s="200">
        <v>1880</v>
      </c>
      <c r="N1437" s="64" t="s">
        <v>385</v>
      </c>
      <c r="O1437" s="106">
        <v>5</v>
      </c>
      <c r="P1437" s="196">
        <v>0</v>
      </c>
      <c r="Q1437" s="106">
        <v>1</v>
      </c>
      <c r="R1437" s="107">
        <v>15</v>
      </c>
      <c r="S1437" s="108">
        <v>1517.7</v>
      </c>
      <c r="T1437" s="108">
        <v>1517.7</v>
      </c>
      <c r="U1437" s="108">
        <v>1203.2</v>
      </c>
      <c r="V1437" s="110">
        <v>314.5</v>
      </c>
      <c r="W1437" s="206" t="s">
        <v>233</v>
      </c>
      <c r="X1437" s="206" t="s">
        <v>233</v>
      </c>
      <c r="Y1437" s="206" t="s">
        <v>233</v>
      </c>
      <c r="Z1437" s="206" t="s">
        <v>233</v>
      </c>
      <c r="AA1437" s="206" t="s">
        <v>233</v>
      </c>
      <c r="AB1437" s="206" t="s">
        <v>233</v>
      </c>
      <c r="AC1437" s="206" t="s">
        <v>240</v>
      </c>
      <c r="AD1437" s="206" t="s">
        <v>233</v>
      </c>
      <c r="AE1437" s="206" t="s">
        <v>240</v>
      </c>
      <c r="AF1437" s="96">
        <v>0</v>
      </c>
      <c r="AG1437" s="93">
        <v>0</v>
      </c>
      <c r="AH1437" s="93">
        <v>1</v>
      </c>
      <c r="AI1437" s="93">
        <v>0</v>
      </c>
      <c r="AJ1437" s="93">
        <v>0</v>
      </c>
      <c r="AK1437" s="93">
        <v>0</v>
      </c>
    </row>
    <row r="1438" spans="1:37" s="104" customFormat="1" outlineLevel="1">
      <c r="A1438" s="92">
        <v>1431</v>
      </c>
      <c r="B1438" s="93" t="s">
        <v>190</v>
      </c>
      <c r="C1438" s="93" t="s">
        <v>1488</v>
      </c>
      <c r="D1438" s="94" t="s">
        <v>1203</v>
      </c>
      <c r="E1438" s="105">
        <v>135</v>
      </c>
      <c r="F1438" s="99" t="s">
        <v>231</v>
      </c>
      <c r="G1438" s="99"/>
      <c r="H1438" s="96" t="s">
        <v>1217</v>
      </c>
      <c r="I1438" s="106" t="s">
        <v>736</v>
      </c>
      <c r="J1438" s="93"/>
      <c r="K1438" s="99" t="s">
        <v>232</v>
      </c>
      <c r="L1438" s="93" t="s">
        <v>232</v>
      </c>
      <c r="M1438" s="200">
        <v>1880</v>
      </c>
      <c r="N1438" s="64" t="s">
        <v>385</v>
      </c>
      <c r="O1438" s="106">
        <v>6</v>
      </c>
      <c r="P1438" s="196">
        <v>0</v>
      </c>
      <c r="Q1438" s="106">
        <v>1</v>
      </c>
      <c r="R1438" s="107">
        <v>15</v>
      </c>
      <c r="S1438" s="108">
        <v>1469</v>
      </c>
      <c r="T1438" s="108">
        <v>1469</v>
      </c>
      <c r="U1438" s="108">
        <v>1302.4000000000001</v>
      </c>
      <c r="V1438" s="110">
        <v>166.6</v>
      </c>
      <c r="W1438" s="206" t="s">
        <v>233</v>
      </c>
      <c r="X1438" s="206" t="s">
        <v>233</v>
      </c>
      <c r="Y1438" s="206" t="s">
        <v>233</v>
      </c>
      <c r="Z1438" s="206" t="s">
        <v>233</v>
      </c>
      <c r="AA1438" s="206" t="s">
        <v>233</v>
      </c>
      <c r="AB1438" s="206" t="s">
        <v>233</v>
      </c>
      <c r="AC1438" s="206" t="s">
        <v>240</v>
      </c>
      <c r="AD1438" s="206" t="s">
        <v>233</v>
      </c>
      <c r="AE1438" s="206" t="s">
        <v>240</v>
      </c>
      <c r="AF1438" s="96">
        <v>1</v>
      </c>
      <c r="AG1438" s="93">
        <v>0</v>
      </c>
      <c r="AH1438" s="93">
        <v>0</v>
      </c>
      <c r="AI1438" s="93">
        <v>0</v>
      </c>
      <c r="AJ1438" s="93">
        <v>0</v>
      </c>
      <c r="AK1438" s="93">
        <v>0</v>
      </c>
    </row>
    <row r="1439" spans="1:37" s="104" customFormat="1" outlineLevel="1">
      <c r="A1439" s="92">
        <v>1432</v>
      </c>
      <c r="B1439" s="93" t="s">
        <v>190</v>
      </c>
      <c r="C1439" s="93" t="s">
        <v>1488</v>
      </c>
      <c r="D1439" s="94" t="s">
        <v>1203</v>
      </c>
      <c r="E1439" s="105">
        <v>137</v>
      </c>
      <c r="F1439" s="99" t="s">
        <v>191</v>
      </c>
      <c r="G1439" s="99"/>
      <c r="H1439" s="96" t="s">
        <v>1218</v>
      </c>
      <c r="I1439" s="106" t="s">
        <v>736</v>
      </c>
      <c r="J1439" s="93"/>
      <c r="K1439" s="99" t="s">
        <v>232</v>
      </c>
      <c r="L1439" s="93" t="s">
        <v>232</v>
      </c>
      <c r="M1439" s="200">
        <v>1852</v>
      </c>
      <c r="N1439" s="64" t="s">
        <v>385</v>
      </c>
      <c r="O1439" s="106">
        <v>4</v>
      </c>
      <c r="P1439" s="196">
        <v>0</v>
      </c>
      <c r="Q1439" s="106">
        <v>7</v>
      </c>
      <c r="R1439" s="107">
        <v>11</v>
      </c>
      <c r="S1439" s="108">
        <v>5125.3</v>
      </c>
      <c r="T1439" s="108">
        <v>5125.3</v>
      </c>
      <c r="U1439" s="108">
        <v>4265.2</v>
      </c>
      <c r="V1439" s="110">
        <v>860.1</v>
      </c>
      <c r="W1439" s="206" t="s">
        <v>233</v>
      </c>
      <c r="X1439" s="206" t="s">
        <v>233</v>
      </c>
      <c r="Y1439" s="206" t="s">
        <v>240</v>
      </c>
      <c r="Z1439" s="206" t="s">
        <v>233</v>
      </c>
      <c r="AA1439" s="206" t="s">
        <v>233</v>
      </c>
      <c r="AB1439" s="206" t="s">
        <v>233</v>
      </c>
      <c r="AC1439" s="206" t="s">
        <v>233</v>
      </c>
      <c r="AD1439" s="206" t="s">
        <v>233</v>
      </c>
      <c r="AE1439" s="206" t="s">
        <v>240</v>
      </c>
      <c r="AF1439" s="96">
        <v>0</v>
      </c>
      <c r="AG1439" s="93">
        <v>0</v>
      </c>
      <c r="AH1439" s="93">
        <v>1</v>
      </c>
      <c r="AI1439" s="93">
        <v>0</v>
      </c>
      <c r="AJ1439" s="93">
        <v>0</v>
      </c>
      <c r="AK1439" s="93">
        <v>0</v>
      </c>
    </row>
    <row r="1440" spans="1:37" s="104" customFormat="1" ht="15.75" customHeight="1" outlineLevel="1">
      <c r="A1440" s="92">
        <v>1433</v>
      </c>
      <c r="B1440" s="93" t="s">
        <v>190</v>
      </c>
      <c r="C1440" s="93" t="s">
        <v>1488</v>
      </c>
      <c r="D1440" s="94" t="s">
        <v>1203</v>
      </c>
      <c r="E1440" s="105">
        <v>137</v>
      </c>
      <c r="F1440" s="99" t="s">
        <v>231</v>
      </c>
      <c r="G1440" s="99"/>
      <c r="H1440" s="96" t="s">
        <v>1219</v>
      </c>
      <c r="I1440" s="106" t="s">
        <v>736</v>
      </c>
      <c r="J1440" s="93"/>
      <c r="K1440" s="99" t="s">
        <v>232</v>
      </c>
      <c r="L1440" s="93" t="s">
        <v>232</v>
      </c>
      <c r="M1440" s="200">
        <v>1869</v>
      </c>
      <c r="N1440" s="64" t="s">
        <v>385</v>
      </c>
      <c r="O1440" s="106">
        <v>4</v>
      </c>
      <c r="P1440" s="196">
        <v>0</v>
      </c>
      <c r="Q1440" s="106">
        <v>1</v>
      </c>
      <c r="R1440" s="107">
        <v>11</v>
      </c>
      <c r="S1440" s="108">
        <v>1798</v>
      </c>
      <c r="T1440" s="108">
        <v>1798</v>
      </c>
      <c r="U1440" s="108">
        <v>1510.6</v>
      </c>
      <c r="V1440" s="110">
        <v>287.39999999999998</v>
      </c>
      <c r="W1440" s="206" t="s">
        <v>233</v>
      </c>
      <c r="X1440" s="206" t="s">
        <v>233</v>
      </c>
      <c r="Y1440" s="206" t="s">
        <v>240</v>
      </c>
      <c r="Z1440" s="206" t="s">
        <v>233</v>
      </c>
      <c r="AA1440" s="206" t="s">
        <v>233</v>
      </c>
      <c r="AB1440" s="206" t="s">
        <v>233</v>
      </c>
      <c r="AC1440" s="206" t="s">
        <v>233</v>
      </c>
      <c r="AD1440" s="206" t="s">
        <v>233</v>
      </c>
      <c r="AE1440" s="206" t="s">
        <v>240</v>
      </c>
      <c r="AF1440" s="96">
        <v>0</v>
      </c>
      <c r="AG1440" s="93">
        <v>0</v>
      </c>
      <c r="AH1440" s="93">
        <v>0</v>
      </c>
      <c r="AI1440" s="93">
        <v>0</v>
      </c>
      <c r="AJ1440" s="93">
        <v>0</v>
      </c>
      <c r="AK1440" s="93">
        <v>0</v>
      </c>
    </row>
    <row r="1441" spans="1:37" s="104" customFormat="1" ht="15.75" customHeight="1" outlineLevel="1">
      <c r="A1441" s="92">
        <v>1434</v>
      </c>
      <c r="B1441" s="93" t="s">
        <v>190</v>
      </c>
      <c r="C1441" s="93" t="s">
        <v>1488</v>
      </c>
      <c r="D1441" s="94" t="s">
        <v>1203</v>
      </c>
      <c r="E1441" s="105">
        <v>137</v>
      </c>
      <c r="F1441" s="99" t="s">
        <v>260</v>
      </c>
      <c r="G1441" s="99"/>
      <c r="H1441" s="96" t="s">
        <v>1220</v>
      </c>
      <c r="I1441" s="106" t="s">
        <v>736</v>
      </c>
      <c r="J1441" s="93"/>
      <c r="K1441" s="99" t="s">
        <v>232</v>
      </c>
      <c r="L1441" s="93" t="s">
        <v>232</v>
      </c>
      <c r="M1441" s="200">
        <v>1868</v>
      </c>
      <c r="N1441" s="64" t="s">
        <v>385</v>
      </c>
      <c r="O1441" s="106">
        <v>4</v>
      </c>
      <c r="P1441" s="196">
        <v>0</v>
      </c>
      <c r="Q1441" s="106">
        <v>1</v>
      </c>
      <c r="R1441" s="107">
        <v>12</v>
      </c>
      <c r="S1441" s="108">
        <v>1402.7</v>
      </c>
      <c r="T1441" s="108">
        <v>1402.7</v>
      </c>
      <c r="U1441" s="108">
        <v>1164.3</v>
      </c>
      <c r="V1441" s="110">
        <v>238.4</v>
      </c>
      <c r="W1441" s="206" t="s">
        <v>233</v>
      </c>
      <c r="X1441" s="206" t="s">
        <v>233</v>
      </c>
      <c r="Y1441" s="206" t="s">
        <v>240</v>
      </c>
      <c r="Z1441" s="206" t="s">
        <v>233</v>
      </c>
      <c r="AA1441" s="206" t="s">
        <v>233</v>
      </c>
      <c r="AB1441" s="206" t="s">
        <v>233</v>
      </c>
      <c r="AC1441" s="206" t="s">
        <v>233</v>
      </c>
      <c r="AD1441" s="206" t="s">
        <v>233</v>
      </c>
      <c r="AE1441" s="206" t="s">
        <v>240</v>
      </c>
      <c r="AF1441" s="96">
        <v>0</v>
      </c>
      <c r="AG1441" s="93">
        <v>0</v>
      </c>
      <c r="AH1441" s="93">
        <v>0</v>
      </c>
      <c r="AI1441" s="93">
        <v>0</v>
      </c>
      <c r="AJ1441" s="93">
        <v>0</v>
      </c>
      <c r="AK1441" s="93">
        <v>0</v>
      </c>
    </row>
    <row r="1442" spans="1:37" s="104" customFormat="1" ht="15.75" customHeight="1" outlineLevel="1">
      <c r="A1442" s="92">
        <v>1435</v>
      </c>
      <c r="B1442" s="93" t="s">
        <v>190</v>
      </c>
      <c r="C1442" s="93" t="s">
        <v>1488</v>
      </c>
      <c r="D1442" s="94" t="s">
        <v>1203</v>
      </c>
      <c r="E1442" s="105">
        <v>139</v>
      </c>
      <c r="F1442" s="99" t="s">
        <v>191</v>
      </c>
      <c r="G1442" s="99"/>
      <c r="H1442" s="96" t="s">
        <v>1221</v>
      </c>
      <c r="I1442" s="106" t="s">
        <v>736</v>
      </c>
      <c r="J1442" s="93"/>
      <c r="K1442" s="99" t="s">
        <v>232</v>
      </c>
      <c r="L1442" s="93" t="s">
        <v>232</v>
      </c>
      <c r="M1442" s="200">
        <v>1896</v>
      </c>
      <c r="N1442" s="64" t="s">
        <v>385</v>
      </c>
      <c r="O1442" s="106">
        <v>5</v>
      </c>
      <c r="P1442" s="196">
        <v>0</v>
      </c>
      <c r="Q1442" s="106">
        <v>6</v>
      </c>
      <c r="R1442" s="107">
        <v>29</v>
      </c>
      <c r="S1442" s="108">
        <v>4124.9000000000005</v>
      </c>
      <c r="T1442" s="108">
        <v>4124.9000000000005</v>
      </c>
      <c r="U1442" s="108">
        <v>3367.8</v>
      </c>
      <c r="V1442" s="110">
        <v>757.1</v>
      </c>
      <c r="W1442" s="206" t="s">
        <v>233</v>
      </c>
      <c r="X1442" s="206" t="s">
        <v>233</v>
      </c>
      <c r="Y1442" s="206" t="s">
        <v>233</v>
      </c>
      <c r="Z1442" s="206" t="s">
        <v>233</v>
      </c>
      <c r="AA1442" s="206" t="s">
        <v>233</v>
      </c>
      <c r="AB1442" s="206" t="s">
        <v>233</v>
      </c>
      <c r="AC1442" s="206" t="s">
        <v>240</v>
      </c>
      <c r="AD1442" s="206" t="s">
        <v>233</v>
      </c>
      <c r="AE1442" s="206" t="s">
        <v>240</v>
      </c>
      <c r="AF1442" s="96">
        <v>0</v>
      </c>
      <c r="AG1442" s="93">
        <v>0</v>
      </c>
      <c r="AH1442" s="93">
        <v>1</v>
      </c>
      <c r="AI1442" s="93">
        <v>0</v>
      </c>
      <c r="AJ1442" s="93">
        <v>0</v>
      </c>
      <c r="AK1442" s="93">
        <v>0</v>
      </c>
    </row>
    <row r="1443" spans="1:37" s="104" customFormat="1" ht="15.75" customHeight="1" outlineLevel="1">
      <c r="A1443" s="92">
        <v>1436</v>
      </c>
      <c r="B1443" s="93" t="s">
        <v>190</v>
      </c>
      <c r="C1443" s="93" t="s">
        <v>1488</v>
      </c>
      <c r="D1443" s="94" t="s">
        <v>1203</v>
      </c>
      <c r="E1443" s="105">
        <v>83</v>
      </c>
      <c r="F1443" s="99" t="s">
        <v>191</v>
      </c>
      <c r="G1443" s="99"/>
      <c r="H1443" s="96" t="s">
        <v>1222</v>
      </c>
      <c r="I1443" s="106" t="s">
        <v>736</v>
      </c>
      <c r="J1443" s="93"/>
      <c r="K1443" s="99" t="s">
        <v>232</v>
      </c>
      <c r="L1443" s="93" t="s">
        <v>232</v>
      </c>
      <c r="M1443" s="200">
        <v>1780</v>
      </c>
      <c r="N1443" s="64" t="s">
        <v>385</v>
      </c>
      <c r="O1443" s="106">
        <v>4</v>
      </c>
      <c r="P1443" s="196">
        <v>0</v>
      </c>
      <c r="Q1443" s="106">
        <v>4</v>
      </c>
      <c r="R1443" s="107">
        <v>11</v>
      </c>
      <c r="S1443" s="108">
        <v>2702.2000000000003</v>
      </c>
      <c r="T1443" s="108">
        <v>2702.2000000000003</v>
      </c>
      <c r="U1443" s="108">
        <v>2196.9</v>
      </c>
      <c r="V1443" s="110">
        <v>505.3</v>
      </c>
      <c r="W1443" s="206" t="s">
        <v>233</v>
      </c>
      <c r="X1443" s="206" t="s">
        <v>233</v>
      </c>
      <c r="Y1443" s="206" t="s">
        <v>233</v>
      </c>
      <c r="Z1443" s="206" t="s">
        <v>233</v>
      </c>
      <c r="AA1443" s="206" t="s">
        <v>233</v>
      </c>
      <c r="AB1443" s="206" t="s">
        <v>233</v>
      </c>
      <c r="AC1443" s="206" t="s">
        <v>240</v>
      </c>
      <c r="AD1443" s="206" t="s">
        <v>233</v>
      </c>
      <c r="AE1443" s="206" t="s">
        <v>240</v>
      </c>
      <c r="AF1443" s="96">
        <v>0</v>
      </c>
      <c r="AG1443" s="93">
        <v>0</v>
      </c>
      <c r="AH1443" s="93">
        <v>1</v>
      </c>
      <c r="AI1443" s="93">
        <v>0</v>
      </c>
      <c r="AJ1443" s="93">
        <v>0</v>
      </c>
      <c r="AK1443" s="93">
        <v>0</v>
      </c>
    </row>
    <row r="1444" spans="1:37" s="104" customFormat="1" outlineLevel="1">
      <c r="A1444" s="92">
        <v>1437</v>
      </c>
      <c r="B1444" s="93" t="s">
        <v>190</v>
      </c>
      <c r="C1444" s="93" t="s">
        <v>1488</v>
      </c>
      <c r="D1444" s="94" t="s">
        <v>1203</v>
      </c>
      <c r="E1444" s="105">
        <v>83</v>
      </c>
      <c r="F1444" s="99" t="s">
        <v>231</v>
      </c>
      <c r="G1444" s="99"/>
      <c r="H1444" s="96" t="s">
        <v>1223</v>
      </c>
      <c r="I1444" s="106" t="s">
        <v>736</v>
      </c>
      <c r="J1444" s="93"/>
      <c r="K1444" s="99" t="s">
        <v>232</v>
      </c>
      <c r="L1444" s="93" t="s">
        <v>232</v>
      </c>
      <c r="M1444" s="200">
        <v>1780</v>
      </c>
      <c r="N1444" s="64" t="s">
        <v>385</v>
      </c>
      <c r="O1444" s="106">
        <v>3</v>
      </c>
      <c r="P1444" s="196">
        <v>0</v>
      </c>
      <c r="Q1444" s="106">
        <v>2</v>
      </c>
      <c r="R1444" s="107">
        <v>13</v>
      </c>
      <c r="S1444" s="108">
        <v>525.1</v>
      </c>
      <c r="T1444" s="108">
        <v>525.1</v>
      </c>
      <c r="U1444" s="108">
        <v>349.8</v>
      </c>
      <c r="V1444" s="110">
        <v>175.3</v>
      </c>
      <c r="W1444" s="206" t="s">
        <v>233</v>
      </c>
      <c r="X1444" s="206" t="s">
        <v>233</v>
      </c>
      <c r="Y1444" s="206" t="s">
        <v>233</v>
      </c>
      <c r="Z1444" s="206" t="s">
        <v>233</v>
      </c>
      <c r="AA1444" s="206" t="s">
        <v>233</v>
      </c>
      <c r="AB1444" s="206" t="s">
        <v>233</v>
      </c>
      <c r="AC1444" s="206" t="s">
        <v>240</v>
      </c>
      <c r="AD1444" s="206" t="s">
        <v>233</v>
      </c>
      <c r="AE1444" s="206" t="s">
        <v>240</v>
      </c>
      <c r="AF1444" s="96">
        <v>0</v>
      </c>
      <c r="AG1444" s="93">
        <v>0</v>
      </c>
      <c r="AH1444" s="93">
        <v>0</v>
      </c>
      <c r="AI1444" s="93">
        <v>0</v>
      </c>
      <c r="AJ1444" s="93">
        <v>0</v>
      </c>
      <c r="AK1444" s="93">
        <v>0</v>
      </c>
    </row>
    <row r="1445" spans="1:37" s="104" customFormat="1" outlineLevel="1">
      <c r="A1445" s="92">
        <v>1438</v>
      </c>
      <c r="B1445" s="93" t="s">
        <v>190</v>
      </c>
      <c r="C1445" s="93" t="s">
        <v>1488</v>
      </c>
      <c r="D1445" s="94" t="s">
        <v>1203</v>
      </c>
      <c r="E1445" s="105">
        <v>83</v>
      </c>
      <c r="F1445" s="99" t="s">
        <v>252</v>
      </c>
      <c r="G1445" s="99"/>
      <c r="H1445" s="96" t="s">
        <v>1224</v>
      </c>
      <c r="I1445" s="106" t="s">
        <v>736</v>
      </c>
      <c r="J1445" s="93"/>
      <c r="K1445" s="99" t="s">
        <v>232</v>
      </c>
      <c r="L1445" s="93" t="s">
        <v>232</v>
      </c>
      <c r="M1445" s="200">
        <v>1780</v>
      </c>
      <c r="N1445" s="64" t="s">
        <v>385</v>
      </c>
      <c r="O1445" s="106">
        <v>1</v>
      </c>
      <c r="P1445" s="196">
        <v>0</v>
      </c>
      <c r="Q1445" s="106">
        <v>2</v>
      </c>
      <c r="R1445" s="107">
        <v>10</v>
      </c>
      <c r="S1445" s="108">
        <v>148.4</v>
      </c>
      <c r="T1445" s="108">
        <v>148.4</v>
      </c>
      <c r="U1445" s="108">
        <v>148.4</v>
      </c>
      <c r="V1445" s="110">
        <v>0</v>
      </c>
      <c r="W1445" s="206" t="s">
        <v>233</v>
      </c>
      <c r="X1445" s="206" t="s">
        <v>233</v>
      </c>
      <c r="Y1445" s="206" t="s">
        <v>233</v>
      </c>
      <c r="Z1445" s="206" t="s">
        <v>233</v>
      </c>
      <c r="AA1445" s="206" t="s">
        <v>233</v>
      </c>
      <c r="AB1445" s="206" t="s">
        <v>233</v>
      </c>
      <c r="AC1445" s="206" t="s">
        <v>240</v>
      </c>
      <c r="AD1445" s="206" t="s">
        <v>233</v>
      </c>
      <c r="AE1445" s="206" t="s">
        <v>240</v>
      </c>
      <c r="AF1445" s="96">
        <v>0</v>
      </c>
      <c r="AG1445" s="93">
        <v>0</v>
      </c>
      <c r="AH1445" s="93">
        <v>0</v>
      </c>
      <c r="AI1445" s="93">
        <v>0</v>
      </c>
      <c r="AJ1445" s="93">
        <v>0</v>
      </c>
      <c r="AK1445" s="93">
        <v>0</v>
      </c>
    </row>
    <row r="1446" spans="1:37" s="104" customFormat="1" outlineLevel="1">
      <c r="A1446" s="92">
        <v>1439</v>
      </c>
      <c r="B1446" s="93" t="s">
        <v>190</v>
      </c>
      <c r="C1446" s="93" t="s">
        <v>1488</v>
      </c>
      <c r="D1446" s="94" t="s">
        <v>1203</v>
      </c>
      <c r="E1446" s="105">
        <v>83</v>
      </c>
      <c r="F1446" s="99" t="s">
        <v>308</v>
      </c>
      <c r="G1446" s="99"/>
      <c r="H1446" s="96" t="s">
        <v>1226</v>
      </c>
      <c r="I1446" s="106" t="s">
        <v>736</v>
      </c>
      <c r="J1446" s="93"/>
      <c r="K1446" s="99" t="s">
        <v>232</v>
      </c>
      <c r="L1446" s="93" t="s">
        <v>232</v>
      </c>
      <c r="M1446" s="200">
        <v>1879</v>
      </c>
      <c r="N1446" s="64" t="s">
        <v>385</v>
      </c>
      <c r="O1446" s="106">
        <v>4</v>
      </c>
      <c r="P1446" s="196">
        <v>0</v>
      </c>
      <c r="Q1446" s="106">
        <v>1</v>
      </c>
      <c r="R1446" s="107">
        <v>10</v>
      </c>
      <c r="S1446" s="108">
        <v>455.9</v>
      </c>
      <c r="T1446" s="108">
        <v>455.9</v>
      </c>
      <c r="U1446" s="108">
        <v>455.9</v>
      </c>
      <c r="V1446" s="110">
        <v>0</v>
      </c>
      <c r="W1446" s="206" t="s">
        <v>233</v>
      </c>
      <c r="X1446" s="206" t="s">
        <v>233</v>
      </c>
      <c r="Y1446" s="206" t="s">
        <v>233</v>
      </c>
      <c r="Z1446" s="206" t="s">
        <v>233</v>
      </c>
      <c r="AA1446" s="206" t="s">
        <v>233</v>
      </c>
      <c r="AB1446" s="206" t="s">
        <v>233</v>
      </c>
      <c r="AC1446" s="206" t="s">
        <v>240</v>
      </c>
      <c r="AD1446" s="206" t="s">
        <v>233</v>
      </c>
      <c r="AE1446" s="206" t="s">
        <v>240</v>
      </c>
      <c r="AF1446" s="96">
        <v>0</v>
      </c>
      <c r="AG1446" s="93">
        <v>0</v>
      </c>
      <c r="AH1446" s="93">
        <v>0</v>
      </c>
      <c r="AI1446" s="93">
        <v>0</v>
      </c>
      <c r="AJ1446" s="93">
        <v>0</v>
      </c>
      <c r="AK1446" s="93">
        <v>0</v>
      </c>
    </row>
    <row r="1447" spans="1:37" s="104" customFormat="1" outlineLevel="1">
      <c r="A1447" s="92">
        <v>1440</v>
      </c>
      <c r="B1447" s="93" t="s">
        <v>190</v>
      </c>
      <c r="C1447" s="93" t="s">
        <v>1488</v>
      </c>
      <c r="D1447" s="94" t="s">
        <v>1203</v>
      </c>
      <c r="E1447" s="105">
        <v>85</v>
      </c>
      <c r="F1447" s="99" t="s">
        <v>191</v>
      </c>
      <c r="G1447" s="99"/>
      <c r="H1447" s="96" t="s">
        <v>1227</v>
      </c>
      <c r="I1447" s="106" t="s">
        <v>736</v>
      </c>
      <c r="J1447" s="93"/>
      <c r="K1447" s="99" t="s">
        <v>232</v>
      </c>
      <c r="L1447" s="93" t="s">
        <v>232</v>
      </c>
      <c r="M1447" s="200">
        <v>1798</v>
      </c>
      <c r="N1447" s="64" t="s">
        <v>385</v>
      </c>
      <c r="O1447" s="106">
        <v>6</v>
      </c>
      <c r="P1447" s="196">
        <v>0</v>
      </c>
      <c r="Q1447" s="106">
        <v>11</v>
      </c>
      <c r="R1447" s="107">
        <v>103</v>
      </c>
      <c r="S1447" s="108">
        <v>8449.8000000000011</v>
      </c>
      <c r="T1447" s="108">
        <v>8449.8000000000011</v>
      </c>
      <c r="U1447" s="108">
        <v>6545.1</v>
      </c>
      <c r="V1447" s="110">
        <v>1904.7</v>
      </c>
      <c r="W1447" s="206" t="s">
        <v>233</v>
      </c>
      <c r="X1447" s="206" t="s">
        <v>233</v>
      </c>
      <c r="Y1447" s="206" t="s">
        <v>240</v>
      </c>
      <c r="Z1447" s="206" t="s">
        <v>233</v>
      </c>
      <c r="AA1447" s="206" t="s">
        <v>233</v>
      </c>
      <c r="AB1447" s="206" t="s">
        <v>233</v>
      </c>
      <c r="AC1447" s="206" t="s">
        <v>233</v>
      </c>
      <c r="AD1447" s="206" t="s">
        <v>233</v>
      </c>
      <c r="AE1447" s="206" t="s">
        <v>240</v>
      </c>
      <c r="AF1447" s="96">
        <v>3</v>
      </c>
      <c r="AG1447" s="93">
        <v>0</v>
      </c>
      <c r="AH1447" s="93">
        <v>1</v>
      </c>
      <c r="AI1447" s="93">
        <v>0</v>
      </c>
      <c r="AJ1447" s="93">
        <v>0</v>
      </c>
      <c r="AK1447" s="93">
        <v>0</v>
      </c>
    </row>
    <row r="1448" spans="1:37" s="104" customFormat="1" outlineLevel="1">
      <c r="A1448" s="92">
        <v>1441</v>
      </c>
      <c r="B1448" s="93" t="s">
        <v>190</v>
      </c>
      <c r="C1448" s="93" t="s">
        <v>1488</v>
      </c>
      <c r="D1448" s="94" t="s">
        <v>1203</v>
      </c>
      <c r="E1448" s="105">
        <v>87</v>
      </c>
      <c r="F1448" s="99" t="s">
        <v>191</v>
      </c>
      <c r="G1448" s="99"/>
      <c r="H1448" s="96" t="s">
        <v>1228</v>
      </c>
      <c r="I1448" s="106" t="s">
        <v>736</v>
      </c>
      <c r="J1448" s="93"/>
      <c r="K1448" s="99" t="s">
        <v>232</v>
      </c>
      <c r="L1448" s="93" t="s">
        <v>232</v>
      </c>
      <c r="M1448" s="200">
        <v>1917</v>
      </c>
      <c r="N1448" s="64" t="s">
        <v>385</v>
      </c>
      <c r="O1448" s="106">
        <v>5</v>
      </c>
      <c r="P1448" s="196">
        <v>0</v>
      </c>
      <c r="Q1448" s="106">
        <v>4</v>
      </c>
      <c r="R1448" s="107">
        <v>29</v>
      </c>
      <c r="S1448" s="108">
        <v>3608.3</v>
      </c>
      <c r="T1448" s="108">
        <v>3608.3</v>
      </c>
      <c r="U1448" s="108">
        <v>2920.4</v>
      </c>
      <c r="V1448" s="110">
        <v>687.9</v>
      </c>
      <c r="W1448" s="206" t="s">
        <v>233</v>
      </c>
      <c r="X1448" s="206" t="s">
        <v>233</v>
      </c>
      <c r="Y1448" s="206" t="s">
        <v>240</v>
      </c>
      <c r="Z1448" s="206" t="s">
        <v>233</v>
      </c>
      <c r="AA1448" s="206" t="s">
        <v>233</v>
      </c>
      <c r="AB1448" s="206" t="s">
        <v>233</v>
      </c>
      <c r="AC1448" s="206" t="s">
        <v>233</v>
      </c>
      <c r="AD1448" s="206" t="s">
        <v>233</v>
      </c>
      <c r="AE1448" s="206" t="s">
        <v>240</v>
      </c>
      <c r="AF1448" s="96">
        <v>0</v>
      </c>
      <c r="AG1448" s="93">
        <v>0</v>
      </c>
      <c r="AH1448" s="93">
        <v>1</v>
      </c>
      <c r="AI1448" s="93">
        <v>0</v>
      </c>
      <c r="AJ1448" s="93">
        <v>0</v>
      </c>
      <c r="AK1448" s="93">
        <v>0</v>
      </c>
    </row>
    <row r="1449" spans="1:37" s="104" customFormat="1" outlineLevel="1">
      <c r="A1449" s="92">
        <v>1442</v>
      </c>
      <c r="B1449" s="93" t="s">
        <v>190</v>
      </c>
      <c r="C1449" s="93" t="s">
        <v>1488</v>
      </c>
      <c r="D1449" s="94" t="s">
        <v>1203</v>
      </c>
      <c r="E1449" s="105">
        <v>89</v>
      </c>
      <c r="F1449" s="99" t="s">
        <v>191</v>
      </c>
      <c r="G1449" s="99"/>
      <c r="H1449" s="96" t="s">
        <v>1229</v>
      </c>
      <c r="I1449" s="106" t="s">
        <v>736</v>
      </c>
      <c r="J1449" s="93"/>
      <c r="K1449" s="99" t="s">
        <v>232</v>
      </c>
      <c r="L1449" s="93" t="s">
        <v>232</v>
      </c>
      <c r="M1449" s="200">
        <v>1917</v>
      </c>
      <c r="N1449" s="64" t="s">
        <v>385</v>
      </c>
      <c r="O1449" s="106">
        <v>5</v>
      </c>
      <c r="P1449" s="196">
        <v>0</v>
      </c>
      <c r="Q1449" s="106">
        <v>9</v>
      </c>
      <c r="R1449" s="107">
        <v>51</v>
      </c>
      <c r="S1449" s="108">
        <v>5137.6000000000004</v>
      </c>
      <c r="T1449" s="108">
        <v>5137.6000000000004</v>
      </c>
      <c r="U1449" s="108">
        <v>4312.3</v>
      </c>
      <c r="V1449" s="110">
        <v>825.3</v>
      </c>
      <c r="W1449" s="206" t="s">
        <v>233</v>
      </c>
      <c r="X1449" s="206" t="s">
        <v>233</v>
      </c>
      <c r="Y1449" s="206" t="s">
        <v>240</v>
      </c>
      <c r="Z1449" s="206" t="s">
        <v>233</v>
      </c>
      <c r="AA1449" s="206" t="s">
        <v>233</v>
      </c>
      <c r="AB1449" s="206" t="s">
        <v>233</v>
      </c>
      <c r="AC1449" s="206" t="s">
        <v>233</v>
      </c>
      <c r="AD1449" s="206" t="s">
        <v>233</v>
      </c>
      <c r="AE1449" s="206" t="s">
        <v>240</v>
      </c>
      <c r="AF1449" s="96">
        <v>0</v>
      </c>
      <c r="AG1449" s="93">
        <v>0</v>
      </c>
      <c r="AH1449" s="93">
        <v>1</v>
      </c>
      <c r="AI1449" s="93">
        <v>0</v>
      </c>
      <c r="AJ1449" s="93">
        <v>0</v>
      </c>
      <c r="AK1449" s="93">
        <v>0</v>
      </c>
    </row>
    <row r="1450" spans="1:37" s="104" customFormat="1" outlineLevel="1">
      <c r="A1450" s="92">
        <v>1443</v>
      </c>
      <c r="B1450" s="93" t="s">
        <v>190</v>
      </c>
      <c r="C1450" s="93" t="s">
        <v>1488</v>
      </c>
      <c r="D1450" s="94" t="s">
        <v>1203</v>
      </c>
      <c r="E1450" s="105">
        <v>97</v>
      </c>
      <c r="F1450" s="99" t="s">
        <v>191</v>
      </c>
      <c r="G1450" s="99"/>
      <c r="H1450" s="96" t="s">
        <v>1230</v>
      </c>
      <c r="I1450" s="106" t="s">
        <v>736</v>
      </c>
      <c r="J1450" s="93"/>
      <c r="K1450" s="99" t="s">
        <v>232</v>
      </c>
      <c r="L1450" s="93" t="s">
        <v>232</v>
      </c>
      <c r="M1450" s="200">
        <v>1917</v>
      </c>
      <c r="N1450" s="64" t="s">
        <v>385</v>
      </c>
      <c r="O1450" s="106">
        <v>4</v>
      </c>
      <c r="P1450" s="196">
        <v>0</v>
      </c>
      <c r="Q1450" s="106">
        <v>3</v>
      </c>
      <c r="R1450" s="107">
        <v>14</v>
      </c>
      <c r="S1450" s="108">
        <v>1845.4</v>
      </c>
      <c r="T1450" s="108">
        <v>1845.4</v>
      </c>
      <c r="U1450" s="108">
        <v>1249.9000000000001</v>
      </c>
      <c r="V1450" s="110">
        <v>595.5</v>
      </c>
      <c r="W1450" s="206" t="s">
        <v>233</v>
      </c>
      <c r="X1450" s="206" t="s">
        <v>233</v>
      </c>
      <c r="Y1450" s="206" t="s">
        <v>240</v>
      </c>
      <c r="Z1450" s="206" t="s">
        <v>233</v>
      </c>
      <c r="AA1450" s="206" t="s">
        <v>233</v>
      </c>
      <c r="AB1450" s="206" t="s">
        <v>233</v>
      </c>
      <c r="AC1450" s="206" t="s">
        <v>233</v>
      </c>
      <c r="AD1450" s="206" t="s">
        <v>233</v>
      </c>
      <c r="AE1450" s="206" t="s">
        <v>240</v>
      </c>
      <c r="AF1450" s="96">
        <v>0</v>
      </c>
      <c r="AG1450" s="93">
        <v>0</v>
      </c>
      <c r="AH1450" s="93">
        <v>1</v>
      </c>
      <c r="AI1450" s="93">
        <v>0</v>
      </c>
      <c r="AJ1450" s="93">
        <v>0</v>
      </c>
      <c r="AK1450" s="93">
        <v>0</v>
      </c>
    </row>
    <row r="1451" spans="1:37" s="104" customFormat="1" ht="15.75" customHeight="1" outlineLevel="1">
      <c r="A1451" s="92">
        <v>1444</v>
      </c>
      <c r="B1451" s="93" t="s">
        <v>190</v>
      </c>
      <c r="C1451" s="93" t="s">
        <v>1488</v>
      </c>
      <c r="D1451" s="94" t="s">
        <v>1203</v>
      </c>
      <c r="E1451" s="105">
        <v>99</v>
      </c>
      <c r="F1451" s="99" t="s">
        <v>191</v>
      </c>
      <c r="G1451" s="99"/>
      <c r="H1451" s="96" t="s">
        <v>1231</v>
      </c>
      <c r="I1451" s="106" t="s">
        <v>736</v>
      </c>
      <c r="J1451" s="93"/>
      <c r="K1451" s="99" t="s">
        <v>232</v>
      </c>
      <c r="L1451" s="93" t="s">
        <v>232</v>
      </c>
      <c r="M1451" s="200">
        <v>1806</v>
      </c>
      <c r="N1451" s="64" t="s">
        <v>385</v>
      </c>
      <c r="O1451" s="106">
        <v>3</v>
      </c>
      <c r="P1451" s="196">
        <v>0</v>
      </c>
      <c r="Q1451" s="106">
        <v>2</v>
      </c>
      <c r="R1451" s="107">
        <v>8</v>
      </c>
      <c r="S1451" s="108">
        <v>974.6</v>
      </c>
      <c r="T1451" s="108">
        <v>974.6</v>
      </c>
      <c r="U1451" s="108">
        <v>464.90000000000003</v>
      </c>
      <c r="V1451" s="109">
        <v>509.7</v>
      </c>
      <c r="W1451" s="206" t="s">
        <v>233</v>
      </c>
      <c r="X1451" s="206" t="s">
        <v>233</v>
      </c>
      <c r="Y1451" s="206" t="s">
        <v>240</v>
      </c>
      <c r="Z1451" s="206" t="s">
        <v>233</v>
      </c>
      <c r="AA1451" s="206" t="s">
        <v>233</v>
      </c>
      <c r="AB1451" s="206" t="s">
        <v>233</v>
      </c>
      <c r="AC1451" s="206" t="s">
        <v>233</v>
      </c>
      <c r="AD1451" s="206" t="s">
        <v>233</v>
      </c>
      <c r="AE1451" s="206" t="s">
        <v>240</v>
      </c>
      <c r="AF1451" s="96">
        <v>0</v>
      </c>
      <c r="AG1451" s="93">
        <v>0</v>
      </c>
      <c r="AH1451" s="93">
        <v>1</v>
      </c>
      <c r="AI1451" s="93">
        <v>0</v>
      </c>
      <c r="AJ1451" s="93">
        <v>0</v>
      </c>
      <c r="AK1451" s="93">
        <v>0</v>
      </c>
    </row>
    <row r="1452" spans="1:37" s="104" customFormat="1" ht="15.75" customHeight="1" outlineLevel="1">
      <c r="A1452" s="92">
        <v>1445</v>
      </c>
      <c r="B1452" s="93" t="s">
        <v>190</v>
      </c>
      <c r="C1452" s="93" t="s">
        <v>1488</v>
      </c>
      <c r="D1452" s="94" t="s">
        <v>1203</v>
      </c>
      <c r="E1452" s="105">
        <v>99</v>
      </c>
      <c r="F1452" s="99" t="s">
        <v>231</v>
      </c>
      <c r="G1452" s="99"/>
      <c r="H1452" s="96" t="s">
        <v>1232</v>
      </c>
      <c r="I1452" s="106" t="s">
        <v>736</v>
      </c>
      <c r="J1452" s="93"/>
      <c r="K1452" s="99" t="s">
        <v>232</v>
      </c>
      <c r="L1452" s="93" t="s">
        <v>232</v>
      </c>
      <c r="M1452" s="200">
        <v>1806</v>
      </c>
      <c r="N1452" s="64" t="s">
        <v>385</v>
      </c>
      <c r="O1452" s="106">
        <v>3</v>
      </c>
      <c r="P1452" s="196">
        <v>0</v>
      </c>
      <c r="Q1452" s="106">
        <v>1</v>
      </c>
      <c r="R1452" s="107">
        <v>7</v>
      </c>
      <c r="S1452" s="108">
        <v>314.8</v>
      </c>
      <c r="T1452" s="108">
        <v>314.8</v>
      </c>
      <c r="U1452" s="108">
        <v>314.8</v>
      </c>
      <c r="V1452" s="109">
        <v>0</v>
      </c>
      <c r="W1452" s="206" t="s">
        <v>233</v>
      </c>
      <c r="X1452" s="206" t="s">
        <v>233</v>
      </c>
      <c r="Y1452" s="206" t="s">
        <v>233</v>
      </c>
      <c r="Z1452" s="206" t="s">
        <v>233</v>
      </c>
      <c r="AA1452" s="206" t="s">
        <v>233</v>
      </c>
      <c r="AB1452" s="206" t="s">
        <v>233</v>
      </c>
      <c r="AC1452" s="206" t="s">
        <v>240</v>
      </c>
      <c r="AD1452" s="206" t="s">
        <v>233</v>
      </c>
      <c r="AE1452" s="206" t="s">
        <v>240</v>
      </c>
      <c r="AF1452" s="96">
        <v>0</v>
      </c>
      <c r="AG1452" s="93">
        <v>0</v>
      </c>
      <c r="AH1452" s="93">
        <v>0</v>
      </c>
      <c r="AI1452" s="93">
        <v>0</v>
      </c>
      <c r="AJ1452" s="93">
        <v>0</v>
      </c>
      <c r="AK1452" s="93">
        <v>0</v>
      </c>
    </row>
    <row r="1453" spans="1:37" s="104" customFormat="1">
      <c r="A1453" s="92">
        <v>1446</v>
      </c>
      <c r="B1453" s="93" t="s">
        <v>190</v>
      </c>
      <c r="C1453" s="93" t="s">
        <v>1488</v>
      </c>
      <c r="D1453" s="94" t="s">
        <v>1203</v>
      </c>
      <c r="E1453" s="105">
        <v>99</v>
      </c>
      <c r="F1453" s="99" t="s">
        <v>260</v>
      </c>
      <c r="G1453" s="99"/>
      <c r="H1453" s="96" t="s">
        <v>1233</v>
      </c>
      <c r="I1453" s="106" t="s">
        <v>736</v>
      </c>
      <c r="J1453" s="93"/>
      <c r="K1453" s="99" t="s">
        <v>232</v>
      </c>
      <c r="L1453" s="93" t="s">
        <v>232</v>
      </c>
      <c r="M1453" s="200">
        <v>1806</v>
      </c>
      <c r="N1453" s="64" t="s">
        <v>385</v>
      </c>
      <c r="O1453" s="106">
        <v>3</v>
      </c>
      <c r="P1453" s="196">
        <v>0</v>
      </c>
      <c r="Q1453" s="106">
        <v>3</v>
      </c>
      <c r="R1453" s="107">
        <v>8</v>
      </c>
      <c r="S1453" s="108">
        <v>747.40000000000009</v>
      </c>
      <c r="T1453" s="108">
        <v>747.40000000000009</v>
      </c>
      <c r="U1453" s="108">
        <v>602.1</v>
      </c>
      <c r="V1453" s="109">
        <v>145.30000000000001</v>
      </c>
      <c r="W1453" s="206" t="s">
        <v>233</v>
      </c>
      <c r="X1453" s="206" t="s">
        <v>233</v>
      </c>
      <c r="Y1453" s="206" t="s">
        <v>233</v>
      </c>
      <c r="Z1453" s="206" t="s">
        <v>233</v>
      </c>
      <c r="AA1453" s="206" t="s">
        <v>233</v>
      </c>
      <c r="AB1453" s="206" t="s">
        <v>233</v>
      </c>
      <c r="AC1453" s="206" t="s">
        <v>240</v>
      </c>
      <c r="AD1453" s="206" t="s">
        <v>233</v>
      </c>
      <c r="AE1453" s="206" t="s">
        <v>240</v>
      </c>
      <c r="AF1453" s="96">
        <v>0</v>
      </c>
      <c r="AG1453" s="93">
        <v>0</v>
      </c>
      <c r="AH1453" s="93">
        <v>0</v>
      </c>
      <c r="AI1453" s="93">
        <v>0</v>
      </c>
      <c r="AJ1453" s="93">
        <v>0</v>
      </c>
      <c r="AK1453" s="93">
        <v>0</v>
      </c>
    </row>
  </sheetData>
  <autoFilter ref="A7:AK1453"/>
  <mergeCells count="4">
    <mergeCell ref="A5:A6"/>
    <mergeCell ref="AG5:AK5"/>
    <mergeCell ref="K5:AF5"/>
    <mergeCell ref="B5:J5"/>
  </mergeCells>
  <dataValidations count="4">
    <dataValidation type="whole" allowBlank="1" showInputMessage="1" showErrorMessage="1" errorTitle="Ошибка!" error="Допустимы целые числа от 0 и выше" sqref="M8:M1453">
      <formula1>0</formula1>
      <formula2>3000</formula2>
    </dataValidation>
    <dataValidation type="whole" allowBlank="1" showInputMessage="1" showErrorMessage="1" errorTitle="Ошибка!" error="Можно ввести только целое число!" sqref="Q8:Q1068 AF8:AF801 Q1084:R1453 Q1070:Q1083 R824:R844 R855:R864 R894:R910 R1069:R1083 O8:O1453">
      <formula1>0</formula1>
      <formula2>100000</formula2>
    </dataValidation>
    <dataValidation type="list" allowBlank="1" showInputMessage="1" showErrorMessage="1" errorTitle="Ошибка!" error="Введите &quot;РЖА&quot; или &quot;ЖСК&quot; или &quot;ТСЖ&quot;или &quot;УПО&quot;  в верхнем регистре без кавычек" sqref="I1084:I1453">
      <formula1>"ЖСК,РЖА,ТСЖ,УПО"</formula1>
    </dataValidation>
    <dataValidation type="custom" allowBlank="1" showInputMessage="1" showErrorMessage="1" errorTitle="Ошибка!" error="Округлите до сотых долей!" sqref="V1084:V1453">
      <formula1>V1084*100-INT(V1084*100)&lt;0.0001</formula1>
    </dataValidation>
  </dataValidations>
  <pageMargins left="0.23622047244094491" right="0.23622047244094491" top="0.74803149606299213" bottom="0.74803149606299213" header="0.31496062992125984" footer="0.31496062992125984"/>
  <pageSetup paperSize="9" scale="36" fitToWidth="0" orientation="portrait" r:id="rId1"/>
  <headerFooter>
    <oddFooter>Страница  &amp;P из &amp;N</oddFooter>
  </headerFooter>
  <colBreaks count="2" manualBreakCount="2">
    <brk id="15" max="1452" man="1"/>
    <brk id="24" max="1452" man="1"/>
  </colBreaks>
  <ignoredErrors>
    <ignoredError sqref="E29 E34 E98" twoDigitTextYear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G2125"/>
  <sheetViews>
    <sheetView view="pageBreakPreview" topLeftCell="T1" zoomScale="58" zoomScaleNormal="90" zoomScaleSheetLayoutView="58" workbookViewId="0">
      <selection activeCell="X1368" sqref="X1368:BA1382"/>
    </sheetView>
  </sheetViews>
  <sheetFormatPr defaultColWidth="9.140625" defaultRowHeight="15" outlineLevelRow="1"/>
  <cols>
    <col min="1" max="1" width="9.7109375" style="10" customWidth="1"/>
    <col min="2" max="2" width="11.5703125" style="10" customWidth="1"/>
    <col min="3" max="3" width="44.42578125" style="10" customWidth="1"/>
    <col min="4" max="4" width="11.28515625" style="154" customWidth="1"/>
    <col min="5" max="5" width="10.42578125" style="10" customWidth="1"/>
    <col min="6" max="6" width="57.28515625" style="10" customWidth="1"/>
    <col min="7" max="7" width="17" style="10" customWidth="1"/>
    <col min="8" max="8" width="19" style="10" customWidth="1"/>
    <col min="9" max="9" width="44.85546875" style="10" customWidth="1"/>
    <col min="10" max="10" width="16.28515625" style="10" customWidth="1"/>
    <col min="11" max="11" width="12.42578125" style="10" customWidth="1"/>
    <col min="12" max="20" width="12.7109375" style="254" customWidth="1"/>
    <col min="21" max="21" width="16.5703125" style="254" customWidth="1"/>
    <col min="22" max="22" width="12.7109375" style="254" customWidth="1"/>
    <col min="23" max="23" width="12.7109375" style="10" customWidth="1"/>
    <col min="24" max="25" width="10.7109375" style="154" customWidth="1"/>
    <col min="26" max="26" width="11.7109375" style="154" customWidth="1"/>
    <col min="27" max="27" width="8.7109375" style="154" customWidth="1"/>
    <col min="28" max="28" width="10" style="154" customWidth="1"/>
    <col min="29" max="29" width="8.7109375" style="154" customWidth="1"/>
    <col min="30" max="30" width="10.140625" style="154" customWidth="1"/>
    <col min="31" max="31" width="8.7109375" style="154" customWidth="1"/>
    <col min="32" max="32" width="11" style="154" customWidth="1"/>
    <col min="33" max="37" width="8.7109375" style="154" customWidth="1"/>
    <col min="38" max="38" width="11.28515625" style="154" customWidth="1"/>
    <col min="39" max="39" width="7.28515625" style="154" customWidth="1"/>
    <col min="40" max="40" width="13.140625" style="154" customWidth="1"/>
    <col min="41" max="41" width="7.28515625" style="154" customWidth="1"/>
    <col min="42" max="42" width="14.140625" style="154" customWidth="1"/>
    <col min="43" max="43" width="7.28515625" style="154" customWidth="1"/>
    <col min="44" max="44" width="9.7109375" style="154" customWidth="1"/>
    <col min="45" max="45" width="7.28515625" style="154" customWidth="1"/>
    <col min="46" max="46" width="10" style="154" customWidth="1"/>
    <col min="47" max="47" width="7.28515625" style="154" customWidth="1"/>
    <col min="48" max="48" width="12" style="154" customWidth="1"/>
    <col min="49" max="49" width="7.28515625" style="154" customWidth="1"/>
    <col min="50" max="50" width="13.85546875" style="154" customWidth="1"/>
    <col min="51" max="51" width="9.85546875" style="154" customWidth="1"/>
    <col min="52" max="52" width="13" style="154" customWidth="1"/>
    <col min="53" max="53" width="17" style="154" customWidth="1"/>
    <col min="54" max="54" width="14.28515625" style="154" customWidth="1"/>
    <col min="55" max="55" width="16.140625" style="154" customWidth="1"/>
    <col min="56" max="57" width="9.140625" style="10"/>
    <col min="58" max="58" width="11.42578125" style="10" bestFit="1" customWidth="1"/>
    <col min="59" max="16384" width="9.140625" style="10"/>
  </cols>
  <sheetData>
    <row r="1" spans="1:59">
      <c r="A1" s="9" t="s">
        <v>48</v>
      </c>
    </row>
    <row r="2" spans="1:59" ht="18.75">
      <c r="A2" s="9"/>
      <c r="F2" s="21" t="s">
        <v>119</v>
      </c>
    </row>
    <row r="3" spans="1:59" ht="18.75">
      <c r="A3" s="21"/>
      <c r="F3" s="21" t="s">
        <v>120</v>
      </c>
    </row>
    <row r="4" spans="1:59">
      <c r="A4" s="9"/>
    </row>
    <row r="5" spans="1:59" s="7" customFormat="1" ht="16.149999999999999" customHeight="1">
      <c r="A5" s="282" t="s">
        <v>22</v>
      </c>
      <c r="B5" s="351" t="s">
        <v>2</v>
      </c>
      <c r="C5" s="351" t="s">
        <v>1</v>
      </c>
      <c r="D5" s="354" t="s">
        <v>55</v>
      </c>
      <c r="E5" s="351" t="s">
        <v>148</v>
      </c>
      <c r="F5" s="343" t="s">
        <v>24</v>
      </c>
      <c r="G5" s="357" t="s">
        <v>78</v>
      </c>
      <c r="H5" s="357" t="s">
        <v>83</v>
      </c>
      <c r="I5" s="343" t="s">
        <v>79</v>
      </c>
      <c r="J5" s="343" t="s">
        <v>47</v>
      </c>
      <c r="K5" s="343" t="s">
        <v>3</v>
      </c>
      <c r="L5" s="345" t="s">
        <v>80</v>
      </c>
      <c r="M5" s="324" t="s">
        <v>88</v>
      </c>
      <c r="N5" s="324" t="s">
        <v>89</v>
      </c>
      <c r="O5" s="324" t="s">
        <v>90</v>
      </c>
      <c r="P5" s="324" t="s">
        <v>91</v>
      </c>
      <c r="Q5" s="324" t="s">
        <v>92</v>
      </c>
      <c r="R5" s="324" t="s">
        <v>93</v>
      </c>
      <c r="S5" s="324" t="s">
        <v>94</v>
      </c>
      <c r="T5" s="324" t="s">
        <v>95</v>
      </c>
      <c r="U5" s="324" t="s">
        <v>96</v>
      </c>
      <c r="V5" s="324" t="s">
        <v>97</v>
      </c>
      <c r="W5" s="327" t="s">
        <v>113</v>
      </c>
      <c r="X5" s="330" t="s">
        <v>40</v>
      </c>
      <c r="Y5" s="331"/>
      <c r="Z5" s="331"/>
      <c r="AA5" s="331"/>
      <c r="AB5" s="331"/>
      <c r="AC5" s="331"/>
      <c r="AD5" s="331"/>
      <c r="AE5" s="331"/>
      <c r="AF5" s="331"/>
      <c r="AG5" s="331"/>
      <c r="AH5" s="331"/>
      <c r="AI5" s="331"/>
      <c r="AJ5" s="331"/>
      <c r="AK5" s="331"/>
      <c r="AL5" s="331"/>
      <c r="AM5" s="331"/>
      <c r="AN5" s="331"/>
      <c r="AO5" s="331"/>
      <c r="AP5" s="331"/>
      <c r="AQ5" s="331"/>
      <c r="AR5" s="331"/>
      <c r="AS5" s="331"/>
      <c r="AT5" s="331"/>
      <c r="AU5" s="331"/>
      <c r="AV5" s="331"/>
      <c r="AW5" s="331"/>
      <c r="AX5" s="332"/>
      <c r="AY5" s="322" t="s">
        <v>135</v>
      </c>
      <c r="AZ5" s="322" t="s">
        <v>134</v>
      </c>
      <c r="BA5" s="322" t="s">
        <v>136</v>
      </c>
      <c r="BB5" s="322" t="s">
        <v>85</v>
      </c>
      <c r="BC5" s="322" t="s">
        <v>137</v>
      </c>
    </row>
    <row r="6" spans="1:59" s="7" customFormat="1" ht="16.149999999999999" customHeight="1">
      <c r="A6" s="350"/>
      <c r="B6" s="352"/>
      <c r="C6" s="352"/>
      <c r="D6" s="355"/>
      <c r="E6" s="352"/>
      <c r="F6" s="343"/>
      <c r="G6" s="358"/>
      <c r="H6" s="358"/>
      <c r="I6" s="343"/>
      <c r="J6" s="343"/>
      <c r="K6" s="343"/>
      <c r="L6" s="346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8"/>
      <c r="X6" s="340" t="s">
        <v>41</v>
      </c>
      <c r="Y6" s="340" t="s">
        <v>42</v>
      </c>
      <c r="Z6" s="330" t="s">
        <v>39</v>
      </c>
      <c r="AA6" s="331"/>
      <c r="AB6" s="331"/>
      <c r="AC6" s="331"/>
      <c r="AD6" s="331"/>
      <c r="AE6" s="331"/>
      <c r="AF6" s="331"/>
      <c r="AG6" s="331"/>
      <c r="AH6" s="331"/>
      <c r="AI6" s="331"/>
      <c r="AJ6" s="331"/>
      <c r="AK6" s="331"/>
      <c r="AL6" s="331"/>
      <c r="AM6" s="331"/>
      <c r="AN6" s="331"/>
      <c r="AO6" s="331"/>
      <c r="AP6" s="331"/>
      <c r="AQ6" s="331"/>
      <c r="AR6" s="331"/>
      <c r="AS6" s="331"/>
      <c r="AT6" s="331"/>
      <c r="AU6" s="331"/>
      <c r="AV6" s="331"/>
      <c r="AW6" s="331"/>
      <c r="AX6" s="332"/>
      <c r="AY6" s="322"/>
      <c r="AZ6" s="322"/>
      <c r="BA6" s="322"/>
      <c r="BB6" s="322"/>
      <c r="BC6" s="322"/>
      <c r="BG6" s="7" t="s">
        <v>244</v>
      </c>
    </row>
    <row r="7" spans="1:59" s="7" customFormat="1" ht="12.75" customHeight="1">
      <c r="A7" s="282"/>
      <c r="B7" s="352"/>
      <c r="C7" s="352"/>
      <c r="D7" s="355"/>
      <c r="E7" s="352"/>
      <c r="F7" s="344"/>
      <c r="G7" s="358"/>
      <c r="H7" s="358"/>
      <c r="I7" s="344"/>
      <c r="J7" s="344"/>
      <c r="K7" s="344"/>
      <c r="L7" s="346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8"/>
      <c r="X7" s="341"/>
      <c r="Y7" s="341"/>
      <c r="Z7" s="323" t="s">
        <v>5</v>
      </c>
      <c r="AA7" s="333"/>
      <c r="AB7" s="323" t="s">
        <v>6</v>
      </c>
      <c r="AC7" s="333"/>
      <c r="AD7" s="323" t="s">
        <v>7</v>
      </c>
      <c r="AE7" s="333"/>
      <c r="AF7" s="323" t="s">
        <v>8</v>
      </c>
      <c r="AG7" s="333"/>
      <c r="AH7" s="323" t="s">
        <v>9</v>
      </c>
      <c r="AI7" s="333"/>
      <c r="AJ7" s="323" t="s">
        <v>10</v>
      </c>
      <c r="AK7" s="333"/>
      <c r="AL7" s="323" t="s">
        <v>11</v>
      </c>
      <c r="AM7" s="333"/>
      <c r="AN7" s="323" t="s">
        <v>12</v>
      </c>
      <c r="AO7" s="333"/>
      <c r="AP7" s="323" t="s">
        <v>13</v>
      </c>
      <c r="AQ7" s="333"/>
      <c r="AR7" s="323" t="s">
        <v>14</v>
      </c>
      <c r="AS7" s="333"/>
      <c r="AT7" s="323" t="s">
        <v>15</v>
      </c>
      <c r="AU7" s="333"/>
      <c r="AV7" s="323" t="s">
        <v>16</v>
      </c>
      <c r="AW7" s="333"/>
      <c r="AX7" s="323" t="s">
        <v>4</v>
      </c>
      <c r="AY7" s="322"/>
      <c r="AZ7" s="322"/>
      <c r="BA7" s="322"/>
      <c r="BB7" s="322"/>
      <c r="BC7" s="322"/>
    </row>
    <row r="8" spans="1:59" s="7" customFormat="1" ht="12.75" customHeight="1">
      <c r="A8" s="282"/>
      <c r="B8" s="352"/>
      <c r="C8" s="352"/>
      <c r="D8" s="355"/>
      <c r="E8" s="352"/>
      <c r="F8" s="344"/>
      <c r="G8" s="358"/>
      <c r="H8" s="358"/>
      <c r="I8" s="344"/>
      <c r="J8" s="344"/>
      <c r="K8" s="344"/>
      <c r="L8" s="346"/>
      <c r="M8" s="325"/>
      <c r="N8" s="325" t="s">
        <v>89</v>
      </c>
      <c r="O8" s="325"/>
      <c r="P8" s="325" t="s">
        <v>91</v>
      </c>
      <c r="Q8" s="325" t="s">
        <v>92</v>
      </c>
      <c r="R8" s="325" t="s">
        <v>93</v>
      </c>
      <c r="S8" s="325" t="s">
        <v>94</v>
      </c>
      <c r="T8" s="325" t="s">
        <v>95</v>
      </c>
      <c r="U8" s="325" t="s">
        <v>96</v>
      </c>
      <c r="V8" s="325" t="s">
        <v>97</v>
      </c>
      <c r="W8" s="328" t="s">
        <v>98</v>
      </c>
      <c r="X8" s="342"/>
      <c r="Y8" s="342"/>
      <c r="Z8" s="333"/>
      <c r="AA8" s="333"/>
      <c r="AB8" s="333"/>
      <c r="AC8" s="333"/>
      <c r="AD8" s="333"/>
      <c r="AE8" s="333"/>
      <c r="AF8" s="333"/>
      <c r="AG8" s="333"/>
      <c r="AH8" s="333"/>
      <c r="AI8" s="333"/>
      <c r="AJ8" s="333"/>
      <c r="AK8" s="333"/>
      <c r="AL8" s="333"/>
      <c r="AM8" s="333"/>
      <c r="AN8" s="333"/>
      <c r="AO8" s="333"/>
      <c r="AP8" s="333"/>
      <c r="AQ8" s="333"/>
      <c r="AR8" s="333"/>
      <c r="AS8" s="333"/>
      <c r="AT8" s="333"/>
      <c r="AU8" s="333"/>
      <c r="AV8" s="333"/>
      <c r="AW8" s="333"/>
      <c r="AX8" s="323"/>
      <c r="AY8" s="322"/>
      <c r="AZ8" s="322"/>
      <c r="BA8" s="322"/>
      <c r="BB8" s="322"/>
      <c r="BC8" s="322"/>
    </row>
    <row r="9" spans="1:59" s="7" customFormat="1" ht="54.75" customHeight="1">
      <c r="A9" s="282"/>
      <c r="B9" s="353"/>
      <c r="C9" s="353"/>
      <c r="D9" s="356"/>
      <c r="E9" s="353"/>
      <c r="F9" s="344"/>
      <c r="G9" s="359"/>
      <c r="H9" s="359"/>
      <c r="I9" s="344"/>
      <c r="J9" s="344"/>
      <c r="K9" s="344"/>
      <c r="L9" s="347"/>
      <c r="M9" s="326"/>
      <c r="N9" s="326"/>
      <c r="O9" s="326"/>
      <c r="P9" s="326"/>
      <c r="Q9" s="326"/>
      <c r="R9" s="326"/>
      <c r="S9" s="326"/>
      <c r="T9" s="326"/>
      <c r="U9" s="326"/>
      <c r="V9" s="326"/>
      <c r="W9" s="329"/>
      <c r="X9" s="8" t="s">
        <v>133</v>
      </c>
      <c r="Y9" s="8" t="s">
        <v>133</v>
      </c>
      <c r="Z9" s="163" t="s">
        <v>33</v>
      </c>
      <c r="AA9" s="163" t="s">
        <v>38</v>
      </c>
      <c r="AB9" s="163" t="s">
        <v>33</v>
      </c>
      <c r="AC9" s="163" t="s">
        <v>38</v>
      </c>
      <c r="AD9" s="163" t="s">
        <v>33</v>
      </c>
      <c r="AE9" s="163" t="s">
        <v>38</v>
      </c>
      <c r="AF9" s="163" t="s">
        <v>33</v>
      </c>
      <c r="AG9" s="163" t="s">
        <v>38</v>
      </c>
      <c r="AH9" s="163" t="s">
        <v>33</v>
      </c>
      <c r="AI9" s="163" t="s">
        <v>38</v>
      </c>
      <c r="AJ9" s="163" t="s">
        <v>33</v>
      </c>
      <c r="AK9" s="163" t="s">
        <v>38</v>
      </c>
      <c r="AL9" s="163" t="s">
        <v>33</v>
      </c>
      <c r="AM9" s="163" t="s">
        <v>38</v>
      </c>
      <c r="AN9" s="163" t="s">
        <v>33</v>
      </c>
      <c r="AO9" s="163" t="s">
        <v>38</v>
      </c>
      <c r="AP9" s="163" t="s">
        <v>33</v>
      </c>
      <c r="AQ9" s="163" t="s">
        <v>38</v>
      </c>
      <c r="AR9" s="163" t="s">
        <v>33</v>
      </c>
      <c r="AS9" s="163" t="s">
        <v>38</v>
      </c>
      <c r="AT9" s="163" t="s">
        <v>33</v>
      </c>
      <c r="AU9" s="163" t="s">
        <v>38</v>
      </c>
      <c r="AV9" s="163" t="s">
        <v>33</v>
      </c>
      <c r="AW9" s="163" t="s">
        <v>38</v>
      </c>
      <c r="AX9" s="8" t="s">
        <v>46</v>
      </c>
      <c r="AY9" s="322"/>
      <c r="AZ9" s="322"/>
      <c r="BA9" s="322"/>
      <c r="BB9" s="322"/>
      <c r="BC9" s="322"/>
    </row>
    <row r="10" spans="1:59" s="6" customFormat="1" ht="15.75">
      <c r="A10" s="153">
        <v>1</v>
      </c>
      <c r="B10" s="153">
        <v>2</v>
      </c>
      <c r="C10" s="153">
        <v>4</v>
      </c>
      <c r="D10" s="155">
        <v>5</v>
      </c>
      <c r="E10" s="153">
        <v>6</v>
      </c>
      <c r="F10" s="38">
        <v>3</v>
      </c>
      <c r="G10" s="38">
        <v>4</v>
      </c>
      <c r="H10" s="38">
        <v>5</v>
      </c>
      <c r="I10" s="38">
        <v>6</v>
      </c>
      <c r="J10" s="38">
        <v>7</v>
      </c>
      <c r="K10" s="38">
        <v>8</v>
      </c>
      <c r="L10" s="255">
        <v>9</v>
      </c>
      <c r="M10" s="256">
        <v>10</v>
      </c>
      <c r="N10" s="256">
        <v>11</v>
      </c>
      <c r="O10" s="256">
        <v>12</v>
      </c>
      <c r="P10" s="256">
        <v>13</v>
      </c>
      <c r="Q10" s="256">
        <v>14</v>
      </c>
      <c r="R10" s="256">
        <v>15</v>
      </c>
      <c r="S10" s="256">
        <v>16</v>
      </c>
      <c r="T10" s="256">
        <v>17</v>
      </c>
      <c r="U10" s="256">
        <v>18</v>
      </c>
      <c r="V10" s="256">
        <v>19</v>
      </c>
      <c r="W10" s="20">
        <v>20</v>
      </c>
      <c r="X10" s="39">
        <v>21</v>
      </c>
      <c r="Y10" s="39">
        <v>22</v>
      </c>
      <c r="Z10" s="39">
        <v>23</v>
      </c>
      <c r="AA10" s="39">
        <v>24</v>
      </c>
      <c r="AB10" s="39">
        <v>25</v>
      </c>
      <c r="AC10" s="39">
        <v>26</v>
      </c>
      <c r="AD10" s="39">
        <v>27</v>
      </c>
      <c r="AE10" s="39">
        <v>28</v>
      </c>
      <c r="AF10" s="39">
        <v>29</v>
      </c>
      <c r="AG10" s="39">
        <v>30</v>
      </c>
      <c r="AH10" s="39">
        <v>31</v>
      </c>
      <c r="AI10" s="39">
        <v>32</v>
      </c>
      <c r="AJ10" s="39">
        <v>33</v>
      </c>
      <c r="AK10" s="39">
        <v>34</v>
      </c>
      <c r="AL10" s="39">
        <v>35</v>
      </c>
      <c r="AM10" s="39">
        <v>36</v>
      </c>
      <c r="AN10" s="39">
        <v>37</v>
      </c>
      <c r="AO10" s="39">
        <v>38</v>
      </c>
      <c r="AP10" s="39">
        <v>39</v>
      </c>
      <c r="AQ10" s="39">
        <v>40</v>
      </c>
      <c r="AR10" s="39">
        <v>41</v>
      </c>
      <c r="AS10" s="39">
        <v>42</v>
      </c>
      <c r="AT10" s="39">
        <v>43</v>
      </c>
      <c r="AU10" s="39">
        <v>44</v>
      </c>
      <c r="AV10" s="39">
        <v>45</v>
      </c>
      <c r="AW10" s="39">
        <v>46</v>
      </c>
      <c r="AX10" s="39">
        <v>47</v>
      </c>
      <c r="AY10" s="40">
        <v>48</v>
      </c>
      <c r="AZ10" s="40">
        <v>49</v>
      </c>
      <c r="BA10" s="40">
        <v>50</v>
      </c>
      <c r="BB10" s="40">
        <v>51</v>
      </c>
      <c r="BC10" s="40">
        <v>52</v>
      </c>
    </row>
    <row r="11" spans="1:59" s="3" customFormat="1" ht="15.75" hidden="1" customHeight="1" outlineLevel="1">
      <c r="A11" s="58">
        <v>1</v>
      </c>
      <c r="B11" s="11">
        <v>129001</v>
      </c>
      <c r="C11" s="86" t="s">
        <v>245</v>
      </c>
      <c r="D11" s="156">
        <v>11</v>
      </c>
      <c r="E11" s="11" t="s">
        <v>191</v>
      </c>
      <c r="F11" s="11" t="s">
        <v>246</v>
      </c>
      <c r="G11" s="18" t="s">
        <v>247</v>
      </c>
      <c r="H11" s="11" t="s">
        <v>248</v>
      </c>
      <c r="I11" s="87" t="s">
        <v>249</v>
      </c>
      <c r="J11" s="19" t="s">
        <v>139</v>
      </c>
      <c r="K11" s="17" t="s">
        <v>140</v>
      </c>
      <c r="L11" s="257">
        <v>0</v>
      </c>
      <c r="M11" s="70" t="s">
        <v>250</v>
      </c>
      <c r="N11" s="70">
        <v>80</v>
      </c>
      <c r="O11" s="258">
        <v>8</v>
      </c>
      <c r="P11" s="70" t="s">
        <v>251</v>
      </c>
      <c r="Q11" s="70" t="s">
        <v>233</v>
      </c>
      <c r="R11" s="70" t="s">
        <v>240</v>
      </c>
      <c r="S11" s="70" t="s">
        <v>233</v>
      </c>
      <c r="T11" s="70" t="s">
        <v>233</v>
      </c>
      <c r="U11" s="70" t="s">
        <v>1427</v>
      </c>
      <c r="V11" s="70" t="s">
        <v>240</v>
      </c>
      <c r="W11" s="4"/>
      <c r="X11" s="238">
        <v>797.18</v>
      </c>
      <c r="Y11" s="238">
        <v>707.59</v>
      </c>
      <c r="Z11" s="239">
        <v>125.74</v>
      </c>
      <c r="AA11" s="156" t="s">
        <v>252</v>
      </c>
      <c r="AB11" s="239">
        <v>97.72</v>
      </c>
      <c r="AC11" s="156" t="s">
        <v>252</v>
      </c>
      <c r="AD11" s="239">
        <v>77.459999999999994</v>
      </c>
      <c r="AE11" s="156" t="s">
        <v>252</v>
      </c>
      <c r="AF11" s="239">
        <v>47.92</v>
      </c>
      <c r="AG11" s="156" t="s">
        <v>252</v>
      </c>
      <c r="AH11" s="239">
        <v>19.309999999999999</v>
      </c>
      <c r="AI11" s="156" t="s">
        <v>252</v>
      </c>
      <c r="AJ11" s="239">
        <v>8.14</v>
      </c>
      <c r="AK11" s="239" t="s">
        <v>252</v>
      </c>
      <c r="AL11" s="239">
        <v>9.2100000000000009</v>
      </c>
      <c r="AM11" s="239" t="s">
        <v>252</v>
      </c>
      <c r="AN11" s="239">
        <v>9.5399999999999991</v>
      </c>
      <c r="AO11" s="239" t="s">
        <v>252</v>
      </c>
      <c r="AP11" s="239">
        <v>11.35</v>
      </c>
      <c r="AQ11" s="239" t="s">
        <v>252</v>
      </c>
      <c r="AR11" s="239">
        <v>51.7</v>
      </c>
      <c r="AS11" s="239" t="s">
        <v>252</v>
      </c>
      <c r="AT11" s="239">
        <v>49.9</v>
      </c>
      <c r="AU11" s="239" t="s">
        <v>252</v>
      </c>
      <c r="AV11" s="239">
        <v>70.63</v>
      </c>
      <c r="AW11" s="156" t="s">
        <v>252</v>
      </c>
      <c r="AX11" s="156">
        <v>2083.3900000000003</v>
      </c>
      <c r="AY11" s="88">
        <v>0.25600000000000001</v>
      </c>
      <c r="AZ11" s="252" t="s">
        <v>253</v>
      </c>
      <c r="BA11" s="252" t="s">
        <v>254</v>
      </c>
      <c r="BB11" s="252">
        <v>0</v>
      </c>
      <c r="BC11" s="252" t="s">
        <v>1423</v>
      </c>
    </row>
    <row r="12" spans="1:59" s="3" customFormat="1" ht="15.75" hidden="1" customHeight="1" outlineLevel="1">
      <c r="A12" s="58">
        <v>2</v>
      </c>
      <c r="B12" s="11">
        <v>129002</v>
      </c>
      <c r="C12" s="86" t="s">
        <v>245</v>
      </c>
      <c r="D12" s="156">
        <v>13</v>
      </c>
      <c r="E12" s="11" t="s">
        <v>191</v>
      </c>
      <c r="F12" s="11" t="s">
        <v>246</v>
      </c>
      <c r="G12" s="18" t="s">
        <v>247</v>
      </c>
      <c r="H12" s="11" t="s">
        <v>248</v>
      </c>
      <c r="I12" s="87" t="s">
        <v>249</v>
      </c>
      <c r="J12" s="19" t="s">
        <v>139</v>
      </c>
      <c r="K12" s="17" t="s">
        <v>140</v>
      </c>
      <c r="L12" s="257">
        <v>0</v>
      </c>
      <c r="M12" s="70" t="s">
        <v>250</v>
      </c>
      <c r="N12" s="70">
        <v>100</v>
      </c>
      <c r="O12" s="258">
        <v>8</v>
      </c>
      <c r="P12" s="70" t="s">
        <v>251</v>
      </c>
      <c r="Q12" s="70" t="s">
        <v>233</v>
      </c>
      <c r="R12" s="70" t="s">
        <v>240</v>
      </c>
      <c r="S12" s="70" t="s">
        <v>233</v>
      </c>
      <c r="T12" s="70" t="s">
        <v>233</v>
      </c>
      <c r="U12" s="70" t="s">
        <v>1427</v>
      </c>
      <c r="V12" s="70" t="s">
        <v>240</v>
      </c>
      <c r="W12" s="4"/>
      <c r="X12" s="238">
        <v>691.5300000000002</v>
      </c>
      <c r="Y12" s="238">
        <v>633.47</v>
      </c>
      <c r="Z12" s="239">
        <v>114.96</v>
      </c>
      <c r="AA12" s="156" t="s">
        <v>252</v>
      </c>
      <c r="AB12" s="239">
        <v>89.57</v>
      </c>
      <c r="AC12" s="156" t="s">
        <v>252</v>
      </c>
      <c r="AD12" s="239">
        <v>70.790000000000006</v>
      </c>
      <c r="AE12" s="156" t="s">
        <v>252</v>
      </c>
      <c r="AF12" s="239">
        <v>43.45</v>
      </c>
      <c r="AG12" s="156" t="s">
        <v>252</v>
      </c>
      <c r="AH12" s="239">
        <v>18.440000000000001</v>
      </c>
      <c r="AI12" s="156" t="s">
        <v>252</v>
      </c>
      <c r="AJ12" s="239">
        <v>4.41</v>
      </c>
      <c r="AK12" s="239" t="s">
        <v>252</v>
      </c>
      <c r="AL12" s="239">
        <v>5.25</v>
      </c>
      <c r="AM12" s="239" t="s">
        <v>252</v>
      </c>
      <c r="AN12" s="239">
        <v>5.54</v>
      </c>
      <c r="AO12" s="239" t="s">
        <v>252</v>
      </c>
      <c r="AP12" s="239">
        <v>6.37</v>
      </c>
      <c r="AQ12" s="239" t="s">
        <v>252</v>
      </c>
      <c r="AR12" s="239">
        <v>48.87</v>
      </c>
      <c r="AS12" s="239" t="s">
        <v>252</v>
      </c>
      <c r="AT12" s="239">
        <v>46.55</v>
      </c>
      <c r="AU12" s="239" t="s">
        <v>252</v>
      </c>
      <c r="AV12" s="239">
        <v>64.95</v>
      </c>
      <c r="AW12" s="156" t="s">
        <v>252</v>
      </c>
      <c r="AX12" s="156">
        <v>1844.15</v>
      </c>
      <c r="AY12" s="240">
        <v>0.23400000000000001</v>
      </c>
      <c r="AZ12" s="156" t="s">
        <v>253</v>
      </c>
      <c r="BA12" s="156" t="s">
        <v>254</v>
      </c>
      <c r="BB12" s="156">
        <v>0</v>
      </c>
      <c r="BC12" s="156" t="s">
        <v>1423</v>
      </c>
    </row>
    <row r="13" spans="1:59" s="3" customFormat="1" ht="15.75" hidden="1" customHeight="1" outlineLevel="1">
      <c r="A13" s="58">
        <v>3</v>
      </c>
      <c r="B13" s="11">
        <v>129003</v>
      </c>
      <c r="C13" s="86" t="s">
        <v>245</v>
      </c>
      <c r="D13" s="156">
        <v>14</v>
      </c>
      <c r="E13" s="11" t="s">
        <v>191</v>
      </c>
      <c r="F13" s="11" t="s">
        <v>246</v>
      </c>
      <c r="G13" s="18" t="s">
        <v>247</v>
      </c>
      <c r="H13" s="11" t="s">
        <v>248</v>
      </c>
      <c r="I13" s="87" t="s">
        <v>249</v>
      </c>
      <c r="J13" s="19" t="s">
        <v>139</v>
      </c>
      <c r="K13" s="17" t="s">
        <v>140</v>
      </c>
      <c r="L13" s="259">
        <v>1</v>
      </c>
      <c r="M13" s="70" t="s">
        <v>250</v>
      </c>
      <c r="N13" s="70">
        <v>100</v>
      </c>
      <c r="O13" s="258">
        <v>8</v>
      </c>
      <c r="P13" s="70" t="s">
        <v>251</v>
      </c>
      <c r="Q13" s="70" t="s">
        <v>233</v>
      </c>
      <c r="R13" s="70" t="s">
        <v>240</v>
      </c>
      <c r="S13" s="70" t="s">
        <v>233</v>
      </c>
      <c r="T13" s="70" t="s">
        <v>233</v>
      </c>
      <c r="U13" s="70" t="s">
        <v>1427</v>
      </c>
      <c r="V13" s="70" t="s">
        <v>240</v>
      </c>
      <c r="W13" s="4"/>
      <c r="X13" s="238">
        <v>836.81999999999994</v>
      </c>
      <c r="Y13" s="238">
        <v>777.19</v>
      </c>
      <c r="Z13" s="239">
        <v>132.57</v>
      </c>
      <c r="AA13" s="156" t="s">
        <v>252</v>
      </c>
      <c r="AB13" s="239">
        <v>100.99</v>
      </c>
      <c r="AC13" s="156" t="s">
        <v>252</v>
      </c>
      <c r="AD13" s="239">
        <v>134.58000000000001</v>
      </c>
      <c r="AE13" s="156" t="s">
        <v>252</v>
      </c>
      <c r="AF13" s="239">
        <v>65.89</v>
      </c>
      <c r="AG13" s="156" t="s">
        <v>252</v>
      </c>
      <c r="AH13" s="239">
        <v>25.69</v>
      </c>
      <c r="AI13" s="156" t="s">
        <v>252</v>
      </c>
      <c r="AJ13" s="239">
        <v>20.03</v>
      </c>
      <c r="AK13" s="239" t="s">
        <v>252</v>
      </c>
      <c r="AL13" s="239">
        <v>16.88</v>
      </c>
      <c r="AM13" s="239" t="s">
        <v>252</v>
      </c>
      <c r="AN13" s="239">
        <v>10.32</v>
      </c>
      <c r="AO13" s="239" t="s">
        <v>252</v>
      </c>
      <c r="AP13" s="239">
        <v>15.43</v>
      </c>
      <c r="AQ13" s="239" t="s">
        <v>252</v>
      </c>
      <c r="AR13" s="239">
        <v>80.89</v>
      </c>
      <c r="AS13" s="239" t="s">
        <v>252</v>
      </c>
      <c r="AT13" s="239">
        <v>75.75</v>
      </c>
      <c r="AU13" s="239" t="s">
        <v>252</v>
      </c>
      <c r="AV13" s="239">
        <v>91.26</v>
      </c>
      <c r="AW13" s="156" t="s">
        <v>252</v>
      </c>
      <c r="AX13" s="156">
        <v>2384.2900000000004</v>
      </c>
      <c r="AY13" s="240">
        <v>0.27</v>
      </c>
      <c r="AZ13" s="156" t="s">
        <v>253</v>
      </c>
      <c r="BA13" s="156" t="s">
        <v>254</v>
      </c>
      <c r="BB13" s="156">
        <v>1</v>
      </c>
      <c r="BC13" s="157" t="s">
        <v>255</v>
      </c>
    </row>
    <row r="14" spans="1:59" s="3" customFormat="1" ht="15.75" hidden="1" customHeight="1" outlineLevel="1">
      <c r="A14" s="58">
        <v>4</v>
      </c>
      <c r="B14" s="11">
        <v>129004</v>
      </c>
      <c r="C14" s="86" t="s">
        <v>245</v>
      </c>
      <c r="D14" s="156">
        <v>19</v>
      </c>
      <c r="E14" s="11" t="s">
        <v>191</v>
      </c>
      <c r="F14" s="11" t="s">
        <v>246</v>
      </c>
      <c r="G14" s="18" t="s">
        <v>247</v>
      </c>
      <c r="H14" s="11" t="s">
        <v>248</v>
      </c>
      <c r="I14" s="87" t="s">
        <v>249</v>
      </c>
      <c r="J14" s="19" t="s">
        <v>139</v>
      </c>
      <c r="K14" s="17" t="s">
        <v>140</v>
      </c>
      <c r="L14" s="257">
        <v>0</v>
      </c>
      <c r="M14" s="70" t="s">
        <v>250</v>
      </c>
      <c r="N14" s="70">
        <v>100</v>
      </c>
      <c r="O14" s="258">
        <v>8</v>
      </c>
      <c r="P14" s="70" t="s">
        <v>251</v>
      </c>
      <c r="Q14" s="70" t="s">
        <v>233</v>
      </c>
      <c r="R14" s="70" t="s">
        <v>240</v>
      </c>
      <c r="S14" s="70" t="s">
        <v>233</v>
      </c>
      <c r="T14" s="70" t="s">
        <v>233</v>
      </c>
      <c r="U14" s="70" t="s">
        <v>1427</v>
      </c>
      <c r="V14" s="70" t="s">
        <v>240</v>
      </c>
      <c r="W14" s="4"/>
      <c r="X14" s="238">
        <v>248.54000000000002</v>
      </c>
      <c r="Y14" s="238">
        <v>214.58</v>
      </c>
      <c r="Z14" s="239">
        <v>32.97</v>
      </c>
      <c r="AA14" s="156" t="s">
        <v>252</v>
      </c>
      <c r="AB14" s="239">
        <v>24.56</v>
      </c>
      <c r="AC14" s="156" t="s">
        <v>252</v>
      </c>
      <c r="AD14" s="239">
        <v>33.159999999999997</v>
      </c>
      <c r="AE14" s="156" t="s">
        <v>252</v>
      </c>
      <c r="AF14" s="239">
        <v>21.35</v>
      </c>
      <c r="AG14" s="156" t="s">
        <v>252</v>
      </c>
      <c r="AH14" s="239">
        <v>7.93</v>
      </c>
      <c r="AI14" s="156" t="s">
        <v>252</v>
      </c>
      <c r="AJ14" s="239">
        <v>1.56</v>
      </c>
      <c r="AK14" s="239" t="s">
        <v>252</v>
      </c>
      <c r="AL14" s="239">
        <v>1.61</v>
      </c>
      <c r="AM14" s="239" t="s">
        <v>252</v>
      </c>
      <c r="AN14" s="239">
        <v>1.69</v>
      </c>
      <c r="AO14" s="239" t="s">
        <v>252</v>
      </c>
      <c r="AP14" s="239">
        <v>2.15</v>
      </c>
      <c r="AQ14" s="239" t="s">
        <v>252</v>
      </c>
      <c r="AR14" s="239">
        <v>21.17</v>
      </c>
      <c r="AS14" s="239" t="s">
        <v>252</v>
      </c>
      <c r="AT14" s="239">
        <v>20.7</v>
      </c>
      <c r="AU14" s="239" t="s">
        <v>252</v>
      </c>
      <c r="AV14" s="239">
        <v>21.48</v>
      </c>
      <c r="AW14" s="156" t="s">
        <v>252</v>
      </c>
      <c r="AX14" s="156">
        <v>653.44999999999993</v>
      </c>
      <c r="AY14" s="240">
        <v>0.108</v>
      </c>
      <c r="AZ14" s="156" t="s">
        <v>253</v>
      </c>
      <c r="BA14" s="156" t="s">
        <v>254</v>
      </c>
      <c r="BB14" s="156">
        <v>0</v>
      </c>
      <c r="BC14" s="156" t="s">
        <v>1423</v>
      </c>
    </row>
    <row r="15" spans="1:59" ht="15.75" hidden="1" customHeight="1" outlineLevel="1">
      <c r="A15" s="58">
        <v>5</v>
      </c>
      <c r="B15" s="11">
        <v>129005</v>
      </c>
      <c r="C15" s="89" t="s">
        <v>245</v>
      </c>
      <c r="D15" s="157">
        <v>21</v>
      </c>
      <c r="E15" s="12" t="s">
        <v>191</v>
      </c>
      <c r="F15" s="11" t="s">
        <v>246</v>
      </c>
      <c r="G15" s="18" t="s">
        <v>247</v>
      </c>
      <c r="H15" s="11" t="s">
        <v>248</v>
      </c>
      <c r="I15" s="87" t="s">
        <v>249</v>
      </c>
      <c r="J15" s="19" t="s">
        <v>139</v>
      </c>
      <c r="K15" s="17" t="s">
        <v>140</v>
      </c>
      <c r="L15" s="259">
        <v>1</v>
      </c>
      <c r="M15" s="70" t="s">
        <v>250</v>
      </c>
      <c r="N15" s="70">
        <v>80</v>
      </c>
      <c r="O15" s="258">
        <v>8</v>
      </c>
      <c r="P15" s="70" t="s">
        <v>251</v>
      </c>
      <c r="Q15" s="70" t="s">
        <v>233</v>
      </c>
      <c r="R15" s="70" t="s">
        <v>240</v>
      </c>
      <c r="S15" s="70" t="s">
        <v>233</v>
      </c>
      <c r="T15" s="70" t="s">
        <v>233</v>
      </c>
      <c r="U15" s="70" t="s">
        <v>1427</v>
      </c>
      <c r="V15" s="70" t="s">
        <v>240</v>
      </c>
      <c r="W15" s="4"/>
      <c r="X15" s="241">
        <v>465.45</v>
      </c>
      <c r="Y15" s="241">
        <v>406.14</v>
      </c>
      <c r="Z15" s="242">
        <v>61.21</v>
      </c>
      <c r="AA15" s="157" t="s">
        <v>252</v>
      </c>
      <c r="AB15" s="242">
        <v>45.6</v>
      </c>
      <c r="AC15" s="157" t="s">
        <v>252</v>
      </c>
      <c r="AD15" s="242">
        <v>61.6</v>
      </c>
      <c r="AE15" s="157" t="s">
        <v>252</v>
      </c>
      <c r="AF15" s="242">
        <v>39.57</v>
      </c>
      <c r="AG15" s="157" t="s">
        <v>252</v>
      </c>
      <c r="AH15" s="242">
        <v>14.49</v>
      </c>
      <c r="AI15" s="157" t="s">
        <v>252</v>
      </c>
      <c r="AJ15" s="242">
        <v>4.22</v>
      </c>
      <c r="AK15" s="242" t="s">
        <v>252</v>
      </c>
      <c r="AL15" s="242">
        <v>7.25</v>
      </c>
      <c r="AM15" s="242" t="s">
        <v>252</v>
      </c>
      <c r="AN15" s="242">
        <v>4.46</v>
      </c>
      <c r="AO15" s="242" t="s">
        <v>252</v>
      </c>
      <c r="AP15" s="242">
        <v>5.78</v>
      </c>
      <c r="AQ15" s="242" t="s">
        <v>252</v>
      </c>
      <c r="AR15" s="242">
        <v>38.89</v>
      </c>
      <c r="AS15" s="242" t="s">
        <v>252</v>
      </c>
      <c r="AT15" s="242">
        <v>38.1</v>
      </c>
      <c r="AU15" s="242" t="s">
        <v>252</v>
      </c>
      <c r="AV15" s="242">
        <v>39.67</v>
      </c>
      <c r="AW15" s="157" t="s">
        <v>252</v>
      </c>
      <c r="AX15" s="157">
        <v>1232.43</v>
      </c>
      <c r="AY15" s="240">
        <v>0.19</v>
      </c>
      <c r="AZ15" s="156" t="s">
        <v>253</v>
      </c>
      <c r="BA15" s="156" t="s">
        <v>254</v>
      </c>
      <c r="BB15" s="156">
        <v>1</v>
      </c>
      <c r="BC15" s="156" t="s">
        <v>1423</v>
      </c>
      <c r="BD15" s="3"/>
    </row>
    <row r="16" spans="1:59" ht="15.75" hidden="1" customHeight="1" outlineLevel="1">
      <c r="A16" s="58">
        <v>6</v>
      </c>
      <c r="B16" s="11">
        <v>129006</v>
      </c>
      <c r="C16" s="89" t="s">
        <v>245</v>
      </c>
      <c r="D16" s="157">
        <v>23</v>
      </c>
      <c r="E16" s="12" t="s">
        <v>191</v>
      </c>
      <c r="F16" s="11" t="s">
        <v>246</v>
      </c>
      <c r="G16" s="18" t="s">
        <v>247</v>
      </c>
      <c r="H16" s="11" t="s">
        <v>248</v>
      </c>
      <c r="I16" s="87" t="s">
        <v>249</v>
      </c>
      <c r="J16" s="19" t="s">
        <v>139</v>
      </c>
      <c r="K16" s="17" t="s">
        <v>140</v>
      </c>
      <c r="L16" s="257">
        <v>0</v>
      </c>
      <c r="M16" s="70" t="s">
        <v>250</v>
      </c>
      <c r="N16" s="70">
        <v>80</v>
      </c>
      <c r="O16" s="258">
        <v>8</v>
      </c>
      <c r="P16" s="70" t="s">
        <v>251</v>
      </c>
      <c r="Q16" s="70" t="s">
        <v>233</v>
      </c>
      <c r="R16" s="70" t="s">
        <v>240</v>
      </c>
      <c r="S16" s="70" t="s">
        <v>233</v>
      </c>
      <c r="T16" s="70" t="s">
        <v>233</v>
      </c>
      <c r="U16" s="70" t="s">
        <v>1427</v>
      </c>
      <c r="V16" s="70" t="s">
        <v>240</v>
      </c>
      <c r="W16" s="4"/>
      <c r="X16" s="241">
        <v>778.64</v>
      </c>
      <c r="Y16" s="241">
        <v>680.12999999999988</v>
      </c>
      <c r="Z16" s="242">
        <v>101.17</v>
      </c>
      <c r="AA16" s="157" t="s">
        <v>252</v>
      </c>
      <c r="AB16" s="242">
        <v>75.2</v>
      </c>
      <c r="AC16" s="157" t="s">
        <v>252</v>
      </c>
      <c r="AD16" s="242">
        <v>101.82</v>
      </c>
      <c r="AE16" s="157" t="s">
        <v>252</v>
      </c>
      <c r="AF16" s="242">
        <v>65.23</v>
      </c>
      <c r="AG16" s="157" t="s">
        <v>252</v>
      </c>
      <c r="AH16" s="242">
        <v>23.49</v>
      </c>
      <c r="AI16" s="157" t="s">
        <v>252</v>
      </c>
      <c r="AJ16" s="242">
        <v>10.02</v>
      </c>
      <c r="AK16" s="242" t="s">
        <v>252</v>
      </c>
      <c r="AL16" s="242">
        <v>10.49</v>
      </c>
      <c r="AM16" s="242" t="s">
        <v>252</v>
      </c>
      <c r="AN16" s="242">
        <v>10.47</v>
      </c>
      <c r="AO16" s="242" t="s">
        <v>252</v>
      </c>
      <c r="AP16" s="242">
        <v>13.56</v>
      </c>
      <c r="AQ16" s="242" t="s">
        <v>252</v>
      </c>
      <c r="AR16" s="242">
        <v>63.23</v>
      </c>
      <c r="AS16" s="242" t="s">
        <v>252</v>
      </c>
      <c r="AT16" s="242">
        <v>62.53</v>
      </c>
      <c r="AU16" s="242" t="s">
        <v>252</v>
      </c>
      <c r="AV16" s="242">
        <v>65.36</v>
      </c>
      <c r="AW16" s="157" t="s">
        <v>252</v>
      </c>
      <c r="AX16" s="157">
        <v>2061.34</v>
      </c>
      <c r="AY16" s="240">
        <v>0.3</v>
      </c>
      <c r="AZ16" s="156" t="s">
        <v>253</v>
      </c>
      <c r="BA16" s="156" t="s">
        <v>254</v>
      </c>
      <c r="BB16" s="156">
        <v>0</v>
      </c>
      <c r="BC16" s="156" t="s">
        <v>1423</v>
      </c>
      <c r="BD16" s="3"/>
    </row>
    <row r="17" spans="1:56" ht="15.75" hidden="1" customHeight="1" outlineLevel="1">
      <c r="A17" s="58">
        <v>7</v>
      </c>
      <c r="B17" s="11">
        <v>129007</v>
      </c>
      <c r="C17" s="89" t="s">
        <v>245</v>
      </c>
      <c r="D17" s="157">
        <v>24</v>
      </c>
      <c r="E17" s="12" t="s">
        <v>191</v>
      </c>
      <c r="F17" s="11" t="s">
        <v>246</v>
      </c>
      <c r="G17" s="18" t="s">
        <v>247</v>
      </c>
      <c r="H17" s="11" t="s">
        <v>248</v>
      </c>
      <c r="I17" s="87" t="s">
        <v>249</v>
      </c>
      <c r="J17" s="19" t="s">
        <v>139</v>
      </c>
      <c r="K17" s="17" t="s">
        <v>140</v>
      </c>
      <c r="L17" s="257">
        <v>0</v>
      </c>
      <c r="M17" s="70" t="s">
        <v>250</v>
      </c>
      <c r="N17" s="70">
        <v>80</v>
      </c>
      <c r="O17" s="258">
        <v>8</v>
      </c>
      <c r="P17" s="70" t="s">
        <v>251</v>
      </c>
      <c r="Q17" s="70" t="s">
        <v>233</v>
      </c>
      <c r="R17" s="70" t="s">
        <v>240</v>
      </c>
      <c r="S17" s="70" t="s">
        <v>233</v>
      </c>
      <c r="T17" s="70" t="s">
        <v>233</v>
      </c>
      <c r="U17" s="70" t="s">
        <v>1427</v>
      </c>
      <c r="V17" s="70" t="s">
        <v>240</v>
      </c>
      <c r="W17" s="4"/>
      <c r="X17" s="241">
        <v>538.74</v>
      </c>
      <c r="Y17" s="241">
        <v>493.54000000000008</v>
      </c>
      <c r="Z17" s="242">
        <v>64.03</v>
      </c>
      <c r="AA17" s="157" t="s">
        <v>252</v>
      </c>
      <c r="AB17" s="242">
        <v>52.59</v>
      </c>
      <c r="AC17" s="157" t="s">
        <v>252</v>
      </c>
      <c r="AD17" s="242">
        <v>71.59</v>
      </c>
      <c r="AE17" s="157" t="s">
        <v>252</v>
      </c>
      <c r="AF17" s="242">
        <v>47.95</v>
      </c>
      <c r="AG17" s="157" t="s">
        <v>252</v>
      </c>
      <c r="AH17" s="242">
        <v>21.3</v>
      </c>
      <c r="AI17" s="157" t="s">
        <v>252</v>
      </c>
      <c r="AJ17" s="242">
        <v>5.57</v>
      </c>
      <c r="AK17" s="242" t="s">
        <v>252</v>
      </c>
      <c r="AL17" s="242">
        <v>5.15</v>
      </c>
      <c r="AM17" s="242" t="s">
        <v>252</v>
      </c>
      <c r="AN17" s="242">
        <v>4.8499999999999996</v>
      </c>
      <c r="AO17" s="242" t="s">
        <v>252</v>
      </c>
      <c r="AP17" s="242">
        <v>6.85</v>
      </c>
      <c r="AQ17" s="242" t="s">
        <v>252</v>
      </c>
      <c r="AR17" s="242">
        <v>40.47</v>
      </c>
      <c r="AS17" s="242" t="s">
        <v>252</v>
      </c>
      <c r="AT17" s="242">
        <v>47.35</v>
      </c>
      <c r="AU17" s="242" t="s">
        <v>252</v>
      </c>
      <c r="AV17" s="242">
        <v>57.47</v>
      </c>
      <c r="AW17" s="157" t="s">
        <v>252</v>
      </c>
      <c r="AX17" s="157">
        <v>1457.4499999999998</v>
      </c>
      <c r="AY17" s="240">
        <v>0.23</v>
      </c>
      <c r="AZ17" s="156" t="s">
        <v>253</v>
      </c>
      <c r="BA17" s="156" t="s">
        <v>254</v>
      </c>
      <c r="BB17" s="156">
        <v>0</v>
      </c>
      <c r="BC17" s="156" t="s">
        <v>1423</v>
      </c>
      <c r="BD17" s="3"/>
    </row>
    <row r="18" spans="1:56" ht="15.75" hidden="1" customHeight="1" outlineLevel="1">
      <c r="A18" s="58">
        <v>8</v>
      </c>
      <c r="B18" s="11">
        <v>129008</v>
      </c>
      <c r="C18" s="89" t="s">
        <v>245</v>
      </c>
      <c r="D18" s="157">
        <v>3</v>
      </c>
      <c r="E18" s="12" t="s">
        <v>191</v>
      </c>
      <c r="F18" s="11" t="s">
        <v>246</v>
      </c>
      <c r="G18" s="18" t="s">
        <v>247</v>
      </c>
      <c r="H18" s="11" t="s">
        <v>248</v>
      </c>
      <c r="I18" s="87" t="s">
        <v>249</v>
      </c>
      <c r="J18" s="19" t="s">
        <v>139</v>
      </c>
      <c r="K18" s="17" t="s">
        <v>140</v>
      </c>
      <c r="L18" s="259">
        <v>1</v>
      </c>
      <c r="M18" s="70" t="s">
        <v>250</v>
      </c>
      <c r="N18" s="70">
        <v>80</v>
      </c>
      <c r="O18" s="258">
        <v>8</v>
      </c>
      <c r="P18" s="70" t="s">
        <v>251</v>
      </c>
      <c r="Q18" s="70" t="s">
        <v>233</v>
      </c>
      <c r="R18" s="70" t="s">
        <v>240</v>
      </c>
      <c r="S18" s="70" t="s">
        <v>233</v>
      </c>
      <c r="T18" s="70" t="s">
        <v>233</v>
      </c>
      <c r="U18" s="70" t="s">
        <v>1427</v>
      </c>
      <c r="V18" s="70" t="s">
        <v>240</v>
      </c>
      <c r="W18" s="4"/>
      <c r="X18" s="241">
        <v>628.02</v>
      </c>
      <c r="Y18" s="241">
        <v>619.27</v>
      </c>
      <c r="Z18" s="242">
        <v>112.01</v>
      </c>
      <c r="AA18" s="157" t="s">
        <v>252</v>
      </c>
      <c r="AB18" s="242">
        <v>77.09</v>
      </c>
      <c r="AC18" s="157" t="s">
        <v>252</v>
      </c>
      <c r="AD18" s="242">
        <v>110.73</v>
      </c>
      <c r="AE18" s="157" t="s">
        <v>252</v>
      </c>
      <c r="AF18" s="242">
        <v>72.37</v>
      </c>
      <c r="AG18" s="157" t="s">
        <v>252</v>
      </c>
      <c r="AH18" s="242">
        <v>39.9</v>
      </c>
      <c r="AI18" s="157" t="s">
        <v>252</v>
      </c>
      <c r="AJ18" s="242">
        <v>15.1</v>
      </c>
      <c r="AK18" s="242" t="s">
        <v>252</v>
      </c>
      <c r="AL18" s="242">
        <v>17.59</v>
      </c>
      <c r="AM18" s="242" t="s">
        <v>252</v>
      </c>
      <c r="AN18" s="242">
        <v>17.59</v>
      </c>
      <c r="AO18" s="242" t="s">
        <v>252</v>
      </c>
      <c r="AP18" s="242">
        <v>22.85</v>
      </c>
      <c r="AQ18" s="242" t="s">
        <v>252</v>
      </c>
      <c r="AR18" s="242">
        <v>79.11</v>
      </c>
      <c r="AS18" s="242" t="s">
        <v>252</v>
      </c>
      <c r="AT18" s="242">
        <v>64.489999999999995</v>
      </c>
      <c r="AU18" s="242" t="s">
        <v>252</v>
      </c>
      <c r="AV18" s="242">
        <v>94.5</v>
      </c>
      <c r="AW18" s="157" t="s">
        <v>252</v>
      </c>
      <c r="AX18" s="157">
        <v>1970.6199999999994</v>
      </c>
      <c r="AY18" s="240">
        <v>0.26</v>
      </c>
      <c r="AZ18" s="156" t="s">
        <v>253</v>
      </c>
      <c r="BA18" s="156" t="s">
        <v>254</v>
      </c>
      <c r="BB18" s="156">
        <v>1</v>
      </c>
      <c r="BC18" s="156" t="s">
        <v>1423</v>
      </c>
      <c r="BD18" s="3"/>
    </row>
    <row r="19" spans="1:56" ht="15.75" hidden="1" customHeight="1" outlineLevel="1">
      <c r="A19" s="58">
        <v>9</v>
      </c>
      <c r="B19" s="11">
        <v>129009</v>
      </c>
      <c r="C19" s="89" t="s">
        <v>245</v>
      </c>
      <c r="D19" s="157">
        <v>4</v>
      </c>
      <c r="E19" s="12" t="s">
        <v>191</v>
      </c>
      <c r="F19" s="11" t="s">
        <v>246</v>
      </c>
      <c r="G19" s="18" t="s">
        <v>247</v>
      </c>
      <c r="H19" s="11" t="s">
        <v>248</v>
      </c>
      <c r="I19" s="87" t="s">
        <v>249</v>
      </c>
      <c r="J19" s="19" t="s">
        <v>139</v>
      </c>
      <c r="K19" s="17" t="s">
        <v>140</v>
      </c>
      <c r="L19" s="259">
        <v>1</v>
      </c>
      <c r="M19" s="70" t="s">
        <v>250</v>
      </c>
      <c r="N19" s="70">
        <v>100</v>
      </c>
      <c r="O19" s="258">
        <v>8</v>
      </c>
      <c r="P19" s="70" t="s">
        <v>251</v>
      </c>
      <c r="Q19" s="70" t="s">
        <v>233</v>
      </c>
      <c r="R19" s="70" t="s">
        <v>240</v>
      </c>
      <c r="S19" s="70" t="s">
        <v>233</v>
      </c>
      <c r="T19" s="70" t="s">
        <v>233</v>
      </c>
      <c r="U19" s="70" t="s">
        <v>1427</v>
      </c>
      <c r="V19" s="70" t="s">
        <v>240</v>
      </c>
      <c r="W19" s="4"/>
      <c r="X19" s="241">
        <v>426.19000000000005</v>
      </c>
      <c r="Y19" s="241">
        <v>469.82000000000005</v>
      </c>
      <c r="Z19" s="242">
        <v>96.31</v>
      </c>
      <c r="AA19" s="157" t="s">
        <v>252</v>
      </c>
      <c r="AB19" s="242">
        <v>72.36</v>
      </c>
      <c r="AC19" s="157" t="s">
        <v>252</v>
      </c>
      <c r="AD19" s="242">
        <v>79.81</v>
      </c>
      <c r="AE19" s="157" t="s">
        <v>252</v>
      </c>
      <c r="AF19" s="242">
        <v>0.66</v>
      </c>
      <c r="AG19" s="157" t="s">
        <v>252</v>
      </c>
      <c r="AH19" s="242">
        <v>10.220000000000001</v>
      </c>
      <c r="AI19" s="157" t="s">
        <v>252</v>
      </c>
      <c r="AJ19" s="242">
        <v>5.51</v>
      </c>
      <c r="AK19" s="242" t="s">
        <v>252</v>
      </c>
      <c r="AL19" s="242">
        <v>7.46</v>
      </c>
      <c r="AM19" s="242" t="s">
        <v>252</v>
      </c>
      <c r="AN19" s="242">
        <v>4.67</v>
      </c>
      <c r="AO19" s="242" t="s">
        <v>252</v>
      </c>
      <c r="AP19" s="242">
        <v>6.7</v>
      </c>
      <c r="AQ19" s="242" t="s">
        <v>252</v>
      </c>
      <c r="AR19" s="242">
        <v>33.79</v>
      </c>
      <c r="AS19" s="242" t="s">
        <v>252</v>
      </c>
      <c r="AT19" s="242">
        <v>33.93</v>
      </c>
      <c r="AU19" s="242" t="s">
        <v>252</v>
      </c>
      <c r="AV19" s="242">
        <v>40.83</v>
      </c>
      <c r="AW19" s="157" t="s">
        <v>252</v>
      </c>
      <c r="AX19" s="157">
        <v>1288.2600000000002</v>
      </c>
      <c r="AY19" s="240">
        <v>0.17</v>
      </c>
      <c r="AZ19" s="156" t="s">
        <v>253</v>
      </c>
      <c r="BA19" s="156" t="s">
        <v>254</v>
      </c>
      <c r="BB19" s="156">
        <v>1</v>
      </c>
      <c r="BC19" s="156" t="s">
        <v>1423</v>
      </c>
      <c r="BD19" s="3"/>
    </row>
    <row r="20" spans="1:56" ht="15.75" hidden="1" customHeight="1" outlineLevel="1">
      <c r="A20" s="58">
        <v>10</v>
      </c>
      <c r="B20" s="11">
        <v>129010</v>
      </c>
      <c r="C20" s="89" t="s">
        <v>245</v>
      </c>
      <c r="D20" s="157">
        <v>6</v>
      </c>
      <c r="E20" s="12" t="s">
        <v>191</v>
      </c>
      <c r="F20" s="11" t="s">
        <v>246</v>
      </c>
      <c r="G20" s="18" t="s">
        <v>247</v>
      </c>
      <c r="H20" s="11" t="s">
        <v>248</v>
      </c>
      <c r="I20" s="87" t="s">
        <v>249</v>
      </c>
      <c r="J20" s="19" t="s">
        <v>139</v>
      </c>
      <c r="K20" s="17" t="s">
        <v>140</v>
      </c>
      <c r="L20" s="257">
        <v>0</v>
      </c>
      <c r="M20" s="70" t="s">
        <v>250</v>
      </c>
      <c r="N20" s="70">
        <v>100</v>
      </c>
      <c r="O20" s="258">
        <v>8</v>
      </c>
      <c r="P20" s="70" t="s">
        <v>251</v>
      </c>
      <c r="Q20" s="70" t="s">
        <v>233</v>
      </c>
      <c r="R20" s="70" t="s">
        <v>240</v>
      </c>
      <c r="S20" s="70" t="s">
        <v>233</v>
      </c>
      <c r="T20" s="70" t="s">
        <v>233</v>
      </c>
      <c r="U20" s="70" t="s">
        <v>1427</v>
      </c>
      <c r="V20" s="70" t="s">
        <v>240</v>
      </c>
      <c r="W20" s="4"/>
      <c r="X20" s="241">
        <v>352.21</v>
      </c>
      <c r="Y20" s="241">
        <v>389.33000000000004</v>
      </c>
      <c r="Z20" s="242">
        <v>79.89</v>
      </c>
      <c r="AA20" s="157" t="s">
        <v>252</v>
      </c>
      <c r="AB20" s="242">
        <v>59.99</v>
      </c>
      <c r="AC20" s="157" t="s">
        <v>252</v>
      </c>
      <c r="AD20" s="242">
        <v>66.08</v>
      </c>
      <c r="AE20" s="157" t="s">
        <v>252</v>
      </c>
      <c r="AF20" s="242">
        <v>0.5</v>
      </c>
      <c r="AG20" s="157" t="s">
        <v>252</v>
      </c>
      <c r="AH20" s="242">
        <v>8.5399999999999991</v>
      </c>
      <c r="AI20" s="157" t="s">
        <v>252</v>
      </c>
      <c r="AJ20" s="242">
        <v>4.72</v>
      </c>
      <c r="AK20" s="242" t="s">
        <v>252</v>
      </c>
      <c r="AL20" s="242">
        <v>3.74</v>
      </c>
      <c r="AM20" s="242" t="s">
        <v>252</v>
      </c>
      <c r="AN20" s="242">
        <v>4.05</v>
      </c>
      <c r="AO20" s="242" t="s">
        <v>252</v>
      </c>
      <c r="AP20" s="242">
        <v>5.61</v>
      </c>
      <c r="AQ20" s="242" t="s">
        <v>252</v>
      </c>
      <c r="AR20" s="242">
        <v>28.01</v>
      </c>
      <c r="AS20" s="242" t="s">
        <v>252</v>
      </c>
      <c r="AT20" s="242">
        <v>28.05</v>
      </c>
      <c r="AU20" s="242" t="s">
        <v>252</v>
      </c>
      <c r="AV20" s="242">
        <v>33.799999999999997</v>
      </c>
      <c r="AW20" s="157" t="s">
        <v>252</v>
      </c>
      <c r="AX20" s="157">
        <v>1064.52</v>
      </c>
      <c r="AY20" s="240">
        <v>0.13600000000000001</v>
      </c>
      <c r="AZ20" s="156" t="s">
        <v>253</v>
      </c>
      <c r="BA20" s="156" t="s">
        <v>254</v>
      </c>
      <c r="BB20" s="156">
        <v>0</v>
      </c>
      <c r="BC20" s="156" t="s">
        <v>1423</v>
      </c>
      <c r="BD20" s="3"/>
    </row>
    <row r="21" spans="1:56" ht="15.75" hidden="1" customHeight="1" outlineLevel="1">
      <c r="A21" s="58">
        <v>11</v>
      </c>
      <c r="B21" s="11">
        <v>129011</v>
      </c>
      <c r="C21" s="89" t="s">
        <v>245</v>
      </c>
      <c r="D21" s="157">
        <v>8</v>
      </c>
      <c r="E21" s="12" t="s">
        <v>191</v>
      </c>
      <c r="F21" s="11" t="s">
        <v>246</v>
      </c>
      <c r="G21" s="18" t="s">
        <v>247</v>
      </c>
      <c r="H21" s="11" t="s">
        <v>248</v>
      </c>
      <c r="I21" s="87" t="s">
        <v>249</v>
      </c>
      <c r="J21" s="19" t="s">
        <v>139</v>
      </c>
      <c r="K21" s="17" t="s">
        <v>140</v>
      </c>
      <c r="L21" s="259">
        <v>1</v>
      </c>
      <c r="M21" s="70" t="s">
        <v>250</v>
      </c>
      <c r="N21" s="70">
        <v>80</v>
      </c>
      <c r="O21" s="258">
        <v>8</v>
      </c>
      <c r="P21" s="70" t="s">
        <v>251</v>
      </c>
      <c r="Q21" s="70" t="s">
        <v>233</v>
      </c>
      <c r="R21" s="70" t="s">
        <v>240</v>
      </c>
      <c r="S21" s="70" t="s">
        <v>233</v>
      </c>
      <c r="T21" s="70" t="s">
        <v>233</v>
      </c>
      <c r="U21" s="70" t="s">
        <v>1427</v>
      </c>
      <c r="V21" s="70" t="s">
        <v>240</v>
      </c>
      <c r="W21" s="4"/>
      <c r="X21" s="241">
        <v>465.87999999999988</v>
      </c>
      <c r="Y21" s="241">
        <v>474.12999999999994</v>
      </c>
      <c r="Z21" s="242">
        <v>139.38999999999999</v>
      </c>
      <c r="AA21" s="157" t="s">
        <v>252</v>
      </c>
      <c r="AB21" s="242">
        <v>89.33</v>
      </c>
      <c r="AC21" s="157" t="s">
        <v>252</v>
      </c>
      <c r="AD21" s="242">
        <v>88.92</v>
      </c>
      <c r="AE21" s="157" t="s">
        <v>252</v>
      </c>
      <c r="AF21" s="242">
        <v>80.88</v>
      </c>
      <c r="AG21" s="157" t="s">
        <v>252</v>
      </c>
      <c r="AH21" s="242">
        <v>11.9</v>
      </c>
      <c r="AI21" s="157" t="s">
        <v>252</v>
      </c>
      <c r="AJ21" s="242">
        <v>7.04</v>
      </c>
      <c r="AK21" s="242" t="s">
        <v>252</v>
      </c>
      <c r="AL21" s="242">
        <v>7.3</v>
      </c>
      <c r="AM21" s="242" t="s">
        <v>252</v>
      </c>
      <c r="AN21" s="242">
        <v>5.52</v>
      </c>
      <c r="AO21" s="242" t="s">
        <v>252</v>
      </c>
      <c r="AP21" s="242">
        <v>7.92</v>
      </c>
      <c r="AQ21" s="242" t="s">
        <v>252</v>
      </c>
      <c r="AR21" s="242">
        <v>50.95</v>
      </c>
      <c r="AS21" s="242" t="s">
        <v>252</v>
      </c>
      <c r="AT21" s="242">
        <v>49.91</v>
      </c>
      <c r="AU21" s="242" t="s">
        <v>252</v>
      </c>
      <c r="AV21" s="242">
        <v>61.74</v>
      </c>
      <c r="AW21" s="157" t="s">
        <v>252</v>
      </c>
      <c r="AX21" s="157">
        <v>1540.81</v>
      </c>
      <c r="AY21" s="240">
        <v>0.27</v>
      </c>
      <c r="AZ21" s="156" t="s">
        <v>253</v>
      </c>
      <c r="BA21" s="156" t="s">
        <v>254</v>
      </c>
      <c r="BB21" s="156">
        <v>1</v>
      </c>
      <c r="BC21" s="157" t="s">
        <v>255</v>
      </c>
      <c r="BD21" s="3"/>
    </row>
    <row r="22" spans="1:56" ht="15.75" hidden="1" customHeight="1" outlineLevel="1">
      <c r="A22" s="58">
        <v>12</v>
      </c>
      <c r="B22" s="11">
        <v>129012</v>
      </c>
      <c r="C22" s="89" t="s">
        <v>245</v>
      </c>
      <c r="D22" s="157">
        <v>9</v>
      </c>
      <c r="E22" s="12" t="s">
        <v>191</v>
      </c>
      <c r="F22" s="11" t="s">
        <v>246</v>
      </c>
      <c r="G22" s="18" t="s">
        <v>247</v>
      </c>
      <c r="H22" s="11" t="s">
        <v>248</v>
      </c>
      <c r="I22" s="87" t="s">
        <v>249</v>
      </c>
      <c r="J22" s="19" t="s">
        <v>139</v>
      </c>
      <c r="K22" s="17" t="s">
        <v>140</v>
      </c>
      <c r="L22" s="259">
        <v>1</v>
      </c>
      <c r="M22" s="70" t="s">
        <v>250</v>
      </c>
      <c r="N22" s="70">
        <v>100</v>
      </c>
      <c r="O22" s="258">
        <v>8</v>
      </c>
      <c r="P22" s="70" t="s">
        <v>251</v>
      </c>
      <c r="Q22" s="70" t="s">
        <v>233</v>
      </c>
      <c r="R22" s="70" t="s">
        <v>240</v>
      </c>
      <c r="S22" s="70" t="s">
        <v>233</v>
      </c>
      <c r="T22" s="70" t="s">
        <v>233</v>
      </c>
      <c r="U22" s="70" t="s">
        <v>1427</v>
      </c>
      <c r="V22" s="70" t="s">
        <v>240</v>
      </c>
      <c r="W22" s="4"/>
      <c r="X22" s="241">
        <v>262.22669438669442</v>
      </c>
      <c r="Y22" s="241">
        <v>240.07096673596672</v>
      </c>
      <c r="Z22" s="242">
        <v>43.753856548856547</v>
      </c>
      <c r="AA22" s="157" t="s">
        <v>252</v>
      </c>
      <c r="AB22" s="242">
        <v>33.872359667359667</v>
      </c>
      <c r="AC22" s="157" t="s">
        <v>252</v>
      </c>
      <c r="AD22" s="242">
        <v>26.962370062370063</v>
      </c>
      <c r="AE22" s="157" t="s">
        <v>252</v>
      </c>
      <c r="AF22" s="242">
        <v>16.664438669438667</v>
      </c>
      <c r="AG22" s="157" t="s">
        <v>252</v>
      </c>
      <c r="AH22" s="242">
        <v>6.9664553014553006</v>
      </c>
      <c r="AI22" s="157" t="s">
        <v>252</v>
      </c>
      <c r="AJ22" s="242">
        <v>1.6657380457380455</v>
      </c>
      <c r="AK22" s="242" t="s">
        <v>252</v>
      </c>
      <c r="AL22" s="242">
        <v>4.7148856548856548</v>
      </c>
      <c r="AM22" s="242" t="s">
        <v>252</v>
      </c>
      <c r="AN22" s="242">
        <v>2.0186486486486483</v>
      </c>
      <c r="AO22" s="242" t="s">
        <v>252</v>
      </c>
      <c r="AP22" s="242">
        <v>2.3150935550935547</v>
      </c>
      <c r="AQ22" s="242" t="s">
        <v>252</v>
      </c>
      <c r="AR22" s="242">
        <v>18.598388773388773</v>
      </c>
      <c r="AS22" s="242" t="s">
        <v>252</v>
      </c>
      <c r="AT22" s="242">
        <v>17.680821205821204</v>
      </c>
      <c r="AU22" s="242" t="s">
        <v>252</v>
      </c>
      <c r="AV22" s="242">
        <v>24.661392931392928</v>
      </c>
      <c r="AW22" s="157" t="s">
        <v>252</v>
      </c>
      <c r="AX22" s="157">
        <v>702.17211018711021</v>
      </c>
      <c r="AY22" s="240">
        <v>8.7521829521829519E-2</v>
      </c>
      <c r="AZ22" s="156" t="s">
        <v>253</v>
      </c>
      <c r="BA22" s="156" t="s">
        <v>254</v>
      </c>
      <c r="BB22" s="156">
        <v>1</v>
      </c>
      <c r="BC22" s="156" t="s">
        <v>1423</v>
      </c>
      <c r="BD22" s="3"/>
    </row>
    <row r="23" spans="1:56" ht="15.75" hidden="1" customHeight="1" outlineLevel="1">
      <c r="A23" s="58">
        <v>13</v>
      </c>
      <c r="B23" s="11">
        <v>129013</v>
      </c>
      <c r="C23" s="89" t="s">
        <v>245</v>
      </c>
      <c r="D23" s="157">
        <v>9</v>
      </c>
      <c r="E23" s="12" t="s">
        <v>231</v>
      </c>
      <c r="F23" s="11" t="s">
        <v>246</v>
      </c>
      <c r="G23" s="18" t="s">
        <v>247</v>
      </c>
      <c r="H23" s="11" t="s">
        <v>248</v>
      </c>
      <c r="I23" s="87" t="s">
        <v>249</v>
      </c>
      <c r="J23" s="19" t="s">
        <v>139</v>
      </c>
      <c r="K23" s="17" t="s">
        <v>140</v>
      </c>
      <c r="L23" s="257">
        <v>0</v>
      </c>
      <c r="M23" s="70" t="s">
        <v>250</v>
      </c>
      <c r="N23" s="70">
        <v>100</v>
      </c>
      <c r="O23" s="258">
        <v>8</v>
      </c>
      <c r="P23" s="70" t="s">
        <v>251</v>
      </c>
      <c r="Q23" s="70" t="s">
        <v>233</v>
      </c>
      <c r="R23" s="70" t="s">
        <v>240</v>
      </c>
      <c r="S23" s="70" t="s">
        <v>233</v>
      </c>
      <c r="T23" s="70" t="s">
        <v>233</v>
      </c>
      <c r="U23" s="70" t="s">
        <v>1427</v>
      </c>
      <c r="V23" s="70" t="s">
        <v>240</v>
      </c>
      <c r="W23" s="4"/>
      <c r="X23" s="241">
        <v>109.29330561330562</v>
      </c>
      <c r="Y23" s="241">
        <v>100.05903326403326</v>
      </c>
      <c r="Z23" s="242">
        <v>18.236143451143452</v>
      </c>
      <c r="AA23" s="157" t="s">
        <v>252</v>
      </c>
      <c r="AB23" s="242">
        <v>14.117640332640333</v>
      </c>
      <c r="AC23" s="157" t="s">
        <v>252</v>
      </c>
      <c r="AD23" s="242">
        <v>11.237629937629938</v>
      </c>
      <c r="AE23" s="157" t="s">
        <v>252</v>
      </c>
      <c r="AF23" s="242">
        <v>6.94556133056133</v>
      </c>
      <c r="AG23" s="157" t="s">
        <v>252</v>
      </c>
      <c r="AH23" s="242">
        <v>2.9035446985446982</v>
      </c>
      <c r="AI23" s="157" t="s">
        <v>252</v>
      </c>
      <c r="AJ23" s="242">
        <v>0.69426195426195425</v>
      </c>
      <c r="AK23" s="242" t="s">
        <v>252</v>
      </c>
      <c r="AL23" s="242">
        <v>1.9651143451143449</v>
      </c>
      <c r="AM23" s="242" t="s">
        <v>252</v>
      </c>
      <c r="AN23" s="242">
        <v>0.84135135135135131</v>
      </c>
      <c r="AO23" s="242" t="s">
        <v>252</v>
      </c>
      <c r="AP23" s="242">
        <v>0.96490644490644484</v>
      </c>
      <c r="AQ23" s="242" t="s">
        <v>252</v>
      </c>
      <c r="AR23" s="242">
        <v>7.7516112266112271</v>
      </c>
      <c r="AS23" s="242" t="s">
        <v>252</v>
      </c>
      <c r="AT23" s="242">
        <v>7.3691787941787945</v>
      </c>
      <c r="AU23" s="242" t="s">
        <v>252</v>
      </c>
      <c r="AV23" s="242">
        <v>10.278607068607068</v>
      </c>
      <c r="AW23" s="157" t="s">
        <v>252</v>
      </c>
      <c r="AX23" s="157">
        <v>292.65788981288978</v>
      </c>
      <c r="AY23" s="243">
        <v>3.647817047817048E-2</v>
      </c>
      <c r="AZ23" s="156" t="s">
        <v>253</v>
      </c>
      <c r="BA23" s="156" t="s">
        <v>254</v>
      </c>
      <c r="BB23" s="156">
        <v>0</v>
      </c>
      <c r="BC23" s="156" t="s">
        <v>1423</v>
      </c>
      <c r="BD23" s="3"/>
    </row>
    <row r="24" spans="1:56" ht="15.75" hidden="1" customHeight="1" outlineLevel="1">
      <c r="A24" s="58">
        <v>14</v>
      </c>
      <c r="B24" s="11">
        <v>129014</v>
      </c>
      <c r="C24" s="89" t="s">
        <v>256</v>
      </c>
      <c r="D24" s="157">
        <v>12</v>
      </c>
      <c r="E24" s="12" t="s">
        <v>191</v>
      </c>
      <c r="F24" s="11" t="s">
        <v>246</v>
      </c>
      <c r="G24" s="18" t="s">
        <v>247</v>
      </c>
      <c r="H24" s="11" t="s">
        <v>248</v>
      </c>
      <c r="I24" s="87" t="s">
        <v>249</v>
      </c>
      <c r="J24" s="19" t="s">
        <v>139</v>
      </c>
      <c r="K24" s="17" t="s">
        <v>140</v>
      </c>
      <c r="L24" s="257">
        <v>0</v>
      </c>
      <c r="M24" s="70" t="s">
        <v>250</v>
      </c>
      <c r="N24" s="70">
        <v>80</v>
      </c>
      <c r="O24" s="258">
        <v>8</v>
      </c>
      <c r="P24" s="70" t="s">
        <v>251</v>
      </c>
      <c r="Q24" s="70" t="s">
        <v>233</v>
      </c>
      <c r="R24" s="70" t="s">
        <v>240</v>
      </c>
      <c r="S24" s="70" t="s">
        <v>233</v>
      </c>
      <c r="T24" s="70" t="s">
        <v>233</v>
      </c>
      <c r="U24" s="70" t="s">
        <v>1427</v>
      </c>
      <c r="V24" s="70" t="s">
        <v>240</v>
      </c>
      <c r="W24" s="4"/>
      <c r="X24" s="241">
        <v>899.22</v>
      </c>
      <c r="Y24" s="241">
        <v>886.55</v>
      </c>
      <c r="Z24" s="242">
        <v>126.36</v>
      </c>
      <c r="AA24" s="157" t="s">
        <v>252</v>
      </c>
      <c r="AB24" s="242">
        <v>87.32</v>
      </c>
      <c r="AC24" s="157" t="s">
        <v>252</v>
      </c>
      <c r="AD24" s="242">
        <v>122.07</v>
      </c>
      <c r="AE24" s="157" t="s">
        <v>252</v>
      </c>
      <c r="AF24" s="242">
        <v>72.709999999999994</v>
      </c>
      <c r="AG24" s="157" t="s">
        <v>252</v>
      </c>
      <c r="AH24" s="242">
        <v>27.5</v>
      </c>
      <c r="AI24" s="157" t="s">
        <v>252</v>
      </c>
      <c r="AJ24" s="242">
        <v>13.04</v>
      </c>
      <c r="AK24" s="242" t="s">
        <v>252</v>
      </c>
      <c r="AL24" s="242">
        <v>10.74</v>
      </c>
      <c r="AM24" s="242" t="s">
        <v>252</v>
      </c>
      <c r="AN24" s="242">
        <v>10.9</v>
      </c>
      <c r="AO24" s="242" t="s">
        <v>252</v>
      </c>
      <c r="AP24" s="242">
        <v>14.4</v>
      </c>
      <c r="AQ24" s="242" t="s">
        <v>252</v>
      </c>
      <c r="AR24" s="242">
        <v>79.209999999999994</v>
      </c>
      <c r="AS24" s="242" t="s">
        <v>252</v>
      </c>
      <c r="AT24" s="242">
        <v>73.16</v>
      </c>
      <c r="AU24" s="242" t="s">
        <v>252</v>
      </c>
      <c r="AV24" s="242">
        <v>85.87</v>
      </c>
      <c r="AW24" s="157" t="s">
        <v>252</v>
      </c>
      <c r="AX24" s="157">
        <v>2509.0499999999997</v>
      </c>
      <c r="AY24" s="240">
        <v>0.38</v>
      </c>
      <c r="AZ24" s="156" t="s">
        <v>253</v>
      </c>
      <c r="BA24" s="156" t="s">
        <v>254</v>
      </c>
      <c r="BB24" s="156">
        <v>0</v>
      </c>
      <c r="BC24" s="156" t="s">
        <v>1423</v>
      </c>
      <c r="BD24" s="3"/>
    </row>
    <row r="25" spans="1:56" ht="15.75" hidden="1" customHeight="1" outlineLevel="1">
      <c r="A25" s="58">
        <v>15</v>
      </c>
      <c r="B25" s="11">
        <v>129015</v>
      </c>
      <c r="C25" s="89" t="s">
        <v>256</v>
      </c>
      <c r="D25" s="157">
        <v>13</v>
      </c>
      <c r="E25" s="12" t="s">
        <v>191</v>
      </c>
      <c r="F25" s="11" t="s">
        <v>246</v>
      </c>
      <c r="G25" s="18" t="s">
        <v>247</v>
      </c>
      <c r="H25" s="11" t="s">
        <v>248</v>
      </c>
      <c r="I25" s="87" t="s">
        <v>249</v>
      </c>
      <c r="J25" s="19" t="s">
        <v>139</v>
      </c>
      <c r="K25" s="17" t="s">
        <v>140</v>
      </c>
      <c r="L25" s="257">
        <v>0</v>
      </c>
      <c r="M25" s="70" t="s">
        <v>250</v>
      </c>
      <c r="N25" s="70">
        <v>80</v>
      </c>
      <c r="O25" s="258">
        <v>8</v>
      </c>
      <c r="P25" s="70" t="s">
        <v>251</v>
      </c>
      <c r="Q25" s="70" t="s">
        <v>233</v>
      </c>
      <c r="R25" s="70" t="s">
        <v>240</v>
      </c>
      <c r="S25" s="70" t="s">
        <v>233</v>
      </c>
      <c r="T25" s="70" t="s">
        <v>233</v>
      </c>
      <c r="U25" s="70" t="s">
        <v>1427</v>
      </c>
      <c r="V25" s="70" t="s">
        <v>240</v>
      </c>
      <c r="W25" s="4"/>
      <c r="X25" s="241">
        <v>908.99</v>
      </c>
      <c r="Y25" s="241">
        <v>840.48</v>
      </c>
      <c r="Z25" s="242">
        <v>172.63</v>
      </c>
      <c r="AA25" s="157" t="s">
        <v>252</v>
      </c>
      <c r="AB25" s="242">
        <v>122.05</v>
      </c>
      <c r="AC25" s="157" t="s">
        <v>252</v>
      </c>
      <c r="AD25" s="242">
        <v>155.61000000000001</v>
      </c>
      <c r="AE25" s="157" t="s">
        <v>252</v>
      </c>
      <c r="AF25" s="242">
        <v>99.07</v>
      </c>
      <c r="AG25" s="157" t="s">
        <v>252</v>
      </c>
      <c r="AH25" s="242">
        <v>43.15</v>
      </c>
      <c r="AI25" s="157" t="s">
        <v>252</v>
      </c>
      <c r="AJ25" s="242">
        <v>16.22</v>
      </c>
      <c r="AK25" s="242" t="s">
        <v>252</v>
      </c>
      <c r="AL25" s="242">
        <v>13.38</v>
      </c>
      <c r="AM25" s="242" t="s">
        <v>252</v>
      </c>
      <c r="AN25" s="242">
        <v>12.72</v>
      </c>
      <c r="AO25" s="242" t="s">
        <v>252</v>
      </c>
      <c r="AP25" s="242">
        <v>18.38</v>
      </c>
      <c r="AQ25" s="242" t="s">
        <v>252</v>
      </c>
      <c r="AR25" s="242">
        <v>115.37</v>
      </c>
      <c r="AS25" s="242" t="s">
        <v>252</v>
      </c>
      <c r="AT25" s="242">
        <v>115.75</v>
      </c>
      <c r="AU25" s="242" t="s">
        <v>252</v>
      </c>
      <c r="AV25" s="242">
        <v>127.14</v>
      </c>
      <c r="AW25" s="157" t="s">
        <v>252</v>
      </c>
      <c r="AX25" s="157">
        <v>2760.9399999999996</v>
      </c>
      <c r="AY25" s="240">
        <v>0.33</v>
      </c>
      <c r="AZ25" s="156" t="s">
        <v>253</v>
      </c>
      <c r="BA25" s="156" t="s">
        <v>254</v>
      </c>
      <c r="BB25" s="156">
        <v>0</v>
      </c>
      <c r="BC25" s="156" t="s">
        <v>1423</v>
      </c>
      <c r="BD25" s="3"/>
    </row>
    <row r="26" spans="1:56" ht="15.75" hidden="1" customHeight="1" outlineLevel="1">
      <c r="A26" s="58">
        <v>16</v>
      </c>
      <c r="B26" s="11">
        <v>129016</v>
      </c>
      <c r="C26" s="89" t="s">
        <v>256</v>
      </c>
      <c r="D26" s="157">
        <v>14</v>
      </c>
      <c r="E26" s="12" t="s">
        <v>191</v>
      </c>
      <c r="F26" s="11" t="s">
        <v>246</v>
      </c>
      <c r="G26" s="18" t="s">
        <v>247</v>
      </c>
      <c r="H26" s="11" t="s">
        <v>248</v>
      </c>
      <c r="I26" s="87" t="s">
        <v>249</v>
      </c>
      <c r="J26" s="19" t="s">
        <v>139</v>
      </c>
      <c r="K26" s="17" t="s">
        <v>140</v>
      </c>
      <c r="L26" s="259">
        <v>1</v>
      </c>
      <c r="M26" s="70" t="s">
        <v>250</v>
      </c>
      <c r="N26" s="70">
        <v>100</v>
      </c>
      <c r="O26" s="258">
        <v>8</v>
      </c>
      <c r="P26" s="70" t="s">
        <v>251</v>
      </c>
      <c r="Q26" s="70" t="s">
        <v>233</v>
      </c>
      <c r="R26" s="70" t="s">
        <v>240</v>
      </c>
      <c r="S26" s="70" t="s">
        <v>233</v>
      </c>
      <c r="T26" s="70" t="s">
        <v>233</v>
      </c>
      <c r="U26" s="70" t="s">
        <v>1427</v>
      </c>
      <c r="V26" s="70" t="s">
        <v>240</v>
      </c>
      <c r="W26" s="4"/>
      <c r="X26" s="241">
        <v>699.96</v>
      </c>
      <c r="Y26" s="241">
        <v>650.15999999999985</v>
      </c>
      <c r="Z26" s="242">
        <v>116.98</v>
      </c>
      <c r="AA26" s="157" t="s">
        <v>252</v>
      </c>
      <c r="AB26" s="242">
        <v>73.87</v>
      </c>
      <c r="AC26" s="157" t="s">
        <v>252</v>
      </c>
      <c r="AD26" s="242">
        <v>100.52</v>
      </c>
      <c r="AE26" s="157" t="s">
        <v>252</v>
      </c>
      <c r="AF26" s="242">
        <v>64.28</v>
      </c>
      <c r="AG26" s="157" t="s">
        <v>252</v>
      </c>
      <c r="AH26" s="242">
        <v>21.15</v>
      </c>
      <c r="AI26" s="157" t="s">
        <v>252</v>
      </c>
      <c r="AJ26" s="242">
        <v>7.34</v>
      </c>
      <c r="AK26" s="242" t="s">
        <v>252</v>
      </c>
      <c r="AL26" s="242">
        <v>14.75</v>
      </c>
      <c r="AM26" s="242" t="s">
        <v>252</v>
      </c>
      <c r="AN26" s="242">
        <v>5.93</v>
      </c>
      <c r="AO26" s="242" t="s">
        <v>252</v>
      </c>
      <c r="AP26" s="242">
        <v>8.7100000000000009</v>
      </c>
      <c r="AQ26" s="242" t="s">
        <v>252</v>
      </c>
      <c r="AR26" s="242">
        <v>76.66</v>
      </c>
      <c r="AS26" s="242" t="s">
        <v>252</v>
      </c>
      <c r="AT26" s="242">
        <v>67.31</v>
      </c>
      <c r="AU26" s="242" t="s">
        <v>252</v>
      </c>
      <c r="AV26" s="242">
        <v>69.81</v>
      </c>
      <c r="AW26" s="157" t="s">
        <v>252</v>
      </c>
      <c r="AX26" s="157">
        <v>1977.4299999999998</v>
      </c>
      <c r="AY26" s="240">
        <v>0.27800000000000002</v>
      </c>
      <c r="AZ26" s="156" t="s">
        <v>253</v>
      </c>
      <c r="BA26" s="156" t="s">
        <v>254</v>
      </c>
      <c r="BB26" s="156">
        <v>1</v>
      </c>
      <c r="BC26" s="156" t="s">
        <v>1423</v>
      </c>
      <c r="BD26" s="3"/>
    </row>
    <row r="27" spans="1:56" ht="15.75" hidden="1" customHeight="1" outlineLevel="1">
      <c r="A27" s="58">
        <v>17</v>
      </c>
      <c r="B27" s="11">
        <v>129017</v>
      </c>
      <c r="C27" s="89" t="s">
        <v>256</v>
      </c>
      <c r="D27" s="157">
        <v>16</v>
      </c>
      <c r="E27" s="12" t="s">
        <v>191</v>
      </c>
      <c r="F27" s="11" t="s">
        <v>246</v>
      </c>
      <c r="G27" s="18" t="s">
        <v>247</v>
      </c>
      <c r="H27" s="11" t="s">
        <v>248</v>
      </c>
      <c r="I27" s="87" t="s">
        <v>249</v>
      </c>
      <c r="J27" s="19" t="s">
        <v>139</v>
      </c>
      <c r="K27" s="17" t="s">
        <v>140</v>
      </c>
      <c r="L27" s="257">
        <v>0</v>
      </c>
      <c r="M27" s="70" t="s">
        <v>250</v>
      </c>
      <c r="N27" s="70">
        <v>80</v>
      </c>
      <c r="O27" s="258">
        <v>8</v>
      </c>
      <c r="P27" s="70" t="s">
        <v>251</v>
      </c>
      <c r="Q27" s="70" t="s">
        <v>233</v>
      </c>
      <c r="R27" s="70" t="s">
        <v>240</v>
      </c>
      <c r="S27" s="70" t="s">
        <v>233</v>
      </c>
      <c r="T27" s="70" t="s">
        <v>233</v>
      </c>
      <c r="U27" s="70" t="s">
        <v>1427</v>
      </c>
      <c r="V27" s="70" t="s">
        <v>240</v>
      </c>
      <c r="W27" s="4"/>
      <c r="X27" s="241">
        <v>416.34</v>
      </c>
      <c r="Y27" s="241">
        <v>380.08000000000004</v>
      </c>
      <c r="Z27" s="242">
        <v>67.790000000000006</v>
      </c>
      <c r="AA27" s="157" t="s">
        <v>252</v>
      </c>
      <c r="AB27" s="242">
        <v>42.69</v>
      </c>
      <c r="AC27" s="157" t="s">
        <v>252</v>
      </c>
      <c r="AD27" s="242">
        <v>58.29</v>
      </c>
      <c r="AE27" s="157" t="s">
        <v>252</v>
      </c>
      <c r="AF27" s="242">
        <v>37.17</v>
      </c>
      <c r="AG27" s="157" t="s">
        <v>252</v>
      </c>
      <c r="AH27" s="242">
        <v>12.21</v>
      </c>
      <c r="AI27" s="157" t="s">
        <v>252</v>
      </c>
      <c r="AJ27" s="242">
        <v>4.96</v>
      </c>
      <c r="AK27" s="242" t="s">
        <v>252</v>
      </c>
      <c r="AL27" s="242">
        <v>3.02</v>
      </c>
      <c r="AM27" s="242" t="s">
        <v>252</v>
      </c>
      <c r="AN27" s="242">
        <v>3.88</v>
      </c>
      <c r="AO27" s="242" t="s">
        <v>252</v>
      </c>
      <c r="AP27" s="242">
        <v>5.74</v>
      </c>
      <c r="AQ27" s="242" t="s">
        <v>252</v>
      </c>
      <c r="AR27" s="242">
        <v>44.19</v>
      </c>
      <c r="AS27" s="242" t="s">
        <v>252</v>
      </c>
      <c r="AT27" s="242">
        <v>38.799999999999997</v>
      </c>
      <c r="AU27" s="242" t="s">
        <v>252</v>
      </c>
      <c r="AV27" s="242">
        <v>40.25</v>
      </c>
      <c r="AW27" s="157" t="s">
        <v>252</v>
      </c>
      <c r="AX27" s="157">
        <v>1155.4100000000001</v>
      </c>
      <c r="AY27" s="240">
        <v>0.16400000000000001</v>
      </c>
      <c r="AZ27" s="156" t="s">
        <v>253</v>
      </c>
      <c r="BA27" s="156" t="s">
        <v>254</v>
      </c>
      <c r="BB27" s="156">
        <v>0</v>
      </c>
      <c r="BC27" s="156" t="s">
        <v>1423</v>
      </c>
      <c r="BD27" s="3"/>
    </row>
    <row r="28" spans="1:56" ht="15.75" hidden="1" customHeight="1" outlineLevel="1">
      <c r="A28" s="58">
        <v>18</v>
      </c>
      <c r="B28" s="11">
        <v>129018</v>
      </c>
      <c r="C28" s="89" t="s">
        <v>256</v>
      </c>
      <c r="D28" s="157">
        <v>22</v>
      </c>
      <c r="E28" s="12" t="s">
        <v>191</v>
      </c>
      <c r="F28" s="11" t="s">
        <v>246</v>
      </c>
      <c r="G28" s="18" t="s">
        <v>247</v>
      </c>
      <c r="H28" s="11" t="s">
        <v>248</v>
      </c>
      <c r="I28" s="87" t="s">
        <v>249</v>
      </c>
      <c r="J28" s="19" t="s">
        <v>139</v>
      </c>
      <c r="K28" s="17" t="s">
        <v>140</v>
      </c>
      <c r="L28" s="257">
        <v>0</v>
      </c>
      <c r="M28" s="70" t="s">
        <v>250</v>
      </c>
      <c r="N28" s="70">
        <v>80</v>
      </c>
      <c r="O28" s="258">
        <v>8</v>
      </c>
      <c r="P28" s="70" t="s">
        <v>251</v>
      </c>
      <c r="Q28" s="70" t="s">
        <v>233</v>
      </c>
      <c r="R28" s="70" t="s">
        <v>240</v>
      </c>
      <c r="S28" s="70" t="s">
        <v>233</v>
      </c>
      <c r="T28" s="70" t="s">
        <v>233</v>
      </c>
      <c r="U28" s="70" t="s">
        <v>1427</v>
      </c>
      <c r="V28" s="70" t="s">
        <v>240</v>
      </c>
      <c r="W28" s="4"/>
      <c r="X28" s="241">
        <v>217.15516183986369</v>
      </c>
      <c r="Y28" s="241">
        <v>201.35304940374786</v>
      </c>
      <c r="Z28" s="242">
        <v>33.311073253833051</v>
      </c>
      <c r="AA28" s="157" t="s">
        <v>252</v>
      </c>
      <c r="AB28" s="242">
        <v>20.922657580919932</v>
      </c>
      <c r="AC28" s="157" t="s">
        <v>252</v>
      </c>
      <c r="AD28" s="242">
        <v>27.660579216354343</v>
      </c>
      <c r="AE28" s="157" t="s">
        <v>252</v>
      </c>
      <c r="AF28" s="242">
        <v>16.92395229982964</v>
      </c>
      <c r="AG28" s="157" t="s">
        <v>252</v>
      </c>
      <c r="AH28" s="242">
        <v>5.5816695059625205</v>
      </c>
      <c r="AI28" s="157" t="s">
        <v>252</v>
      </c>
      <c r="AJ28" s="242">
        <v>1.383373083475298</v>
      </c>
      <c r="AK28" s="242" t="s">
        <v>252</v>
      </c>
      <c r="AL28" s="242">
        <v>1.1287223168654172</v>
      </c>
      <c r="AM28" s="242" t="s">
        <v>252</v>
      </c>
      <c r="AN28" s="242">
        <v>1.1700170357751276</v>
      </c>
      <c r="AO28" s="242" t="s">
        <v>252</v>
      </c>
      <c r="AP28" s="242">
        <v>1.8926746166950597</v>
      </c>
      <c r="AQ28" s="242" t="s">
        <v>252</v>
      </c>
      <c r="AR28" s="242">
        <v>22.925451448040885</v>
      </c>
      <c r="AS28" s="242" t="s">
        <v>252</v>
      </c>
      <c r="AT28" s="242">
        <v>18.142146507666098</v>
      </c>
      <c r="AU28" s="242" t="s">
        <v>252</v>
      </c>
      <c r="AV28" s="242">
        <v>22.09267461669506</v>
      </c>
      <c r="AW28" s="157" t="s">
        <v>252</v>
      </c>
      <c r="AX28" s="157">
        <v>591.64320272572388</v>
      </c>
      <c r="AY28" s="240">
        <v>7.5706984667802388E-2</v>
      </c>
      <c r="AZ28" s="156" t="s">
        <v>253</v>
      </c>
      <c r="BA28" s="156" t="s">
        <v>254</v>
      </c>
      <c r="BB28" s="156">
        <v>0</v>
      </c>
      <c r="BC28" s="156" t="s">
        <v>1423</v>
      </c>
      <c r="BD28" s="3"/>
    </row>
    <row r="29" spans="1:56" ht="15.75" hidden="1" customHeight="1" outlineLevel="1">
      <c r="A29" s="58">
        <v>19</v>
      </c>
      <c r="B29" s="11">
        <v>129019</v>
      </c>
      <c r="C29" s="89" t="s">
        <v>256</v>
      </c>
      <c r="D29" s="157">
        <v>22</v>
      </c>
      <c r="E29" s="12" t="s">
        <v>231</v>
      </c>
      <c r="F29" s="11" t="s">
        <v>246</v>
      </c>
      <c r="G29" s="18" t="s">
        <v>247</v>
      </c>
      <c r="H29" s="11" t="s">
        <v>248</v>
      </c>
      <c r="I29" s="87" t="s">
        <v>249</v>
      </c>
      <c r="J29" s="19" t="s">
        <v>139</v>
      </c>
      <c r="K29" s="17" t="s">
        <v>140</v>
      </c>
      <c r="L29" s="257">
        <v>0</v>
      </c>
      <c r="M29" s="70" t="s">
        <v>250</v>
      </c>
      <c r="N29" s="70">
        <v>100</v>
      </c>
      <c r="O29" s="258">
        <v>8</v>
      </c>
      <c r="P29" s="70" t="s">
        <v>251</v>
      </c>
      <c r="Q29" s="70" t="s">
        <v>233</v>
      </c>
      <c r="R29" s="70" t="s">
        <v>240</v>
      </c>
      <c r="S29" s="70" t="s">
        <v>233</v>
      </c>
      <c r="T29" s="70" t="s">
        <v>233</v>
      </c>
      <c r="U29" s="70" t="s">
        <v>1427</v>
      </c>
      <c r="V29" s="70" t="s">
        <v>240</v>
      </c>
      <c r="W29" s="4"/>
      <c r="X29" s="241">
        <v>98.364838160136287</v>
      </c>
      <c r="Y29" s="241">
        <v>91.206950596252142</v>
      </c>
      <c r="Z29" s="242">
        <v>15.088926746166951</v>
      </c>
      <c r="AA29" s="157" t="s">
        <v>252</v>
      </c>
      <c r="AB29" s="242">
        <v>9.4773424190800686</v>
      </c>
      <c r="AC29" s="157" t="s">
        <v>252</v>
      </c>
      <c r="AD29" s="242">
        <v>12.529420783645657</v>
      </c>
      <c r="AE29" s="157" t="s">
        <v>252</v>
      </c>
      <c r="AF29" s="242">
        <v>7.666047700170358</v>
      </c>
      <c r="AG29" s="157" t="s">
        <v>252</v>
      </c>
      <c r="AH29" s="242">
        <v>2.5283304940374789</v>
      </c>
      <c r="AI29" s="157" t="s">
        <v>252</v>
      </c>
      <c r="AJ29" s="242">
        <v>0.62662691652470182</v>
      </c>
      <c r="AK29" s="242" t="s">
        <v>252</v>
      </c>
      <c r="AL29" s="242">
        <v>0.51127768313458266</v>
      </c>
      <c r="AM29" s="242" t="s">
        <v>252</v>
      </c>
      <c r="AN29" s="242">
        <v>0.52998296422487223</v>
      </c>
      <c r="AO29" s="242" t="s">
        <v>252</v>
      </c>
      <c r="AP29" s="242">
        <v>0.85732538330494046</v>
      </c>
      <c r="AQ29" s="242" t="s">
        <v>252</v>
      </c>
      <c r="AR29" s="242">
        <v>10.384548551959115</v>
      </c>
      <c r="AS29" s="242" t="s">
        <v>252</v>
      </c>
      <c r="AT29" s="242">
        <v>8.2178534923339015</v>
      </c>
      <c r="AU29" s="242" t="s">
        <v>252</v>
      </c>
      <c r="AV29" s="242">
        <v>10.007325383304941</v>
      </c>
      <c r="AW29" s="157" t="s">
        <v>252</v>
      </c>
      <c r="AX29" s="157">
        <v>267.99679727427599</v>
      </c>
      <c r="AY29" s="243">
        <v>3.429301533219762E-2</v>
      </c>
      <c r="AZ29" s="156" t="s">
        <v>253</v>
      </c>
      <c r="BA29" s="156" t="s">
        <v>254</v>
      </c>
      <c r="BB29" s="156">
        <v>0</v>
      </c>
      <c r="BC29" s="156" t="s">
        <v>1423</v>
      </c>
      <c r="BD29" s="3"/>
    </row>
    <row r="30" spans="1:56" ht="15.75" hidden="1" customHeight="1" outlineLevel="1">
      <c r="A30" s="58">
        <v>20</v>
      </c>
      <c r="B30" s="11">
        <v>129020</v>
      </c>
      <c r="C30" s="89" t="s">
        <v>256</v>
      </c>
      <c r="D30" s="157" t="s">
        <v>257</v>
      </c>
      <c r="E30" s="12" t="s">
        <v>191</v>
      </c>
      <c r="F30" s="11" t="s">
        <v>246</v>
      </c>
      <c r="G30" s="18" t="s">
        <v>247</v>
      </c>
      <c r="H30" s="11" t="s">
        <v>248</v>
      </c>
      <c r="I30" s="87" t="s">
        <v>249</v>
      </c>
      <c r="J30" s="19" t="s">
        <v>139</v>
      </c>
      <c r="K30" s="17" t="s">
        <v>140</v>
      </c>
      <c r="L30" s="257">
        <v>0</v>
      </c>
      <c r="M30" s="70" t="s">
        <v>250</v>
      </c>
      <c r="N30" s="70">
        <v>100</v>
      </c>
      <c r="O30" s="258">
        <v>8</v>
      </c>
      <c r="P30" s="70" t="s">
        <v>251</v>
      </c>
      <c r="Q30" s="70" t="s">
        <v>233</v>
      </c>
      <c r="R30" s="70" t="s">
        <v>240</v>
      </c>
      <c r="S30" s="70" t="s">
        <v>233</v>
      </c>
      <c r="T30" s="70" t="s">
        <v>233</v>
      </c>
      <c r="U30" s="70" t="s">
        <v>1427</v>
      </c>
      <c r="V30" s="70" t="s">
        <v>240</v>
      </c>
      <c r="W30" s="4"/>
      <c r="X30" s="241">
        <v>409.53</v>
      </c>
      <c r="Y30" s="241">
        <v>404.62</v>
      </c>
      <c r="Z30" s="242">
        <v>68.680000000000007</v>
      </c>
      <c r="AA30" s="157" t="s">
        <v>252</v>
      </c>
      <c r="AB30" s="242">
        <v>46.18</v>
      </c>
      <c r="AC30" s="157" t="s">
        <v>252</v>
      </c>
      <c r="AD30" s="242">
        <v>64.28</v>
      </c>
      <c r="AE30" s="157" t="s">
        <v>252</v>
      </c>
      <c r="AF30" s="242">
        <v>40.25</v>
      </c>
      <c r="AG30" s="157" t="s">
        <v>252</v>
      </c>
      <c r="AH30" s="242">
        <v>13.62</v>
      </c>
      <c r="AI30" s="157" t="s">
        <v>252</v>
      </c>
      <c r="AJ30" s="242">
        <v>6.86</v>
      </c>
      <c r="AK30" s="242" t="s">
        <v>252</v>
      </c>
      <c r="AL30" s="242">
        <v>6.35</v>
      </c>
      <c r="AM30" s="242" t="s">
        <v>252</v>
      </c>
      <c r="AN30" s="242">
        <v>5.5</v>
      </c>
      <c r="AO30" s="242" t="s">
        <v>252</v>
      </c>
      <c r="AP30" s="242">
        <v>9.01</v>
      </c>
      <c r="AQ30" s="242" t="s">
        <v>252</v>
      </c>
      <c r="AR30" s="242">
        <v>42.2</v>
      </c>
      <c r="AS30" s="242" t="s">
        <v>252</v>
      </c>
      <c r="AT30" s="242">
        <v>45.12</v>
      </c>
      <c r="AU30" s="242" t="s">
        <v>252</v>
      </c>
      <c r="AV30" s="242">
        <v>59.01</v>
      </c>
      <c r="AW30" s="157" t="s">
        <v>252</v>
      </c>
      <c r="AX30" s="157">
        <v>1221.2099999999996</v>
      </c>
      <c r="AY30" s="240">
        <v>0.158</v>
      </c>
      <c r="AZ30" s="156" t="s">
        <v>253</v>
      </c>
      <c r="BA30" s="156" t="s">
        <v>254</v>
      </c>
      <c r="BB30" s="156">
        <v>0</v>
      </c>
      <c r="BC30" s="156" t="s">
        <v>1423</v>
      </c>
      <c r="BD30" s="3"/>
    </row>
    <row r="31" spans="1:56" ht="15.75" hidden="1" customHeight="1" outlineLevel="1">
      <c r="A31" s="58">
        <v>21</v>
      </c>
      <c r="B31" s="11">
        <v>129021</v>
      </c>
      <c r="C31" s="89" t="s">
        <v>256</v>
      </c>
      <c r="D31" s="157">
        <v>4</v>
      </c>
      <c r="E31" s="12" t="s">
        <v>191</v>
      </c>
      <c r="F31" s="11" t="s">
        <v>246</v>
      </c>
      <c r="G31" s="18" t="s">
        <v>247</v>
      </c>
      <c r="H31" s="11" t="s">
        <v>248</v>
      </c>
      <c r="I31" s="87" t="s">
        <v>249</v>
      </c>
      <c r="J31" s="19" t="s">
        <v>139</v>
      </c>
      <c r="K31" s="17" t="s">
        <v>140</v>
      </c>
      <c r="L31" s="259">
        <v>1</v>
      </c>
      <c r="M31" s="70" t="s">
        <v>250</v>
      </c>
      <c r="N31" s="70">
        <v>100</v>
      </c>
      <c r="O31" s="258">
        <v>8</v>
      </c>
      <c r="P31" s="70" t="s">
        <v>251</v>
      </c>
      <c r="Q31" s="70" t="s">
        <v>233</v>
      </c>
      <c r="R31" s="70" t="s">
        <v>240</v>
      </c>
      <c r="S31" s="70" t="s">
        <v>233</v>
      </c>
      <c r="T31" s="70" t="s">
        <v>233</v>
      </c>
      <c r="U31" s="70" t="s">
        <v>1427</v>
      </c>
      <c r="V31" s="70" t="s">
        <v>240</v>
      </c>
      <c r="W31" s="4"/>
      <c r="X31" s="241">
        <v>771.37999999999988</v>
      </c>
      <c r="Y31" s="241">
        <v>684.49</v>
      </c>
      <c r="Z31" s="242">
        <v>120.56</v>
      </c>
      <c r="AA31" s="157" t="s">
        <v>252</v>
      </c>
      <c r="AB31" s="242">
        <v>89.11</v>
      </c>
      <c r="AC31" s="157" t="s">
        <v>252</v>
      </c>
      <c r="AD31" s="242">
        <v>115.62</v>
      </c>
      <c r="AE31" s="157" t="s">
        <v>252</v>
      </c>
      <c r="AF31" s="242">
        <v>71.03</v>
      </c>
      <c r="AG31" s="157" t="s">
        <v>252</v>
      </c>
      <c r="AH31" s="242">
        <v>23.87</v>
      </c>
      <c r="AI31" s="157" t="s">
        <v>252</v>
      </c>
      <c r="AJ31" s="242">
        <v>8.93</v>
      </c>
      <c r="AK31" s="242" t="s">
        <v>252</v>
      </c>
      <c r="AL31" s="242">
        <v>11.15</v>
      </c>
      <c r="AM31" s="242" t="s">
        <v>252</v>
      </c>
      <c r="AN31" s="242">
        <v>7.4</v>
      </c>
      <c r="AO31" s="242" t="s">
        <v>252</v>
      </c>
      <c r="AP31" s="242">
        <v>9.4499999999999993</v>
      </c>
      <c r="AQ31" s="242" t="s">
        <v>252</v>
      </c>
      <c r="AR31" s="242">
        <v>72.739999999999995</v>
      </c>
      <c r="AS31" s="242" t="s">
        <v>252</v>
      </c>
      <c r="AT31" s="242">
        <v>73.650000000000006</v>
      </c>
      <c r="AU31" s="242" t="s">
        <v>252</v>
      </c>
      <c r="AV31" s="242">
        <v>88.21</v>
      </c>
      <c r="AW31" s="157" t="s">
        <v>252</v>
      </c>
      <c r="AX31" s="157">
        <v>2147.59</v>
      </c>
      <c r="AY31" s="240">
        <v>0.35</v>
      </c>
      <c r="AZ31" s="156" t="s">
        <v>253</v>
      </c>
      <c r="BA31" s="156" t="s">
        <v>254</v>
      </c>
      <c r="BB31" s="156">
        <v>1</v>
      </c>
      <c r="BC31" s="157" t="s">
        <v>255</v>
      </c>
      <c r="BD31" s="3"/>
    </row>
    <row r="32" spans="1:56" ht="15.75" hidden="1" customHeight="1" outlineLevel="1">
      <c r="A32" s="58">
        <v>22</v>
      </c>
      <c r="B32" s="11">
        <v>129022</v>
      </c>
      <c r="C32" s="89" t="s">
        <v>256</v>
      </c>
      <c r="D32" s="157" t="s">
        <v>192</v>
      </c>
      <c r="E32" s="12" t="s">
        <v>191</v>
      </c>
      <c r="F32" s="11" t="s">
        <v>246</v>
      </c>
      <c r="G32" s="18" t="s">
        <v>247</v>
      </c>
      <c r="H32" s="11" t="s">
        <v>248</v>
      </c>
      <c r="I32" s="87" t="s">
        <v>249</v>
      </c>
      <c r="J32" s="19" t="s">
        <v>139</v>
      </c>
      <c r="K32" s="17" t="s">
        <v>140</v>
      </c>
      <c r="L32" s="257">
        <v>0</v>
      </c>
      <c r="M32" s="70" t="s">
        <v>250</v>
      </c>
      <c r="N32" s="70">
        <v>100</v>
      </c>
      <c r="O32" s="258">
        <v>8</v>
      </c>
      <c r="P32" s="70" t="s">
        <v>251</v>
      </c>
      <c r="Q32" s="70" t="s">
        <v>233</v>
      </c>
      <c r="R32" s="70" t="s">
        <v>240</v>
      </c>
      <c r="S32" s="70" t="s">
        <v>233</v>
      </c>
      <c r="T32" s="70" t="s">
        <v>233</v>
      </c>
      <c r="U32" s="70" t="s">
        <v>1427</v>
      </c>
      <c r="V32" s="70" t="s">
        <v>240</v>
      </c>
      <c r="W32" s="4"/>
      <c r="X32" s="241">
        <v>498.06</v>
      </c>
      <c r="Y32" s="241">
        <v>482.49000000000007</v>
      </c>
      <c r="Z32" s="242">
        <v>44.74</v>
      </c>
      <c r="AA32" s="157" t="s">
        <v>252</v>
      </c>
      <c r="AB32" s="242">
        <v>45.1</v>
      </c>
      <c r="AC32" s="157" t="s">
        <v>252</v>
      </c>
      <c r="AD32" s="242">
        <v>44.32</v>
      </c>
      <c r="AE32" s="157" t="s">
        <v>252</v>
      </c>
      <c r="AF32" s="242">
        <v>45.65</v>
      </c>
      <c r="AG32" s="157" t="s">
        <v>252</v>
      </c>
      <c r="AH32" s="242">
        <v>11.68</v>
      </c>
      <c r="AI32" s="157" t="s">
        <v>252</v>
      </c>
      <c r="AJ32" s="242">
        <v>4.3899999999999997</v>
      </c>
      <c r="AK32" s="242" t="s">
        <v>252</v>
      </c>
      <c r="AL32" s="242">
        <v>3.52</v>
      </c>
      <c r="AM32" s="242" t="s">
        <v>252</v>
      </c>
      <c r="AN32" s="242">
        <v>3.85</v>
      </c>
      <c r="AO32" s="242" t="s">
        <v>252</v>
      </c>
      <c r="AP32" s="242">
        <v>5.31</v>
      </c>
      <c r="AQ32" s="242" t="s">
        <v>252</v>
      </c>
      <c r="AR32" s="242">
        <v>38.32</v>
      </c>
      <c r="AS32" s="242" t="s">
        <v>252</v>
      </c>
      <c r="AT32" s="242">
        <v>38.25</v>
      </c>
      <c r="AU32" s="242" t="s">
        <v>252</v>
      </c>
      <c r="AV32" s="242">
        <v>45.81</v>
      </c>
      <c r="AW32" s="157" t="s">
        <v>252</v>
      </c>
      <c r="AX32" s="157">
        <v>1311.4899999999998</v>
      </c>
      <c r="AY32" s="240">
        <v>0.2</v>
      </c>
      <c r="AZ32" s="156" t="s">
        <v>253</v>
      </c>
      <c r="BA32" s="156" t="s">
        <v>254</v>
      </c>
      <c r="BB32" s="156">
        <v>0</v>
      </c>
      <c r="BC32" s="156" t="s">
        <v>1423</v>
      </c>
      <c r="BD32" s="3"/>
    </row>
    <row r="33" spans="1:56" ht="15.75" hidden="1" customHeight="1" outlineLevel="1">
      <c r="A33" s="58">
        <v>23</v>
      </c>
      <c r="B33" s="11">
        <v>129023</v>
      </c>
      <c r="C33" s="89" t="s">
        <v>256</v>
      </c>
      <c r="D33" s="157">
        <v>6</v>
      </c>
      <c r="E33" s="12" t="s">
        <v>191</v>
      </c>
      <c r="F33" s="11" t="s">
        <v>246</v>
      </c>
      <c r="G33" s="18" t="s">
        <v>247</v>
      </c>
      <c r="H33" s="11" t="s">
        <v>248</v>
      </c>
      <c r="I33" s="87" t="s">
        <v>249</v>
      </c>
      <c r="J33" s="19" t="s">
        <v>139</v>
      </c>
      <c r="K33" s="17" t="s">
        <v>140</v>
      </c>
      <c r="L33" s="259">
        <v>1</v>
      </c>
      <c r="M33" s="70" t="s">
        <v>250</v>
      </c>
      <c r="N33" s="70">
        <v>80</v>
      </c>
      <c r="O33" s="258">
        <v>8</v>
      </c>
      <c r="P33" s="70" t="s">
        <v>251</v>
      </c>
      <c r="Q33" s="70" t="s">
        <v>233</v>
      </c>
      <c r="R33" s="70" t="s">
        <v>240</v>
      </c>
      <c r="S33" s="70" t="s">
        <v>233</v>
      </c>
      <c r="T33" s="70" t="s">
        <v>233</v>
      </c>
      <c r="U33" s="70" t="s">
        <v>1427</v>
      </c>
      <c r="V33" s="70" t="s">
        <v>240</v>
      </c>
      <c r="W33" s="4"/>
      <c r="X33" s="241">
        <v>703.3599999999999</v>
      </c>
      <c r="Y33" s="241">
        <v>579.83000000000004</v>
      </c>
      <c r="Z33" s="242">
        <v>86.88</v>
      </c>
      <c r="AA33" s="157" t="s">
        <v>252</v>
      </c>
      <c r="AB33" s="242">
        <v>65.22</v>
      </c>
      <c r="AC33" s="157" t="s">
        <v>252</v>
      </c>
      <c r="AD33" s="242">
        <v>85.68</v>
      </c>
      <c r="AE33" s="157" t="s">
        <v>252</v>
      </c>
      <c r="AF33" s="242">
        <v>54.54</v>
      </c>
      <c r="AG33" s="157" t="s">
        <v>252</v>
      </c>
      <c r="AH33" s="242">
        <v>33.43</v>
      </c>
      <c r="AI33" s="157" t="s">
        <v>252</v>
      </c>
      <c r="AJ33" s="242">
        <v>21.11</v>
      </c>
      <c r="AK33" s="242" t="s">
        <v>252</v>
      </c>
      <c r="AL33" s="242">
        <v>22.04</v>
      </c>
      <c r="AM33" s="242" t="s">
        <v>252</v>
      </c>
      <c r="AN33" s="242">
        <v>35.729999999999997</v>
      </c>
      <c r="AO33" s="242" t="s">
        <v>252</v>
      </c>
      <c r="AP33" s="242">
        <v>21.83</v>
      </c>
      <c r="AQ33" s="242" t="s">
        <v>252</v>
      </c>
      <c r="AR33" s="242">
        <v>55.97</v>
      </c>
      <c r="AS33" s="242" t="s">
        <v>252</v>
      </c>
      <c r="AT33" s="242">
        <v>58.59</v>
      </c>
      <c r="AU33" s="242" t="s">
        <v>252</v>
      </c>
      <c r="AV33" s="242">
        <v>73.489999999999995</v>
      </c>
      <c r="AW33" s="157" t="s">
        <v>252</v>
      </c>
      <c r="AX33" s="157">
        <v>1897.7</v>
      </c>
      <c r="AY33" s="240">
        <v>0.41</v>
      </c>
      <c r="AZ33" s="156" t="s">
        <v>253</v>
      </c>
      <c r="BA33" s="156" t="s">
        <v>254</v>
      </c>
      <c r="BB33" s="156">
        <v>0</v>
      </c>
      <c r="BC33" s="156" t="s">
        <v>1423</v>
      </c>
      <c r="BD33" s="3"/>
    </row>
    <row r="34" spans="1:56" ht="15.75" hidden="1" customHeight="1" outlineLevel="1">
      <c r="A34" s="58">
        <v>24</v>
      </c>
      <c r="B34" s="11">
        <v>129024</v>
      </c>
      <c r="C34" s="89" t="s">
        <v>256</v>
      </c>
      <c r="D34" s="157">
        <v>7</v>
      </c>
      <c r="E34" s="12" t="s">
        <v>191</v>
      </c>
      <c r="F34" s="11" t="s">
        <v>246</v>
      </c>
      <c r="G34" s="18" t="s">
        <v>247</v>
      </c>
      <c r="H34" s="11" t="s">
        <v>248</v>
      </c>
      <c r="I34" s="87" t="s">
        <v>249</v>
      </c>
      <c r="J34" s="19" t="s">
        <v>139</v>
      </c>
      <c r="K34" s="17" t="s">
        <v>140</v>
      </c>
      <c r="L34" s="257">
        <v>0</v>
      </c>
      <c r="M34" s="70" t="s">
        <v>250</v>
      </c>
      <c r="N34" s="70">
        <v>80</v>
      </c>
      <c r="O34" s="258">
        <v>8</v>
      </c>
      <c r="P34" s="70" t="s">
        <v>251</v>
      </c>
      <c r="Q34" s="70" t="s">
        <v>233</v>
      </c>
      <c r="R34" s="70" t="s">
        <v>240</v>
      </c>
      <c r="S34" s="70" t="s">
        <v>240</v>
      </c>
      <c r="T34" s="70" t="s">
        <v>240</v>
      </c>
      <c r="U34" s="70" t="s">
        <v>1427</v>
      </c>
      <c r="V34" s="70" t="s">
        <v>240</v>
      </c>
      <c r="W34" s="4"/>
      <c r="X34" s="241">
        <v>68.95999999999998</v>
      </c>
      <c r="Y34" s="241">
        <v>1.53</v>
      </c>
      <c r="Z34" s="242">
        <v>0</v>
      </c>
      <c r="AA34" s="157" t="s">
        <v>252</v>
      </c>
      <c r="AB34" s="242">
        <v>0</v>
      </c>
      <c r="AC34" s="157" t="s">
        <v>252</v>
      </c>
      <c r="AD34" s="242">
        <v>0</v>
      </c>
      <c r="AE34" s="157" t="s">
        <v>252</v>
      </c>
      <c r="AF34" s="242">
        <v>0</v>
      </c>
      <c r="AG34" s="157" t="s">
        <v>252</v>
      </c>
      <c r="AH34" s="242">
        <v>0</v>
      </c>
      <c r="AI34" s="157" t="s">
        <v>252</v>
      </c>
      <c r="AJ34" s="242">
        <v>0</v>
      </c>
      <c r="AK34" s="242" t="s">
        <v>252</v>
      </c>
      <c r="AL34" s="242">
        <v>0</v>
      </c>
      <c r="AM34" s="242" t="s">
        <v>252</v>
      </c>
      <c r="AN34" s="242">
        <v>0</v>
      </c>
      <c r="AO34" s="242" t="s">
        <v>252</v>
      </c>
      <c r="AP34" s="242">
        <v>0</v>
      </c>
      <c r="AQ34" s="242" t="s">
        <v>252</v>
      </c>
      <c r="AR34" s="242">
        <v>0</v>
      </c>
      <c r="AS34" s="242" t="s">
        <v>252</v>
      </c>
      <c r="AT34" s="242">
        <v>0</v>
      </c>
      <c r="AU34" s="242" t="s">
        <v>252</v>
      </c>
      <c r="AV34" s="242">
        <v>0</v>
      </c>
      <c r="AW34" s="157" t="s">
        <v>252</v>
      </c>
      <c r="AX34" s="157">
        <v>70.489999999999981</v>
      </c>
      <c r="AY34" s="240">
        <v>0.41</v>
      </c>
      <c r="AZ34" s="156" t="s">
        <v>253</v>
      </c>
      <c r="BA34" s="156" t="s">
        <v>254</v>
      </c>
      <c r="BB34" s="156">
        <v>0</v>
      </c>
      <c r="BC34" s="156" t="s">
        <v>1423</v>
      </c>
      <c r="BD34" s="3"/>
    </row>
    <row r="35" spans="1:56" ht="15.75" hidden="1" customHeight="1" outlineLevel="1">
      <c r="A35" s="58">
        <v>25</v>
      </c>
      <c r="B35" s="11">
        <v>129025</v>
      </c>
      <c r="C35" s="89" t="s">
        <v>256</v>
      </c>
      <c r="D35" s="157">
        <v>8</v>
      </c>
      <c r="E35" s="12" t="s">
        <v>191</v>
      </c>
      <c r="F35" s="11" t="s">
        <v>246</v>
      </c>
      <c r="G35" s="18" t="s">
        <v>247</v>
      </c>
      <c r="H35" s="11" t="s">
        <v>248</v>
      </c>
      <c r="I35" s="87" t="s">
        <v>249</v>
      </c>
      <c r="J35" s="19" t="s">
        <v>139</v>
      </c>
      <c r="K35" s="17" t="s">
        <v>140</v>
      </c>
      <c r="L35" s="257">
        <v>0</v>
      </c>
      <c r="M35" s="70" t="s">
        <v>250</v>
      </c>
      <c r="N35" s="70">
        <v>100</v>
      </c>
      <c r="O35" s="258">
        <v>8</v>
      </c>
      <c r="P35" s="70" t="s">
        <v>251</v>
      </c>
      <c r="Q35" s="70" t="s">
        <v>233</v>
      </c>
      <c r="R35" s="70" t="s">
        <v>240</v>
      </c>
      <c r="S35" s="70" t="s">
        <v>233</v>
      </c>
      <c r="T35" s="70" t="s">
        <v>233</v>
      </c>
      <c r="U35" s="70" t="s">
        <v>1427</v>
      </c>
      <c r="V35" s="70" t="s">
        <v>240</v>
      </c>
      <c r="W35" s="4"/>
      <c r="X35" s="241">
        <v>378.55592100639529</v>
      </c>
      <c r="Y35" s="241">
        <v>311.92076744676353</v>
      </c>
      <c r="Z35" s="242">
        <v>46.682964368543111</v>
      </c>
      <c r="AA35" s="157" t="s">
        <v>252</v>
      </c>
      <c r="AB35" s="242">
        <v>35.043636235856347</v>
      </c>
      <c r="AC35" s="157" t="s">
        <v>252</v>
      </c>
      <c r="AD35" s="242">
        <v>46.015025651837789</v>
      </c>
      <c r="AE35" s="157" t="s">
        <v>252</v>
      </c>
      <c r="AF35" s="242">
        <v>29.263651697238032</v>
      </c>
      <c r="AG35" s="157" t="s">
        <v>252</v>
      </c>
      <c r="AH35" s="242">
        <v>17.961599550214348</v>
      </c>
      <c r="AI35" s="157" t="s">
        <v>252</v>
      </c>
      <c r="AJ35" s="242">
        <v>11.63271487806592</v>
      </c>
      <c r="AK35" s="242" t="s">
        <v>252</v>
      </c>
      <c r="AL35" s="242">
        <v>12.128708974629276</v>
      </c>
      <c r="AM35" s="242" t="s">
        <v>252</v>
      </c>
      <c r="AN35" s="242">
        <v>17.465605453650994</v>
      </c>
      <c r="AO35" s="242" t="s">
        <v>252</v>
      </c>
      <c r="AP35" s="242">
        <v>12.016283646074918</v>
      </c>
      <c r="AQ35" s="242" t="s">
        <v>252</v>
      </c>
      <c r="AR35" s="242">
        <v>30.063855506360248</v>
      </c>
      <c r="AS35" s="242" t="s">
        <v>252</v>
      </c>
      <c r="AT35" s="242">
        <v>31.452638976737646</v>
      </c>
      <c r="AU35" s="242" t="s">
        <v>252</v>
      </c>
      <c r="AV35" s="242">
        <v>39.474516831822328</v>
      </c>
      <c r="AW35" s="157" t="s">
        <v>252</v>
      </c>
      <c r="AX35" s="157">
        <v>1019.6778902241898</v>
      </c>
      <c r="AY35" s="240">
        <v>0.1256518377960503</v>
      </c>
      <c r="AZ35" s="156" t="s">
        <v>253</v>
      </c>
      <c r="BA35" s="156" t="s">
        <v>254</v>
      </c>
      <c r="BB35" s="156">
        <v>0</v>
      </c>
      <c r="BC35" s="156" t="s">
        <v>1423</v>
      </c>
      <c r="BD35" s="3"/>
    </row>
    <row r="36" spans="1:56" ht="15.75" hidden="1" customHeight="1" outlineLevel="1">
      <c r="A36" s="58">
        <v>26</v>
      </c>
      <c r="B36" s="11">
        <v>129026</v>
      </c>
      <c r="C36" s="89" t="s">
        <v>256</v>
      </c>
      <c r="D36" s="157">
        <v>8</v>
      </c>
      <c r="E36" s="12" t="s">
        <v>231</v>
      </c>
      <c r="F36" s="11" t="s">
        <v>246</v>
      </c>
      <c r="G36" s="18" t="s">
        <v>247</v>
      </c>
      <c r="H36" s="11" t="s">
        <v>248</v>
      </c>
      <c r="I36" s="87" t="s">
        <v>249</v>
      </c>
      <c r="J36" s="19" t="s">
        <v>139</v>
      </c>
      <c r="K36" s="17" t="s">
        <v>140</v>
      </c>
      <c r="L36" s="257">
        <v>0</v>
      </c>
      <c r="M36" s="70" t="s">
        <v>250</v>
      </c>
      <c r="N36" s="70">
        <v>80</v>
      </c>
      <c r="O36" s="258">
        <v>8</v>
      </c>
      <c r="P36" s="70" t="s">
        <v>251</v>
      </c>
      <c r="Q36" s="70" t="s">
        <v>233</v>
      </c>
      <c r="R36" s="70" t="s">
        <v>240</v>
      </c>
      <c r="S36" s="70" t="s">
        <v>233</v>
      </c>
      <c r="T36" s="70" t="s">
        <v>233</v>
      </c>
      <c r="U36" s="70" t="s">
        <v>1427</v>
      </c>
      <c r="V36" s="70" t="s">
        <v>240</v>
      </c>
      <c r="W36" s="4"/>
      <c r="X36" s="241">
        <v>193.86407899360458</v>
      </c>
      <c r="Y36" s="241">
        <v>159.73923255323629</v>
      </c>
      <c r="Z36" s="242">
        <v>23.907035631456882</v>
      </c>
      <c r="AA36" s="157" t="s">
        <v>252</v>
      </c>
      <c r="AB36" s="242">
        <v>17.946363764143648</v>
      </c>
      <c r="AC36" s="157" t="s">
        <v>252</v>
      </c>
      <c r="AD36" s="242">
        <v>23.564974348162202</v>
      </c>
      <c r="AE36" s="157" t="s">
        <v>252</v>
      </c>
      <c r="AF36" s="242">
        <v>14.986348302761963</v>
      </c>
      <c r="AG36" s="157" t="s">
        <v>252</v>
      </c>
      <c r="AH36" s="242">
        <v>9.1984004497856482</v>
      </c>
      <c r="AI36" s="157" t="s">
        <v>252</v>
      </c>
      <c r="AJ36" s="242">
        <v>5.9572851219340777</v>
      </c>
      <c r="AK36" s="242" t="s">
        <v>252</v>
      </c>
      <c r="AL36" s="242">
        <v>6.2112910253707208</v>
      </c>
      <c r="AM36" s="242" t="s">
        <v>252</v>
      </c>
      <c r="AN36" s="242">
        <v>8.9443945463490042</v>
      </c>
      <c r="AO36" s="242" t="s">
        <v>252</v>
      </c>
      <c r="AP36" s="242">
        <v>6.1537163539250823</v>
      </c>
      <c r="AQ36" s="242" t="s">
        <v>252</v>
      </c>
      <c r="AR36" s="242">
        <v>15.396144493639749</v>
      </c>
      <c r="AS36" s="242" t="s">
        <v>252</v>
      </c>
      <c r="AT36" s="242">
        <v>16.107361023262349</v>
      </c>
      <c r="AU36" s="242" t="s">
        <v>252</v>
      </c>
      <c r="AV36" s="242">
        <v>20.215483168177663</v>
      </c>
      <c r="AW36" s="157" t="s">
        <v>252</v>
      </c>
      <c r="AX36" s="157">
        <v>522.19210977580985</v>
      </c>
      <c r="AY36" s="243">
        <v>6.4348162203949677E-2</v>
      </c>
      <c r="AZ36" s="156" t="s">
        <v>253</v>
      </c>
      <c r="BA36" s="156" t="s">
        <v>254</v>
      </c>
      <c r="BB36" s="156">
        <v>0</v>
      </c>
      <c r="BC36" s="156" t="s">
        <v>1423</v>
      </c>
      <c r="BD36" s="3"/>
    </row>
    <row r="37" spans="1:56" ht="15.75" hidden="1" customHeight="1" outlineLevel="1">
      <c r="A37" s="58">
        <v>27</v>
      </c>
      <c r="B37" s="11">
        <v>129027</v>
      </c>
      <c r="C37" s="89" t="s">
        <v>258</v>
      </c>
      <c r="D37" s="157" t="s">
        <v>193</v>
      </c>
      <c r="E37" s="12" t="s">
        <v>191</v>
      </c>
      <c r="F37" s="11" t="s">
        <v>246</v>
      </c>
      <c r="G37" s="18" t="s">
        <v>247</v>
      </c>
      <c r="H37" s="11" t="s">
        <v>248</v>
      </c>
      <c r="I37" s="87" t="s">
        <v>249</v>
      </c>
      <c r="J37" s="19" t="s">
        <v>139</v>
      </c>
      <c r="K37" s="17" t="s">
        <v>140</v>
      </c>
      <c r="L37" s="260">
        <v>1</v>
      </c>
      <c r="M37" s="70" t="s">
        <v>250</v>
      </c>
      <c r="N37" s="70">
        <v>80</v>
      </c>
      <c r="O37" s="258">
        <v>8</v>
      </c>
      <c r="P37" s="70" t="s">
        <v>251</v>
      </c>
      <c r="Q37" s="70" t="s">
        <v>233</v>
      </c>
      <c r="R37" s="70" t="s">
        <v>240</v>
      </c>
      <c r="S37" s="70" t="s">
        <v>233</v>
      </c>
      <c r="T37" s="70" t="s">
        <v>233</v>
      </c>
      <c r="U37" s="70" t="s">
        <v>1427</v>
      </c>
      <c r="V37" s="70" t="s">
        <v>240</v>
      </c>
      <c r="W37" s="12"/>
      <c r="X37" s="242">
        <v>1347.2399999999998</v>
      </c>
      <c r="Y37" s="242">
        <v>1164.29</v>
      </c>
      <c r="Z37" s="244">
        <v>224.35</v>
      </c>
      <c r="AA37" s="157" t="s">
        <v>252</v>
      </c>
      <c r="AB37" s="242">
        <v>142.81</v>
      </c>
      <c r="AC37" s="157" t="s">
        <v>252</v>
      </c>
      <c r="AD37" s="242">
        <v>196.02</v>
      </c>
      <c r="AE37" s="157" t="s">
        <v>252</v>
      </c>
      <c r="AF37" s="242">
        <v>115.6</v>
      </c>
      <c r="AG37" s="157" t="s">
        <v>252</v>
      </c>
      <c r="AH37" s="242">
        <v>63.34</v>
      </c>
      <c r="AI37" s="157" t="s">
        <v>252</v>
      </c>
      <c r="AJ37" s="242">
        <v>33.130000000000003</v>
      </c>
      <c r="AK37" s="242" t="s">
        <v>252</v>
      </c>
      <c r="AL37" s="242">
        <v>21.95</v>
      </c>
      <c r="AM37" s="242" t="s">
        <v>252</v>
      </c>
      <c r="AN37" s="242">
        <v>22.25</v>
      </c>
      <c r="AO37" s="242" t="s">
        <v>252</v>
      </c>
      <c r="AP37" s="242">
        <v>23.84</v>
      </c>
      <c r="AQ37" s="242" t="s">
        <v>252</v>
      </c>
      <c r="AR37" s="242">
        <v>93.57</v>
      </c>
      <c r="AS37" s="242" t="s">
        <v>252</v>
      </c>
      <c r="AT37" s="242">
        <v>137.71</v>
      </c>
      <c r="AU37" s="242" t="s">
        <v>252</v>
      </c>
      <c r="AV37" s="242">
        <v>163.22</v>
      </c>
      <c r="AW37" s="157" t="s">
        <v>252</v>
      </c>
      <c r="AX37" s="157">
        <v>3749.3199999999997</v>
      </c>
      <c r="AY37" s="240">
        <v>0.69</v>
      </c>
      <c r="AZ37" s="156" t="s">
        <v>253</v>
      </c>
      <c r="BA37" s="156" t="s">
        <v>254</v>
      </c>
      <c r="BB37" s="156">
        <v>1</v>
      </c>
      <c r="BC37" s="156" t="s">
        <v>1423</v>
      </c>
      <c r="BD37" s="3"/>
    </row>
    <row r="38" spans="1:56" ht="15.75" hidden="1" customHeight="1" outlineLevel="1">
      <c r="A38" s="58">
        <v>28</v>
      </c>
      <c r="B38" s="11">
        <v>129028</v>
      </c>
      <c r="C38" s="89" t="s">
        <v>258</v>
      </c>
      <c r="D38" s="157">
        <v>10</v>
      </c>
      <c r="E38" s="12" t="s">
        <v>191</v>
      </c>
      <c r="F38" s="11" t="s">
        <v>246</v>
      </c>
      <c r="G38" s="18" t="s">
        <v>247</v>
      </c>
      <c r="H38" s="11" t="s">
        <v>248</v>
      </c>
      <c r="I38" s="87" t="s">
        <v>249</v>
      </c>
      <c r="J38" s="19" t="s">
        <v>139</v>
      </c>
      <c r="K38" s="17" t="s">
        <v>140</v>
      </c>
      <c r="L38" s="257">
        <v>0</v>
      </c>
      <c r="M38" s="70" t="s">
        <v>250</v>
      </c>
      <c r="N38" s="70">
        <v>100</v>
      </c>
      <c r="O38" s="258">
        <v>8</v>
      </c>
      <c r="P38" s="70" t="s">
        <v>251</v>
      </c>
      <c r="Q38" s="70" t="s">
        <v>233</v>
      </c>
      <c r="R38" s="70" t="s">
        <v>240</v>
      </c>
      <c r="S38" s="70" t="s">
        <v>233</v>
      </c>
      <c r="T38" s="70" t="s">
        <v>233</v>
      </c>
      <c r="U38" s="70" t="s">
        <v>1427</v>
      </c>
      <c r="V38" s="70" t="s">
        <v>240</v>
      </c>
      <c r="W38" s="12"/>
      <c r="X38" s="242">
        <v>470.99000000000007</v>
      </c>
      <c r="Y38" s="242">
        <v>462.04999999999995</v>
      </c>
      <c r="Z38" s="242">
        <v>93.98</v>
      </c>
      <c r="AA38" s="157" t="s">
        <v>252</v>
      </c>
      <c r="AB38" s="242">
        <v>50.58</v>
      </c>
      <c r="AC38" s="157" t="s">
        <v>252</v>
      </c>
      <c r="AD38" s="242">
        <v>72.08</v>
      </c>
      <c r="AE38" s="157" t="s">
        <v>252</v>
      </c>
      <c r="AF38" s="242">
        <v>40.26</v>
      </c>
      <c r="AG38" s="157" t="s">
        <v>252</v>
      </c>
      <c r="AH38" s="242">
        <v>20.8</v>
      </c>
      <c r="AI38" s="157" t="s">
        <v>252</v>
      </c>
      <c r="AJ38" s="242">
        <v>7.6</v>
      </c>
      <c r="AK38" s="242" t="s">
        <v>252</v>
      </c>
      <c r="AL38" s="242">
        <v>7.14</v>
      </c>
      <c r="AM38" s="242" t="s">
        <v>252</v>
      </c>
      <c r="AN38" s="242">
        <v>7</v>
      </c>
      <c r="AO38" s="242" t="s">
        <v>252</v>
      </c>
      <c r="AP38" s="242">
        <v>8.8800000000000008</v>
      </c>
      <c r="AQ38" s="242" t="s">
        <v>252</v>
      </c>
      <c r="AR38" s="242">
        <v>48.25</v>
      </c>
      <c r="AS38" s="242" t="s">
        <v>252</v>
      </c>
      <c r="AT38" s="242">
        <v>41.8</v>
      </c>
      <c r="AU38" s="242" t="s">
        <v>252</v>
      </c>
      <c r="AV38" s="242">
        <v>57.33</v>
      </c>
      <c r="AW38" s="157" t="s">
        <v>252</v>
      </c>
      <c r="AX38" s="157">
        <v>1388.7399999999998</v>
      </c>
      <c r="AY38" s="240">
        <v>0.19</v>
      </c>
      <c r="AZ38" s="156" t="s">
        <v>253</v>
      </c>
      <c r="BA38" s="156" t="s">
        <v>254</v>
      </c>
      <c r="BB38" s="156">
        <v>0</v>
      </c>
      <c r="BC38" s="156" t="s">
        <v>1423</v>
      </c>
      <c r="BD38" s="3"/>
    </row>
    <row r="39" spans="1:56" ht="15.75" hidden="1" customHeight="1" outlineLevel="1">
      <c r="A39" s="58">
        <v>29</v>
      </c>
      <c r="B39" s="11">
        <v>129029</v>
      </c>
      <c r="C39" s="90" t="s">
        <v>258</v>
      </c>
      <c r="D39" s="158">
        <v>11</v>
      </c>
      <c r="E39" s="91" t="s">
        <v>191</v>
      </c>
      <c r="F39" s="11" t="s">
        <v>246</v>
      </c>
      <c r="G39" s="18" t="s">
        <v>247</v>
      </c>
      <c r="H39" s="11" t="s">
        <v>248</v>
      </c>
      <c r="I39" s="87" t="s">
        <v>249</v>
      </c>
      <c r="J39" s="19" t="s">
        <v>139</v>
      </c>
      <c r="K39" s="17" t="s">
        <v>140</v>
      </c>
      <c r="L39" s="260">
        <v>1</v>
      </c>
      <c r="M39" s="70" t="s">
        <v>250</v>
      </c>
      <c r="N39" s="70">
        <v>80</v>
      </c>
      <c r="O39" s="258">
        <v>8</v>
      </c>
      <c r="P39" s="70" t="s">
        <v>251</v>
      </c>
      <c r="Q39" s="70" t="s">
        <v>233</v>
      </c>
      <c r="R39" s="70" t="s">
        <v>240</v>
      </c>
      <c r="S39" s="70" t="s">
        <v>233</v>
      </c>
      <c r="T39" s="70" t="s">
        <v>233</v>
      </c>
      <c r="U39" s="70" t="s">
        <v>1427</v>
      </c>
      <c r="V39" s="70" t="s">
        <v>240</v>
      </c>
      <c r="W39" s="12"/>
      <c r="X39" s="242">
        <v>797.03</v>
      </c>
      <c r="Y39" s="242">
        <v>746.20999999999992</v>
      </c>
      <c r="Z39" s="242">
        <v>74.400000000000006</v>
      </c>
      <c r="AA39" s="157" t="s">
        <v>259</v>
      </c>
      <c r="AB39" s="242">
        <v>72.3</v>
      </c>
      <c r="AC39" s="157" t="s">
        <v>259</v>
      </c>
      <c r="AD39" s="242">
        <v>73.349999999999994</v>
      </c>
      <c r="AE39" s="157" t="s">
        <v>259</v>
      </c>
      <c r="AF39" s="242">
        <v>72.63</v>
      </c>
      <c r="AG39" s="157" t="s">
        <v>259</v>
      </c>
      <c r="AH39" s="242">
        <v>71.34</v>
      </c>
      <c r="AI39" s="157" t="s">
        <v>259</v>
      </c>
      <c r="AJ39" s="242">
        <v>14.5433</v>
      </c>
      <c r="AK39" s="242" t="s">
        <v>259</v>
      </c>
      <c r="AL39" s="242">
        <v>14.5433</v>
      </c>
      <c r="AM39" s="242" t="s">
        <v>259</v>
      </c>
      <c r="AN39" s="242">
        <v>14.5433</v>
      </c>
      <c r="AO39" s="242" t="s">
        <v>259</v>
      </c>
      <c r="AP39" s="242">
        <v>10.14</v>
      </c>
      <c r="AQ39" s="242" t="s">
        <v>259</v>
      </c>
      <c r="AR39" s="242">
        <v>66.72</v>
      </c>
      <c r="AS39" s="242" t="s">
        <v>259</v>
      </c>
      <c r="AT39" s="242">
        <v>66.930000000000007</v>
      </c>
      <c r="AU39" s="242" t="s">
        <v>259</v>
      </c>
      <c r="AV39" s="242">
        <v>66.709999999999994</v>
      </c>
      <c r="AW39" s="157" t="s">
        <v>259</v>
      </c>
      <c r="AX39" s="157">
        <v>2161.3898999999997</v>
      </c>
      <c r="AY39" s="240">
        <v>0.56000000000000005</v>
      </c>
      <c r="AZ39" s="156" t="s">
        <v>253</v>
      </c>
      <c r="BA39" s="156" t="s">
        <v>254</v>
      </c>
      <c r="BB39" s="156">
        <v>1</v>
      </c>
      <c r="BC39" s="156" t="s">
        <v>1423</v>
      </c>
      <c r="BD39" s="3"/>
    </row>
    <row r="40" spans="1:56" ht="15.75" hidden="1" customHeight="1" outlineLevel="1">
      <c r="A40" s="58">
        <v>30</v>
      </c>
      <c r="B40" s="11">
        <v>129030</v>
      </c>
      <c r="C40" s="89" t="s">
        <v>258</v>
      </c>
      <c r="D40" s="157">
        <v>12</v>
      </c>
      <c r="E40" s="12" t="s">
        <v>191</v>
      </c>
      <c r="F40" s="11" t="s">
        <v>246</v>
      </c>
      <c r="G40" s="18" t="s">
        <v>247</v>
      </c>
      <c r="H40" s="11" t="s">
        <v>248</v>
      </c>
      <c r="I40" s="87" t="s">
        <v>249</v>
      </c>
      <c r="J40" s="19" t="s">
        <v>139</v>
      </c>
      <c r="K40" s="17" t="s">
        <v>140</v>
      </c>
      <c r="L40" s="260">
        <v>1</v>
      </c>
      <c r="M40" s="70" t="s">
        <v>250</v>
      </c>
      <c r="N40" s="70">
        <v>100</v>
      </c>
      <c r="O40" s="258">
        <v>8</v>
      </c>
      <c r="P40" s="70" t="s">
        <v>251</v>
      </c>
      <c r="Q40" s="70" t="s">
        <v>233</v>
      </c>
      <c r="R40" s="70" t="s">
        <v>240</v>
      </c>
      <c r="S40" s="70" t="s">
        <v>233</v>
      </c>
      <c r="T40" s="70" t="s">
        <v>233</v>
      </c>
      <c r="U40" s="70" t="s">
        <v>1427</v>
      </c>
      <c r="V40" s="70" t="s">
        <v>240</v>
      </c>
      <c r="W40" s="12"/>
      <c r="X40" s="242">
        <v>782.16823703703699</v>
      </c>
      <c r="Y40" s="242">
        <v>787.1246814814815</v>
      </c>
      <c r="Z40" s="242">
        <v>142.42205432098763</v>
      </c>
      <c r="AA40" s="157" t="s">
        <v>252</v>
      </c>
      <c r="AB40" s="242">
        <v>108.24323950617284</v>
      </c>
      <c r="AC40" s="157" t="s">
        <v>252</v>
      </c>
      <c r="AD40" s="242">
        <v>126.94693333333333</v>
      </c>
      <c r="AE40" s="157" t="s">
        <v>252</v>
      </c>
      <c r="AF40" s="242">
        <v>73.754646913580245</v>
      </c>
      <c r="AG40" s="157" t="s">
        <v>252</v>
      </c>
      <c r="AH40" s="242">
        <v>32.53355061728395</v>
      </c>
      <c r="AI40" s="157" t="s">
        <v>252</v>
      </c>
      <c r="AJ40" s="242">
        <v>10.463604938271605</v>
      </c>
      <c r="AK40" s="242" t="s">
        <v>252</v>
      </c>
      <c r="AL40" s="242">
        <v>11.90235061728395</v>
      </c>
      <c r="AM40" s="242" t="s">
        <v>252</v>
      </c>
      <c r="AN40" s="242">
        <v>8.2813925925925922</v>
      </c>
      <c r="AO40" s="242" t="s">
        <v>252</v>
      </c>
      <c r="AP40" s="242">
        <v>10.794034567901234</v>
      </c>
      <c r="AQ40" s="242" t="s">
        <v>252</v>
      </c>
      <c r="AR40" s="242">
        <v>87.997540740740732</v>
      </c>
      <c r="AS40" s="242" t="s">
        <v>252</v>
      </c>
      <c r="AT40" s="242">
        <v>60.551229629629624</v>
      </c>
      <c r="AU40" s="242" t="s">
        <v>252</v>
      </c>
      <c r="AV40" s="242">
        <v>98.357886419753086</v>
      </c>
      <c r="AW40" s="157" t="s">
        <v>252</v>
      </c>
      <c r="AX40" s="157">
        <v>2341.5413827160492</v>
      </c>
      <c r="AY40" s="240">
        <v>0.38550123456790125</v>
      </c>
      <c r="AZ40" s="156" t="s">
        <v>253</v>
      </c>
      <c r="BA40" s="156" t="s">
        <v>254</v>
      </c>
      <c r="BB40" s="156">
        <v>1</v>
      </c>
      <c r="BC40" s="157" t="s">
        <v>255</v>
      </c>
      <c r="BD40" s="3"/>
    </row>
    <row r="41" spans="1:56" ht="15.75" hidden="1" customHeight="1" outlineLevel="1">
      <c r="A41" s="58">
        <v>31</v>
      </c>
      <c r="B41" s="11">
        <v>129031</v>
      </c>
      <c r="C41" s="89" t="s">
        <v>258</v>
      </c>
      <c r="D41" s="157">
        <v>12</v>
      </c>
      <c r="E41" s="12" t="s">
        <v>231</v>
      </c>
      <c r="F41" s="11" t="s">
        <v>246</v>
      </c>
      <c r="G41" s="18" t="s">
        <v>247</v>
      </c>
      <c r="H41" s="11" t="s">
        <v>248</v>
      </c>
      <c r="I41" s="87" t="s">
        <v>249</v>
      </c>
      <c r="J41" s="19" t="s">
        <v>139</v>
      </c>
      <c r="K41" s="17" t="s">
        <v>140</v>
      </c>
      <c r="L41" s="257">
        <v>0</v>
      </c>
      <c r="M41" s="70" t="s">
        <v>250</v>
      </c>
      <c r="N41" s="70">
        <v>80</v>
      </c>
      <c r="O41" s="258">
        <v>8</v>
      </c>
      <c r="P41" s="70" t="s">
        <v>251</v>
      </c>
      <c r="Q41" s="70" t="s">
        <v>233</v>
      </c>
      <c r="R41" s="70" t="s">
        <v>240</v>
      </c>
      <c r="S41" s="70" t="s">
        <v>233</v>
      </c>
      <c r="T41" s="70" t="s">
        <v>233</v>
      </c>
      <c r="U41" s="70" t="s">
        <v>1427</v>
      </c>
      <c r="V41" s="70" t="s">
        <v>240</v>
      </c>
      <c r="W41" s="12"/>
      <c r="X41" s="242">
        <v>354.05176296296298</v>
      </c>
      <c r="Y41" s="242">
        <v>356.29531851851857</v>
      </c>
      <c r="Z41" s="242">
        <v>64.467945679012345</v>
      </c>
      <c r="AA41" s="157" t="s">
        <v>252</v>
      </c>
      <c r="AB41" s="242">
        <v>48.996760493827168</v>
      </c>
      <c r="AC41" s="157" t="s">
        <v>252</v>
      </c>
      <c r="AD41" s="242">
        <v>57.46306666666667</v>
      </c>
      <c r="AE41" s="157" t="s">
        <v>252</v>
      </c>
      <c r="AF41" s="242">
        <v>33.385353086419755</v>
      </c>
      <c r="AG41" s="157" t="s">
        <v>252</v>
      </c>
      <c r="AH41" s="242">
        <v>14.72644938271605</v>
      </c>
      <c r="AI41" s="157" t="s">
        <v>252</v>
      </c>
      <c r="AJ41" s="242">
        <v>4.7363950617283948</v>
      </c>
      <c r="AK41" s="242" t="s">
        <v>252</v>
      </c>
      <c r="AL41" s="242">
        <v>5.3876493827160497</v>
      </c>
      <c r="AM41" s="242" t="s">
        <v>252</v>
      </c>
      <c r="AN41" s="242">
        <v>3.7486074074074076</v>
      </c>
      <c r="AO41" s="242" t="s">
        <v>252</v>
      </c>
      <c r="AP41" s="242">
        <v>4.8859654320987653</v>
      </c>
      <c r="AQ41" s="242" t="s">
        <v>252</v>
      </c>
      <c r="AR41" s="242">
        <v>39.832459259259259</v>
      </c>
      <c r="AS41" s="242" t="s">
        <v>252</v>
      </c>
      <c r="AT41" s="242">
        <v>27.40877037037037</v>
      </c>
      <c r="AU41" s="242" t="s">
        <v>252</v>
      </c>
      <c r="AV41" s="242">
        <v>44.522113580246916</v>
      </c>
      <c r="AW41" s="157" t="s">
        <v>252</v>
      </c>
      <c r="AX41" s="157">
        <v>1059.9086172839509</v>
      </c>
      <c r="AY41" s="243">
        <v>0.1744987654320988</v>
      </c>
      <c r="AZ41" s="156" t="s">
        <v>253</v>
      </c>
      <c r="BA41" s="156" t="s">
        <v>254</v>
      </c>
      <c r="BB41" s="156">
        <v>0</v>
      </c>
      <c r="BC41" s="157" t="s">
        <v>255</v>
      </c>
      <c r="BD41" s="3"/>
    </row>
    <row r="42" spans="1:56" ht="15.75" hidden="1" customHeight="1" outlineLevel="1">
      <c r="A42" s="58">
        <v>32</v>
      </c>
      <c r="B42" s="11">
        <v>129032</v>
      </c>
      <c r="C42" s="89" t="s">
        <v>258</v>
      </c>
      <c r="D42" s="157">
        <v>13</v>
      </c>
      <c r="E42" s="12" t="s">
        <v>191</v>
      </c>
      <c r="F42" s="11" t="s">
        <v>246</v>
      </c>
      <c r="G42" s="18" t="s">
        <v>247</v>
      </c>
      <c r="H42" s="11" t="s">
        <v>248</v>
      </c>
      <c r="I42" s="87" t="s">
        <v>249</v>
      </c>
      <c r="J42" s="19" t="s">
        <v>139</v>
      </c>
      <c r="K42" s="17" t="s">
        <v>140</v>
      </c>
      <c r="L42" s="260">
        <v>1</v>
      </c>
      <c r="M42" s="70" t="s">
        <v>250</v>
      </c>
      <c r="N42" s="70">
        <v>100</v>
      </c>
      <c r="O42" s="258">
        <v>8</v>
      </c>
      <c r="P42" s="70" t="s">
        <v>251</v>
      </c>
      <c r="Q42" s="70" t="s">
        <v>233</v>
      </c>
      <c r="R42" s="70" t="s">
        <v>240</v>
      </c>
      <c r="S42" s="70" t="s">
        <v>233</v>
      </c>
      <c r="T42" s="70" t="s">
        <v>233</v>
      </c>
      <c r="U42" s="70" t="s">
        <v>1427</v>
      </c>
      <c r="V42" s="70" t="s">
        <v>240</v>
      </c>
      <c r="W42" s="12"/>
      <c r="X42" s="242">
        <v>362.78172790728314</v>
      </c>
      <c r="Y42" s="242">
        <v>366.58552614249965</v>
      </c>
      <c r="Z42" s="242">
        <v>51.019549585144212</v>
      </c>
      <c r="AA42" s="157" t="s">
        <v>252</v>
      </c>
      <c r="AB42" s="242">
        <v>35.317824311866197</v>
      </c>
      <c r="AC42" s="157" t="s">
        <v>252</v>
      </c>
      <c r="AD42" s="242">
        <v>49.360916633741603</v>
      </c>
      <c r="AE42" s="157" t="s">
        <v>252</v>
      </c>
      <c r="AF42" s="242">
        <v>29.440734887396285</v>
      </c>
      <c r="AG42" s="157" t="s">
        <v>252</v>
      </c>
      <c r="AH42" s="242">
        <v>11.112840774397473</v>
      </c>
      <c r="AI42" s="157" t="s">
        <v>252</v>
      </c>
      <c r="AJ42" s="242">
        <v>7.1984670090873175</v>
      </c>
      <c r="AK42" s="242" t="s">
        <v>252</v>
      </c>
      <c r="AL42" s="242">
        <v>4.2903305676280787</v>
      </c>
      <c r="AM42" s="242" t="s">
        <v>252</v>
      </c>
      <c r="AN42" s="242">
        <v>4.3787909917028847</v>
      </c>
      <c r="AO42" s="242" t="s">
        <v>252</v>
      </c>
      <c r="AP42" s="242">
        <v>5.8162728829184775</v>
      </c>
      <c r="AQ42" s="242" t="s">
        <v>252</v>
      </c>
      <c r="AR42" s="242">
        <v>32.006087185565654</v>
      </c>
      <c r="AS42" s="242" t="s">
        <v>252</v>
      </c>
      <c r="AT42" s="242">
        <v>29.534724087975768</v>
      </c>
      <c r="AU42" s="242" t="s">
        <v>252</v>
      </c>
      <c r="AV42" s="242">
        <v>34.665428684314506</v>
      </c>
      <c r="AW42" s="157" t="s">
        <v>252</v>
      </c>
      <c r="AX42" s="157">
        <v>1023.5092216515211</v>
      </c>
      <c r="AY42" s="240">
        <v>0.16486811536941923</v>
      </c>
      <c r="AZ42" s="156" t="s">
        <v>253</v>
      </c>
      <c r="BA42" s="156" t="s">
        <v>254</v>
      </c>
      <c r="BB42" s="156">
        <v>1</v>
      </c>
      <c r="BC42" s="156" t="s">
        <v>1423</v>
      </c>
      <c r="BD42" s="3"/>
    </row>
    <row r="43" spans="1:56" ht="15.75" hidden="1" customHeight="1" outlineLevel="1">
      <c r="A43" s="58">
        <v>33</v>
      </c>
      <c r="B43" s="11">
        <v>129033</v>
      </c>
      <c r="C43" s="89" t="s">
        <v>258</v>
      </c>
      <c r="D43" s="157">
        <v>13</v>
      </c>
      <c r="E43" s="12" t="s">
        <v>231</v>
      </c>
      <c r="F43" s="11" t="s">
        <v>246</v>
      </c>
      <c r="G43" s="18" t="s">
        <v>247</v>
      </c>
      <c r="H43" s="11" t="s">
        <v>248</v>
      </c>
      <c r="I43" s="87" t="s">
        <v>249</v>
      </c>
      <c r="J43" s="19" t="s">
        <v>139</v>
      </c>
      <c r="K43" s="17" t="s">
        <v>140</v>
      </c>
      <c r="L43" s="257">
        <v>0</v>
      </c>
      <c r="M43" s="70" t="s">
        <v>250</v>
      </c>
      <c r="N43" s="70">
        <v>100</v>
      </c>
      <c r="O43" s="258">
        <v>8</v>
      </c>
      <c r="P43" s="70" t="s">
        <v>251</v>
      </c>
      <c r="Q43" s="70" t="s">
        <v>233</v>
      </c>
      <c r="R43" s="70" t="s">
        <v>240</v>
      </c>
      <c r="S43" s="70" t="s">
        <v>233</v>
      </c>
      <c r="T43" s="70" t="s">
        <v>233</v>
      </c>
      <c r="U43" s="70" t="s">
        <v>1427</v>
      </c>
      <c r="V43" s="70" t="s">
        <v>240</v>
      </c>
      <c r="W43" s="12"/>
      <c r="X43" s="242">
        <v>293.38827209271705</v>
      </c>
      <c r="Y43" s="242">
        <v>296.46447385750031</v>
      </c>
      <c r="Z43" s="242">
        <v>41.260450414855789</v>
      </c>
      <c r="AA43" s="157" t="s">
        <v>252</v>
      </c>
      <c r="AB43" s="242">
        <v>28.562175688133809</v>
      </c>
      <c r="AC43" s="157" t="s">
        <v>252</v>
      </c>
      <c r="AD43" s="242">
        <v>39.919083366258398</v>
      </c>
      <c r="AE43" s="157" t="s">
        <v>252</v>
      </c>
      <c r="AF43" s="242">
        <v>23.809265112603715</v>
      </c>
      <c r="AG43" s="157" t="s">
        <v>252</v>
      </c>
      <c r="AH43" s="242">
        <v>8.9871592256025288</v>
      </c>
      <c r="AI43" s="157" t="s">
        <v>252</v>
      </c>
      <c r="AJ43" s="242">
        <v>5.8215329909126821</v>
      </c>
      <c r="AK43" s="242" t="s">
        <v>252</v>
      </c>
      <c r="AL43" s="242">
        <v>3.4696694323719215</v>
      </c>
      <c r="AM43" s="242" t="s">
        <v>252</v>
      </c>
      <c r="AN43" s="242">
        <v>3.5412090082971157</v>
      </c>
      <c r="AO43" s="242" t="s">
        <v>252</v>
      </c>
      <c r="AP43" s="242">
        <v>4.703727117081522</v>
      </c>
      <c r="AQ43" s="242" t="s">
        <v>252</v>
      </c>
      <c r="AR43" s="242">
        <v>25.883912814434346</v>
      </c>
      <c r="AS43" s="242" t="s">
        <v>252</v>
      </c>
      <c r="AT43" s="242">
        <v>23.885275912024234</v>
      </c>
      <c r="AU43" s="242" t="s">
        <v>252</v>
      </c>
      <c r="AV43" s="242">
        <v>28.034571315685501</v>
      </c>
      <c r="AW43" s="157" t="s">
        <v>252</v>
      </c>
      <c r="AX43" s="157">
        <v>827.73077834847891</v>
      </c>
      <c r="AY43" s="243">
        <v>0.13333188463058079</v>
      </c>
      <c r="AZ43" s="156" t="s">
        <v>253</v>
      </c>
      <c r="BA43" s="156" t="s">
        <v>254</v>
      </c>
      <c r="BB43" s="156">
        <v>0</v>
      </c>
      <c r="BC43" s="156" t="s">
        <v>1423</v>
      </c>
      <c r="BD43" s="3"/>
    </row>
    <row r="44" spans="1:56" ht="15.75" hidden="1" customHeight="1" outlineLevel="1">
      <c r="A44" s="58">
        <v>34</v>
      </c>
      <c r="B44" s="11">
        <v>129034</v>
      </c>
      <c r="C44" s="89" t="s">
        <v>258</v>
      </c>
      <c r="D44" s="157">
        <v>14</v>
      </c>
      <c r="E44" s="12" t="s">
        <v>260</v>
      </c>
      <c r="F44" s="11" t="s">
        <v>246</v>
      </c>
      <c r="G44" s="18" t="s">
        <v>247</v>
      </c>
      <c r="H44" s="11" t="s">
        <v>248</v>
      </c>
      <c r="I44" s="87" t="s">
        <v>249</v>
      </c>
      <c r="J44" s="19" t="s">
        <v>139</v>
      </c>
      <c r="K44" s="17" t="s">
        <v>140</v>
      </c>
      <c r="L44" s="260">
        <v>1</v>
      </c>
      <c r="M44" s="70" t="s">
        <v>250</v>
      </c>
      <c r="N44" s="70">
        <v>80</v>
      </c>
      <c r="O44" s="258">
        <v>8</v>
      </c>
      <c r="P44" s="70" t="s">
        <v>251</v>
      </c>
      <c r="Q44" s="70" t="s">
        <v>233</v>
      </c>
      <c r="R44" s="70" t="s">
        <v>240</v>
      </c>
      <c r="S44" s="70" t="s">
        <v>233</v>
      </c>
      <c r="T44" s="70" t="s">
        <v>233</v>
      </c>
      <c r="U44" s="70" t="s">
        <v>1427</v>
      </c>
      <c r="V44" s="70" t="s">
        <v>240</v>
      </c>
      <c r="W44" s="12"/>
      <c r="X44" s="242">
        <v>201.4</v>
      </c>
      <c r="Y44" s="242">
        <v>169.8</v>
      </c>
      <c r="Z44" s="242">
        <v>27.7</v>
      </c>
      <c r="AA44" s="157" t="s">
        <v>252</v>
      </c>
      <c r="AB44" s="242">
        <v>22.6</v>
      </c>
      <c r="AC44" s="157" t="s">
        <v>252</v>
      </c>
      <c r="AD44" s="242">
        <v>28.3</v>
      </c>
      <c r="AE44" s="157" t="s">
        <v>252</v>
      </c>
      <c r="AF44" s="242">
        <v>18.3</v>
      </c>
      <c r="AG44" s="157" t="s">
        <v>252</v>
      </c>
      <c r="AH44" s="242">
        <v>8</v>
      </c>
      <c r="AI44" s="157" t="s">
        <v>252</v>
      </c>
      <c r="AJ44" s="242">
        <v>0</v>
      </c>
      <c r="AK44" s="242" t="s">
        <v>252</v>
      </c>
      <c r="AL44" s="242">
        <v>3.4</v>
      </c>
      <c r="AM44" s="242" t="s">
        <v>252</v>
      </c>
      <c r="AN44" s="242">
        <v>0</v>
      </c>
      <c r="AO44" s="242" t="s">
        <v>252</v>
      </c>
      <c r="AP44" s="242">
        <v>0</v>
      </c>
      <c r="AQ44" s="242" t="s">
        <v>252</v>
      </c>
      <c r="AR44" s="242">
        <v>22.7</v>
      </c>
      <c r="AS44" s="242" t="s">
        <v>252</v>
      </c>
      <c r="AT44" s="242">
        <v>21.9</v>
      </c>
      <c r="AU44" s="242" t="s">
        <v>252</v>
      </c>
      <c r="AV44" s="242">
        <v>26.8</v>
      </c>
      <c r="AW44" s="157" t="s">
        <v>252</v>
      </c>
      <c r="AX44" s="157">
        <v>550.9</v>
      </c>
      <c r="AY44" s="240">
        <v>0.08</v>
      </c>
      <c r="AZ44" s="156" t="s">
        <v>253</v>
      </c>
      <c r="BA44" s="156" t="s">
        <v>254</v>
      </c>
      <c r="BB44" s="156">
        <v>1</v>
      </c>
      <c r="BC44" s="156" t="s">
        <v>1423</v>
      </c>
      <c r="BD44" s="3"/>
    </row>
    <row r="45" spans="1:56" ht="15.75" hidden="1" customHeight="1" outlineLevel="1">
      <c r="A45" s="58">
        <v>35</v>
      </c>
      <c r="B45" s="11">
        <v>129035</v>
      </c>
      <c r="C45" s="89" t="s">
        <v>258</v>
      </c>
      <c r="D45" s="157">
        <v>15</v>
      </c>
      <c r="E45" s="12" t="s">
        <v>191</v>
      </c>
      <c r="F45" s="11" t="s">
        <v>246</v>
      </c>
      <c r="G45" s="18" t="s">
        <v>247</v>
      </c>
      <c r="H45" s="11" t="s">
        <v>248</v>
      </c>
      <c r="I45" s="87" t="s">
        <v>249</v>
      </c>
      <c r="J45" s="19" t="s">
        <v>139</v>
      </c>
      <c r="K45" s="17" t="s">
        <v>140</v>
      </c>
      <c r="L45" s="257">
        <v>0</v>
      </c>
      <c r="M45" s="70" t="s">
        <v>250</v>
      </c>
      <c r="N45" s="70">
        <v>100</v>
      </c>
      <c r="O45" s="258">
        <v>8</v>
      </c>
      <c r="P45" s="70" t="s">
        <v>251</v>
      </c>
      <c r="Q45" s="70" t="s">
        <v>233</v>
      </c>
      <c r="R45" s="70" t="s">
        <v>240</v>
      </c>
      <c r="S45" s="70" t="s">
        <v>233</v>
      </c>
      <c r="T45" s="70" t="s">
        <v>233</v>
      </c>
      <c r="U45" s="70" t="s">
        <v>1427</v>
      </c>
      <c r="V45" s="70" t="s">
        <v>240</v>
      </c>
      <c r="W45" s="12"/>
      <c r="X45" s="242">
        <v>250.37156169744404</v>
      </c>
      <c r="Y45" s="242">
        <v>229.23663079368964</v>
      </c>
      <c r="Z45" s="242">
        <v>41.639443561208267</v>
      </c>
      <c r="AA45" s="157" t="s">
        <v>252</v>
      </c>
      <c r="AB45" s="242">
        <v>26.292898373486612</v>
      </c>
      <c r="AC45" s="157" t="s">
        <v>252</v>
      </c>
      <c r="AD45" s="242">
        <v>35.781011373364315</v>
      </c>
      <c r="AE45" s="157" t="s">
        <v>252</v>
      </c>
      <c r="AF45" s="242">
        <v>22.84788553259142</v>
      </c>
      <c r="AG45" s="157" t="s">
        <v>252</v>
      </c>
      <c r="AH45" s="242">
        <v>7.5968582609759085</v>
      </c>
      <c r="AI45" s="157" t="s">
        <v>252</v>
      </c>
      <c r="AJ45" s="242">
        <v>2.2987978476213771</v>
      </c>
      <c r="AK45" s="242" t="s">
        <v>252</v>
      </c>
      <c r="AL45" s="242">
        <v>1.445504463739758</v>
      </c>
      <c r="AM45" s="242" t="s">
        <v>252</v>
      </c>
      <c r="AN45" s="242">
        <v>1.8785190167543111</v>
      </c>
      <c r="AO45" s="242" t="s">
        <v>252</v>
      </c>
      <c r="AP45" s="242">
        <v>2.6872373731197259</v>
      </c>
      <c r="AQ45" s="242" t="s">
        <v>252</v>
      </c>
      <c r="AR45" s="242">
        <v>27.375434756022994</v>
      </c>
      <c r="AS45" s="242" t="s">
        <v>252</v>
      </c>
      <c r="AT45" s="242">
        <v>24.025939831233948</v>
      </c>
      <c r="AU45" s="242" t="s">
        <v>252</v>
      </c>
      <c r="AV45" s="242">
        <v>24.796451021156905</v>
      </c>
      <c r="AW45" s="157" t="s">
        <v>252</v>
      </c>
      <c r="AX45" s="157">
        <v>698.2741739024093</v>
      </c>
      <c r="AY45" s="240">
        <v>0.10061220496514615</v>
      </c>
      <c r="AZ45" s="156" t="s">
        <v>253</v>
      </c>
      <c r="BA45" s="156" t="s">
        <v>254</v>
      </c>
      <c r="BB45" s="156">
        <v>0</v>
      </c>
      <c r="BC45" s="156" t="s">
        <v>1423</v>
      </c>
      <c r="BD45" s="3"/>
    </row>
    <row r="46" spans="1:56" ht="15.75" hidden="1" customHeight="1" outlineLevel="1">
      <c r="A46" s="58">
        <v>36</v>
      </c>
      <c r="B46" s="11">
        <v>129036</v>
      </c>
      <c r="C46" s="89" t="s">
        <v>258</v>
      </c>
      <c r="D46" s="157">
        <v>15</v>
      </c>
      <c r="E46" s="12" t="s">
        <v>260</v>
      </c>
      <c r="F46" s="11" t="s">
        <v>246</v>
      </c>
      <c r="G46" s="18" t="s">
        <v>247</v>
      </c>
      <c r="H46" s="11" t="s">
        <v>248</v>
      </c>
      <c r="I46" s="87" t="s">
        <v>249</v>
      </c>
      <c r="J46" s="19" t="s">
        <v>139</v>
      </c>
      <c r="K46" s="17" t="s">
        <v>140</v>
      </c>
      <c r="L46" s="257">
        <v>0</v>
      </c>
      <c r="M46" s="70" t="s">
        <v>250</v>
      </c>
      <c r="N46" s="70">
        <v>100</v>
      </c>
      <c r="O46" s="258">
        <v>8</v>
      </c>
      <c r="P46" s="70" t="s">
        <v>251</v>
      </c>
      <c r="Q46" s="70" t="s">
        <v>233</v>
      </c>
      <c r="R46" s="70" t="s">
        <v>240</v>
      </c>
      <c r="S46" s="70" t="s">
        <v>233</v>
      </c>
      <c r="T46" s="70" t="s">
        <v>233</v>
      </c>
      <c r="U46" s="70" t="s">
        <v>1427</v>
      </c>
      <c r="V46" s="70" t="s">
        <v>240</v>
      </c>
      <c r="W46" s="12"/>
      <c r="X46" s="242">
        <v>142.80843830255591</v>
      </c>
      <c r="Y46" s="242">
        <v>130.75336920631037</v>
      </c>
      <c r="Z46" s="242">
        <v>23.75055643879173</v>
      </c>
      <c r="AA46" s="157" t="s">
        <v>252</v>
      </c>
      <c r="AB46" s="242">
        <v>14.997101626513389</v>
      </c>
      <c r="AC46" s="157" t="s">
        <v>252</v>
      </c>
      <c r="AD46" s="242">
        <v>20.408988626635683</v>
      </c>
      <c r="AE46" s="157" t="s">
        <v>252</v>
      </c>
      <c r="AF46" s="242">
        <v>13.032114467408585</v>
      </c>
      <c r="AG46" s="157" t="s">
        <v>252</v>
      </c>
      <c r="AH46" s="242">
        <v>4.3331417390240912</v>
      </c>
      <c r="AI46" s="157" t="s">
        <v>252</v>
      </c>
      <c r="AJ46" s="242">
        <v>1.3112021523786228</v>
      </c>
      <c r="AK46" s="242" t="s">
        <v>252</v>
      </c>
      <c r="AL46" s="242">
        <v>0.82449553626024208</v>
      </c>
      <c r="AM46" s="242" t="s">
        <v>252</v>
      </c>
      <c r="AN46" s="242">
        <v>1.0714809832456891</v>
      </c>
      <c r="AO46" s="242" t="s">
        <v>252</v>
      </c>
      <c r="AP46" s="242">
        <v>1.5327626268802736</v>
      </c>
      <c r="AQ46" s="242" t="s">
        <v>252</v>
      </c>
      <c r="AR46" s="242">
        <v>15.614565243977008</v>
      </c>
      <c r="AS46" s="242" t="s">
        <v>252</v>
      </c>
      <c r="AT46" s="242">
        <v>13.704060168766048</v>
      </c>
      <c r="AU46" s="242" t="s">
        <v>252</v>
      </c>
      <c r="AV46" s="242">
        <v>14.143548978843095</v>
      </c>
      <c r="AW46" s="157" t="s">
        <v>252</v>
      </c>
      <c r="AX46" s="157">
        <v>398.2858260975907</v>
      </c>
      <c r="AY46" s="243">
        <v>5.7387795034853854E-2</v>
      </c>
      <c r="AZ46" s="156" t="s">
        <v>253</v>
      </c>
      <c r="BA46" s="156" t="s">
        <v>254</v>
      </c>
      <c r="BB46" s="156">
        <v>0</v>
      </c>
      <c r="BC46" s="156" t="s">
        <v>1423</v>
      </c>
      <c r="BD46" s="3"/>
    </row>
    <row r="47" spans="1:56" ht="15.75" hidden="1" customHeight="1" outlineLevel="1">
      <c r="A47" s="58">
        <v>37</v>
      </c>
      <c r="B47" s="11">
        <v>129037</v>
      </c>
      <c r="C47" s="89" t="s">
        <v>258</v>
      </c>
      <c r="D47" s="157">
        <v>16</v>
      </c>
      <c r="E47" s="12" t="s">
        <v>261</v>
      </c>
      <c r="F47" s="11" t="s">
        <v>246</v>
      </c>
      <c r="G47" s="18" t="s">
        <v>247</v>
      </c>
      <c r="H47" s="11" t="s">
        <v>248</v>
      </c>
      <c r="I47" s="87" t="s">
        <v>249</v>
      </c>
      <c r="J47" s="19" t="s">
        <v>139</v>
      </c>
      <c r="K47" s="17" t="s">
        <v>140</v>
      </c>
      <c r="L47" s="257">
        <v>0</v>
      </c>
      <c r="M47" s="70" t="s">
        <v>250</v>
      </c>
      <c r="N47" s="70">
        <v>100</v>
      </c>
      <c r="O47" s="258">
        <v>8</v>
      </c>
      <c r="P47" s="70" t="s">
        <v>251</v>
      </c>
      <c r="Q47" s="70" t="s">
        <v>233</v>
      </c>
      <c r="R47" s="70" t="s">
        <v>240</v>
      </c>
      <c r="S47" s="70" t="s">
        <v>233</v>
      </c>
      <c r="T47" s="70" t="s">
        <v>233</v>
      </c>
      <c r="U47" s="70" t="s">
        <v>1427</v>
      </c>
      <c r="V47" s="70" t="s">
        <v>240</v>
      </c>
      <c r="W47" s="12"/>
      <c r="X47" s="242">
        <v>214.51123676556136</v>
      </c>
      <c r="Y47" s="242">
        <v>181.08546829552063</v>
      </c>
      <c r="Z47" s="242">
        <v>29.52632926119837</v>
      </c>
      <c r="AA47" s="157" t="s">
        <v>252</v>
      </c>
      <c r="AB47" s="242">
        <v>24.055892961023847</v>
      </c>
      <c r="AC47" s="157" t="s">
        <v>252</v>
      </c>
      <c r="AD47" s="242">
        <v>30.157533449680042</v>
      </c>
      <c r="AE47" s="157" t="s">
        <v>252</v>
      </c>
      <c r="AF47" s="242">
        <v>19.497196044211748</v>
      </c>
      <c r="AG47" s="157" t="s">
        <v>252</v>
      </c>
      <c r="AH47" s="242">
        <v>8.5563234438627092</v>
      </c>
      <c r="AI47" s="157" t="s">
        <v>252</v>
      </c>
      <c r="AJ47" s="242">
        <v>0</v>
      </c>
      <c r="AK47" s="242" t="s">
        <v>252</v>
      </c>
      <c r="AL47" s="242">
        <v>0</v>
      </c>
      <c r="AM47" s="242" t="s">
        <v>252</v>
      </c>
      <c r="AN47" s="242">
        <v>0</v>
      </c>
      <c r="AO47" s="242" t="s">
        <v>252</v>
      </c>
      <c r="AP47" s="242">
        <v>0</v>
      </c>
      <c r="AQ47" s="242" t="s">
        <v>252</v>
      </c>
      <c r="AR47" s="242">
        <v>24.266294357184407</v>
      </c>
      <c r="AS47" s="242" t="s">
        <v>252</v>
      </c>
      <c r="AT47" s="242">
        <v>23.284421175101802</v>
      </c>
      <c r="AU47" s="242" t="s">
        <v>252</v>
      </c>
      <c r="AV47" s="242">
        <v>28.544456079115765</v>
      </c>
      <c r="AW47" s="157" t="s">
        <v>252</v>
      </c>
      <c r="AX47" s="157">
        <v>583.4851518324607</v>
      </c>
      <c r="AY47" s="240">
        <v>8.4160558464223378E-2</v>
      </c>
      <c r="AZ47" s="156" t="s">
        <v>253</v>
      </c>
      <c r="BA47" s="156" t="s">
        <v>254</v>
      </c>
      <c r="BB47" s="156">
        <v>0</v>
      </c>
      <c r="BC47" s="156" t="s">
        <v>1423</v>
      </c>
      <c r="BD47" s="3"/>
    </row>
    <row r="48" spans="1:56" ht="15.75" hidden="1" customHeight="1" outlineLevel="1">
      <c r="A48" s="58">
        <v>38</v>
      </c>
      <c r="B48" s="11">
        <v>129038</v>
      </c>
      <c r="C48" s="89" t="s">
        <v>258</v>
      </c>
      <c r="D48" s="157">
        <v>16</v>
      </c>
      <c r="E48" s="12" t="s">
        <v>262</v>
      </c>
      <c r="F48" s="11" t="s">
        <v>246</v>
      </c>
      <c r="G48" s="18" t="s">
        <v>247</v>
      </c>
      <c r="H48" s="11" t="s">
        <v>248</v>
      </c>
      <c r="I48" s="87" t="s">
        <v>249</v>
      </c>
      <c r="J48" s="19" t="s">
        <v>139</v>
      </c>
      <c r="K48" s="17" t="s">
        <v>140</v>
      </c>
      <c r="L48" s="257">
        <v>0</v>
      </c>
      <c r="M48" s="70" t="s">
        <v>250</v>
      </c>
      <c r="N48" s="70">
        <v>100</v>
      </c>
      <c r="O48" s="258">
        <v>8</v>
      </c>
      <c r="P48" s="70" t="s">
        <v>251</v>
      </c>
      <c r="Q48" s="70" t="s">
        <v>233</v>
      </c>
      <c r="R48" s="70" t="s">
        <v>240</v>
      </c>
      <c r="S48" s="70" t="s">
        <v>233</v>
      </c>
      <c r="T48" s="70" t="s">
        <v>233</v>
      </c>
      <c r="U48" s="70" t="s">
        <v>1427</v>
      </c>
      <c r="V48" s="70" t="s">
        <v>240</v>
      </c>
      <c r="W48" s="12"/>
      <c r="X48" s="242">
        <v>91.348763234438621</v>
      </c>
      <c r="Y48" s="242">
        <v>77.114531704479333</v>
      </c>
      <c r="Z48" s="242">
        <v>12.573670738801628</v>
      </c>
      <c r="AA48" s="157" t="s">
        <v>252</v>
      </c>
      <c r="AB48" s="242">
        <v>10.244107038976146</v>
      </c>
      <c r="AC48" s="157" t="s">
        <v>252</v>
      </c>
      <c r="AD48" s="242">
        <v>12.842466550319951</v>
      </c>
      <c r="AE48" s="157" t="s">
        <v>252</v>
      </c>
      <c r="AF48" s="242">
        <v>8.3028039557882476</v>
      </c>
      <c r="AG48" s="157" t="s">
        <v>252</v>
      </c>
      <c r="AH48" s="242">
        <v>3.6436765561372884</v>
      </c>
      <c r="AI48" s="157" t="s">
        <v>252</v>
      </c>
      <c r="AJ48" s="242">
        <v>0</v>
      </c>
      <c r="AK48" s="242" t="s">
        <v>252</v>
      </c>
      <c r="AL48" s="242">
        <v>0</v>
      </c>
      <c r="AM48" s="242" t="s">
        <v>252</v>
      </c>
      <c r="AN48" s="242">
        <v>0</v>
      </c>
      <c r="AO48" s="242" t="s">
        <v>252</v>
      </c>
      <c r="AP48" s="242">
        <v>0</v>
      </c>
      <c r="AQ48" s="242" t="s">
        <v>252</v>
      </c>
      <c r="AR48" s="242">
        <v>10.333705642815589</v>
      </c>
      <c r="AS48" s="242" t="s">
        <v>252</v>
      </c>
      <c r="AT48" s="242">
        <v>9.915578824898196</v>
      </c>
      <c r="AU48" s="242" t="s">
        <v>252</v>
      </c>
      <c r="AV48" s="242">
        <v>12.155543920884234</v>
      </c>
      <c r="AW48" s="157" t="s">
        <v>252</v>
      </c>
      <c r="AX48" s="157">
        <v>248.47484816753928</v>
      </c>
      <c r="AY48" s="243">
        <v>3.583944153577661E-2</v>
      </c>
      <c r="AZ48" s="156" t="s">
        <v>253</v>
      </c>
      <c r="BA48" s="156" t="s">
        <v>254</v>
      </c>
      <c r="BB48" s="156">
        <v>0</v>
      </c>
      <c r="BC48" s="156" t="s">
        <v>1423</v>
      </c>
      <c r="BD48" s="3"/>
    </row>
    <row r="49" spans="1:56" ht="15.75" hidden="1" customHeight="1" outlineLevel="1">
      <c r="A49" s="58">
        <v>39</v>
      </c>
      <c r="B49" s="11">
        <v>129039</v>
      </c>
      <c r="C49" s="89" t="s">
        <v>258</v>
      </c>
      <c r="D49" s="157">
        <v>19</v>
      </c>
      <c r="E49" s="12" t="s">
        <v>191</v>
      </c>
      <c r="F49" s="11" t="s">
        <v>246</v>
      </c>
      <c r="G49" s="18" t="s">
        <v>247</v>
      </c>
      <c r="H49" s="11" t="s">
        <v>248</v>
      </c>
      <c r="I49" s="87" t="s">
        <v>249</v>
      </c>
      <c r="J49" s="19" t="s">
        <v>139</v>
      </c>
      <c r="K49" s="17" t="s">
        <v>140</v>
      </c>
      <c r="L49" s="260">
        <v>1</v>
      </c>
      <c r="M49" s="70" t="s">
        <v>250</v>
      </c>
      <c r="N49" s="70">
        <v>100</v>
      </c>
      <c r="O49" s="258">
        <v>8</v>
      </c>
      <c r="P49" s="70" t="s">
        <v>251</v>
      </c>
      <c r="Q49" s="70" t="s">
        <v>233</v>
      </c>
      <c r="R49" s="70" t="s">
        <v>240</v>
      </c>
      <c r="S49" s="70" t="s">
        <v>233</v>
      </c>
      <c r="T49" s="70" t="s">
        <v>233</v>
      </c>
      <c r="U49" s="70" t="s">
        <v>1427</v>
      </c>
      <c r="V49" s="70" t="s">
        <v>240</v>
      </c>
      <c r="W49" s="12"/>
      <c r="X49" s="242">
        <v>1784.86</v>
      </c>
      <c r="Y49" s="242">
        <v>1363.5800000000004</v>
      </c>
      <c r="Z49" s="242">
        <v>198.95</v>
      </c>
      <c r="AA49" s="157" t="s">
        <v>252</v>
      </c>
      <c r="AB49" s="242">
        <v>159.06</v>
      </c>
      <c r="AC49" s="157" t="s">
        <v>252</v>
      </c>
      <c r="AD49" s="242">
        <v>212.95</v>
      </c>
      <c r="AE49" s="157" t="s">
        <v>252</v>
      </c>
      <c r="AF49" s="242">
        <v>148.66</v>
      </c>
      <c r="AG49" s="157" t="s">
        <v>252</v>
      </c>
      <c r="AH49" s="242">
        <v>68.7</v>
      </c>
      <c r="AI49" s="157" t="s">
        <v>252</v>
      </c>
      <c r="AJ49" s="242">
        <v>52.72</v>
      </c>
      <c r="AK49" s="242" t="s">
        <v>252</v>
      </c>
      <c r="AL49" s="242">
        <v>52.11</v>
      </c>
      <c r="AM49" s="242" t="s">
        <v>252</v>
      </c>
      <c r="AN49" s="242">
        <v>56.38</v>
      </c>
      <c r="AO49" s="242" t="s">
        <v>252</v>
      </c>
      <c r="AP49" s="242">
        <v>46.73</v>
      </c>
      <c r="AQ49" s="242" t="s">
        <v>252</v>
      </c>
      <c r="AR49" s="242">
        <v>160.63999999999999</v>
      </c>
      <c r="AS49" s="242" t="s">
        <v>252</v>
      </c>
      <c r="AT49" s="242">
        <v>153.74</v>
      </c>
      <c r="AU49" s="242" t="s">
        <v>252</v>
      </c>
      <c r="AV49" s="242">
        <v>208.76</v>
      </c>
      <c r="AW49" s="157" t="s">
        <v>252</v>
      </c>
      <c r="AX49" s="157">
        <v>4667.8399999999992</v>
      </c>
      <c r="AY49" s="240">
        <v>0.4</v>
      </c>
      <c r="AZ49" s="156" t="s">
        <v>253</v>
      </c>
      <c r="BA49" s="156" t="s">
        <v>254</v>
      </c>
      <c r="BB49" s="156">
        <v>1</v>
      </c>
      <c r="BC49" s="156" t="s">
        <v>1423</v>
      </c>
      <c r="BD49" s="3"/>
    </row>
    <row r="50" spans="1:56" ht="15.75" hidden="1" customHeight="1" outlineLevel="1">
      <c r="A50" s="58">
        <v>40</v>
      </c>
      <c r="B50" s="11">
        <v>129040</v>
      </c>
      <c r="C50" s="89" t="s">
        <v>258</v>
      </c>
      <c r="D50" s="157">
        <v>21</v>
      </c>
      <c r="E50" s="12" t="s">
        <v>191</v>
      </c>
      <c r="F50" s="11" t="s">
        <v>246</v>
      </c>
      <c r="G50" s="18" t="s">
        <v>247</v>
      </c>
      <c r="H50" s="11" t="s">
        <v>248</v>
      </c>
      <c r="I50" s="87" t="s">
        <v>249</v>
      </c>
      <c r="J50" s="19" t="s">
        <v>139</v>
      </c>
      <c r="K50" s="17" t="s">
        <v>140</v>
      </c>
      <c r="L50" s="260">
        <v>1</v>
      </c>
      <c r="M50" s="70" t="s">
        <v>250</v>
      </c>
      <c r="N50" s="70">
        <v>100</v>
      </c>
      <c r="O50" s="258">
        <v>8</v>
      </c>
      <c r="P50" s="70" t="s">
        <v>251</v>
      </c>
      <c r="Q50" s="70" t="s">
        <v>233</v>
      </c>
      <c r="R50" s="70" t="s">
        <v>240</v>
      </c>
      <c r="S50" s="70" t="s">
        <v>233</v>
      </c>
      <c r="T50" s="70" t="s">
        <v>233</v>
      </c>
      <c r="U50" s="70" t="s">
        <v>1427</v>
      </c>
      <c r="V50" s="70" t="s">
        <v>240</v>
      </c>
      <c r="W50" s="12"/>
      <c r="X50" s="242">
        <v>626.04121151605932</v>
      </c>
      <c r="Y50" s="242">
        <v>568.35683807621911</v>
      </c>
      <c r="Z50" s="242">
        <v>92.994202030287894</v>
      </c>
      <c r="AA50" s="157" t="s">
        <v>252</v>
      </c>
      <c r="AB50" s="242">
        <v>58.43782659344317</v>
      </c>
      <c r="AC50" s="157" t="s">
        <v>252</v>
      </c>
      <c r="AD50" s="242">
        <v>77.225934431685801</v>
      </c>
      <c r="AE50" s="157" t="s">
        <v>252</v>
      </c>
      <c r="AF50" s="242">
        <v>47.250554168746874</v>
      </c>
      <c r="AG50" s="157" t="s">
        <v>252</v>
      </c>
      <c r="AH50" s="242">
        <v>15.23180895323681</v>
      </c>
      <c r="AI50" s="157" t="s">
        <v>252</v>
      </c>
      <c r="AJ50" s="242">
        <v>6.3350341154934258</v>
      </c>
      <c r="AK50" s="242" t="s">
        <v>252</v>
      </c>
      <c r="AL50" s="242">
        <v>8.6074488267598586</v>
      </c>
      <c r="AM50" s="242" t="s">
        <v>252</v>
      </c>
      <c r="AN50" s="242">
        <v>5.3766417041105008</v>
      </c>
      <c r="AO50" s="242" t="s">
        <v>252</v>
      </c>
      <c r="AP50" s="242">
        <v>8.7219737061075051</v>
      </c>
      <c r="AQ50" s="242" t="s">
        <v>252</v>
      </c>
      <c r="AR50" s="242">
        <v>63.416645032451314</v>
      </c>
      <c r="AS50" s="242" t="s">
        <v>252</v>
      </c>
      <c r="AT50" s="242">
        <v>50.089565651522712</v>
      </c>
      <c r="AU50" s="242" t="s">
        <v>252</v>
      </c>
      <c r="AV50" s="242">
        <v>61.511915460143115</v>
      </c>
      <c r="AW50" s="157" t="s">
        <v>252</v>
      </c>
      <c r="AX50" s="157">
        <v>1689.5976002662671</v>
      </c>
      <c r="AY50" s="240">
        <v>0.22302213346646696</v>
      </c>
      <c r="AZ50" s="156" t="s">
        <v>253</v>
      </c>
      <c r="BA50" s="156" t="s">
        <v>254</v>
      </c>
      <c r="BB50" s="156">
        <v>1</v>
      </c>
      <c r="BC50" s="156" t="s">
        <v>1423</v>
      </c>
      <c r="BD50" s="3"/>
    </row>
    <row r="51" spans="1:56" ht="15.75" hidden="1" customHeight="1" outlineLevel="1">
      <c r="A51" s="58">
        <v>41</v>
      </c>
      <c r="B51" s="11">
        <v>129041</v>
      </c>
      <c r="C51" s="89" t="s">
        <v>258</v>
      </c>
      <c r="D51" s="157">
        <v>21</v>
      </c>
      <c r="E51" s="12" t="s">
        <v>231</v>
      </c>
      <c r="F51" s="11" t="s">
        <v>246</v>
      </c>
      <c r="G51" s="18" t="s">
        <v>247</v>
      </c>
      <c r="H51" s="11" t="s">
        <v>248</v>
      </c>
      <c r="I51" s="87" t="s">
        <v>249</v>
      </c>
      <c r="J51" s="19" t="s">
        <v>139</v>
      </c>
      <c r="K51" s="17" t="s">
        <v>140</v>
      </c>
      <c r="L51" s="257">
        <v>0</v>
      </c>
      <c r="M51" s="70" t="s">
        <v>250</v>
      </c>
      <c r="N51" s="70">
        <v>80</v>
      </c>
      <c r="O51" s="258">
        <v>8</v>
      </c>
      <c r="P51" s="70" t="s">
        <v>251</v>
      </c>
      <c r="Q51" s="70" t="s">
        <v>233</v>
      </c>
      <c r="R51" s="70" t="s">
        <v>240</v>
      </c>
      <c r="S51" s="70" t="s">
        <v>233</v>
      </c>
      <c r="T51" s="70" t="s">
        <v>233</v>
      </c>
      <c r="U51" s="70" t="s">
        <v>1427</v>
      </c>
      <c r="V51" s="70" t="s">
        <v>240</v>
      </c>
      <c r="W51" s="12"/>
      <c r="X51" s="242">
        <v>350.5277683474788</v>
      </c>
      <c r="Y51" s="242">
        <v>318.22961557663507</v>
      </c>
      <c r="Z51" s="242">
        <v>52.068537194208687</v>
      </c>
      <c r="AA51" s="157" t="s">
        <v>252</v>
      </c>
      <c r="AB51" s="242">
        <v>32.72001997004493</v>
      </c>
      <c r="AC51" s="157" t="s">
        <v>252</v>
      </c>
      <c r="AD51" s="242">
        <v>43.239700449326008</v>
      </c>
      <c r="AE51" s="157" t="s">
        <v>252</v>
      </c>
      <c r="AF51" s="242">
        <v>26.456135796305542</v>
      </c>
      <c r="AG51" s="157" t="s">
        <v>252</v>
      </c>
      <c r="AH51" s="242">
        <v>8.5284672990514228</v>
      </c>
      <c r="AI51" s="157" t="s">
        <v>252</v>
      </c>
      <c r="AJ51" s="242">
        <v>3.5470594108836742</v>
      </c>
      <c r="AK51" s="242" t="s">
        <v>252</v>
      </c>
      <c r="AL51" s="242">
        <v>4.8194108836744878</v>
      </c>
      <c r="AM51" s="242" t="s">
        <v>252</v>
      </c>
      <c r="AN51" s="242">
        <v>3.0104443334997502</v>
      </c>
      <c r="AO51" s="242" t="s">
        <v>252</v>
      </c>
      <c r="AP51" s="242">
        <v>4.8835346979530705</v>
      </c>
      <c r="AQ51" s="242" t="s">
        <v>252</v>
      </c>
      <c r="AR51" s="242">
        <v>35.507718422366445</v>
      </c>
      <c r="AS51" s="242" t="s">
        <v>252</v>
      </c>
      <c r="AT51" s="242">
        <v>28.045731402895655</v>
      </c>
      <c r="AU51" s="242" t="s">
        <v>252</v>
      </c>
      <c r="AV51" s="242">
        <v>34.441238142785821</v>
      </c>
      <c r="AW51" s="157" t="s">
        <v>252</v>
      </c>
      <c r="AX51" s="157">
        <v>946.02538192710927</v>
      </c>
      <c r="AY51" s="243">
        <v>0.12487269096355466</v>
      </c>
      <c r="AZ51" s="156" t="s">
        <v>253</v>
      </c>
      <c r="BA51" s="156" t="s">
        <v>254</v>
      </c>
      <c r="BB51" s="156">
        <v>0</v>
      </c>
      <c r="BC51" s="156" t="s">
        <v>1423</v>
      </c>
      <c r="BD51" s="3"/>
    </row>
    <row r="52" spans="1:56" ht="15.75" hidden="1" customHeight="1" outlineLevel="1">
      <c r="A52" s="58">
        <v>42</v>
      </c>
      <c r="B52" s="11">
        <v>129042</v>
      </c>
      <c r="C52" s="89" t="s">
        <v>258</v>
      </c>
      <c r="D52" s="157">
        <v>21</v>
      </c>
      <c r="E52" s="12" t="s">
        <v>260</v>
      </c>
      <c r="F52" s="11" t="s">
        <v>246</v>
      </c>
      <c r="G52" s="18" t="s">
        <v>247</v>
      </c>
      <c r="H52" s="11" t="s">
        <v>248</v>
      </c>
      <c r="I52" s="87" t="s">
        <v>249</v>
      </c>
      <c r="J52" s="19" t="s">
        <v>139</v>
      </c>
      <c r="K52" s="17" t="s">
        <v>140</v>
      </c>
      <c r="L52" s="257">
        <v>0</v>
      </c>
      <c r="M52" s="70" t="s">
        <v>250</v>
      </c>
      <c r="N52" s="70">
        <v>100</v>
      </c>
      <c r="O52" s="258">
        <v>8</v>
      </c>
      <c r="P52" s="70" t="s">
        <v>251</v>
      </c>
      <c r="Q52" s="70" t="s">
        <v>233</v>
      </c>
      <c r="R52" s="70" t="s">
        <v>240</v>
      </c>
      <c r="S52" s="70" t="s">
        <v>233</v>
      </c>
      <c r="T52" s="70" t="s">
        <v>233</v>
      </c>
      <c r="U52" s="70" t="s">
        <v>1427</v>
      </c>
      <c r="V52" s="70" t="s">
        <v>240</v>
      </c>
      <c r="W52" s="12"/>
      <c r="X52" s="242">
        <v>62.051020136461986</v>
      </c>
      <c r="Y52" s="242">
        <v>56.333546347145962</v>
      </c>
      <c r="Z52" s="242">
        <v>9.2172607755034122</v>
      </c>
      <c r="AA52" s="157" t="s">
        <v>252</v>
      </c>
      <c r="AB52" s="242">
        <v>5.7921534365118994</v>
      </c>
      <c r="AC52" s="157" t="s">
        <v>252</v>
      </c>
      <c r="AD52" s="242">
        <v>7.6543651189881849</v>
      </c>
      <c r="AE52" s="157" t="s">
        <v>252</v>
      </c>
      <c r="AF52" s="242">
        <v>4.6833100349475787</v>
      </c>
      <c r="AG52" s="157" t="s">
        <v>252</v>
      </c>
      <c r="AH52" s="242">
        <v>1.5097237477117658</v>
      </c>
      <c r="AI52" s="157" t="s">
        <v>252</v>
      </c>
      <c r="AJ52" s="242">
        <v>0.62790647362289898</v>
      </c>
      <c r="AK52" s="242" t="s">
        <v>252</v>
      </c>
      <c r="AL52" s="242">
        <v>0.85314028956565158</v>
      </c>
      <c r="AM52" s="242" t="s">
        <v>252</v>
      </c>
      <c r="AN52" s="242">
        <v>0.53291396238974875</v>
      </c>
      <c r="AO52" s="242" t="s">
        <v>252</v>
      </c>
      <c r="AP52" s="242">
        <v>0.86449159593942426</v>
      </c>
      <c r="AQ52" s="242" t="s">
        <v>252</v>
      </c>
      <c r="AR52" s="242">
        <v>6.2856365451822267</v>
      </c>
      <c r="AS52" s="242" t="s">
        <v>252</v>
      </c>
      <c r="AT52" s="242">
        <v>4.9647029455816272</v>
      </c>
      <c r="AU52" s="242" t="s">
        <v>252</v>
      </c>
      <c r="AV52" s="242">
        <v>6.0968463970710598</v>
      </c>
      <c r="AW52" s="157" t="s">
        <v>252</v>
      </c>
      <c r="AX52" s="157">
        <v>167.46701780662343</v>
      </c>
      <c r="AY52" s="243">
        <v>2.2105175569978368E-2</v>
      </c>
      <c r="AZ52" s="156" t="s">
        <v>253</v>
      </c>
      <c r="BA52" s="156" t="s">
        <v>254</v>
      </c>
      <c r="BB52" s="156">
        <v>0</v>
      </c>
      <c r="BC52" s="156" t="s">
        <v>1423</v>
      </c>
      <c r="BD52" s="3"/>
    </row>
    <row r="53" spans="1:56" ht="15.75" hidden="1" customHeight="1" outlineLevel="1">
      <c r="A53" s="58">
        <v>43</v>
      </c>
      <c r="B53" s="11">
        <v>129043</v>
      </c>
      <c r="C53" s="89" t="s">
        <v>258</v>
      </c>
      <c r="D53" s="157">
        <v>23</v>
      </c>
      <c r="E53" s="12" t="s">
        <v>191</v>
      </c>
      <c r="F53" s="11" t="s">
        <v>246</v>
      </c>
      <c r="G53" s="18" t="s">
        <v>247</v>
      </c>
      <c r="H53" s="11" t="s">
        <v>248</v>
      </c>
      <c r="I53" s="87" t="s">
        <v>249</v>
      </c>
      <c r="J53" s="19" t="s">
        <v>139</v>
      </c>
      <c r="K53" s="17" t="s">
        <v>140</v>
      </c>
      <c r="L53" s="257">
        <v>0</v>
      </c>
      <c r="M53" s="70" t="s">
        <v>250</v>
      </c>
      <c r="N53" s="70">
        <v>100</v>
      </c>
      <c r="O53" s="258">
        <v>8</v>
      </c>
      <c r="P53" s="70" t="s">
        <v>251</v>
      </c>
      <c r="Q53" s="70" t="s">
        <v>233</v>
      </c>
      <c r="R53" s="70" t="s">
        <v>240</v>
      </c>
      <c r="S53" s="70" t="s">
        <v>233</v>
      </c>
      <c r="T53" s="70" t="s">
        <v>233</v>
      </c>
      <c r="U53" s="70" t="s">
        <v>1427</v>
      </c>
      <c r="V53" s="70" t="s">
        <v>240</v>
      </c>
      <c r="W53" s="12"/>
      <c r="X53" s="242">
        <v>577.46</v>
      </c>
      <c r="Y53" s="242">
        <v>444.54</v>
      </c>
      <c r="Z53" s="242">
        <v>65.48</v>
      </c>
      <c r="AA53" s="157" t="s">
        <v>252</v>
      </c>
      <c r="AB53" s="242">
        <v>52.35</v>
      </c>
      <c r="AC53" s="157" t="s">
        <v>252</v>
      </c>
      <c r="AD53" s="242">
        <v>70.180000000000007</v>
      </c>
      <c r="AE53" s="157" t="s">
        <v>252</v>
      </c>
      <c r="AF53" s="242">
        <v>48.95</v>
      </c>
      <c r="AG53" s="157" t="s">
        <v>252</v>
      </c>
      <c r="AH53" s="242">
        <v>22.77</v>
      </c>
      <c r="AI53" s="157" t="s">
        <v>252</v>
      </c>
      <c r="AJ53" s="242">
        <v>13.13</v>
      </c>
      <c r="AK53" s="242" t="s">
        <v>252</v>
      </c>
      <c r="AL53" s="242">
        <v>14.62</v>
      </c>
      <c r="AM53" s="242" t="s">
        <v>252</v>
      </c>
      <c r="AN53" s="242">
        <v>15.87</v>
      </c>
      <c r="AO53" s="242" t="s">
        <v>252</v>
      </c>
      <c r="AP53" s="242">
        <v>13.14</v>
      </c>
      <c r="AQ53" s="242" t="s">
        <v>252</v>
      </c>
      <c r="AR53" s="242">
        <v>53.44</v>
      </c>
      <c r="AS53" s="242" t="s">
        <v>252</v>
      </c>
      <c r="AT53" s="242">
        <v>50.92</v>
      </c>
      <c r="AU53" s="242" t="s">
        <v>252</v>
      </c>
      <c r="AV53" s="242">
        <v>68.87</v>
      </c>
      <c r="AW53" s="157" t="s">
        <v>252</v>
      </c>
      <c r="AX53" s="157">
        <v>1511.7200000000003</v>
      </c>
      <c r="AY53" s="240">
        <v>0.19</v>
      </c>
      <c r="AZ53" s="156" t="s">
        <v>253</v>
      </c>
      <c r="BA53" s="156" t="s">
        <v>254</v>
      </c>
      <c r="BB53" s="156">
        <v>0</v>
      </c>
      <c r="BC53" s="156" t="s">
        <v>1423</v>
      </c>
      <c r="BD53" s="3"/>
    </row>
    <row r="54" spans="1:56" ht="15.75" hidden="1" customHeight="1" outlineLevel="1">
      <c r="A54" s="58">
        <v>44</v>
      </c>
      <c r="B54" s="11">
        <v>129044</v>
      </c>
      <c r="C54" s="89" t="s">
        <v>258</v>
      </c>
      <c r="D54" s="157">
        <v>24</v>
      </c>
      <c r="E54" s="12" t="s">
        <v>191</v>
      </c>
      <c r="F54" s="11" t="s">
        <v>246</v>
      </c>
      <c r="G54" s="18" t="s">
        <v>247</v>
      </c>
      <c r="H54" s="11" t="s">
        <v>248</v>
      </c>
      <c r="I54" s="87" t="s">
        <v>249</v>
      </c>
      <c r="J54" s="19" t="s">
        <v>139</v>
      </c>
      <c r="K54" s="17" t="s">
        <v>140</v>
      </c>
      <c r="L54" s="257">
        <v>0</v>
      </c>
      <c r="M54" s="70" t="s">
        <v>250</v>
      </c>
      <c r="N54" s="70">
        <v>80</v>
      </c>
      <c r="O54" s="258">
        <v>8</v>
      </c>
      <c r="P54" s="70" t="s">
        <v>251</v>
      </c>
      <c r="Q54" s="70" t="s">
        <v>233</v>
      </c>
      <c r="R54" s="70" t="s">
        <v>240</v>
      </c>
      <c r="S54" s="70" t="s">
        <v>233</v>
      </c>
      <c r="T54" s="70" t="s">
        <v>233</v>
      </c>
      <c r="U54" s="70" t="s">
        <v>1427</v>
      </c>
      <c r="V54" s="70" t="s">
        <v>240</v>
      </c>
      <c r="W54" s="12"/>
      <c r="X54" s="242">
        <v>879.56</v>
      </c>
      <c r="Y54" s="242">
        <v>708.81</v>
      </c>
      <c r="Z54" s="242">
        <v>109.62</v>
      </c>
      <c r="AA54" s="157" t="s">
        <v>252</v>
      </c>
      <c r="AB54" s="242">
        <v>88.93</v>
      </c>
      <c r="AC54" s="157" t="s">
        <v>252</v>
      </c>
      <c r="AD54" s="242">
        <v>111.56</v>
      </c>
      <c r="AE54" s="157" t="s">
        <v>252</v>
      </c>
      <c r="AF54" s="242">
        <v>71.94</v>
      </c>
      <c r="AG54" s="157" t="s">
        <v>252</v>
      </c>
      <c r="AH54" s="242">
        <v>28.8</v>
      </c>
      <c r="AI54" s="157" t="s">
        <v>252</v>
      </c>
      <c r="AJ54" s="242">
        <v>23.66</v>
      </c>
      <c r="AK54" s="242" t="s">
        <v>252</v>
      </c>
      <c r="AL54" s="242">
        <v>19.489999999999998</v>
      </c>
      <c r="AM54" s="242" t="s">
        <v>252</v>
      </c>
      <c r="AN54" s="242">
        <v>17.829999999999998</v>
      </c>
      <c r="AO54" s="242" t="s">
        <v>252</v>
      </c>
      <c r="AP54" s="242">
        <v>28.31</v>
      </c>
      <c r="AQ54" s="242" t="s">
        <v>252</v>
      </c>
      <c r="AR54" s="242">
        <v>81.55</v>
      </c>
      <c r="AS54" s="242" t="s">
        <v>252</v>
      </c>
      <c r="AT54" s="242">
        <v>79.88</v>
      </c>
      <c r="AU54" s="242" t="s">
        <v>252</v>
      </c>
      <c r="AV54" s="242">
        <v>103.33</v>
      </c>
      <c r="AW54" s="157" t="s">
        <v>252</v>
      </c>
      <c r="AX54" s="157">
        <v>2353.27</v>
      </c>
      <c r="AY54" s="240">
        <v>0.28000000000000003</v>
      </c>
      <c r="AZ54" s="156" t="s">
        <v>253</v>
      </c>
      <c r="BA54" s="156" t="s">
        <v>254</v>
      </c>
      <c r="BB54" s="156">
        <v>0</v>
      </c>
      <c r="BC54" s="156" t="s">
        <v>1423</v>
      </c>
      <c r="BD54" s="3"/>
    </row>
    <row r="55" spans="1:56" ht="15.75" hidden="1" customHeight="1" outlineLevel="1">
      <c r="A55" s="58">
        <v>45</v>
      </c>
      <c r="B55" s="11">
        <v>129045</v>
      </c>
      <c r="C55" s="89" t="s">
        <v>258</v>
      </c>
      <c r="D55" s="157">
        <v>3</v>
      </c>
      <c r="E55" s="12" t="s">
        <v>191</v>
      </c>
      <c r="F55" s="11" t="s">
        <v>246</v>
      </c>
      <c r="G55" s="18" t="s">
        <v>247</v>
      </c>
      <c r="H55" s="11" t="s">
        <v>248</v>
      </c>
      <c r="I55" s="87" t="s">
        <v>249</v>
      </c>
      <c r="J55" s="19" t="s">
        <v>139</v>
      </c>
      <c r="K55" s="17" t="s">
        <v>140</v>
      </c>
      <c r="L55" s="260">
        <v>1</v>
      </c>
      <c r="M55" s="70" t="s">
        <v>250</v>
      </c>
      <c r="N55" s="70">
        <v>100</v>
      </c>
      <c r="O55" s="258">
        <v>8</v>
      </c>
      <c r="P55" s="70" t="s">
        <v>251</v>
      </c>
      <c r="Q55" s="70" t="s">
        <v>233</v>
      </c>
      <c r="R55" s="70" t="s">
        <v>240</v>
      </c>
      <c r="S55" s="70" t="s">
        <v>233</v>
      </c>
      <c r="T55" s="70" t="s">
        <v>233</v>
      </c>
      <c r="U55" s="70" t="s">
        <v>1427</v>
      </c>
      <c r="V55" s="70" t="s">
        <v>240</v>
      </c>
      <c r="W55" s="12"/>
      <c r="X55" s="242">
        <v>835.40000000000009</v>
      </c>
      <c r="Y55" s="242">
        <v>803.21999999999991</v>
      </c>
      <c r="Z55" s="242">
        <v>136.93</v>
      </c>
      <c r="AA55" s="157" t="s">
        <v>252</v>
      </c>
      <c r="AB55" s="242">
        <v>92.29</v>
      </c>
      <c r="AC55" s="157" t="s">
        <v>252</v>
      </c>
      <c r="AD55" s="242">
        <v>128.36000000000001</v>
      </c>
      <c r="AE55" s="157" t="s">
        <v>252</v>
      </c>
      <c r="AF55" s="242">
        <v>80.260000000000005</v>
      </c>
      <c r="AG55" s="157" t="s">
        <v>252</v>
      </c>
      <c r="AH55" s="242">
        <v>27.65</v>
      </c>
      <c r="AI55" s="157" t="s">
        <v>252</v>
      </c>
      <c r="AJ55" s="242">
        <v>11.42</v>
      </c>
      <c r="AK55" s="242" t="s">
        <v>252</v>
      </c>
      <c r="AL55" s="242">
        <v>14.1</v>
      </c>
      <c r="AM55" s="242" t="s">
        <v>252</v>
      </c>
      <c r="AN55" s="242">
        <v>9.18</v>
      </c>
      <c r="AO55" s="242" t="s">
        <v>252</v>
      </c>
      <c r="AP55" s="242">
        <v>15.24</v>
      </c>
      <c r="AQ55" s="242" t="s">
        <v>252</v>
      </c>
      <c r="AR55" s="242">
        <v>84.67</v>
      </c>
      <c r="AS55" s="242" t="s">
        <v>252</v>
      </c>
      <c r="AT55" s="242">
        <v>90.35</v>
      </c>
      <c r="AU55" s="242" t="s">
        <v>252</v>
      </c>
      <c r="AV55" s="242">
        <v>117.91</v>
      </c>
      <c r="AW55" s="157" t="s">
        <v>252</v>
      </c>
      <c r="AX55" s="157">
        <v>2446.9799999999996</v>
      </c>
      <c r="AY55" s="240">
        <v>0.30380000000000001</v>
      </c>
      <c r="AZ55" s="156" t="s">
        <v>253</v>
      </c>
      <c r="BA55" s="156" t="s">
        <v>254</v>
      </c>
      <c r="BB55" s="156">
        <v>1</v>
      </c>
      <c r="BC55" s="156" t="s">
        <v>1423</v>
      </c>
      <c r="BD55" s="3"/>
    </row>
    <row r="56" spans="1:56" ht="15.75" hidden="1" customHeight="1" outlineLevel="1">
      <c r="A56" s="58">
        <v>46</v>
      </c>
      <c r="B56" s="11">
        <v>129046</v>
      </c>
      <c r="C56" s="89" t="s">
        <v>258</v>
      </c>
      <c r="D56" s="157">
        <v>32</v>
      </c>
      <c r="E56" s="12" t="s">
        <v>191</v>
      </c>
      <c r="F56" s="11" t="s">
        <v>246</v>
      </c>
      <c r="G56" s="18" t="s">
        <v>247</v>
      </c>
      <c r="H56" s="11" t="s">
        <v>248</v>
      </c>
      <c r="I56" s="87" t="s">
        <v>249</v>
      </c>
      <c r="J56" s="19" t="s">
        <v>139</v>
      </c>
      <c r="K56" s="17" t="s">
        <v>140</v>
      </c>
      <c r="L56" s="260">
        <v>1</v>
      </c>
      <c r="M56" s="70" t="s">
        <v>250</v>
      </c>
      <c r="N56" s="70">
        <v>100</v>
      </c>
      <c r="O56" s="258">
        <v>8</v>
      </c>
      <c r="P56" s="70" t="s">
        <v>251</v>
      </c>
      <c r="Q56" s="70" t="s">
        <v>233</v>
      </c>
      <c r="R56" s="70" t="s">
        <v>240</v>
      </c>
      <c r="S56" s="70" t="s">
        <v>233</v>
      </c>
      <c r="T56" s="70" t="s">
        <v>233</v>
      </c>
      <c r="U56" s="70" t="s">
        <v>1427</v>
      </c>
      <c r="V56" s="70" t="s">
        <v>240</v>
      </c>
      <c r="W56" s="12"/>
      <c r="X56" s="242">
        <v>557.13</v>
      </c>
      <c r="Y56" s="242">
        <v>514.14</v>
      </c>
      <c r="Z56" s="242">
        <v>74</v>
      </c>
      <c r="AA56" s="157" t="s">
        <v>252</v>
      </c>
      <c r="AB56" s="242">
        <v>44.84</v>
      </c>
      <c r="AC56" s="157" t="s">
        <v>252</v>
      </c>
      <c r="AD56" s="242">
        <v>78.760000000000005</v>
      </c>
      <c r="AE56" s="157" t="s">
        <v>252</v>
      </c>
      <c r="AF56" s="242">
        <v>39.99</v>
      </c>
      <c r="AG56" s="157" t="s">
        <v>252</v>
      </c>
      <c r="AH56" s="242">
        <v>22.97</v>
      </c>
      <c r="AI56" s="157" t="s">
        <v>252</v>
      </c>
      <c r="AJ56" s="242">
        <v>7.85</v>
      </c>
      <c r="AK56" s="242" t="s">
        <v>252</v>
      </c>
      <c r="AL56" s="242">
        <v>7.17</v>
      </c>
      <c r="AM56" s="242" t="s">
        <v>252</v>
      </c>
      <c r="AN56" s="242">
        <v>11.21</v>
      </c>
      <c r="AO56" s="242" t="s">
        <v>252</v>
      </c>
      <c r="AP56" s="242">
        <v>15.52</v>
      </c>
      <c r="AQ56" s="242" t="s">
        <v>252</v>
      </c>
      <c r="AR56" s="242">
        <v>41.34</v>
      </c>
      <c r="AS56" s="242" t="s">
        <v>252</v>
      </c>
      <c r="AT56" s="242">
        <v>48.47</v>
      </c>
      <c r="AU56" s="242" t="s">
        <v>252</v>
      </c>
      <c r="AV56" s="242">
        <v>51.5</v>
      </c>
      <c r="AW56" s="157" t="s">
        <v>252</v>
      </c>
      <c r="AX56" s="157">
        <v>1514.8899999999999</v>
      </c>
      <c r="AY56" s="240">
        <v>0.26</v>
      </c>
      <c r="AZ56" s="156" t="s">
        <v>253</v>
      </c>
      <c r="BA56" s="156" t="s">
        <v>254</v>
      </c>
      <c r="BB56" s="156">
        <v>1</v>
      </c>
      <c r="BC56" s="156" t="s">
        <v>1423</v>
      </c>
      <c r="BD56" s="3"/>
    </row>
    <row r="57" spans="1:56" ht="15.75" hidden="1" customHeight="1" outlineLevel="1">
      <c r="A57" s="58">
        <v>47</v>
      </c>
      <c r="B57" s="11">
        <v>129047</v>
      </c>
      <c r="C57" s="89" t="s">
        <v>258</v>
      </c>
      <c r="D57" s="157">
        <v>34</v>
      </c>
      <c r="E57" s="12" t="s">
        <v>191</v>
      </c>
      <c r="F57" s="11" t="s">
        <v>246</v>
      </c>
      <c r="G57" s="18" t="s">
        <v>247</v>
      </c>
      <c r="H57" s="11" t="s">
        <v>248</v>
      </c>
      <c r="I57" s="87" t="s">
        <v>249</v>
      </c>
      <c r="J57" s="19" t="s">
        <v>139</v>
      </c>
      <c r="K57" s="17" t="s">
        <v>140</v>
      </c>
      <c r="L57" s="257">
        <v>0</v>
      </c>
      <c r="M57" s="70" t="s">
        <v>250</v>
      </c>
      <c r="N57" s="70">
        <v>80</v>
      </c>
      <c r="O57" s="258">
        <v>8</v>
      </c>
      <c r="P57" s="70" t="s">
        <v>251</v>
      </c>
      <c r="Q57" s="70" t="s">
        <v>233</v>
      </c>
      <c r="R57" s="70" t="s">
        <v>240</v>
      </c>
      <c r="S57" s="70" t="s">
        <v>233</v>
      </c>
      <c r="T57" s="70" t="s">
        <v>233</v>
      </c>
      <c r="U57" s="70" t="s">
        <v>1427</v>
      </c>
      <c r="V57" s="70" t="s">
        <v>240</v>
      </c>
      <c r="W57" s="12"/>
      <c r="X57" s="242">
        <v>721.26</v>
      </c>
      <c r="Y57" s="242">
        <v>679.58999999999992</v>
      </c>
      <c r="Z57" s="242">
        <v>100.14</v>
      </c>
      <c r="AA57" s="157" t="s">
        <v>252</v>
      </c>
      <c r="AB57" s="242">
        <v>60.67</v>
      </c>
      <c r="AC57" s="157" t="s">
        <v>252</v>
      </c>
      <c r="AD57" s="242">
        <v>106.51</v>
      </c>
      <c r="AE57" s="157" t="s">
        <v>252</v>
      </c>
      <c r="AF57" s="242">
        <v>54.03</v>
      </c>
      <c r="AG57" s="157" t="s">
        <v>252</v>
      </c>
      <c r="AH57" s="242">
        <v>32</v>
      </c>
      <c r="AI57" s="157" t="s">
        <v>252</v>
      </c>
      <c r="AJ57" s="242">
        <v>6.28</v>
      </c>
      <c r="AK57" s="242" t="s">
        <v>252</v>
      </c>
      <c r="AL57" s="242">
        <v>7</v>
      </c>
      <c r="AM57" s="242" t="s">
        <v>252</v>
      </c>
      <c r="AN57" s="242">
        <v>9.09</v>
      </c>
      <c r="AO57" s="242" t="s">
        <v>252</v>
      </c>
      <c r="AP57" s="242">
        <v>12.59</v>
      </c>
      <c r="AQ57" s="242" t="s">
        <v>252</v>
      </c>
      <c r="AR57" s="242">
        <v>57.34</v>
      </c>
      <c r="AS57" s="242" t="s">
        <v>252</v>
      </c>
      <c r="AT57" s="242">
        <v>66.52</v>
      </c>
      <c r="AU57" s="242" t="s">
        <v>252</v>
      </c>
      <c r="AV57" s="242">
        <v>69.95</v>
      </c>
      <c r="AW57" s="157" t="s">
        <v>252</v>
      </c>
      <c r="AX57" s="157">
        <v>1982.9699999999998</v>
      </c>
      <c r="AY57" s="240">
        <v>0.36</v>
      </c>
      <c r="AZ57" s="156" t="s">
        <v>253</v>
      </c>
      <c r="BA57" s="156" t="s">
        <v>254</v>
      </c>
      <c r="BB57" s="156">
        <v>0</v>
      </c>
      <c r="BC57" s="156" t="s">
        <v>1423</v>
      </c>
      <c r="BD57" s="3"/>
    </row>
    <row r="58" spans="1:56" ht="15.75" hidden="1" customHeight="1" outlineLevel="1">
      <c r="A58" s="58">
        <v>48</v>
      </c>
      <c r="B58" s="11">
        <v>129048</v>
      </c>
      <c r="C58" s="89" t="s">
        <v>258</v>
      </c>
      <c r="D58" s="157">
        <v>6</v>
      </c>
      <c r="E58" s="12" t="s">
        <v>191</v>
      </c>
      <c r="F58" s="11" t="s">
        <v>246</v>
      </c>
      <c r="G58" s="18" t="s">
        <v>247</v>
      </c>
      <c r="H58" s="11" t="s">
        <v>248</v>
      </c>
      <c r="I58" s="87" t="s">
        <v>249</v>
      </c>
      <c r="J58" s="19" t="s">
        <v>139</v>
      </c>
      <c r="K58" s="17" t="s">
        <v>140</v>
      </c>
      <c r="L58" s="257">
        <v>0</v>
      </c>
      <c r="M58" s="70" t="s">
        <v>250</v>
      </c>
      <c r="N58" s="70">
        <v>100</v>
      </c>
      <c r="O58" s="258">
        <v>8</v>
      </c>
      <c r="P58" s="70" t="s">
        <v>251</v>
      </c>
      <c r="Q58" s="70" t="s">
        <v>233</v>
      </c>
      <c r="R58" s="70" t="s">
        <v>240</v>
      </c>
      <c r="S58" s="70" t="s">
        <v>233</v>
      </c>
      <c r="T58" s="70" t="s">
        <v>233</v>
      </c>
      <c r="U58" s="70" t="s">
        <v>1427</v>
      </c>
      <c r="V58" s="70" t="s">
        <v>240</v>
      </c>
      <c r="W58" s="12"/>
      <c r="X58" s="242">
        <v>595.42983496441286</v>
      </c>
      <c r="Y58" s="242">
        <v>601.33960409252677</v>
      </c>
      <c r="Z58" s="242">
        <v>120.59744572953736</v>
      </c>
      <c r="AA58" s="157" t="s">
        <v>252</v>
      </c>
      <c r="AB58" s="242">
        <v>64.838362099644129</v>
      </c>
      <c r="AC58" s="157" t="s">
        <v>252</v>
      </c>
      <c r="AD58" s="242">
        <v>92.587828291814944</v>
      </c>
      <c r="AE58" s="157" t="s">
        <v>252</v>
      </c>
      <c r="AF58" s="242">
        <v>51.627014679715302</v>
      </c>
      <c r="AG58" s="157" t="s">
        <v>252</v>
      </c>
      <c r="AH58" s="242">
        <v>26.379336298932387</v>
      </c>
      <c r="AI58" s="157" t="s">
        <v>252</v>
      </c>
      <c r="AJ58" s="242">
        <v>11.277556494661923</v>
      </c>
      <c r="AK58" s="242" t="s">
        <v>252</v>
      </c>
      <c r="AL58" s="242">
        <v>10.618506672597864</v>
      </c>
      <c r="AM58" s="242" t="s">
        <v>252</v>
      </c>
      <c r="AN58" s="242">
        <v>10.45374421708185</v>
      </c>
      <c r="AO58" s="242" t="s">
        <v>252</v>
      </c>
      <c r="AP58" s="242">
        <v>13.315407918149466</v>
      </c>
      <c r="AQ58" s="242" t="s">
        <v>252</v>
      </c>
      <c r="AR58" s="242">
        <v>61.443388345195729</v>
      </c>
      <c r="AS58" s="242" t="s">
        <v>252</v>
      </c>
      <c r="AT58" s="242">
        <v>53.387371441281132</v>
      </c>
      <c r="AU58" s="242" t="s">
        <v>252</v>
      </c>
      <c r="AV58" s="242">
        <v>73.488391014234878</v>
      </c>
      <c r="AW58" s="157" t="s">
        <v>252</v>
      </c>
      <c r="AX58" s="157">
        <v>1786.7837922597867</v>
      </c>
      <c r="AY58" s="240">
        <v>0.24280782918149468</v>
      </c>
      <c r="AZ58" s="156" t="s">
        <v>253</v>
      </c>
      <c r="BA58" s="156" t="s">
        <v>254</v>
      </c>
      <c r="BB58" s="156">
        <v>0</v>
      </c>
      <c r="BC58" s="156" t="s">
        <v>1423</v>
      </c>
      <c r="BD58" s="3"/>
    </row>
    <row r="59" spans="1:56" ht="15.75" hidden="1" customHeight="1" outlineLevel="1">
      <c r="A59" s="58">
        <v>49</v>
      </c>
      <c r="B59" s="11">
        <v>129049</v>
      </c>
      <c r="C59" s="89" t="s">
        <v>258</v>
      </c>
      <c r="D59" s="157">
        <v>6</v>
      </c>
      <c r="E59" s="12" t="s">
        <v>231</v>
      </c>
      <c r="F59" s="11" t="s">
        <v>246</v>
      </c>
      <c r="G59" s="18" t="s">
        <v>247</v>
      </c>
      <c r="H59" s="11" t="s">
        <v>248</v>
      </c>
      <c r="I59" s="87" t="s">
        <v>249</v>
      </c>
      <c r="J59" s="19" t="s">
        <v>139</v>
      </c>
      <c r="K59" s="17" t="s">
        <v>140</v>
      </c>
      <c r="L59" s="257">
        <v>0</v>
      </c>
      <c r="M59" s="70" t="s">
        <v>250</v>
      </c>
      <c r="N59" s="70">
        <v>100</v>
      </c>
      <c r="O59" s="258">
        <v>8</v>
      </c>
      <c r="P59" s="70" t="s">
        <v>251</v>
      </c>
      <c r="Q59" s="70" t="s">
        <v>233</v>
      </c>
      <c r="R59" s="70" t="s">
        <v>240</v>
      </c>
      <c r="S59" s="70" t="s">
        <v>233</v>
      </c>
      <c r="T59" s="70" t="s">
        <v>233</v>
      </c>
      <c r="U59" s="70" t="s">
        <v>1427</v>
      </c>
      <c r="V59" s="70" t="s">
        <v>240</v>
      </c>
      <c r="W59" s="12"/>
      <c r="X59" s="242">
        <v>521.08510231316734</v>
      </c>
      <c r="Y59" s="242">
        <v>526.25698398576515</v>
      </c>
      <c r="Z59" s="242">
        <v>105.53977758007117</v>
      </c>
      <c r="AA59" s="157" t="s">
        <v>252</v>
      </c>
      <c r="AB59" s="242">
        <v>56.74271352313167</v>
      </c>
      <c r="AC59" s="157" t="s">
        <v>252</v>
      </c>
      <c r="AD59" s="242">
        <v>81.027411032028468</v>
      </c>
      <c r="AE59" s="157" t="s">
        <v>252</v>
      </c>
      <c r="AF59" s="242">
        <v>45.180920818505335</v>
      </c>
      <c r="AG59" s="157" t="s">
        <v>252</v>
      </c>
      <c r="AH59" s="242">
        <v>23.085640569395022</v>
      </c>
      <c r="AI59" s="157" t="s">
        <v>252</v>
      </c>
      <c r="AJ59" s="242">
        <v>9.86945284697509</v>
      </c>
      <c r="AK59" s="242" t="s">
        <v>252</v>
      </c>
      <c r="AL59" s="242">
        <v>9.2926912811387901</v>
      </c>
      <c r="AM59" s="242" t="s">
        <v>252</v>
      </c>
      <c r="AN59" s="242">
        <v>9.1485008896797151</v>
      </c>
      <c r="AO59" s="242" t="s">
        <v>252</v>
      </c>
      <c r="AP59" s="242">
        <v>11.652860320284699</v>
      </c>
      <c r="AQ59" s="242" t="s">
        <v>252</v>
      </c>
      <c r="AR59" s="242">
        <v>53.771632562277588</v>
      </c>
      <c r="AS59" s="242" t="s">
        <v>252</v>
      </c>
      <c r="AT59" s="242">
        <v>46.721481316725978</v>
      </c>
      <c r="AU59" s="242" t="s">
        <v>252</v>
      </c>
      <c r="AV59" s="242">
        <v>64.312709074733107</v>
      </c>
      <c r="AW59" s="157" t="s">
        <v>252</v>
      </c>
      <c r="AX59" s="157">
        <v>1563.6878781138789</v>
      </c>
      <c r="AY59" s="243">
        <v>0.212491103202847</v>
      </c>
      <c r="AZ59" s="156" t="s">
        <v>253</v>
      </c>
      <c r="BA59" s="156" t="s">
        <v>254</v>
      </c>
      <c r="BB59" s="156">
        <v>0</v>
      </c>
      <c r="BC59" s="156" t="s">
        <v>1423</v>
      </c>
      <c r="BD59" s="3"/>
    </row>
    <row r="60" spans="1:56" ht="15.75" hidden="1" customHeight="1" outlineLevel="1">
      <c r="A60" s="58">
        <v>50</v>
      </c>
      <c r="B60" s="11">
        <v>129050</v>
      </c>
      <c r="C60" s="89" t="s">
        <v>258</v>
      </c>
      <c r="D60" s="157">
        <v>6</v>
      </c>
      <c r="E60" s="12" t="s">
        <v>261</v>
      </c>
      <c r="F60" s="11" t="s">
        <v>246</v>
      </c>
      <c r="G60" s="18" t="s">
        <v>247</v>
      </c>
      <c r="H60" s="11" t="s">
        <v>248</v>
      </c>
      <c r="I60" s="87" t="s">
        <v>249</v>
      </c>
      <c r="J60" s="19" t="s">
        <v>139</v>
      </c>
      <c r="K60" s="17" t="s">
        <v>140</v>
      </c>
      <c r="L60" s="257">
        <v>0</v>
      </c>
      <c r="M60" s="70" t="s">
        <v>250</v>
      </c>
      <c r="N60" s="70">
        <v>80</v>
      </c>
      <c r="O60" s="258">
        <v>8</v>
      </c>
      <c r="P60" s="70" t="s">
        <v>251</v>
      </c>
      <c r="Q60" s="70" t="s">
        <v>233</v>
      </c>
      <c r="R60" s="70" t="s">
        <v>240</v>
      </c>
      <c r="S60" s="70" t="s">
        <v>233</v>
      </c>
      <c r="T60" s="70" t="s">
        <v>233</v>
      </c>
      <c r="U60" s="70" t="s">
        <v>1427</v>
      </c>
      <c r="V60" s="70" t="s">
        <v>240</v>
      </c>
      <c r="W60" s="12"/>
      <c r="X60" s="242">
        <v>256.75506272241995</v>
      </c>
      <c r="Y60" s="242">
        <v>259.30341192170818</v>
      </c>
      <c r="Z60" s="242">
        <v>52.002776690391457</v>
      </c>
      <c r="AA60" s="157" t="s">
        <v>252</v>
      </c>
      <c r="AB60" s="242">
        <v>27.958924377224196</v>
      </c>
      <c r="AC60" s="157" t="s">
        <v>252</v>
      </c>
      <c r="AD60" s="242">
        <v>39.924760676156581</v>
      </c>
      <c r="AE60" s="157" t="s">
        <v>252</v>
      </c>
      <c r="AF60" s="242">
        <v>22.262064501779356</v>
      </c>
      <c r="AG60" s="157" t="s">
        <v>252</v>
      </c>
      <c r="AH60" s="242">
        <v>11.375023131672599</v>
      </c>
      <c r="AI60" s="157" t="s">
        <v>252</v>
      </c>
      <c r="AJ60" s="242">
        <v>4.8629906583629898</v>
      </c>
      <c r="AK60" s="242" t="s">
        <v>252</v>
      </c>
      <c r="AL60" s="242">
        <v>4.5788020462633447</v>
      </c>
      <c r="AM60" s="242" t="s">
        <v>252</v>
      </c>
      <c r="AN60" s="242">
        <v>4.5077548932384337</v>
      </c>
      <c r="AO60" s="242" t="s">
        <v>252</v>
      </c>
      <c r="AP60" s="242">
        <v>5.7417317615658368</v>
      </c>
      <c r="AQ60" s="242" t="s">
        <v>252</v>
      </c>
      <c r="AR60" s="242">
        <v>26.494979092526691</v>
      </c>
      <c r="AS60" s="242" t="s">
        <v>252</v>
      </c>
      <c r="AT60" s="242">
        <v>23.021147241992882</v>
      </c>
      <c r="AU60" s="242" t="s">
        <v>252</v>
      </c>
      <c r="AV60" s="242">
        <v>31.688899911032028</v>
      </c>
      <c r="AW60" s="157" t="s">
        <v>252</v>
      </c>
      <c r="AX60" s="157">
        <v>770.4783296263347</v>
      </c>
      <c r="AY60" s="243">
        <v>0.10470106761565837</v>
      </c>
      <c r="AZ60" s="156" t="s">
        <v>253</v>
      </c>
      <c r="BA60" s="156" t="s">
        <v>254</v>
      </c>
      <c r="BB60" s="156">
        <v>0</v>
      </c>
      <c r="BC60" s="156" t="s">
        <v>1423</v>
      </c>
      <c r="BD60" s="3"/>
    </row>
    <row r="61" spans="1:56" ht="15.75" hidden="1" customHeight="1" outlineLevel="1">
      <c r="A61" s="58">
        <v>51</v>
      </c>
      <c r="B61" s="11">
        <v>129051</v>
      </c>
      <c r="C61" s="89" t="s">
        <v>258</v>
      </c>
      <c r="D61" s="157">
        <v>7</v>
      </c>
      <c r="E61" s="12" t="s">
        <v>191</v>
      </c>
      <c r="F61" s="11" t="s">
        <v>246</v>
      </c>
      <c r="G61" s="18" t="s">
        <v>247</v>
      </c>
      <c r="H61" s="11" t="s">
        <v>248</v>
      </c>
      <c r="I61" s="87" t="s">
        <v>249</v>
      </c>
      <c r="J61" s="19" t="s">
        <v>139</v>
      </c>
      <c r="K61" s="17" t="s">
        <v>140</v>
      </c>
      <c r="L61" s="257">
        <v>0</v>
      </c>
      <c r="M61" s="70" t="s">
        <v>250</v>
      </c>
      <c r="N61" s="70">
        <v>100</v>
      </c>
      <c r="O61" s="258">
        <v>8</v>
      </c>
      <c r="P61" s="70" t="s">
        <v>251</v>
      </c>
      <c r="Q61" s="70" t="s">
        <v>233</v>
      </c>
      <c r="R61" s="70" t="s">
        <v>240</v>
      </c>
      <c r="S61" s="70" t="s">
        <v>233</v>
      </c>
      <c r="T61" s="70" t="s">
        <v>233</v>
      </c>
      <c r="U61" s="70" t="s">
        <v>1427</v>
      </c>
      <c r="V61" s="70" t="s">
        <v>240</v>
      </c>
      <c r="W61" s="12"/>
      <c r="X61" s="242">
        <v>972.55000000000007</v>
      </c>
      <c r="Y61" s="242">
        <v>800.02</v>
      </c>
      <c r="Z61" s="242">
        <v>119.38</v>
      </c>
      <c r="AA61" s="157" t="s">
        <v>252</v>
      </c>
      <c r="AB61" s="242">
        <v>89.69</v>
      </c>
      <c r="AC61" s="157" t="s">
        <v>252</v>
      </c>
      <c r="AD61" s="242">
        <v>117.81</v>
      </c>
      <c r="AE61" s="157" t="s">
        <v>252</v>
      </c>
      <c r="AF61" s="242">
        <v>74.88</v>
      </c>
      <c r="AG61" s="157" t="s">
        <v>252</v>
      </c>
      <c r="AH61" s="242">
        <v>45.76</v>
      </c>
      <c r="AI61" s="157" t="s">
        <v>252</v>
      </c>
      <c r="AJ61" s="242">
        <v>31.51</v>
      </c>
      <c r="AK61" s="242" t="s">
        <v>252</v>
      </c>
      <c r="AL61" s="242">
        <v>33</v>
      </c>
      <c r="AM61" s="242" t="s">
        <v>252</v>
      </c>
      <c r="AN61" s="242">
        <v>47.52</v>
      </c>
      <c r="AO61" s="242" t="s">
        <v>252</v>
      </c>
      <c r="AP61" s="242">
        <v>32.76</v>
      </c>
      <c r="AQ61" s="242" t="s">
        <v>252</v>
      </c>
      <c r="AR61" s="242">
        <v>76.67</v>
      </c>
      <c r="AS61" s="242" t="s">
        <v>252</v>
      </c>
      <c r="AT61" s="242">
        <v>80.34</v>
      </c>
      <c r="AU61" s="242" t="s">
        <v>252</v>
      </c>
      <c r="AV61" s="242">
        <v>100.96</v>
      </c>
      <c r="AW61" s="157" t="s">
        <v>252</v>
      </c>
      <c r="AX61" s="157">
        <v>2622.8500000000013</v>
      </c>
      <c r="AY61" s="240">
        <v>0.32</v>
      </c>
      <c r="AZ61" s="156" t="s">
        <v>253</v>
      </c>
      <c r="BA61" s="156" t="s">
        <v>254</v>
      </c>
      <c r="BB61" s="156">
        <v>0</v>
      </c>
      <c r="BC61" s="156" t="s">
        <v>1423</v>
      </c>
      <c r="BD61" s="3"/>
    </row>
    <row r="62" spans="1:56" ht="15.75" hidden="1" customHeight="1" outlineLevel="1">
      <c r="A62" s="58">
        <v>52</v>
      </c>
      <c r="B62" s="11">
        <v>129052</v>
      </c>
      <c r="C62" s="89" t="s">
        <v>258</v>
      </c>
      <c r="D62" s="157">
        <v>8</v>
      </c>
      <c r="E62" s="12" t="s">
        <v>191</v>
      </c>
      <c r="F62" s="11" t="s">
        <v>246</v>
      </c>
      <c r="G62" s="18" t="s">
        <v>247</v>
      </c>
      <c r="H62" s="11" t="s">
        <v>248</v>
      </c>
      <c r="I62" s="87" t="s">
        <v>249</v>
      </c>
      <c r="J62" s="19" t="s">
        <v>139</v>
      </c>
      <c r="K62" s="17" t="s">
        <v>140</v>
      </c>
      <c r="L62" s="260">
        <v>1</v>
      </c>
      <c r="M62" s="70" t="s">
        <v>250</v>
      </c>
      <c r="N62" s="70">
        <v>100</v>
      </c>
      <c r="O62" s="258">
        <v>8</v>
      </c>
      <c r="P62" s="70" t="s">
        <v>251</v>
      </c>
      <c r="Q62" s="70" t="s">
        <v>233</v>
      </c>
      <c r="R62" s="70" t="s">
        <v>240</v>
      </c>
      <c r="S62" s="70" t="s">
        <v>233</v>
      </c>
      <c r="T62" s="70" t="s">
        <v>233</v>
      </c>
      <c r="U62" s="70" t="s">
        <v>1427</v>
      </c>
      <c r="V62" s="70" t="s">
        <v>240</v>
      </c>
      <c r="W62" s="12"/>
      <c r="X62" s="242">
        <v>1154.9758429319372</v>
      </c>
      <c r="Y62" s="242">
        <v>1168.9195523560209</v>
      </c>
      <c r="Z62" s="242">
        <v>232.83723298429317</v>
      </c>
      <c r="AA62" s="157" t="s">
        <v>252</v>
      </c>
      <c r="AB62" s="242">
        <v>125.23693193717276</v>
      </c>
      <c r="AC62" s="157" t="s">
        <v>252</v>
      </c>
      <c r="AD62" s="242">
        <v>178.83558376963347</v>
      </c>
      <c r="AE62" s="157" t="s">
        <v>252</v>
      </c>
      <c r="AF62" s="242">
        <v>99.694225130890047</v>
      </c>
      <c r="AG62" s="157" t="s">
        <v>252</v>
      </c>
      <c r="AH62" s="242">
        <v>50.704397905759159</v>
      </c>
      <c r="AI62" s="157" t="s">
        <v>252</v>
      </c>
      <c r="AJ62" s="242">
        <v>23.388502617801045</v>
      </c>
      <c r="AK62" s="242" t="s">
        <v>252</v>
      </c>
      <c r="AL62" s="242">
        <v>27.806819371727748</v>
      </c>
      <c r="AM62" s="242" t="s">
        <v>252</v>
      </c>
      <c r="AN62" s="242">
        <v>21.659277486910991</v>
      </c>
      <c r="AO62" s="242" t="s">
        <v>252</v>
      </c>
      <c r="AP62" s="242">
        <v>27.557693717277484</v>
      </c>
      <c r="AQ62" s="242" t="s">
        <v>252</v>
      </c>
      <c r="AR62" s="242">
        <v>118.11486910994762</v>
      </c>
      <c r="AS62" s="242" t="s">
        <v>252</v>
      </c>
      <c r="AT62" s="242">
        <v>102.68373298429317</v>
      </c>
      <c r="AU62" s="242" t="s">
        <v>252</v>
      </c>
      <c r="AV62" s="242">
        <v>141.78913350785339</v>
      </c>
      <c r="AW62" s="157" t="s">
        <v>252</v>
      </c>
      <c r="AX62" s="157">
        <v>3474.2037958115184</v>
      </c>
      <c r="AY62" s="240">
        <v>0.44696073298429312</v>
      </c>
      <c r="AZ62" s="156" t="s">
        <v>253</v>
      </c>
      <c r="BA62" s="156" t="s">
        <v>254</v>
      </c>
      <c r="BB62" s="156">
        <v>1</v>
      </c>
      <c r="BC62" s="156" t="s">
        <v>1423</v>
      </c>
      <c r="BD62" s="3"/>
    </row>
    <row r="63" spans="1:56" ht="15.75" hidden="1" customHeight="1" outlineLevel="1">
      <c r="A63" s="58">
        <v>53</v>
      </c>
      <c r="B63" s="11">
        <v>129053</v>
      </c>
      <c r="C63" s="89" t="s">
        <v>258</v>
      </c>
      <c r="D63" s="157">
        <v>8</v>
      </c>
      <c r="E63" s="12" t="s">
        <v>231</v>
      </c>
      <c r="F63" s="11" t="s">
        <v>246</v>
      </c>
      <c r="G63" s="18" t="s">
        <v>247</v>
      </c>
      <c r="H63" s="11" t="s">
        <v>248</v>
      </c>
      <c r="I63" s="87" t="s">
        <v>249</v>
      </c>
      <c r="J63" s="19" t="s">
        <v>139</v>
      </c>
      <c r="K63" s="17" t="s">
        <v>140</v>
      </c>
      <c r="L63" s="257">
        <v>0</v>
      </c>
      <c r="M63" s="70" t="s">
        <v>250</v>
      </c>
      <c r="N63" s="70">
        <v>80</v>
      </c>
      <c r="O63" s="258">
        <v>8</v>
      </c>
      <c r="P63" s="70" t="s">
        <v>251</v>
      </c>
      <c r="Q63" s="70" t="s">
        <v>233</v>
      </c>
      <c r="R63" s="70" t="s">
        <v>240</v>
      </c>
      <c r="S63" s="70" t="s">
        <v>233</v>
      </c>
      <c r="T63" s="70" t="s">
        <v>233</v>
      </c>
      <c r="U63" s="70" t="s">
        <v>1427</v>
      </c>
      <c r="V63" s="70" t="s">
        <v>240</v>
      </c>
      <c r="W63" s="12"/>
      <c r="X63" s="242">
        <v>421.30415706806281</v>
      </c>
      <c r="Y63" s="242">
        <v>426.39044764397897</v>
      </c>
      <c r="Z63" s="242">
        <v>84.932767015706787</v>
      </c>
      <c r="AA63" s="157" t="s">
        <v>252</v>
      </c>
      <c r="AB63" s="242">
        <v>45.683068062827218</v>
      </c>
      <c r="AC63" s="157" t="s">
        <v>252</v>
      </c>
      <c r="AD63" s="242">
        <v>65.234416230366477</v>
      </c>
      <c r="AE63" s="157" t="s">
        <v>252</v>
      </c>
      <c r="AF63" s="242">
        <v>36.365774869109941</v>
      </c>
      <c r="AG63" s="157" t="s">
        <v>252</v>
      </c>
      <c r="AH63" s="242">
        <v>18.495602094240837</v>
      </c>
      <c r="AI63" s="157" t="s">
        <v>252</v>
      </c>
      <c r="AJ63" s="242">
        <v>8.5314973821989515</v>
      </c>
      <c r="AK63" s="242" t="s">
        <v>252</v>
      </c>
      <c r="AL63" s="242">
        <v>10.143180628272251</v>
      </c>
      <c r="AM63" s="242" t="s">
        <v>252</v>
      </c>
      <c r="AN63" s="242">
        <v>7.9007225130890042</v>
      </c>
      <c r="AO63" s="242" t="s">
        <v>252</v>
      </c>
      <c r="AP63" s="242">
        <v>10.052306282722512</v>
      </c>
      <c r="AQ63" s="242" t="s">
        <v>252</v>
      </c>
      <c r="AR63" s="242">
        <v>43.085130890052348</v>
      </c>
      <c r="AS63" s="242" t="s">
        <v>252</v>
      </c>
      <c r="AT63" s="242">
        <v>37.4562670157068</v>
      </c>
      <c r="AU63" s="242" t="s">
        <v>252</v>
      </c>
      <c r="AV63" s="242">
        <v>51.720866492146591</v>
      </c>
      <c r="AW63" s="157" t="s">
        <v>252</v>
      </c>
      <c r="AX63" s="157">
        <v>1267.2962041884816</v>
      </c>
      <c r="AY63" s="243">
        <v>0.16303926701570678</v>
      </c>
      <c r="AZ63" s="156" t="s">
        <v>253</v>
      </c>
      <c r="BA63" s="156" t="s">
        <v>254</v>
      </c>
      <c r="BB63" s="156">
        <v>0</v>
      </c>
      <c r="BC63" s="156" t="s">
        <v>1423</v>
      </c>
      <c r="BD63" s="3"/>
    </row>
    <row r="64" spans="1:56" ht="15.75" hidden="1" customHeight="1" outlineLevel="1">
      <c r="A64" s="58">
        <v>54</v>
      </c>
      <c r="B64" s="11">
        <v>129054</v>
      </c>
      <c r="C64" s="89" t="s">
        <v>263</v>
      </c>
      <c r="D64" s="157">
        <v>29</v>
      </c>
      <c r="E64" s="12" t="s">
        <v>191</v>
      </c>
      <c r="F64" s="11" t="s">
        <v>246</v>
      </c>
      <c r="G64" s="18" t="s">
        <v>247</v>
      </c>
      <c r="H64" s="11" t="s">
        <v>248</v>
      </c>
      <c r="I64" s="87" t="s">
        <v>249</v>
      </c>
      <c r="J64" s="19" t="s">
        <v>139</v>
      </c>
      <c r="K64" s="17" t="s">
        <v>140</v>
      </c>
      <c r="L64" s="257">
        <v>0</v>
      </c>
      <c r="M64" s="70" t="s">
        <v>250</v>
      </c>
      <c r="N64" s="70">
        <v>100</v>
      </c>
      <c r="O64" s="258">
        <v>8</v>
      </c>
      <c r="P64" s="70" t="s">
        <v>251</v>
      </c>
      <c r="Q64" s="70" t="s">
        <v>233</v>
      </c>
      <c r="R64" s="70" t="s">
        <v>240</v>
      </c>
      <c r="S64" s="70" t="s">
        <v>240</v>
      </c>
      <c r="T64" s="70" t="s">
        <v>240</v>
      </c>
      <c r="U64" s="70" t="s">
        <v>1427</v>
      </c>
      <c r="V64" s="70" t="s">
        <v>240</v>
      </c>
      <c r="W64" s="12"/>
      <c r="X64" s="242">
        <v>408.86845199999993</v>
      </c>
      <c r="Y64" s="242">
        <v>405.68685299999993</v>
      </c>
      <c r="Z64" s="242">
        <v>29.406666666666666</v>
      </c>
      <c r="AA64" s="157" t="s">
        <v>252</v>
      </c>
      <c r="AB64" s="242">
        <v>29.406666666666666</v>
      </c>
      <c r="AC64" s="157" t="s">
        <v>252</v>
      </c>
      <c r="AD64" s="242">
        <v>29.406666666666666</v>
      </c>
      <c r="AE64" s="157" t="s">
        <v>252</v>
      </c>
      <c r="AF64" s="242">
        <v>29.406666666666666</v>
      </c>
      <c r="AG64" s="157" t="s">
        <v>252</v>
      </c>
      <c r="AH64" s="242">
        <v>29.406666666666666</v>
      </c>
      <c r="AI64" s="157" t="s">
        <v>252</v>
      </c>
      <c r="AJ64" s="242">
        <v>2.1966666666666668</v>
      </c>
      <c r="AK64" s="242" t="s">
        <v>252</v>
      </c>
      <c r="AL64" s="242">
        <v>1.95</v>
      </c>
      <c r="AM64" s="242" t="s">
        <v>252</v>
      </c>
      <c r="AN64" s="242">
        <v>2.6</v>
      </c>
      <c r="AO64" s="242" t="s">
        <v>252</v>
      </c>
      <c r="AP64" s="242">
        <v>2.04</v>
      </c>
      <c r="AQ64" s="242" t="s">
        <v>252</v>
      </c>
      <c r="AR64" s="242">
        <v>27.99</v>
      </c>
      <c r="AS64" s="242" t="s">
        <v>252</v>
      </c>
      <c r="AT64" s="242">
        <v>26.42</v>
      </c>
      <c r="AU64" s="242" t="s">
        <v>252</v>
      </c>
      <c r="AV64" s="242">
        <v>33.81</v>
      </c>
      <c r="AW64" s="157" t="s">
        <v>252</v>
      </c>
      <c r="AX64" s="157">
        <v>1058.5953049999998</v>
      </c>
      <c r="AY64" s="243">
        <v>0.16300000000000001</v>
      </c>
      <c r="AZ64" s="156" t="s">
        <v>253</v>
      </c>
      <c r="BA64" s="156" t="s">
        <v>254</v>
      </c>
      <c r="BB64" s="156">
        <v>0</v>
      </c>
      <c r="BC64" s="156" t="s">
        <v>1423</v>
      </c>
      <c r="BD64" s="3"/>
    </row>
    <row r="65" spans="1:56" ht="15.75" hidden="1" customHeight="1" outlineLevel="1">
      <c r="A65" s="58">
        <v>55</v>
      </c>
      <c r="B65" s="11">
        <v>129055</v>
      </c>
      <c r="C65" s="89" t="s">
        <v>264</v>
      </c>
      <c r="D65" s="157">
        <v>13</v>
      </c>
      <c r="E65" s="12" t="s">
        <v>191</v>
      </c>
      <c r="F65" s="11" t="s">
        <v>246</v>
      </c>
      <c r="G65" s="18" t="s">
        <v>247</v>
      </c>
      <c r="H65" s="11" t="s">
        <v>248</v>
      </c>
      <c r="I65" s="87" t="s">
        <v>249</v>
      </c>
      <c r="J65" s="19" t="s">
        <v>139</v>
      </c>
      <c r="K65" s="17" t="s">
        <v>140</v>
      </c>
      <c r="L65" s="257">
        <v>0</v>
      </c>
      <c r="M65" s="70" t="s">
        <v>250</v>
      </c>
      <c r="N65" s="70">
        <v>100</v>
      </c>
      <c r="O65" s="258">
        <v>8</v>
      </c>
      <c r="P65" s="70" t="s">
        <v>251</v>
      </c>
      <c r="Q65" s="70" t="s">
        <v>233</v>
      </c>
      <c r="R65" s="70" t="s">
        <v>240</v>
      </c>
      <c r="S65" s="70" t="s">
        <v>233</v>
      </c>
      <c r="T65" s="70" t="s">
        <v>233</v>
      </c>
      <c r="U65" s="70" t="s">
        <v>1427</v>
      </c>
      <c r="V65" s="70" t="s">
        <v>240</v>
      </c>
      <c r="W65" s="12"/>
      <c r="X65" s="242">
        <v>321.53999999999996</v>
      </c>
      <c r="Y65" s="242">
        <v>316.80000000000007</v>
      </c>
      <c r="Z65" s="242">
        <v>57.39</v>
      </c>
      <c r="AA65" s="157" t="s">
        <v>252</v>
      </c>
      <c r="AB65" s="242">
        <v>33.590000000000003</v>
      </c>
      <c r="AC65" s="157" t="s">
        <v>252</v>
      </c>
      <c r="AD65" s="242">
        <v>38.79</v>
      </c>
      <c r="AE65" s="157" t="s">
        <v>252</v>
      </c>
      <c r="AF65" s="242">
        <v>29.27</v>
      </c>
      <c r="AG65" s="157" t="s">
        <v>252</v>
      </c>
      <c r="AH65" s="242">
        <v>10.18</v>
      </c>
      <c r="AI65" s="157" t="s">
        <v>252</v>
      </c>
      <c r="AJ65" s="242">
        <v>5.25</v>
      </c>
      <c r="AK65" s="242" t="s">
        <v>252</v>
      </c>
      <c r="AL65" s="242">
        <v>3.99</v>
      </c>
      <c r="AM65" s="242" t="s">
        <v>252</v>
      </c>
      <c r="AN65" s="242">
        <v>4.32</v>
      </c>
      <c r="AO65" s="242" t="s">
        <v>252</v>
      </c>
      <c r="AP65" s="242">
        <v>5.66</v>
      </c>
      <c r="AQ65" s="242" t="s">
        <v>252</v>
      </c>
      <c r="AR65" s="242">
        <v>31.27</v>
      </c>
      <c r="AS65" s="242" t="s">
        <v>252</v>
      </c>
      <c r="AT65" s="242">
        <v>30.45</v>
      </c>
      <c r="AU65" s="242" t="s">
        <v>252</v>
      </c>
      <c r="AV65" s="242">
        <v>32.89</v>
      </c>
      <c r="AW65" s="157" t="s">
        <v>252</v>
      </c>
      <c r="AX65" s="157">
        <v>921.39</v>
      </c>
      <c r="AY65" s="240">
        <v>0.14000000000000001</v>
      </c>
      <c r="AZ65" s="156" t="s">
        <v>253</v>
      </c>
      <c r="BA65" s="156" t="s">
        <v>254</v>
      </c>
      <c r="BB65" s="156">
        <v>0</v>
      </c>
      <c r="BC65" s="156" t="s">
        <v>1423</v>
      </c>
      <c r="BD65" s="3"/>
    </row>
    <row r="66" spans="1:56" ht="15.75" hidden="1" customHeight="1" outlineLevel="1">
      <c r="A66" s="58">
        <v>56</v>
      </c>
      <c r="B66" s="11">
        <v>129056</v>
      </c>
      <c r="C66" s="89" t="s">
        <v>264</v>
      </c>
      <c r="D66" s="157">
        <v>14</v>
      </c>
      <c r="E66" s="12" t="s">
        <v>191</v>
      </c>
      <c r="F66" s="11" t="s">
        <v>246</v>
      </c>
      <c r="G66" s="18" t="s">
        <v>247</v>
      </c>
      <c r="H66" s="11" t="s">
        <v>248</v>
      </c>
      <c r="I66" s="87" t="s">
        <v>249</v>
      </c>
      <c r="J66" s="19" t="s">
        <v>139</v>
      </c>
      <c r="K66" s="17" t="s">
        <v>140</v>
      </c>
      <c r="L66" s="260">
        <v>1</v>
      </c>
      <c r="M66" s="70" t="s">
        <v>250</v>
      </c>
      <c r="N66" s="70">
        <v>100</v>
      </c>
      <c r="O66" s="258">
        <v>8</v>
      </c>
      <c r="P66" s="70" t="s">
        <v>251</v>
      </c>
      <c r="Q66" s="70" t="s">
        <v>233</v>
      </c>
      <c r="R66" s="70" t="s">
        <v>240</v>
      </c>
      <c r="S66" s="70" t="s">
        <v>233</v>
      </c>
      <c r="T66" s="70" t="s">
        <v>233</v>
      </c>
      <c r="U66" s="70" t="s">
        <v>1427</v>
      </c>
      <c r="V66" s="70" t="s">
        <v>240</v>
      </c>
      <c r="W66" s="12"/>
      <c r="X66" s="242">
        <v>1002.54</v>
      </c>
      <c r="Y66" s="242">
        <v>1097.17</v>
      </c>
      <c r="Z66" s="242">
        <v>105.56</v>
      </c>
      <c r="AA66" s="157" t="s">
        <v>259</v>
      </c>
      <c r="AB66" s="242">
        <v>104.74</v>
      </c>
      <c r="AC66" s="157" t="s">
        <v>259</v>
      </c>
      <c r="AD66" s="242">
        <v>105.11</v>
      </c>
      <c r="AE66" s="157" t="s">
        <v>259</v>
      </c>
      <c r="AF66" s="242">
        <v>102.34</v>
      </c>
      <c r="AG66" s="157" t="s">
        <v>259</v>
      </c>
      <c r="AH66" s="242">
        <v>103.41</v>
      </c>
      <c r="AI66" s="157" t="s">
        <v>259</v>
      </c>
      <c r="AJ66" s="242">
        <v>25.21</v>
      </c>
      <c r="AK66" s="242" t="s">
        <v>259</v>
      </c>
      <c r="AL66" s="242">
        <v>25.21</v>
      </c>
      <c r="AM66" s="242" t="s">
        <v>259</v>
      </c>
      <c r="AN66" s="242">
        <v>25.21</v>
      </c>
      <c r="AO66" s="242" t="s">
        <v>259</v>
      </c>
      <c r="AP66" s="242">
        <v>21.47</v>
      </c>
      <c r="AQ66" s="242" t="s">
        <v>259</v>
      </c>
      <c r="AR66" s="242">
        <v>96.37</v>
      </c>
      <c r="AS66" s="242" t="s">
        <v>259</v>
      </c>
      <c r="AT66" s="242">
        <v>95.18</v>
      </c>
      <c r="AU66" s="242" t="s">
        <v>259</v>
      </c>
      <c r="AV66" s="242">
        <v>96.81</v>
      </c>
      <c r="AW66" s="157" t="s">
        <v>259</v>
      </c>
      <c r="AX66" s="157">
        <v>3006.3299999999995</v>
      </c>
      <c r="AY66" s="240">
        <v>0.42</v>
      </c>
      <c r="AZ66" s="156" t="s">
        <v>253</v>
      </c>
      <c r="BA66" s="156" t="s">
        <v>254</v>
      </c>
      <c r="BB66" s="156">
        <v>1</v>
      </c>
      <c r="BC66" s="156" t="s">
        <v>1423</v>
      </c>
      <c r="BD66" s="3"/>
    </row>
    <row r="67" spans="1:56" ht="15.75" hidden="1" customHeight="1" outlineLevel="1">
      <c r="A67" s="58">
        <v>57</v>
      </c>
      <c r="B67" s="11">
        <v>129057</v>
      </c>
      <c r="C67" s="89" t="s">
        <v>264</v>
      </c>
      <c r="D67" s="157">
        <v>15</v>
      </c>
      <c r="E67" s="12" t="s">
        <v>191</v>
      </c>
      <c r="F67" s="11" t="s">
        <v>246</v>
      </c>
      <c r="G67" s="18" t="s">
        <v>247</v>
      </c>
      <c r="H67" s="11" t="s">
        <v>248</v>
      </c>
      <c r="I67" s="87" t="s">
        <v>249</v>
      </c>
      <c r="J67" s="19" t="s">
        <v>139</v>
      </c>
      <c r="K67" s="17" t="s">
        <v>140</v>
      </c>
      <c r="L67" s="257">
        <v>0</v>
      </c>
      <c r="M67" s="70" t="s">
        <v>250</v>
      </c>
      <c r="N67" s="70">
        <v>100</v>
      </c>
      <c r="O67" s="258">
        <v>8</v>
      </c>
      <c r="P67" s="70" t="s">
        <v>251</v>
      </c>
      <c r="Q67" s="70" t="s">
        <v>233</v>
      </c>
      <c r="R67" s="70" t="s">
        <v>240</v>
      </c>
      <c r="S67" s="70" t="s">
        <v>233</v>
      </c>
      <c r="T67" s="70" t="s">
        <v>233</v>
      </c>
      <c r="U67" s="70" t="s">
        <v>1427</v>
      </c>
      <c r="V67" s="70" t="s">
        <v>240</v>
      </c>
      <c r="W67" s="12"/>
      <c r="X67" s="242">
        <v>296.80697569248161</v>
      </c>
      <c r="Y67" s="242">
        <v>316.22898247597516</v>
      </c>
      <c r="Z67" s="242">
        <v>60.846823063877899</v>
      </c>
      <c r="AA67" s="157" t="s">
        <v>252</v>
      </c>
      <c r="AB67" s="242">
        <v>40.60365178066705</v>
      </c>
      <c r="AC67" s="157" t="s">
        <v>252</v>
      </c>
      <c r="AD67" s="242">
        <v>51.16148106274732</v>
      </c>
      <c r="AE67" s="157" t="s">
        <v>252</v>
      </c>
      <c r="AF67" s="242">
        <v>35.896619559072924</v>
      </c>
      <c r="AG67" s="157" t="s">
        <v>252</v>
      </c>
      <c r="AH67" s="242">
        <v>15.704771057094405</v>
      </c>
      <c r="AI67" s="157" t="s">
        <v>252</v>
      </c>
      <c r="AJ67" s="242">
        <v>5.2642509892594687</v>
      </c>
      <c r="AK67" s="242" t="s">
        <v>252</v>
      </c>
      <c r="AL67" s="242">
        <v>4.1938044092707747</v>
      </c>
      <c r="AM67" s="242" t="s">
        <v>252</v>
      </c>
      <c r="AN67" s="242">
        <v>5.7334878462408145</v>
      </c>
      <c r="AO67" s="242" t="s">
        <v>252</v>
      </c>
      <c r="AP67" s="242">
        <v>6.0487563595251554</v>
      </c>
      <c r="AQ67" s="242" t="s">
        <v>252</v>
      </c>
      <c r="AR67" s="242">
        <v>33.543103448275865</v>
      </c>
      <c r="AS67" s="242" t="s">
        <v>252</v>
      </c>
      <c r="AT67" s="242">
        <v>32.406670435274172</v>
      </c>
      <c r="AU67" s="242" t="s">
        <v>252</v>
      </c>
      <c r="AV67" s="242">
        <v>35.881955907292259</v>
      </c>
      <c r="AW67" s="157" t="s">
        <v>252</v>
      </c>
      <c r="AX67" s="157">
        <v>940.32133408705477</v>
      </c>
      <c r="AY67" s="240">
        <v>0.13197286602600339</v>
      </c>
      <c r="AZ67" s="156" t="s">
        <v>253</v>
      </c>
      <c r="BA67" s="156" t="s">
        <v>254</v>
      </c>
      <c r="BB67" s="156">
        <v>0</v>
      </c>
      <c r="BC67" s="156" t="s">
        <v>1423</v>
      </c>
      <c r="BD67" s="3"/>
    </row>
    <row r="68" spans="1:56" ht="15.75" hidden="1" customHeight="1" outlineLevel="1">
      <c r="A68" s="58">
        <v>58</v>
      </c>
      <c r="B68" s="11">
        <v>129058</v>
      </c>
      <c r="C68" s="89" t="s">
        <v>264</v>
      </c>
      <c r="D68" s="157">
        <v>15</v>
      </c>
      <c r="E68" s="12" t="s">
        <v>231</v>
      </c>
      <c r="F68" s="11" t="s">
        <v>246</v>
      </c>
      <c r="G68" s="18" t="s">
        <v>247</v>
      </c>
      <c r="H68" s="11" t="s">
        <v>248</v>
      </c>
      <c r="I68" s="87" t="s">
        <v>249</v>
      </c>
      <c r="J68" s="19" t="s">
        <v>139</v>
      </c>
      <c r="K68" s="17" t="s">
        <v>140</v>
      </c>
      <c r="L68" s="257">
        <v>0</v>
      </c>
      <c r="M68" s="70" t="s">
        <v>250</v>
      </c>
      <c r="N68" s="70">
        <v>100</v>
      </c>
      <c r="O68" s="258">
        <v>8</v>
      </c>
      <c r="P68" s="70" t="s">
        <v>251</v>
      </c>
      <c r="Q68" s="70" t="s">
        <v>233</v>
      </c>
      <c r="R68" s="70" t="s">
        <v>240</v>
      </c>
      <c r="S68" s="70" t="s">
        <v>233</v>
      </c>
      <c r="T68" s="70" t="s">
        <v>233</v>
      </c>
      <c r="U68" s="70" t="s">
        <v>1427</v>
      </c>
      <c r="V68" s="70" t="s">
        <v>240</v>
      </c>
      <c r="W68" s="12"/>
      <c r="X68" s="242">
        <v>108.01302430751838</v>
      </c>
      <c r="Y68" s="242">
        <v>115.0810175240249</v>
      </c>
      <c r="Z68" s="242">
        <v>22.143176936122103</v>
      </c>
      <c r="AA68" s="157" t="s">
        <v>252</v>
      </c>
      <c r="AB68" s="242">
        <v>14.776348219332959</v>
      </c>
      <c r="AC68" s="157" t="s">
        <v>252</v>
      </c>
      <c r="AD68" s="242">
        <v>18.618518937252688</v>
      </c>
      <c r="AE68" s="157" t="s">
        <v>252</v>
      </c>
      <c r="AF68" s="242">
        <v>13.063380440927078</v>
      </c>
      <c r="AG68" s="157" t="s">
        <v>252</v>
      </c>
      <c r="AH68" s="242">
        <v>5.7152289429055978</v>
      </c>
      <c r="AI68" s="157" t="s">
        <v>252</v>
      </c>
      <c r="AJ68" s="242">
        <v>1.9157490107405315</v>
      </c>
      <c r="AK68" s="242" t="s">
        <v>252</v>
      </c>
      <c r="AL68" s="242">
        <v>1.5261955907292257</v>
      </c>
      <c r="AM68" s="242" t="s">
        <v>252</v>
      </c>
      <c r="AN68" s="242">
        <v>2.0865121537591862</v>
      </c>
      <c r="AO68" s="242" t="s">
        <v>252</v>
      </c>
      <c r="AP68" s="242">
        <v>2.2012436404748446</v>
      </c>
      <c r="AQ68" s="242" t="s">
        <v>252</v>
      </c>
      <c r="AR68" s="242">
        <v>12.206896551724139</v>
      </c>
      <c r="AS68" s="242" t="s">
        <v>252</v>
      </c>
      <c r="AT68" s="242">
        <v>11.793329564725836</v>
      </c>
      <c r="AU68" s="242" t="s">
        <v>252</v>
      </c>
      <c r="AV68" s="242">
        <v>13.058044092707744</v>
      </c>
      <c r="AW68" s="157" t="s">
        <v>252</v>
      </c>
      <c r="AX68" s="157">
        <v>342.19866591294516</v>
      </c>
      <c r="AY68" s="243">
        <v>4.8027133973996612E-2</v>
      </c>
      <c r="AZ68" s="156" t="s">
        <v>253</v>
      </c>
      <c r="BA68" s="156" t="s">
        <v>254</v>
      </c>
      <c r="BB68" s="156">
        <v>0</v>
      </c>
      <c r="BC68" s="156" t="s">
        <v>1423</v>
      </c>
      <c r="BD68" s="3"/>
    </row>
    <row r="69" spans="1:56" ht="15.75" hidden="1" customHeight="1" outlineLevel="1">
      <c r="A69" s="58">
        <v>59</v>
      </c>
      <c r="B69" s="11">
        <v>129059</v>
      </c>
      <c r="C69" s="89" t="s">
        <v>264</v>
      </c>
      <c r="D69" s="157">
        <v>16</v>
      </c>
      <c r="E69" s="12" t="s">
        <v>191</v>
      </c>
      <c r="F69" s="11" t="s">
        <v>246</v>
      </c>
      <c r="G69" s="18" t="s">
        <v>247</v>
      </c>
      <c r="H69" s="11" t="s">
        <v>248</v>
      </c>
      <c r="I69" s="87" t="s">
        <v>249</v>
      </c>
      <c r="J69" s="19" t="s">
        <v>139</v>
      </c>
      <c r="K69" s="17" t="s">
        <v>140</v>
      </c>
      <c r="L69" s="257">
        <v>0</v>
      </c>
      <c r="M69" s="70" t="s">
        <v>250</v>
      </c>
      <c r="N69" s="70">
        <v>80</v>
      </c>
      <c r="O69" s="258">
        <v>8</v>
      </c>
      <c r="P69" s="70" t="s">
        <v>251</v>
      </c>
      <c r="Q69" s="70" t="s">
        <v>233</v>
      </c>
      <c r="R69" s="70" t="s">
        <v>240</v>
      </c>
      <c r="S69" s="70" t="s">
        <v>240</v>
      </c>
      <c r="T69" s="70" t="s">
        <v>240</v>
      </c>
      <c r="U69" s="70" t="s">
        <v>1427</v>
      </c>
      <c r="V69" s="70" t="s">
        <v>240</v>
      </c>
      <c r="W69" s="12"/>
      <c r="X69" s="242">
        <v>635.17999999999984</v>
      </c>
      <c r="Y69" s="242">
        <v>679.54</v>
      </c>
      <c r="Z69" s="242">
        <v>60.17</v>
      </c>
      <c r="AA69" s="157" t="s">
        <v>259</v>
      </c>
      <c r="AB69" s="242">
        <v>60.47</v>
      </c>
      <c r="AC69" s="157" t="s">
        <v>259</v>
      </c>
      <c r="AD69" s="242">
        <v>59.66</v>
      </c>
      <c r="AE69" s="157" t="s">
        <v>259</v>
      </c>
      <c r="AF69" s="242">
        <v>58.6</v>
      </c>
      <c r="AG69" s="157" t="s">
        <v>259</v>
      </c>
      <c r="AH69" s="242">
        <v>60.58</v>
      </c>
      <c r="AI69" s="157" t="s">
        <v>259</v>
      </c>
      <c r="AJ69" s="242">
        <v>17.690000000000001</v>
      </c>
      <c r="AK69" s="242" t="s">
        <v>259</v>
      </c>
      <c r="AL69" s="242">
        <v>16.760000000000002</v>
      </c>
      <c r="AM69" s="242" t="s">
        <v>259</v>
      </c>
      <c r="AN69" s="242">
        <v>5.12</v>
      </c>
      <c r="AO69" s="242" t="s">
        <v>259</v>
      </c>
      <c r="AP69" s="242">
        <v>13.09</v>
      </c>
      <c r="AQ69" s="242" t="s">
        <v>259</v>
      </c>
      <c r="AR69" s="242">
        <v>59.11</v>
      </c>
      <c r="AS69" s="242" t="s">
        <v>259</v>
      </c>
      <c r="AT69" s="242">
        <v>59.49</v>
      </c>
      <c r="AU69" s="242" t="s">
        <v>259</v>
      </c>
      <c r="AV69" s="242">
        <v>59.43</v>
      </c>
      <c r="AW69" s="157" t="s">
        <v>259</v>
      </c>
      <c r="AX69" s="157">
        <v>1844.8899999999996</v>
      </c>
      <c r="AY69" s="240">
        <v>0.23</v>
      </c>
      <c r="AZ69" s="156" t="s">
        <v>253</v>
      </c>
      <c r="BA69" s="156" t="s">
        <v>254</v>
      </c>
      <c r="BB69" s="156">
        <v>0</v>
      </c>
      <c r="BC69" s="156" t="s">
        <v>1423</v>
      </c>
      <c r="BD69" s="3"/>
    </row>
    <row r="70" spans="1:56" ht="15.75" hidden="1" customHeight="1" outlineLevel="1">
      <c r="A70" s="58">
        <v>60</v>
      </c>
      <c r="B70" s="11">
        <v>129060</v>
      </c>
      <c r="C70" s="89" t="s">
        <v>264</v>
      </c>
      <c r="D70" s="157">
        <v>17</v>
      </c>
      <c r="E70" s="12" t="s">
        <v>191</v>
      </c>
      <c r="F70" s="11" t="s">
        <v>246</v>
      </c>
      <c r="G70" s="18" t="s">
        <v>247</v>
      </c>
      <c r="H70" s="11" t="s">
        <v>248</v>
      </c>
      <c r="I70" s="87" t="s">
        <v>249</v>
      </c>
      <c r="J70" s="19" t="s">
        <v>139</v>
      </c>
      <c r="K70" s="17" t="s">
        <v>140</v>
      </c>
      <c r="L70" s="257">
        <v>0</v>
      </c>
      <c r="M70" s="70" t="s">
        <v>250</v>
      </c>
      <c r="N70" s="70">
        <v>100</v>
      </c>
      <c r="O70" s="258">
        <v>8</v>
      </c>
      <c r="P70" s="70" t="s">
        <v>251</v>
      </c>
      <c r="Q70" s="70" t="s">
        <v>233</v>
      </c>
      <c r="R70" s="70" t="s">
        <v>240</v>
      </c>
      <c r="S70" s="70" t="s">
        <v>233</v>
      </c>
      <c r="T70" s="70" t="s">
        <v>233</v>
      </c>
      <c r="U70" s="70" t="s">
        <v>1427</v>
      </c>
      <c r="V70" s="70" t="s">
        <v>240</v>
      </c>
      <c r="W70" s="12"/>
      <c r="X70" s="242">
        <v>798.83</v>
      </c>
      <c r="Y70" s="242">
        <v>830.2</v>
      </c>
      <c r="Z70" s="242">
        <v>155.63999999999999</v>
      </c>
      <c r="AA70" s="157" t="s">
        <v>252</v>
      </c>
      <c r="AB70" s="242">
        <v>103.81</v>
      </c>
      <c r="AC70" s="157" t="s">
        <v>252</v>
      </c>
      <c r="AD70" s="242">
        <v>130.65</v>
      </c>
      <c r="AE70" s="157" t="s">
        <v>252</v>
      </c>
      <c r="AF70" s="242">
        <v>91.78</v>
      </c>
      <c r="AG70" s="157" t="s">
        <v>252</v>
      </c>
      <c r="AH70" s="242">
        <v>39.380000000000003</v>
      </c>
      <c r="AI70" s="157" t="s">
        <v>252</v>
      </c>
      <c r="AJ70" s="242">
        <v>19.5</v>
      </c>
      <c r="AK70" s="242" t="s">
        <v>252</v>
      </c>
      <c r="AL70" s="242">
        <v>15.37</v>
      </c>
      <c r="AM70" s="242" t="s">
        <v>252</v>
      </c>
      <c r="AN70" s="242">
        <v>21.31</v>
      </c>
      <c r="AO70" s="242" t="s">
        <v>252</v>
      </c>
      <c r="AP70" s="242">
        <v>22.29</v>
      </c>
      <c r="AQ70" s="242" t="s">
        <v>252</v>
      </c>
      <c r="AR70" s="242">
        <v>83.86</v>
      </c>
      <c r="AS70" s="242" t="s">
        <v>252</v>
      </c>
      <c r="AT70" s="242">
        <v>81.790000000000006</v>
      </c>
      <c r="AU70" s="242" t="s">
        <v>252</v>
      </c>
      <c r="AV70" s="242">
        <v>91.11</v>
      </c>
      <c r="AW70" s="157" t="s">
        <v>252</v>
      </c>
      <c r="AX70" s="157">
        <v>2485.5200000000004</v>
      </c>
      <c r="AY70" s="240">
        <v>0.32</v>
      </c>
      <c r="AZ70" s="156" t="s">
        <v>253</v>
      </c>
      <c r="BA70" s="156" t="s">
        <v>254</v>
      </c>
      <c r="BB70" s="156">
        <v>0</v>
      </c>
      <c r="BC70" s="156" t="s">
        <v>1423</v>
      </c>
      <c r="BD70" s="3"/>
    </row>
    <row r="71" spans="1:56" ht="15.75" hidden="1" customHeight="1" outlineLevel="1">
      <c r="A71" s="58">
        <v>61</v>
      </c>
      <c r="B71" s="11">
        <v>129061</v>
      </c>
      <c r="C71" s="89" t="s">
        <v>264</v>
      </c>
      <c r="D71" s="157" t="s">
        <v>265</v>
      </c>
      <c r="E71" s="12" t="s">
        <v>191</v>
      </c>
      <c r="F71" s="11" t="s">
        <v>246</v>
      </c>
      <c r="G71" s="18" t="s">
        <v>247</v>
      </c>
      <c r="H71" s="11" t="s">
        <v>248</v>
      </c>
      <c r="I71" s="87" t="s">
        <v>249</v>
      </c>
      <c r="J71" s="19" t="s">
        <v>139</v>
      </c>
      <c r="K71" s="17" t="s">
        <v>140</v>
      </c>
      <c r="L71" s="257">
        <v>0</v>
      </c>
      <c r="M71" s="70" t="s">
        <v>250</v>
      </c>
      <c r="N71" s="70">
        <v>80</v>
      </c>
      <c r="O71" s="258">
        <v>8</v>
      </c>
      <c r="P71" s="70" t="s">
        <v>251</v>
      </c>
      <c r="Q71" s="70" t="s">
        <v>233</v>
      </c>
      <c r="R71" s="70" t="s">
        <v>240</v>
      </c>
      <c r="S71" s="70" t="s">
        <v>233</v>
      </c>
      <c r="T71" s="70" t="s">
        <v>233</v>
      </c>
      <c r="U71" s="70" t="s">
        <v>1427</v>
      </c>
      <c r="V71" s="70" t="s">
        <v>240</v>
      </c>
      <c r="W71" s="12"/>
      <c r="X71" s="242">
        <v>400.92</v>
      </c>
      <c r="Y71" s="242">
        <v>335.9</v>
      </c>
      <c r="Z71" s="242">
        <v>77.89</v>
      </c>
      <c r="AA71" s="157" t="s">
        <v>252</v>
      </c>
      <c r="AB71" s="242">
        <v>52.09</v>
      </c>
      <c r="AC71" s="157" t="s">
        <v>252</v>
      </c>
      <c r="AD71" s="242">
        <v>61.29</v>
      </c>
      <c r="AE71" s="157" t="s">
        <v>252</v>
      </c>
      <c r="AF71" s="242">
        <v>38.28</v>
      </c>
      <c r="AG71" s="157" t="s">
        <v>252</v>
      </c>
      <c r="AH71" s="242">
        <v>1.71</v>
      </c>
      <c r="AI71" s="157" t="s">
        <v>252</v>
      </c>
      <c r="AJ71" s="242">
        <v>3.5</v>
      </c>
      <c r="AK71" s="242" t="s">
        <v>252</v>
      </c>
      <c r="AL71" s="242">
        <v>3.02</v>
      </c>
      <c r="AM71" s="242" t="s">
        <v>252</v>
      </c>
      <c r="AN71" s="242">
        <v>1.61</v>
      </c>
      <c r="AO71" s="242" t="s">
        <v>252</v>
      </c>
      <c r="AP71" s="242">
        <v>2.95</v>
      </c>
      <c r="AQ71" s="242" t="s">
        <v>252</v>
      </c>
      <c r="AR71" s="242">
        <v>51.85</v>
      </c>
      <c r="AS71" s="242" t="s">
        <v>252</v>
      </c>
      <c r="AT71" s="242">
        <v>43.76</v>
      </c>
      <c r="AU71" s="242" t="s">
        <v>252</v>
      </c>
      <c r="AV71" s="242">
        <v>56.4</v>
      </c>
      <c r="AW71" s="157" t="s">
        <v>252</v>
      </c>
      <c r="AX71" s="157">
        <v>1131.17</v>
      </c>
      <c r="AY71" s="240">
        <v>0.18</v>
      </c>
      <c r="AZ71" s="156" t="s">
        <v>253</v>
      </c>
      <c r="BA71" s="156" t="s">
        <v>254</v>
      </c>
      <c r="BB71" s="156">
        <v>0</v>
      </c>
      <c r="BC71" s="156" t="s">
        <v>1423</v>
      </c>
      <c r="BD71" s="3"/>
    </row>
    <row r="72" spans="1:56" ht="15.75" hidden="1" customHeight="1" outlineLevel="1">
      <c r="A72" s="58">
        <v>62</v>
      </c>
      <c r="B72" s="11">
        <v>129062</v>
      </c>
      <c r="C72" s="89" t="s">
        <v>264</v>
      </c>
      <c r="D72" s="157">
        <v>19</v>
      </c>
      <c r="E72" s="12" t="s">
        <v>191</v>
      </c>
      <c r="F72" s="11" t="s">
        <v>246</v>
      </c>
      <c r="G72" s="18" t="s">
        <v>247</v>
      </c>
      <c r="H72" s="11" t="s">
        <v>248</v>
      </c>
      <c r="I72" s="87" t="s">
        <v>249</v>
      </c>
      <c r="J72" s="19" t="s">
        <v>139</v>
      </c>
      <c r="K72" s="17" t="s">
        <v>140</v>
      </c>
      <c r="L72" s="257">
        <v>0</v>
      </c>
      <c r="M72" s="70" t="s">
        <v>250</v>
      </c>
      <c r="N72" s="70">
        <v>100</v>
      </c>
      <c r="O72" s="258">
        <v>8</v>
      </c>
      <c r="P72" s="70" t="s">
        <v>251</v>
      </c>
      <c r="Q72" s="70" t="s">
        <v>233</v>
      </c>
      <c r="R72" s="70" t="s">
        <v>240</v>
      </c>
      <c r="S72" s="70" t="s">
        <v>233</v>
      </c>
      <c r="T72" s="70" t="s">
        <v>233</v>
      </c>
      <c r="U72" s="70" t="s">
        <v>1427</v>
      </c>
      <c r="V72" s="70" t="s">
        <v>240</v>
      </c>
      <c r="W72" s="12"/>
      <c r="X72" s="242">
        <v>410.99</v>
      </c>
      <c r="Y72" s="242">
        <v>339.84</v>
      </c>
      <c r="Z72" s="242">
        <v>77.89</v>
      </c>
      <c r="AA72" s="157" t="s">
        <v>252</v>
      </c>
      <c r="AB72" s="242">
        <v>52.09</v>
      </c>
      <c r="AC72" s="157" t="s">
        <v>252</v>
      </c>
      <c r="AD72" s="242">
        <v>61.28</v>
      </c>
      <c r="AE72" s="157" t="s">
        <v>252</v>
      </c>
      <c r="AF72" s="242">
        <v>38.270000000000003</v>
      </c>
      <c r="AG72" s="157" t="s">
        <v>252</v>
      </c>
      <c r="AH72" s="242">
        <v>1.63</v>
      </c>
      <c r="AI72" s="157" t="s">
        <v>252</v>
      </c>
      <c r="AJ72" s="242">
        <v>5</v>
      </c>
      <c r="AK72" s="242" t="s">
        <v>252</v>
      </c>
      <c r="AL72" s="242">
        <v>4.25</v>
      </c>
      <c r="AM72" s="242" t="s">
        <v>252</v>
      </c>
      <c r="AN72" s="242">
        <v>2.29</v>
      </c>
      <c r="AO72" s="242" t="s">
        <v>252</v>
      </c>
      <c r="AP72" s="242">
        <v>4.07</v>
      </c>
      <c r="AQ72" s="242" t="s">
        <v>252</v>
      </c>
      <c r="AR72" s="242">
        <v>51.28</v>
      </c>
      <c r="AS72" s="242" t="s">
        <v>252</v>
      </c>
      <c r="AT72" s="242">
        <v>43.55</v>
      </c>
      <c r="AU72" s="242" t="s">
        <v>252</v>
      </c>
      <c r="AV72" s="242">
        <v>56.32</v>
      </c>
      <c r="AW72" s="157" t="s">
        <v>252</v>
      </c>
      <c r="AX72" s="157">
        <v>1148.7499999999998</v>
      </c>
      <c r="AY72" s="240">
        <v>0.18</v>
      </c>
      <c r="AZ72" s="156" t="s">
        <v>253</v>
      </c>
      <c r="BA72" s="156" t="s">
        <v>254</v>
      </c>
      <c r="BB72" s="156">
        <v>0</v>
      </c>
      <c r="BC72" s="156" t="s">
        <v>1423</v>
      </c>
      <c r="BD72" s="3"/>
    </row>
    <row r="73" spans="1:56" ht="15.75" hidden="1" customHeight="1" outlineLevel="1">
      <c r="A73" s="58">
        <v>63</v>
      </c>
      <c r="B73" s="11">
        <v>129063</v>
      </c>
      <c r="C73" s="89" t="s">
        <v>264</v>
      </c>
      <c r="D73" s="157">
        <v>20</v>
      </c>
      <c r="E73" s="12" t="s">
        <v>191</v>
      </c>
      <c r="F73" s="11" t="s">
        <v>246</v>
      </c>
      <c r="G73" s="18" t="s">
        <v>247</v>
      </c>
      <c r="H73" s="11" t="s">
        <v>248</v>
      </c>
      <c r="I73" s="87" t="s">
        <v>249</v>
      </c>
      <c r="J73" s="19" t="s">
        <v>139</v>
      </c>
      <c r="K73" s="17" t="s">
        <v>140</v>
      </c>
      <c r="L73" s="260">
        <v>1</v>
      </c>
      <c r="M73" s="70" t="s">
        <v>250</v>
      </c>
      <c r="N73" s="70">
        <v>100</v>
      </c>
      <c r="O73" s="258">
        <v>8</v>
      </c>
      <c r="P73" s="70" t="s">
        <v>251</v>
      </c>
      <c r="Q73" s="70" t="s">
        <v>233</v>
      </c>
      <c r="R73" s="70" t="s">
        <v>240</v>
      </c>
      <c r="S73" s="70" t="s">
        <v>233</v>
      </c>
      <c r="T73" s="70" t="s">
        <v>233</v>
      </c>
      <c r="U73" s="70" t="s">
        <v>1427</v>
      </c>
      <c r="V73" s="70" t="s">
        <v>240</v>
      </c>
      <c r="W73" s="12"/>
      <c r="X73" s="242">
        <v>662.21</v>
      </c>
      <c r="Y73" s="242">
        <v>529.31999999999994</v>
      </c>
      <c r="Z73" s="242">
        <v>86.21</v>
      </c>
      <c r="AA73" s="157" t="s">
        <v>252</v>
      </c>
      <c r="AB73" s="242">
        <v>54.94</v>
      </c>
      <c r="AC73" s="157" t="s">
        <v>252</v>
      </c>
      <c r="AD73" s="242">
        <v>72.88</v>
      </c>
      <c r="AE73" s="157" t="s">
        <v>252</v>
      </c>
      <c r="AF73" s="242">
        <v>47.26</v>
      </c>
      <c r="AG73" s="157" t="s">
        <v>252</v>
      </c>
      <c r="AH73" s="242">
        <v>17.899999999999999</v>
      </c>
      <c r="AI73" s="157" t="s">
        <v>252</v>
      </c>
      <c r="AJ73" s="242">
        <v>11.85</v>
      </c>
      <c r="AK73" s="242" t="s">
        <v>252</v>
      </c>
      <c r="AL73" s="242">
        <v>10.119999999999999</v>
      </c>
      <c r="AM73" s="242" t="s">
        <v>252</v>
      </c>
      <c r="AN73" s="242">
        <v>6.23</v>
      </c>
      <c r="AO73" s="242" t="s">
        <v>252</v>
      </c>
      <c r="AP73" s="242">
        <v>8.9600000000000009</v>
      </c>
      <c r="AQ73" s="242" t="s">
        <v>252</v>
      </c>
      <c r="AR73" s="242">
        <v>45.06</v>
      </c>
      <c r="AS73" s="242" t="s">
        <v>252</v>
      </c>
      <c r="AT73" s="242">
        <v>46.88</v>
      </c>
      <c r="AU73" s="242" t="s">
        <v>252</v>
      </c>
      <c r="AV73" s="242">
        <v>56.91</v>
      </c>
      <c r="AW73" s="157" t="s">
        <v>252</v>
      </c>
      <c r="AX73" s="157">
        <v>1656.73</v>
      </c>
      <c r="AY73" s="240">
        <v>0.22</v>
      </c>
      <c r="AZ73" s="156" t="s">
        <v>253</v>
      </c>
      <c r="BA73" s="156" t="s">
        <v>254</v>
      </c>
      <c r="BB73" s="156">
        <v>1</v>
      </c>
      <c r="BC73" s="156" t="s">
        <v>1423</v>
      </c>
      <c r="BD73" s="3"/>
    </row>
    <row r="74" spans="1:56" ht="15.75" hidden="1" customHeight="1" outlineLevel="1">
      <c r="A74" s="58">
        <v>64</v>
      </c>
      <c r="B74" s="11">
        <v>129064</v>
      </c>
      <c r="C74" s="89" t="s">
        <v>264</v>
      </c>
      <c r="D74" s="157">
        <v>21</v>
      </c>
      <c r="E74" s="12" t="s">
        <v>191</v>
      </c>
      <c r="F74" s="11" t="s">
        <v>246</v>
      </c>
      <c r="G74" s="18" t="s">
        <v>247</v>
      </c>
      <c r="H74" s="11" t="s">
        <v>248</v>
      </c>
      <c r="I74" s="87" t="s">
        <v>249</v>
      </c>
      <c r="J74" s="19" t="s">
        <v>139</v>
      </c>
      <c r="K74" s="17" t="s">
        <v>140</v>
      </c>
      <c r="L74" s="257">
        <v>0</v>
      </c>
      <c r="M74" s="70" t="s">
        <v>250</v>
      </c>
      <c r="N74" s="70">
        <v>80</v>
      </c>
      <c r="O74" s="258">
        <v>8</v>
      </c>
      <c r="P74" s="70" t="s">
        <v>251</v>
      </c>
      <c r="Q74" s="70" t="s">
        <v>240</v>
      </c>
      <c r="R74" s="70" t="s">
        <v>240</v>
      </c>
      <c r="S74" s="70" t="s">
        <v>233</v>
      </c>
      <c r="T74" s="70" t="s">
        <v>233</v>
      </c>
      <c r="U74" s="70" t="s">
        <v>1427</v>
      </c>
      <c r="V74" s="70" t="s">
        <v>240</v>
      </c>
      <c r="W74" s="12"/>
      <c r="X74" s="242">
        <v>107.9025457102672</v>
      </c>
      <c r="Y74" s="242">
        <v>103.70307313642756</v>
      </c>
      <c r="Z74" s="242">
        <v>30.953185654008436</v>
      </c>
      <c r="AA74" s="157" t="s">
        <v>252</v>
      </c>
      <c r="AB74" s="242">
        <v>18.846413502109705</v>
      </c>
      <c r="AC74" s="157" t="s">
        <v>252</v>
      </c>
      <c r="AD74" s="242">
        <v>22.124050632911391</v>
      </c>
      <c r="AE74" s="157" t="s">
        <v>252</v>
      </c>
      <c r="AF74" s="242">
        <v>11.335161744022503</v>
      </c>
      <c r="AG74" s="157" t="s">
        <v>252</v>
      </c>
      <c r="AH74" s="242">
        <v>3.2776371308016876</v>
      </c>
      <c r="AI74" s="157" t="s">
        <v>252</v>
      </c>
      <c r="AJ74" s="242">
        <v>0</v>
      </c>
      <c r="AK74" s="242" t="s">
        <v>252</v>
      </c>
      <c r="AL74" s="242">
        <v>0</v>
      </c>
      <c r="AM74" s="242" t="s">
        <v>252</v>
      </c>
      <c r="AN74" s="242">
        <v>0</v>
      </c>
      <c r="AO74" s="242" t="s">
        <v>252</v>
      </c>
      <c r="AP74" s="242">
        <v>0</v>
      </c>
      <c r="AQ74" s="242" t="s">
        <v>252</v>
      </c>
      <c r="AR74" s="242">
        <v>8.3989451476793242</v>
      </c>
      <c r="AS74" s="242" t="s">
        <v>252</v>
      </c>
      <c r="AT74" s="242">
        <v>14.407946554149087</v>
      </c>
      <c r="AU74" s="242" t="s">
        <v>252</v>
      </c>
      <c r="AV74" s="242">
        <v>17.549015471167369</v>
      </c>
      <c r="AW74" s="157" t="s">
        <v>252</v>
      </c>
      <c r="AX74" s="157">
        <v>338.49797468354433</v>
      </c>
      <c r="AY74" s="240">
        <v>5.4627285513361462E-2</v>
      </c>
      <c r="AZ74" s="156" t="s">
        <v>253</v>
      </c>
      <c r="BA74" s="156" t="s">
        <v>254</v>
      </c>
      <c r="BB74" s="156">
        <v>0</v>
      </c>
      <c r="BC74" s="156" t="s">
        <v>1423</v>
      </c>
      <c r="BD74" s="3"/>
    </row>
    <row r="75" spans="1:56" ht="15.75" hidden="1" customHeight="1" outlineLevel="1">
      <c r="A75" s="58">
        <v>65</v>
      </c>
      <c r="B75" s="11">
        <v>129065</v>
      </c>
      <c r="C75" s="89" t="s">
        <v>264</v>
      </c>
      <c r="D75" s="157">
        <v>21</v>
      </c>
      <c r="E75" s="12" t="s">
        <v>231</v>
      </c>
      <c r="F75" s="11" t="s">
        <v>246</v>
      </c>
      <c r="G75" s="18" t="s">
        <v>247</v>
      </c>
      <c r="H75" s="11" t="s">
        <v>248</v>
      </c>
      <c r="I75" s="87" t="s">
        <v>249</v>
      </c>
      <c r="J75" s="19" t="s">
        <v>139</v>
      </c>
      <c r="K75" s="17" t="s">
        <v>140</v>
      </c>
      <c r="L75" s="257">
        <v>0</v>
      </c>
      <c r="M75" s="70" t="s">
        <v>250</v>
      </c>
      <c r="N75" s="70">
        <v>100</v>
      </c>
      <c r="O75" s="258">
        <v>8</v>
      </c>
      <c r="P75" s="70" t="s">
        <v>251</v>
      </c>
      <c r="Q75" s="70" t="s">
        <v>233</v>
      </c>
      <c r="R75" s="70" t="s">
        <v>240</v>
      </c>
      <c r="S75" s="70" t="s">
        <v>233</v>
      </c>
      <c r="T75" s="70" t="s">
        <v>233</v>
      </c>
      <c r="U75" s="70" t="s">
        <v>1427</v>
      </c>
      <c r="V75" s="70" t="s">
        <v>240</v>
      </c>
      <c r="W75" s="12"/>
      <c r="X75" s="242">
        <v>50.117454289732763</v>
      </c>
      <c r="Y75" s="242">
        <v>48.166926863572435</v>
      </c>
      <c r="Z75" s="242">
        <v>14.37681434599156</v>
      </c>
      <c r="AA75" s="157" t="s">
        <v>252</v>
      </c>
      <c r="AB75" s="242">
        <v>8.7535864978902964</v>
      </c>
      <c r="AC75" s="157" t="s">
        <v>252</v>
      </c>
      <c r="AD75" s="242">
        <v>10.275949367088607</v>
      </c>
      <c r="AE75" s="157" t="s">
        <v>252</v>
      </c>
      <c r="AF75" s="242">
        <v>5.2648382559774971</v>
      </c>
      <c r="AG75" s="157" t="s">
        <v>252</v>
      </c>
      <c r="AH75" s="242">
        <v>1.5223628691983122</v>
      </c>
      <c r="AI75" s="157" t="s">
        <v>252</v>
      </c>
      <c r="AJ75" s="242">
        <v>0</v>
      </c>
      <c r="AK75" s="242" t="s">
        <v>252</v>
      </c>
      <c r="AL75" s="242">
        <v>0</v>
      </c>
      <c r="AM75" s="242" t="s">
        <v>252</v>
      </c>
      <c r="AN75" s="242">
        <v>0</v>
      </c>
      <c r="AO75" s="242" t="s">
        <v>252</v>
      </c>
      <c r="AP75" s="242">
        <v>0</v>
      </c>
      <c r="AQ75" s="242" t="s">
        <v>252</v>
      </c>
      <c r="AR75" s="242">
        <v>3.9010548523206752</v>
      </c>
      <c r="AS75" s="242" t="s">
        <v>252</v>
      </c>
      <c r="AT75" s="242">
        <v>6.6920534458509149</v>
      </c>
      <c r="AU75" s="242" t="s">
        <v>252</v>
      </c>
      <c r="AV75" s="242">
        <v>8.1509845288326304</v>
      </c>
      <c r="AW75" s="157" t="s">
        <v>252</v>
      </c>
      <c r="AX75" s="157">
        <v>157.22202531645567</v>
      </c>
      <c r="AY75" s="243">
        <v>2.5372714486638536E-2</v>
      </c>
      <c r="AZ75" s="156" t="s">
        <v>253</v>
      </c>
      <c r="BA75" s="156" t="s">
        <v>254</v>
      </c>
      <c r="BB75" s="156">
        <v>0</v>
      </c>
      <c r="BC75" s="156" t="s">
        <v>1423</v>
      </c>
      <c r="BD75" s="3"/>
    </row>
    <row r="76" spans="1:56" ht="15.75" hidden="1" customHeight="1" outlineLevel="1">
      <c r="A76" s="58">
        <v>66</v>
      </c>
      <c r="B76" s="11">
        <v>129066</v>
      </c>
      <c r="C76" s="89" t="s">
        <v>264</v>
      </c>
      <c r="D76" s="157">
        <v>22</v>
      </c>
      <c r="E76" s="12" t="s">
        <v>191</v>
      </c>
      <c r="F76" s="11" t="s">
        <v>246</v>
      </c>
      <c r="G76" s="18" t="s">
        <v>247</v>
      </c>
      <c r="H76" s="11" t="s">
        <v>248</v>
      </c>
      <c r="I76" s="87" t="s">
        <v>249</v>
      </c>
      <c r="J76" s="19" t="s">
        <v>139</v>
      </c>
      <c r="K76" s="17" t="s">
        <v>140</v>
      </c>
      <c r="L76" s="257">
        <v>0</v>
      </c>
      <c r="M76" s="70" t="s">
        <v>250</v>
      </c>
      <c r="N76" s="70">
        <v>100</v>
      </c>
      <c r="O76" s="258">
        <v>8</v>
      </c>
      <c r="P76" s="70" t="s">
        <v>251</v>
      </c>
      <c r="Q76" s="70" t="s">
        <v>233</v>
      </c>
      <c r="R76" s="70" t="s">
        <v>240</v>
      </c>
      <c r="S76" s="70" t="s">
        <v>233</v>
      </c>
      <c r="T76" s="70" t="s">
        <v>233</v>
      </c>
      <c r="U76" s="70" t="s">
        <v>1427</v>
      </c>
      <c r="V76" s="70" t="s">
        <v>240</v>
      </c>
      <c r="W76" s="12"/>
      <c r="X76" s="242">
        <v>463.08</v>
      </c>
      <c r="Y76" s="242">
        <v>454.69999999999993</v>
      </c>
      <c r="Z76" s="242">
        <v>84.58</v>
      </c>
      <c r="AA76" s="157" t="s">
        <v>252</v>
      </c>
      <c r="AB76" s="242">
        <v>51.69</v>
      </c>
      <c r="AC76" s="157" t="s">
        <v>252</v>
      </c>
      <c r="AD76" s="242">
        <v>71.69</v>
      </c>
      <c r="AE76" s="157" t="s">
        <v>252</v>
      </c>
      <c r="AF76" s="242">
        <v>40.97</v>
      </c>
      <c r="AG76" s="157" t="s">
        <v>252</v>
      </c>
      <c r="AH76" s="242">
        <v>21.12</v>
      </c>
      <c r="AI76" s="157" t="s">
        <v>252</v>
      </c>
      <c r="AJ76" s="242">
        <v>6.76</v>
      </c>
      <c r="AK76" s="242" t="s">
        <v>252</v>
      </c>
      <c r="AL76" s="242">
        <v>5.51</v>
      </c>
      <c r="AM76" s="242" t="s">
        <v>252</v>
      </c>
      <c r="AN76" s="242">
        <v>5.26</v>
      </c>
      <c r="AO76" s="242" t="s">
        <v>252</v>
      </c>
      <c r="AP76" s="242">
        <v>6.58</v>
      </c>
      <c r="AQ76" s="242" t="s">
        <v>252</v>
      </c>
      <c r="AR76" s="242">
        <v>49.6</v>
      </c>
      <c r="AS76" s="242" t="s">
        <v>252</v>
      </c>
      <c r="AT76" s="242">
        <v>43.79</v>
      </c>
      <c r="AU76" s="242" t="s">
        <v>252</v>
      </c>
      <c r="AV76" s="242">
        <v>55.98</v>
      </c>
      <c r="AW76" s="157" t="s">
        <v>252</v>
      </c>
      <c r="AX76" s="157">
        <v>1361.3099999999997</v>
      </c>
      <c r="AY76" s="240">
        <v>0.2</v>
      </c>
      <c r="AZ76" s="156" t="s">
        <v>253</v>
      </c>
      <c r="BA76" s="156" t="s">
        <v>254</v>
      </c>
      <c r="BB76" s="156">
        <v>0</v>
      </c>
      <c r="BC76" s="156" t="s">
        <v>1423</v>
      </c>
      <c r="BD76" s="3"/>
    </row>
    <row r="77" spans="1:56" ht="15.75" hidden="1" customHeight="1" outlineLevel="1">
      <c r="A77" s="58">
        <v>67</v>
      </c>
      <c r="B77" s="11">
        <v>129067</v>
      </c>
      <c r="C77" s="89" t="s">
        <v>264</v>
      </c>
      <c r="D77" s="157">
        <v>23</v>
      </c>
      <c r="E77" s="12" t="s">
        <v>191</v>
      </c>
      <c r="F77" s="11" t="s">
        <v>246</v>
      </c>
      <c r="G77" s="18" t="s">
        <v>247</v>
      </c>
      <c r="H77" s="11" t="s">
        <v>248</v>
      </c>
      <c r="I77" s="87" t="s">
        <v>249</v>
      </c>
      <c r="J77" s="19" t="s">
        <v>139</v>
      </c>
      <c r="K77" s="17" t="s">
        <v>140</v>
      </c>
      <c r="L77" s="257">
        <v>0</v>
      </c>
      <c r="M77" s="70" t="s">
        <v>250</v>
      </c>
      <c r="N77" s="70">
        <v>100</v>
      </c>
      <c r="O77" s="258">
        <v>8</v>
      </c>
      <c r="P77" s="70" t="s">
        <v>251</v>
      </c>
      <c r="Q77" s="70" t="s">
        <v>233</v>
      </c>
      <c r="R77" s="70" t="s">
        <v>240</v>
      </c>
      <c r="S77" s="70" t="s">
        <v>233</v>
      </c>
      <c r="T77" s="70" t="s">
        <v>233</v>
      </c>
      <c r="U77" s="70" t="s">
        <v>1427</v>
      </c>
      <c r="V77" s="70" t="s">
        <v>240</v>
      </c>
      <c r="W77" s="12"/>
      <c r="X77" s="242">
        <v>600.14999999999986</v>
      </c>
      <c r="Y77" s="242">
        <v>490.49</v>
      </c>
      <c r="Z77" s="242">
        <v>110.27</v>
      </c>
      <c r="AA77" s="157" t="s">
        <v>252</v>
      </c>
      <c r="AB77" s="242">
        <v>73.77</v>
      </c>
      <c r="AC77" s="157" t="s">
        <v>252</v>
      </c>
      <c r="AD77" s="242">
        <v>86.97</v>
      </c>
      <c r="AE77" s="157" t="s">
        <v>252</v>
      </c>
      <c r="AF77" s="242">
        <v>54.15</v>
      </c>
      <c r="AG77" s="157" t="s">
        <v>252</v>
      </c>
      <c r="AH77" s="242">
        <v>2.12</v>
      </c>
      <c r="AI77" s="157" t="s">
        <v>252</v>
      </c>
      <c r="AJ77" s="242">
        <v>10.59</v>
      </c>
      <c r="AK77" s="242" t="s">
        <v>252</v>
      </c>
      <c r="AL77" s="242">
        <v>9.06</v>
      </c>
      <c r="AM77" s="242" t="s">
        <v>252</v>
      </c>
      <c r="AN77" s="242">
        <v>4.82</v>
      </c>
      <c r="AO77" s="242" t="s">
        <v>252</v>
      </c>
      <c r="AP77" s="242">
        <v>8.84</v>
      </c>
      <c r="AQ77" s="242" t="s">
        <v>252</v>
      </c>
      <c r="AR77" s="242">
        <v>71.06</v>
      </c>
      <c r="AS77" s="242" t="s">
        <v>252</v>
      </c>
      <c r="AT77" s="242">
        <v>61.08</v>
      </c>
      <c r="AU77" s="242" t="s">
        <v>252</v>
      </c>
      <c r="AV77" s="242">
        <v>79.58</v>
      </c>
      <c r="AW77" s="157" t="s">
        <v>252</v>
      </c>
      <c r="AX77" s="157">
        <v>1662.9499999999994</v>
      </c>
      <c r="AY77" s="240">
        <v>0.24</v>
      </c>
      <c r="AZ77" s="156" t="s">
        <v>253</v>
      </c>
      <c r="BA77" s="156" t="s">
        <v>254</v>
      </c>
      <c r="BB77" s="156">
        <v>0</v>
      </c>
      <c r="BC77" s="156" t="s">
        <v>1423</v>
      </c>
      <c r="BD77" s="3"/>
    </row>
    <row r="78" spans="1:56" ht="15.75" hidden="1" customHeight="1" outlineLevel="1">
      <c r="A78" s="58">
        <v>68</v>
      </c>
      <c r="B78" s="11">
        <v>129068</v>
      </c>
      <c r="C78" s="89" t="s">
        <v>264</v>
      </c>
      <c r="D78" s="157">
        <v>24</v>
      </c>
      <c r="E78" s="12" t="s">
        <v>191</v>
      </c>
      <c r="F78" s="11" t="s">
        <v>246</v>
      </c>
      <c r="G78" s="18" t="s">
        <v>247</v>
      </c>
      <c r="H78" s="11" t="s">
        <v>248</v>
      </c>
      <c r="I78" s="87" t="s">
        <v>249</v>
      </c>
      <c r="J78" s="19" t="s">
        <v>139</v>
      </c>
      <c r="K78" s="17" t="s">
        <v>140</v>
      </c>
      <c r="L78" s="257">
        <v>0</v>
      </c>
      <c r="M78" s="70" t="s">
        <v>250</v>
      </c>
      <c r="N78" s="70">
        <v>100</v>
      </c>
      <c r="O78" s="258">
        <v>8</v>
      </c>
      <c r="P78" s="70" t="s">
        <v>251</v>
      </c>
      <c r="Q78" s="70" t="s">
        <v>233</v>
      </c>
      <c r="R78" s="70" t="s">
        <v>240</v>
      </c>
      <c r="S78" s="70" t="s">
        <v>233</v>
      </c>
      <c r="T78" s="70" t="s">
        <v>233</v>
      </c>
      <c r="U78" s="70" t="s">
        <v>1427</v>
      </c>
      <c r="V78" s="70" t="s">
        <v>240</v>
      </c>
      <c r="W78" s="12"/>
      <c r="X78" s="242">
        <v>635.34000000000015</v>
      </c>
      <c r="Y78" s="242">
        <v>618.17999999999995</v>
      </c>
      <c r="Z78" s="242">
        <v>112.77</v>
      </c>
      <c r="AA78" s="157" t="s">
        <v>252</v>
      </c>
      <c r="AB78" s="242">
        <v>68.88</v>
      </c>
      <c r="AC78" s="157" t="s">
        <v>252</v>
      </c>
      <c r="AD78" s="242">
        <v>95.47</v>
      </c>
      <c r="AE78" s="157" t="s">
        <v>252</v>
      </c>
      <c r="AF78" s="242">
        <v>54.55</v>
      </c>
      <c r="AG78" s="157" t="s">
        <v>252</v>
      </c>
      <c r="AH78" s="242">
        <v>27.54</v>
      </c>
      <c r="AI78" s="157" t="s">
        <v>252</v>
      </c>
      <c r="AJ78" s="242">
        <v>13.54</v>
      </c>
      <c r="AK78" s="242" t="s">
        <v>252</v>
      </c>
      <c r="AL78" s="242">
        <v>10.93</v>
      </c>
      <c r="AM78" s="242" t="s">
        <v>252</v>
      </c>
      <c r="AN78" s="242">
        <v>10.43</v>
      </c>
      <c r="AO78" s="242" t="s">
        <v>252</v>
      </c>
      <c r="AP78" s="242">
        <v>13.26</v>
      </c>
      <c r="AQ78" s="242" t="s">
        <v>252</v>
      </c>
      <c r="AR78" s="242">
        <v>65.290000000000006</v>
      </c>
      <c r="AS78" s="242" t="s">
        <v>252</v>
      </c>
      <c r="AT78" s="242">
        <v>57.77</v>
      </c>
      <c r="AU78" s="242" t="s">
        <v>252</v>
      </c>
      <c r="AV78" s="242">
        <v>74.36</v>
      </c>
      <c r="AW78" s="157" t="s">
        <v>252</v>
      </c>
      <c r="AX78" s="157">
        <v>1858.31</v>
      </c>
      <c r="AY78" s="240">
        <v>0.25</v>
      </c>
      <c r="AZ78" s="156" t="s">
        <v>253</v>
      </c>
      <c r="BA78" s="156" t="s">
        <v>254</v>
      </c>
      <c r="BB78" s="156">
        <v>0</v>
      </c>
      <c r="BC78" s="156" t="s">
        <v>1423</v>
      </c>
      <c r="BD78" s="3"/>
    </row>
    <row r="79" spans="1:56" ht="15.75" hidden="1" customHeight="1" outlineLevel="1">
      <c r="A79" s="58">
        <v>69</v>
      </c>
      <c r="B79" s="11">
        <v>129069</v>
      </c>
      <c r="C79" s="89" t="s">
        <v>264</v>
      </c>
      <c r="D79" s="157">
        <v>26</v>
      </c>
      <c r="E79" s="12" t="s">
        <v>191</v>
      </c>
      <c r="F79" s="11" t="s">
        <v>246</v>
      </c>
      <c r="G79" s="18" t="s">
        <v>247</v>
      </c>
      <c r="H79" s="11" t="s">
        <v>248</v>
      </c>
      <c r="I79" s="87" t="s">
        <v>249</v>
      </c>
      <c r="J79" s="19" t="s">
        <v>139</v>
      </c>
      <c r="K79" s="17" t="s">
        <v>140</v>
      </c>
      <c r="L79" s="257">
        <v>0</v>
      </c>
      <c r="M79" s="70" t="s">
        <v>250</v>
      </c>
      <c r="N79" s="70">
        <v>80</v>
      </c>
      <c r="O79" s="258">
        <v>8</v>
      </c>
      <c r="P79" s="70" t="s">
        <v>251</v>
      </c>
      <c r="Q79" s="70" t="s">
        <v>233</v>
      </c>
      <c r="R79" s="70" t="s">
        <v>240</v>
      </c>
      <c r="S79" s="70" t="s">
        <v>233</v>
      </c>
      <c r="T79" s="70" t="s">
        <v>233</v>
      </c>
      <c r="U79" s="70" t="s">
        <v>1427</v>
      </c>
      <c r="V79" s="70" t="s">
        <v>240</v>
      </c>
      <c r="W79" s="12"/>
      <c r="X79" s="242">
        <v>209.40777202072536</v>
      </c>
      <c r="Y79" s="242">
        <v>205.13056994818649</v>
      </c>
      <c r="Z79" s="242">
        <v>37.982901554404144</v>
      </c>
      <c r="AA79" s="157" t="s">
        <v>252</v>
      </c>
      <c r="AB79" s="242">
        <v>23.23160621761658</v>
      </c>
      <c r="AC79" s="157" t="s">
        <v>252</v>
      </c>
      <c r="AD79" s="242">
        <v>32.190155440414507</v>
      </c>
      <c r="AE79" s="157" t="s">
        <v>252</v>
      </c>
      <c r="AF79" s="242">
        <v>18.375129533678756</v>
      </c>
      <c r="AG79" s="157" t="s">
        <v>252</v>
      </c>
      <c r="AH79" s="242">
        <v>9.3896373056994804</v>
      </c>
      <c r="AI79" s="157" t="s">
        <v>252</v>
      </c>
      <c r="AJ79" s="242">
        <v>3.4217616580310879</v>
      </c>
      <c r="AK79" s="242" t="s">
        <v>252</v>
      </c>
      <c r="AL79" s="242">
        <v>2.754922279792746</v>
      </c>
      <c r="AM79" s="242" t="s">
        <v>252</v>
      </c>
      <c r="AN79" s="242">
        <v>2.6606217616580312</v>
      </c>
      <c r="AO79" s="242" t="s">
        <v>252</v>
      </c>
      <c r="AP79" s="242">
        <v>3.3746113989637303</v>
      </c>
      <c r="AQ79" s="242" t="s">
        <v>252</v>
      </c>
      <c r="AR79" s="242">
        <v>22.227979274611396</v>
      </c>
      <c r="AS79" s="242" t="s">
        <v>252</v>
      </c>
      <c r="AT79" s="242">
        <v>19.614507772020726</v>
      </c>
      <c r="AU79" s="242" t="s">
        <v>252</v>
      </c>
      <c r="AV79" s="242">
        <v>25.097409326424867</v>
      </c>
      <c r="AW79" s="157" t="s">
        <v>252</v>
      </c>
      <c r="AX79" s="157">
        <v>614.85958549222767</v>
      </c>
      <c r="AY79" s="240">
        <v>8.0829015544041441E-2</v>
      </c>
      <c r="AZ79" s="156" t="s">
        <v>253</v>
      </c>
      <c r="BA79" s="156" t="s">
        <v>254</v>
      </c>
      <c r="BB79" s="156">
        <v>0</v>
      </c>
      <c r="BC79" s="156" t="s">
        <v>1423</v>
      </c>
      <c r="BD79" s="3"/>
    </row>
    <row r="80" spans="1:56" ht="15.75" hidden="1" customHeight="1" outlineLevel="1">
      <c r="A80" s="58">
        <v>70</v>
      </c>
      <c r="B80" s="11">
        <v>129070</v>
      </c>
      <c r="C80" s="89" t="s">
        <v>264</v>
      </c>
      <c r="D80" s="157">
        <v>26</v>
      </c>
      <c r="E80" s="12" t="s">
        <v>231</v>
      </c>
      <c r="F80" s="11" t="s">
        <v>246</v>
      </c>
      <c r="G80" s="18" t="s">
        <v>247</v>
      </c>
      <c r="H80" s="11" t="s">
        <v>248</v>
      </c>
      <c r="I80" s="87" t="s">
        <v>249</v>
      </c>
      <c r="J80" s="19" t="s">
        <v>139</v>
      </c>
      <c r="K80" s="17" t="s">
        <v>140</v>
      </c>
      <c r="L80" s="257">
        <v>0</v>
      </c>
      <c r="M80" s="70" t="s">
        <v>250</v>
      </c>
      <c r="N80" s="70">
        <v>100</v>
      </c>
      <c r="O80" s="258">
        <v>8</v>
      </c>
      <c r="P80" s="70" t="s">
        <v>251</v>
      </c>
      <c r="Q80" s="70" t="s">
        <v>233</v>
      </c>
      <c r="R80" s="70" t="s">
        <v>240</v>
      </c>
      <c r="S80" s="70" t="s">
        <v>233</v>
      </c>
      <c r="T80" s="70" t="s">
        <v>233</v>
      </c>
      <c r="U80" s="70" t="s">
        <v>1427</v>
      </c>
      <c r="V80" s="70" t="s">
        <v>240</v>
      </c>
      <c r="W80" s="12"/>
      <c r="X80" s="242">
        <v>101.48222797927461</v>
      </c>
      <c r="Y80" s="242">
        <v>99.409430051813459</v>
      </c>
      <c r="Z80" s="242">
        <v>18.407098445595853</v>
      </c>
      <c r="AA80" s="157" t="s">
        <v>252</v>
      </c>
      <c r="AB80" s="242">
        <v>11.25839378238342</v>
      </c>
      <c r="AC80" s="157" t="s">
        <v>252</v>
      </c>
      <c r="AD80" s="242">
        <v>15.599844559585492</v>
      </c>
      <c r="AE80" s="157" t="s">
        <v>252</v>
      </c>
      <c r="AF80" s="242">
        <v>8.9048704663212437</v>
      </c>
      <c r="AG80" s="157" t="s">
        <v>252</v>
      </c>
      <c r="AH80" s="242">
        <v>4.5503626943005182</v>
      </c>
      <c r="AI80" s="157" t="s">
        <v>252</v>
      </c>
      <c r="AJ80" s="242">
        <v>1.658238341968912</v>
      </c>
      <c r="AK80" s="242" t="s">
        <v>252</v>
      </c>
      <c r="AL80" s="242">
        <v>1.3350777202072539</v>
      </c>
      <c r="AM80" s="242" t="s">
        <v>252</v>
      </c>
      <c r="AN80" s="242">
        <v>1.289378238341969</v>
      </c>
      <c r="AO80" s="242" t="s">
        <v>252</v>
      </c>
      <c r="AP80" s="242">
        <v>1.6353886010362693</v>
      </c>
      <c r="AQ80" s="242" t="s">
        <v>252</v>
      </c>
      <c r="AR80" s="242">
        <v>10.7720207253886</v>
      </c>
      <c r="AS80" s="242" t="s">
        <v>252</v>
      </c>
      <c r="AT80" s="242">
        <v>9.5054922279792748</v>
      </c>
      <c r="AU80" s="242" t="s">
        <v>252</v>
      </c>
      <c r="AV80" s="242">
        <v>12.162590673575128</v>
      </c>
      <c r="AW80" s="157" t="s">
        <v>252</v>
      </c>
      <c r="AX80" s="157">
        <v>297.97041450777203</v>
      </c>
      <c r="AY80" s="243">
        <v>3.9170984455958548E-2</v>
      </c>
      <c r="AZ80" s="156" t="s">
        <v>253</v>
      </c>
      <c r="BA80" s="156" t="s">
        <v>254</v>
      </c>
      <c r="BB80" s="156">
        <v>0</v>
      </c>
      <c r="BC80" s="156" t="s">
        <v>1423</v>
      </c>
      <c r="BD80" s="3"/>
    </row>
    <row r="81" spans="1:56" ht="15.75" hidden="1" customHeight="1" outlineLevel="1">
      <c r="A81" s="58">
        <v>71</v>
      </c>
      <c r="B81" s="11">
        <v>129071</v>
      </c>
      <c r="C81" s="89" t="s">
        <v>264</v>
      </c>
      <c r="D81" s="157">
        <v>28</v>
      </c>
      <c r="E81" s="12" t="s">
        <v>191</v>
      </c>
      <c r="F81" s="11" t="s">
        <v>246</v>
      </c>
      <c r="G81" s="18" t="s">
        <v>247</v>
      </c>
      <c r="H81" s="11" t="s">
        <v>248</v>
      </c>
      <c r="I81" s="87" t="s">
        <v>249</v>
      </c>
      <c r="J81" s="19" t="s">
        <v>139</v>
      </c>
      <c r="K81" s="17" t="s">
        <v>140</v>
      </c>
      <c r="L81" s="257">
        <v>0</v>
      </c>
      <c r="M81" s="70" t="s">
        <v>250</v>
      </c>
      <c r="N81" s="70">
        <v>100</v>
      </c>
      <c r="O81" s="258">
        <v>8</v>
      </c>
      <c r="P81" s="70" t="s">
        <v>251</v>
      </c>
      <c r="Q81" s="70" t="s">
        <v>233</v>
      </c>
      <c r="R81" s="70" t="s">
        <v>240</v>
      </c>
      <c r="S81" s="70" t="s">
        <v>233</v>
      </c>
      <c r="T81" s="70" t="s">
        <v>233</v>
      </c>
      <c r="U81" s="70" t="s">
        <v>1427</v>
      </c>
      <c r="V81" s="70" t="s">
        <v>240</v>
      </c>
      <c r="W81" s="12"/>
      <c r="X81" s="242">
        <v>301.53999999999996</v>
      </c>
      <c r="Y81" s="242">
        <v>292.92</v>
      </c>
      <c r="Z81" s="242">
        <v>53.28</v>
      </c>
      <c r="AA81" s="157" t="s">
        <v>252</v>
      </c>
      <c r="AB81" s="242">
        <v>32.590000000000003</v>
      </c>
      <c r="AC81" s="157" t="s">
        <v>252</v>
      </c>
      <c r="AD81" s="242">
        <v>45.09</v>
      </c>
      <c r="AE81" s="157" t="s">
        <v>252</v>
      </c>
      <c r="AF81" s="242">
        <v>25.77</v>
      </c>
      <c r="AG81" s="157" t="s">
        <v>252</v>
      </c>
      <c r="AH81" s="242">
        <v>12.92</v>
      </c>
      <c r="AI81" s="157" t="s">
        <v>252</v>
      </c>
      <c r="AJ81" s="242">
        <v>6.77</v>
      </c>
      <c r="AK81" s="242" t="s">
        <v>252</v>
      </c>
      <c r="AL81" s="242">
        <v>5.51</v>
      </c>
      <c r="AM81" s="242" t="s">
        <v>252</v>
      </c>
      <c r="AN81" s="242">
        <v>5.16</v>
      </c>
      <c r="AO81" s="242" t="s">
        <v>252</v>
      </c>
      <c r="AP81" s="242">
        <v>6.68</v>
      </c>
      <c r="AQ81" s="242" t="s">
        <v>252</v>
      </c>
      <c r="AR81" s="242">
        <v>30.8</v>
      </c>
      <c r="AS81" s="242" t="s">
        <v>252</v>
      </c>
      <c r="AT81" s="242">
        <v>27.19</v>
      </c>
      <c r="AU81" s="242" t="s">
        <v>252</v>
      </c>
      <c r="AV81" s="242">
        <v>35.08</v>
      </c>
      <c r="AW81" s="157" t="s">
        <v>252</v>
      </c>
      <c r="AX81" s="157">
        <v>881.3</v>
      </c>
      <c r="AY81" s="240">
        <v>0.12</v>
      </c>
      <c r="AZ81" s="156" t="s">
        <v>253</v>
      </c>
      <c r="BA81" s="156" t="s">
        <v>254</v>
      </c>
      <c r="BB81" s="156">
        <v>0</v>
      </c>
      <c r="BC81" s="156" t="s">
        <v>1423</v>
      </c>
      <c r="BD81" s="3"/>
    </row>
    <row r="82" spans="1:56" ht="15.75" hidden="1" customHeight="1" outlineLevel="1">
      <c r="A82" s="58">
        <v>72</v>
      </c>
      <c r="B82" s="11">
        <v>129072</v>
      </c>
      <c r="C82" s="89" t="s">
        <v>264</v>
      </c>
      <c r="D82" s="157">
        <v>6</v>
      </c>
      <c r="E82" s="12" t="s">
        <v>191</v>
      </c>
      <c r="F82" s="11" t="s">
        <v>246</v>
      </c>
      <c r="G82" s="18" t="s">
        <v>247</v>
      </c>
      <c r="H82" s="11" t="s">
        <v>248</v>
      </c>
      <c r="I82" s="87" t="s">
        <v>249</v>
      </c>
      <c r="J82" s="19" t="s">
        <v>139</v>
      </c>
      <c r="K82" s="17" t="s">
        <v>140</v>
      </c>
      <c r="L82" s="260">
        <v>1</v>
      </c>
      <c r="M82" s="70" t="s">
        <v>250</v>
      </c>
      <c r="N82" s="70">
        <v>100</v>
      </c>
      <c r="O82" s="258">
        <v>8</v>
      </c>
      <c r="P82" s="70" t="s">
        <v>251</v>
      </c>
      <c r="Q82" s="70" t="s">
        <v>233</v>
      </c>
      <c r="R82" s="70" t="s">
        <v>240</v>
      </c>
      <c r="S82" s="70" t="s">
        <v>233</v>
      </c>
      <c r="T82" s="70" t="s">
        <v>233</v>
      </c>
      <c r="U82" s="70" t="s">
        <v>1427</v>
      </c>
      <c r="V82" s="70" t="s">
        <v>240</v>
      </c>
      <c r="W82" s="12"/>
      <c r="X82" s="242">
        <v>724.33</v>
      </c>
      <c r="Y82" s="242">
        <v>770.50560999999993</v>
      </c>
      <c r="Z82" s="242">
        <v>133.89832000000001</v>
      </c>
      <c r="AA82" s="157" t="s">
        <v>252</v>
      </c>
      <c r="AB82" s="242">
        <v>84.971999999999994</v>
      </c>
      <c r="AC82" s="157" t="s">
        <v>252</v>
      </c>
      <c r="AD82" s="242">
        <v>74.190330000000003</v>
      </c>
      <c r="AE82" s="157" t="s">
        <v>252</v>
      </c>
      <c r="AF82" s="242">
        <v>43.526220000000002</v>
      </c>
      <c r="AG82" s="157" t="s">
        <v>252</v>
      </c>
      <c r="AH82" s="242">
        <v>13.677580000000001</v>
      </c>
      <c r="AI82" s="157" t="s">
        <v>252</v>
      </c>
      <c r="AJ82" s="242">
        <v>5.8649100000000001</v>
      </c>
      <c r="AK82" s="242" t="s">
        <v>252</v>
      </c>
      <c r="AL82" s="242">
        <v>3.62845</v>
      </c>
      <c r="AM82" s="242" t="s">
        <v>252</v>
      </c>
      <c r="AN82" s="242">
        <v>21.752420000000001</v>
      </c>
      <c r="AO82" s="242" t="s">
        <v>252</v>
      </c>
      <c r="AP82" s="242">
        <v>6.5644099999999996</v>
      </c>
      <c r="AQ82" s="242" t="s">
        <v>252</v>
      </c>
      <c r="AR82" s="242">
        <v>59.786720000000003</v>
      </c>
      <c r="AS82" s="242" t="s">
        <v>252</v>
      </c>
      <c r="AT82" s="242">
        <v>49.868519999999997</v>
      </c>
      <c r="AU82" s="242" t="s">
        <v>252</v>
      </c>
      <c r="AV82" s="242">
        <v>65.139579999999995</v>
      </c>
      <c r="AW82" s="157" t="s">
        <v>252</v>
      </c>
      <c r="AX82" s="157">
        <v>2057.70507</v>
      </c>
      <c r="AY82" s="240">
        <v>0.26</v>
      </c>
      <c r="AZ82" s="156" t="s">
        <v>253</v>
      </c>
      <c r="BA82" s="156" t="s">
        <v>254</v>
      </c>
      <c r="BB82" s="156">
        <v>1</v>
      </c>
      <c r="BC82" s="156" t="s">
        <v>1423</v>
      </c>
      <c r="BD82" s="3"/>
    </row>
    <row r="83" spans="1:56" ht="15.75" hidden="1" customHeight="1" outlineLevel="1">
      <c r="A83" s="58">
        <v>73</v>
      </c>
      <c r="B83" s="11">
        <v>129073</v>
      </c>
      <c r="C83" s="89" t="s">
        <v>266</v>
      </c>
      <c r="D83" s="157">
        <v>12</v>
      </c>
      <c r="E83" s="12" t="s">
        <v>191</v>
      </c>
      <c r="F83" s="11" t="s">
        <v>246</v>
      </c>
      <c r="G83" s="18" t="s">
        <v>247</v>
      </c>
      <c r="H83" s="11" t="s">
        <v>248</v>
      </c>
      <c r="I83" s="87" t="s">
        <v>249</v>
      </c>
      <c r="J83" s="19" t="s">
        <v>139</v>
      </c>
      <c r="K83" s="17" t="s">
        <v>140</v>
      </c>
      <c r="L83" s="257">
        <v>0</v>
      </c>
      <c r="M83" s="70" t="s">
        <v>250</v>
      </c>
      <c r="N83" s="70">
        <v>100</v>
      </c>
      <c r="O83" s="258">
        <v>8</v>
      </c>
      <c r="P83" s="70" t="s">
        <v>251</v>
      </c>
      <c r="Q83" s="70" t="s">
        <v>233</v>
      </c>
      <c r="R83" s="70" t="s">
        <v>240</v>
      </c>
      <c r="S83" s="70" t="s">
        <v>233</v>
      </c>
      <c r="T83" s="70" t="s">
        <v>233</v>
      </c>
      <c r="U83" s="70" t="s">
        <v>1427</v>
      </c>
      <c r="V83" s="70" t="s">
        <v>240</v>
      </c>
      <c r="W83" s="12"/>
      <c r="X83" s="242">
        <v>1103.57</v>
      </c>
      <c r="Y83" s="242">
        <v>1120.9700000000003</v>
      </c>
      <c r="Z83" s="242">
        <v>112.74</v>
      </c>
      <c r="AA83" s="157" t="s">
        <v>252</v>
      </c>
      <c r="AB83" s="242">
        <v>76.67</v>
      </c>
      <c r="AC83" s="157" t="s">
        <v>252</v>
      </c>
      <c r="AD83" s="242">
        <v>85.33</v>
      </c>
      <c r="AE83" s="157" t="s">
        <v>252</v>
      </c>
      <c r="AF83" s="242">
        <v>63.85</v>
      </c>
      <c r="AG83" s="157" t="s">
        <v>252</v>
      </c>
      <c r="AH83" s="242">
        <v>10.45</v>
      </c>
      <c r="AI83" s="157" t="s">
        <v>252</v>
      </c>
      <c r="AJ83" s="242">
        <v>8.4700000000000006</v>
      </c>
      <c r="AK83" s="242" t="s">
        <v>252</v>
      </c>
      <c r="AL83" s="242">
        <v>0</v>
      </c>
      <c r="AM83" s="242" t="s">
        <v>252</v>
      </c>
      <c r="AN83" s="242">
        <v>1.28</v>
      </c>
      <c r="AO83" s="242" t="s">
        <v>252</v>
      </c>
      <c r="AP83" s="242">
        <v>0</v>
      </c>
      <c r="AQ83" s="242" t="s">
        <v>252</v>
      </c>
      <c r="AR83" s="242">
        <v>170.49</v>
      </c>
      <c r="AS83" s="242" t="s">
        <v>252</v>
      </c>
      <c r="AT83" s="242">
        <v>180.69</v>
      </c>
      <c r="AU83" s="242" t="s">
        <v>252</v>
      </c>
      <c r="AV83" s="242">
        <v>213.27</v>
      </c>
      <c r="AW83" s="157" t="s">
        <v>252</v>
      </c>
      <c r="AX83" s="157">
        <v>3147.7799999999997</v>
      </c>
      <c r="AY83" s="240">
        <v>0.40400000000000003</v>
      </c>
      <c r="AZ83" s="156" t="s">
        <v>253</v>
      </c>
      <c r="BA83" s="156" t="s">
        <v>254</v>
      </c>
      <c r="BB83" s="156">
        <v>0</v>
      </c>
      <c r="BC83" s="156" t="s">
        <v>1423</v>
      </c>
      <c r="BD83" s="3"/>
    </row>
    <row r="84" spans="1:56" ht="15.75" hidden="1" customHeight="1" outlineLevel="1">
      <c r="A84" s="58">
        <v>74</v>
      </c>
      <c r="B84" s="11">
        <v>129074</v>
      </c>
      <c r="C84" s="89" t="s">
        <v>266</v>
      </c>
      <c r="D84" s="157">
        <v>14</v>
      </c>
      <c r="E84" s="12" t="s">
        <v>191</v>
      </c>
      <c r="F84" s="11" t="s">
        <v>246</v>
      </c>
      <c r="G84" s="18" t="s">
        <v>247</v>
      </c>
      <c r="H84" s="11" t="s">
        <v>248</v>
      </c>
      <c r="I84" s="87" t="s">
        <v>249</v>
      </c>
      <c r="J84" s="19" t="s">
        <v>139</v>
      </c>
      <c r="K84" s="17" t="s">
        <v>140</v>
      </c>
      <c r="L84" s="260">
        <v>2</v>
      </c>
      <c r="M84" s="70" t="s">
        <v>250</v>
      </c>
      <c r="N84" s="70">
        <v>100</v>
      </c>
      <c r="O84" s="258">
        <v>8</v>
      </c>
      <c r="P84" s="70" t="s">
        <v>251</v>
      </c>
      <c r="Q84" s="70" t="s">
        <v>233</v>
      </c>
      <c r="R84" s="70" t="s">
        <v>240</v>
      </c>
      <c r="S84" s="70" t="s">
        <v>233</v>
      </c>
      <c r="T84" s="70" t="s">
        <v>233</v>
      </c>
      <c r="U84" s="70" t="s">
        <v>1427</v>
      </c>
      <c r="V84" s="70" t="s">
        <v>240</v>
      </c>
      <c r="W84" s="12"/>
      <c r="X84" s="242">
        <v>987.22</v>
      </c>
      <c r="Y84" s="242">
        <v>1053.3899999999999</v>
      </c>
      <c r="Z84" s="242">
        <v>156.44999999999999</v>
      </c>
      <c r="AA84" s="157" t="s">
        <v>252</v>
      </c>
      <c r="AB84" s="242">
        <v>116.75</v>
      </c>
      <c r="AC84" s="157" t="s">
        <v>252</v>
      </c>
      <c r="AD84" s="242">
        <v>155.99</v>
      </c>
      <c r="AE84" s="157" t="s">
        <v>252</v>
      </c>
      <c r="AF84" s="242">
        <v>92.44</v>
      </c>
      <c r="AG84" s="157" t="s">
        <v>252</v>
      </c>
      <c r="AH84" s="242">
        <v>52.11</v>
      </c>
      <c r="AI84" s="157" t="s">
        <v>252</v>
      </c>
      <c r="AJ84" s="242">
        <v>23.79</v>
      </c>
      <c r="AK84" s="242" t="s">
        <v>252</v>
      </c>
      <c r="AL84" s="242">
        <v>14.87</v>
      </c>
      <c r="AM84" s="242" t="s">
        <v>252</v>
      </c>
      <c r="AN84" s="242">
        <v>31.4</v>
      </c>
      <c r="AO84" s="242" t="s">
        <v>252</v>
      </c>
      <c r="AP84" s="242">
        <v>20.95</v>
      </c>
      <c r="AQ84" s="242" t="s">
        <v>252</v>
      </c>
      <c r="AR84" s="242">
        <v>40.22</v>
      </c>
      <c r="AS84" s="242" t="s">
        <v>252</v>
      </c>
      <c r="AT84" s="242">
        <v>27.65</v>
      </c>
      <c r="AU84" s="242" t="s">
        <v>252</v>
      </c>
      <c r="AV84" s="242">
        <v>28.27</v>
      </c>
      <c r="AW84" s="157" t="s">
        <v>252</v>
      </c>
      <c r="AX84" s="157">
        <v>2801.5</v>
      </c>
      <c r="AY84" s="240">
        <v>0.378</v>
      </c>
      <c r="AZ84" s="156" t="s">
        <v>253</v>
      </c>
      <c r="BA84" s="156" t="s">
        <v>254</v>
      </c>
      <c r="BB84" s="156">
        <v>0</v>
      </c>
      <c r="BC84" s="156" t="s">
        <v>1423</v>
      </c>
      <c r="BD84" s="3"/>
    </row>
    <row r="85" spans="1:56" ht="15.75" hidden="1" customHeight="1" outlineLevel="1">
      <c r="A85" s="58">
        <v>75</v>
      </c>
      <c r="B85" s="11">
        <v>129075</v>
      </c>
      <c r="C85" s="89" t="s">
        <v>266</v>
      </c>
      <c r="D85" s="157">
        <v>16</v>
      </c>
      <c r="E85" s="12" t="s">
        <v>191</v>
      </c>
      <c r="F85" s="11" t="s">
        <v>246</v>
      </c>
      <c r="G85" s="18" t="s">
        <v>247</v>
      </c>
      <c r="H85" s="11" t="s">
        <v>248</v>
      </c>
      <c r="I85" s="87" t="s">
        <v>249</v>
      </c>
      <c r="J85" s="19" t="s">
        <v>139</v>
      </c>
      <c r="K85" s="17" t="s">
        <v>140</v>
      </c>
      <c r="L85" s="257">
        <v>0</v>
      </c>
      <c r="M85" s="70" t="s">
        <v>250</v>
      </c>
      <c r="N85" s="70">
        <v>100</v>
      </c>
      <c r="O85" s="258">
        <v>8</v>
      </c>
      <c r="P85" s="70" t="s">
        <v>251</v>
      </c>
      <c r="Q85" s="70" t="s">
        <v>233</v>
      </c>
      <c r="R85" s="70" t="s">
        <v>240</v>
      </c>
      <c r="S85" s="70" t="s">
        <v>233</v>
      </c>
      <c r="T85" s="70" t="s">
        <v>233</v>
      </c>
      <c r="U85" s="70" t="s">
        <v>1427</v>
      </c>
      <c r="V85" s="70" t="s">
        <v>240</v>
      </c>
      <c r="W85" s="12"/>
      <c r="X85" s="242">
        <v>991.77</v>
      </c>
      <c r="Y85" s="242">
        <v>1049.8999999999999</v>
      </c>
      <c r="Z85" s="242">
        <v>160.65</v>
      </c>
      <c r="AA85" s="157" t="s">
        <v>252</v>
      </c>
      <c r="AB85" s="242">
        <v>119.95</v>
      </c>
      <c r="AC85" s="157" t="s">
        <v>252</v>
      </c>
      <c r="AD85" s="242">
        <v>160.24</v>
      </c>
      <c r="AE85" s="157" t="s">
        <v>252</v>
      </c>
      <c r="AF85" s="242">
        <v>94.89</v>
      </c>
      <c r="AG85" s="157" t="s">
        <v>252</v>
      </c>
      <c r="AH85" s="242">
        <v>53.61</v>
      </c>
      <c r="AI85" s="157" t="s">
        <v>252</v>
      </c>
      <c r="AJ85" s="242">
        <v>23.99</v>
      </c>
      <c r="AK85" s="242" t="s">
        <v>252</v>
      </c>
      <c r="AL85" s="242">
        <v>15.15</v>
      </c>
      <c r="AM85" s="242" t="s">
        <v>252</v>
      </c>
      <c r="AN85" s="242">
        <v>14.75</v>
      </c>
      <c r="AO85" s="242" t="s">
        <v>252</v>
      </c>
      <c r="AP85" s="242">
        <v>21.24</v>
      </c>
      <c r="AQ85" s="242" t="s">
        <v>252</v>
      </c>
      <c r="AR85" s="242">
        <v>41.19</v>
      </c>
      <c r="AS85" s="242" t="s">
        <v>252</v>
      </c>
      <c r="AT85" s="242">
        <v>28.21</v>
      </c>
      <c r="AU85" s="242" t="s">
        <v>252</v>
      </c>
      <c r="AV85" s="242">
        <v>29.07</v>
      </c>
      <c r="AW85" s="157" t="s">
        <v>252</v>
      </c>
      <c r="AX85" s="157">
        <v>2804.6099999999992</v>
      </c>
      <c r="AY85" s="240">
        <v>0.38700000000000001</v>
      </c>
      <c r="AZ85" s="156" t="s">
        <v>253</v>
      </c>
      <c r="BA85" s="156" t="s">
        <v>254</v>
      </c>
      <c r="BB85" s="156">
        <v>0</v>
      </c>
      <c r="BC85" s="156" t="s">
        <v>1423</v>
      </c>
      <c r="BD85" s="3"/>
    </row>
    <row r="86" spans="1:56" ht="15.75" hidden="1" customHeight="1" outlineLevel="1">
      <c r="A86" s="58">
        <v>76</v>
      </c>
      <c r="B86" s="11">
        <v>129076</v>
      </c>
      <c r="C86" s="89" t="s">
        <v>266</v>
      </c>
      <c r="D86" s="157">
        <v>18</v>
      </c>
      <c r="E86" s="12" t="s">
        <v>191</v>
      </c>
      <c r="F86" s="11" t="s">
        <v>246</v>
      </c>
      <c r="G86" s="18" t="s">
        <v>247</v>
      </c>
      <c r="H86" s="11" t="s">
        <v>248</v>
      </c>
      <c r="I86" s="87" t="s">
        <v>249</v>
      </c>
      <c r="J86" s="19" t="s">
        <v>139</v>
      </c>
      <c r="K86" s="17" t="s">
        <v>140</v>
      </c>
      <c r="L86" s="260">
        <v>1</v>
      </c>
      <c r="M86" s="70" t="s">
        <v>250</v>
      </c>
      <c r="N86" s="70">
        <v>80</v>
      </c>
      <c r="O86" s="258">
        <v>8</v>
      </c>
      <c r="P86" s="70" t="s">
        <v>251</v>
      </c>
      <c r="Q86" s="70" t="s">
        <v>233</v>
      </c>
      <c r="R86" s="70" t="s">
        <v>240</v>
      </c>
      <c r="S86" s="70" t="s">
        <v>233</v>
      </c>
      <c r="T86" s="70" t="s">
        <v>233</v>
      </c>
      <c r="U86" s="70" t="s">
        <v>1427</v>
      </c>
      <c r="V86" s="70" t="s">
        <v>240</v>
      </c>
      <c r="W86" s="12"/>
      <c r="X86" s="242">
        <v>315.00083475621324</v>
      </c>
      <c r="Y86" s="242">
        <v>351.94687535572001</v>
      </c>
      <c r="Z86" s="242">
        <v>43.525940049326501</v>
      </c>
      <c r="AA86" s="157" t="s">
        <v>252</v>
      </c>
      <c r="AB86" s="242">
        <v>37.283568582811611</v>
      </c>
      <c r="AC86" s="157" t="s">
        <v>252</v>
      </c>
      <c r="AD86" s="242">
        <v>51.118423449060899</v>
      </c>
      <c r="AE86" s="157" t="s">
        <v>252</v>
      </c>
      <c r="AF86" s="242">
        <v>31.38251754885221</v>
      </c>
      <c r="AG86" s="157" t="s">
        <v>252</v>
      </c>
      <c r="AH86" s="242">
        <v>12.636440903054449</v>
      </c>
      <c r="AI86" s="157" t="s">
        <v>252</v>
      </c>
      <c r="AJ86" s="242">
        <v>3.9100151773856955</v>
      </c>
      <c r="AK86" s="242" t="s">
        <v>252</v>
      </c>
      <c r="AL86" s="242">
        <v>4.0237886549041928</v>
      </c>
      <c r="AM86" s="242" t="s">
        <v>252</v>
      </c>
      <c r="AN86" s="242">
        <v>6.7884841586036799</v>
      </c>
      <c r="AO86" s="242" t="s">
        <v>252</v>
      </c>
      <c r="AP86" s="242">
        <v>7.330804401441851</v>
      </c>
      <c r="AQ86" s="242" t="s">
        <v>252</v>
      </c>
      <c r="AR86" s="242">
        <v>33.946213242269025</v>
      </c>
      <c r="AS86" s="242" t="s">
        <v>252</v>
      </c>
      <c r="AT86" s="242">
        <v>30.483707076456078</v>
      </c>
      <c r="AU86" s="242" t="s">
        <v>252</v>
      </c>
      <c r="AV86" s="242">
        <v>38.815718080060705</v>
      </c>
      <c r="AW86" s="157" t="s">
        <v>252</v>
      </c>
      <c r="AX86" s="157">
        <v>968.19333143616007</v>
      </c>
      <c r="AY86" s="240">
        <v>0.15549041927527982</v>
      </c>
      <c r="AZ86" s="156" t="s">
        <v>253</v>
      </c>
      <c r="BA86" s="156" t="s">
        <v>254</v>
      </c>
      <c r="BB86" s="156">
        <v>0</v>
      </c>
      <c r="BC86" s="156" t="s">
        <v>1423</v>
      </c>
      <c r="BD86" s="3"/>
    </row>
    <row r="87" spans="1:56" ht="15.75" hidden="1" customHeight="1" outlineLevel="1">
      <c r="A87" s="58">
        <v>77</v>
      </c>
      <c r="B87" s="11">
        <v>129077</v>
      </c>
      <c r="C87" s="89" t="s">
        <v>266</v>
      </c>
      <c r="D87" s="157">
        <v>18</v>
      </c>
      <c r="E87" s="12" t="s">
        <v>231</v>
      </c>
      <c r="F87" s="11" t="s">
        <v>246</v>
      </c>
      <c r="G87" s="18" t="s">
        <v>247</v>
      </c>
      <c r="H87" s="11" t="s">
        <v>248</v>
      </c>
      <c r="I87" s="87" t="s">
        <v>249</v>
      </c>
      <c r="J87" s="19" t="s">
        <v>139</v>
      </c>
      <c r="K87" s="17" t="s">
        <v>140</v>
      </c>
      <c r="L87" s="257">
        <v>0</v>
      </c>
      <c r="M87" s="70" t="s">
        <v>250</v>
      </c>
      <c r="N87" s="70">
        <v>100</v>
      </c>
      <c r="O87" s="258">
        <v>8</v>
      </c>
      <c r="P87" s="70" t="s">
        <v>251</v>
      </c>
      <c r="Q87" s="70" t="s">
        <v>233</v>
      </c>
      <c r="R87" s="70" t="s">
        <v>240</v>
      </c>
      <c r="S87" s="70" t="s">
        <v>233</v>
      </c>
      <c r="T87" s="70" t="s">
        <v>233</v>
      </c>
      <c r="U87" s="70" t="s">
        <v>1427</v>
      </c>
      <c r="V87" s="70" t="s">
        <v>240</v>
      </c>
      <c r="W87" s="12"/>
      <c r="X87" s="242">
        <v>515.59916524378673</v>
      </c>
      <c r="Y87" s="242">
        <v>576.07312464428003</v>
      </c>
      <c r="Z87" s="242">
        <v>71.244059950673488</v>
      </c>
      <c r="AA87" s="157" t="s">
        <v>252</v>
      </c>
      <c r="AB87" s="242">
        <v>61.026431417188384</v>
      </c>
      <c r="AC87" s="157" t="s">
        <v>252</v>
      </c>
      <c r="AD87" s="242">
        <v>83.671576550939093</v>
      </c>
      <c r="AE87" s="157" t="s">
        <v>252</v>
      </c>
      <c r="AF87" s="242">
        <v>51.367482451147787</v>
      </c>
      <c r="AG87" s="157" t="s">
        <v>252</v>
      </c>
      <c r="AH87" s="242">
        <v>20.683559096945551</v>
      </c>
      <c r="AI87" s="157" t="s">
        <v>252</v>
      </c>
      <c r="AJ87" s="242">
        <v>6.3999848226143046</v>
      </c>
      <c r="AK87" s="242" t="s">
        <v>252</v>
      </c>
      <c r="AL87" s="242">
        <v>6.5862113450958066</v>
      </c>
      <c r="AM87" s="242" t="s">
        <v>252</v>
      </c>
      <c r="AN87" s="242">
        <v>11.111515841396317</v>
      </c>
      <c r="AO87" s="242" t="s">
        <v>252</v>
      </c>
      <c r="AP87" s="242">
        <v>11.999195598558146</v>
      </c>
      <c r="AQ87" s="242" t="s">
        <v>252</v>
      </c>
      <c r="AR87" s="242">
        <v>55.563786757730981</v>
      </c>
      <c r="AS87" s="242" t="s">
        <v>252</v>
      </c>
      <c r="AT87" s="242">
        <v>49.896292923543911</v>
      </c>
      <c r="AU87" s="242" t="s">
        <v>252</v>
      </c>
      <c r="AV87" s="242">
        <v>63.534281919939282</v>
      </c>
      <c r="AW87" s="157" t="s">
        <v>252</v>
      </c>
      <c r="AX87" s="157">
        <v>1584.7566685638396</v>
      </c>
      <c r="AY87" s="243">
        <v>0.25450958072472013</v>
      </c>
      <c r="AZ87" s="156" t="s">
        <v>253</v>
      </c>
      <c r="BA87" s="156" t="s">
        <v>254</v>
      </c>
      <c r="BB87" s="156">
        <v>0</v>
      </c>
      <c r="BC87" s="156" t="s">
        <v>1423</v>
      </c>
      <c r="BD87" s="3"/>
    </row>
    <row r="88" spans="1:56" ht="15.75" hidden="1" customHeight="1" outlineLevel="1">
      <c r="A88" s="58">
        <v>78</v>
      </c>
      <c r="B88" s="11">
        <v>129078</v>
      </c>
      <c r="C88" s="89" t="s">
        <v>266</v>
      </c>
      <c r="D88" s="157">
        <v>2</v>
      </c>
      <c r="E88" s="12" t="s">
        <v>191</v>
      </c>
      <c r="F88" s="11" t="s">
        <v>246</v>
      </c>
      <c r="G88" s="18" t="s">
        <v>247</v>
      </c>
      <c r="H88" s="11" t="s">
        <v>248</v>
      </c>
      <c r="I88" s="87" t="s">
        <v>249</v>
      </c>
      <c r="J88" s="19" t="s">
        <v>139</v>
      </c>
      <c r="K88" s="17" t="s">
        <v>140</v>
      </c>
      <c r="L88" s="260">
        <v>1</v>
      </c>
      <c r="M88" s="70" t="s">
        <v>250</v>
      </c>
      <c r="N88" s="70">
        <v>80</v>
      </c>
      <c r="O88" s="258">
        <v>8</v>
      </c>
      <c r="P88" s="70" t="s">
        <v>251</v>
      </c>
      <c r="Q88" s="70" t="s">
        <v>233</v>
      </c>
      <c r="R88" s="70" t="s">
        <v>240</v>
      </c>
      <c r="S88" s="70" t="s">
        <v>233</v>
      </c>
      <c r="T88" s="70" t="s">
        <v>233</v>
      </c>
      <c r="U88" s="70" t="s">
        <v>1427</v>
      </c>
      <c r="V88" s="70" t="s">
        <v>240</v>
      </c>
      <c r="W88" s="12"/>
      <c r="X88" s="242">
        <v>1100.2</v>
      </c>
      <c r="Y88" s="242">
        <v>983.6</v>
      </c>
      <c r="Z88" s="242">
        <v>139.9</v>
      </c>
      <c r="AA88" s="157" t="s">
        <v>252</v>
      </c>
      <c r="AB88" s="242">
        <v>112.19</v>
      </c>
      <c r="AC88" s="157" t="s">
        <v>252</v>
      </c>
      <c r="AD88" s="242">
        <v>152.22</v>
      </c>
      <c r="AE88" s="157" t="s">
        <v>252</v>
      </c>
      <c r="AF88" s="242">
        <v>103.49</v>
      </c>
      <c r="AG88" s="157" t="s">
        <v>252</v>
      </c>
      <c r="AH88" s="242">
        <v>53.1</v>
      </c>
      <c r="AI88" s="157" t="s">
        <v>252</v>
      </c>
      <c r="AJ88" s="242">
        <v>19.21</v>
      </c>
      <c r="AK88" s="242" t="s">
        <v>252</v>
      </c>
      <c r="AL88" s="242">
        <v>17.62</v>
      </c>
      <c r="AM88" s="242" t="s">
        <v>252</v>
      </c>
      <c r="AN88" s="242">
        <v>21.59</v>
      </c>
      <c r="AO88" s="242" t="s">
        <v>252</v>
      </c>
      <c r="AP88" s="242">
        <v>25.97</v>
      </c>
      <c r="AQ88" s="242" t="s">
        <v>252</v>
      </c>
      <c r="AR88" s="242">
        <v>96.3</v>
      </c>
      <c r="AS88" s="242" t="s">
        <v>252</v>
      </c>
      <c r="AT88" s="242">
        <v>91.2</v>
      </c>
      <c r="AU88" s="242" t="s">
        <v>252</v>
      </c>
      <c r="AV88" s="242">
        <v>107.43</v>
      </c>
      <c r="AW88" s="157" t="s">
        <v>252</v>
      </c>
      <c r="AX88" s="157">
        <v>3024.0199999999995</v>
      </c>
      <c r="AY88" s="240">
        <v>0.44</v>
      </c>
      <c r="AZ88" s="156" t="s">
        <v>253</v>
      </c>
      <c r="BA88" s="156" t="s">
        <v>254</v>
      </c>
      <c r="BB88" s="156">
        <v>1</v>
      </c>
      <c r="BC88" s="157" t="s">
        <v>255</v>
      </c>
      <c r="BD88" s="3"/>
    </row>
    <row r="89" spans="1:56" ht="15.75" hidden="1" customHeight="1" outlineLevel="1">
      <c r="A89" s="58">
        <v>79</v>
      </c>
      <c r="B89" s="11">
        <v>129079</v>
      </c>
      <c r="C89" s="89" t="s">
        <v>266</v>
      </c>
      <c r="D89" s="157">
        <v>20</v>
      </c>
      <c r="E89" s="12" t="s">
        <v>191</v>
      </c>
      <c r="F89" s="11" t="s">
        <v>246</v>
      </c>
      <c r="G89" s="18" t="s">
        <v>247</v>
      </c>
      <c r="H89" s="11" t="s">
        <v>248</v>
      </c>
      <c r="I89" s="87" t="s">
        <v>249</v>
      </c>
      <c r="J89" s="19" t="s">
        <v>139</v>
      </c>
      <c r="K89" s="17" t="s">
        <v>140</v>
      </c>
      <c r="L89" s="257">
        <v>0</v>
      </c>
      <c r="M89" s="70" t="s">
        <v>250</v>
      </c>
      <c r="N89" s="70">
        <v>100</v>
      </c>
      <c r="O89" s="258">
        <v>8</v>
      </c>
      <c r="P89" s="70" t="s">
        <v>251</v>
      </c>
      <c r="Q89" s="70" t="s">
        <v>233</v>
      </c>
      <c r="R89" s="70" t="s">
        <v>240</v>
      </c>
      <c r="S89" s="70" t="s">
        <v>233</v>
      </c>
      <c r="T89" s="70" t="s">
        <v>233</v>
      </c>
      <c r="U89" s="70" t="s">
        <v>1427</v>
      </c>
      <c r="V89" s="70" t="s">
        <v>240</v>
      </c>
      <c r="W89" s="12"/>
      <c r="X89" s="242">
        <v>336.71</v>
      </c>
      <c r="Y89" s="242">
        <v>374.59000000000003</v>
      </c>
      <c r="Z89" s="242">
        <v>45.08</v>
      </c>
      <c r="AA89" s="157" t="s">
        <v>252</v>
      </c>
      <c r="AB89" s="242">
        <v>38.58</v>
      </c>
      <c r="AC89" s="157" t="s">
        <v>252</v>
      </c>
      <c r="AD89" s="242">
        <v>52.86</v>
      </c>
      <c r="AE89" s="157" t="s">
        <v>252</v>
      </c>
      <c r="AF89" s="242">
        <v>32.44</v>
      </c>
      <c r="AG89" s="157" t="s">
        <v>252</v>
      </c>
      <c r="AH89" s="242">
        <v>12.34</v>
      </c>
      <c r="AI89" s="157" t="s">
        <v>252</v>
      </c>
      <c r="AJ89" s="242">
        <v>8.61</v>
      </c>
      <c r="AK89" s="242" t="s">
        <v>252</v>
      </c>
      <c r="AL89" s="242">
        <v>8.82</v>
      </c>
      <c r="AM89" s="242" t="s">
        <v>252</v>
      </c>
      <c r="AN89" s="242">
        <v>9.51</v>
      </c>
      <c r="AO89" s="242" t="s">
        <v>252</v>
      </c>
      <c r="AP89" s="242">
        <v>16.13</v>
      </c>
      <c r="AQ89" s="242" t="s">
        <v>252</v>
      </c>
      <c r="AR89" s="242">
        <v>32.51</v>
      </c>
      <c r="AS89" s="242" t="s">
        <v>252</v>
      </c>
      <c r="AT89" s="242">
        <v>29.97</v>
      </c>
      <c r="AU89" s="242" t="s">
        <v>252</v>
      </c>
      <c r="AV89" s="242">
        <v>39.770000000000003</v>
      </c>
      <c r="AW89" s="157" t="s">
        <v>252</v>
      </c>
      <c r="AX89" s="157">
        <v>1037.92</v>
      </c>
      <c r="AY89" s="240">
        <v>0.14000000000000001</v>
      </c>
      <c r="AZ89" s="156" t="s">
        <v>253</v>
      </c>
      <c r="BA89" s="156" t="s">
        <v>254</v>
      </c>
      <c r="BB89" s="156">
        <v>0</v>
      </c>
      <c r="BC89" s="156" t="s">
        <v>1423</v>
      </c>
      <c r="BD89" s="3"/>
    </row>
    <row r="90" spans="1:56" ht="15.75" hidden="1" customHeight="1" outlineLevel="1">
      <c r="A90" s="58">
        <v>80</v>
      </c>
      <c r="B90" s="11">
        <v>129080</v>
      </c>
      <c r="C90" s="89" t="s">
        <v>266</v>
      </c>
      <c r="D90" s="157">
        <v>22</v>
      </c>
      <c r="E90" s="12" t="s">
        <v>191</v>
      </c>
      <c r="F90" s="11" t="s">
        <v>246</v>
      </c>
      <c r="G90" s="18" t="s">
        <v>247</v>
      </c>
      <c r="H90" s="11" t="s">
        <v>248</v>
      </c>
      <c r="I90" s="87" t="s">
        <v>249</v>
      </c>
      <c r="J90" s="19" t="s">
        <v>139</v>
      </c>
      <c r="K90" s="17" t="s">
        <v>140</v>
      </c>
      <c r="L90" s="260">
        <v>1</v>
      </c>
      <c r="M90" s="70" t="s">
        <v>250</v>
      </c>
      <c r="N90" s="70">
        <v>80</v>
      </c>
      <c r="O90" s="258">
        <v>8</v>
      </c>
      <c r="P90" s="70" t="s">
        <v>251</v>
      </c>
      <c r="Q90" s="70" t="s">
        <v>233</v>
      </c>
      <c r="R90" s="70" t="s">
        <v>240</v>
      </c>
      <c r="S90" s="70" t="s">
        <v>233</v>
      </c>
      <c r="T90" s="70" t="s">
        <v>233</v>
      </c>
      <c r="U90" s="70" t="s">
        <v>1427</v>
      </c>
      <c r="V90" s="70" t="s">
        <v>240</v>
      </c>
      <c r="W90" s="12"/>
      <c r="X90" s="242">
        <v>447.8599999999999</v>
      </c>
      <c r="Y90" s="242">
        <v>551.66</v>
      </c>
      <c r="Z90" s="242">
        <v>105.56</v>
      </c>
      <c r="AA90" s="157" t="s">
        <v>252</v>
      </c>
      <c r="AB90" s="242">
        <v>42.9</v>
      </c>
      <c r="AC90" s="157" t="s">
        <v>252</v>
      </c>
      <c r="AD90" s="242">
        <v>66.010000000000005</v>
      </c>
      <c r="AE90" s="157" t="s">
        <v>252</v>
      </c>
      <c r="AF90" s="242">
        <v>39.6</v>
      </c>
      <c r="AG90" s="157" t="s">
        <v>252</v>
      </c>
      <c r="AH90" s="242">
        <v>24.02</v>
      </c>
      <c r="AI90" s="157" t="s">
        <v>252</v>
      </c>
      <c r="AJ90" s="242">
        <v>11.55</v>
      </c>
      <c r="AK90" s="242" t="s">
        <v>252</v>
      </c>
      <c r="AL90" s="242">
        <v>12.4</v>
      </c>
      <c r="AM90" s="242" t="s">
        <v>252</v>
      </c>
      <c r="AN90" s="242">
        <v>15.35</v>
      </c>
      <c r="AO90" s="242" t="s">
        <v>252</v>
      </c>
      <c r="AP90" s="242">
        <v>19.190000000000001</v>
      </c>
      <c r="AQ90" s="242" t="s">
        <v>252</v>
      </c>
      <c r="AR90" s="242">
        <v>55.55</v>
      </c>
      <c r="AS90" s="242" t="s">
        <v>252</v>
      </c>
      <c r="AT90" s="242">
        <v>36.92</v>
      </c>
      <c r="AU90" s="242" t="s">
        <v>252</v>
      </c>
      <c r="AV90" s="242">
        <v>49.16</v>
      </c>
      <c r="AW90" s="157" t="s">
        <v>252</v>
      </c>
      <c r="AX90" s="157">
        <v>1477.73</v>
      </c>
      <c r="AY90" s="240">
        <v>0.18</v>
      </c>
      <c r="AZ90" s="156" t="s">
        <v>253</v>
      </c>
      <c r="BA90" s="156" t="s">
        <v>254</v>
      </c>
      <c r="BB90" s="156">
        <v>1</v>
      </c>
      <c r="BC90" s="156" t="s">
        <v>1423</v>
      </c>
      <c r="BD90" s="3"/>
    </row>
    <row r="91" spans="1:56" ht="15.75" hidden="1" customHeight="1" outlineLevel="1">
      <c r="A91" s="58">
        <v>81</v>
      </c>
      <c r="B91" s="11">
        <v>129081</v>
      </c>
      <c r="C91" s="89" t="s">
        <v>266</v>
      </c>
      <c r="D91" s="157">
        <v>24</v>
      </c>
      <c r="E91" s="12" t="s">
        <v>191</v>
      </c>
      <c r="F91" s="11" t="s">
        <v>246</v>
      </c>
      <c r="G91" s="18" t="s">
        <v>247</v>
      </c>
      <c r="H91" s="11" t="s">
        <v>248</v>
      </c>
      <c r="I91" s="87" t="s">
        <v>249</v>
      </c>
      <c r="J91" s="19" t="s">
        <v>139</v>
      </c>
      <c r="K91" s="17" t="s">
        <v>140</v>
      </c>
      <c r="L91" s="257">
        <v>0</v>
      </c>
      <c r="M91" s="70" t="s">
        <v>250</v>
      </c>
      <c r="N91" s="70">
        <v>100</v>
      </c>
      <c r="O91" s="258">
        <v>8</v>
      </c>
      <c r="P91" s="70" t="s">
        <v>251</v>
      </c>
      <c r="Q91" s="70" t="s">
        <v>233</v>
      </c>
      <c r="R91" s="70" t="s">
        <v>240</v>
      </c>
      <c r="S91" s="70" t="s">
        <v>233</v>
      </c>
      <c r="T91" s="70" t="s">
        <v>233</v>
      </c>
      <c r="U91" s="70" t="s">
        <v>1427</v>
      </c>
      <c r="V91" s="70" t="s">
        <v>240</v>
      </c>
      <c r="W91" s="12"/>
      <c r="X91" s="242">
        <v>225.46792781133158</v>
      </c>
      <c r="Y91" s="242">
        <v>253.80648691400629</v>
      </c>
      <c r="Z91" s="242">
        <v>45.620478861087143</v>
      </c>
      <c r="AA91" s="157" t="s">
        <v>252</v>
      </c>
      <c r="AB91" s="242">
        <v>22.31627696289905</v>
      </c>
      <c r="AC91" s="157" t="s">
        <v>252</v>
      </c>
      <c r="AD91" s="242">
        <v>32.371458153580676</v>
      </c>
      <c r="AE91" s="157" t="s">
        <v>252</v>
      </c>
      <c r="AF91" s="242">
        <v>18.463820822548175</v>
      </c>
      <c r="AG91" s="157" t="s">
        <v>252</v>
      </c>
      <c r="AH91" s="242">
        <v>10.984462180040266</v>
      </c>
      <c r="AI91" s="157" t="s">
        <v>252</v>
      </c>
      <c r="AJ91" s="242">
        <v>6.8748748921484042</v>
      </c>
      <c r="AK91" s="242" t="s">
        <v>252</v>
      </c>
      <c r="AL91" s="242">
        <v>6.8793859649122808</v>
      </c>
      <c r="AM91" s="242" t="s">
        <v>252</v>
      </c>
      <c r="AN91" s="242">
        <v>7.4703364969801553</v>
      </c>
      <c r="AO91" s="242" t="s">
        <v>252</v>
      </c>
      <c r="AP91" s="242">
        <v>10.186002300834051</v>
      </c>
      <c r="AQ91" s="242" t="s">
        <v>252</v>
      </c>
      <c r="AR91" s="242">
        <v>23.353823698590741</v>
      </c>
      <c r="AS91" s="242" t="s">
        <v>252</v>
      </c>
      <c r="AT91" s="242">
        <v>17.890914581535807</v>
      </c>
      <c r="AU91" s="242" t="s">
        <v>252</v>
      </c>
      <c r="AV91" s="242">
        <v>22.284699453551912</v>
      </c>
      <c r="AW91" s="157" t="s">
        <v>252</v>
      </c>
      <c r="AX91" s="157">
        <v>703.97094909404655</v>
      </c>
      <c r="AY91" s="240">
        <v>9.022145527753811E-2</v>
      </c>
      <c r="AZ91" s="156" t="s">
        <v>253</v>
      </c>
      <c r="BA91" s="156" t="s">
        <v>254</v>
      </c>
      <c r="BB91" s="156">
        <v>0</v>
      </c>
      <c r="BC91" s="156" t="s">
        <v>1423</v>
      </c>
      <c r="BD91" s="3"/>
    </row>
    <row r="92" spans="1:56" ht="15.75" hidden="1" customHeight="1" outlineLevel="1">
      <c r="A92" s="58">
        <v>82</v>
      </c>
      <c r="B92" s="11">
        <v>129082</v>
      </c>
      <c r="C92" s="89" t="s">
        <v>266</v>
      </c>
      <c r="D92" s="157">
        <v>24</v>
      </c>
      <c r="E92" s="12" t="s">
        <v>231</v>
      </c>
      <c r="F92" s="11" t="s">
        <v>246</v>
      </c>
      <c r="G92" s="18" t="s">
        <v>247</v>
      </c>
      <c r="H92" s="11" t="s">
        <v>248</v>
      </c>
      <c r="I92" s="87" t="s">
        <v>249</v>
      </c>
      <c r="J92" s="19" t="s">
        <v>139</v>
      </c>
      <c r="K92" s="17" t="s">
        <v>140</v>
      </c>
      <c r="L92" s="257">
        <v>0</v>
      </c>
      <c r="M92" s="70" t="s">
        <v>250</v>
      </c>
      <c r="N92" s="70">
        <v>100</v>
      </c>
      <c r="O92" s="258">
        <v>8</v>
      </c>
      <c r="P92" s="70" t="s">
        <v>251</v>
      </c>
      <c r="Q92" s="70" t="s">
        <v>233</v>
      </c>
      <c r="R92" s="70" t="s">
        <v>240</v>
      </c>
      <c r="S92" s="70" t="s">
        <v>233</v>
      </c>
      <c r="T92" s="70" t="s">
        <v>233</v>
      </c>
      <c r="U92" s="70" t="s">
        <v>1427</v>
      </c>
      <c r="V92" s="70" t="s">
        <v>240</v>
      </c>
      <c r="W92" s="12"/>
      <c r="X92" s="242">
        <v>274.34207218866828</v>
      </c>
      <c r="Y92" s="242">
        <v>308.82351308599357</v>
      </c>
      <c r="Z92" s="242">
        <v>55.509521138912838</v>
      </c>
      <c r="AA92" s="157" t="s">
        <v>252</v>
      </c>
      <c r="AB92" s="242">
        <v>27.153723037100942</v>
      </c>
      <c r="AC92" s="157" t="s">
        <v>252</v>
      </c>
      <c r="AD92" s="242">
        <v>39.388541846419322</v>
      </c>
      <c r="AE92" s="157" t="s">
        <v>252</v>
      </c>
      <c r="AF92" s="242">
        <v>22.466179177451821</v>
      </c>
      <c r="AG92" s="157" t="s">
        <v>252</v>
      </c>
      <c r="AH92" s="242">
        <v>13.365537819959734</v>
      </c>
      <c r="AI92" s="157" t="s">
        <v>252</v>
      </c>
      <c r="AJ92" s="242">
        <v>8.3651251078515951</v>
      </c>
      <c r="AK92" s="242" t="s">
        <v>252</v>
      </c>
      <c r="AL92" s="242">
        <v>8.3706140350877174</v>
      </c>
      <c r="AM92" s="242" t="s">
        <v>252</v>
      </c>
      <c r="AN92" s="242">
        <v>9.0896635030198425</v>
      </c>
      <c r="AO92" s="242" t="s">
        <v>252</v>
      </c>
      <c r="AP92" s="242">
        <v>12.393997699165944</v>
      </c>
      <c r="AQ92" s="242" t="s">
        <v>252</v>
      </c>
      <c r="AR92" s="242">
        <v>28.416176301409255</v>
      </c>
      <c r="AS92" s="242" t="s">
        <v>252</v>
      </c>
      <c r="AT92" s="242">
        <v>21.769085418464186</v>
      </c>
      <c r="AU92" s="242" t="s">
        <v>252</v>
      </c>
      <c r="AV92" s="242">
        <v>27.115300546448079</v>
      </c>
      <c r="AW92" s="157" t="s">
        <v>252</v>
      </c>
      <c r="AX92" s="157">
        <v>856.5690509059533</v>
      </c>
      <c r="AY92" s="243">
        <v>0.10977854472246187</v>
      </c>
      <c r="AZ92" s="156" t="s">
        <v>253</v>
      </c>
      <c r="BA92" s="156" t="s">
        <v>254</v>
      </c>
      <c r="BB92" s="156">
        <v>0</v>
      </c>
      <c r="BC92" s="156" t="s">
        <v>1423</v>
      </c>
      <c r="BD92" s="3"/>
    </row>
    <row r="93" spans="1:56" ht="15.75" hidden="1" customHeight="1" outlineLevel="1">
      <c r="A93" s="58">
        <v>83</v>
      </c>
      <c r="B93" s="11">
        <v>129083</v>
      </c>
      <c r="C93" s="89" t="s">
        <v>266</v>
      </c>
      <c r="D93" s="157">
        <v>4</v>
      </c>
      <c r="E93" s="12" t="s">
        <v>191</v>
      </c>
      <c r="F93" s="11" t="s">
        <v>246</v>
      </c>
      <c r="G93" s="18" t="s">
        <v>247</v>
      </c>
      <c r="H93" s="11" t="s">
        <v>248</v>
      </c>
      <c r="I93" s="87" t="s">
        <v>249</v>
      </c>
      <c r="J93" s="19" t="s">
        <v>139</v>
      </c>
      <c r="K93" s="17" t="s">
        <v>140</v>
      </c>
      <c r="L93" s="260">
        <v>1</v>
      </c>
      <c r="M93" s="70" t="s">
        <v>250</v>
      </c>
      <c r="N93" s="70">
        <v>100</v>
      </c>
      <c r="O93" s="258">
        <v>8</v>
      </c>
      <c r="P93" s="70" t="s">
        <v>251</v>
      </c>
      <c r="Q93" s="70" t="s">
        <v>233</v>
      </c>
      <c r="R93" s="70" t="s">
        <v>240</v>
      </c>
      <c r="S93" s="70" t="s">
        <v>233</v>
      </c>
      <c r="T93" s="70" t="s">
        <v>233</v>
      </c>
      <c r="U93" s="70" t="s">
        <v>1427</v>
      </c>
      <c r="V93" s="70" t="s">
        <v>240</v>
      </c>
      <c r="W93" s="12"/>
      <c r="X93" s="242">
        <v>866.87</v>
      </c>
      <c r="Y93" s="242">
        <v>821.27</v>
      </c>
      <c r="Z93" s="242">
        <v>97.31</v>
      </c>
      <c r="AA93" s="157" t="s">
        <v>252</v>
      </c>
      <c r="AB93" s="242">
        <v>106.12</v>
      </c>
      <c r="AC93" s="157" t="s">
        <v>252</v>
      </c>
      <c r="AD93" s="242">
        <v>128.46</v>
      </c>
      <c r="AE93" s="157" t="s">
        <v>252</v>
      </c>
      <c r="AF93" s="242">
        <v>76.52</v>
      </c>
      <c r="AG93" s="157" t="s">
        <v>252</v>
      </c>
      <c r="AH93" s="242">
        <v>24.5</v>
      </c>
      <c r="AI93" s="157" t="s">
        <v>252</v>
      </c>
      <c r="AJ93" s="242">
        <v>10.3</v>
      </c>
      <c r="AK93" s="242" t="s">
        <v>252</v>
      </c>
      <c r="AL93" s="242">
        <v>9.06</v>
      </c>
      <c r="AM93" s="242" t="s">
        <v>252</v>
      </c>
      <c r="AN93" s="242">
        <v>11.85</v>
      </c>
      <c r="AO93" s="242" t="s">
        <v>252</v>
      </c>
      <c r="AP93" s="242">
        <v>12.92</v>
      </c>
      <c r="AQ93" s="242" t="s">
        <v>252</v>
      </c>
      <c r="AR93" s="242">
        <v>69.209999999999994</v>
      </c>
      <c r="AS93" s="242" t="s">
        <v>252</v>
      </c>
      <c r="AT93" s="242">
        <v>90.95</v>
      </c>
      <c r="AU93" s="242" t="s">
        <v>252</v>
      </c>
      <c r="AV93" s="242">
        <v>98.57</v>
      </c>
      <c r="AW93" s="157" t="s">
        <v>252</v>
      </c>
      <c r="AX93" s="157">
        <v>2423.91</v>
      </c>
      <c r="AY93" s="240">
        <v>0.374</v>
      </c>
      <c r="AZ93" s="156" t="s">
        <v>253</v>
      </c>
      <c r="BA93" s="156" t="s">
        <v>254</v>
      </c>
      <c r="BB93" s="156">
        <v>1</v>
      </c>
      <c r="BC93" s="156" t="s">
        <v>1423</v>
      </c>
      <c r="BD93" s="3"/>
    </row>
    <row r="94" spans="1:56" ht="15.75" hidden="1" customHeight="1" outlineLevel="1">
      <c r="A94" s="58">
        <v>84</v>
      </c>
      <c r="B94" s="11">
        <v>129084</v>
      </c>
      <c r="C94" s="89" t="s">
        <v>266</v>
      </c>
      <c r="D94" s="157" t="s">
        <v>194</v>
      </c>
      <c r="E94" s="12" t="s">
        <v>191</v>
      </c>
      <c r="F94" s="11" t="s">
        <v>246</v>
      </c>
      <c r="G94" s="18" t="s">
        <v>247</v>
      </c>
      <c r="H94" s="11" t="s">
        <v>248</v>
      </c>
      <c r="I94" s="87" t="s">
        <v>249</v>
      </c>
      <c r="J94" s="19" t="s">
        <v>139</v>
      </c>
      <c r="K94" s="17" t="s">
        <v>140</v>
      </c>
      <c r="L94" s="260">
        <v>1</v>
      </c>
      <c r="M94" s="70" t="s">
        <v>250</v>
      </c>
      <c r="N94" s="70">
        <v>80</v>
      </c>
      <c r="O94" s="258">
        <v>8</v>
      </c>
      <c r="P94" s="70" t="s">
        <v>251</v>
      </c>
      <c r="Q94" s="70" t="s">
        <v>233</v>
      </c>
      <c r="R94" s="70" t="s">
        <v>240</v>
      </c>
      <c r="S94" s="70" t="s">
        <v>233</v>
      </c>
      <c r="T94" s="70" t="s">
        <v>233</v>
      </c>
      <c r="U94" s="70" t="s">
        <v>1427</v>
      </c>
      <c r="V94" s="70" t="s">
        <v>240</v>
      </c>
      <c r="W94" s="12"/>
      <c r="X94" s="242">
        <v>764.05967648710202</v>
      </c>
      <c r="Y94" s="242">
        <v>712.6882399051093</v>
      </c>
      <c r="Z94" s="242">
        <v>113.67550360822611</v>
      </c>
      <c r="AA94" s="157" t="s">
        <v>252</v>
      </c>
      <c r="AB94" s="242">
        <v>75.383468539525197</v>
      </c>
      <c r="AC94" s="157" t="s">
        <v>252</v>
      </c>
      <c r="AD94" s="242">
        <v>109.06392131174634</v>
      </c>
      <c r="AE94" s="157" t="s">
        <v>252</v>
      </c>
      <c r="AF94" s="242">
        <v>59.640480699818433</v>
      </c>
      <c r="AG94" s="157" t="s">
        <v>252</v>
      </c>
      <c r="AH94" s="242">
        <v>32.193615031804406</v>
      </c>
      <c r="AI94" s="157" t="s">
        <v>252</v>
      </c>
      <c r="AJ94" s="242">
        <v>8.4837212247308713</v>
      </c>
      <c r="AK94" s="242" t="s">
        <v>252</v>
      </c>
      <c r="AL94" s="242">
        <v>9.9546569572287265</v>
      </c>
      <c r="AM94" s="242" t="s">
        <v>252</v>
      </c>
      <c r="AN94" s="242">
        <v>7.3626296664487221</v>
      </c>
      <c r="AO94" s="242" t="s">
        <v>252</v>
      </c>
      <c r="AP94" s="242">
        <v>12.021917986685171</v>
      </c>
      <c r="AQ94" s="242" t="s">
        <v>252</v>
      </c>
      <c r="AR94" s="242">
        <v>68.481997102724449</v>
      </c>
      <c r="AS94" s="242" t="s">
        <v>252</v>
      </c>
      <c r="AT94" s="242">
        <v>61.548721650085916</v>
      </c>
      <c r="AU94" s="242" t="s">
        <v>252</v>
      </c>
      <c r="AV94" s="242">
        <v>62.717519232124751</v>
      </c>
      <c r="AW94" s="157" t="s">
        <v>252</v>
      </c>
      <c r="AX94" s="157">
        <v>2097.2760694033605</v>
      </c>
      <c r="AY94" s="240">
        <v>0.29418714649957095</v>
      </c>
      <c r="AZ94" s="156" t="s">
        <v>253</v>
      </c>
      <c r="BA94" s="156" t="s">
        <v>254</v>
      </c>
      <c r="BB94" s="156">
        <v>1</v>
      </c>
      <c r="BC94" s="156" t="s">
        <v>1423</v>
      </c>
      <c r="BD94" s="3"/>
    </row>
    <row r="95" spans="1:56" ht="15.75" hidden="1" customHeight="1" outlineLevel="1">
      <c r="A95" s="58">
        <v>85</v>
      </c>
      <c r="B95" s="11">
        <v>129085</v>
      </c>
      <c r="C95" s="89" t="s">
        <v>266</v>
      </c>
      <c r="D95" s="157" t="s">
        <v>194</v>
      </c>
      <c r="E95" s="12" t="s">
        <v>231</v>
      </c>
      <c r="F95" s="11" t="s">
        <v>246</v>
      </c>
      <c r="G95" s="18" t="s">
        <v>247</v>
      </c>
      <c r="H95" s="11" t="s">
        <v>248</v>
      </c>
      <c r="I95" s="87" t="s">
        <v>249</v>
      </c>
      <c r="J95" s="19" t="s">
        <v>139</v>
      </c>
      <c r="K95" s="17" t="s">
        <v>140</v>
      </c>
      <c r="L95" s="257">
        <v>0</v>
      </c>
      <c r="M95" s="70" t="s">
        <v>250</v>
      </c>
      <c r="N95" s="70">
        <v>100</v>
      </c>
      <c r="O95" s="258">
        <v>8</v>
      </c>
      <c r="P95" s="70" t="s">
        <v>251</v>
      </c>
      <c r="Q95" s="70" t="s">
        <v>233</v>
      </c>
      <c r="R95" s="70" t="s">
        <v>240</v>
      </c>
      <c r="S95" s="70" t="s">
        <v>233</v>
      </c>
      <c r="T95" s="70" t="s">
        <v>233</v>
      </c>
      <c r="U95" s="70" t="s">
        <v>1427</v>
      </c>
      <c r="V95" s="70" t="s">
        <v>240</v>
      </c>
      <c r="W95" s="12"/>
      <c r="X95" s="242">
        <v>196.90032351289798</v>
      </c>
      <c r="Y95" s="242">
        <v>183.66176009489064</v>
      </c>
      <c r="Z95" s="242">
        <v>29.294496391773876</v>
      </c>
      <c r="AA95" s="157" t="s">
        <v>252</v>
      </c>
      <c r="AB95" s="242">
        <v>19.426531460474795</v>
      </c>
      <c r="AC95" s="157" t="s">
        <v>252</v>
      </c>
      <c r="AD95" s="242">
        <v>28.106078688253636</v>
      </c>
      <c r="AE95" s="157" t="s">
        <v>252</v>
      </c>
      <c r="AF95" s="242">
        <v>15.369519300181567</v>
      </c>
      <c r="AG95" s="157" t="s">
        <v>252</v>
      </c>
      <c r="AH95" s="242">
        <v>8.2963849681955963</v>
      </c>
      <c r="AI95" s="157" t="s">
        <v>252</v>
      </c>
      <c r="AJ95" s="242">
        <v>2.1862787752691282</v>
      </c>
      <c r="AK95" s="242" t="s">
        <v>252</v>
      </c>
      <c r="AL95" s="242">
        <v>2.5653430427712731</v>
      </c>
      <c r="AM95" s="242" t="s">
        <v>252</v>
      </c>
      <c r="AN95" s="242">
        <v>1.897370333551277</v>
      </c>
      <c r="AO95" s="242" t="s">
        <v>252</v>
      </c>
      <c r="AP95" s="242">
        <v>3.0980820133148281</v>
      </c>
      <c r="AQ95" s="242" t="s">
        <v>252</v>
      </c>
      <c r="AR95" s="242">
        <v>17.648002897275539</v>
      </c>
      <c r="AS95" s="242" t="s">
        <v>252</v>
      </c>
      <c r="AT95" s="242">
        <v>15.861278349914077</v>
      </c>
      <c r="AU95" s="242" t="s">
        <v>252</v>
      </c>
      <c r="AV95" s="242">
        <v>16.162480767875241</v>
      </c>
      <c r="AW95" s="157" t="s">
        <v>252</v>
      </c>
      <c r="AX95" s="157">
        <v>540.47393059663943</v>
      </c>
      <c r="AY95" s="243">
        <v>7.5812853500429003E-2</v>
      </c>
      <c r="AZ95" s="156" t="s">
        <v>253</v>
      </c>
      <c r="BA95" s="156" t="s">
        <v>254</v>
      </c>
      <c r="BB95" s="156">
        <v>0</v>
      </c>
      <c r="BC95" s="156" t="s">
        <v>1423</v>
      </c>
      <c r="BD95" s="3"/>
    </row>
    <row r="96" spans="1:56" ht="15.75" hidden="1" customHeight="1" outlineLevel="1">
      <c r="A96" s="58">
        <v>86</v>
      </c>
      <c r="B96" s="11">
        <v>129086</v>
      </c>
      <c r="C96" s="89" t="s">
        <v>267</v>
      </c>
      <c r="D96" s="157">
        <v>10</v>
      </c>
      <c r="E96" s="12" t="s">
        <v>191</v>
      </c>
      <c r="F96" s="11" t="s">
        <v>246</v>
      </c>
      <c r="G96" s="18" t="s">
        <v>247</v>
      </c>
      <c r="H96" s="11" t="s">
        <v>248</v>
      </c>
      <c r="I96" s="87" t="s">
        <v>249</v>
      </c>
      <c r="J96" s="19" t="s">
        <v>139</v>
      </c>
      <c r="K96" s="17" t="s">
        <v>140</v>
      </c>
      <c r="L96" s="260">
        <v>1</v>
      </c>
      <c r="M96" s="70" t="s">
        <v>250</v>
      </c>
      <c r="N96" s="70">
        <v>100</v>
      </c>
      <c r="O96" s="258">
        <v>8</v>
      </c>
      <c r="P96" s="70" t="s">
        <v>251</v>
      </c>
      <c r="Q96" s="70" t="s">
        <v>233</v>
      </c>
      <c r="R96" s="70" t="s">
        <v>240</v>
      </c>
      <c r="S96" s="70" t="s">
        <v>233</v>
      </c>
      <c r="T96" s="70" t="s">
        <v>233</v>
      </c>
      <c r="U96" s="70" t="s">
        <v>1427</v>
      </c>
      <c r="V96" s="70" t="s">
        <v>240</v>
      </c>
      <c r="W96" s="12"/>
      <c r="X96" s="242">
        <v>296.33</v>
      </c>
      <c r="Y96" s="242">
        <v>267.45</v>
      </c>
      <c r="Z96" s="242">
        <v>47.87</v>
      </c>
      <c r="AA96" s="157" t="s">
        <v>252</v>
      </c>
      <c r="AB96" s="242">
        <v>35.270000000000003</v>
      </c>
      <c r="AC96" s="157" t="s">
        <v>252</v>
      </c>
      <c r="AD96" s="242">
        <v>43.49</v>
      </c>
      <c r="AE96" s="157" t="s">
        <v>252</v>
      </c>
      <c r="AF96" s="242">
        <v>18.43</v>
      </c>
      <c r="AG96" s="157" t="s">
        <v>252</v>
      </c>
      <c r="AH96" s="242">
        <v>4.9400000000000004</v>
      </c>
      <c r="AI96" s="157" t="s">
        <v>252</v>
      </c>
      <c r="AJ96" s="242">
        <v>1.3</v>
      </c>
      <c r="AK96" s="242" t="s">
        <v>252</v>
      </c>
      <c r="AL96" s="242">
        <v>1.57</v>
      </c>
      <c r="AM96" s="242" t="s">
        <v>252</v>
      </c>
      <c r="AN96" s="242">
        <v>1.2</v>
      </c>
      <c r="AO96" s="242" t="s">
        <v>252</v>
      </c>
      <c r="AP96" s="242">
        <v>2.63</v>
      </c>
      <c r="AQ96" s="242" t="s">
        <v>252</v>
      </c>
      <c r="AR96" s="242">
        <v>26.36</v>
      </c>
      <c r="AS96" s="242" t="s">
        <v>252</v>
      </c>
      <c r="AT96" s="242">
        <v>31.13</v>
      </c>
      <c r="AU96" s="242" t="s">
        <v>252</v>
      </c>
      <c r="AV96" s="242">
        <v>36.53</v>
      </c>
      <c r="AW96" s="157" t="s">
        <v>252</v>
      </c>
      <c r="AX96" s="157">
        <v>814.5</v>
      </c>
      <c r="AY96" s="240">
        <v>0.127</v>
      </c>
      <c r="AZ96" s="156" t="s">
        <v>253</v>
      </c>
      <c r="BA96" s="156" t="s">
        <v>254</v>
      </c>
      <c r="BB96" s="156">
        <v>1</v>
      </c>
      <c r="BC96" s="157" t="s">
        <v>255</v>
      </c>
      <c r="BD96" s="3"/>
    </row>
    <row r="97" spans="1:56" ht="15.75" hidden="1" customHeight="1" outlineLevel="1">
      <c r="A97" s="58">
        <v>87</v>
      </c>
      <c r="B97" s="11">
        <v>129087</v>
      </c>
      <c r="C97" s="89" t="s">
        <v>267</v>
      </c>
      <c r="D97" s="157">
        <v>14</v>
      </c>
      <c r="E97" s="12" t="s">
        <v>191</v>
      </c>
      <c r="F97" s="11" t="s">
        <v>246</v>
      </c>
      <c r="G97" s="18" t="s">
        <v>247</v>
      </c>
      <c r="H97" s="11" t="s">
        <v>248</v>
      </c>
      <c r="I97" s="87" t="s">
        <v>249</v>
      </c>
      <c r="J97" s="19" t="s">
        <v>139</v>
      </c>
      <c r="K97" s="17" t="s">
        <v>140</v>
      </c>
      <c r="L97" s="260">
        <v>1</v>
      </c>
      <c r="M97" s="70" t="s">
        <v>250</v>
      </c>
      <c r="N97" s="70">
        <v>100</v>
      </c>
      <c r="O97" s="258">
        <v>8</v>
      </c>
      <c r="P97" s="70" t="s">
        <v>251</v>
      </c>
      <c r="Q97" s="70" t="s">
        <v>233</v>
      </c>
      <c r="R97" s="70" t="s">
        <v>240</v>
      </c>
      <c r="S97" s="70" t="s">
        <v>233</v>
      </c>
      <c r="T97" s="70" t="s">
        <v>233</v>
      </c>
      <c r="U97" s="70" t="s">
        <v>1427</v>
      </c>
      <c r="V97" s="70" t="s">
        <v>240</v>
      </c>
      <c r="W97" s="12"/>
      <c r="X97" s="242">
        <v>724.27474567602758</v>
      </c>
      <c r="Y97" s="242">
        <v>670.13368049098017</v>
      </c>
      <c r="Z97" s="242">
        <v>113.21025339408592</v>
      </c>
      <c r="AA97" s="157" t="s">
        <v>252</v>
      </c>
      <c r="AB97" s="242">
        <v>89.218375023247162</v>
      </c>
      <c r="AC97" s="157" t="s">
        <v>252</v>
      </c>
      <c r="AD97" s="242">
        <v>113.7337953319695</v>
      </c>
      <c r="AE97" s="157" t="s">
        <v>252</v>
      </c>
      <c r="AF97" s="242">
        <v>66.119932350753203</v>
      </c>
      <c r="AG97" s="157" t="s">
        <v>252</v>
      </c>
      <c r="AH97" s="242">
        <v>33.563590756927653</v>
      </c>
      <c r="AI97" s="157" t="s">
        <v>252</v>
      </c>
      <c r="AJ97" s="242">
        <v>14.8526571508276</v>
      </c>
      <c r="AK97" s="242" t="s">
        <v>252</v>
      </c>
      <c r="AL97" s="242">
        <v>15.643660730890831</v>
      </c>
      <c r="AM97" s="242" t="s">
        <v>252</v>
      </c>
      <c r="AN97" s="242">
        <v>15.131500139482982</v>
      </c>
      <c r="AO97" s="242" t="s">
        <v>252</v>
      </c>
      <c r="AP97" s="242">
        <v>15.831452947740376</v>
      </c>
      <c r="AQ97" s="242" t="s">
        <v>252</v>
      </c>
      <c r="AR97" s="242">
        <v>78.468693276920206</v>
      </c>
      <c r="AS97" s="242" t="s">
        <v>252</v>
      </c>
      <c r="AT97" s="242">
        <v>59.28543379207737</v>
      </c>
      <c r="AU97" s="242" t="s">
        <v>252</v>
      </c>
      <c r="AV97" s="242">
        <v>84.375612097824074</v>
      </c>
      <c r="AW97" s="157" t="s">
        <v>252</v>
      </c>
      <c r="AX97" s="157">
        <v>2093.8433831597545</v>
      </c>
      <c r="AY97" s="240">
        <v>0.30160568160684398</v>
      </c>
      <c r="AZ97" s="156" t="s">
        <v>253</v>
      </c>
      <c r="BA97" s="156" t="s">
        <v>254</v>
      </c>
      <c r="BB97" s="156">
        <v>1</v>
      </c>
      <c r="BC97" s="156" t="s">
        <v>1423</v>
      </c>
      <c r="BD97" s="3"/>
    </row>
    <row r="98" spans="1:56" ht="15.75" hidden="1" customHeight="1" outlineLevel="1">
      <c r="A98" s="58">
        <v>88</v>
      </c>
      <c r="B98" s="11">
        <v>129088</v>
      </c>
      <c r="C98" s="89" t="s">
        <v>267</v>
      </c>
      <c r="D98" s="157">
        <v>14</v>
      </c>
      <c r="E98" s="12" t="s">
        <v>231</v>
      </c>
      <c r="F98" s="11" t="s">
        <v>246</v>
      </c>
      <c r="G98" s="18" t="s">
        <v>247</v>
      </c>
      <c r="H98" s="11" t="s">
        <v>248</v>
      </c>
      <c r="I98" s="87" t="s">
        <v>249</v>
      </c>
      <c r="J98" s="19" t="s">
        <v>139</v>
      </c>
      <c r="K98" s="17" t="s">
        <v>140</v>
      </c>
      <c r="L98" s="257">
        <v>0</v>
      </c>
      <c r="M98" s="70" t="s">
        <v>250</v>
      </c>
      <c r="N98" s="70">
        <v>80</v>
      </c>
      <c r="O98" s="258">
        <v>8</v>
      </c>
      <c r="P98" s="70" t="s">
        <v>251</v>
      </c>
      <c r="Q98" s="70" t="s">
        <v>233</v>
      </c>
      <c r="R98" s="70" t="s">
        <v>240</v>
      </c>
      <c r="S98" s="70" t="s">
        <v>233</v>
      </c>
      <c r="T98" s="70" t="s">
        <v>233</v>
      </c>
      <c r="U98" s="70" t="s">
        <v>1427</v>
      </c>
      <c r="V98" s="70" t="s">
        <v>240</v>
      </c>
      <c r="W98" s="12"/>
      <c r="X98" s="242">
        <v>548.46525432397243</v>
      </c>
      <c r="Y98" s="242">
        <v>507.46631950901991</v>
      </c>
      <c r="Z98" s="242">
        <v>85.729746605914073</v>
      </c>
      <c r="AA98" s="157" t="s">
        <v>252</v>
      </c>
      <c r="AB98" s="242">
        <v>67.561624976752825</v>
      </c>
      <c r="AC98" s="157" t="s">
        <v>252</v>
      </c>
      <c r="AD98" s="242">
        <v>86.126204668030496</v>
      </c>
      <c r="AE98" s="157" t="s">
        <v>252</v>
      </c>
      <c r="AF98" s="242">
        <v>50.070067649246788</v>
      </c>
      <c r="AG98" s="157" t="s">
        <v>252</v>
      </c>
      <c r="AH98" s="242">
        <v>25.416409243072341</v>
      </c>
      <c r="AI98" s="157" t="s">
        <v>252</v>
      </c>
      <c r="AJ98" s="242">
        <v>11.2473428491724</v>
      </c>
      <c r="AK98" s="242" t="s">
        <v>252</v>
      </c>
      <c r="AL98" s="242">
        <v>11.846339269109167</v>
      </c>
      <c r="AM98" s="242" t="s">
        <v>252</v>
      </c>
      <c r="AN98" s="242">
        <v>11.458499860517016</v>
      </c>
      <c r="AO98" s="242" t="s">
        <v>252</v>
      </c>
      <c r="AP98" s="242">
        <v>11.988547052259623</v>
      </c>
      <c r="AQ98" s="242" t="s">
        <v>252</v>
      </c>
      <c r="AR98" s="242">
        <v>59.421306723079773</v>
      </c>
      <c r="AS98" s="242" t="s">
        <v>252</v>
      </c>
      <c r="AT98" s="242">
        <v>44.89456620792263</v>
      </c>
      <c r="AU98" s="242" t="s">
        <v>252</v>
      </c>
      <c r="AV98" s="242">
        <v>63.894387902175929</v>
      </c>
      <c r="AW98" s="157" t="s">
        <v>252</v>
      </c>
      <c r="AX98" s="157">
        <v>1585.5866168402458</v>
      </c>
      <c r="AY98" s="243">
        <v>0.22839431839315602</v>
      </c>
      <c r="AZ98" s="156" t="s">
        <v>253</v>
      </c>
      <c r="BA98" s="156" t="s">
        <v>254</v>
      </c>
      <c r="BB98" s="156">
        <v>0</v>
      </c>
      <c r="BC98" s="156" t="s">
        <v>1423</v>
      </c>
      <c r="BD98" s="3"/>
    </row>
    <row r="99" spans="1:56" ht="15.75" hidden="1" customHeight="1" outlineLevel="1">
      <c r="A99" s="58">
        <v>89</v>
      </c>
      <c r="B99" s="11">
        <v>129089</v>
      </c>
      <c r="C99" s="89" t="s">
        <v>267</v>
      </c>
      <c r="D99" s="157">
        <v>16</v>
      </c>
      <c r="E99" s="12" t="s">
        <v>191</v>
      </c>
      <c r="F99" s="11" t="s">
        <v>246</v>
      </c>
      <c r="G99" s="18" t="s">
        <v>247</v>
      </c>
      <c r="H99" s="11" t="s">
        <v>248</v>
      </c>
      <c r="I99" s="87" t="s">
        <v>249</v>
      </c>
      <c r="J99" s="19" t="s">
        <v>139</v>
      </c>
      <c r="K99" s="17" t="s">
        <v>140</v>
      </c>
      <c r="L99" s="260">
        <v>1</v>
      </c>
      <c r="M99" s="70" t="s">
        <v>250</v>
      </c>
      <c r="N99" s="70">
        <v>80</v>
      </c>
      <c r="O99" s="258">
        <v>8</v>
      </c>
      <c r="P99" s="70" t="s">
        <v>251</v>
      </c>
      <c r="Q99" s="70" t="s">
        <v>233</v>
      </c>
      <c r="R99" s="70" t="s">
        <v>240</v>
      </c>
      <c r="S99" s="70" t="s">
        <v>233</v>
      </c>
      <c r="T99" s="70" t="s">
        <v>233</v>
      </c>
      <c r="U99" s="70" t="s">
        <v>1427</v>
      </c>
      <c r="V99" s="70" t="s">
        <v>240</v>
      </c>
      <c r="W99" s="12"/>
      <c r="X99" s="242">
        <v>712.41</v>
      </c>
      <c r="Y99" s="242">
        <v>687.87000000000012</v>
      </c>
      <c r="Z99" s="242">
        <v>119.45</v>
      </c>
      <c r="AA99" s="157" t="s">
        <v>252</v>
      </c>
      <c r="AB99" s="242">
        <v>84.54</v>
      </c>
      <c r="AC99" s="157" t="s">
        <v>252</v>
      </c>
      <c r="AD99" s="242">
        <v>113.78</v>
      </c>
      <c r="AE99" s="157" t="s">
        <v>252</v>
      </c>
      <c r="AF99" s="242">
        <v>68.48</v>
      </c>
      <c r="AG99" s="157" t="s">
        <v>252</v>
      </c>
      <c r="AH99" s="242">
        <v>23.42</v>
      </c>
      <c r="AI99" s="157" t="s">
        <v>252</v>
      </c>
      <c r="AJ99" s="242">
        <v>11.21</v>
      </c>
      <c r="AK99" s="242" t="s">
        <v>252</v>
      </c>
      <c r="AL99" s="242">
        <v>11.54</v>
      </c>
      <c r="AM99" s="242" t="s">
        <v>252</v>
      </c>
      <c r="AN99" s="242">
        <v>8.99</v>
      </c>
      <c r="AO99" s="242" t="s">
        <v>252</v>
      </c>
      <c r="AP99" s="242">
        <v>11.28</v>
      </c>
      <c r="AQ99" s="242" t="s">
        <v>252</v>
      </c>
      <c r="AR99" s="242">
        <v>80.94</v>
      </c>
      <c r="AS99" s="242" t="s">
        <v>252</v>
      </c>
      <c r="AT99" s="242">
        <v>73.989999999999995</v>
      </c>
      <c r="AU99" s="242" t="s">
        <v>252</v>
      </c>
      <c r="AV99" s="242">
        <v>77.09</v>
      </c>
      <c r="AW99" s="157" t="s">
        <v>252</v>
      </c>
      <c r="AX99" s="157">
        <v>2084.9900000000002</v>
      </c>
      <c r="AY99" s="240">
        <v>0.32</v>
      </c>
      <c r="AZ99" s="156" t="s">
        <v>253</v>
      </c>
      <c r="BA99" s="156" t="s">
        <v>254</v>
      </c>
      <c r="BB99" s="156">
        <v>1</v>
      </c>
      <c r="BC99" s="157" t="s">
        <v>255</v>
      </c>
      <c r="BD99" s="3"/>
    </row>
    <row r="100" spans="1:56" ht="15.75" hidden="1" customHeight="1" outlineLevel="1">
      <c r="A100" s="58">
        <v>90</v>
      </c>
      <c r="B100" s="11">
        <v>129090</v>
      </c>
      <c r="C100" s="89" t="s">
        <v>267</v>
      </c>
      <c r="D100" s="157">
        <v>19</v>
      </c>
      <c r="E100" s="12" t="s">
        <v>191</v>
      </c>
      <c r="F100" s="11" t="s">
        <v>246</v>
      </c>
      <c r="G100" s="18" t="s">
        <v>247</v>
      </c>
      <c r="H100" s="11" t="s">
        <v>248</v>
      </c>
      <c r="I100" s="87" t="s">
        <v>249</v>
      </c>
      <c r="J100" s="19" t="s">
        <v>139</v>
      </c>
      <c r="K100" s="17" t="s">
        <v>140</v>
      </c>
      <c r="L100" s="260">
        <v>1</v>
      </c>
      <c r="M100" s="70" t="s">
        <v>250</v>
      </c>
      <c r="N100" s="70">
        <v>80</v>
      </c>
      <c r="O100" s="258">
        <v>8</v>
      </c>
      <c r="P100" s="70" t="s">
        <v>251</v>
      </c>
      <c r="Q100" s="70" t="s">
        <v>233</v>
      </c>
      <c r="R100" s="70" t="s">
        <v>240</v>
      </c>
      <c r="S100" s="70" t="s">
        <v>233</v>
      </c>
      <c r="T100" s="70" t="s">
        <v>233</v>
      </c>
      <c r="U100" s="70" t="s">
        <v>1427</v>
      </c>
      <c r="V100" s="70" t="s">
        <v>240</v>
      </c>
      <c r="W100" s="12"/>
      <c r="X100" s="242">
        <v>241.89</v>
      </c>
      <c r="Y100" s="242">
        <v>219.14000000000001</v>
      </c>
      <c r="Z100" s="242">
        <v>37.47</v>
      </c>
      <c r="AA100" s="157" t="s">
        <v>252</v>
      </c>
      <c r="AB100" s="242">
        <v>25.8</v>
      </c>
      <c r="AC100" s="157" t="s">
        <v>252</v>
      </c>
      <c r="AD100" s="242">
        <v>34.29</v>
      </c>
      <c r="AE100" s="157" t="s">
        <v>252</v>
      </c>
      <c r="AF100" s="242">
        <v>17.850000000000001</v>
      </c>
      <c r="AG100" s="157" t="s">
        <v>252</v>
      </c>
      <c r="AH100" s="242">
        <v>10.88</v>
      </c>
      <c r="AI100" s="157" t="s">
        <v>252</v>
      </c>
      <c r="AJ100" s="242">
        <v>4.83</v>
      </c>
      <c r="AK100" s="242" t="s">
        <v>252</v>
      </c>
      <c r="AL100" s="242">
        <v>6.3</v>
      </c>
      <c r="AM100" s="242" t="s">
        <v>252</v>
      </c>
      <c r="AN100" s="242">
        <v>3.64</v>
      </c>
      <c r="AO100" s="242" t="s">
        <v>252</v>
      </c>
      <c r="AP100" s="242">
        <v>4.4800000000000004</v>
      </c>
      <c r="AQ100" s="242" t="s">
        <v>252</v>
      </c>
      <c r="AR100" s="242">
        <v>20.02</v>
      </c>
      <c r="AS100" s="242" t="s">
        <v>252</v>
      </c>
      <c r="AT100" s="242">
        <v>19.39</v>
      </c>
      <c r="AU100" s="242" t="s">
        <v>252</v>
      </c>
      <c r="AV100" s="242">
        <v>20.46</v>
      </c>
      <c r="AW100" s="157" t="s">
        <v>252</v>
      </c>
      <c r="AX100" s="157">
        <v>666.43999999999994</v>
      </c>
      <c r="AY100" s="240">
        <v>0.1</v>
      </c>
      <c r="AZ100" s="156" t="s">
        <v>253</v>
      </c>
      <c r="BA100" s="156" t="s">
        <v>254</v>
      </c>
      <c r="BB100" s="156">
        <v>1</v>
      </c>
      <c r="BC100" s="156" t="s">
        <v>1423</v>
      </c>
      <c r="BD100" s="3"/>
    </row>
    <row r="101" spans="1:56" ht="15.75" hidden="1" customHeight="1" outlineLevel="1">
      <c r="A101" s="58">
        <v>91</v>
      </c>
      <c r="B101" s="11">
        <v>129091</v>
      </c>
      <c r="C101" s="89" t="s">
        <v>267</v>
      </c>
      <c r="D101" s="157" t="s">
        <v>195</v>
      </c>
      <c r="E101" s="12" t="s">
        <v>191</v>
      </c>
      <c r="F101" s="11" t="s">
        <v>246</v>
      </c>
      <c r="G101" s="18" t="s">
        <v>247</v>
      </c>
      <c r="H101" s="11" t="s">
        <v>248</v>
      </c>
      <c r="I101" s="87" t="s">
        <v>249</v>
      </c>
      <c r="J101" s="19" t="s">
        <v>139</v>
      </c>
      <c r="K101" s="17" t="s">
        <v>140</v>
      </c>
      <c r="L101" s="260">
        <v>1</v>
      </c>
      <c r="M101" s="70" t="s">
        <v>250</v>
      </c>
      <c r="N101" s="70">
        <v>100</v>
      </c>
      <c r="O101" s="258">
        <v>8</v>
      </c>
      <c r="P101" s="70" t="s">
        <v>251</v>
      </c>
      <c r="Q101" s="70" t="s">
        <v>233</v>
      </c>
      <c r="R101" s="70" t="s">
        <v>240</v>
      </c>
      <c r="S101" s="70" t="s">
        <v>233</v>
      </c>
      <c r="T101" s="70" t="s">
        <v>233</v>
      </c>
      <c r="U101" s="70" t="s">
        <v>1427</v>
      </c>
      <c r="V101" s="70" t="s">
        <v>240</v>
      </c>
      <c r="W101" s="12"/>
      <c r="X101" s="242">
        <v>1095.5900000000001</v>
      </c>
      <c r="Y101" s="242">
        <v>895.8</v>
      </c>
      <c r="Z101" s="242">
        <v>150.75</v>
      </c>
      <c r="AA101" s="157" t="s">
        <v>252</v>
      </c>
      <c r="AB101" s="242">
        <v>128.54</v>
      </c>
      <c r="AC101" s="157" t="s">
        <v>252</v>
      </c>
      <c r="AD101" s="242">
        <v>121.68</v>
      </c>
      <c r="AE101" s="157" t="s">
        <v>252</v>
      </c>
      <c r="AF101" s="242">
        <v>63.41</v>
      </c>
      <c r="AG101" s="157" t="s">
        <v>252</v>
      </c>
      <c r="AH101" s="242">
        <v>53.1</v>
      </c>
      <c r="AI101" s="157" t="s">
        <v>252</v>
      </c>
      <c r="AJ101" s="242">
        <v>22.49</v>
      </c>
      <c r="AK101" s="242" t="s">
        <v>252</v>
      </c>
      <c r="AL101" s="242">
        <v>29.24</v>
      </c>
      <c r="AM101" s="242" t="s">
        <v>252</v>
      </c>
      <c r="AN101" s="242">
        <v>24.2</v>
      </c>
      <c r="AO101" s="242" t="s">
        <v>252</v>
      </c>
      <c r="AP101" s="242">
        <v>41.6</v>
      </c>
      <c r="AQ101" s="242" t="s">
        <v>252</v>
      </c>
      <c r="AR101" s="242">
        <v>74.67</v>
      </c>
      <c r="AS101" s="242" t="s">
        <v>252</v>
      </c>
      <c r="AT101" s="242">
        <v>64.17</v>
      </c>
      <c r="AU101" s="242" t="s">
        <v>252</v>
      </c>
      <c r="AV101" s="242">
        <v>81.53</v>
      </c>
      <c r="AW101" s="157" t="s">
        <v>252</v>
      </c>
      <c r="AX101" s="157">
        <v>2846.7699999999995</v>
      </c>
      <c r="AY101" s="240">
        <v>0.313</v>
      </c>
      <c r="AZ101" s="156" t="s">
        <v>253</v>
      </c>
      <c r="BA101" s="156" t="s">
        <v>254</v>
      </c>
      <c r="BB101" s="156">
        <v>1</v>
      </c>
      <c r="BC101" s="157" t="s">
        <v>255</v>
      </c>
      <c r="BD101" s="3"/>
    </row>
    <row r="102" spans="1:56" ht="15.75" hidden="1" customHeight="1" outlineLevel="1">
      <c r="A102" s="58">
        <v>92</v>
      </c>
      <c r="B102" s="11">
        <v>129092</v>
      </c>
      <c r="C102" s="89" t="s">
        <v>267</v>
      </c>
      <c r="D102" s="157">
        <v>3</v>
      </c>
      <c r="E102" s="12" t="s">
        <v>191</v>
      </c>
      <c r="F102" s="11" t="s">
        <v>246</v>
      </c>
      <c r="G102" s="18" t="s">
        <v>247</v>
      </c>
      <c r="H102" s="11" t="s">
        <v>248</v>
      </c>
      <c r="I102" s="87" t="s">
        <v>249</v>
      </c>
      <c r="J102" s="19" t="s">
        <v>139</v>
      </c>
      <c r="K102" s="17" t="s">
        <v>140</v>
      </c>
      <c r="L102" s="257">
        <v>0</v>
      </c>
      <c r="M102" s="70" t="s">
        <v>250</v>
      </c>
      <c r="N102" s="70">
        <v>100</v>
      </c>
      <c r="O102" s="258">
        <v>8</v>
      </c>
      <c r="P102" s="70" t="s">
        <v>251</v>
      </c>
      <c r="Q102" s="70" t="s">
        <v>233</v>
      </c>
      <c r="R102" s="70" t="s">
        <v>240</v>
      </c>
      <c r="S102" s="70" t="s">
        <v>233</v>
      </c>
      <c r="T102" s="70" t="s">
        <v>233</v>
      </c>
      <c r="U102" s="70" t="s">
        <v>1427</v>
      </c>
      <c r="V102" s="70" t="s">
        <v>240</v>
      </c>
      <c r="W102" s="12"/>
      <c r="X102" s="242">
        <v>469.46999999999997</v>
      </c>
      <c r="Y102" s="242">
        <v>445.20999999999992</v>
      </c>
      <c r="Z102" s="242">
        <v>54</v>
      </c>
      <c r="AA102" s="157" t="s">
        <v>252</v>
      </c>
      <c r="AB102" s="242">
        <v>58.89</v>
      </c>
      <c r="AC102" s="157" t="s">
        <v>252</v>
      </c>
      <c r="AD102" s="242">
        <v>71.19</v>
      </c>
      <c r="AE102" s="157" t="s">
        <v>252</v>
      </c>
      <c r="AF102" s="242">
        <v>42.57</v>
      </c>
      <c r="AG102" s="157" t="s">
        <v>252</v>
      </c>
      <c r="AH102" s="242">
        <v>13.91</v>
      </c>
      <c r="AI102" s="157" t="s">
        <v>252</v>
      </c>
      <c r="AJ102" s="242">
        <v>4.0199999999999996</v>
      </c>
      <c r="AK102" s="242" t="s">
        <v>252</v>
      </c>
      <c r="AL102" s="242">
        <v>3.49</v>
      </c>
      <c r="AM102" s="242" t="s">
        <v>252</v>
      </c>
      <c r="AN102" s="242">
        <v>3.55</v>
      </c>
      <c r="AO102" s="242" t="s">
        <v>252</v>
      </c>
      <c r="AP102" s="242">
        <v>5.12</v>
      </c>
      <c r="AQ102" s="242" t="s">
        <v>252</v>
      </c>
      <c r="AR102" s="242">
        <v>39.08</v>
      </c>
      <c r="AS102" s="242" t="s">
        <v>252</v>
      </c>
      <c r="AT102" s="242">
        <v>50.89</v>
      </c>
      <c r="AU102" s="242" t="s">
        <v>252</v>
      </c>
      <c r="AV102" s="242">
        <v>54.8</v>
      </c>
      <c r="AW102" s="157" t="s">
        <v>252</v>
      </c>
      <c r="AX102" s="157">
        <v>1316.1899999999998</v>
      </c>
      <c r="AY102" s="240">
        <v>0.216</v>
      </c>
      <c r="AZ102" s="156" t="s">
        <v>253</v>
      </c>
      <c r="BA102" s="156" t="s">
        <v>254</v>
      </c>
      <c r="BB102" s="156">
        <v>0</v>
      </c>
      <c r="BC102" s="156" t="s">
        <v>1423</v>
      </c>
      <c r="BD102" s="3"/>
    </row>
    <row r="103" spans="1:56" ht="15.75" hidden="1" customHeight="1" outlineLevel="1">
      <c r="A103" s="58">
        <v>93</v>
      </c>
      <c r="B103" s="11">
        <v>129093</v>
      </c>
      <c r="C103" s="89" t="s">
        <v>267</v>
      </c>
      <c r="D103" s="157" t="s">
        <v>196</v>
      </c>
      <c r="E103" s="12" t="s">
        <v>191</v>
      </c>
      <c r="F103" s="11" t="s">
        <v>246</v>
      </c>
      <c r="G103" s="18" t="s">
        <v>247</v>
      </c>
      <c r="H103" s="11" t="s">
        <v>248</v>
      </c>
      <c r="I103" s="87" t="s">
        <v>249</v>
      </c>
      <c r="J103" s="19" t="s">
        <v>139</v>
      </c>
      <c r="K103" s="17" t="s">
        <v>140</v>
      </c>
      <c r="L103" s="257">
        <v>0</v>
      </c>
      <c r="M103" s="70" t="s">
        <v>250</v>
      </c>
      <c r="N103" s="70">
        <v>100</v>
      </c>
      <c r="O103" s="258">
        <v>8</v>
      </c>
      <c r="P103" s="70" t="s">
        <v>251</v>
      </c>
      <c r="Q103" s="70" t="s">
        <v>233</v>
      </c>
      <c r="R103" s="70" t="s">
        <v>240</v>
      </c>
      <c r="S103" s="70" t="s">
        <v>233</v>
      </c>
      <c r="T103" s="70" t="s">
        <v>233</v>
      </c>
      <c r="U103" s="70" t="s">
        <v>1427</v>
      </c>
      <c r="V103" s="70" t="s">
        <v>240</v>
      </c>
      <c r="W103" s="12"/>
      <c r="X103" s="242">
        <v>639.56999999999994</v>
      </c>
      <c r="Y103" s="242">
        <v>600.25</v>
      </c>
      <c r="Z103" s="242">
        <v>96.27</v>
      </c>
      <c r="AA103" s="157" t="s">
        <v>252</v>
      </c>
      <c r="AB103" s="242">
        <v>63.79</v>
      </c>
      <c r="AC103" s="157" t="s">
        <v>252</v>
      </c>
      <c r="AD103" s="242">
        <v>92.28</v>
      </c>
      <c r="AE103" s="157" t="s">
        <v>252</v>
      </c>
      <c r="AF103" s="242">
        <v>50.36</v>
      </c>
      <c r="AG103" s="157" t="s">
        <v>252</v>
      </c>
      <c r="AH103" s="242">
        <v>27.34</v>
      </c>
      <c r="AI103" s="157" t="s">
        <v>252</v>
      </c>
      <c r="AJ103" s="242">
        <v>6.11</v>
      </c>
      <c r="AK103" s="242" t="s">
        <v>252</v>
      </c>
      <c r="AL103" s="242">
        <v>5.59</v>
      </c>
      <c r="AM103" s="242" t="s">
        <v>252</v>
      </c>
      <c r="AN103" s="242">
        <v>5.39</v>
      </c>
      <c r="AO103" s="242" t="s">
        <v>252</v>
      </c>
      <c r="AP103" s="242">
        <v>8.64</v>
      </c>
      <c r="AQ103" s="242" t="s">
        <v>252</v>
      </c>
      <c r="AR103" s="242">
        <v>58.44</v>
      </c>
      <c r="AS103" s="242" t="s">
        <v>252</v>
      </c>
      <c r="AT103" s="242">
        <v>52.41</v>
      </c>
      <c r="AU103" s="242" t="s">
        <v>252</v>
      </c>
      <c r="AV103" s="242">
        <v>53.02</v>
      </c>
      <c r="AW103" s="157" t="s">
        <v>252</v>
      </c>
      <c r="AX103" s="157">
        <v>1759.4599999999998</v>
      </c>
      <c r="AY103" s="240">
        <v>0.26</v>
      </c>
      <c r="AZ103" s="156" t="s">
        <v>253</v>
      </c>
      <c r="BA103" s="156" t="s">
        <v>254</v>
      </c>
      <c r="BB103" s="156">
        <v>0</v>
      </c>
      <c r="BC103" s="156" t="s">
        <v>1423</v>
      </c>
      <c r="BD103" s="3"/>
    </row>
    <row r="104" spans="1:56" ht="15.75" hidden="1" customHeight="1" outlineLevel="1">
      <c r="A104" s="58">
        <v>94</v>
      </c>
      <c r="B104" s="11">
        <v>129094</v>
      </c>
      <c r="C104" s="89" t="s">
        <v>268</v>
      </c>
      <c r="D104" s="157">
        <v>10</v>
      </c>
      <c r="E104" s="12" t="s">
        <v>191</v>
      </c>
      <c r="F104" s="11" t="s">
        <v>246</v>
      </c>
      <c r="G104" s="18" t="s">
        <v>247</v>
      </c>
      <c r="H104" s="11" t="s">
        <v>248</v>
      </c>
      <c r="I104" s="87" t="s">
        <v>249</v>
      </c>
      <c r="J104" s="19" t="s">
        <v>139</v>
      </c>
      <c r="K104" s="17" t="s">
        <v>140</v>
      </c>
      <c r="L104" s="260">
        <v>1</v>
      </c>
      <c r="M104" s="70" t="s">
        <v>250</v>
      </c>
      <c r="N104" s="70">
        <v>100</v>
      </c>
      <c r="O104" s="258">
        <v>8</v>
      </c>
      <c r="P104" s="70" t="s">
        <v>251</v>
      </c>
      <c r="Q104" s="70" t="s">
        <v>233</v>
      </c>
      <c r="R104" s="70" t="s">
        <v>240</v>
      </c>
      <c r="S104" s="70" t="s">
        <v>233</v>
      </c>
      <c r="T104" s="70" t="s">
        <v>233</v>
      </c>
      <c r="U104" s="70" t="s">
        <v>1427</v>
      </c>
      <c r="V104" s="70" t="s">
        <v>240</v>
      </c>
      <c r="W104" s="12"/>
      <c r="X104" s="242">
        <v>1270.3400000000001</v>
      </c>
      <c r="Y104" s="242">
        <v>1132.32</v>
      </c>
      <c r="Z104" s="242">
        <v>169</v>
      </c>
      <c r="AA104" s="157" t="s">
        <v>252</v>
      </c>
      <c r="AB104" s="242">
        <v>131.44</v>
      </c>
      <c r="AC104" s="157" t="s">
        <v>252</v>
      </c>
      <c r="AD104" s="242">
        <v>164.75</v>
      </c>
      <c r="AE104" s="157" t="s">
        <v>252</v>
      </c>
      <c r="AF104" s="242">
        <v>100.93</v>
      </c>
      <c r="AG104" s="157" t="s">
        <v>252</v>
      </c>
      <c r="AH104" s="242">
        <v>56.12</v>
      </c>
      <c r="AI104" s="157" t="s">
        <v>252</v>
      </c>
      <c r="AJ104" s="242">
        <v>22.46</v>
      </c>
      <c r="AK104" s="242" t="s">
        <v>252</v>
      </c>
      <c r="AL104" s="242">
        <v>17.489999999999998</v>
      </c>
      <c r="AM104" s="242" t="s">
        <v>252</v>
      </c>
      <c r="AN104" s="242">
        <v>17.77</v>
      </c>
      <c r="AO104" s="242" t="s">
        <v>252</v>
      </c>
      <c r="AP104" s="242">
        <v>25.06</v>
      </c>
      <c r="AQ104" s="242" t="s">
        <v>252</v>
      </c>
      <c r="AR104" s="242">
        <v>101.29</v>
      </c>
      <c r="AS104" s="242" t="s">
        <v>252</v>
      </c>
      <c r="AT104" s="242">
        <v>105.52</v>
      </c>
      <c r="AU104" s="242" t="s">
        <v>252</v>
      </c>
      <c r="AV104" s="242">
        <v>118.7</v>
      </c>
      <c r="AW104" s="157" t="s">
        <v>252</v>
      </c>
      <c r="AX104" s="157">
        <v>3433.1899999999991</v>
      </c>
      <c r="AY104" s="240">
        <v>0.5</v>
      </c>
      <c r="AZ104" s="156" t="s">
        <v>253</v>
      </c>
      <c r="BA104" s="156" t="s">
        <v>254</v>
      </c>
      <c r="BB104" s="156">
        <v>1</v>
      </c>
      <c r="BC104" s="157" t="s">
        <v>255</v>
      </c>
      <c r="BD104" s="3"/>
    </row>
    <row r="105" spans="1:56" ht="15.75" hidden="1" customHeight="1" outlineLevel="1">
      <c r="A105" s="58">
        <v>95</v>
      </c>
      <c r="B105" s="11">
        <v>129095</v>
      </c>
      <c r="C105" s="89" t="s">
        <v>268</v>
      </c>
      <c r="D105" s="157">
        <v>12</v>
      </c>
      <c r="E105" s="12" t="s">
        <v>191</v>
      </c>
      <c r="F105" s="11" t="s">
        <v>246</v>
      </c>
      <c r="G105" s="18" t="s">
        <v>247</v>
      </c>
      <c r="H105" s="11" t="s">
        <v>248</v>
      </c>
      <c r="I105" s="87" t="s">
        <v>249</v>
      </c>
      <c r="J105" s="19" t="s">
        <v>139</v>
      </c>
      <c r="K105" s="17" t="s">
        <v>140</v>
      </c>
      <c r="L105" s="257">
        <v>0</v>
      </c>
      <c r="M105" s="70" t="s">
        <v>250</v>
      </c>
      <c r="N105" s="70">
        <v>80</v>
      </c>
      <c r="O105" s="258">
        <v>8</v>
      </c>
      <c r="P105" s="70" t="s">
        <v>251</v>
      </c>
      <c r="Q105" s="70" t="s">
        <v>233</v>
      </c>
      <c r="R105" s="70" t="s">
        <v>240</v>
      </c>
      <c r="S105" s="70" t="s">
        <v>233</v>
      </c>
      <c r="T105" s="70" t="s">
        <v>233</v>
      </c>
      <c r="U105" s="70" t="s">
        <v>1427</v>
      </c>
      <c r="V105" s="70" t="s">
        <v>240</v>
      </c>
      <c r="W105" s="12"/>
      <c r="X105" s="242">
        <v>346.63</v>
      </c>
      <c r="Y105" s="242">
        <v>310.27</v>
      </c>
      <c r="Z105" s="242">
        <v>52.73</v>
      </c>
      <c r="AA105" s="157" t="s">
        <v>252</v>
      </c>
      <c r="AB105" s="242">
        <v>38.340000000000003</v>
      </c>
      <c r="AC105" s="157" t="s">
        <v>252</v>
      </c>
      <c r="AD105" s="242">
        <v>51.23</v>
      </c>
      <c r="AE105" s="157" t="s">
        <v>252</v>
      </c>
      <c r="AF105" s="242">
        <v>22.41</v>
      </c>
      <c r="AG105" s="157" t="s">
        <v>252</v>
      </c>
      <c r="AH105" s="242">
        <v>14.1</v>
      </c>
      <c r="AI105" s="157" t="s">
        <v>252</v>
      </c>
      <c r="AJ105" s="242">
        <v>4.34</v>
      </c>
      <c r="AK105" s="242" t="s">
        <v>252</v>
      </c>
      <c r="AL105" s="242">
        <v>3.61</v>
      </c>
      <c r="AM105" s="242" t="s">
        <v>252</v>
      </c>
      <c r="AN105" s="242">
        <v>4.22</v>
      </c>
      <c r="AO105" s="242" t="s">
        <v>252</v>
      </c>
      <c r="AP105" s="242">
        <v>5.39</v>
      </c>
      <c r="AQ105" s="242" t="s">
        <v>252</v>
      </c>
      <c r="AR105" s="242">
        <v>32.18</v>
      </c>
      <c r="AS105" s="242" t="s">
        <v>252</v>
      </c>
      <c r="AT105" s="242">
        <v>30.15</v>
      </c>
      <c r="AU105" s="242" t="s">
        <v>252</v>
      </c>
      <c r="AV105" s="242">
        <v>39.19</v>
      </c>
      <c r="AW105" s="157" t="s">
        <v>252</v>
      </c>
      <c r="AX105" s="157">
        <v>954.79</v>
      </c>
      <c r="AY105" s="240">
        <v>0.17</v>
      </c>
      <c r="AZ105" s="156" t="s">
        <v>253</v>
      </c>
      <c r="BA105" s="156" t="s">
        <v>254</v>
      </c>
      <c r="BB105" s="156">
        <v>0</v>
      </c>
      <c r="BC105" s="156" t="s">
        <v>1423</v>
      </c>
      <c r="BD105" s="3"/>
    </row>
    <row r="106" spans="1:56" ht="15.75" hidden="1" customHeight="1" outlineLevel="1">
      <c r="A106" s="58">
        <v>96</v>
      </c>
      <c r="B106" s="11">
        <v>129096</v>
      </c>
      <c r="C106" s="89" t="s">
        <v>268</v>
      </c>
      <c r="D106" s="157">
        <v>14</v>
      </c>
      <c r="E106" s="12" t="s">
        <v>191</v>
      </c>
      <c r="F106" s="11" t="s">
        <v>246</v>
      </c>
      <c r="G106" s="18" t="s">
        <v>247</v>
      </c>
      <c r="H106" s="11" t="s">
        <v>248</v>
      </c>
      <c r="I106" s="87" t="s">
        <v>249</v>
      </c>
      <c r="J106" s="19" t="s">
        <v>139</v>
      </c>
      <c r="K106" s="17" t="s">
        <v>140</v>
      </c>
      <c r="L106" s="260">
        <v>1</v>
      </c>
      <c r="M106" s="70" t="s">
        <v>250</v>
      </c>
      <c r="N106" s="70">
        <v>80</v>
      </c>
      <c r="O106" s="258">
        <v>8</v>
      </c>
      <c r="P106" s="70" t="s">
        <v>251</v>
      </c>
      <c r="Q106" s="70" t="s">
        <v>233</v>
      </c>
      <c r="R106" s="70" t="s">
        <v>240</v>
      </c>
      <c r="S106" s="70" t="s">
        <v>233</v>
      </c>
      <c r="T106" s="70" t="s">
        <v>233</v>
      </c>
      <c r="U106" s="70" t="s">
        <v>1427</v>
      </c>
      <c r="V106" s="70" t="s">
        <v>240</v>
      </c>
      <c r="W106" s="12"/>
      <c r="X106" s="242">
        <v>274.08</v>
      </c>
      <c r="Y106" s="242">
        <v>244.94</v>
      </c>
      <c r="Z106" s="242">
        <v>41.39</v>
      </c>
      <c r="AA106" s="157" t="s">
        <v>252</v>
      </c>
      <c r="AB106" s="242">
        <v>29.99</v>
      </c>
      <c r="AC106" s="157" t="s">
        <v>252</v>
      </c>
      <c r="AD106" s="242">
        <v>40.090000000000003</v>
      </c>
      <c r="AE106" s="157" t="s">
        <v>252</v>
      </c>
      <c r="AF106" s="242">
        <v>17.78</v>
      </c>
      <c r="AG106" s="157" t="s">
        <v>252</v>
      </c>
      <c r="AH106" s="242">
        <v>11.05</v>
      </c>
      <c r="AI106" s="157" t="s">
        <v>252</v>
      </c>
      <c r="AJ106" s="242">
        <v>3.3</v>
      </c>
      <c r="AK106" s="242" t="s">
        <v>252</v>
      </c>
      <c r="AL106" s="242">
        <v>2.77</v>
      </c>
      <c r="AM106" s="242" t="s">
        <v>252</v>
      </c>
      <c r="AN106" s="242">
        <v>3.13</v>
      </c>
      <c r="AO106" s="242" t="s">
        <v>252</v>
      </c>
      <c r="AP106" s="242">
        <v>4.1500000000000004</v>
      </c>
      <c r="AQ106" s="242" t="s">
        <v>252</v>
      </c>
      <c r="AR106" s="242">
        <v>25.29</v>
      </c>
      <c r="AS106" s="242" t="s">
        <v>252</v>
      </c>
      <c r="AT106" s="242">
        <v>23.67</v>
      </c>
      <c r="AU106" s="242" t="s">
        <v>252</v>
      </c>
      <c r="AV106" s="242">
        <v>30.63</v>
      </c>
      <c r="AW106" s="157" t="s">
        <v>252</v>
      </c>
      <c r="AX106" s="157">
        <v>752.25999999999976</v>
      </c>
      <c r="AY106" s="240">
        <v>0.13</v>
      </c>
      <c r="AZ106" s="156" t="s">
        <v>253</v>
      </c>
      <c r="BA106" s="156" t="s">
        <v>254</v>
      </c>
      <c r="BB106" s="156">
        <v>1</v>
      </c>
      <c r="BC106" s="156" t="s">
        <v>1423</v>
      </c>
      <c r="BD106" s="3"/>
    </row>
    <row r="107" spans="1:56" ht="15.75" hidden="1" customHeight="1" outlineLevel="1">
      <c r="A107" s="58">
        <v>97</v>
      </c>
      <c r="B107" s="11">
        <v>129097</v>
      </c>
      <c r="C107" s="89" t="s">
        <v>268</v>
      </c>
      <c r="D107" s="157" t="s">
        <v>197</v>
      </c>
      <c r="E107" s="12" t="s">
        <v>191</v>
      </c>
      <c r="F107" s="11" t="s">
        <v>246</v>
      </c>
      <c r="G107" s="18" t="s">
        <v>247</v>
      </c>
      <c r="H107" s="11" t="s">
        <v>248</v>
      </c>
      <c r="I107" s="87" t="s">
        <v>249</v>
      </c>
      <c r="J107" s="19" t="s">
        <v>139</v>
      </c>
      <c r="K107" s="17" t="s">
        <v>140</v>
      </c>
      <c r="L107" s="257">
        <v>0</v>
      </c>
      <c r="M107" s="70" t="s">
        <v>250</v>
      </c>
      <c r="N107" s="70">
        <v>80</v>
      </c>
      <c r="O107" s="258">
        <v>8</v>
      </c>
      <c r="P107" s="70" t="s">
        <v>251</v>
      </c>
      <c r="Q107" s="70" t="s">
        <v>233</v>
      </c>
      <c r="R107" s="70" t="s">
        <v>240</v>
      </c>
      <c r="S107" s="70" t="s">
        <v>233</v>
      </c>
      <c r="T107" s="70" t="s">
        <v>233</v>
      </c>
      <c r="U107" s="70" t="s">
        <v>1427</v>
      </c>
      <c r="V107" s="70" t="s">
        <v>240</v>
      </c>
      <c r="W107" s="12"/>
      <c r="X107" s="242">
        <v>1192.02</v>
      </c>
      <c r="Y107" s="242">
        <v>434.03</v>
      </c>
      <c r="Z107" s="242">
        <v>79.319999999999993</v>
      </c>
      <c r="AA107" s="157" t="s">
        <v>252</v>
      </c>
      <c r="AB107" s="242">
        <v>56.44</v>
      </c>
      <c r="AC107" s="157" t="s">
        <v>252</v>
      </c>
      <c r="AD107" s="242">
        <v>66.959999999999994</v>
      </c>
      <c r="AE107" s="157" t="s">
        <v>252</v>
      </c>
      <c r="AF107" s="242">
        <v>36.15</v>
      </c>
      <c r="AG107" s="157" t="s">
        <v>252</v>
      </c>
      <c r="AH107" s="242">
        <v>13.32</v>
      </c>
      <c r="AI107" s="157" t="s">
        <v>252</v>
      </c>
      <c r="AJ107" s="242">
        <v>2.91</v>
      </c>
      <c r="AK107" s="242" t="s">
        <v>252</v>
      </c>
      <c r="AL107" s="242">
        <v>1.95</v>
      </c>
      <c r="AM107" s="242" t="s">
        <v>252</v>
      </c>
      <c r="AN107" s="242">
        <v>12.96</v>
      </c>
      <c r="AO107" s="242" t="s">
        <v>252</v>
      </c>
      <c r="AP107" s="242">
        <v>3.01</v>
      </c>
      <c r="AQ107" s="242" t="s">
        <v>252</v>
      </c>
      <c r="AR107" s="242">
        <v>42.53</v>
      </c>
      <c r="AS107" s="242" t="s">
        <v>252</v>
      </c>
      <c r="AT107" s="242">
        <v>40.89</v>
      </c>
      <c r="AU107" s="242" t="s">
        <v>252</v>
      </c>
      <c r="AV107" s="242">
        <v>41.29</v>
      </c>
      <c r="AW107" s="157" t="s">
        <v>252</v>
      </c>
      <c r="AX107" s="157">
        <v>2023.7800000000002</v>
      </c>
      <c r="AY107" s="240">
        <v>0.51</v>
      </c>
      <c r="AZ107" s="156" t="s">
        <v>253</v>
      </c>
      <c r="BA107" s="156" t="s">
        <v>254</v>
      </c>
      <c r="BB107" s="156">
        <v>0</v>
      </c>
      <c r="BC107" s="156" t="s">
        <v>1423</v>
      </c>
      <c r="BD107" s="3"/>
    </row>
    <row r="108" spans="1:56" ht="15.75" hidden="1" customHeight="1" outlineLevel="1">
      <c r="A108" s="58">
        <v>98</v>
      </c>
      <c r="B108" s="11">
        <v>129098</v>
      </c>
      <c r="C108" s="89" t="s">
        <v>268</v>
      </c>
      <c r="D108" s="157">
        <v>4</v>
      </c>
      <c r="E108" s="12" t="s">
        <v>191</v>
      </c>
      <c r="F108" s="11" t="s">
        <v>246</v>
      </c>
      <c r="G108" s="18" t="s">
        <v>247</v>
      </c>
      <c r="H108" s="11" t="s">
        <v>248</v>
      </c>
      <c r="I108" s="87" t="s">
        <v>249</v>
      </c>
      <c r="J108" s="19" t="s">
        <v>139</v>
      </c>
      <c r="K108" s="17" t="s">
        <v>140</v>
      </c>
      <c r="L108" s="260">
        <v>1</v>
      </c>
      <c r="M108" s="70" t="s">
        <v>250</v>
      </c>
      <c r="N108" s="70">
        <v>100</v>
      </c>
      <c r="O108" s="258">
        <v>8</v>
      </c>
      <c r="P108" s="70" t="s">
        <v>251</v>
      </c>
      <c r="Q108" s="70" t="s">
        <v>233</v>
      </c>
      <c r="R108" s="70" t="s">
        <v>240</v>
      </c>
      <c r="S108" s="70" t="s">
        <v>233</v>
      </c>
      <c r="T108" s="70" t="s">
        <v>233</v>
      </c>
      <c r="U108" s="70" t="s">
        <v>1427</v>
      </c>
      <c r="V108" s="70" t="s">
        <v>240</v>
      </c>
      <c r="W108" s="12"/>
      <c r="X108" s="242">
        <v>1360.87</v>
      </c>
      <c r="Y108" s="242">
        <v>574.93999999999994</v>
      </c>
      <c r="Z108" s="242">
        <v>85.87</v>
      </c>
      <c r="AA108" s="157" t="s">
        <v>252</v>
      </c>
      <c r="AB108" s="242">
        <v>61.38</v>
      </c>
      <c r="AC108" s="157" t="s">
        <v>252</v>
      </c>
      <c r="AD108" s="242">
        <v>72.89</v>
      </c>
      <c r="AE108" s="157" t="s">
        <v>252</v>
      </c>
      <c r="AF108" s="242">
        <v>39.08</v>
      </c>
      <c r="AG108" s="157" t="s">
        <v>252</v>
      </c>
      <c r="AH108" s="242">
        <v>14.12</v>
      </c>
      <c r="AI108" s="157" t="s">
        <v>252</v>
      </c>
      <c r="AJ108" s="242">
        <v>4.6500000000000004</v>
      </c>
      <c r="AK108" s="242" t="s">
        <v>252</v>
      </c>
      <c r="AL108" s="242">
        <v>4.8600000000000003</v>
      </c>
      <c r="AM108" s="242" t="s">
        <v>252</v>
      </c>
      <c r="AN108" s="242">
        <v>11.71</v>
      </c>
      <c r="AO108" s="242" t="s">
        <v>252</v>
      </c>
      <c r="AP108" s="242">
        <v>5.04</v>
      </c>
      <c r="AQ108" s="242" t="s">
        <v>252</v>
      </c>
      <c r="AR108" s="242">
        <v>45.94</v>
      </c>
      <c r="AS108" s="242" t="s">
        <v>252</v>
      </c>
      <c r="AT108" s="242">
        <v>44.19</v>
      </c>
      <c r="AU108" s="242" t="s">
        <v>252</v>
      </c>
      <c r="AV108" s="242">
        <v>44.86</v>
      </c>
      <c r="AW108" s="157" t="s">
        <v>252</v>
      </c>
      <c r="AX108" s="157">
        <v>2370.4</v>
      </c>
      <c r="AY108" s="240">
        <v>0.52800000000000002</v>
      </c>
      <c r="AZ108" s="156" t="s">
        <v>253</v>
      </c>
      <c r="BA108" s="156" t="s">
        <v>254</v>
      </c>
      <c r="BB108" s="156">
        <v>2</v>
      </c>
      <c r="BC108" s="156" t="s">
        <v>1423</v>
      </c>
      <c r="BD108" s="3"/>
    </row>
    <row r="109" spans="1:56" ht="15.75" hidden="1" customHeight="1" outlineLevel="1">
      <c r="A109" s="58">
        <v>99</v>
      </c>
      <c r="B109" s="11">
        <v>129099</v>
      </c>
      <c r="C109" s="89" t="s">
        <v>268</v>
      </c>
      <c r="D109" s="157">
        <v>6</v>
      </c>
      <c r="E109" s="12" t="s">
        <v>191</v>
      </c>
      <c r="F109" s="11" t="s">
        <v>246</v>
      </c>
      <c r="G109" s="18" t="s">
        <v>247</v>
      </c>
      <c r="H109" s="11" t="s">
        <v>248</v>
      </c>
      <c r="I109" s="87" t="s">
        <v>249</v>
      </c>
      <c r="J109" s="19" t="s">
        <v>139</v>
      </c>
      <c r="K109" s="17" t="s">
        <v>140</v>
      </c>
      <c r="L109" s="257">
        <v>0</v>
      </c>
      <c r="M109" s="70" t="s">
        <v>250</v>
      </c>
      <c r="N109" s="70">
        <v>80</v>
      </c>
      <c r="O109" s="258">
        <v>8</v>
      </c>
      <c r="P109" s="70" t="s">
        <v>251</v>
      </c>
      <c r="Q109" s="70" t="s">
        <v>233</v>
      </c>
      <c r="R109" s="70" t="s">
        <v>240</v>
      </c>
      <c r="S109" s="70" t="s">
        <v>233</v>
      </c>
      <c r="T109" s="70" t="s">
        <v>233</v>
      </c>
      <c r="U109" s="70" t="s">
        <v>1427</v>
      </c>
      <c r="V109" s="70" t="s">
        <v>240</v>
      </c>
      <c r="W109" s="12"/>
      <c r="X109" s="242">
        <v>104.7</v>
      </c>
      <c r="Y109" s="242">
        <v>95.12</v>
      </c>
      <c r="Z109" s="242">
        <v>21.4</v>
      </c>
      <c r="AA109" s="157" t="s">
        <v>252</v>
      </c>
      <c r="AB109" s="242">
        <v>13.9</v>
      </c>
      <c r="AC109" s="157" t="s">
        <v>252</v>
      </c>
      <c r="AD109" s="242">
        <v>18.899999999999999</v>
      </c>
      <c r="AE109" s="157" t="s">
        <v>252</v>
      </c>
      <c r="AF109" s="242">
        <v>10.5</v>
      </c>
      <c r="AG109" s="157" t="s">
        <v>252</v>
      </c>
      <c r="AH109" s="242">
        <v>2.8</v>
      </c>
      <c r="AI109" s="157" t="s">
        <v>252</v>
      </c>
      <c r="AJ109" s="242">
        <v>0</v>
      </c>
      <c r="AK109" s="242" t="s">
        <v>252</v>
      </c>
      <c r="AL109" s="242">
        <v>1.54</v>
      </c>
      <c r="AM109" s="242" t="s">
        <v>252</v>
      </c>
      <c r="AN109" s="242">
        <v>0</v>
      </c>
      <c r="AO109" s="242" t="s">
        <v>252</v>
      </c>
      <c r="AP109" s="242">
        <v>0</v>
      </c>
      <c r="AQ109" s="242" t="s">
        <v>252</v>
      </c>
      <c r="AR109" s="242">
        <v>8.9</v>
      </c>
      <c r="AS109" s="242" t="s">
        <v>252</v>
      </c>
      <c r="AT109" s="242">
        <v>9.1999999999999993</v>
      </c>
      <c r="AU109" s="242" t="s">
        <v>252</v>
      </c>
      <c r="AV109" s="242">
        <v>9.6999999999999993</v>
      </c>
      <c r="AW109" s="157" t="s">
        <v>252</v>
      </c>
      <c r="AX109" s="157">
        <v>296.65999999999997</v>
      </c>
      <c r="AY109" s="240">
        <v>0.05</v>
      </c>
      <c r="AZ109" s="156" t="s">
        <v>253</v>
      </c>
      <c r="BA109" s="156" t="s">
        <v>254</v>
      </c>
      <c r="BB109" s="156">
        <v>0</v>
      </c>
      <c r="BC109" s="156" t="s">
        <v>1423</v>
      </c>
      <c r="BD109" s="3"/>
    </row>
    <row r="110" spans="1:56" ht="15.75" hidden="1" customHeight="1" outlineLevel="1">
      <c r="A110" s="58">
        <v>100</v>
      </c>
      <c r="B110" s="11">
        <v>129100</v>
      </c>
      <c r="C110" s="89" t="s">
        <v>268</v>
      </c>
      <c r="D110" s="157">
        <v>8</v>
      </c>
      <c r="E110" s="12" t="s">
        <v>191</v>
      </c>
      <c r="F110" s="11" t="s">
        <v>246</v>
      </c>
      <c r="G110" s="18" t="s">
        <v>247</v>
      </c>
      <c r="H110" s="11" t="s">
        <v>248</v>
      </c>
      <c r="I110" s="87" t="s">
        <v>249</v>
      </c>
      <c r="J110" s="19" t="s">
        <v>139</v>
      </c>
      <c r="K110" s="17" t="s">
        <v>140</v>
      </c>
      <c r="L110" s="260">
        <v>1</v>
      </c>
      <c r="M110" s="70" t="s">
        <v>250</v>
      </c>
      <c r="N110" s="70">
        <v>80</v>
      </c>
      <c r="O110" s="258">
        <v>8</v>
      </c>
      <c r="P110" s="70" t="s">
        <v>251</v>
      </c>
      <c r="Q110" s="70" t="s">
        <v>233</v>
      </c>
      <c r="R110" s="70" t="s">
        <v>240</v>
      </c>
      <c r="S110" s="70" t="s">
        <v>233</v>
      </c>
      <c r="T110" s="70" t="s">
        <v>233</v>
      </c>
      <c r="U110" s="70" t="s">
        <v>1427</v>
      </c>
      <c r="V110" s="70" t="s">
        <v>240</v>
      </c>
      <c r="W110" s="12"/>
      <c r="X110" s="242">
        <v>261.97907268011892</v>
      </c>
      <c r="Y110" s="242">
        <v>362.72071098741225</v>
      </c>
      <c r="Z110" s="242">
        <v>50.295540514896572</v>
      </c>
      <c r="AA110" s="157" t="s">
        <v>252</v>
      </c>
      <c r="AB110" s="242">
        <v>32.586240748940476</v>
      </c>
      <c r="AC110" s="157" t="s">
        <v>252</v>
      </c>
      <c r="AD110" s="242">
        <v>44.4708558416092</v>
      </c>
      <c r="AE110" s="157" t="s">
        <v>252</v>
      </c>
      <c r="AF110" s="242">
        <v>24.536131317603893</v>
      </c>
      <c r="AG110" s="157" t="s">
        <v>252</v>
      </c>
      <c r="AH110" s="242">
        <v>6.4269137832879997</v>
      </c>
      <c r="AI110" s="157" t="s">
        <v>252</v>
      </c>
      <c r="AJ110" s="242">
        <v>2.7900145486748049</v>
      </c>
      <c r="AK110" s="242" t="s">
        <v>252</v>
      </c>
      <c r="AL110" s="242">
        <v>3.3781289139097979</v>
      </c>
      <c r="AM110" s="242" t="s">
        <v>252</v>
      </c>
      <c r="AN110" s="242">
        <v>2.1219166297678536</v>
      </c>
      <c r="AO110" s="242" t="s">
        <v>252</v>
      </c>
      <c r="AP110" s="242">
        <v>2.9029325067999237</v>
      </c>
      <c r="AQ110" s="242" t="s">
        <v>252</v>
      </c>
      <c r="AR110" s="242">
        <v>20.405216016193304</v>
      </c>
      <c r="AS110" s="242" t="s">
        <v>252</v>
      </c>
      <c r="AT110" s="242">
        <v>21.172117148459737</v>
      </c>
      <c r="AU110" s="242" t="s">
        <v>252</v>
      </c>
      <c r="AV110" s="242">
        <v>22.611821114554999</v>
      </c>
      <c r="AW110" s="157" t="s">
        <v>252</v>
      </c>
      <c r="AX110" s="157">
        <v>858.39761275222986</v>
      </c>
      <c r="AY110" s="240">
        <v>0.10350812828135871</v>
      </c>
      <c r="AZ110" s="156" t="s">
        <v>253</v>
      </c>
      <c r="BA110" s="156" t="s">
        <v>254</v>
      </c>
      <c r="BB110" s="156">
        <v>1</v>
      </c>
      <c r="BC110" s="156" t="s">
        <v>1423</v>
      </c>
      <c r="BD110" s="3"/>
    </row>
    <row r="111" spans="1:56" ht="15.75" hidden="1" customHeight="1" outlineLevel="1">
      <c r="A111" s="58">
        <v>101</v>
      </c>
      <c r="B111" s="11">
        <v>129101</v>
      </c>
      <c r="C111" s="89" t="s">
        <v>268</v>
      </c>
      <c r="D111" s="157">
        <v>8</v>
      </c>
      <c r="E111" s="12" t="s">
        <v>231</v>
      </c>
      <c r="F111" s="11" t="s">
        <v>246</v>
      </c>
      <c r="G111" s="18" t="s">
        <v>247</v>
      </c>
      <c r="H111" s="11" t="s">
        <v>248</v>
      </c>
      <c r="I111" s="87" t="s">
        <v>249</v>
      </c>
      <c r="J111" s="19" t="s">
        <v>139</v>
      </c>
      <c r="K111" s="17" t="s">
        <v>140</v>
      </c>
      <c r="L111" s="257">
        <v>0</v>
      </c>
      <c r="M111" s="70" t="s">
        <v>250</v>
      </c>
      <c r="N111" s="70">
        <v>80</v>
      </c>
      <c r="O111" s="258">
        <v>8</v>
      </c>
      <c r="P111" s="70" t="s">
        <v>251</v>
      </c>
      <c r="Q111" s="70" t="s">
        <v>233</v>
      </c>
      <c r="R111" s="70" t="s">
        <v>240</v>
      </c>
      <c r="S111" s="70" t="s">
        <v>233</v>
      </c>
      <c r="T111" s="70" t="s">
        <v>233</v>
      </c>
      <c r="U111" s="70" t="s">
        <v>1427</v>
      </c>
      <c r="V111" s="70" t="s">
        <v>240</v>
      </c>
      <c r="W111" s="12"/>
      <c r="X111" s="242">
        <v>229.85687393257007</v>
      </c>
      <c r="Y111" s="242">
        <v>318.24621671199952</v>
      </c>
      <c r="Z111" s="242">
        <v>44.128622936302108</v>
      </c>
      <c r="AA111" s="157" t="s">
        <v>252</v>
      </c>
      <c r="AB111" s="242">
        <v>28.590724270984882</v>
      </c>
      <c r="AC111" s="157" t="s">
        <v>252</v>
      </c>
      <c r="AD111" s="242">
        <v>39.018123853501166</v>
      </c>
      <c r="AE111" s="157" t="s">
        <v>252</v>
      </c>
      <c r="AF111" s="242">
        <v>21.52766778417357</v>
      </c>
      <c r="AG111" s="157" t="s">
        <v>252</v>
      </c>
      <c r="AH111" s="242">
        <v>5.6388867101018407</v>
      </c>
      <c r="AI111" s="157" t="s">
        <v>252</v>
      </c>
      <c r="AJ111" s="242">
        <v>2.4479208046049714</v>
      </c>
      <c r="AK111" s="242" t="s">
        <v>252</v>
      </c>
      <c r="AL111" s="242">
        <v>2.963924346891011</v>
      </c>
      <c r="AM111" s="242" t="s">
        <v>252</v>
      </c>
      <c r="AN111" s="242">
        <v>1.8617407805680306</v>
      </c>
      <c r="AO111" s="242" t="s">
        <v>252</v>
      </c>
      <c r="AP111" s="242">
        <v>2.5469934847238913</v>
      </c>
      <c r="AQ111" s="242" t="s">
        <v>252</v>
      </c>
      <c r="AR111" s="242">
        <v>17.903258903156427</v>
      </c>
      <c r="AS111" s="242" t="s">
        <v>252</v>
      </c>
      <c r="AT111" s="242">
        <v>18.576127522297423</v>
      </c>
      <c r="AU111" s="242" t="s">
        <v>252</v>
      </c>
      <c r="AV111" s="242">
        <v>19.83930419381365</v>
      </c>
      <c r="AW111" s="157" t="s">
        <v>252</v>
      </c>
      <c r="AX111" s="157">
        <v>753.14638623568862</v>
      </c>
      <c r="AY111" s="243">
        <v>9.0816623442342967E-2</v>
      </c>
      <c r="AZ111" s="156" t="s">
        <v>253</v>
      </c>
      <c r="BA111" s="156" t="s">
        <v>254</v>
      </c>
      <c r="BB111" s="156">
        <v>0</v>
      </c>
      <c r="BC111" s="156" t="s">
        <v>1423</v>
      </c>
      <c r="BD111" s="3"/>
    </row>
    <row r="112" spans="1:56" ht="15.75" hidden="1" customHeight="1" outlineLevel="1">
      <c r="A112" s="58">
        <v>102</v>
      </c>
      <c r="B112" s="11">
        <v>129102</v>
      </c>
      <c r="C112" s="89" t="s">
        <v>268</v>
      </c>
      <c r="D112" s="157">
        <v>8</v>
      </c>
      <c r="E112" s="12" t="s">
        <v>260</v>
      </c>
      <c r="F112" s="11" t="s">
        <v>246</v>
      </c>
      <c r="G112" s="18" t="s">
        <v>247</v>
      </c>
      <c r="H112" s="11" t="s">
        <v>248</v>
      </c>
      <c r="I112" s="87" t="s">
        <v>249</v>
      </c>
      <c r="J112" s="19" t="s">
        <v>139</v>
      </c>
      <c r="K112" s="17" t="s">
        <v>140</v>
      </c>
      <c r="L112" s="257">
        <v>0</v>
      </c>
      <c r="M112" s="70" t="s">
        <v>250</v>
      </c>
      <c r="N112" s="70">
        <v>100</v>
      </c>
      <c r="O112" s="258">
        <v>8</v>
      </c>
      <c r="P112" s="70" t="s">
        <v>251</v>
      </c>
      <c r="Q112" s="70" t="s">
        <v>233</v>
      </c>
      <c r="R112" s="70" t="s">
        <v>240</v>
      </c>
      <c r="S112" s="70" t="s">
        <v>233</v>
      </c>
      <c r="T112" s="70" t="s">
        <v>233</v>
      </c>
      <c r="U112" s="70" t="s">
        <v>1427</v>
      </c>
      <c r="V112" s="70" t="s">
        <v>240</v>
      </c>
      <c r="W112" s="12"/>
      <c r="X112" s="242">
        <v>64.984053387311022</v>
      </c>
      <c r="Y112" s="242">
        <v>89.973072300588271</v>
      </c>
      <c r="Z112" s="242">
        <v>12.475836548801317</v>
      </c>
      <c r="AA112" s="157" t="s">
        <v>252</v>
      </c>
      <c r="AB112" s="242">
        <v>8.0830349800746415</v>
      </c>
      <c r="AC112" s="157" t="s">
        <v>252</v>
      </c>
      <c r="AD112" s="242">
        <v>11.031020304889619</v>
      </c>
      <c r="AE112" s="157" t="s">
        <v>252</v>
      </c>
      <c r="AF112" s="242">
        <v>6.0862008982225309</v>
      </c>
      <c r="AG112" s="157" t="s">
        <v>252</v>
      </c>
      <c r="AH112" s="242">
        <v>1.5941995066101586</v>
      </c>
      <c r="AI112" s="157" t="s">
        <v>252</v>
      </c>
      <c r="AJ112" s="242">
        <v>0.69206464672022261</v>
      </c>
      <c r="AK112" s="242" t="s">
        <v>252</v>
      </c>
      <c r="AL112" s="242">
        <v>0.83794673919919027</v>
      </c>
      <c r="AM112" s="242" t="s">
        <v>252</v>
      </c>
      <c r="AN112" s="242">
        <v>0.52634258966411529</v>
      </c>
      <c r="AO112" s="242" t="s">
        <v>252</v>
      </c>
      <c r="AP112" s="242">
        <v>0.72007400847618441</v>
      </c>
      <c r="AQ112" s="242" t="s">
        <v>252</v>
      </c>
      <c r="AR112" s="242">
        <v>5.0615250806502621</v>
      </c>
      <c r="AS112" s="242" t="s">
        <v>252</v>
      </c>
      <c r="AT112" s="242">
        <v>5.2517553292428358</v>
      </c>
      <c r="AU112" s="242" t="s">
        <v>252</v>
      </c>
      <c r="AV112" s="242">
        <v>5.6088746916313488</v>
      </c>
      <c r="AW112" s="157" t="s">
        <v>252</v>
      </c>
      <c r="AX112" s="157">
        <v>212.92600101208168</v>
      </c>
      <c r="AY112" s="243">
        <v>2.5675248276298308E-2</v>
      </c>
      <c r="AZ112" s="156" t="s">
        <v>253</v>
      </c>
      <c r="BA112" s="156" t="s">
        <v>254</v>
      </c>
      <c r="BB112" s="156">
        <v>0</v>
      </c>
      <c r="BC112" s="156" t="s">
        <v>1423</v>
      </c>
      <c r="BD112" s="3"/>
    </row>
    <row r="113" spans="1:56" ht="15.75" hidden="1" customHeight="1" outlineLevel="1">
      <c r="A113" s="58">
        <v>103</v>
      </c>
      <c r="B113" s="11">
        <v>129103</v>
      </c>
      <c r="C113" s="89" t="s">
        <v>268</v>
      </c>
      <c r="D113" s="157">
        <v>9</v>
      </c>
      <c r="E113" s="12" t="s">
        <v>191</v>
      </c>
      <c r="F113" s="11" t="s">
        <v>246</v>
      </c>
      <c r="G113" s="18" t="s">
        <v>247</v>
      </c>
      <c r="H113" s="11" t="s">
        <v>248</v>
      </c>
      <c r="I113" s="87" t="s">
        <v>249</v>
      </c>
      <c r="J113" s="19" t="s">
        <v>139</v>
      </c>
      <c r="K113" s="17" t="s">
        <v>140</v>
      </c>
      <c r="L113" s="257">
        <v>0</v>
      </c>
      <c r="M113" s="70" t="s">
        <v>250</v>
      </c>
      <c r="N113" s="70">
        <v>100</v>
      </c>
      <c r="O113" s="258">
        <v>8</v>
      </c>
      <c r="P113" s="70" t="s">
        <v>251</v>
      </c>
      <c r="Q113" s="70" t="s">
        <v>233</v>
      </c>
      <c r="R113" s="70" t="s">
        <v>240</v>
      </c>
      <c r="S113" s="70" t="s">
        <v>233</v>
      </c>
      <c r="T113" s="70" t="s">
        <v>233</v>
      </c>
      <c r="U113" s="70" t="s">
        <v>1427</v>
      </c>
      <c r="V113" s="70" t="s">
        <v>240</v>
      </c>
      <c r="W113" s="12"/>
      <c r="X113" s="242">
        <v>464.46</v>
      </c>
      <c r="Y113" s="242">
        <v>436.19</v>
      </c>
      <c r="Z113" s="242">
        <v>75.180000000000007</v>
      </c>
      <c r="AA113" s="157" t="s">
        <v>252</v>
      </c>
      <c r="AB113" s="242">
        <v>59.38</v>
      </c>
      <c r="AC113" s="157" t="s">
        <v>252</v>
      </c>
      <c r="AD113" s="242">
        <v>75.680000000000007</v>
      </c>
      <c r="AE113" s="157" t="s">
        <v>252</v>
      </c>
      <c r="AF113" s="242">
        <v>43.95</v>
      </c>
      <c r="AG113" s="157" t="s">
        <v>252</v>
      </c>
      <c r="AH113" s="242">
        <v>22.56</v>
      </c>
      <c r="AI113" s="157" t="s">
        <v>252</v>
      </c>
      <c r="AJ113" s="242">
        <v>8.17</v>
      </c>
      <c r="AK113" s="242" t="s">
        <v>252</v>
      </c>
      <c r="AL113" s="242">
        <v>7.38</v>
      </c>
      <c r="AM113" s="242" t="s">
        <v>252</v>
      </c>
      <c r="AN113" s="242">
        <v>8.3800000000000008</v>
      </c>
      <c r="AO113" s="242" t="s">
        <v>252</v>
      </c>
      <c r="AP113" s="242">
        <v>8.65</v>
      </c>
      <c r="AQ113" s="242" t="s">
        <v>252</v>
      </c>
      <c r="AR113" s="242">
        <v>53.04</v>
      </c>
      <c r="AS113" s="242" t="s">
        <v>252</v>
      </c>
      <c r="AT113" s="242">
        <v>39.79</v>
      </c>
      <c r="AU113" s="242" t="s">
        <v>252</v>
      </c>
      <c r="AV113" s="242">
        <v>56.22</v>
      </c>
      <c r="AW113" s="157" t="s">
        <v>252</v>
      </c>
      <c r="AX113" s="157">
        <v>1359.0300000000004</v>
      </c>
      <c r="AY113" s="240">
        <v>0.2</v>
      </c>
      <c r="AZ113" s="156" t="s">
        <v>253</v>
      </c>
      <c r="BA113" s="156" t="s">
        <v>254</v>
      </c>
      <c r="BB113" s="156">
        <v>0</v>
      </c>
      <c r="BC113" s="156" t="s">
        <v>1423</v>
      </c>
      <c r="BD113" s="3"/>
    </row>
    <row r="114" spans="1:56" ht="15.75" hidden="1" customHeight="1" outlineLevel="1">
      <c r="A114" s="58">
        <v>104</v>
      </c>
      <c r="B114" s="11">
        <v>129104</v>
      </c>
      <c r="C114" s="89" t="s">
        <v>269</v>
      </c>
      <c r="D114" s="157">
        <v>11</v>
      </c>
      <c r="E114" s="12" t="s">
        <v>191</v>
      </c>
      <c r="F114" s="11" t="s">
        <v>246</v>
      </c>
      <c r="G114" s="18" t="s">
        <v>247</v>
      </c>
      <c r="H114" s="11" t="s">
        <v>248</v>
      </c>
      <c r="I114" s="87" t="s">
        <v>249</v>
      </c>
      <c r="J114" s="19" t="s">
        <v>139</v>
      </c>
      <c r="K114" s="17" t="s">
        <v>140</v>
      </c>
      <c r="L114" s="260">
        <v>1</v>
      </c>
      <c r="M114" s="70" t="s">
        <v>250</v>
      </c>
      <c r="N114" s="70">
        <v>80</v>
      </c>
      <c r="O114" s="258">
        <v>8</v>
      </c>
      <c r="P114" s="70" t="s">
        <v>251</v>
      </c>
      <c r="Q114" s="70" t="s">
        <v>233</v>
      </c>
      <c r="R114" s="70" t="s">
        <v>240</v>
      </c>
      <c r="S114" s="70" t="s">
        <v>233</v>
      </c>
      <c r="T114" s="70" t="s">
        <v>233</v>
      </c>
      <c r="U114" s="70" t="s">
        <v>1427</v>
      </c>
      <c r="V114" s="70" t="s">
        <v>240</v>
      </c>
      <c r="W114" s="12"/>
      <c r="X114" s="242">
        <v>253.1</v>
      </c>
      <c r="Y114" s="242">
        <v>215.41000000000003</v>
      </c>
      <c r="Z114" s="242">
        <v>34.49</v>
      </c>
      <c r="AA114" s="157" t="s">
        <v>252</v>
      </c>
      <c r="AB114" s="242">
        <v>25.89</v>
      </c>
      <c r="AC114" s="157" t="s">
        <v>252</v>
      </c>
      <c r="AD114" s="242">
        <v>31.29</v>
      </c>
      <c r="AE114" s="157" t="s">
        <v>252</v>
      </c>
      <c r="AF114" s="242">
        <v>18.59</v>
      </c>
      <c r="AG114" s="157" t="s">
        <v>252</v>
      </c>
      <c r="AH114" s="242">
        <v>9.18</v>
      </c>
      <c r="AI114" s="157" t="s">
        <v>252</v>
      </c>
      <c r="AJ114" s="242">
        <v>2.36</v>
      </c>
      <c r="AK114" s="242" t="s">
        <v>252</v>
      </c>
      <c r="AL114" s="242">
        <v>3.1</v>
      </c>
      <c r="AM114" s="242" t="s">
        <v>252</v>
      </c>
      <c r="AN114" s="242">
        <v>2.0699999999999998</v>
      </c>
      <c r="AO114" s="242" t="s">
        <v>252</v>
      </c>
      <c r="AP114" s="242">
        <v>2.56</v>
      </c>
      <c r="AQ114" s="242" t="s">
        <v>252</v>
      </c>
      <c r="AR114" s="242">
        <v>21.22</v>
      </c>
      <c r="AS114" s="242" t="s">
        <v>252</v>
      </c>
      <c r="AT114" s="242">
        <v>19.93</v>
      </c>
      <c r="AU114" s="242" t="s">
        <v>252</v>
      </c>
      <c r="AV114" s="242">
        <v>22.52</v>
      </c>
      <c r="AW114" s="157" t="s">
        <v>252</v>
      </c>
      <c r="AX114" s="157">
        <v>661.70999999999992</v>
      </c>
      <c r="AY114" s="240">
        <v>9.0999999999999998E-2</v>
      </c>
      <c r="AZ114" s="156" t="s">
        <v>253</v>
      </c>
      <c r="BA114" s="156" t="s">
        <v>254</v>
      </c>
      <c r="BB114" s="156">
        <v>1</v>
      </c>
      <c r="BC114" s="156" t="s">
        <v>1423</v>
      </c>
      <c r="BD114" s="3"/>
    </row>
    <row r="115" spans="1:56" ht="15.75" hidden="1" customHeight="1" outlineLevel="1">
      <c r="A115" s="58">
        <v>105</v>
      </c>
      <c r="B115" s="11">
        <v>129105</v>
      </c>
      <c r="C115" s="89" t="s">
        <v>269</v>
      </c>
      <c r="D115" s="157" t="s">
        <v>198</v>
      </c>
      <c r="E115" s="12" t="s">
        <v>191</v>
      </c>
      <c r="F115" s="11" t="s">
        <v>246</v>
      </c>
      <c r="G115" s="18" t="s">
        <v>247</v>
      </c>
      <c r="H115" s="11" t="s">
        <v>248</v>
      </c>
      <c r="I115" s="87" t="s">
        <v>249</v>
      </c>
      <c r="J115" s="19" t="s">
        <v>139</v>
      </c>
      <c r="K115" s="17" t="s">
        <v>140</v>
      </c>
      <c r="L115" s="260">
        <v>1</v>
      </c>
      <c r="M115" s="70" t="s">
        <v>250</v>
      </c>
      <c r="N115" s="70">
        <v>80</v>
      </c>
      <c r="O115" s="258">
        <v>8</v>
      </c>
      <c r="P115" s="70" t="s">
        <v>251</v>
      </c>
      <c r="Q115" s="70" t="s">
        <v>233</v>
      </c>
      <c r="R115" s="70" t="s">
        <v>240</v>
      </c>
      <c r="S115" s="70" t="s">
        <v>233</v>
      </c>
      <c r="T115" s="70" t="s">
        <v>233</v>
      </c>
      <c r="U115" s="70" t="s">
        <v>1427</v>
      </c>
      <c r="V115" s="70" t="s">
        <v>240</v>
      </c>
      <c r="W115" s="12"/>
      <c r="X115" s="242">
        <v>346.48</v>
      </c>
      <c r="Y115" s="242">
        <v>280.21000000000004</v>
      </c>
      <c r="Z115" s="242">
        <v>56.4</v>
      </c>
      <c r="AA115" s="157" t="s">
        <v>252</v>
      </c>
      <c r="AB115" s="242">
        <v>37.799999999999997</v>
      </c>
      <c r="AC115" s="157" t="s">
        <v>252</v>
      </c>
      <c r="AD115" s="242">
        <v>47.8</v>
      </c>
      <c r="AE115" s="157" t="s">
        <v>252</v>
      </c>
      <c r="AF115" s="242">
        <v>29.19</v>
      </c>
      <c r="AG115" s="157" t="s">
        <v>252</v>
      </c>
      <c r="AH115" s="242">
        <v>4.22</v>
      </c>
      <c r="AI115" s="157" t="s">
        <v>252</v>
      </c>
      <c r="AJ115" s="242">
        <v>2.74</v>
      </c>
      <c r="AK115" s="242" t="s">
        <v>252</v>
      </c>
      <c r="AL115" s="242">
        <v>2</v>
      </c>
      <c r="AM115" s="242" t="s">
        <v>252</v>
      </c>
      <c r="AN115" s="242">
        <v>2.56</v>
      </c>
      <c r="AO115" s="242" t="s">
        <v>252</v>
      </c>
      <c r="AP115" s="242">
        <v>4.74</v>
      </c>
      <c r="AQ115" s="242" t="s">
        <v>252</v>
      </c>
      <c r="AR115" s="242">
        <v>27.65</v>
      </c>
      <c r="AS115" s="242" t="s">
        <v>252</v>
      </c>
      <c r="AT115" s="242">
        <v>27.16</v>
      </c>
      <c r="AU115" s="242" t="s">
        <v>252</v>
      </c>
      <c r="AV115" s="242">
        <v>32.979999999999997</v>
      </c>
      <c r="AW115" s="157" t="s">
        <v>252</v>
      </c>
      <c r="AX115" s="157">
        <v>901.93</v>
      </c>
      <c r="AY115" s="240">
        <v>0.13400000000000001</v>
      </c>
      <c r="AZ115" s="156" t="s">
        <v>253</v>
      </c>
      <c r="BA115" s="156" t="s">
        <v>254</v>
      </c>
      <c r="BB115" s="156">
        <v>1</v>
      </c>
      <c r="BC115" s="156" t="s">
        <v>1423</v>
      </c>
      <c r="BD115" s="3"/>
    </row>
    <row r="116" spans="1:56" ht="15.75" hidden="1" customHeight="1" outlineLevel="1">
      <c r="A116" s="58">
        <v>106</v>
      </c>
      <c r="B116" s="11">
        <v>129106</v>
      </c>
      <c r="C116" s="89" t="s">
        <v>269</v>
      </c>
      <c r="D116" s="157">
        <v>13</v>
      </c>
      <c r="E116" s="12" t="s">
        <v>191</v>
      </c>
      <c r="F116" s="11" t="s">
        <v>246</v>
      </c>
      <c r="G116" s="18" t="s">
        <v>247</v>
      </c>
      <c r="H116" s="11" t="s">
        <v>248</v>
      </c>
      <c r="I116" s="87" t="s">
        <v>249</v>
      </c>
      <c r="J116" s="19" t="s">
        <v>139</v>
      </c>
      <c r="K116" s="17" t="s">
        <v>140</v>
      </c>
      <c r="L116" s="257">
        <v>0</v>
      </c>
      <c r="M116" s="70" t="s">
        <v>250</v>
      </c>
      <c r="N116" s="70">
        <v>80</v>
      </c>
      <c r="O116" s="258">
        <v>8</v>
      </c>
      <c r="P116" s="70" t="s">
        <v>251</v>
      </c>
      <c r="Q116" s="70" t="s">
        <v>233</v>
      </c>
      <c r="R116" s="70" t="s">
        <v>240</v>
      </c>
      <c r="S116" s="70" t="s">
        <v>233</v>
      </c>
      <c r="T116" s="70" t="s">
        <v>233</v>
      </c>
      <c r="U116" s="70" t="s">
        <v>1427</v>
      </c>
      <c r="V116" s="70" t="s">
        <v>240</v>
      </c>
      <c r="W116" s="12"/>
      <c r="X116" s="242">
        <v>298.08406860724</v>
      </c>
      <c r="Y116" s="242">
        <v>226.96484703554052</v>
      </c>
      <c r="Z116" s="242">
        <v>36.085804403397383</v>
      </c>
      <c r="AA116" s="157" t="s">
        <v>252</v>
      </c>
      <c r="AB116" s="242">
        <v>27.500540117094086</v>
      </c>
      <c r="AC116" s="157" t="s">
        <v>252</v>
      </c>
      <c r="AD116" s="242">
        <v>36.085804403397383</v>
      </c>
      <c r="AE116" s="157" t="s">
        <v>252</v>
      </c>
      <c r="AF116" s="242">
        <v>21.684715923146694</v>
      </c>
      <c r="AG116" s="157" t="s">
        <v>252</v>
      </c>
      <c r="AH116" s="242">
        <v>8.3360146779912583</v>
      </c>
      <c r="AI116" s="157" t="s">
        <v>252</v>
      </c>
      <c r="AJ116" s="242">
        <v>2.7509771584068607</v>
      </c>
      <c r="AK116" s="242" t="s">
        <v>252</v>
      </c>
      <c r="AL116" s="242">
        <v>2.5017275500948295</v>
      </c>
      <c r="AM116" s="242" t="s">
        <v>252</v>
      </c>
      <c r="AN116" s="242">
        <v>2.5755792858909872</v>
      </c>
      <c r="AO116" s="242" t="s">
        <v>252</v>
      </c>
      <c r="AP116" s="242">
        <v>3.0094582336934113</v>
      </c>
      <c r="AQ116" s="242" t="s">
        <v>252</v>
      </c>
      <c r="AR116" s="242">
        <v>23.697175723591986</v>
      </c>
      <c r="AS116" s="242" t="s">
        <v>252</v>
      </c>
      <c r="AT116" s="242">
        <v>22.589399686649624</v>
      </c>
      <c r="AU116" s="242" t="s">
        <v>252</v>
      </c>
      <c r="AV116" s="242">
        <v>24.195674940216048</v>
      </c>
      <c r="AW116" s="157" t="s">
        <v>252</v>
      </c>
      <c r="AX116" s="157">
        <v>736.06178774635066</v>
      </c>
      <c r="AY116" s="240">
        <v>0.12000907066875567</v>
      </c>
      <c r="AZ116" s="156" t="s">
        <v>253</v>
      </c>
      <c r="BA116" s="156" t="s">
        <v>254</v>
      </c>
      <c r="BB116" s="156">
        <v>0</v>
      </c>
      <c r="BC116" s="156" t="s">
        <v>1423</v>
      </c>
      <c r="BD116" s="3"/>
    </row>
    <row r="117" spans="1:56" ht="15.75" hidden="1" customHeight="1" outlineLevel="1">
      <c r="A117" s="58">
        <v>107</v>
      </c>
      <c r="B117" s="11">
        <v>129107</v>
      </c>
      <c r="C117" s="89" t="s">
        <v>269</v>
      </c>
      <c r="D117" s="157">
        <v>13</v>
      </c>
      <c r="E117" s="12" t="s">
        <v>270</v>
      </c>
      <c r="F117" s="11" t="s">
        <v>246</v>
      </c>
      <c r="G117" s="18" t="s">
        <v>247</v>
      </c>
      <c r="H117" s="11" t="s">
        <v>248</v>
      </c>
      <c r="I117" s="87" t="s">
        <v>249</v>
      </c>
      <c r="J117" s="19" t="s">
        <v>139</v>
      </c>
      <c r="K117" s="17" t="s">
        <v>140</v>
      </c>
      <c r="L117" s="257">
        <v>0</v>
      </c>
      <c r="M117" s="70" t="s">
        <v>250</v>
      </c>
      <c r="N117" s="70">
        <v>100</v>
      </c>
      <c r="O117" s="258">
        <v>8</v>
      </c>
      <c r="P117" s="70" t="s">
        <v>251</v>
      </c>
      <c r="Q117" s="70" t="s">
        <v>233</v>
      </c>
      <c r="R117" s="70" t="s">
        <v>240</v>
      </c>
      <c r="S117" s="70" t="s">
        <v>233</v>
      </c>
      <c r="T117" s="70" t="s">
        <v>233</v>
      </c>
      <c r="U117" s="70" t="s">
        <v>1427</v>
      </c>
      <c r="V117" s="70" t="s">
        <v>240</v>
      </c>
      <c r="W117" s="12"/>
      <c r="X117" s="242">
        <v>24.815931392759953</v>
      </c>
      <c r="Y117" s="242">
        <v>18.89515296445947</v>
      </c>
      <c r="Z117" s="242">
        <v>3.0041955966026226</v>
      </c>
      <c r="AA117" s="157" t="s">
        <v>252</v>
      </c>
      <c r="AB117" s="242">
        <v>2.2894598829059123</v>
      </c>
      <c r="AC117" s="157" t="s">
        <v>252</v>
      </c>
      <c r="AD117" s="242">
        <v>3.0041955966026226</v>
      </c>
      <c r="AE117" s="157" t="s">
        <v>252</v>
      </c>
      <c r="AF117" s="242">
        <v>1.8052840768533023</v>
      </c>
      <c r="AG117" s="157" t="s">
        <v>252</v>
      </c>
      <c r="AH117" s="242">
        <v>0.69398532200874075</v>
      </c>
      <c r="AI117" s="157" t="s">
        <v>252</v>
      </c>
      <c r="AJ117" s="242">
        <v>0.22902284159313926</v>
      </c>
      <c r="AK117" s="242" t="s">
        <v>252</v>
      </c>
      <c r="AL117" s="242">
        <v>0.20827244990517027</v>
      </c>
      <c r="AM117" s="242" t="s">
        <v>252</v>
      </c>
      <c r="AN117" s="242">
        <v>0.21442071410901295</v>
      </c>
      <c r="AO117" s="242" t="s">
        <v>252</v>
      </c>
      <c r="AP117" s="242">
        <v>0.25054176630658859</v>
      </c>
      <c r="AQ117" s="242" t="s">
        <v>252</v>
      </c>
      <c r="AR117" s="242">
        <v>1.9728242764080153</v>
      </c>
      <c r="AS117" s="242" t="s">
        <v>252</v>
      </c>
      <c r="AT117" s="242">
        <v>1.880600313350375</v>
      </c>
      <c r="AU117" s="242" t="s">
        <v>252</v>
      </c>
      <c r="AV117" s="242">
        <v>2.0143250597839533</v>
      </c>
      <c r="AW117" s="157" t="s">
        <v>252</v>
      </c>
      <c r="AX117" s="157">
        <v>61.278212253648874</v>
      </c>
      <c r="AY117" s="243">
        <v>9.9909293312443314E-3</v>
      </c>
      <c r="AZ117" s="156" t="s">
        <v>253</v>
      </c>
      <c r="BA117" s="156" t="s">
        <v>254</v>
      </c>
      <c r="BB117" s="156">
        <v>0</v>
      </c>
      <c r="BC117" s="156" t="s">
        <v>1423</v>
      </c>
      <c r="BD117" s="3"/>
    </row>
    <row r="118" spans="1:56" ht="15.75" hidden="1" customHeight="1" outlineLevel="1">
      <c r="A118" s="58">
        <v>108</v>
      </c>
      <c r="B118" s="11">
        <v>129108</v>
      </c>
      <c r="C118" s="89" t="s">
        <v>269</v>
      </c>
      <c r="D118" s="157">
        <v>14</v>
      </c>
      <c r="E118" s="12" t="s">
        <v>191</v>
      </c>
      <c r="F118" s="11" t="s">
        <v>246</v>
      </c>
      <c r="G118" s="18" t="s">
        <v>247</v>
      </c>
      <c r="H118" s="11" t="s">
        <v>248</v>
      </c>
      <c r="I118" s="87" t="s">
        <v>249</v>
      </c>
      <c r="J118" s="19" t="s">
        <v>139</v>
      </c>
      <c r="K118" s="17" t="s">
        <v>140</v>
      </c>
      <c r="L118" s="260">
        <v>1</v>
      </c>
      <c r="M118" s="70" t="s">
        <v>250</v>
      </c>
      <c r="N118" s="70">
        <v>100</v>
      </c>
      <c r="O118" s="258">
        <v>8</v>
      </c>
      <c r="P118" s="70" t="s">
        <v>251</v>
      </c>
      <c r="Q118" s="70" t="s">
        <v>233</v>
      </c>
      <c r="R118" s="70" t="s">
        <v>240</v>
      </c>
      <c r="S118" s="70" t="s">
        <v>233</v>
      </c>
      <c r="T118" s="70" t="s">
        <v>233</v>
      </c>
      <c r="U118" s="70" t="s">
        <v>1427</v>
      </c>
      <c r="V118" s="70" t="s">
        <v>240</v>
      </c>
      <c r="W118" s="12"/>
      <c r="X118" s="242">
        <v>775.45</v>
      </c>
      <c r="Y118" s="242">
        <v>850.02</v>
      </c>
      <c r="Z118" s="242">
        <v>137.71</v>
      </c>
      <c r="AA118" s="157" t="s">
        <v>252</v>
      </c>
      <c r="AB118" s="242">
        <v>108.41</v>
      </c>
      <c r="AC118" s="157" t="s">
        <v>252</v>
      </c>
      <c r="AD118" s="242">
        <v>141.47</v>
      </c>
      <c r="AE118" s="157" t="s">
        <v>252</v>
      </c>
      <c r="AF118" s="242">
        <v>91.55</v>
      </c>
      <c r="AG118" s="157" t="s">
        <v>252</v>
      </c>
      <c r="AH118" s="242">
        <v>35.729999999999997</v>
      </c>
      <c r="AI118" s="157" t="s">
        <v>252</v>
      </c>
      <c r="AJ118" s="242">
        <v>19.32</v>
      </c>
      <c r="AK118" s="242" t="s">
        <v>252</v>
      </c>
      <c r="AL118" s="242">
        <v>14.96</v>
      </c>
      <c r="AM118" s="242" t="s">
        <v>252</v>
      </c>
      <c r="AN118" s="242">
        <v>20.48</v>
      </c>
      <c r="AO118" s="242" t="s">
        <v>252</v>
      </c>
      <c r="AP118" s="242">
        <v>19.04</v>
      </c>
      <c r="AQ118" s="242" t="s">
        <v>252</v>
      </c>
      <c r="AR118" s="242">
        <v>89.8</v>
      </c>
      <c r="AS118" s="242" t="s">
        <v>252</v>
      </c>
      <c r="AT118" s="242">
        <v>81.290000000000006</v>
      </c>
      <c r="AU118" s="242" t="s">
        <v>252</v>
      </c>
      <c r="AV118" s="242">
        <v>104.28</v>
      </c>
      <c r="AW118" s="157" t="s">
        <v>252</v>
      </c>
      <c r="AX118" s="157">
        <v>2489.5100000000007</v>
      </c>
      <c r="AY118" s="240">
        <v>0.34</v>
      </c>
      <c r="AZ118" s="156" t="s">
        <v>253</v>
      </c>
      <c r="BA118" s="156" t="s">
        <v>254</v>
      </c>
      <c r="BB118" s="156">
        <v>1</v>
      </c>
      <c r="BC118" s="156" t="s">
        <v>1423</v>
      </c>
      <c r="BD118" s="3"/>
    </row>
    <row r="119" spans="1:56" ht="15.75" hidden="1" customHeight="1" outlineLevel="1">
      <c r="A119" s="58">
        <v>109</v>
      </c>
      <c r="B119" s="11">
        <v>129109</v>
      </c>
      <c r="C119" s="89" t="s">
        <v>269</v>
      </c>
      <c r="D119" s="157">
        <v>15</v>
      </c>
      <c r="E119" s="12" t="s">
        <v>191</v>
      </c>
      <c r="F119" s="11" t="s">
        <v>246</v>
      </c>
      <c r="G119" s="18" t="s">
        <v>247</v>
      </c>
      <c r="H119" s="11" t="s">
        <v>248</v>
      </c>
      <c r="I119" s="87" t="s">
        <v>249</v>
      </c>
      <c r="J119" s="19" t="s">
        <v>139</v>
      </c>
      <c r="K119" s="17" t="s">
        <v>140</v>
      </c>
      <c r="L119" s="257">
        <v>0</v>
      </c>
      <c r="M119" s="70" t="s">
        <v>250</v>
      </c>
      <c r="N119" s="70">
        <v>100</v>
      </c>
      <c r="O119" s="258">
        <v>8</v>
      </c>
      <c r="P119" s="70" t="s">
        <v>251</v>
      </c>
      <c r="Q119" s="70" t="s">
        <v>233</v>
      </c>
      <c r="R119" s="70" t="s">
        <v>240</v>
      </c>
      <c r="S119" s="70" t="s">
        <v>233</v>
      </c>
      <c r="T119" s="70" t="s">
        <v>233</v>
      </c>
      <c r="U119" s="70" t="s">
        <v>1427</v>
      </c>
      <c r="V119" s="70" t="s">
        <v>240</v>
      </c>
      <c r="W119" s="12"/>
      <c r="X119" s="242">
        <v>211.66000000000003</v>
      </c>
      <c r="Y119" s="242">
        <v>155.58000000000001</v>
      </c>
      <c r="Z119" s="242">
        <v>25.5</v>
      </c>
      <c r="AA119" s="157" t="s">
        <v>252</v>
      </c>
      <c r="AB119" s="242">
        <v>19.399999999999999</v>
      </c>
      <c r="AC119" s="157" t="s">
        <v>252</v>
      </c>
      <c r="AD119" s="242">
        <v>25.5</v>
      </c>
      <c r="AE119" s="157" t="s">
        <v>252</v>
      </c>
      <c r="AF119" s="242">
        <v>15.29</v>
      </c>
      <c r="AG119" s="157" t="s">
        <v>252</v>
      </c>
      <c r="AH119" s="242">
        <v>6.06</v>
      </c>
      <c r="AI119" s="157" t="s">
        <v>252</v>
      </c>
      <c r="AJ119" s="242">
        <v>1.04</v>
      </c>
      <c r="AK119" s="242" t="s">
        <v>252</v>
      </c>
      <c r="AL119" s="242">
        <v>0.98</v>
      </c>
      <c r="AM119" s="242" t="s">
        <v>252</v>
      </c>
      <c r="AN119" s="242">
        <v>0.97</v>
      </c>
      <c r="AO119" s="242" t="s">
        <v>252</v>
      </c>
      <c r="AP119" s="242">
        <v>1.1299999999999999</v>
      </c>
      <c r="AQ119" s="242" t="s">
        <v>252</v>
      </c>
      <c r="AR119" s="242">
        <v>17</v>
      </c>
      <c r="AS119" s="242" t="s">
        <v>252</v>
      </c>
      <c r="AT119" s="242">
        <v>16.149999999999999</v>
      </c>
      <c r="AU119" s="242" t="s">
        <v>252</v>
      </c>
      <c r="AV119" s="242">
        <v>17.260000000000002</v>
      </c>
      <c r="AW119" s="157" t="s">
        <v>252</v>
      </c>
      <c r="AX119" s="157">
        <v>513.5200000000001</v>
      </c>
      <c r="AY119" s="240">
        <v>0.09</v>
      </c>
      <c r="AZ119" s="156" t="s">
        <v>253</v>
      </c>
      <c r="BA119" s="156" t="s">
        <v>254</v>
      </c>
      <c r="BB119" s="156">
        <v>0</v>
      </c>
      <c r="BC119" s="156" t="s">
        <v>1423</v>
      </c>
      <c r="BD119" s="3"/>
    </row>
    <row r="120" spans="1:56" ht="15.75" hidden="1" customHeight="1" outlineLevel="1">
      <c r="A120" s="58">
        <v>110</v>
      </c>
      <c r="B120" s="11">
        <v>129110</v>
      </c>
      <c r="C120" s="89" t="s">
        <v>269</v>
      </c>
      <c r="D120" s="157">
        <v>16</v>
      </c>
      <c r="E120" s="12" t="s">
        <v>191</v>
      </c>
      <c r="F120" s="11" t="s">
        <v>246</v>
      </c>
      <c r="G120" s="18" t="s">
        <v>247</v>
      </c>
      <c r="H120" s="11" t="s">
        <v>248</v>
      </c>
      <c r="I120" s="87" t="s">
        <v>249</v>
      </c>
      <c r="J120" s="19" t="s">
        <v>139</v>
      </c>
      <c r="K120" s="17" t="s">
        <v>140</v>
      </c>
      <c r="L120" s="257">
        <v>0</v>
      </c>
      <c r="M120" s="70" t="s">
        <v>250</v>
      </c>
      <c r="N120" s="70">
        <v>80</v>
      </c>
      <c r="O120" s="258">
        <v>8</v>
      </c>
      <c r="P120" s="70" t="s">
        <v>251</v>
      </c>
      <c r="Q120" s="70" t="s">
        <v>233</v>
      </c>
      <c r="R120" s="70" t="s">
        <v>240</v>
      </c>
      <c r="S120" s="70" t="s">
        <v>240</v>
      </c>
      <c r="T120" s="70" t="s">
        <v>240</v>
      </c>
      <c r="U120" s="70" t="s">
        <v>1427</v>
      </c>
      <c r="V120" s="70" t="s">
        <v>240</v>
      </c>
      <c r="W120" s="12"/>
      <c r="X120" s="242">
        <v>666.04</v>
      </c>
      <c r="Y120" s="242">
        <v>432.56000000000006</v>
      </c>
      <c r="Z120" s="242">
        <v>69.489999999999995</v>
      </c>
      <c r="AA120" s="157" t="s">
        <v>252</v>
      </c>
      <c r="AB120" s="242">
        <v>55.81</v>
      </c>
      <c r="AC120" s="157" t="s">
        <v>252</v>
      </c>
      <c r="AD120" s="242">
        <v>69.09</v>
      </c>
      <c r="AE120" s="157" t="s">
        <v>252</v>
      </c>
      <c r="AF120" s="242">
        <v>42.66</v>
      </c>
      <c r="AG120" s="157" t="s">
        <v>252</v>
      </c>
      <c r="AH120" s="242">
        <v>20.96</v>
      </c>
      <c r="AI120" s="157" t="s">
        <v>252</v>
      </c>
      <c r="AJ120" s="242">
        <v>7.78</v>
      </c>
      <c r="AK120" s="242" t="s">
        <v>252</v>
      </c>
      <c r="AL120" s="242">
        <v>6.43</v>
      </c>
      <c r="AM120" s="242" t="s">
        <v>252</v>
      </c>
      <c r="AN120" s="242">
        <v>6.2</v>
      </c>
      <c r="AO120" s="242" t="s">
        <v>252</v>
      </c>
      <c r="AP120" s="242">
        <v>8.25</v>
      </c>
      <c r="AQ120" s="242" t="s">
        <v>252</v>
      </c>
      <c r="AR120" s="242">
        <v>43.66</v>
      </c>
      <c r="AS120" s="242" t="s">
        <v>252</v>
      </c>
      <c r="AT120" s="242">
        <v>38.76</v>
      </c>
      <c r="AU120" s="242" t="s">
        <v>252</v>
      </c>
      <c r="AV120" s="242">
        <v>47.41</v>
      </c>
      <c r="AW120" s="157" t="s">
        <v>252</v>
      </c>
      <c r="AX120" s="157">
        <v>1515.1000000000001</v>
      </c>
      <c r="AY120" s="240">
        <v>0.1719</v>
      </c>
      <c r="AZ120" s="156" t="s">
        <v>253</v>
      </c>
      <c r="BA120" s="156" t="s">
        <v>254</v>
      </c>
      <c r="BB120" s="156">
        <v>0</v>
      </c>
      <c r="BC120" s="156" t="s">
        <v>1423</v>
      </c>
      <c r="BD120" s="3"/>
    </row>
    <row r="121" spans="1:56" ht="15.75" hidden="1" customHeight="1" outlineLevel="1">
      <c r="A121" s="58">
        <v>111</v>
      </c>
      <c r="B121" s="11">
        <v>129111</v>
      </c>
      <c r="C121" s="89" t="s">
        <v>269</v>
      </c>
      <c r="D121" s="157">
        <v>17</v>
      </c>
      <c r="E121" s="12" t="s">
        <v>191</v>
      </c>
      <c r="F121" s="11" t="s">
        <v>246</v>
      </c>
      <c r="G121" s="18" t="s">
        <v>247</v>
      </c>
      <c r="H121" s="11" t="s">
        <v>248</v>
      </c>
      <c r="I121" s="87" t="s">
        <v>249</v>
      </c>
      <c r="J121" s="19" t="s">
        <v>139</v>
      </c>
      <c r="K121" s="17" t="s">
        <v>140</v>
      </c>
      <c r="L121" s="260">
        <v>1</v>
      </c>
      <c r="M121" s="70" t="s">
        <v>250</v>
      </c>
      <c r="N121" s="70">
        <v>80</v>
      </c>
      <c r="O121" s="258">
        <v>8</v>
      </c>
      <c r="P121" s="70" t="s">
        <v>251</v>
      </c>
      <c r="Q121" s="70" t="s">
        <v>233</v>
      </c>
      <c r="R121" s="70" t="s">
        <v>240</v>
      </c>
      <c r="S121" s="70" t="s">
        <v>233</v>
      </c>
      <c r="T121" s="70" t="s">
        <v>233</v>
      </c>
      <c r="U121" s="70" t="s">
        <v>1427</v>
      </c>
      <c r="V121" s="70" t="s">
        <v>240</v>
      </c>
      <c r="W121" s="12"/>
      <c r="X121" s="242">
        <v>455.89</v>
      </c>
      <c r="Y121" s="242">
        <v>350.2</v>
      </c>
      <c r="Z121" s="242">
        <v>55.09</v>
      </c>
      <c r="AA121" s="157" t="s">
        <v>252</v>
      </c>
      <c r="AB121" s="242">
        <v>42.13</v>
      </c>
      <c r="AC121" s="157" t="s">
        <v>252</v>
      </c>
      <c r="AD121" s="242">
        <v>55.26</v>
      </c>
      <c r="AE121" s="157" t="s">
        <v>252</v>
      </c>
      <c r="AF121" s="242">
        <v>33.07</v>
      </c>
      <c r="AG121" s="157" t="s">
        <v>252</v>
      </c>
      <c r="AH121" s="242">
        <v>12.82</v>
      </c>
      <c r="AI121" s="157" t="s">
        <v>252</v>
      </c>
      <c r="AJ121" s="242">
        <v>3.79</v>
      </c>
      <c r="AK121" s="242" t="s">
        <v>252</v>
      </c>
      <c r="AL121" s="242">
        <v>5.29</v>
      </c>
      <c r="AM121" s="242" t="s">
        <v>252</v>
      </c>
      <c r="AN121" s="242">
        <v>3.65</v>
      </c>
      <c r="AO121" s="242" t="s">
        <v>252</v>
      </c>
      <c r="AP121" s="242">
        <v>4.1900000000000004</v>
      </c>
      <c r="AQ121" s="242" t="s">
        <v>252</v>
      </c>
      <c r="AR121" s="242">
        <v>36.380000000000003</v>
      </c>
      <c r="AS121" s="242" t="s">
        <v>252</v>
      </c>
      <c r="AT121" s="242">
        <v>34.49</v>
      </c>
      <c r="AU121" s="242" t="s">
        <v>252</v>
      </c>
      <c r="AV121" s="242">
        <v>37.159999999999997</v>
      </c>
      <c r="AW121" s="157" t="s">
        <v>252</v>
      </c>
      <c r="AX121" s="157">
        <v>1129.4100000000001</v>
      </c>
      <c r="AY121" s="240">
        <v>0.19</v>
      </c>
      <c r="AZ121" s="156" t="s">
        <v>253</v>
      </c>
      <c r="BA121" s="156" t="s">
        <v>254</v>
      </c>
      <c r="BB121" s="156">
        <v>1</v>
      </c>
      <c r="BC121" s="156" t="s">
        <v>1423</v>
      </c>
      <c r="BD121" s="3"/>
    </row>
    <row r="122" spans="1:56" ht="15.75" hidden="1" customHeight="1" outlineLevel="1">
      <c r="A122" s="58">
        <v>112</v>
      </c>
      <c r="B122" s="11">
        <v>129112</v>
      </c>
      <c r="C122" s="89" t="s">
        <v>269</v>
      </c>
      <c r="D122" s="157" t="s">
        <v>271</v>
      </c>
      <c r="E122" s="12" t="s">
        <v>191</v>
      </c>
      <c r="F122" s="11" t="s">
        <v>246</v>
      </c>
      <c r="G122" s="18" t="s">
        <v>247</v>
      </c>
      <c r="H122" s="11" t="s">
        <v>248</v>
      </c>
      <c r="I122" s="87" t="s">
        <v>249</v>
      </c>
      <c r="J122" s="19" t="s">
        <v>139</v>
      </c>
      <c r="K122" s="17" t="s">
        <v>140</v>
      </c>
      <c r="L122" s="257">
        <v>0</v>
      </c>
      <c r="M122" s="70" t="s">
        <v>250</v>
      </c>
      <c r="N122" s="70">
        <v>80</v>
      </c>
      <c r="O122" s="258">
        <v>8</v>
      </c>
      <c r="P122" s="70" t="s">
        <v>251</v>
      </c>
      <c r="Q122" s="70" t="s">
        <v>233</v>
      </c>
      <c r="R122" s="70" t="s">
        <v>240</v>
      </c>
      <c r="S122" s="70" t="s">
        <v>233</v>
      </c>
      <c r="T122" s="70" t="s">
        <v>233</v>
      </c>
      <c r="U122" s="70" t="s">
        <v>1427</v>
      </c>
      <c r="V122" s="70" t="s">
        <v>240</v>
      </c>
      <c r="W122" s="12"/>
      <c r="X122" s="242">
        <v>866.43000000000006</v>
      </c>
      <c r="Y122" s="242">
        <v>815.31000000000006</v>
      </c>
      <c r="Z122" s="242">
        <v>124.32</v>
      </c>
      <c r="AA122" s="157" t="s">
        <v>252</v>
      </c>
      <c r="AB122" s="242">
        <v>95.7</v>
      </c>
      <c r="AC122" s="157" t="s">
        <v>252</v>
      </c>
      <c r="AD122" s="242">
        <v>123.91</v>
      </c>
      <c r="AE122" s="157" t="s">
        <v>252</v>
      </c>
      <c r="AF122" s="242">
        <v>78.77</v>
      </c>
      <c r="AG122" s="157" t="s">
        <v>252</v>
      </c>
      <c r="AH122" s="242">
        <v>29.63</v>
      </c>
      <c r="AI122" s="157" t="s">
        <v>252</v>
      </c>
      <c r="AJ122" s="242">
        <v>17.75</v>
      </c>
      <c r="AK122" s="242" t="s">
        <v>252</v>
      </c>
      <c r="AL122" s="242">
        <v>13.52</v>
      </c>
      <c r="AM122" s="242" t="s">
        <v>252</v>
      </c>
      <c r="AN122" s="242">
        <v>13.78</v>
      </c>
      <c r="AO122" s="242" t="s">
        <v>252</v>
      </c>
      <c r="AP122" s="242">
        <v>17.670000000000002</v>
      </c>
      <c r="AQ122" s="242" t="s">
        <v>252</v>
      </c>
      <c r="AR122" s="242">
        <v>78.45</v>
      </c>
      <c r="AS122" s="242" t="s">
        <v>252</v>
      </c>
      <c r="AT122" s="242">
        <v>69.56</v>
      </c>
      <c r="AU122" s="242" t="s">
        <v>252</v>
      </c>
      <c r="AV122" s="242">
        <v>88.15</v>
      </c>
      <c r="AW122" s="157" t="s">
        <v>252</v>
      </c>
      <c r="AX122" s="157">
        <v>2432.9500000000007</v>
      </c>
      <c r="AY122" s="240">
        <v>0.35</v>
      </c>
      <c r="AZ122" s="156" t="s">
        <v>253</v>
      </c>
      <c r="BA122" s="156" t="s">
        <v>254</v>
      </c>
      <c r="BB122" s="156">
        <v>0</v>
      </c>
      <c r="BC122" s="156" t="s">
        <v>1423</v>
      </c>
      <c r="BD122" s="3"/>
    </row>
    <row r="123" spans="1:56" ht="15.75" hidden="1" customHeight="1" outlineLevel="1">
      <c r="A123" s="58">
        <v>113</v>
      </c>
      <c r="B123" s="11">
        <v>129113</v>
      </c>
      <c r="C123" s="89" t="s">
        <v>269</v>
      </c>
      <c r="D123" s="157" t="s">
        <v>199</v>
      </c>
      <c r="E123" s="12" t="s">
        <v>191</v>
      </c>
      <c r="F123" s="11" t="s">
        <v>246</v>
      </c>
      <c r="G123" s="18" t="s">
        <v>247</v>
      </c>
      <c r="H123" s="11" t="s">
        <v>248</v>
      </c>
      <c r="I123" s="87" t="s">
        <v>249</v>
      </c>
      <c r="J123" s="19" t="s">
        <v>139</v>
      </c>
      <c r="K123" s="17" t="s">
        <v>140</v>
      </c>
      <c r="L123" s="260">
        <v>1</v>
      </c>
      <c r="M123" s="70" t="s">
        <v>250</v>
      </c>
      <c r="N123" s="70">
        <v>80</v>
      </c>
      <c r="O123" s="258">
        <v>8</v>
      </c>
      <c r="P123" s="70" t="s">
        <v>251</v>
      </c>
      <c r="Q123" s="70" t="s">
        <v>233</v>
      </c>
      <c r="R123" s="70" t="s">
        <v>240</v>
      </c>
      <c r="S123" s="70" t="s">
        <v>233</v>
      </c>
      <c r="T123" s="70" t="s">
        <v>233</v>
      </c>
      <c r="U123" s="70" t="s">
        <v>1427</v>
      </c>
      <c r="V123" s="70" t="s">
        <v>240</v>
      </c>
      <c r="W123" s="12"/>
      <c r="X123" s="242">
        <v>1497.4599999999998</v>
      </c>
      <c r="Y123" s="242">
        <v>1390.45</v>
      </c>
      <c r="Z123" s="242">
        <v>217.76</v>
      </c>
      <c r="AA123" s="157" t="s">
        <v>252</v>
      </c>
      <c r="AB123" s="242">
        <v>158.43</v>
      </c>
      <c r="AC123" s="157" t="s">
        <v>252</v>
      </c>
      <c r="AD123" s="242">
        <v>209.25</v>
      </c>
      <c r="AE123" s="157" t="s">
        <v>252</v>
      </c>
      <c r="AF123" s="242">
        <v>119.42</v>
      </c>
      <c r="AG123" s="157" t="s">
        <v>252</v>
      </c>
      <c r="AH123" s="242">
        <v>48.27</v>
      </c>
      <c r="AI123" s="157" t="s">
        <v>252</v>
      </c>
      <c r="AJ123" s="242">
        <v>28.93</v>
      </c>
      <c r="AK123" s="242" t="s">
        <v>252</v>
      </c>
      <c r="AL123" s="242">
        <v>25.43</v>
      </c>
      <c r="AM123" s="242" t="s">
        <v>252</v>
      </c>
      <c r="AN123" s="242">
        <v>19.72</v>
      </c>
      <c r="AO123" s="242" t="s">
        <v>252</v>
      </c>
      <c r="AP123" s="242">
        <v>38.36</v>
      </c>
      <c r="AQ123" s="242" t="s">
        <v>252</v>
      </c>
      <c r="AR123" s="242">
        <v>127.3</v>
      </c>
      <c r="AS123" s="242" t="s">
        <v>252</v>
      </c>
      <c r="AT123" s="242">
        <v>100.53</v>
      </c>
      <c r="AU123" s="242" t="s">
        <v>252</v>
      </c>
      <c r="AV123" s="242">
        <v>163.12</v>
      </c>
      <c r="AW123" s="157" t="s">
        <v>252</v>
      </c>
      <c r="AX123" s="157">
        <v>4144.43</v>
      </c>
      <c r="AY123" s="240">
        <v>0.64</v>
      </c>
      <c r="AZ123" s="156" t="s">
        <v>253</v>
      </c>
      <c r="BA123" s="156" t="s">
        <v>254</v>
      </c>
      <c r="BB123" s="156">
        <v>2</v>
      </c>
      <c r="BC123" s="156" t="s">
        <v>1423</v>
      </c>
      <c r="BD123" s="3"/>
    </row>
    <row r="124" spans="1:56" ht="15.75" hidden="1" customHeight="1" outlineLevel="1">
      <c r="A124" s="58">
        <v>114</v>
      </c>
      <c r="B124" s="11">
        <v>129114</v>
      </c>
      <c r="C124" s="89" t="s">
        <v>269</v>
      </c>
      <c r="D124" s="157" t="s">
        <v>200</v>
      </c>
      <c r="E124" s="12" t="s">
        <v>191</v>
      </c>
      <c r="F124" s="11" t="s">
        <v>246</v>
      </c>
      <c r="G124" s="18" t="s">
        <v>247</v>
      </c>
      <c r="H124" s="11" t="s">
        <v>248</v>
      </c>
      <c r="I124" s="87" t="s">
        <v>249</v>
      </c>
      <c r="J124" s="19" t="s">
        <v>139</v>
      </c>
      <c r="K124" s="17" t="s">
        <v>140</v>
      </c>
      <c r="L124" s="260">
        <v>1</v>
      </c>
      <c r="M124" s="70" t="s">
        <v>250</v>
      </c>
      <c r="N124" s="70">
        <v>100</v>
      </c>
      <c r="O124" s="258">
        <v>8</v>
      </c>
      <c r="P124" s="70" t="s">
        <v>251</v>
      </c>
      <c r="Q124" s="70" t="s">
        <v>233</v>
      </c>
      <c r="R124" s="70" t="s">
        <v>240</v>
      </c>
      <c r="S124" s="70" t="s">
        <v>233</v>
      </c>
      <c r="T124" s="70" t="s">
        <v>233</v>
      </c>
      <c r="U124" s="70" t="s">
        <v>1427</v>
      </c>
      <c r="V124" s="70" t="s">
        <v>240</v>
      </c>
      <c r="W124" s="12"/>
      <c r="X124" s="242">
        <v>609.82999999999993</v>
      </c>
      <c r="Y124" s="242">
        <v>524.06999999999994</v>
      </c>
      <c r="Z124" s="242">
        <v>88.28</v>
      </c>
      <c r="AA124" s="157" t="s">
        <v>252</v>
      </c>
      <c r="AB124" s="242">
        <v>70.540000000000006</v>
      </c>
      <c r="AC124" s="157" t="s">
        <v>252</v>
      </c>
      <c r="AD124" s="242">
        <v>92.97</v>
      </c>
      <c r="AE124" s="157" t="s">
        <v>252</v>
      </c>
      <c r="AF124" s="242">
        <v>50.99</v>
      </c>
      <c r="AG124" s="157" t="s">
        <v>252</v>
      </c>
      <c r="AH124" s="242">
        <v>17.34</v>
      </c>
      <c r="AI124" s="157" t="s">
        <v>252</v>
      </c>
      <c r="AJ124" s="242">
        <v>9.08</v>
      </c>
      <c r="AK124" s="242" t="s">
        <v>252</v>
      </c>
      <c r="AL124" s="242">
        <v>6.05</v>
      </c>
      <c r="AM124" s="242" t="s">
        <v>252</v>
      </c>
      <c r="AN124" s="242">
        <v>6.4</v>
      </c>
      <c r="AO124" s="242" t="s">
        <v>252</v>
      </c>
      <c r="AP124" s="242">
        <v>8.66</v>
      </c>
      <c r="AQ124" s="242" t="s">
        <v>252</v>
      </c>
      <c r="AR124" s="242">
        <v>57.77</v>
      </c>
      <c r="AS124" s="242" t="s">
        <v>252</v>
      </c>
      <c r="AT124" s="242">
        <v>51.08</v>
      </c>
      <c r="AU124" s="242" t="s">
        <v>252</v>
      </c>
      <c r="AV124" s="242">
        <v>61.95</v>
      </c>
      <c r="AW124" s="157" t="s">
        <v>252</v>
      </c>
      <c r="AX124" s="157">
        <v>1655.0099999999998</v>
      </c>
      <c r="AY124" s="240">
        <v>0.23</v>
      </c>
      <c r="AZ124" s="156" t="s">
        <v>253</v>
      </c>
      <c r="BA124" s="156" t="s">
        <v>254</v>
      </c>
      <c r="BB124" s="156">
        <v>1</v>
      </c>
      <c r="BC124" s="156" t="s">
        <v>1423</v>
      </c>
      <c r="BD124" s="3"/>
    </row>
    <row r="125" spans="1:56" ht="15.75" hidden="1" customHeight="1" outlineLevel="1">
      <c r="A125" s="58">
        <v>115</v>
      </c>
      <c r="B125" s="11">
        <v>129115</v>
      </c>
      <c r="C125" s="89" t="s">
        <v>269</v>
      </c>
      <c r="D125" s="157">
        <v>3</v>
      </c>
      <c r="E125" s="12" t="s">
        <v>191</v>
      </c>
      <c r="F125" s="11" t="s">
        <v>246</v>
      </c>
      <c r="G125" s="18" t="s">
        <v>247</v>
      </c>
      <c r="H125" s="11" t="s">
        <v>248</v>
      </c>
      <c r="I125" s="87" t="s">
        <v>249</v>
      </c>
      <c r="J125" s="19" t="s">
        <v>139</v>
      </c>
      <c r="K125" s="17" t="s">
        <v>140</v>
      </c>
      <c r="L125" s="260">
        <v>1</v>
      </c>
      <c r="M125" s="70" t="s">
        <v>250</v>
      </c>
      <c r="N125" s="70">
        <v>100</v>
      </c>
      <c r="O125" s="258">
        <v>8</v>
      </c>
      <c r="P125" s="70" t="s">
        <v>251</v>
      </c>
      <c r="Q125" s="70" t="s">
        <v>233</v>
      </c>
      <c r="R125" s="70" t="s">
        <v>240</v>
      </c>
      <c r="S125" s="70" t="s">
        <v>233</v>
      </c>
      <c r="T125" s="70" t="s">
        <v>233</v>
      </c>
      <c r="U125" s="70" t="s">
        <v>1427</v>
      </c>
      <c r="V125" s="70" t="s">
        <v>240</v>
      </c>
      <c r="W125" s="12"/>
      <c r="X125" s="242">
        <v>532.03</v>
      </c>
      <c r="Y125" s="242">
        <v>475.12999999999988</v>
      </c>
      <c r="Z125" s="242">
        <v>101.71</v>
      </c>
      <c r="AA125" s="157" t="s">
        <v>252</v>
      </c>
      <c r="AB125" s="242">
        <v>53.23</v>
      </c>
      <c r="AC125" s="157" t="s">
        <v>252</v>
      </c>
      <c r="AD125" s="242">
        <v>70.14</v>
      </c>
      <c r="AE125" s="157" t="s">
        <v>252</v>
      </c>
      <c r="AF125" s="242">
        <v>47.16</v>
      </c>
      <c r="AG125" s="157" t="s">
        <v>252</v>
      </c>
      <c r="AH125" s="242">
        <v>21.7</v>
      </c>
      <c r="AI125" s="157" t="s">
        <v>252</v>
      </c>
      <c r="AJ125" s="242">
        <v>6.23</v>
      </c>
      <c r="AK125" s="242" t="s">
        <v>252</v>
      </c>
      <c r="AL125" s="242">
        <v>9.2200000000000006</v>
      </c>
      <c r="AM125" s="242" t="s">
        <v>252</v>
      </c>
      <c r="AN125" s="242">
        <v>5.3</v>
      </c>
      <c r="AO125" s="242" t="s">
        <v>252</v>
      </c>
      <c r="AP125" s="242">
        <v>5.89</v>
      </c>
      <c r="AQ125" s="242" t="s">
        <v>252</v>
      </c>
      <c r="AR125" s="242">
        <v>47.97</v>
      </c>
      <c r="AS125" s="242" t="s">
        <v>252</v>
      </c>
      <c r="AT125" s="242">
        <v>47.37</v>
      </c>
      <c r="AU125" s="242" t="s">
        <v>252</v>
      </c>
      <c r="AV125" s="242">
        <v>49.69</v>
      </c>
      <c r="AW125" s="157" t="s">
        <v>252</v>
      </c>
      <c r="AX125" s="157">
        <v>1472.7700000000002</v>
      </c>
      <c r="AY125" s="240">
        <v>0.21</v>
      </c>
      <c r="AZ125" s="156" t="s">
        <v>253</v>
      </c>
      <c r="BA125" s="156" t="s">
        <v>254</v>
      </c>
      <c r="BB125" s="156">
        <v>1</v>
      </c>
      <c r="BC125" s="157" t="s">
        <v>255</v>
      </c>
      <c r="BD125" s="3"/>
    </row>
    <row r="126" spans="1:56" ht="15.75" hidden="1" customHeight="1" outlineLevel="1">
      <c r="A126" s="58">
        <v>116</v>
      </c>
      <c r="B126" s="11">
        <v>129116</v>
      </c>
      <c r="C126" s="89" t="s">
        <v>269</v>
      </c>
      <c r="D126" s="157">
        <v>4</v>
      </c>
      <c r="E126" s="12" t="s">
        <v>191</v>
      </c>
      <c r="F126" s="11" t="s">
        <v>246</v>
      </c>
      <c r="G126" s="18" t="s">
        <v>247</v>
      </c>
      <c r="H126" s="11" t="s">
        <v>248</v>
      </c>
      <c r="I126" s="87" t="s">
        <v>249</v>
      </c>
      <c r="J126" s="19" t="s">
        <v>139</v>
      </c>
      <c r="K126" s="17" t="s">
        <v>140</v>
      </c>
      <c r="L126" s="257">
        <v>0</v>
      </c>
      <c r="M126" s="70" t="s">
        <v>250</v>
      </c>
      <c r="N126" s="70">
        <v>100</v>
      </c>
      <c r="O126" s="258">
        <v>8</v>
      </c>
      <c r="P126" s="70" t="s">
        <v>251</v>
      </c>
      <c r="Q126" s="70" t="s">
        <v>233</v>
      </c>
      <c r="R126" s="70" t="s">
        <v>240</v>
      </c>
      <c r="S126" s="70" t="s">
        <v>233</v>
      </c>
      <c r="T126" s="70" t="s">
        <v>233</v>
      </c>
      <c r="U126" s="70" t="s">
        <v>1427</v>
      </c>
      <c r="V126" s="70" t="s">
        <v>240</v>
      </c>
      <c r="W126" s="12"/>
      <c r="X126" s="242">
        <v>561.12000000000012</v>
      </c>
      <c r="Y126" s="242">
        <v>435.32</v>
      </c>
      <c r="Z126" s="242">
        <v>74.680000000000007</v>
      </c>
      <c r="AA126" s="157" t="s">
        <v>252</v>
      </c>
      <c r="AB126" s="242">
        <v>44.38</v>
      </c>
      <c r="AC126" s="157" t="s">
        <v>252</v>
      </c>
      <c r="AD126" s="242">
        <v>59.18</v>
      </c>
      <c r="AE126" s="157" t="s">
        <v>252</v>
      </c>
      <c r="AF126" s="242">
        <v>34.450000000000003</v>
      </c>
      <c r="AG126" s="157" t="s">
        <v>252</v>
      </c>
      <c r="AH126" s="242">
        <v>17.64</v>
      </c>
      <c r="AI126" s="157" t="s">
        <v>252</v>
      </c>
      <c r="AJ126" s="242">
        <v>8.56</v>
      </c>
      <c r="AK126" s="242" t="s">
        <v>252</v>
      </c>
      <c r="AL126" s="242">
        <v>7.32</v>
      </c>
      <c r="AM126" s="242" t="s">
        <v>252</v>
      </c>
      <c r="AN126" s="242">
        <v>10.53</v>
      </c>
      <c r="AO126" s="242" t="s">
        <v>252</v>
      </c>
      <c r="AP126" s="242">
        <v>9.64</v>
      </c>
      <c r="AQ126" s="242" t="s">
        <v>252</v>
      </c>
      <c r="AR126" s="242">
        <v>38.64</v>
      </c>
      <c r="AS126" s="242" t="s">
        <v>252</v>
      </c>
      <c r="AT126" s="242">
        <v>35.69</v>
      </c>
      <c r="AU126" s="242" t="s">
        <v>252</v>
      </c>
      <c r="AV126" s="242">
        <v>37.76</v>
      </c>
      <c r="AW126" s="157" t="s">
        <v>252</v>
      </c>
      <c r="AX126" s="157">
        <v>1374.9100000000005</v>
      </c>
      <c r="AY126" s="240">
        <v>0.24</v>
      </c>
      <c r="AZ126" s="156" t="s">
        <v>253</v>
      </c>
      <c r="BA126" s="156" t="s">
        <v>254</v>
      </c>
      <c r="BB126" s="156">
        <v>0</v>
      </c>
      <c r="BC126" s="156" t="s">
        <v>1423</v>
      </c>
      <c r="BD126" s="3"/>
    </row>
    <row r="127" spans="1:56" ht="15.75" hidden="1" customHeight="1" outlineLevel="1">
      <c r="A127" s="58">
        <v>117</v>
      </c>
      <c r="B127" s="11">
        <v>129117</v>
      </c>
      <c r="C127" s="89" t="s">
        <v>269</v>
      </c>
      <c r="D127" s="157">
        <v>5</v>
      </c>
      <c r="E127" s="12" t="s">
        <v>191</v>
      </c>
      <c r="F127" s="11" t="s">
        <v>246</v>
      </c>
      <c r="G127" s="18" t="s">
        <v>247</v>
      </c>
      <c r="H127" s="11" t="s">
        <v>248</v>
      </c>
      <c r="I127" s="87" t="s">
        <v>249</v>
      </c>
      <c r="J127" s="19" t="s">
        <v>139</v>
      </c>
      <c r="K127" s="17" t="s">
        <v>140</v>
      </c>
      <c r="L127" s="260">
        <v>1</v>
      </c>
      <c r="M127" s="70" t="s">
        <v>250</v>
      </c>
      <c r="N127" s="70">
        <v>100</v>
      </c>
      <c r="O127" s="258">
        <v>8</v>
      </c>
      <c r="P127" s="70" t="s">
        <v>251</v>
      </c>
      <c r="Q127" s="70" t="s">
        <v>233</v>
      </c>
      <c r="R127" s="70" t="s">
        <v>240</v>
      </c>
      <c r="S127" s="70" t="s">
        <v>233</v>
      </c>
      <c r="T127" s="70" t="s">
        <v>233</v>
      </c>
      <c r="U127" s="70" t="s">
        <v>1427</v>
      </c>
      <c r="V127" s="70" t="s">
        <v>240</v>
      </c>
      <c r="W127" s="12"/>
      <c r="X127" s="242">
        <v>688.80000000000007</v>
      </c>
      <c r="Y127" s="242">
        <v>477.53</v>
      </c>
      <c r="Z127" s="242">
        <v>83.09</v>
      </c>
      <c r="AA127" s="157" t="s">
        <v>252</v>
      </c>
      <c r="AB127" s="242">
        <v>59.19</v>
      </c>
      <c r="AC127" s="157" t="s">
        <v>252</v>
      </c>
      <c r="AD127" s="242">
        <v>77.790000000000006</v>
      </c>
      <c r="AE127" s="157" t="s">
        <v>252</v>
      </c>
      <c r="AF127" s="242">
        <v>43.97</v>
      </c>
      <c r="AG127" s="157" t="s">
        <v>252</v>
      </c>
      <c r="AH127" s="242">
        <v>18.190000000000001</v>
      </c>
      <c r="AI127" s="157" t="s">
        <v>252</v>
      </c>
      <c r="AJ127" s="242">
        <v>6.69</v>
      </c>
      <c r="AK127" s="242" t="s">
        <v>252</v>
      </c>
      <c r="AL127" s="242">
        <v>4.95</v>
      </c>
      <c r="AM127" s="242" t="s">
        <v>252</v>
      </c>
      <c r="AN127" s="242">
        <v>6.51</v>
      </c>
      <c r="AO127" s="242" t="s">
        <v>252</v>
      </c>
      <c r="AP127" s="242">
        <v>7.03</v>
      </c>
      <c r="AQ127" s="242" t="s">
        <v>252</v>
      </c>
      <c r="AR127" s="242">
        <v>51.86</v>
      </c>
      <c r="AS127" s="242" t="s">
        <v>252</v>
      </c>
      <c r="AT127" s="242">
        <v>50.31</v>
      </c>
      <c r="AU127" s="242" t="s">
        <v>252</v>
      </c>
      <c r="AV127" s="242">
        <v>56.04</v>
      </c>
      <c r="AW127" s="157" t="s">
        <v>252</v>
      </c>
      <c r="AX127" s="157">
        <v>1631.9499999999998</v>
      </c>
      <c r="AY127" s="240">
        <v>0.24</v>
      </c>
      <c r="AZ127" s="156" t="s">
        <v>253</v>
      </c>
      <c r="BA127" s="156" t="s">
        <v>254</v>
      </c>
      <c r="BB127" s="156">
        <v>1</v>
      </c>
      <c r="BC127" s="156" t="s">
        <v>1423</v>
      </c>
      <c r="BD127" s="3"/>
    </row>
    <row r="128" spans="1:56" ht="15.75" hidden="1" customHeight="1" outlineLevel="1">
      <c r="A128" s="58">
        <v>118</v>
      </c>
      <c r="B128" s="11">
        <v>129118</v>
      </c>
      <c r="C128" s="89" t="s">
        <v>269</v>
      </c>
      <c r="D128" s="157">
        <v>8</v>
      </c>
      <c r="E128" s="12" t="s">
        <v>191</v>
      </c>
      <c r="F128" s="11" t="s">
        <v>246</v>
      </c>
      <c r="G128" s="18" t="s">
        <v>247</v>
      </c>
      <c r="H128" s="11" t="s">
        <v>248</v>
      </c>
      <c r="I128" s="87" t="s">
        <v>249</v>
      </c>
      <c r="J128" s="19" t="s">
        <v>139</v>
      </c>
      <c r="K128" s="17" t="s">
        <v>140</v>
      </c>
      <c r="L128" s="257">
        <v>0</v>
      </c>
      <c r="M128" s="70" t="s">
        <v>250</v>
      </c>
      <c r="N128" s="70">
        <v>80</v>
      </c>
      <c r="O128" s="258">
        <v>8</v>
      </c>
      <c r="P128" s="70" t="s">
        <v>251</v>
      </c>
      <c r="Q128" s="70" t="s">
        <v>233</v>
      </c>
      <c r="R128" s="70" t="s">
        <v>240</v>
      </c>
      <c r="S128" s="70" t="s">
        <v>233</v>
      </c>
      <c r="T128" s="70" t="s">
        <v>233</v>
      </c>
      <c r="U128" s="70" t="s">
        <v>1427</v>
      </c>
      <c r="V128" s="70" t="s">
        <v>240</v>
      </c>
      <c r="W128" s="12"/>
      <c r="X128" s="242">
        <v>445.01</v>
      </c>
      <c r="Y128" s="242">
        <v>414.76</v>
      </c>
      <c r="Z128" s="242">
        <v>0</v>
      </c>
      <c r="AA128" s="157" t="s">
        <v>259</v>
      </c>
      <c r="AB128" s="242">
        <v>0</v>
      </c>
      <c r="AC128" s="157" t="s">
        <v>259</v>
      </c>
      <c r="AD128" s="242">
        <v>0</v>
      </c>
      <c r="AE128" s="157" t="s">
        <v>259</v>
      </c>
      <c r="AF128" s="242">
        <v>0</v>
      </c>
      <c r="AG128" s="157" t="s">
        <v>259</v>
      </c>
      <c r="AH128" s="242">
        <v>21.62</v>
      </c>
      <c r="AI128" s="157" t="s">
        <v>259</v>
      </c>
      <c r="AJ128" s="242">
        <v>12.21</v>
      </c>
      <c r="AK128" s="242" t="s">
        <v>259</v>
      </c>
      <c r="AL128" s="242">
        <v>9.51</v>
      </c>
      <c r="AM128" s="242" t="s">
        <v>259</v>
      </c>
      <c r="AN128" s="242">
        <v>0</v>
      </c>
      <c r="AO128" s="242" t="s">
        <v>259</v>
      </c>
      <c r="AP128" s="242">
        <v>0</v>
      </c>
      <c r="AQ128" s="242" t="s">
        <v>259</v>
      </c>
      <c r="AR128" s="242">
        <v>47.44</v>
      </c>
      <c r="AS128" s="242" t="s">
        <v>259</v>
      </c>
      <c r="AT128" s="242">
        <v>51.35</v>
      </c>
      <c r="AU128" s="242" t="s">
        <v>259</v>
      </c>
      <c r="AV128" s="242">
        <v>57.28</v>
      </c>
      <c r="AW128" s="157" t="s">
        <v>259</v>
      </c>
      <c r="AX128" s="157">
        <v>1059.18</v>
      </c>
      <c r="AY128" s="240">
        <v>0.22</v>
      </c>
      <c r="AZ128" s="156" t="s">
        <v>253</v>
      </c>
      <c r="BA128" s="156" t="s">
        <v>254</v>
      </c>
      <c r="BB128" s="156">
        <v>0</v>
      </c>
      <c r="BC128" s="156" t="s">
        <v>1423</v>
      </c>
      <c r="BD128" s="3"/>
    </row>
    <row r="129" spans="1:56" ht="15.75" hidden="1" customHeight="1" outlineLevel="1">
      <c r="A129" s="58">
        <v>119</v>
      </c>
      <c r="B129" s="11">
        <v>129119</v>
      </c>
      <c r="C129" s="89" t="s">
        <v>269</v>
      </c>
      <c r="D129" s="157" t="s">
        <v>201</v>
      </c>
      <c r="E129" s="12" t="s">
        <v>191</v>
      </c>
      <c r="F129" s="11" t="s">
        <v>246</v>
      </c>
      <c r="G129" s="18" t="s">
        <v>247</v>
      </c>
      <c r="H129" s="11" t="s">
        <v>248</v>
      </c>
      <c r="I129" s="87" t="s">
        <v>249</v>
      </c>
      <c r="J129" s="19" t="s">
        <v>139</v>
      </c>
      <c r="K129" s="17" t="s">
        <v>140</v>
      </c>
      <c r="L129" s="257">
        <v>0</v>
      </c>
      <c r="M129" s="70" t="s">
        <v>250</v>
      </c>
      <c r="N129" s="70">
        <v>80</v>
      </c>
      <c r="O129" s="258">
        <v>8</v>
      </c>
      <c r="P129" s="70" t="s">
        <v>251</v>
      </c>
      <c r="Q129" s="70" t="s">
        <v>233</v>
      </c>
      <c r="R129" s="70" t="s">
        <v>240</v>
      </c>
      <c r="S129" s="70" t="s">
        <v>240</v>
      </c>
      <c r="T129" s="70" t="s">
        <v>240</v>
      </c>
      <c r="U129" s="70" t="s">
        <v>1427</v>
      </c>
      <c r="V129" s="70" t="s">
        <v>240</v>
      </c>
      <c r="W129" s="12"/>
      <c r="X129" s="242">
        <v>338.59000000000003</v>
      </c>
      <c r="Y129" s="242">
        <v>291.29000000000002</v>
      </c>
      <c r="Z129" s="242">
        <v>46.49</v>
      </c>
      <c r="AA129" s="157" t="s">
        <v>252</v>
      </c>
      <c r="AB129" s="242">
        <v>34.979999999999997</v>
      </c>
      <c r="AC129" s="157" t="s">
        <v>252</v>
      </c>
      <c r="AD129" s="242">
        <v>42.18</v>
      </c>
      <c r="AE129" s="157" t="s">
        <v>252</v>
      </c>
      <c r="AF129" s="242">
        <v>24.98</v>
      </c>
      <c r="AG129" s="157" t="s">
        <v>252</v>
      </c>
      <c r="AH129" s="242">
        <v>12.23</v>
      </c>
      <c r="AI129" s="157" t="s">
        <v>252</v>
      </c>
      <c r="AJ129" s="242">
        <v>4.53</v>
      </c>
      <c r="AK129" s="242" t="s">
        <v>252</v>
      </c>
      <c r="AL129" s="242">
        <v>3.58</v>
      </c>
      <c r="AM129" s="242" t="s">
        <v>252</v>
      </c>
      <c r="AN129" s="242">
        <v>3.77</v>
      </c>
      <c r="AO129" s="242" t="s">
        <v>252</v>
      </c>
      <c r="AP129" s="242">
        <v>4.7300000000000004</v>
      </c>
      <c r="AQ129" s="242" t="s">
        <v>252</v>
      </c>
      <c r="AR129" s="242">
        <v>28.32</v>
      </c>
      <c r="AS129" s="242" t="s">
        <v>252</v>
      </c>
      <c r="AT129" s="242">
        <v>26.7</v>
      </c>
      <c r="AU129" s="242" t="s">
        <v>252</v>
      </c>
      <c r="AV129" s="242">
        <v>30.37</v>
      </c>
      <c r="AW129" s="157" t="s">
        <v>252</v>
      </c>
      <c r="AX129" s="157">
        <v>892.74000000000024</v>
      </c>
      <c r="AY129" s="240">
        <v>0.129</v>
      </c>
      <c r="AZ129" s="156" t="s">
        <v>253</v>
      </c>
      <c r="BA129" s="156" t="s">
        <v>254</v>
      </c>
      <c r="BB129" s="156">
        <v>0</v>
      </c>
      <c r="BC129" s="156" t="s">
        <v>1423</v>
      </c>
      <c r="BD129" s="3"/>
    </row>
    <row r="130" spans="1:56" ht="15.75" hidden="1" customHeight="1" outlineLevel="1">
      <c r="A130" s="58">
        <v>120</v>
      </c>
      <c r="B130" s="11">
        <v>129120</v>
      </c>
      <c r="C130" s="89" t="s">
        <v>272</v>
      </c>
      <c r="D130" s="157">
        <v>10</v>
      </c>
      <c r="E130" s="12" t="s">
        <v>191</v>
      </c>
      <c r="F130" s="11" t="s">
        <v>246</v>
      </c>
      <c r="G130" s="18" t="s">
        <v>247</v>
      </c>
      <c r="H130" s="11" t="s">
        <v>248</v>
      </c>
      <c r="I130" s="87" t="s">
        <v>249</v>
      </c>
      <c r="J130" s="19" t="s">
        <v>139</v>
      </c>
      <c r="K130" s="17" t="s">
        <v>140</v>
      </c>
      <c r="L130" s="257">
        <v>0</v>
      </c>
      <c r="M130" s="70" t="s">
        <v>250</v>
      </c>
      <c r="N130" s="70">
        <v>100</v>
      </c>
      <c r="O130" s="258">
        <v>8</v>
      </c>
      <c r="P130" s="70" t="s">
        <v>251</v>
      </c>
      <c r="Q130" s="70" t="s">
        <v>233</v>
      </c>
      <c r="R130" s="70" t="s">
        <v>240</v>
      </c>
      <c r="S130" s="70" t="s">
        <v>233</v>
      </c>
      <c r="T130" s="70" t="s">
        <v>233</v>
      </c>
      <c r="U130" s="70" t="s">
        <v>1427</v>
      </c>
      <c r="V130" s="70" t="s">
        <v>240</v>
      </c>
      <c r="W130" s="12"/>
      <c r="X130" s="242">
        <v>378.71000000000004</v>
      </c>
      <c r="Y130" s="242">
        <v>398.49999999999994</v>
      </c>
      <c r="Z130" s="242">
        <v>57.68</v>
      </c>
      <c r="AA130" s="157" t="s">
        <v>252</v>
      </c>
      <c r="AB130" s="242">
        <v>41.24</v>
      </c>
      <c r="AC130" s="157" t="s">
        <v>252</v>
      </c>
      <c r="AD130" s="242">
        <v>54.28</v>
      </c>
      <c r="AE130" s="157" t="s">
        <v>252</v>
      </c>
      <c r="AF130" s="242">
        <v>34.659999999999997</v>
      </c>
      <c r="AG130" s="157" t="s">
        <v>252</v>
      </c>
      <c r="AH130" s="242">
        <v>16.190000000000001</v>
      </c>
      <c r="AI130" s="157" t="s">
        <v>252</v>
      </c>
      <c r="AJ130" s="242">
        <v>6.46</v>
      </c>
      <c r="AK130" s="242" t="s">
        <v>252</v>
      </c>
      <c r="AL130" s="242">
        <v>5.5</v>
      </c>
      <c r="AM130" s="242" t="s">
        <v>252</v>
      </c>
      <c r="AN130" s="242">
        <v>5.84</v>
      </c>
      <c r="AO130" s="242" t="s">
        <v>252</v>
      </c>
      <c r="AP130" s="242">
        <v>8.1</v>
      </c>
      <c r="AQ130" s="242" t="s">
        <v>252</v>
      </c>
      <c r="AR130" s="242">
        <v>38.46</v>
      </c>
      <c r="AS130" s="242" t="s">
        <v>252</v>
      </c>
      <c r="AT130" s="242">
        <v>32.99</v>
      </c>
      <c r="AU130" s="242" t="s">
        <v>252</v>
      </c>
      <c r="AV130" s="242">
        <v>43.99</v>
      </c>
      <c r="AW130" s="157" t="s">
        <v>252</v>
      </c>
      <c r="AX130" s="157">
        <v>1122.6000000000001</v>
      </c>
      <c r="AY130" s="240">
        <v>0.18</v>
      </c>
      <c r="AZ130" s="156" t="s">
        <v>253</v>
      </c>
      <c r="BA130" s="156" t="s">
        <v>254</v>
      </c>
      <c r="BB130" s="156">
        <v>0</v>
      </c>
      <c r="BC130" s="156" t="s">
        <v>1423</v>
      </c>
      <c r="BD130" s="3"/>
    </row>
    <row r="131" spans="1:56" ht="15.75" hidden="1" customHeight="1" outlineLevel="1">
      <c r="A131" s="58">
        <v>121</v>
      </c>
      <c r="B131" s="11">
        <v>129121</v>
      </c>
      <c r="C131" s="89" t="s">
        <v>272</v>
      </c>
      <c r="D131" s="157" t="s">
        <v>202</v>
      </c>
      <c r="E131" s="12" t="s">
        <v>191</v>
      </c>
      <c r="F131" s="11" t="s">
        <v>246</v>
      </c>
      <c r="G131" s="18" t="s">
        <v>247</v>
      </c>
      <c r="H131" s="11" t="s">
        <v>248</v>
      </c>
      <c r="I131" s="87" t="s">
        <v>249</v>
      </c>
      <c r="J131" s="19" t="s">
        <v>139</v>
      </c>
      <c r="K131" s="17" t="s">
        <v>140</v>
      </c>
      <c r="L131" s="257">
        <v>0</v>
      </c>
      <c r="M131" s="70" t="s">
        <v>250</v>
      </c>
      <c r="N131" s="70">
        <v>100</v>
      </c>
      <c r="O131" s="258">
        <v>8</v>
      </c>
      <c r="P131" s="70" t="s">
        <v>251</v>
      </c>
      <c r="Q131" s="70" t="s">
        <v>233</v>
      </c>
      <c r="R131" s="70" t="s">
        <v>240</v>
      </c>
      <c r="S131" s="70" t="s">
        <v>233</v>
      </c>
      <c r="T131" s="70" t="s">
        <v>233</v>
      </c>
      <c r="U131" s="70" t="s">
        <v>1427</v>
      </c>
      <c r="V131" s="70" t="s">
        <v>240</v>
      </c>
      <c r="W131" s="12"/>
      <c r="X131" s="242">
        <v>487.90999999999997</v>
      </c>
      <c r="Y131" s="242">
        <v>406.1</v>
      </c>
      <c r="Z131" s="242">
        <v>80.66</v>
      </c>
      <c r="AA131" s="157" t="s">
        <v>252</v>
      </c>
      <c r="AB131" s="242">
        <v>54.08</v>
      </c>
      <c r="AC131" s="157" t="s">
        <v>252</v>
      </c>
      <c r="AD131" s="242">
        <v>68.28</v>
      </c>
      <c r="AE131" s="157" t="s">
        <v>252</v>
      </c>
      <c r="AF131" s="242">
        <v>41.77</v>
      </c>
      <c r="AG131" s="157" t="s">
        <v>252</v>
      </c>
      <c r="AH131" s="242">
        <v>10.59</v>
      </c>
      <c r="AI131" s="157" t="s">
        <v>252</v>
      </c>
      <c r="AJ131" s="242">
        <v>7.06</v>
      </c>
      <c r="AK131" s="242" t="s">
        <v>252</v>
      </c>
      <c r="AL131" s="242">
        <v>5.2</v>
      </c>
      <c r="AM131" s="242" t="s">
        <v>252</v>
      </c>
      <c r="AN131" s="242">
        <v>6.38</v>
      </c>
      <c r="AO131" s="242" t="s">
        <v>252</v>
      </c>
      <c r="AP131" s="242">
        <v>8.4</v>
      </c>
      <c r="AQ131" s="242" t="s">
        <v>252</v>
      </c>
      <c r="AR131" s="242">
        <v>38.700000000000003</v>
      </c>
      <c r="AS131" s="242" t="s">
        <v>252</v>
      </c>
      <c r="AT131" s="242">
        <v>38.04</v>
      </c>
      <c r="AU131" s="242" t="s">
        <v>252</v>
      </c>
      <c r="AV131" s="242">
        <v>47.01</v>
      </c>
      <c r="AW131" s="157" t="s">
        <v>252</v>
      </c>
      <c r="AX131" s="157">
        <v>1300.18</v>
      </c>
      <c r="AY131" s="240">
        <v>0.17699999999999999</v>
      </c>
      <c r="AZ131" s="156" t="s">
        <v>253</v>
      </c>
      <c r="BA131" s="156" t="s">
        <v>254</v>
      </c>
      <c r="BB131" s="156">
        <v>0</v>
      </c>
      <c r="BC131" s="156" t="s">
        <v>1423</v>
      </c>
      <c r="BD131" s="3"/>
    </row>
    <row r="132" spans="1:56" ht="15.75" hidden="1" customHeight="1" outlineLevel="1">
      <c r="A132" s="58">
        <v>122</v>
      </c>
      <c r="B132" s="11">
        <v>129122</v>
      </c>
      <c r="C132" s="89" t="s">
        <v>272</v>
      </c>
      <c r="D132" s="157">
        <v>13</v>
      </c>
      <c r="E132" s="12" t="s">
        <v>191</v>
      </c>
      <c r="F132" s="11" t="s">
        <v>246</v>
      </c>
      <c r="G132" s="18" t="s">
        <v>247</v>
      </c>
      <c r="H132" s="11" t="s">
        <v>248</v>
      </c>
      <c r="I132" s="87" t="s">
        <v>249</v>
      </c>
      <c r="J132" s="19" t="s">
        <v>139</v>
      </c>
      <c r="K132" s="17" t="s">
        <v>140</v>
      </c>
      <c r="L132" s="257">
        <v>0</v>
      </c>
      <c r="M132" s="70" t="s">
        <v>250</v>
      </c>
      <c r="N132" s="70">
        <v>100</v>
      </c>
      <c r="O132" s="258">
        <v>8</v>
      </c>
      <c r="P132" s="70" t="s">
        <v>251</v>
      </c>
      <c r="Q132" s="70" t="s">
        <v>233</v>
      </c>
      <c r="R132" s="70" t="s">
        <v>240</v>
      </c>
      <c r="S132" s="70" t="s">
        <v>233</v>
      </c>
      <c r="T132" s="70" t="s">
        <v>233</v>
      </c>
      <c r="U132" s="70" t="s">
        <v>1427</v>
      </c>
      <c r="V132" s="70" t="s">
        <v>240</v>
      </c>
      <c r="W132" s="12"/>
      <c r="X132" s="242">
        <v>243.61</v>
      </c>
      <c r="Y132" s="242">
        <v>275.45999999999998</v>
      </c>
      <c r="Z132" s="242">
        <v>44.99</v>
      </c>
      <c r="AA132" s="157" t="s">
        <v>252</v>
      </c>
      <c r="AB132" s="242">
        <v>35.39</v>
      </c>
      <c r="AC132" s="157" t="s">
        <v>252</v>
      </c>
      <c r="AD132" s="242">
        <v>46.19</v>
      </c>
      <c r="AE132" s="157" t="s">
        <v>252</v>
      </c>
      <c r="AF132" s="242">
        <v>29.88</v>
      </c>
      <c r="AG132" s="157" t="s">
        <v>252</v>
      </c>
      <c r="AH132" s="242">
        <v>11.77</v>
      </c>
      <c r="AI132" s="157" t="s">
        <v>252</v>
      </c>
      <c r="AJ132" s="242">
        <v>5.26</v>
      </c>
      <c r="AK132" s="242" t="s">
        <v>252</v>
      </c>
      <c r="AL132" s="242">
        <v>4</v>
      </c>
      <c r="AM132" s="242" t="s">
        <v>252</v>
      </c>
      <c r="AN132" s="242">
        <v>5.52</v>
      </c>
      <c r="AO132" s="242" t="s">
        <v>252</v>
      </c>
      <c r="AP132" s="242">
        <v>5.1100000000000003</v>
      </c>
      <c r="AQ132" s="242" t="s">
        <v>252</v>
      </c>
      <c r="AR132" s="242">
        <v>29.69</v>
      </c>
      <c r="AS132" s="242" t="s">
        <v>252</v>
      </c>
      <c r="AT132" s="242">
        <v>26.68</v>
      </c>
      <c r="AU132" s="242" t="s">
        <v>252</v>
      </c>
      <c r="AV132" s="242">
        <v>34.07</v>
      </c>
      <c r="AW132" s="157" t="s">
        <v>252</v>
      </c>
      <c r="AX132" s="157">
        <v>797.61999999999989</v>
      </c>
      <c r="AY132" s="240">
        <v>0.11</v>
      </c>
      <c r="AZ132" s="156" t="s">
        <v>253</v>
      </c>
      <c r="BA132" s="156" t="s">
        <v>254</v>
      </c>
      <c r="BB132" s="156">
        <v>0</v>
      </c>
      <c r="BC132" s="156" t="s">
        <v>1423</v>
      </c>
      <c r="BD132" s="3"/>
    </row>
    <row r="133" spans="1:56" ht="15.75" hidden="1" customHeight="1" outlineLevel="1">
      <c r="A133" s="58">
        <v>123</v>
      </c>
      <c r="B133" s="11">
        <v>129123</v>
      </c>
      <c r="C133" s="89" t="s">
        <v>272</v>
      </c>
      <c r="D133" s="157">
        <v>16</v>
      </c>
      <c r="E133" s="12" t="s">
        <v>191</v>
      </c>
      <c r="F133" s="11" t="s">
        <v>246</v>
      </c>
      <c r="G133" s="18" t="s">
        <v>247</v>
      </c>
      <c r="H133" s="11" t="s">
        <v>248</v>
      </c>
      <c r="I133" s="87" t="s">
        <v>249</v>
      </c>
      <c r="J133" s="19" t="s">
        <v>139</v>
      </c>
      <c r="K133" s="17" t="s">
        <v>140</v>
      </c>
      <c r="L133" s="257">
        <v>0</v>
      </c>
      <c r="M133" s="70" t="s">
        <v>250</v>
      </c>
      <c r="N133" s="70">
        <v>100</v>
      </c>
      <c r="O133" s="258">
        <v>8</v>
      </c>
      <c r="P133" s="70" t="s">
        <v>251</v>
      </c>
      <c r="Q133" s="70" t="s">
        <v>233</v>
      </c>
      <c r="R133" s="70" t="s">
        <v>240</v>
      </c>
      <c r="S133" s="70" t="s">
        <v>233</v>
      </c>
      <c r="T133" s="70" t="s">
        <v>233</v>
      </c>
      <c r="U133" s="70" t="s">
        <v>1427</v>
      </c>
      <c r="V133" s="70" t="s">
        <v>240</v>
      </c>
      <c r="W133" s="12"/>
      <c r="X133" s="242">
        <v>223.81000000000003</v>
      </c>
      <c r="Y133" s="242">
        <v>201.21</v>
      </c>
      <c r="Z133" s="242">
        <v>34.090000000000003</v>
      </c>
      <c r="AA133" s="157" t="s">
        <v>252</v>
      </c>
      <c r="AB133" s="242">
        <v>22.59</v>
      </c>
      <c r="AC133" s="157" t="s">
        <v>252</v>
      </c>
      <c r="AD133" s="242">
        <v>29.89</v>
      </c>
      <c r="AE133" s="157" t="s">
        <v>252</v>
      </c>
      <c r="AF133" s="242">
        <v>17.78</v>
      </c>
      <c r="AG133" s="157" t="s">
        <v>252</v>
      </c>
      <c r="AH133" s="242">
        <v>9.26</v>
      </c>
      <c r="AI133" s="157" t="s">
        <v>252</v>
      </c>
      <c r="AJ133" s="242">
        <v>3.15</v>
      </c>
      <c r="AK133" s="242" t="s">
        <v>252</v>
      </c>
      <c r="AL133" s="242">
        <v>2</v>
      </c>
      <c r="AM133" s="242" t="s">
        <v>252</v>
      </c>
      <c r="AN133" s="242">
        <v>3.19</v>
      </c>
      <c r="AO133" s="242" t="s">
        <v>252</v>
      </c>
      <c r="AP133" s="242">
        <v>3.62</v>
      </c>
      <c r="AQ133" s="242" t="s">
        <v>252</v>
      </c>
      <c r="AR133" s="242">
        <v>19.34</v>
      </c>
      <c r="AS133" s="242" t="s">
        <v>252</v>
      </c>
      <c r="AT133" s="242">
        <v>18.62</v>
      </c>
      <c r="AU133" s="242" t="s">
        <v>252</v>
      </c>
      <c r="AV133" s="242">
        <v>22.18</v>
      </c>
      <c r="AW133" s="157" t="s">
        <v>252</v>
      </c>
      <c r="AX133" s="157">
        <v>610.73</v>
      </c>
      <c r="AY133" s="240">
        <v>0.09</v>
      </c>
      <c r="AZ133" s="156" t="s">
        <v>253</v>
      </c>
      <c r="BA133" s="156" t="s">
        <v>254</v>
      </c>
      <c r="BB133" s="156">
        <v>0</v>
      </c>
      <c r="BC133" s="156" t="s">
        <v>1423</v>
      </c>
      <c r="BD133" s="3"/>
    </row>
    <row r="134" spans="1:56" ht="15.75" hidden="1" customHeight="1" outlineLevel="1">
      <c r="A134" s="58">
        <v>124</v>
      </c>
      <c r="B134" s="11">
        <v>129124</v>
      </c>
      <c r="C134" s="89" t="s">
        <v>272</v>
      </c>
      <c r="D134" s="157">
        <v>17</v>
      </c>
      <c r="E134" s="12" t="s">
        <v>191</v>
      </c>
      <c r="F134" s="11" t="s">
        <v>246</v>
      </c>
      <c r="G134" s="18" t="s">
        <v>247</v>
      </c>
      <c r="H134" s="11" t="s">
        <v>248</v>
      </c>
      <c r="I134" s="87" t="s">
        <v>249</v>
      </c>
      <c r="J134" s="19" t="s">
        <v>139</v>
      </c>
      <c r="K134" s="17" t="s">
        <v>140</v>
      </c>
      <c r="L134" s="260">
        <v>1</v>
      </c>
      <c r="M134" s="70" t="s">
        <v>250</v>
      </c>
      <c r="N134" s="70">
        <v>100</v>
      </c>
      <c r="O134" s="258">
        <v>8</v>
      </c>
      <c r="P134" s="70" t="s">
        <v>251</v>
      </c>
      <c r="Q134" s="70" t="s">
        <v>233</v>
      </c>
      <c r="R134" s="70" t="s">
        <v>240</v>
      </c>
      <c r="S134" s="70" t="s">
        <v>233</v>
      </c>
      <c r="T134" s="70" t="s">
        <v>233</v>
      </c>
      <c r="U134" s="70" t="s">
        <v>1427</v>
      </c>
      <c r="V134" s="70" t="s">
        <v>240</v>
      </c>
      <c r="W134" s="12"/>
      <c r="X134" s="242">
        <v>3088.8199999999997</v>
      </c>
      <c r="Y134" s="242">
        <v>3103.15</v>
      </c>
      <c r="Z134" s="242">
        <v>437.98</v>
      </c>
      <c r="AA134" s="157" t="s">
        <v>252</v>
      </c>
      <c r="AB134" s="242">
        <v>351.34</v>
      </c>
      <c r="AC134" s="157" t="s">
        <v>252</v>
      </c>
      <c r="AD134" s="242">
        <v>434.95</v>
      </c>
      <c r="AE134" s="157" t="s">
        <v>252</v>
      </c>
      <c r="AF134" s="242">
        <v>268.58</v>
      </c>
      <c r="AG134" s="157" t="s">
        <v>252</v>
      </c>
      <c r="AH134" s="242">
        <v>132.24</v>
      </c>
      <c r="AI134" s="157" t="s">
        <v>252</v>
      </c>
      <c r="AJ134" s="242">
        <v>46.5</v>
      </c>
      <c r="AK134" s="242" t="s">
        <v>252</v>
      </c>
      <c r="AL134" s="242">
        <v>44.96</v>
      </c>
      <c r="AM134" s="242" t="s">
        <v>252</v>
      </c>
      <c r="AN134" s="242">
        <v>37.200000000000003</v>
      </c>
      <c r="AO134" s="242" t="s">
        <v>252</v>
      </c>
      <c r="AP134" s="242">
        <v>49.48</v>
      </c>
      <c r="AQ134" s="242" t="s">
        <v>252</v>
      </c>
      <c r="AR134" s="242">
        <v>275.86</v>
      </c>
      <c r="AS134" s="242" t="s">
        <v>252</v>
      </c>
      <c r="AT134" s="242">
        <v>244.4</v>
      </c>
      <c r="AU134" s="242" t="s">
        <v>252</v>
      </c>
      <c r="AV134" s="242">
        <v>345.39</v>
      </c>
      <c r="AW134" s="157" t="s">
        <v>252</v>
      </c>
      <c r="AX134" s="157">
        <v>8860.8499999999967</v>
      </c>
      <c r="AY134" s="240">
        <v>1.23</v>
      </c>
      <c r="AZ134" s="156" t="s">
        <v>253</v>
      </c>
      <c r="BA134" s="156" t="s">
        <v>254</v>
      </c>
      <c r="BB134" s="156">
        <v>1</v>
      </c>
      <c r="BC134" s="156" t="s">
        <v>1423</v>
      </c>
      <c r="BD134" s="3"/>
    </row>
    <row r="135" spans="1:56" ht="15.75" hidden="1" customHeight="1" outlineLevel="1">
      <c r="A135" s="58">
        <v>125</v>
      </c>
      <c r="B135" s="11">
        <v>129125</v>
      </c>
      <c r="C135" s="89" t="s">
        <v>272</v>
      </c>
      <c r="D135" s="157">
        <v>18</v>
      </c>
      <c r="E135" s="12" t="s">
        <v>191</v>
      </c>
      <c r="F135" s="11" t="s">
        <v>246</v>
      </c>
      <c r="G135" s="18" t="s">
        <v>247</v>
      </c>
      <c r="H135" s="11" t="s">
        <v>248</v>
      </c>
      <c r="I135" s="87" t="s">
        <v>249</v>
      </c>
      <c r="J135" s="19" t="s">
        <v>139</v>
      </c>
      <c r="K135" s="17" t="s">
        <v>140</v>
      </c>
      <c r="L135" s="257">
        <v>0</v>
      </c>
      <c r="M135" s="70" t="s">
        <v>250</v>
      </c>
      <c r="N135" s="70">
        <v>100</v>
      </c>
      <c r="O135" s="258">
        <v>8</v>
      </c>
      <c r="P135" s="70" t="s">
        <v>251</v>
      </c>
      <c r="Q135" s="70" t="s">
        <v>233</v>
      </c>
      <c r="R135" s="70" t="s">
        <v>240</v>
      </c>
      <c r="S135" s="70" t="s">
        <v>233</v>
      </c>
      <c r="T135" s="70" t="s">
        <v>233</v>
      </c>
      <c r="U135" s="70" t="s">
        <v>1427</v>
      </c>
      <c r="V135" s="70" t="s">
        <v>240</v>
      </c>
      <c r="W135" s="12"/>
      <c r="X135" s="242">
        <v>231.58999999999995</v>
      </c>
      <c r="Y135" s="242">
        <v>211.89</v>
      </c>
      <c r="Z135" s="242">
        <v>37</v>
      </c>
      <c r="AA135" s="157" t="s">
        <v>252</v>
      </c>
      <c r="AB135" s="242">
        <v>24.4</v>
      </c>
      <c r="AC135" s="157" t="s">
        <v>252</v>
      </c>
      <c r="AD135" s="242">
        <v>32.4</v>
      </c>
      <c r="AE135" s="157" t="s">
        <v>252</v>
      </c>
      <c r="AF135" s="242">
        <v>19.190000000000001</v>
      </c>
      <c r="AG135" s="157" t="s">
        <v>252</v>
      </c>
      <c r="AH135" s="242">
        <v>10.31</v>
      </c>
      <c r="AI135" s="157" t="s">
        <v>252</v>
      </c>
      <c r="AJ135" s="242">
        <v>1.89</v>
      </c>
      <c r="AK135" s="242" t="s">
        <v>252</v>
      </c>
      <c r="AL135" s="242">
        <v>1.22</v>
      </c>
      <c r="AM135" s="242" t="s">
        <v>252</v>
      </c>
      <c r="AN135" s="242">
        <v>1.91</v>
      </c>
      <c r="AO135" s="242" t="s">
        <v>252</v>
      </c>
      <c r="AP135" s="242">
        <v>2.15</v>
      </c>
      <c r="AQ135" s="242" t="s">
        <v>252</v>
      </c>
      <c r="AR135" s="242">
        <v>21.38</v>
      </c>
      <c r="AS135" s="242" t="s">
        <v>252</v>
      </c>
      <c r="AT135" s="242">
        <v>20.45</v>
      </c>
      <c r="AU135" s="242" t="s">
        <v>252</v>
      </c>
      <c r="AV135" s="242">
        <v>24.17</v>
      </c>
      <c r="AW135" s="157" t="s">
        <v>252</v>
      </c>
      <c r="AX135" s="157">
        <v>639.94999999999982</v>
      </c>
      <c r="AY135" s="240">
        <v>0.09</v>
      </c>
      <c r="AZ135" s="156" t="s">
        <v>253</v>
      </c>
      <c r="BA135" s="156" t="s">
        <v>254</v>
      </c>
      <c r="BB135" s="156">
        <v>0</v>
      </c>
      <c r="BC135" s="156" t="s">
        <v>1423</v>
      </c>
      <c r="BD135" s="3"/>
    </row>
    <row r="136" spans="1:56" ht="15.75" hidden="1" customHeight="1" outlineLevel="1">
      <c r="A136" s="58">
        <v>126</v>
      </c>
      <c r="B136" s="11">
        <v>129126</v>
      </c>
      <c r="C136" s="89" t="s">
        <v>272</v>
      </c>
      <c r="D136" s="157">
        <v>19</v>
      </c>
      <c r="E136" s="12" t="s">
        <v>191</v>
      </c>
      <c r="F136" s="11" t="s">
        <v>246</v>
      </c>
      <c r="G136" s="18" t="s">
        <v>247</v>
      </c>
      <c r="H136" s="11" t="s">
        <v>248</v>
      </c>
      <c r="I136" s="87" t="s">
        <v>249</v>
      </c>
      <c r="J136" s="19" t="s">
        <v>139</v>
      </c>
      <c r="K136" s="17" t="s">
        <v>140</v>
      </c>
      <c r="L136" s="260">
        <v>1</v>
      </c>
      <c r="M136" s="70" t="s">
        <v>250</v>
      </c>
      <c r="N136" s="70">
        <v>80</v>
      </c>
      <c r="O136" s="258">
        <v>8</v>
      </c>
      <c r="P136" s="70" t="s">
        <v>251</v>
      </c>
      <c r="Q136" s="70" t="s">
        <v>233</v>
      </c>
      <c r="R136" s="70" t="s">
        <v>240</v>
      </c>
      <c r="S136" s="70" t="s">
        <v>233</v>
      </c>
      <c r="T136" s="70" t="s">
        <v>233</v>
      </c>
      <c r="U136" s="70" t="s">
        <v>1427</v>
      </c>
      <c r="V136" s="70" t="s">
        <v>240</v>
      </c>
      <c r="W136" s="12"/>
      <c r="X136" s="242">
        <v>206.71352345906158</v>
      </c>
      <c r="Y136" s="242">
        <v>198.16099356025762</v>
      </c>
      <c r="Z136" s="242">
        <v>30.69052437902484</v>
      </c>
      <c r="AA136" s="157" t="s">
        <v>252</v>
      </c>
      <c r="AB136" s="242">
        <v>23.68592456301748</v>
      </c>
      <c r="AC136" s="157" t="s">
        <v>252</v>
      </c>
      <c r="AD136" s="242">
        <v>30.69052437902484</v>
      </c>
      <c r="AE136" s="157" t="s">
        <v>252</v>
      </c>
      <c r="AF136" s="242">
        <v>19.535050597976081</v>
      </c>
      <c r="AG136" s="157" t="s">
        <v>252</v>
      </c>
      <c r="AH136" s="242">
        <v>7.5321067157313717</v>
      </c>
      <c r="AI136" s="157" t="s">
        <v>252</v>
      </c>
      <c r="AJ136" s="242">
        <v>2.9315547378104876</v>
      </c>
      <c r="AK136" s="242" t="s">
        <v>252</v>
      </c>
      <c r="AL136" s="242">
        <v>3.4763569457221708</v>
      </c>
      <c r="AM136" s="242" t="s">
        <v>252</v>
      </c>
      <c r="AN136" s="242">
        <v>2.2916283348666053</v>
      </c>
      <c r="AO136" s="242" t="s">
        <v>252</v>
      </c>
      <c r="AP136" s="242">
        <v>2.9402023919043239</v>
      </c>
      <c r="AQ136" s="242" t="s">
        <v>252</v>
      </c>
      <c r="AR136" s="242">
        <v>19.76853725850966</v>
      </c>
      <c r="AS136" s="242" t="s">
        <v>252</v>
      </c>
      <c r="AT136" s="242">
        <v>17.27801287948482</v>
      </c>
      <c r="AU136" s="242" t="s">
        <v>252</v>
      </c>
      <c r="AV136" s="242">
        <v>21.895860165593376</v>
      </c>
      <c r="AW136" s="157" t="s">
        <v>252</v>
      </c>
      <c r="AX136" s="157">
        <v>587.59080036798525</v>
      </c>
      <c r="AY136" s="240">
        <v>8.6476540938362476E-2</v>
      </c>
      <c r="AZ136" s="156" t="s">
        <v>253</v>
      </c>
      <c r="BA136" s="156" t="s">
        <v>254</v>
      </c>
      <c r="BB136" s="156">
        <v>1</v>
      </c>
      <c r="BC136" s="156" t="s">
        <v>1423</v>
      </c>
      <c r="BD136" s="3"/>
    </row>
    <row r="137" spans="1:56" ht="15.75" hidden="1" customHeight="1" outlineLevel="1">
      <c r="A137" s="58">
        <v>127</v>
      </c>
      <c r="B137" s="11">
        <v>129127</v>
      </c>
      <c r="C137" s="89" t="s">
        <v>272</v>
      </c>
      <c r="D137" s="157">
        <v>19</v>
      </c>
      <c r="E137" s="12" t="s">
        <v>231</v>
      </c>
      <c r="F137" s="11" t="s">
        <v>246</v>
      </c>
      <c r="G137" s="18" t="s">
        <v>247</v>
      </c>
      <c r="H137" s="11" t="s">
        <v>248</v>
      </c>
      <c r="I137" s="87" t="s">
        <v>249</v>
      </c>
      <c r="J137" s="19" t="s">
        <v>139</v>
      </c>
      <c r="K137" s="17" t="s">
        <v>140</v>
      </c>
      <c r="L137" s="257">
        <v>0</v>
      </c>
      <c r="M137" s="70" t="s">
        <v>250</v>
      </c>
      <c r="N137" s="70">
        <v>80</v>
      </c>
      <c r="O137" s="258">
        <v>8</v>
      </c>
      <c r="P137" s="70" t="s">
        <v>251</v>
      </c>
      <c r="Q137" s="70" t="s">
        <v>233</v>
      </c>
      <c r="R137" s="70" t="s">
        <v>240</v>
      </c>
      <c r="S137" s="70" t="s">
        <v>233</v>
      </c>
      <c r="T137" s="70" t="s">
        <v>233</v>
      </c>
      <c r="U137" s="70" t="s">
        <v>1427</v>
      </c>
      <c r="V137" s="70" t="s">
        <v>240</v>
      </c>
      <c r="W137" s="12"/>
      <c r="X137" s="242">
        <v>32.326476540938359</v>
      </c>
      <c r="Y137" s="242">
        <v>30.989006439742418</v>
      </c>
      <c r="Z137" s="242">
        <v>4.7994756209751612</v>
      </c>
      <c r="AA137" s="157" t="s">
        <v>252</v>
      </c>
      <c r="AB137" s="242">
        <v>3.7040754369825208</v>
      </c>
      <c r="AC137" s="157" t="s">
        <v>252</v>
      </c>
      <c r="AD137" s="242">
        <v>4.7994756209751612</v>
      </c>
      <c r="AE137" s="157" t="s">
        <v>252</v>
      </c>
      <c r="AF137" s="242">
        <v>3.0549494020239192</v>
      </c>
      <c r="AG137" s="157" t="s">
        <v>252</v>
      </c>
      <c r="AH137" s="242">
        <v>1.1778932842686294</v>
      </c>
      <c r="AI137" s="157" t="s">
        <v>252</v>
      </c>
      <c r="AJ137" s="242">
        <v>0.45844526218951248</v>
      </c>
      <c r="AK137" s="242" t="s">
        <v>252</v>
      </c>
      <c r="AL137" s="242">
        <v>0.54364305427782889</v>
      </c>
      <c r="AM137" s="242" t="s">
        <v>252</v>
      </c>
      <c r="AN137" s="242">
        <v>0.35837166513339469</v>
      </c>
      <c r="AO137" s="242" t="s">
        <v>252</v>
      </c>
      <c r="AP137" s="242">
        <v>0.45979760809567621</v>
      </c>
      <c r="AQ137" s="242" t="s">
        <v>252</v>
      </c>
      <c r="AR137" s="242">
        <v>3.0914627414903406</v>
      </c>
      <c r="AS137" s="242" t="s">
        <v>252</v>
      </c>
      <c r="AT137" s="242">
        <v>2.7019871205151795</v>
      </c>
      <c r="AU137" s="242" t="s">
        <v>252</v>
      </c>
      <c r="AV137" s="242">
        <v>3.4241398344066241</v>
      </c>
      <c r="AW137" s="157" t="s">
        <v>252</v>
      </c>
      <c r="AX137" s="157">
        <v>91.889199632014737</v>
      </c>
      <c r="AY137" s="243">
        <v>1.3523459061637537E-2</v>
      </c>
      <c r="AZ137" s="156" t="s">
        <v>253</v>
      </c>
      <c r="BA137" s="156" t="s">
        <v>254</v>
      </c>
      <c r="BB137" s="156">
        <v>0</v>
      </c>
      <c r="BC137" s="156" t="s">
        <v>1423</v>
      </c>
      <c r="BD137" s="3"/>
    </row>
    <row r="138" spans="1:56" ht="15.75" hidden="1" customHeight="1" outlineLevel="1">
      <c r="A138" s="58">
        <v>128</v>
      </c>
      <c r="B138" s="11">
        <v>129128</v>
      </c>
      <c r="C138" s="89" t="s">
        <v>272</v>
      </c>
      <c r="D138" s="157" t="s">
        <v>203</v>
      </c>
      <c r="E138" s="12" t="s">
        <v>191</v>
      </c>
      <c r="F138" s="11" t="s">
        <v>246</v>
      </c>
      <c r="G138" s="18" t="s">
        <v>247</v>
      </c>
      <c r="H138" s="11" t="s">
        <v>248</v>
      </c>
      <c r="I138" s="87" t="s">
        <v>249</v>
      </c>
      <c r="J138" s="19" t="s">
        <v>139</v>
      </c>
      <c r="K138" s="17" t="s">
        <v>140</v>
      </c>
      <c r="L138" s="260">
        <v>1</v>
      </c>
      <c r="M138" s="70" t="s">
        <v>250</v>
      </c>
      <c r="N138" s="70">
        <v>80</v>
      </c>
      <c r="O138" s="258">
        <v>8</v>
      </c>
      <c r="P138" s="70" t="s">
        <v>251</v>
      </c>
      <c r="Q138" s="70" t="s">
        <v>233</v>
      </c>
      <c r="R138" s="70" t="s">
        <v>240</v>
      </c>
      <c r="S138" s="70" t="s">
        <v>233</v>
      </c>
      <c r="T138" s="70" t="s">
        <v>233</v>
      </c>
      <c r="U138" s="70" t="s">
        <v>1427</v>
      </c>
      <c r="V138" s="70" t="s">
        <v>240</v>
      </c>
      <c r="W138" s="12"/>
      <c r="X138" s="242">
        <v>536.38</v>
      </c>
      <c r="Y138" s="242">
        <v>480.48999999999995</v>
      </c>
      <c r="Z138" s="242">
        <v>80.97</v>
      </c>
      <c r="AA138" s="157" t="s">
        <v>252</v>
      </c>
      <c r="AB138" s="242">
        <v>61.77</v>
      </c>
      <c r="AC138" s="157" t="s">
        <v>252</v>
      </c>
      <c r="AD138" s="242">
        <v>75.88</v>
      </c>
      <c r="AE138" s="157" t="s">
        <v>252</v>
      </c>
      <c r="AF138" s="242">
        <v>54.04</v>
      </c>
      <c r="AG138" s="157" t="s">
        <v>252</v>
      </c>
      <c r="AH138" s="242">
        <v>20.16</v>
      </c>
      <c r="AI138" s="157" t="s">
        <v>252</v>
      </c>
      <c r="AJ138" s="242">
        <v>7.2</v>
      </c>
      <c r="AK138" s="242" t="s">
        <v>252</v>
      </c>
      <c r="AL138" s="242">
        <v>10.15</v>
      </c>
      <c r="AM138" s="242" t="s">
        <v>252</v>
      </c>
      <c r="AN138" s="242">
        <v>6.04</v>
      </c>
      <c r="AO138" s="242" t="s">
        <v>252</v>
      </c>
      <c r="AP138" s="242">
        <v>7.66</v>
      </c>
      <c r="AQ138" s="242" t="s">
        <v>252</v>
      </c>
      <c r="AR138" s="242">
        <v>52.52</v>
      </c>
      <c r="AS138" s="242" t="s">
        <v>252</v>
      </c>
      <c r="AT138" s="242">
        <v>44.49</v>
      </c>
      <c r="AU138" s="242" t="s">
        <v>252</v>
      </c>
      <c r="AV138" s="242">
        <v>61.49</v>
      </c>
      <c r="AW138" s="157" t="s">
        <v>252</v>
      </c>
      <c r="AX138" s="157">
        <v>1499.24</v>
      </c>
      <c r="AY138" s="240">
        <v>0.24</v>
      </c>
      <c r="AZ138" s="156" t="s">
        <v>253</v>
      </c>
      <c r="BA138" s="156" t="s">
        <v>254</v>
      </c>
      <c r="BB138" s="156">
        <v>1</v>
      </c>
      <c r="BC138" s="156" t="s">
        <v>1423</v>
      </c>
      <c r="BD138" s="3"/>
    </row>
    <row r="139" spans="1:56" ht="15.75" hidden="1" customHeight="1" outlineLevel="1">
      <c r="A139" s="58">
        <v>129</v>
      </c>
      <c r="B139" s="11">
        <v>129129</v>
      </c>
      <c r="C139" s="89" t="s">
        <v>272</v>
      </c>
      <c r="D139" s="157">
        <v>21</v>
      </c>
      <c r="E139" s="12" t="s">
        <v>191</v>
      </c>
      <c r="F139" s="11" t="s">
        <v>246</v>
      </c>
      <c r="G139" s="18" t="s">
        <v>247</v>
      </c>
      <c r="H139" s="11" t="s">
        <v>248</v>
      </c>
      <c r="I139" s="87" t="s">
        <v>249</v>
      </c>
      <c r="J139" s="19" t="s">
        <v>139</v>
      </c>
      <c r="K139" s="17" t="s">
        <v>140</v>
      </c>
      <c r="L139" s="257">
        <v>0</v>
      </c>
      <c r="M139" s="70" t="s">
        <v>250</v>
      </c>
      <c r="N139" s="70">
        <v>80</v>
      </c>
      <c r="O139" s="258">
        <v>8</v>
      </c>
      <c r="P139" s="70" t="s">
        <v>251</v>
      </c>
      <c r="Q139" s="70" t="s">
        <v>233</v>
      </c>
      <c r="R139" s="70" t="s">
        <v>240</v>
      </c>
      <c r="S139" s="70" t="s">
        <v>233</v>
      </c>
      <c r="T139" s="70" t="s">
        <v>233</v>
      </c>
      <c r="U139" s="70" t="s">
        <v>1427</v>
      </c>
      <c r="V139" s="70" t="s">
        <v>240</v>
      </c>
      <c r="W139" s="12"/>
      <c r="X139" s="242">
        <v>199.82</v>
      </c>
      <c r="Y139" s="242">
        <v>177.78000000000003</v>
      </c>
      <c r="Z139" s="242">
        <v>30.4</v>
      </c>
      <c r="AA139" s="157" t="s">
        <v>252</v>
      </c>
      <c r="AB139" s="242">
        <v>24.29</v>
      </c>
      <c r="AC139" s="157" t="s">
        <v>252</v>
      </c>
      <c r="AD139" s="242">
        <v>31.99</v>
      </c>
      <c r="AE139" s="157" t="s">
        <v>252</v>
      </c>
      <c r="AF139" s="242">
        <v>17.489999999999998</v>
      </c>
      <c r="AG139" s="157" t="s">
        <v>252</v>
      </c>
      <c r="AH139" s="242">
        <v>6.12</v>
      </c>
      <c r="AI139" s="157" t="s">
        <v>252</v>
      </c>
      <c r="AJ139" s="242">
        <v>2.2599999999999998</v>
      </c>
      <c r="AK139" s="242" t="s">
        <v>252</v>
      </c>
      <c r="AL139" s="242">
        <v>1.34</v>
      </c>
      <c r="AM139" s="242" t="s">
        <v>252</v>
      </c>
      <c r="AN139" s="242">
        <v>1.61</v>
      </c>
      <c r="AO139" s="242" t="s">
        <v>252</v>
      </c>
      <c r="AP139" s="242">
        <v>2.2200000000000002</v>
      </c>
      <c r="AQ139" s="242" t="s">
        <v>252</v>
      </c>
      <c r="AR139" s="242">
        <v>20.09</v>
      </c>
      <c r="AS139" s="242" t="s">
        <v>252</v>
      </c>
      <c r="AT139" s="242">
        <v>17.670000000000002</v>
      </c>
      <c r="AU139" s="242" t="s">
        <v>252</v>
      </c>
      <c r="AV139" s="242">
        <v>21.37</v>
      </c>
      <c r="AW139" s="157" t="s">
        <v>252</v>
      </c>
      <c r="AX139" s="157">
        <v>554.45000000000005</v>
      </c>
      <c r="AY139" s="240">
        <v>0.08</v>
      </c>
      <c r="AZ139" s="156" t="s">
        <v>253</v>
      </c>
      <c r="BA139" s="156" t="s">
        <v>254</v>
      </c>
      <c r="BB139" s="156">
        <v>0</v>
      </c>
      <c r="BC139" s="156" t="s">
        <v>1423</v>
      </c>
      <c r="BD139" s="3"/>
    </row>
    <row r="140" spans="1:56" ht="15.75" hidden="1" customHeight="1" outlineLevel="1">
      <c r="A140" s="58">
        <v>130</v>
      </c>
      <c r="B140" s="11">
        <v>129130</v>
      </c>
      <c r="C140" s="89" t="s">
        <v>272</v>
      </c>
      <c r="D140" s="157">
        <v>24</v>
      </c>
      <c r="E140" s="12" t="s">
        <v>191</v>
      </c>
      <c r="F140" s="11" t="s">
        <v>246</v>
      </c>
      <c r="G140" s="18" t="s">
        <v>247</v>
      </c>
      <c r="H140" s="11" t="s">
        <v>248</v>
      </c>
      <c r="I140" s="87" t="s">
        <v>249</v>
      </c>
      <c r="J140" s="19" t="s">
        <v>139</v>
      </c>
      <c r="K140" s="17" t="s">
        <v>140</v>
      </c>
      <c r="L140" s="260">
        <v>1</v>
      </c>
      <c r="M140" s="70" t="s">
        <v>250</v>
      </c>
      <c r="N140" s="70">
        <v>100</v>
      </c>
      <c r="O140" s="258">
        <v>8</v>
      </c>
      <c r="P140" s="70" t="s">
        <v>251</v>
      </c>
      <c r="Q140" s="70" t="s">
        <v>233</v>
      </c>
      <c r="R140" s="70" t="s">
        <v>240</v>
      </c>
      <c r="S140" s="70" t="s">
        <v>233</v>
      </c>
      <c r="T140" s="70" t="s">
        <v>233</v>
      </c>
      <c r="U140" s="70" t="s">
        <v>1427</v>
      </c>
      <c r="V140" s="70" t="s">
        <v>240</v>
      </c>
      <c r="W140" s="12"/>
      <c r="X140" s="242">
        <v>498.02000000000004</v>
      </c>
      <c r="Y140" s="242">
        <v>451.63</v>
      </c>
      <c r="Z140" s="242">
        <v>73.58</v>
      </c>
      <c r="AA140" s="157" t="s">
        <v>252</v>
      </c>
      <c r="AB140" s="242">
        <v>56.85</v>
      </c>
      <c r="AC140" s="157" t="s">
        <v>252</v>
      </c>
      <c r="AD140" s="242">
        <v>72.5</v>
      </c>
      <c r="AE140" s="157" t="s">
        <v>252</v>
      </c>
      <c r="AF140" s="242">
        <v>51.82</v>
      </c>
      <c r="AG140" s="157" t="s">
        <v>252</v>
      </c>
      <c r="AH140" s="242">
        <v>18.27</v>
      </c>
      <c r="AI140" s="157" t="s">
        <v>252</v>
      </c>
      <c r="AJ140" s="242">
        <v>5.88</v>
      </c>
      <c r="AK140" s="242" t="s">
        <v>252</v>
      </c>
      <c r="AL140" s="242">
        <v>9.01</v>
      </c>
      <c r="AM140" s="242" t="s">
        <v>252</v>
      </c>
      <c r="AN140" s="242">
        <v>5.25</v>
      </c>
      <c r="AO140" s="242" t="s">
        <v>252</v>
      </c>
      <c r="AP140" s="242">
        <v>8.09</v>
      </c>
      <c r="AQ140" s="242" t="s">
        <v>252</v>
      </c>
      <c r="AR140" s="242">
        <v>49.73</v>
      </c>
      <c r="AS140" s="242" t="s">
        <v>252</v>
      </c>
      <c r="AT140" s="242">
        <v>47.04</v>
      </c>
      <c r="AU140" s="242" t="s">
        <v>252</v>
      </c>
      <c r="AV140" s="242">
        <v>58.89</v>
      </c>
      <c r="AW140" s="157" t="s">
        <v>252</v>
      </c>
      <c r="AX140" s="157">
        <v>1406.5600000000002</v>
      </c>
      <c r="AY140" s="240">
        <v>0.19</v>
      </c>
      <c r="AZ140" s="156" t="s">
        <v>253</v>
      </c>
      <c r="BA140" s="156" t="s">
        <v>254</v>
      </c>
      <c r="BB140" s="156">
        <v>1</v>
      </c>
      <c r="BC140" s="157" t="s">
        <v>255</v>
      </c>
      <c r="BD140" s="3"/>
    </row>
    <row r="141" spans="1:56" ht="15.75" hidden="1" customHeight="1" outlineLevel="1">
      <c r="A141" s="58">
        <v>131</v>
      </c>
      <c r="B141" s="11">
        <v>129131</v>
      </c>
      <c r="C141" s="89" t="s">
        <v>272</v>
      </c>
      <c r="D141" s="157">
        <v>26</v>
      </c>
      <c r="E141" s="12" t="s">
        <v>191</v>
      </c>
      <c r="F141" s="11" t="s">
        <v>246</v>
      </c>
      <c r="G141" s="18" t="s">
        <v>247</v>
      </c>
      <c r="H141" s="11" t="s">
        <v>248</v>
      </c>
      <c r="I141" s="87" t="s">
        <v>249</v>
      </c>
      <c r="J141" s="19" t="s">
        <v>139</v>
      </c>
      <c r="K141" s="17" t="s">
        <v>140</v>
      </c>
      <c r="L141" s="260">
        <v>1</v>
      </c>
      <c r="M141" s="70" t="s">
        <v>250</v>
      </c>
      <c r="N141" s="70">
        <v>100</v>
      </c>
      <c r="O141" s="258">
        <v>8</v>
      </c>
      <c r="P141" s="70" t="s">
        <v>251</v>
      </c>
      <c r="Q141" s="70" t="s">
        <v>233</v>
      </c>
      <c r="R141" s="70" t="s">
        <v>240</v>
      </c>
      <c r="S141" s="70" t="s">
        <v>233</v>
      </c>
      <c r="T141" s="70" t="s">
        <v>233</v>
      </c>
      <c r="U141" s="70" t="s">
        <v>1427</v>
      </c>
      <c r="V141" s="70" t="s">
        <v>240</v>
      </c>
      <c r="W141" s="12"/>
      <c r="X141" s="242">
        <v>460.57</v>
      </c>
      <c r="Y141" s="242">
        <v>431.72</v>
      </c>
      <c r="Z141" s="242">
        <v>63.89</v>
      </c>
      <c r="AA141" s="157" t="s">
        <v>252</v>
      </c>
      <c r="AB141" s="242">
        <v>53.59</v>
      </c>
      <c r="AC141" s="157" t="s">
        <v>252</v>
      </c>
      <c r="AD141" s="242">
        <v>62.59</v>
      </c>
      <c r="AE141" s="157" t="s">
        <v>252</v>
      </c>
      <c r="AF141" s="242">
        <v>35.270000000000003</v>
      </c>
      <c r="AG141" s="157" t="s">
        <v>252</v>
      </c>
      <c r="AH141" s="242">
        <v>13.79</v>
      </c>
      <c r="AI141" s="157" t="s">
        <v>252</v>
      </c>
      <c r="AJ141" s="242">
        <v>11.02</v>
      </c>
      <c r="AK141" s="242" t="s">
        <v>252</v>
      </c>
      <c r="AL141" s="242">
        <v>11.2</v>
      </c>
      <c r="AM141" s="242" t="s">
        <v>252</v>
      </c>
      <c r="AN141" s="242">
        <v>5.51</v>
      </c>
      <c r="AO141" s="242" t="s">
        <v>252</v>
      </c>
      <c r="AP141" s="242">
        <v>5.68</v>
      </c>
      <c r="AQ141" s="242" t="s">
        <v>252</v>
      </c>
      <c r="AR141" s="242">
        <v>33.369999999999997</v>
      </c>
      <c r="AS141" s="242" t="s">
        <v>252</v>
      </c>
      <c r="AT141" s="242">
        <v>27.4</v>
      </c>
      <c r="AU141" s="242" t="s">
        <v>252</v>
      </c>
      <c r="AV141" s="242">
        <v>40.090000000000003</v>
      </c>
      <c r="AW141" s="157" t="s">
        <v>252</v>
      </c>
      <c r="AX141" s="157">
        <v>1255.6899999999998</v>
      </c>
      <c r="AY141" s="240">
        <v>0.17399999999999999</v>
      </c>
      <c r="AZ141" s="156" t="s">
        <v>253</v>
      </c>
      <c r="BA141" s="156" t="s">
        <v>254</v>
      </c>
      <c r="BB141" s="156">
        <v>1</v>
      </c>
      <c r="BC141" s="156" t="s">
        <v>1423</v>
      </c>
      <c r="BD141" s="3"/>
    </row>
    <row r="142" spans="1:56" ht="15.75" hidden="1" customHeight="1" outlineLevel="1">
      <c r="A142" s="58">
        <v>132</v>
      </c>
      <c r="B142" s="11">
        <v>129132</v>
      </c>
      <c r="C142" s="89" t="s">
        <v>272</v>
      </c>
      <c r="D142" s="157">
        <v>28</v>
      </c>
      <c r="E142" s="12" t="s">
        <v>191</v>
      </c>
      <c r="F142" s="11" t="s">
        <v>246</v>
      </c>
      <c r="G142" s="18" t="s">
        <v>247</v>
      </c>
      <c r="H142" s="11" t="s">
        <v>248</v>
      </c>
      <c r="I142" s="87" t="s">
        <v>249</v>
      </c>
      <c r="J142" s="19" t="s">
        <v>139</v>
      </c>
      <c r="K142" s="17" t="s">
        <v>140</v>
      </c>
      <c r="L142" s="257">
        <v>0</v>
      </c>
      <c r="M142" s="70" t="s">
        <v>250</v>
      </c>
      <c r="N142" s="70">
        <v>80</v>
      </c>
      <c r="O142" s="258">
        <v>8</v>
      </c>
      <c r="P142" s="70" t="s">
        <v>251</v>
      </c>
      <c r="Q142" s="70" t="s">
        <v>233</v>
      </c>
      <c r="R142" s="70" t="s">
        <v>240</v>
      </c>
      <c r="S142" s="70" t="s">
        <v>233</v>
      </c>
      <c r="T142" s="70" t="s">
        <v>233</v>
      </c>
      <c r="U142" s="70" t="s">
        <v>1427</v>
      </c>
      <c r="V142" s="70" t="s">
        <v>240</v>
      </c>
      <c r="W142" s="12"/>
      <c r="X142" s="242">
        <v>689.56</v>
      </c>
      <c r="Y142" s="242">
        <v>649.03</v>
      </c>
      <c r="Z142" s="242">
        <v>94.63</v>
      </c>
      <c r="AA142" s="157" t="s">
        <v>252</v>
      </c>
      <c r="AB142" s="242">
        <v>79.73</v>
      </c>
      <c r="AC142" s="157" t="s">
        <v>252</v>
      </c>
      <c r="AD142" s="242">
        <v>92.57</v>
      </c>
      <c r="AE142" s="157" t="s">
        <v>252</v>
      </c>
      <c r="AF142" s="242">
        <v>52.46</v>
      </c>
      <c r="AG142" s="157" t="s">
        <v>252</v>
      </c>
      <c r="AH142" s="242">
        <v>20.22</v>
      </c>
      <c r="AI142" s="157" t="s">
        <v>252</v>
      </c>
      <c r="AJ142" s="242">
        <v>19.11</v>
      </c>
      <c r="AK142" s="242" t="s">
        <v>252</v>
      </c>
      <c r="AL142" s="242">
        <v>11.96</v>
      </c>
      <c r="AM142" s="242" t="s">
        <v>252</v>
      </c>
      <c r="AN142" s="242">
        <v>9.5500000000000007</v>
      </c>
      <c r="AO142" s="242" t="s">
        <v>252</v>
      </c>
      <c r="AP142" s="242">
        <v>9.89</v>
      </c>
      <c r="AQ142" s="242" t="s">
        <v>252</v>
      </c>
      <c r="AR142" s="242">
        <v>49.13</v>
      </c>
      <c r="AS142" s="242" t="s">
        <v>252</v>
      </c>
      <c r="AT142" s="242">
        <v>40.619999999999997</v>
      </c>
      <c r="AU142" s="242" t="s">
        <v>252</v>
      </c>
      <c r="AV142" s="242">
        <v>59.28</v>
      </c>
      <c r="AW142" s="157" t="s">
        <v>252</v>
      </c>
      <c r="AX142" s="157">
        <v>1877.7399999999998</v>
      </c>
      <c r="AY142" s="240">
        <v>0.254</v>
      </c>
      <c r="AZ142" s="156" t="s">
        <v>253</v>
      </c>
      <c r="BA142" s="156" t="s">
        <v>254</v>
      </c>
      <c r="BB142" s="156">
        <v>0</v>
      </c>
      <c r="BC142" s="156" t="s">
        <v>1423</v>
      </c>
      <c r="BD142" s="3"/>
    </row>
    <row r="143" spans="1:56" ht="15.75" hidden="1" customHeight="1" outlineLevel="1">
      <c r="A143" s="58">
        <v>133</v>
      </c>
      <c r="B143" s="11">
        <v>129133</v>
      </c>
      <c r="C143" s="89" t="s">
        <v>272</v>
      </c>
      <c r="D143" s="157">
        <v>3</v>
      </c>
      <c r="E143" s="12" t="s">
        <v>191</v>
      </c>
      <c r="F143" s="11" t="s">
        <v>246</v>
      </c>
      <c r="G143" s="18" t="s">
        <v>247</v>
      </c>
      <c r="H143" s="11" t="s">
        <v>248</v>
      </c>
      <c r="I143" s="87" t="s">
        <v>249</v>
      </c>
      <c r="J143" s="19" t="s">
        <v>139</v>
      </c>
      <c r="K143" s="17" t="s">
        <v>140</v>
      </c>
      <c r="L143" s="260">
        <v>1</v>
      </c>
      <c r="M143" s="70" t="s">
        <v>250</v>
      </c>
      <c r="N143" s="70">
        <v>80</v>
      </c>
      <c r="O143" s="258">
        <v>8</v>
      </c>
      <c r="P143" s="70" t="s">
        <v>251</v>
      </c>
      <c r="Q143" s="70" t="s">
        <v>233</v>
      </c>
      <c r="R143" s="70" t="s">
        <v>240</v>
      </c>
      <c r="S143" s="70" t="s">
        <v>233</v>
      </c>
      <c r="T143" s="70" t="s">
        <v>233</v>
      </c>
      <c r="U143" s="70" t="s">
        <v>1427</v>
      </c>
      <c r="V143" s="70" t="s">
        <v>240</v>
      </c>
      <c r="W143" s="12"/>
      <c r="X143" s="242">
        <v>913.55</v>
      </c>
      <c r="Y143" s="242">
        <v>721.63</v>
      </c>
      <c r="Z143" s="242">
        <v>123.47</v>
      </c>
      <c r="AA143" s="157" t="s">
        <v>252</v>
      </c>
      <c r="AB143" s="242">
        <v>73.27</v>
      </c>
      <c r="AC143" s="157" t="s">
        <v>252</v>
      </c>
      <c r="AD143" s="242">
        <v>97.77</v>
      </c>
      <c r="AE143" s="157" t="s">
        <v>252</v>
      </c>
      <c r="AF143" s="242">
        <v>56.93</v>
      </c>
      <c r="AG143" s="157" t="s">
        <v>252</v>
      </c>
      <c r="AH143" s="242">
        <v>29.25</v>
      </c>
      <c r="AI143" s="157" t="s">
        <v>252</v>
      </c>
      <c r="AJ143" s="242">
        <v>13.67</v>
      </c>
      <c r="AK143" s="242" t="s">
        <v>252</v>
      </c>
      <c r="AL143" s="242">
        <v>18.559999999999999</v>
      </c>
      <c r="AM143" s="242" t="s">
        <v>252</v>
      </c>
      <c r="AN143" s="242">
        <v>16.600000000000001</v>
      </c>
      <c r="AO143" s="242" t="s">
        <v>252</v>
      </c>
      <c r="AP143" s="242">
        <v>15.09</v>
      </c>
      <c r="AQ143" s="242" t="s">
        <v>252</v>
      </c>
      <c r="AR143" s="242">
        <v>64.08</v>
      </c>
      <c r="AS143" s="242" t="s">
        <v>252</v>
      </c>
      <c r="AT143" s="242">
        <v>59.07</v>
      </c>
      <c r="AU143" s="242" t="s">
        <v>252</v>
      </c>
      <c r="AV143" s="242">
        <v>62.44</v>
      </c>
      <c r="AW143" s="157" t="s">
        <v>252</v>
      </c>
      <c r="AX143" s="157">
        <v>2265.38</v>
      </c>
      <c r="AY143" s="240">
        <v>0.40600000000000003</v>
      </c>
      <c r="AZ143" s="156" t="s">
        <v>253</v>
      </c>
      <c r="BA143" s="156" t="s">
        <v>254</v>
      </c>
      <c r="BB143" s="156">
        <v>2</v>
      </c>
      <c r="BC143" s="156" t="s">
        <v>1423</v>
      </c>
      <c r="BD143" s="3"/>
    </row>
    <row r="144" spans="1:56" ht="15.75" hidden="1" customHeight="1" outlineLevel="1">
      <c r="A144" s="58">
        <v>134</v>
      </c>
      <c r="B144" s="11">
        <v>129134</v>
      </c>
      <c r="C144" s="89" t="s">
        <v>272</v>
      </c>
      <c r="D144" s="157">
        <v>30</v>
      </c>
      <c r="E144" s="12" t="s">
        <v>191</v>
      </c>
      <c r="F144" s="11" t="s">
        <v>246</v>
      </c>
      <c r="G144" s="18" t="s">
        <v>247</v>
      </c>
      <c r="H144" s="11" t="s">
        <v>248</v>
      </c>
      <c r="I144" s="87" t="s">
        <v>249</v>
      </c>
      <c r="J144" s="19" t="s">
        <v>139</v>
      </c>
      <c r="K144" s="17" t="s">
        <v>140</v>
      </c>
      <c r="L144" s="260">
        <v>1</v>
      </c>
      <c r="M144" s="70" t="s">
        <v>250</v>
      </c>
      <c r="N144" s="70">
        <v>100</v>
      </c>
      <c r="O144" s="258">
        <v>8</v>
      </c>
      <c r="P144" s="70" t="s">
        <v>251</v>
      </c>
      <c r="Q144" s="70" t="s">
        <v>233</v>
      </c>
      <c r="R144" s="70" t="s">
        <v>240</v>
      </c>
      <c r="S144" s="70" t="s">
        <v>233</v>
      </c>
      <c r="T144" s="70" t="s">
        <v>233</v>
      </c>
      <c r="U144" s="70" t="s">
        <v>1427</v>
      </c>
      <c r="V144" s="70" t="s">
        <v>240</v>
      </c>
      <c r="W144" s="12"/>
      <c r="X144" s="242">
        <v>597.49</v>
      </c>
      <c r="Y144" s="242">
        <v>635.70999999999992</v>
      </c>
      <c r="Z144" s="242">
        <v>82.28</v>
      </c>
      <c r="AA144" s="157" t="s">
        <v>252</v>
      </c>
      <c r="AB144" s="242">
        <v>56.68</v>
      </c>
      <c r="AC144" s="157" t="s">
        <v>252</v>
      </c>
      <c r="AD144" s="242">
        <v>80.180000000000007</v>
      </c>
      <c r="AE144" s="157" t="s">
        <v>252</v>
      </c>
      <c r="AF144" s="242">
        <v>45.85</v>
      </c>
      <c r="AG144" s="157" t="s">
        <v>252</v>
      </c>
      <c r="AH144" s="242">
        <v>17.420000000000002</v>
      </c>
      <c r="AI144" s="157" t="s">
        <v>252</v>
      </c>
      <c r="AJ144" s="242">
        <v>9.8000000000000007</v>
      </c>
      <c r="AK144" s="242" t="s">
        <v>252</v>
      </c>
      <c r="AL144" s="242">
        <v>9.77</v>
      </c>
      <c r="AM144" s="242" t="s">
        <v>252</v>
      </c>
      <c r="AN144" s="242">
        <v>7.21</v>
      </c>
      <c r="AO144" s="242" t="s">
        <v>252</v>
      </c>
      <c r="AP144" s="242">
        <v>9.93</v>
      </c>
      <c r="AQ144" s="242" t="s">
        <v>252</v>
      </c>
      <c r="AR144" s="242">
        <v>52.86</v>
      </c>
      <c r="AS144" s="242" t="s">
        <v>252</v>
      </c>
      <c r="AT144" s="242">
        <v>46.08</v>
      </c>
      <c r="AU144" s="242" t="s">
        <v>252</v>
      </c>
      <c r="AV144" s="242">
        <v>58.07</v>
      </c>
      <c r="AW144" s="157" t="s">
        <v>252</v>
      </c>
      <c r="AX144" s="157">
        <v>1709.3299999999997</v>
      </c>
      <c r="AY144" s="240">
        <v>0.28999999999999998</v>
      </c>
      <c r="AZ144" s="156" t="s">
        <v>253</v>
      </c>
      <c r="BA144" s="156" t="s">
        <v>254</v>
      </c>
      <c r="BB144" s="156">
        <v>1</v>
      </c>
      <c r="BC144" s="156" t="s">
        <v>1423</v>
      </c>
      <c r="BD144" s="3"/>
    </row>
    <row r="145" spans="1:56" ht="15.75" hidden="1" customHeight="1" outlineLevel="1">
      <c r="A145" s="58">
        <v>135</v>
      </c>
      <c r="B145" s="11">
        <v>129135</v>
      </c>
      <c r="C145" s="89" t="s">
        <v>272</v>
      </c>
      <c r="D145" s="157">
        <v>4</v>
      </c>
      <c r="E145" s="12" t="s">
        <v>191</v>
      </c>
      <c r="F145" s="11" t="s">
        <v>246</v>
      </c>
      <c r="G145" s="18" t="s">
        <v>247</v>
      </c>
      <c r="H145" s="11" t="s">
        <v>248</v>
      </c>
      <c r="I145" s="87" t="s">
        <v>249</v>
      </c>
      <c r="J145" s="19" t="s">
        <v>139</v>
      </c>
      <c r="K145" s="17" t="s">
        <v>140</v>
      </c>
      <c r="L145" s="257">
        <v>0</v>
      </c>
      <c r="M145" s="70" t="s">
        <v>250</v>
      </c>
      <c r="N145" s="70">
        <v>100</v>
      </c>
      <c r="O145" s="258">
        <v>8</v>
      </c>
      <c r="P145" s="70" t="s">
        <v>251</v>
      </c>
      <c r="Q145" s="70" t="s">
        <v>233</v>
      </c>
      <c r="R145" s="70" t="s">
        <v>240</v>
      </c>
      <c r="S145" s="70" t="s">
        <v>233</v>
      </c>
      <c r="T145" s="70" t="s">
        <v>233</v>
      </c>
      <c r="U145" s="70" t="s">
        <v>1427</v>
      </c>
      <c r="V145" s="70" t="s">
        <v>240</v>
      </c>
      <c r="W145" s="12"/>
      <c r="X145" s="242">
        <v>425.23999999999995</v>
      </c>
      <c r="Y145" s="242">
        <v>394.89</v>
      </c>
      <c r="Z145" s="242">
        <v>65.77</v>
      </c>
      <c r="AA145" s="157" t="s">
        <v>252</v>
      </c>
      <c r="AB145" s="242">
        <v>50.17</v>
      </c>
      <c r="AC145" s="157" t="s">
        <v>252</v>
      </c>
      <c r="AD145" s="242">
        <v>61.68</v>
      </c>
      <c r="AE145" s="157" t="s">
        <v>252</v>
      </c>
      <c r="AF145" s="242">
        <v>43.94</v>
      </c>
      <c r="AG145" s="157" t="s">
        <v>252</v>
      </c>
      <c r="AH145" s="242">
        <v>16.16</v>
      </c>
      <c r="AI145" s="157" t="s">
        <v>252</v>
      </c>
      <c r="AJ145" s="242">
        <v>7.21</v>
      </c>
      <c r="AK145" s="242" t="s">
        <v>252</v>
      </c>
      <c r="AL145" s="242">
        <v>5.73</v>
      </c>
      <c r="AM145" s="242" t="s">
        <v>252</v>
      </c>
      <c r="AN145" s="242">
        <v>5.93</v>
      </c>
      <c r="AO145" s="242" t="s">
        <v>252</v>
      </c>
      <c r="AP145" s="242">
        <v>7.66</v>
      </c>
      <c r="AQ145" s="242" t="s">
        <v>252</v>
      </c>
      <c r="AR145" s="242">
        <v>42.22</v>
      </c>
      <c r="AS145" s="242" t="s">
        <v>252</v>
      </c>
      <c r="AT145" s="242">
        <v>35.93</v>
      </c>
      <c r="AU145" s="242" t="s">
        <v>252</v>
      </c>
      <c r="AV145" s="242">
        <v>49.89</v>
      </c>
      <c r="AW145" s="157" t="s">
        <v>252</v>
      </c>
      <c r="AX145" s="157">
        <v>1212.4200000000003</v>
      </c>
      <c r="AY145" s="240">
        <v>0.18</v>
      </c>
      <c r="AZ145" s="156" t="s">
        <v>253</v>
      </c>
      <c r="BA145" s="156" t="s">
        <v>254</v>
      </c>
      <c r="BB145" s="156">
        <v>0</v>
      </c>
      <c r="BC145" s="156" t="s">
        <v>1423</v>
      </c>
      <c r="BD145" s="3"/>
    </row>
    <row r="146" spans="1:56" ht="15.75" hidden="1" customHeight="1" outlineLevel="1">
      <c r="A146" s="58">
        <v>136</v>
      </c>
      <c r="B146" s="11">
        <v>129136</v>
      </c>
      <c r="C146" s="89" t="s">
        <v>272</v>
      </c>
      <c r="D146" s="157">
        <v>6</v>
      </c>
      <c r="E146" s="12" t="s">
        <v>191</v>
      </c>
      <c r="F146" s="11" t="s">
        <v>246</v>
      </c>
      <c r="G146" s="18" t="s">
        <v>247</v>
      </c>
      <c r="H146" s="11" t="s">
        <v>248</v>
      </c>
      <c r="I146" s="87" t="s">
        <v>249</v>
      </c>
      <c r="J146" s="19" t="s">
        <v>139</v>
      </c>
      <c r="K146" s="17" t="s">
        <v>140</v>
      </c>
      <c r="L146" s="260">
        <v>1</v>
      </c>
      <c r="M146" s="70" t="s">
        <v>250</v>
      </c>
      <c r="N146" s="70">
        <v>100</v>
      </c>
      <c r="O146" s="258">
        <v>8</v>
      </c>
      <c r="P146" s="70" t="s">
        <v>251</v>
      </c>
      <c r="Q146" s="70" t="s">
        <v>233</v>
      </c>
      <c r="R146" s="70" t="s">
        <v>240</v>
      </c>
      <c r="S146" s="70" t="s">
        <v>233</v>
      </c>
      <c r="T146" s="70" t="s">
        <v>233</v>
      </c>
      <c r="U146" s="70" t="s">
        <v>1427</v>
      </c>
      <c r="V146" s="70" t="s">
        <v>240</v>
      </c>
      <c r="W146" s="12"/>
      <c r="X146" s="242">
        <v>704.21999999999991</v>
      </c>
      <c r="Y146" s="242">
        <v>708.96</v>
      </c>
      <c r="Z146" s="242">
        <v>103.77</v>
      </c>
      <c r="AA146" s="157" t="s">
        <v>252</v>
      </c>
      <c r="AB146" s="242">
        <v>74.22</v>
      </c>
      <c r="AC146" s="157" t="s">
        <v>252</v>
      </c>
      <c r="AD146" s="242">
        <v>97.68</v>
      </c>
      <c r="AE146" s="157" t="s">
        <v>252</v>
      </c>
      <c r="AF146" s="242">
        <v>62.44</v>
      </c>
      <c r="AG146" s="157" t="s">
        <v>252</v>
      </c>
      <c r="AH146" s="242">
        <v>29.5</v>
      </c>
      <c r="AI146" s="157" t="s">
        <v>252</v>
      </c>
      <c r="AJ146" s="242">
        <v>9.93</v>
      </c>
      <c r="AK146" s="242" t="s">
        <v>252</v>
      </c>
      <c r="AL146" s="242">
        <v>12.12</v>
      </c>
      <c r="AM146" s="242" t="s">
        <v>252</v>
      </c>
      <c r="AN146" s="242">
        <v>8.9700000000000006</v>
      </c>
      <c r="AO146" s="242" t="s">
        <v>252</v>
      </c>
      <c r="AP146" s="242">
        <v>12.4</v>
      </c>
      <c r="AQ146" s="242" t="s">
        <v>252</v>
      </c>
      <c r="AR146" s="242">
        <v>69.62</v>
      </c>
      <c r="AS146" s="242" t="s">
        <v>252</v>
      </c>
      <c r="AT146" s="242">
        <v>59.75</v>
      </c>
      <c r="AU146" s="242" t="s">
        <v>252</v>
      </c>
      <c r="AV146" s="242">
        <v>79.37</v>
      </c>
      <c r="AW146" s="157" t="s">
        <v>252</v>
      </c>
      <c r="AX146" s="157">
        <v>2032.9499999999998</v>
      </c>
      <c r="AY146" s="240">
        <v>0.32</v>
      </c>
      <c r="AZ146" s="156" t="s">
        <v>253</v>
      </c>
      <c r="BA146" s="156" t="s">
        <v>254</v>
      </c>
      <c r="BB146" s="156">
        <v>1</v>
      </c>
      <c r="BC146" s="156" t="s">
        <v>1423</v>
      </c>
      <c r="BD146" s="3"/>
    </row>
    <row r="147" spans="1:56" ht="15.75" hidden="1" customHeight="1" outlineLevel="1">
      <c r="A147" s="58">
        <v>137</v>
      </c>
      <c r="B147" s="11">
        <v>129137</v>
      </c>
      <c r="C147" s="89" t="s">
        <v>272</v>
      </c>
      <c r="D147" s="157">
        <v>7</v>
      </c>
      <c r="E147" s="12" t="s">
        <v>191</v>
      </c>
      <c r="F147" s="11" t="s">
        <v>246</v>
      </c>
      <c r="G147" s="18" t="s">
        <v>247</v>
      </c>
      <c r="H147" s="11" t="s">
        <v>248</v>
      </c>
      <c r="I147" s="87" t="s">
        <v>249</v>
      </c>
      <c r="J147" s="19" t="s">
        <v>139</v>
      </c>
      <c r="K147" s="17" t="s">
        <v>140</v>
      </c>
      <c r="L147" s="257">
        <v>0</v>
      </c>
      <c r="M147" s="70" t="s">
        <v>250</v>
      </c>
      <c r="N147" s="70">
        <v>100</v>
      </c>
      <c r="O147" s="258">
        <v>8</v>
      </c>
      <c r="P147" s="70" t="s">
        <v>251</v>
      </c>
      <c r="Q147" s="70" t="s">
        <v>233</v>
      </c>
      <c r="R147" s="70" t="s">
        <v>240</v>
      </c>
      <c r="S147" s="70" t="s">
        <v>240</v>
      </c>
      <c r="T147" s="70" t="s">
        <v>240</v>
      </c>
      <c r="U147" s="70" t="s">
        <v>1427</v>
      </c>
      <c r="V147" s="70" t="s">
        <v>240</v>
      </c>
      <c r="W147" s="12"/>
      <c r="X147" s="242">
        <v>307.20999999999992</v>
      </c>
      <c r="Y147" s="242">
        <v>346.53</v>
      </c>
      <c r="Z147" s="242">
        <v>0</v>
      </c>
      <c r="AA147" s="157" t="s">
        <v>259</v>
      </c>
      <c r="AB147" s="242">
        <v>0</v>
      </c>
      <c r="AC147" s="157" t="s">
        <v>259</v>
      </c>
      <c r="AD147" s="242">
        <v>0</v>
      </c>
      <c r="AE147" s="157" t="s">
        <v>259</v>
      </c>
      <c r="AF147" s="242">
        <v>0</v>
      </c>
      <c r="AG147" s="157" t="s">
        <v>259</v>
      </c>
      <c r="AH147" s="242">
        <v>21.62</v>
      </c>
      <c r="AI147" s="157" t="s">
        <v>259</v>
      </c>
      <c r="AJ147" s="242">
        <v>12.21</v>
      </c>
      <c r="AK147" s="242" t="s">
        <v>259</v>
      </c>
      <c r="AL147" s="242">
        <v>9.51</v>
      </c>
      <c r="AM147" s="242" t="s">
        <v>259</v>
      </c>
      <c r="AN147" s="242">
        <v>0</v>
      </c>
      <c r="AO147" s="242" t="s">
        <v>259</v>
      </c>
      <c r="AP147" s="242">
        <v>0</v>
      </c>
      <c r="AQ147" s="242" t="s">
        <v>259</v>
      </c>
      <c r="AR147" s="242">
        <v>47.44</v>
      </c>
      <c r="AS147" s="242" t="s">
        <v>259</v>
      </c>
      <c r="AT147" s="242">
        <v>51.35</v>
      </c>
      <c r="AU147" s="242" t="s">
        <v>259</v>
      </c>
      <c r="AV147" s="242">
        <v>57.28</v>
      </c>
      <c r="AW147" s="157" t="s">
        <v>259</v>
      </c>
      <c r="AX147" s="157">
        <v>853.15</v>
      </c>
      <c r="AY147" s="240">
        <v>0.15</v>
      </c>
      <c r="AZ147" s="156" t="s">
        <v>253</v>
      </c>
      <c r="BA147" s="156" t="s">
        <v>254</v>
      </c>
      <c r="BB147" s="156">
        <v>0</v>
      </c>
      <c r="BC147" s="156" t="s">
        <v>1423</v>
      </c>
      <c r="BD147" s="3"/>
    </row>
    <row r="148" spans="1:56" ht="15.75" hidden="1" customHeight="1" outlineLevel="1">
      <c r="A148" s="58">
        <v>138</v>
      </c>
      <c r="B148" s="11">
        <v>129138</v>
      </c>
      <c r="C148" s="89" t="s">
        <v>272</v>
      </c>
      <c r="D148" s="157">
        <v>8</v>
      </c>
      <c r="E148" s="12" t="s">
        <v>191</v>
      </c>
      <c r="F148" s="11" t="s">
        <v>246</v>
      </c>
      <c r="G148" s="18" t="s">
        <v>247</v>
      </c>
      <c r="H148" s="11" t="s">
        <v>248</v>
      </c>
      <c r="I148" s="87" t="s">
        <v>249</v>
      </c>
      <c r="J148" s="19" t="s">
        <v>139</v>
      </c>
      <c r="K148" s="17" t="s">
        <v>140</v>
      </c>
      <c r="L148" s="257">
        <v>0</v>
      </c>
      <c r="M148" s="70" t="s">
        <v>250</v>
      </c>
      <c r="N148" s="70">
        <v>100</v>
      </c>
      <c r="O148" s="258">
        <v>8</v>
      </c>
      <c r="P148" s="70" t="s">
        <v>251</v>
      </c>
      <c r="Q148" s="70" t="s">
        <v>233</v>
      </c>
      <c r="R148" s="70" t="s">
        <v>240</v>
      </c>
      <c r="S148" s="70" t="s">
        <v>233</v>
      </c>
      <c r="T148" s="70" t="s">
        <v>233</v>
      </c>
      <c r="U148" s="70" t="s">
        <v>1427</v>
      </c>
      <c r="V148" s="70" t="s">
        <v>240</v>
      </c>
      <c r="W148" s="12"/>
      <c r="X148" s="242">
        <v>510.95999999999992</v>
      </c>
      <c r="Y148" s="242">
        <v>537.67999999999995</v>
      </c>
      <c r="Z148" s="242">
        <v>78.38</v>
      </c>
      <c r="AA148" s="157" t="s">
        <v>252</v>
      </c>
      <c r="AB148" s="242">
        <v>56.07</v>
      </c>
      <c r="AC148" s="157" t="s">
        <v>252</v>
      </c>
      <c r="AD148" s="242">
        <v>73.88</v>
      </c>
      <c r="AE148" s="157" t="s">
        <v>252</v>
      </c>
      <c r="AF148" s="242">
        <v>47.15</v>
      </c>
      <c r="AG148" s="157" t="s">
        <v>252</v>
      </c>
      <c r="AH148" s="242">
        <v>22.24</v>
      </c>
      <c r="AI148" s="157" t="s">
        <v>252</v>
      </c>
      <c r="AJ148" s="242">
        <v>7.96</v>
      </c>
      <c r="AK148" s="242" t="s">
        <v>252</v>
      </c>
      <c r="AL148" s="242">
        <v>6.7</v>
      </c>
      <c r="AM148" s="242" t="s">
        <v>252</v>
      </c>
      <c r="AN148" s="242">
        <v>7.19</v>
      </c>
      <c r="AO148" s="242" t="s">
        <v>252</v>
      </c>
      <c r="AP148" s="242">
        <v>9.94</v>
      </c>
      <c r="AQ148" s="242" t="s">
        <v>252</v>
      </c>
      <c r="AR148" s="242">
        <v>52.45</v>
      </c>
      <c r="AS148" s="242" t="s">
        <v>252</v>
      </c>
      <c r="AT148" s="242">
        <v>45.06</v>
      </c>
      <c r="AU148" s="242" t="s">
        <v>252</v>
      </c>
      <c r="AV148" s="242">
        <v>59.9</v>
      </c>
      <c r="AW148" s="157" t="s">
        <v>252</v>
      </c>
      <c r="AX148" s="157">
        <v>1515.5600000000002</v>
      </c>
      <c r="AY148" s="240">
        <v>0.25</v>
      </c>
      <c r="AZ148" s="156" t="s">
        <v>253</v>
      </c>
      <c r="BA148" s="156" t="s">
        <v>254</v>
      </c>
      <c r="BB148" s="156">
        <v>0</v>
      </c>
      <c r="BC148" s="156" t="s">
        <v>1423</v>
      </c>
      <c r="BD148" s="3"/>
    </row>
    <row r="149" spans="1:56" ht="15.75" hidden="1" customHeight="1" outlineLevel="1">
      <c r="A149" s="58">
        <v>139</v>
      </c>
      <c r="B149" s="11">
        <v>129139</v>
      </c>
      <c r="C149" s="89" t="s">
        <v>273</v>
      </c>
      <c r="D149" s="157">
        <v>1</v>
      </c>
      <c r="E149" s="12" t="s">
        <v>191</v>
      </c>
      <c r="F149" s="11" t="s">
        <v>246</v>
      </c>
      <c r="G149" s="18" t="s">
        <v>247</v>
      </c>
      <c r="H149" s="11" t="s">
        <v>248</v>
      </c>
      <c r="I149" s="87" t="s">
        <v>249</v>
      </c>
      <c r="J149" s="19" t="s">
        <v>139</v>
      </c>
      <c r="K149" s="17" t="s">
        <v>140</v>
      </c>
      <c r="L149" s="257">
        <v>0</v>
      </c>
      <c r="M149" s="70" t="s">
        <v>250</v>
      </c>
      <c r="N149" s="70">
        <v>100</v>
      </c>
      <c r="O149" s="258">
        <v>8</v>
      </c>
      <c r="P149" s="70" t="s">
        <v>251</v>
      </c>
      <c r="Q149" s="70" t="s">
        <v>233</v>
      </c>
      <c r="R149" s="70" t="s">
        <v>240</v>
      </c>
      <c r="S149" s="70" t="s">
        <v>233</v>
      </c>
      <c r="T149" s="70" t="s">
        <v>233</v>
      </c>
      <c r="U149" s="70" t="s">
        <v>1427</v>
      </c>
      <c r="V149" s="70" t="s">
        <v>240</v>
      </c>
      <c r="W149" s="12"/>
      <c r="X149" s="242">
        <v>1005.94</v>
      </c>
      <c r="Y149" s="242">
        <v>912.81000000000006</v>
      </c>
      <c r="Z149" s="242">
        <v>154.09</v>
      </c>
      <c r="AA149" s="157" t="s">
        <v>252</v>
      </c>
      <c r="AB149" s="242">
        <v>117.88</v>
      </c>
      <c r="AC149" s="157" t="s">
        <v>252</v>
      </c>
      <c r="AD149" s="242">
        <v>144.61000000000001</v>
      </c>
      <c r="AE149" s="157" t="s">
        <v>252</v>
      </c>
      <c r="AF149" s="242">
        <v>103.19</v>
      </c>
      <c r="AG149" s="157" t="s">
        <v>252</v>
      </c>
      <c r="AH149" s="242">
        <v>37.799999999999997</v>
      </c>
      <c r="AI149" s="157" t="s">
        <v>252</v>
      </c>
      <c r="AJ149" s="242">
        <v>18.100000000000001</v>
      </c>
      <c r="AK149" s="242" t="s">
        <v>252</v>
      </c>
      <c r="AL149" s="242">
        <v>14.47</v>
      </c>
      <c r="AM149" s="242" t="s">
        <v>252</v>
      </c>
      <c r="AN149" s="242">
        <v>15.13</v>
      </c>
      <c r="AO149" s="242" t="s">
        <v>252</v>
      </c>
      <c r="AP149" s="242">
        <v>19.600000000000001</v>
      </c>
      <c r="AQ149" s="242" t="s">
        <v>252</v>
      </c>
      <c r="AR149" s="242">
        <v>98.74</v>
      </c>
      <c r="AS149" s="242" t="s">
        <v>252</v>
      </c>
      <c r="AT149" s="242">
        <v>84.07</v>
      </c>
      <c r="AU149" s="242" t="s">
        <v>252</v>
      </c>
      <c r="AV149" s="242">
        <v>116.9</v>
      </c>
      <c r="AW149" s="157" t="s">
        <v>252</v>
      </c>
      <c r="AX149" s="157">
        <v>2843.3300000000004</v>
      </c>
      <c r="AY149" s="240">
        <v>0.43</v>
      </c>
      <c r="AZ149" s="156" t="s">
        <v>253</v>
      </c>
      <c r="BA149" s="156" t="s">
        <v>254</v>
      </c>
      <c r="BB149" s="156">
        <v>0</v>
      </c>
      <c r="BC149" s="156" t="s">
        <v>1423</v>
      </c>
      <c r="BD149" s="3"/>
    </row>
    <row r="150" spans="1:56" ht="15.75" hidden="1" customHeight="1" outlineLevel="1">
      <c r="A150" s="58">
        <v>140</v>
      </c>
      <c r="B150" s="11">
        <v>129140</v>
      </c>
      <c r="C150" s="89" t="s">
        <v>273</v>
      </c>
      <c r="D150" s="157">
        <v>12</v>
      </c>
      <c r="E150" s="12" t="s">
        <v>191</v>
      </c>
      <c r="F150" s="11" t="s">
        <v>246</v>
      </c>
      <c r="G150" s="18" t="s">
        <v>247</v>
      </c>
      <c r="H150" s="11" t="s">
        <v>248</v>
      </c>
      <c r="I150" s="87" t="s">
        <v>249</v>
      </c>
      <c r="J150" s="19" t="s">
        <v>139</v>
      </c>
      <c r="K150" s="17" t="s">
        <v>140</v>
      </c>
      <c r="L150" s="257">
        <v>0</v>
      </c>
      <c r="M150" s="70" t="s">
        <v>250</v>
      </c>
      <c r="N150" s="70">
        <v>100</v>
      </c>
      <c r="O150" s="258">
        <v>8</v>
      </c>
      <c r="P150" s="70" t="s">
        <v>251</v>
      </c>
      <c r="Q150" s="70" t="s">
        <v>233</v>
      </c>
      <c r="R150" s="70" t="s">
        <v>240</v>
      </c>
      <c r="S150" s="70" t="s">
        <v>233</v>
      </c>
      <c r="T150" s="70" t="s">
        <v>233</v>
      </c>
      <c r="U150" s="70" t="s">
        <v>1427</v>
      </c>
      <c r="V150" s="70" t="s">
        <v>240</v>
      </c>
      <c r="W150" s="12"/>
      <c r="X150" s="242">
        <v>1187.98</v>
      </c>
      <c r="Y150" s="242">
        <v>1096.6299999999999</v>
      </c>
      <c r="Z150" s="242">
        <v>169.7</v>
      </c>
      <c r="AA150" s="157" t="s">
        <v>252</v>
      </c>
      <c r="AB150" s="242">
        <v>133.19</v>
      </c>
      <c r="AC150" s="157" t="s">
        <v>252</v>
      </c>
      <c r="AD150" s="242">
        <v>170.16</v>
      </c>
      <c r="AE150" s="157" t="s">
        <v>252</v>
      </c>
      <c r="AF150" s="242">
        <v>108.13</v>
      </c>
      <c r="AG150" s="157" t="s">
        <v>252</v>
      </c>
      <c r="AH150" s="242">
        <v>46.34</v>
      </c>
      <c r="AI150" s="157" t="s">
        <v>252</v>
      </c>
      <c r="AJ150" s="242">
        <v>21.18</v>
      </c>
      <c r="AK150" s="242" t="s">
        <v>252</v>
      </c>
      <c r="AL150" s="242">
        <v>17.98</v>
      </c>
      <c r="AM150" s="242" t="s">
        <v>252</v>
      </c>
      <c r="AN150" s="242">
        <v>20.77</v>
      </c>
      <c r="AO150" s="242" t="s">
        <v>252</v>
      </c>
      <c r="AP150" s="242">
        <v>25</v>
      </c>
      <c r="AQ150" s="242" t="s">
        <v>252</v>
      </c>
      <c r="AR150" s="242">
        <v>109.05</v>
      </c>
      <c r="AS150" s="242" t="s">
        <v>252</v>
      </c>
      <c r="AT150" s="242">
        <v>99.48</v>
      </c>
      <c r="AU150" s="242" t="s">
        <v>252</v>
      </c>
      <c r="AV150" s="242">
        <v>139.37</v>
      </c>
      <c r="AW150" s="157" t="s">
        <v>252</v>
      </c>
      <c r="AX150" s="157">
        <v>3344.9599999999996</v>
      </c>
      <c r="AY150" s="240">
        <v>0.45</v>
      </c>
      <c r="AZ150" s="156" t="s">
        <v>253</v>
      </c>
      <c r="BA150" s="156" t="s">
        <v>254</v>
      </c>
      <c r="BB150" s="156">
        <v>0</v>
      </c>
      <c r="BC150" s="156" t="s">
        <v>1423</v>
      </c>
      <c r="BD150" s="3"/>
    </row>
    <row r="151" spans="1:56" ht="15.75" hidden="1" customHeight="1" outlineLevel="1">
      <c r="A151" s="58">
        <v>141</v>
      </c>
      <c r="B151" s="11">
        <v>129141</v>
      </c>
      <c r="C151" s="89" t="s">
        <v>273</v>
      </c>
      <c r="D151" s="157">
        <v>14</v>
      </c>
      <c r="E151" s="12" t="s">
        <v>191</v>
      </c>
      <c r="F151" s="11" t="s">
        <v>246</v>
      </c>
      <c r="G151" s="18" t="s">
        <v>247</v>
      </c>
      <c r="H151" s="11" t="s">
        <v>248</v>
      </c>
      <c r="I151" s="87" t="s">
        <v>249</v>
      </c>
      <c r="J151" s="19" t="s">
        <v>139</v>
      </c>
      <c r="K151" s="17" t="s">
        <v>140</v>
      </c>
      <c r="L151" s="260">
        <v>1</v>
      </c>
      <c r="M151" s="70" t="s">
        <v>250</v>
      </c>
      <c r="N151" s="70">
        <v>100</v>
      </c>
      <c r="O151" s="258">
        <v>8</v>
      </c>
      <c r="P151" s="70" t="s">
        <v>251</v>
      </c>
      <c r="Q151" s="70" t="s">
        <v>233</v>
      </c>
      <c r="R151" s="70" t="s">
        <v>240</v>
      </c>
      <c r="S151" s="70" t="s">
        <v>233</v>
      </c>
      <c r="T151" s="70" t="s">
        <v>233</v>
      </c>
      <c r="U151" s="70" t="s">
        <v>1427</v>
      </c>
      <c r="V151" s="70" t="s">
        <v>240</v>
      </c>
      <c r="W151" s="12"/>
      <c r="X151" s="242">
        <v>1285.6599999999999</v>
      </c>
      <c r="Y151" s="242">
        <v>1250.42</v>
      </c>
      <c r="Z151" s="242">
        <v>199.01</v>
      </c>
      <c r="AA151" s="157" t="s">
        <v>252</v>
      </c>
      <c r="AB151" s="242">
        <v>147.91</v>
      </c>
      <c r="AC151" s="157" t="s">
        <v>252</v>
      </c>
      <c r="AD151" s="242">
        <v>196.32</v>
      </c>
      <c r="AE151" s="157" t="s">
        <v>252</v>
      </c>
      <c r="AF151" s="242">
        <v>121.05</v>
      </c>
      <c r="AG151" s="157" t="s">
        <v>252</v>
      </c>
      <c r="AH151" s="242">
        <v>50.69</v>
      </c>
      <c r="AI151" s="157" t="s">
        <v>252</v>
      </c>
      <c r="AJ151" s="242">
        <v>27.21</v>
      </c>
      <c r="AK151" s="242" t="s">
        <v>252</v>
      </c>
      <c r="AL151" s="242">
        <v>21.1</v>
      </c>
      <c r="AM151" s="242" t="s">
        <v>252</v>
      </c>
      <c r="AN151" s="242">
        <v>25.55</v>
      </c>
      <c r="AO151" s="242" t="s">
        <v>252</v>
      </c>
      <c r="AP151" s="242">
        <v>28.15</v>
      </c>
      <c r="AQ151" s="242" t="s">
        <v>252</v>
      </c>
      <c r="AR151" s="242">
        <v>116.64</v>
      </c>
      <c r="AS151" s="242" t="s">
        <v>252</v>
      </c>
      <c r="AT151" s="242">
        <v>110.59</v>
      </c>
      <c r="AU151" s="242" t="s">
        <v>252</v>
      </c>
      <c r="AV151" s="242">
        <v>141.69999999999999</v>
      </c>
      <c r="AW151" s="157" t="s">
        <v>252</v>
      </c>
      <c r="AX151" s="157">
        <v>3722.0000000000005</v>
      </c>
      <c r="AY151" s="240">
        <v>0.502</v>
      </c>
      <c r="AZ151" s="156" t="s">
        <v>253</v>
      </c>
      <c r="BA151" s="156" t="s">
        <v>254</v>
      </c>
      <c r="BB151" s="156">
        <v>1</v>
      </c>
      <c r="BC151" s="156" t="s">
        <v>1423</v>
      </c>
      <c r="BD151" s="3"/>
    </row>
    <row r="152" spans="1:56" ht="15.75" hidden="1" customHeight="1" outlineLevel="1">
      <c r="A152" s="58">
        <v>142</v>
      </c>
      <c r="B152" s="11">
        <v>129142</v>
      </c>
      <c r="C152" s="89" t="s">
        <v>273</v>
      </c>
      <c r="D152" s="157">
        <v>15</v>
      </c>
      <c r="E152" s="12" t="s">
        <v>191</v>
      </c>
      <c r="F152" s="11" t="s">
        <v>246</v>
      </c>
      <c r="G152" s="18" t="s">
        <v>247</v>
      </c>
      <c r="H152" s="11" t="s">
        <v>248</v>
      </c>
      <c r="I152" s="87" t="s">
        <v>249</v>
      </c>
      <c r="J152" s="19" t="s">
        <v>139</v>
      </c>
      <c r="K152" s="17" t="s">
        <v>140</v>
      </c>
      <c r="L152" s="260">
        <v>1</v>
      </c>
      <c r="M152" s="70" t="s">
        <v>250</v>
      </c>
      <c r="N152" s="70">
        <v>100</v>
      </c>
      <c r="O152" s="258">
        <v>8</v>
      </c>
      <c r="P152" s="70" t="s">
        <v>251</v>
      </c>
      <c r="Q152" s="70" t="s">
        <v>233</v>
      </c>
      <c r="R152" s="70" t="s">
        <v>240</v>
      </c>
      <c r="S152" s="70" t="s">
        <v>233</v>
      </c>
      <c r="T152" s="70" t="s">
        <v>233</v>
      </c>
      <c r="U152" s="70" t="s">
        <v>1427</v>
      </c>
      <c r="V152" s="70" t="s">
        <v>240</v>
      </c>
      <c r="W152" s="12"/>
      <c r="X152" s="242">
        <v>1090.45</v>
      </c>
      <c r="Y152" s="242">
        <v>945.13</v>
      </c>
      <c r="Z152" s="242">
        <v>159.13999999999999</v>
      </c>
      <c r="AA152" s="157" t="s">
        <v>252</v>
      </c>
      <c r="AB152" s="242">
        <v>105.18</v>
      </c>
      <c r="AC152" s="157" t="s">
        <v>252</v>
      </c>
      <c r="AD152" s="242">
        <v>139.53</v>
      </c>
      <c r="AE152" s="157" t="s">
        <v>252</v>
      </c>
      <c r="AF152" s="242">
        <v>82.67</v>
      </c>
      <c r="AG152" s="157" t="s">
        <v>252</v>
      </c>
      <c r="AH152" s="242">
        <v>42.56</v>
      </c>
      <c r="AI152" s="157" t="s">
        <v>252</v>
      </c>
      <c r="AJ152" s="242">
        <v>16.11</v>
      </c>
      <c r="AK152" s="242" t="s">
        <v>252</v>
      </c>
      <c r="AL152" s="242">
        <v>14.74</v>
      </c>
      <c r="AM152" s="242" t="s">
        <v>252</v>
      </c>
      <c r="AN152" s="242">
        <v>16.809999999999999</v>
      </c>
      <c r="AO152" s="242" t="s">
        <v>252</v>
      </c>
      <c r="AP152" s="242">
        <v>18.760000000000002</v>
      </c>
      <c r="AQ152" s="242" t="s">
        <v>252</v>
      </c>
      <c r="AR152" s="242">
        <v>89.55</v>
      </c>
      <c r="AS152" s="242" t="s">
        <v>252</v>
      </c>
      <c r="AT152" s="242">
        <v>86.74</v>
      </c>
      <c r="AU152" s="242" t="s">
        <v>252</v>
      </c>
      <c r="AV152" s="242">
        <v>103.42</v>
      </c>
      <c r="AW152" s="157" t="s">
        <v>252</v>
      </c>
      <c r="AX152" s="157">
        <v>2910.79</v>
      </c>
      <c r="AY152" s="240">
        <v>0.4</v>
      </c>
      <c r="AZ152" s="156" t="s">
        <v>253</v>
      </c>
      <c r="BA152" s="156" t="s">
        <v>254</v>
      </c>
      <c r="BB152" s="156">
        <v>1</v>
      </c>
      <c r="BC152" s="156" t="s">
        <v>1423</v>
      </c>
      <c r="BD152" s="3"/>
    </row>
    <row r="153" spans="1:56" ht="15.75" hidden="1" customHeight="1" outlineLevel="1">
      <c r="A153" s="58">
        <v>143</v>
      </c>
      <c r="B153" s="11">
        <v>129143</v>
      </c>
      <c r="C153" s="89" t="s">
        <v>273</v>
      </c>
      <c r="D153" s="157">
        <v>16</v>
      </c>
      <c r="E153" s="12" t="s">
        <v>191</v>
      </c>
      <c r="F153" s="11" t="s">
        <v>246</v>
      </c>
      <c r="G153" s="18" t="s">
        <v>247</v>
      </c>
      <c r="H153" s="11" t="s">
        <v>248</v>
      </c>
      <c r="I153" s="87" t="s">
        <v>249</v>
      </c>
      <c r="J153" s="19" t="s">
        <v>139</v>
      </c>
      <c r="K153" s="17" t="s">
        <v>140</v>
      </c>
      <c r="L153" s="257">
        <v>0</v>
      </c>
      <c r="M153" s="70" t="s">
        <v>250</v>
      </c>
      <c r="N153" s="70">
        <v>100</v>
      </c>
      <c r="O153" s="258">
        <v>8</v>
      </c>
      <c r="P153" s="70" t="s">
        <v>251</v>
      </c>
      <c r="Q153" s="70" t="s">
        <v>233</v>
      </c>
      <c r="R153" s="70" t="s">
        <v>240</v>
      </c>
      <c r="S153" s="70" t="s">
        <v>233</v>
      </c>
      <c r="T153" s="70" t="s">
        <v>233</v>
      </c>
      <c r="U153" s="70" t="s">
        <v>1427</v>
      </c>
      <c r="V153" s="70" t="s">
        <v>240</v>
      </c>
      <c r="W153" s="12"/>
      <c r="X153" s="242">
        <v>818.88000000000011</v>
      </c>
      <c r="Y153" s="242">
        <v>741.28</v>
      </c>
      <c r="Z153" s="242">
        <v>118.41</v>
      </c>
      <c r="AA153" s="157" t="s">
        <v>252</v>
      </c>
      <c r="AB153" s="242">
        <v>78.319999999999993</v>
      </c>
      <c r="AC153" s="157" t="s">
        <v>252</v>
      </c>
      <c r="AD153" s="242">
        <v>106.11</v>
      </c>
      <c r="AE153" s="157" t="s">
        <v>252</v>
      </c>
      <c r="AF153" s="242">
        <v>67.430000000000007</v>
      </c>
      <c r="AG153" s="157" t="s">
        <v>252</v>
      </c>
      <c r="AH153" s="242">
        <v>26.54</v>
      </c>
      <c r="AI153" s="157" t="s">
        <v>252</v>
      </c>
      <c r="AJ153" s="242">
        <v>11.79</v>
      </c>
      <c r="AK153" s="242" t="s">
        <v>252</v>
      </c>
      <c r="AL153" s="242">
        <v>11.35</v>
      </c>
      <c r="AM153" s="242" t="s">
        <v>252</v>
      </c>
      <c r="AN153" s="242">
        <v>11.15</v>
      </c>
      <c r="AO153" s="242" t="s">
        <v>252</v>
      </c>
      <c r="AP153" s="242">
        <v>12.95</v>
      </c>
      <c r="AQ153" s="242" t="s">
        <v>252</v>
      </c>
      <c r="AR153" s="242">
        <v>69.599999999999994</v>
      </c>
      <c r="AS153" s="242" t="s">
        <v>252</v>
      </c>
      <c r="AT153" s="242">
        <v>70.48</v>
      </c>
      <c r="AU153" s="242" t="s">
        <v>252</v>
      </c>
      <c r="AV153" s="242">
        <v>83.91</v>
      </c>
      <c r="AW153" s="157" t="s">
        <v>252</v>
      </c>
      <c r="AX153" s="157">
        <v>2228.1999999999998</v>
      </c>
      <c r="AY153" s="240">
        <v>0.33</v>
      </c>
      <c r="AZ153" s="156" t="s">
        <v>253</v>
      </c>
      <c r="BA153" s="156" t="s">
        <v>254</v>
      </c>
      <c r="BB153" s="156">
        <v>0</v>
      </c>
      <c r="BC153" s="156" t="s">
        <v>1423</v>
      </c>
      <c r="BD153" s="3"/>
    </row>
    <row r="154" spans="1:56" ht="15.75" hidden="1" customHeight="1" outlineLevel="1">
      <c r="A154" s="58">
        <v>144</v>
      </c>
      <c r="B154" s="11">
        <v>129144</v>
      </c>
      <c r="C154" s="89" t="s">
        <v>273</v>
      </c>
      <c r="D154" s="157">
        <v>17</v>
      </c>
      <c r="E154" s="12" t="s">
        <v>191</v>
      </c>
      <c r="F154" s="11" t="s">
        <v>246</v>
      </c>
      <c r="G154" s="18" t="s">
        <v>247</v>
      </c>
      <c r="H154" s="11" t="s">
        <v>248</v>
      </c>
      <c r="I154" s="87" t="s">
        <v>249</v>
      </c>
      <c r="J154" s="19" t="s">
        <v>139</v>
      </c>
      <c r="K154" s="17" t="s">
        <v>140</v>
      </c>
      <c r="L154" s="257">
        <v>0</v>
      </c>
      <c r="M154" s="70" t="s">
        <v>250</v>
      </c>
      <c r="N154" s="70">
        <v>100</v>
      </c>
      <c r="O154" s="258">
        <v>8</v>
      </c>
      <c r="P154" s="70" t="s">
        <v>251</v>
      </c>
      <c r="Q154" s="70" t="s">
        <v>233</v>
      </c>
      <c r="R154" s="70" t="s">
        <v>240</v>
      </c>
      <c r="S154" s="70" t="s">
        <v>240</v>
      </c>
      <c r="T154" s="70" t="s">
        <v>240</v>
      </c>
      <c r="U154" s="70" t="s">
        <v>1427</v>
      </c>
      <c r="V154" s="70" t="s">
        <v>240</v>
      </c>
      <c r="W154" s="12"/>
      <c r="X154" s="242">
        <v>0</v>
      </c>
      <c r="Y154" s="242">
        <v>0</v>
      </c>
      <c r="Z154" s="242">
        <v>0</v>
      </c>
      <c r="AA154" s="157" t="s">
        <v>259</v>
      </c>
      <c r="AB154" s="242">
        <v>0</v>
      </c>
      <c r="AC154" s="157" t="s">
        <v>259</v>
      </c>
      <c r="AD154" s="242">
        <v>0</v>
      </c>
      <c r="AE154" s="157" t="s">
        <v>259</v>
      </c>
      <c r="AF154" s="242">
        <v>0</v>
      </c>
      <c r="AG154" s="157" t="s">
        <v>259</v>
      </c>
      <c r="AH154" s="242">
        <v>10.8</v>
      </c>
      <c r="AI154" s="157" t="s">
        <v>259</v>
      </c>
      <c r="AJ154" s="242">
        <v>5.26</v>
      </c>
      <c r="AK154" s="242" t="s">
        <v>259</v>
      </c>
      <c r="AL154" s="242">
        <v>4.13</v>
      </c>
      <c r="AM154" s="242" t="s">
        <v>259</v>
      </c>
      <c r="AN154" s="242">
        <v>6.73</v>
      </c>
      <c r="AO154" s="242" t="s">
        <v>259</v>
      </c>
      <c r="AP154" s="242">
        <v>6.73</v>
      </c>
      <c r="AQ154" s="242" t="s">
        <v>259</v>
      </c>
      <c r="AR154" s="242">
        <v>33.43</v>
      </c>
      <c r="AS154" s="242" t="s">
        <v>259</v>
      </c>
      <c r="AT154" s="242">
        <v>36.68</v>
      </c>
      <c r="AU154" s="242" t="s">
        <v>259</v>
      </c>
      <c r="AV154" s="242">
        <v>46.98</v>
      </c>
      <c r="AW154" s="157" t="s">
        <v>259</v>
      </c>
      <c r="AX154" s="157">
        <v>150.74</v>
      </c>
      <c r="AY154" s="240">
        <v>0.108</v>
      </c>
      <c r="AZ154" s="156" t="s">
        <v>253</v>
      </c>
      <c r="BA154" s="156" t="s">
        <v>254</v>
      </c>
      <c r="BB154" s="156">
        <v>0</v>
      </c>
      <c r="BC154" s="156" t="s">
        <v>1423</v>
      </c>
      <c r="BD154" s="3"/>
    </row>
    <row r="155" spans="1:56" ht="15.75" hidden="1" customHeight="1" outlineLevel="1">
      <c r="A155" s="58">
        <v>145</v>
      </c>
      <c r="B155" s="11">
        <v>129145</v>
      </c>
      <c r="C155" s="89" t="s">
        <v>273</v>
      </c>
      <c r="D155" s="157">
        <v>18</v>
      </c>
      <c r="E155" s="12" t="s">
        <v>191</v>
      </c>
      <c r="F155" s="11" t="s">
        <v>246</v>
      </c>
      <c r="G155" s="18" t="s">
        <v>247</v>
      </c>
      <c r="H155" s="11" t="s">
        <v>248</v>
      </c>
      <c r="I155" s="87" t="s">
        <v>249</v>
      </c>
      <c r="J155" s="19" t="s">
        <v>139</v>
      </c>
      <c r="K155" s="17" t="s">
        <v>140</v>
      </c>
      <c r="L155" s="257">
        <v>0</v>
      </c>
      <c r="M155" s="70" t="s">
        <v>250</v>
      </c>
      <c r="N155" s="70">
        <v>80</v>
      </c>
      <c r="O155" s="258">
        <v>8</v>
      </c>
      <c r="P155" s="70" t="s">
        <v>251</v>
      </c>
      <c r="Q155" s="70" t="s">
        <v>233</v>
      </c>
      <c r="R155" s="70" t="s">
        <v>240</v>
      </c>
      <c r="S155" s="70" t="s">
        <v>233</v>
      </c>
      <c r="T155" s="70" t="s">
        <v>233</v>
      </c>
      <c r="U155" s="70" t="s">
        <v>1427</v>
      </c>
      <c r="V155" s="70" t="s">
        <v>240</v>
      </c>
      <c r="W155" s="12"/>
      <c r="X155" s="242">
        <v>528.79</v>
      </c>
      <c r="Y155" s="242">
        <v>520.41999999999996</v>
      </c>
      <c r="Z155" s="242">
        <v>83.38</v>
      </c>
      <c r="AA155" s="157" t="s">
        <v>252</v>
      </c>
      <c r="AB155" s="242">
        <v>60.78</v>
      </c>
      <c r="AC155" s="157" t="s">
        <v>252</v>
      </c>
      <c r="AD155" s="242">
        <v>83.28</v>
      </c>
      <c r="AE155" s="157" t="s">
        <v>252</v>
      </c>
      <c r="AF155" s="242">
        <v>50.96</v>
      </c>
      <c r="AG155" s="157" t="s">
        <v>252</v>
      </c>
      <c r="AH155" s="242">
        <v>17.11</v>
      </c>
      <c r="AI155" s="157" t="s">
        <v>252</v>
      </c>
      <c r="AJ155" s="242">
        <v>8.25</v>
      </c>
      <c r="AK155" s="242" t="s">
        <v>252</v>
      </c>
      <c r="AL155" s="242">
        <v>6.48</v>
      </c>
      <c r="AM155" s="242" t="s">
        <v>252</v>
      </c>
      <c r="AN155" s="242">
        <v>6.35</v>
      </c>
      <c r="AO155" s="242" t="s">
        <v>252</v>
      </c>
      <c r="AP155" s="242">
        <v>8.3000000000000007</v>
      </c>
      <c r="AQ155" s="242" t="s">
        <v>252</v>
      </c>
      <c r="AR155" s="242">
        <v>50.32</v>
      </c>
      <c r="AS155" s="242" t="s">
        <v>252</v>
      </c>
      <c r="AT155" s="242">
        <v>45.76</v>
      </c>
      <c r="AU155" s="242" t="s">
        <v>252</v>
      </c>
      <c r="AV155" s="242">
        <v>60.25</v>
      </c>
      <c r="AW155" s="157" t="s">
        <v>252</v>
      </c>
      <c r="AX155" s="157">
        <v>1530.4299999999998</v>
      </c>
      <c r="AY155" s="240">
        <v>0.2</v>
      </c>
      <c r="AZ155" s="156" t="s">
        <v>253</v>
      </c>
      <c r="BA155" s="156" t="s">
        <v>254</v>
      </c>
      <c r="BB155" s="156">
        <v>0</v>
      </c>
      <c r="BC155" s="156" t="s">
        <v>1423</v>
      </c>
      <c r="BD155" s="3"/>
    </row>
    <row r="156" spans="1:56" ht="15.75" hidden="1" customHeight="1" outlineLevel="1">
      <c r="A156" s="58">
        <v>146</v>
      </c>
      <c r="B156" s="11">
        <v>129146</v>
      </c>
      <c r="C156" s="89" t="s">
        <v>273</v>
      </c>
      <c r="D156" s="157">
        <v>21</v>
      </c>
      <c r="E156" s="12" t="s">
        <v>191</v>
      </c>
      <c r="F156" s="11" t="s">
        <v>246</v>
      </c>
      <c r="G156" s="18" t="s">
        <v>247</v>
      </c>
      <c r="H156" s="11" t="s">
        <v>248</v>
      </c>
      <c r="I156" s="87" t="s">
        <v>249</v>
      </c>
      <c r="J156" s="19" t="s">
        <v>139</v>
      </c>
      <c r="K156" s="17" t="s">
        <v>140</v>
      </c>
      <c r="L156" s="260">
        <v>1</v>
      </c>
      <c r="M156" s="70" t="s">
        <v>250</v>
      </c>
      <c r="N156" s="70">
        <v>80</v>
      </c>
      <c r="O156" s="258">
        <v>8</v>
      </c>
      <c r="P156" s="70" t="s">
        <v>251</v>
      </c>
      <c r="Q156" s="70" t="s">
        <v>233</v>
      </c>
      <c r="R156" s="70" t="s">
        <v>240</v>
      </c>
      <c r="S156" s="70" t="s">
        <v>233</v>
      </c>
      <c r="T156" s="70" t="s">
        <v>233</v>
      </c>
      <c r="U156" s="70" t="s">
        <v>1427</v>
      </c>
      <c r="V156" s="70" t="s">
        <v>240</v>
      </c>
      <c r="W156" s="12"/>
      <c r="X156" s="242">
        <v>295.18</v>
      </c>
      <c r="Y156" s="242">
        <v>276.36999999999995</v>
      </c>
      <c r="Z156" s="242">
        <v>47.21</v>
      </c>
      <c r="AA156" s="157" t="s">
        <v>252</v>
      </c>
      <c r="AB156" s="242">
        <v>34.5</v>
      </c>
      <c r="AC156" s="157" t="s">
        <v>252</v>
      </c>
      <c r="AD156" s="242">
        <v>43.94</v>
      </c>
      <c r="AE156" s="157" t="s">
        <v>252</v>
      </c>
      <c r="AF156" s="242">
        <v>27.79</v>
      </c>
      <c r="AG156" s="157" t="s">
        <v>252</v>
      </c>
      <c r="AH156" s="242">
        <v>9.89</v>
      </c>
      <c r="AI156" s="157" t="s">
        <v>252</v>
      </c>
      <c r="AJ156" s="242">
        <v>4.1500000000000004</v>
      </c>
      <c r="AK156" s="242" t="s">
        <v>252</v>
      </c>
      <c r="AL156" s="242">
        <v>5.6</v>
      </c>
      <c r="AM156" s="242" t="s">
        <v>252</v>
      </c>
      <c r="AN156" s="242">
        <v>4.07</v>
      </c>
      <c r="AO156" s="242" t="s">
        <v>252</v>
      </c>
      <c r="AP156" s="242">
        <v>4.79</v>
      </c>
      <c r="AQ156" s="242" t="s">
        <v>252</v>
      </c>
      <c r="AR156" s="242">
        <v>29.08</v>
      </c>
      <c r="AS156" s="242" t="s">
        <v>252</v>
      </c>
      <c r="AT156" s="242">
        <v>25.77</v>
      </c>
      <c r="AU156" s="242" t="s">
        <v>252</v>
      </c>
      <c r="AV156" s="242">
        <v>31.9</v>
      </c>
      <c r="AW156" s="157" t="s">
        <v>252</v>
      </c>
      <c r="AX156" s="157">
        <v>840.24</v>
      </c>
      <c r="AY156" s="240">
        <v>0.12</v>
      </c>
      <c r="AZ156" s="156" t="s">
        <v>253</v>
      </c>
      <c r="BA156" s="156" t="s">
        <v>254</v>
      </c>
      <c r="BB156" s="156">
        <v>1</v>
      </c>
      <c r="BC156" s="157" t="s">
        <v>255</v>
      </c>
      <c r="BD156" s="3"/>
    </row>
    <row r="157" spans="1:56" ht="15.75" hidden="1" customHeight="1" outlineLevel="1">
      <c r="A157" s="58">
        <v>147</v>
      </c>
      <c r="B157" s="11">
        <v>129147</v>
      </c>
      <c r="C157" s="89" t="s">
        <v>273</v>
      </c>
      <c r="D157" s="157">
        <v>22</v>
      </c>
      <c r="E157" s="12" t="s">
        <v>191</v>
      </c>
      <c r="F157" s="11" t="s">
        <v>246</v>
      </c>
      <c r="G157" s="18" t="s">
        <v>247</v>
      </c>
      <c r="H157" s="11" t="s">
        <v>248</v>
      </c>
      <c r="I157" s="87" t="s">
        <v>249</v>
      </c>
      <c r="J157" s="19" t="s">
        <v>139</v>
      </c>
      <c r="K157" s="17" t="s">
        <v>140</v>
      </c>
      <c r="L157" s="257">
        <v>0</v>
      </c>
      <c r="M157" s="70" t="s">
        <v>250</v>
      </c>
      <c r="N157" s="70">
        <v>100</v>
      </c>
      <c r="O157" s="258">
        <v>8</v>
      </c>
      <c r="P157" s="70" t="s">
        <v>251</v>
      </c>
      <c r="Q157" s="70" t="s">
        <v>233</v>
      </c>
      <c r="R157" s="70" t="s">
        <v>240</v>
      </c>
      <c r="S157" s="70" t="s">
        <v>233</v>
      </c>
      <c r="T157" s="70" t="s">
        <v>233</v>
      </c>
      <c r="U157" s="70" t="s">
        <v>1427</v>
      </c>
      <c r="V157" s="70" t="s">
        <v>240</v>
      </c>
      <c r="W157" s="12"/>
      <c r="X157" s="242">
        <v>1120.32</v>
      </c>
      <c r="Y157" s="242">
        <v>981.20999999999992</v>
      </c>
      <c r="Z157" s="242">
        <v>147.82</v>
      </c>
      <c r="AA157" s="157" t="s">
        <v>252</v>
      </c>
      <c r="AB157" s="242">
        <v>117.49</v>
      </c>
      <c r="AC157" s="157" t="s">
        <v>252</v>
      </c>
      <c r="AD157" s="242">
        <v>150.57</v>
      </c>
      <c r="AE157" s="157" t="s">
        <v>252</v>
      </c>
      <c r="AF157" s="242">
        <v>106.18</v>
      </c>
      <c r="AG157" s="157" t="s">
        <v>252</v>
      </c>
      <c r="AH157" s="242">
        <v>40.6</v>
      </c>
      <c r="AI157" s="157" t="s">
        <v>252</v>
      </c>
      <c r="AJ157" s="242">
        <v>19.739999999999998</v>
      </c>
      <c r="AK157" s="242" t="s">
        <v>252</v>
      </c>
      <c r="AL157" s="242">
        <v>27.19</v>
      </c>
      <c r="AM157" s="242" t="s">
        <v>252</v>
      </c>
      <c r="AN157" s="242">
        <v>14.84</v>
      </c>
      <c r="AO157" s="242" t="s">
        <v>252</v>
      </c>
      <c r="AP157" s="242">
        <v>18.579999999999998</v>
      </c>
      <c r="AQ157" s="242" t="s">
        <v>252</v>
      </c>
      <c r="AR157" s="242">
        <v>94.62</v>
      </c>
      <c r="AS157" s="242" t="s">
        <v>252</v>
      </c>
      <c r="AT157" s="242">
        <v>100.27</v>
      </c>
      <c r="AU157" s="242" t="s">
        <v>252</v>
      </c>
      <c r="AV157" s="242">
        <v>116.35</v>
      </c>
      <c r="AW157" s="157" t="s">
        <v>252</v>
      </c>
      <c r="AX157" s="157">
        <v>3055.7799999999993</v>
      </c>
      <c r="AY157" s="240">
        <v>0.48</v>
      </c>
      <c r="AZ157" s="156" t="s">
        <v>253</v>
      </c>
      <c r="BA157" s="156" t="s">
        <v>254</v>
      </c>
      <c r="BB157" s="156">
        <v>0</v>
      </c>
      <c r="BC157" s="156" t="s">
        <v>1423</v>
      </c>
      <c r="BD157" s="3"/>
    </row>
    <row r="158" spans="1:56" ht="15.75" hidden="1" customHeight="1" outlineLevel="1">
      <c r="A158" s="58">
        <v>148</v>
      </c>
      <c r="B158" s="11">
        <v>129148</v>
      </c>
      <c r="C158" s="89" t="s">
        <v>273</v>
      </c>
      <c r="D158" s="157">
        <v>23</v>
      </c>
      <c r="E158" s="12" t="s">
        <v>191</v>
      </c>
      <c r="F158" s="11" t="s">
        <v>246</v>
      </c>
      <c r="G158" s="18" t="s">
        <v>247</v>
      </c>
      <c r="H158" s="11" t="s">
        <v>248</v>
      </c>
      <c r="I158" s="87" t="s">
        <v>249</v>
      </c>
      <c r="J158" s="19" t="s">
        <v>139</v>
      </c>
      <c r="K158" s="17" t="s">
        <v>140</v>
      </c>
      <c r="L158" s="257">
        <v>0</v>
      </c>
      <c r="M158" s="70" t="s">
        <v>250</v>
      </c>
      <c r="N158" s="70">
        <v>100</v>
      </c>
      <c r="O158" s="258">
        <v>8</v>
      </c>
      <c r="P158" s="70" t="s">
        <v>251</v>
      </c>
      <c r="Q158" s="70" t="s">
        <v>233</v>
      </c>
      <c r="R158" s="70" t="s">
        <v>240</v>
      </c>
      <c r="S158" s="70" t="s">
        <v>233</v>
      </c>
      <c r="T158" s="70" t="s">
        <v>233</v>
      </c>
      <c r="U158" s="70" t="s">
        <v>1427</v>
      </c>
      <c r="V158" s="70" t="s">
        <v>240</v>
      </c>
      <c r="W158" s="12"/>
      <c r="X158" s="242">
        <v>514.06235658274875</v>
      </c>
      <c r="Y158" s="242">
        <v>503.00379694593477</v>
      </c>
      <c r="Z158" s="242">
        <v>81.54806025588114</v>
      </c>
      <c r="AA158" s="157" t="s">
        <v>252</v>
      </c>
      <c r="AB158" s="242">
        <v>54.038815517952955</v>
      </c>
      <c r="AC158" s="157" t="s">
        <v>252</v>
      </c>
      <c r="AD158" s="242">
        <v>82.073165497317376</v>
      </c>
      <c r="AE158" s="157" t="s">
        <v>252</v>
      </c>
      <c r="AF158" s="242">
        <v>43.356450680974</v>
      </c>
      <c r="AG158" s="157" t="s">
        <v>252</v>
      </c>
      <c r="AH158" s="242">
        <v>19.311333058192325</v>
      </c>
      <c r="AI158" s="157" t="s">
        <v>252</v>
      </c>
      <c r="AJ158" s="242">
        <v>7.0458151052414371</v>
      </c>
      <c r="AK158" s="242" t="s">
        <v>252</v>
      </c>
      <c r="AL158" s="242">
        <v>5.7056211308295506</v>
      </c>
      <c r="AM158" s="242" t="s">
        <v>252</v>
      </c>
      <c r="AN158" s="242">
        <v>5.5410359059017749</v>
      </c>
      <c r="AO158" s="242" t="s">
        <v>252</v>
      </c>
      <c r="AP158" s="242">
        <v>7.5709203466776724</v>
      </c>
      <c r="AQ158" s="242" t="s">
        <v>252</v>
      </c>
      <c r="AR158" s="242">
        <v>52.855369376805612</v>
      </c>
      <c r="AS158" s="242" t="s">
        <v>252</v>
      </c>
      <c r="AT158" s="242">
        <v>47.533780437474206</v>
      </c>
      <c r="AU158" s="242" t="s">
        <v>252</v>
      </c>
      <c r="AV158" s="242">
        <v>53.168865043334712</v>
      </c>
      <c r="AW158" s="157" t="s">
        <v>252</v>
      </c>
      <c r="AX158" s="157">
        <v>1476.8153858852663</v>
      </c>
      <c r="AY158" s="240">
        <v>0.19593479158068511</v>
      </c>
      <c r="AZ158" s="156" t="s">
        <v>253</v>
      </c>
      <c r="BA158" s="156" t="s">
        <v>254</v>
      </c>
      <c r="BB158" s="156">
        <v>0</v>
      </c>
      <c r="BC158" s="156" t="s">
        <v>1423</v>
      </c>
      <c r="BD158" s="3"/>
    </row>
    <row r="159" spans="1:56" ht="15.75" hidden="1" customHeight="1" outlineLevel="1">
      <c r="A159" s="58">
        <v>149</v>
      </c>
      <c r="B159" s="11">
        <v>129149</v>
      </c>
      <c r="C159" s="89" t="s">
        <v>273</v>
      </c>
      <c r="D159" s="157">
        <v>23</v>
      </c>
      <c r="E159" s="12" t="s">
        <v>231</v>
      </c>
      <c r="F159" s="11" t="s">
        <v>246</v>
      </c>
      <c r="G159" s="18" t="s">
        <v>247</v>
      </c>
      <c r="H159" s="11" t="s">
        <v>248</v>
      </c>
      <c r="I159" s="87" t="s">
        <v>249</v>
      </c>
      <c r="J159" s="19" t="s">
        <v>139</v>
      </c>
      <c r="K159" s="17" t="s">
        <v>140</v>
      </c>
      <c r="L159" s="257">
        <v>0</v>
      </c>
      <c r="M159" s="70" t="s">
        <v>250</v>
      </c>
      <c r="N159" s="70">
        <v>100</v>
      </c>
      <c r="O159" s="258">
        <v>8</v>
      </c>
      <c r="P159" s="70" t="s">
        <v>251</v>
      </c>
      <c r="Q159" s="70" t="s">
        <v>233</v>
      </c>
      <c r="R159" s="70" t="s">
        <v>240</v>
      </c>
      <c r="S159" s="70" t="s">
        <v>233</v>
      </c>
      <c r="T159" s="70" t="s">
        <v>233</v>
      </c>
      <c r="U159" s="70" t="s">
        <v>1427</v>
      </c>
      <c r="V159" s="70" t="s">
        <v>240</v>
      </c>
      <c r="W159" s="12"/>
      <c r="X159" s="242">
        <v>141.84764341725136</v>
      </c>
      <c r="Y159" s="242">
        <v>138.79620305406519</v>
      </c>
      <c r="Z159" s="242">
        <v>22.501939744118861</v>
      </c>
      <c r="AA159" s="157" t="s">
        <v>252</v>
      </c>
      <c r="AB159" s="242">
        <v>14.91118448204705</v>
      </c>
      <c r="AC159" s="157" t="s">
        <v>252</v>
      </c>
      <c r="AD159" s="242">
        <v>22.646834502682626</v>
      </c>
      <c r="AE159" s="157" t="s">
        <v>252</v>
      </c>
      <c r="AF159" s="242">
        <v>11.963549319026001</v>
      </c>
      <c r="AG159" s="157" t="s">
        <v>252</v>
      </c>
      <c r="AH159" s="242">
        <v>5.3286669418076764</v>
      </c>
      <c r="AI159" s="157" t="s">
        <v>252</v>
      </c>
      <c r="AJ159" s="242">
        <v>1.9441848947585638</v>
      </c>
      <c r="AK159" s="242" t="s">
        <v>252</v>
      </c>
      <c r="AL159" s="242">
        <v>1.5743788691704499</v>
      </c>
      <c r="AM159" s="242" t="s">
        <v>252</v>
      </c>
      <c r="AN159" s="242">
        <v>1.5289640940982254</v>
      </c>
      <c r="AO159" s="242" t="s">
        <v>252</v>
      </c>
      <c r="AP159" s="242">
        <v>2.0890796533223277</v>
      </c>
      <c r="AQ159" s="242" t="s">
        <v>252</v>
      </c>
      <c r="AR159" s="242">
        <v>14.584630623194387</v>
      </c>
      <c r="AS159" s="242" t="s">
        <v>252</v>
      </c>
      <c r="AT159" s="242">
        <v>13.116219562525794</v>
      </c>
      <c r="AU159" s="242" t="s">
        <v>252</v>
      </c>
      <c r="AV159" s="242">
        <v>14.671134956665291</v>
      </c>
      <c r="AW159" s="157" t="s">
        <v>252</v>
      </c>
      <c r="AX159" s="157">
        <v>407.5046141147339</v>
      </c>
      <c r="AY159" s="243">
        <v>5.4065208419314899E-2</v>
      </c>
      <c r="AZ159" s="156" t="s">
        <v>253</v>
      </c>
      <c r="BA159" s="156" t="s">
        <v>254</v>
      </c>
      <c r="BB159" s="156">
        <v>0</v>
      </c>
      <c r="BC159" s="156" t="s">
        <v>1423</v>
      </c>
      <c r="BD159" s="3"/>
    </row>
    <row r="160" spans="1:56" ht="15.75" hidden="1" customHeight="1" outlineLevel="1">
      <c r="A160" s="58">
        <v>150</v>
      </c>
      <c r="B160" s="11">
        <v>129150</v>
      </c>
      <c r="C160" s="89" t="s">
        <v>273</v>
      </c>
      <c r="D160" s="157" t="s">
        <v>204</v>
      </c>
      <c r="E160" s="12" t="s">
        <v>191</v>
      </c>
      <c r="F160" s="11" t="s">
        <v>246</v>
      </c>
      <c r="G160" s="18" t="s">
        <v>247</v>
      </c>
      <c r="H160" s="11" t="s">
        <v>248</v>
      </c>
      <c r="I160" s="87" t="s">
        <v>249</v>
      </c>
      <c r="J160" s="19" t="s">
        <v>139</v>
      </c>
      <c r="K160" s="17" t="s">
        <v>140</v>
      </c>
      <c r="L160" s="257">
        <v>0</v>
      </c>
      <c r="M160" s="70" t="s">
        <v>250</v>
      </c>
      <c r="N160" s="70">
        <v>100</v>
      </c>
      <c r="O160" s="258">
        <v>8</v>
      </c>
      <c r="P160" s="70" t="s">
        <v>251</v>
      </c>
      <c r="Q160" s="70" t="s">
        <v>233</v>
      </c>
      <c r="R160" s="70" t="s">
        <v>240</v>
      </c>
      <c r="S160" s="70" t="s">
        <v>233</v>
      </c>
      <c r="T160" s="70" t="s">
        <v>233</v>
      </c>
      <c r="U160" s="70" t="s">
        <v>1427</v>
      </c>
      <c r="V160" s="70" t="s">
        <v>240</v>
      </c>
      <c r="W160" s="12"/>
      <c r="X160" s="242">
        <v>278.88602015113349</v>
      </c>
      <c r="Y160" s="242">
        <v>248.83375314861462</v>
      </c>
      <c r="Z160" s="242">
        <v>49.931570109151963</v>
      </c>
      <c r="AA160" s="157" t="s">
        <v>252</v>
      </c>
      <c r="AB160" s="242">
        <v>33.50146935348446</v>
      </c>
      <c r="AC160" s="157" t="s">
        <v>252</v>
      </c>
      <c r="AD160" s="242">
        <v>29.380982367758186</v>
      </c>
      <c r="AE160" s="157" t="s">
        <v>252</v>
      </c>
      <c r="AF160" s="242">
        <v>17.338790931989923</v>
      </c>
      <c r="AG160" s="157" t="s">
        <v>252</v>
      </c>
      <c r="AH160" s="242">
        <v>5.5831234256926949</v>
      </c>
      <c r="AI160" s="157" t="s">
        <v>252</v>
      </c>
      <c r="AJ160" s="242">
        <v>2.3849706129303105</v>
      </c>
      <c r="AK160" s="242" t="s">
        <v>252</v>
      </c>
      <c r="AL160" s="242">
        <v>1.7791771620486982</v>
      </c>
      <c r="AM160" s="242" t="s">
        <v>252</v>
      </c>
      <c r="AN160" s="242">
        <v>2.5405121746431569</v>
      </c>
      <c r="AO160" s="242" t="s">
        <v>252</v>
      </c>
      <c r="AP160" s="242">
        <v>2.7397145256087319</v>
      </c>
      <c r="AQ160" s="242" t="s">
        <v>252</v>
      </c>
      <c r="AR160" s="242">
        <v>17.535264483627206</v>
      </c>
      <c r="AS160" s="242" t="s">
        <v>252</v>
      </c>
      <c r="AT160" s="242">
        <v>15.802476910159527</v>
      </c>
      <c r="AU160" s="242" t="s">
        <v>252</v>
      </c>
      <c r="AV160" s="242">
        <v>21.170025188916874</v>
      </c>
      <c r="AW160" s="157" t="s">
        <v>252</v>
      </c>
      <c r="AX160" s="157">
        <v>727.40785054575974</v>
      </c>
      <c r="AY160" s="240">
        <v>7.094878253568429E-2</v>
      </c>
      <c r="AZ160" s="156" t="s">
        <v>253</v>
      </c>
      <c r="BA160" s="156" t="s">
        <v>254</v>
      </c>
      <c r="BB160" s="156">
        <v>0</v>
      </c>
      <c r="BC160" s="156" t="s">
        <v>1423</v>
      </c>
      <c r="BD160" s="3"/>
    </row>
    <row r="161" spans="1:56" ht="15.75" hidden="1" customHeight="1" outlineLevel="1">
      <c r="A161" s="58">
        <v>151</v>
      </c>
      <c r="B161" s="11">
        <v>129151</v>
      </c>
      <c r="C161" s="89" t="s">
        <v>273</v>
      </c>
      <c r="D161" s="157" t="s">
        <v>204</v>
      </c>
      <c r="E161" s="12" t="s">
        <v>231</v>
      </c>
      <c r="F161" s="11" t="s">
        <v>246</v>
      </c>
      <c r="G161" s="18" t="s">
        <v>247</v>
      </c>
      <c r="H161" s="11" t="s">
        <v>248</v>
      </c>
      <c r="I161" s="87" t="s">
        <v>249</v>
      </c>
      <c r="J161" s="19" t="s">
        <v>139</v>
      </c>
      <c r="K161" s="17" t="s">
        <v>140</v>
      </c>
      <c r="L161" s="257">
        <v>0</v>
      </c>
      <c r="M161" s="70" t="s">
        <v>250</v>
      </c>
      <c r="N161" s="70">
        <v>80</v>
      </c>
      <c r="O161" s="258">
        <v>8</v>
      </c>
      <c r="P161" s="70" t="s">
        <v>251</v>
      </c>
      <c r="Q161" s="70" t="s">
        <v>233</v>
      </c>
      <c r="R161" s="70" t="s">
        <v>240</v>
      </c>
      <c r="S161" s="70" t="s">
        <v>233</v>
      </c>
      <c r="T161" s="70" t="s">
        <v>233</v>
      </c>
      <c r="U161" s="70" t="s">
        <v>1427</v>
      </c>
      <c r="V161" s="70" t="s">
        <v>240</v>
      </c>
      <c r="W161" s="12"/>
      <c r="X161" s="242">
        <v>373.27821158690182</v>
      </c>
      <c r="Y161" s="242">
        <v>333.05440806045345</v>
      </c>
      <c r="Z161" s="242">
        <v>66.831486146095713</v>
      </c>
      <c r="AA161" s="157" t="s">
        <v>252</v>
      </c>
      <c r="AB161" s="242">
        <v>44.840428211586904</v>
      </c>
      <c r="AC161" s="157" t="s">
        <v>252</v>
      </c>
      <c r="AD161" s="242">
        <v>39.32531486146096</v>
      </c>
      <c r="AE161" s="157" t="s">
        <v>252</v>
      </c>
      <c r="AF161" s="242">
        <v>23.207304785894205</v>
      </c>
      <c r="AG161" s="157" t="s">
        <v>252</v>
      </c>
      <c r="AH161" s="242">
        <v>7.4727959697733004</v>
      </c>
      <c r="AI161" s="157" t="s">
        <v>252</v>
      </c>
      <c r="AJ161" s="242">
        <v>3.1921914357682621</v>
      </c>
      <c r="AK161" s="242" t="s">
        <v>252</v>
      </c>
      <c r="AL161" s="242">
        <v>2.3813602015113347</v>
      </c>
      <c r="AM161" s="242" t="s">
        <v>252</v>
      </c>
      <c r="AN161" s="242">
        <v>3.4003778337531489</v>
      </c>
      <c r="AO161" s="242" t="s">
        <v>252</v>
      </c>
      <c r="AP161" s="242">
        <v>3.6670025188916875</v>
      </c>
      <c r="AQ161" s="242" t="s">
        <v>252</v>
      </c>
      <c r="AR161" s="242">
        <v>23.470277078085644</v>
      </c>
      <c r="AS161" s="242" t="s">
        <v>252</v>
      </c>
      <c r="AT161" s="242">
        <v>21.151007556675061</v>
      </c>
      <c r="AU161" s="242" t="s">
        <v>252</v>
      </c>
      <c r="AV161" s="242">
        <v>28.335264483627203</v>
      </c>
      <c r="AW161" s="157" t="s">
        <v>252</v>
      </c>
      <c r="AX161" s="157">
        <v>973.60743073047854</v>
      </c>
      <c r="AY161" s="243">
        <v>9.4962216624685139E-2</v>
      </c>
      <c r="AZ161" s="156" t="s">
        <v>253</v>
      </c>
      <c r="BA161" s="156" t="s">
        <v>254</v>
      </c>
      <c r="BB161" s="156">
        <v>0</v>
      </c>
      <c r="BC161" s="156" t="s">
        <v>1423</v>
      </c>
      <c r="BD161" s="3"/>
    </row>
    <row r="162" spans="1:56" ht="15.75" hidden="1" customHeight="1" outlineLevel="1">
      <c r="A162" s="58">
        <v>152</v>
      </c>
      <c r="B162" s="11">
        <v>129152</v>
      </c>
      <c r="C162" s="89" t="s">
        <v>273</v>
      </c>
      <c r="D162" s="157" t="s">
        <v>204</v>
      </c>
      <c r="E162" s="12" t="s">
        <v>260</v>
      </c>
      <c r="F162" s="11" t="s">
        <v>246</v>
      </c>
      <c r="G162" s="18" t="s">
        <v>247</v>
      </c>
      <c r="H162" s="11" t="s">
        <v>248</v>
      </c>
      <c r="I162" s="87" t="s">
        <v>249</v>
      </c>
      <c r="J162" s="19" t="s">
        <v>139</v>
      </c>
      <c r="K162" s="17" t="s">
        <v>140</v>
      </c>
      <c r="L162" s="257">
        <v>0</v>
      </c>
      <c r="M162" s="70" t="s">
        <v>250</v>
      </c>
      <c r="N162" s="70">
        <v>80</v>
      </c>
      <c r="O162" s="258">
        <v>8</v>
      </c>
      <c r="P162" s="70" t="s">
        <v>251</v>
      </c>
      <c r="Q162" s="70" t="s">
        <v>233</v>
      </c>
      <c r="R162" s="70" t="s">
        <v>240</v>
      </c>
      <c r="S162" s="70" t="s">
        <v>233</v>
      </c>
      <c r="T162" s="70" t="s">
        <v>233</v>
      </c>
      <c r="U162" s="70" t="s">
        <v>1427</v>
      </c>
      <c r="V162" s="70" t="s">
        <v>240</v>
      </c>
      <c r="W162" s="12"/>
      <c r="X162" s="242">
        <v>369.84576826196479</v>
      </c>
      <c r="Y162" s="242">
        <v>329.99183879093204</v>
      </c>
      <c r="Z162" s="242">
        <v>66.216943744752314</v>
      </c>
      <c r="AA162" s="157" t="s">
        <v>252</v>
      </c>
      <c r="AB162" s="242">
        <v>44.428102434928633</v>
      </c>
      <c r="AC162" s="157" t="s">
        <v>252</v>
      </c>
      <c r="AD162" s="242">
        <v>38.963702770780863</v>
      </c>
      <c r="AE162" s="157" t="s">
        <v>252</v>
      </c>
      <c r="AF162" s="242">
        <v>22.993904282115871</v>
      </c>
      <c r="AG162" s="157" t="s">
        <v>252</v>
      </c>
      <c r="AH162" s="242">
        <v>7.4040806045340055</v>
      </c>
      <c r="AI162" s="157" t="s">
        <v>252</v>
      </c>
      <c r="AJ162" s="242">
        <v>3.1628379513014275</v>
      </c>
      <c r="AK162" s="242" t="s">
        <v>252</v>
      </c>
      <c r="AL162" s="242">
        <v>2.3594626364399662</v>
      </c>
      <c r="AM162" s="242" t="s">
        <v>252</v>
      </c>
      <c r="AN162" s="242">
        <v>3.3691099916036946</v>
      </c>
      <c r="AO162" s="242" t="s">
        <v>252</v>
      </c>
      <c r="AP162" s="242">
        <v>3.6332829554995802</v>
      </c>
      <c r="AQ162" s="242" t="s">
        <v>252</v>
      </c>
      <c r="AR162" s="242">
        <v>23.254458438287156</v>
      </c>
      <c r="AS162" s="242" t="s">
        <v>252</v>
      </c>
      <c r="AT162" s="242">
        <v>20.956515533165408</v>
      </c>
      <c r="AU162" s="242" t="s">
        <v>252</v>
      </c>
      <c r="AV162" s="242">
        <v>28.074710327455922</v>
      </c>
      <c r="AW162" s="157" t="s">
        <v>252</v>
      </c>
      <c r="AX162" s="157">
        <v>964.65471872376179</v>
      </c>
      <c r="AY162" s="243">
        <v>9.4089000839630565E-2</v>
      </c>
      <c r="AZ162" s="156" t="s">
        <v>253</v>
      </c>
      <c r="BA162" s="156" t="s">
        <v>254</v>
      </c>
      <c r="BB162" s="156">
        <v>0</v>
      </c>
      <c r="BC162" s="156" t="s">
        <v>1423</v>
      </c>
      <c r="BD162" s="3"/>
    </row>
    <row r="163" spans="1:56" ht="15.75" hidden="1" customHeight="1" outlineLevel="1">
      <c r="A163" s="58">
        <v>153</v>
      </c>
      <c r="B163" s="11">
        <v>129153</v>
      </c>
      <c r="C163" s="89" t="s">
        <v>273</v>
      </c>
      <c r="D163" s="157">
        <v>25</v>
      </c>
      <c r="E163" s="12" t="s">
        <v>191</v>
      </c>
      <c r="F163" s="11" t="s">
        <v>246</v>
      </c>
      <c r="G163" s="18" t="s">
        <v>247</v>
      </c>
      <c r="H163" s="11" t="s">
        <v>248</v>
      </c>
      <c r="I163" s="87" t="s">
        <v>249</v>
      </c>
      <c r="J163" s="19" t="s">
        <v>139</v>
      </c>
      <c r="K163" s="17" t="s">
        <v>140</v>
      </c>
      <c r="L163" s="260">
        <v>1</v>
      </c>
      <c r="M163" s="70" t="s">
        <v>250</v>
      </c>
      <c r="N163" s="70">
        <v>100</v>
      </c>
      <c r="O163" s="258">
        <v>8</v>
      </c>
      <c r="P163" s="70" t="s">
        <v>251</v>
      </c>
      <c r="Q163" s="70" t="s">
        <v>233</v>
      </c>
      <c r="R163" s="70" t="s">
        <v>240</v>
      </c>
      <c r="S163" s="70" t="s">
        <v>233</v>
      </c>
      <c r="T163" s="70" t="s">
        <v>233</v>
      </c>
      <c r="U163" s="70" t="s">
        <v>1427</v>
      </c>
      <c r="V163" s="70" t="s">
        <v>240</v>
      </c>
      <c r="W163" s="12"/>
      <c r="X163" s="242">
        <v>558.65000000000009</v>
      </c>
      <c r="Y163" s="242">
        <v>546.44000000000005</v>
      </c>
      <c r="Z163" s="242">
        <v>86.17</v>
      </c>
      <c r="AA163" s="157" t="s">
        <v>252</v>
      </c>
      <c r="AB163" s="242">
        <v>57.08</v>
      </c>
      <c r="AC163" s="157" t="s">
        <v>252</v>
      </c>
      <c r="AD163" s="242">
        <v>86.77</v>
      </c>
      <c r="AE163" s="157" t="s">
        <v>252</v>
      </c>
      <c r="AF163" s="242">
        <v>45.74</v>
      </c>
      <c r="AG163" s="157" t="s">
        <v>252</v>
      </c>
      <c r="AH163" s="242">
        <v>19.89</v>
      </c>
      <c r="AI163" s="157" t="s">
        <v>252</v>
      </c>
      <c r="AJ163" s="242">
        <v>10.43</v>
      </c>
      <c r="AK163" s="242" t="s">
        <v>252</v>
      </c>
      <c r="AL163" s="242">
        <v>11.57</v>
      </c>
      <c r="AM163" s="242" t="s">
        <v>252</v>
      </c>
      <c r="AN163" s="242">
        <v>8.36</v>
      </c>
      <c r="AO163" s="242" t="s">
        <v>252</v>
      </c>
      <c r="AP163" s="242">
        <v>11.53</v>
      </c>
      <c r="AQ163" s="242" t="s">
        <v>252</v>
      </c>
      <c r="AR163" s="242">
        <v>54.93</v>
      </c>
      <c r="AS163" s="242" t="s">
        <v>252</v>
      </c>
      <c r="AT163" s="242">
        <v>49.71</v>
      </c>
      <c r="AU163" s="242" t="s">
        <v>252</v>
      </c>
      <c r="AV163" s="242">
        <v>56</v>
      </c>
      <c r="AW163" s="157" t="s">
        <v>252</v>
      </c>
      <c r="AX163" s="157">
        <v>1603.2700000000002</v>
      </c>
      <c r="AY163" s="240">
        <v>0.21</v>
      </c>
      <c r="AZ163" s="156" t="s">
        <v>253</v>
      </c>
      <c r="BA163" s="156" t="s">
        <v>254</v>
      </c>
      <c r="BB163" s="156">
        <v>1</v>
      </c>
      <c r="BC163" s="156" t="s">
        <v>1423</v>
      </c>
      <c r="BD163" s="3"/>
    </row>
    <row r="164" spans="1:56" ht="15.75" hidden="1" customHeight="1" outlineLevel="1">
      <c r="A164" s="58">
        <v>154</v>
      </c>
      <c r="B164" s="11">
        <v>129154</v>
      </c>
      <c r="C164" s="89" t="s">
        <v>273</v>
      </c>
      <c r="D164" s="157">
        <v>27</v>
      </c>
      <c r="E164" s="12" t="s">
        <v>191</v>
      </c>
      <c r="F164" s="11" t="s">
        <v>246</v>
      </c>
      <c r="G164" s="18" t="s">
        <v>247</v>
      </c>
      <c r="H164" s="11" t="s">
        <v>248</v>
      </c>
      <c r="I164" s="87" t="s">
        <v>249</v>
      </c>
      <c r="J164" s="19" t="s">
        <v>139</v>
      </c>
      <c r="K164" s="17" t="s">
        <v>140</v>
      </c>
      <c r="L164" s="257">
        <v>0</v>
      </c>
      <c r="M164" s="70" t="s">
        <v>250</v>
      </c>
      <c r="N164" s="70">
        <v>100</v>
      </c>
      <c r="O164" s="258">
        <v>8</v>
      </c>
      <c r="P164" s="70" t="s">
        <v>251</v>
      </c>
      <c r="Q164" s="70" t="s">
        <v>233</v>
      </c>
      <c r="R164" s="70" t="s">
        <v>240</v>
      </c>
      <c r="S164" s="70" t="s">
        <v>233</v>
      </c>
      <c r="T164" s="70" t="s">
        <v>233</v>
      </c>
      <c r="U164" s="70" t="s">
        <v>1427</v>
      </c>
      <c r="V164" s="70" t="s">
        <v>240</v>
      </c>
      <c r="W164" s="12"/>
      <c r="X164" s="242">
        <v>771.75</v>
      </c>
      <c r="Y164" s="242">
        <v>804.79000000000008</v>
      </c>
      <c r="Z164" s="242">
        <v>107.09</v>
      </c>
      <c r="AA164" s="157" t="s">
        <v>252</v>
      </c>
      <c r="AB164" s="242">
        <v>73.81</v>
      </c>
      <c r="AC164" s="157" t="s">
        <v>252</v>
      </c>
      <c r="AD164" s="242">
        <v>104.53</v>
      </c>
      <c r="AE164" s="157" t="s">
        <v>252</v>
      </c>
      <c r="AF164" s="242">
        <v>59.84</v>
      </c>
      <c r="AG164" s="157" t="s">
        <v>252</v>
      </c>
      <c r="AH164" s="242">
        <v>23.22</v>
      </c>
      <c r="AI164" s="157" t="s">
        <v>252</v>
      </c>
      <c r="AJ164" s="242">
        <v>8.9700000000000006</v>
      </c>
      <c r="AK164" s="242" t="s">
        <v>252</v>
      </c>
      <c r="AL164" s="242">
        <v>6.53</v>
      </c>
      <c r="AM164" s="242" t="s">
        <v>252</v>
      </c>
      <c r="AN164" s="242">
        <v>6.55</v>
      </c>
      <c r="AO164" s="242" t="s">
        <v>252</v>
      </c>
      <c r="AP164" s="242">
        <v>9.0399999999999991</v>
      </c>
      <c r="AQ164" s="242" t="s">
        <v>252</v>
      </c>
      <c r="AR164" s="242">
        <v>69.650000000000006</v>
      </c>
      <c r="AS164" s="242" t="s">
        <v>252</v>
      </c>
      <c r="AT164" s="242">
        <v>60.49</v>
      </c>
      <c r="AU164" s="242" t="s">
        <v>252</v>
      </c>
      <c r="AV164" s="242">
        <v>75.819999999999993</v>
      </c>
      <c r="AW164" s="157" t="s">
        <v>252</v>
      </c>
      <c r="AX164" s="157">
        <v>2182.08</v>
      </c>
      <c r="AY164" s="240">
        <v>0.4</v>
      </c>
      <c r="AZ164" s="156" t="s">
        <v>253</v>
      </c>
      <c r="BA164" s="156" t="s">
        <v>254</v>
      </c>
      <c r="BB164" s="156">
        <v>0</v>
      </c>
      <c r="BC164" s="156" t="s">
        <v>1423</v>
      </c>
      <c r="BD164" s="3"/>
    </row>
    <row r="165" spans="1:56" ht="15.75" hidden="1" customHeight="1" outlineLevel="1">
      <c r="A165" s="58">
        <v>155</v>
      </c>
      <c r="B165" s="11">
        <v>129155</v>
      </c>
      <c r="C165" s="89" t="s">
        <v>273</v>
      </c>
      <c r="D165" s="157">
        <v>3</v>
      </c>
      <c r="E165" s="12" t="s">
        <v>191</v>
      </c>
      <c r="F165" s="11" t="s">
        <v>246</v>
      </c>
      <c r="G165" s="18" t="s">
        <v>247</v>
      </c>
      <c r="H165" s="11" t="s">
        <v>248</v>
      </c>
      <c r="I165" s="87" t="s">
        <v>249</v>
      </c>
      <c r="J165" s="19" t="s">
        <v>139</v>
      </c>
      <c r="K165" s="17" t="s">
        <v>140</v>
      </c>
      <c r="L165" s="257">
        <v>0</v>
      </c>
      <c r="M165" s="70" t="s">
        <v>250</v>
      </c>
      <c r="N165" s="70">
        <v>80</v>
      </c>
      <c r="O165" s="258">
        <v>8</v>
      </c>
      <c r="P165" s="70" t="s">
        <v>251</v>
      </c>
      <c r="Q165" s="70" t="s">
        <v>233</v>
      </c>
      <c r="R165" s="70" t="s">
        <v>240</v>
      </c>
      <c r="S165" s="70" t="s">
        <v>233</v>
      </c>
      <c r="T165" s="70" t="s">
        <v>233</v>
      </c>
      <c r="U165" s="70" t="s">
        <v>1427</v>
      </c>
      <c r="V165" s="70" t="s">
        <v>240</v>
      </c>
      <c r="W165" s="12"/>
      <c r="X165" s="242">
        <v>1293.79</v>
      </c>
      <c r="Y165" s="242">
        <v>1361.3200000000002</v>
      </c>
      <c r="Z165" s="242">
        <v>198.34</v>
      </c>
      <c r="AA165" s="157" t="s">
        <v>252</v>
      </c>
      <c r="AB165" s="242">
        <v>141.85</v>
      </c>
      <c r="AC165" s="157" t="s">
        <v>252</v>
      </c>
      <c r="AD165" s="242">
        <v>186.88</v>
      </c>
      <c r="AE165" s="157" t="s">
        <v>252</v>
      </c>
      <c r="AF165" s="242">
        <v>119.04</v>
      </c>
      <c r="AG165" s="157" t="s">
        <v>252</v>
      </c>
      <c r="AH165" s="242">
        <v>56.13</v>
      </c>
      <c r="AI165" s="157" t="s">
        <v>252</v>
      </c>
      <c r="AJ165" s="242">
        <v>20.3</v>
      </c>
      <c r="AK165" s="242" t="s">
        <v>252</v>
      </c>
      <c r="AL165" s="242">
        <v>17.11</v>
      </c>
      <c r="AM165" s="242" t="s">
        <v>252</v>
      </c>
      <c r="AN165" s="242">
        <v>18.3</v>
      </c>
      <c r="AO165" s="242" t="s">
        <v>252</v>
      </c>
      <c r="AP165" s="242">
        <v>25.32</v>
      </c>
      <c r="AQ165" s="242" t="s">
        <v>252</v>
      </c>
      <c r="AR165" s="242">
        <v>132.56</v>
      </c>
      <c r="AS165" s="242" t="s">
        <v>252</v>
      </c>
      <c r="AT165" s="242">
        <v>113.74</v>
      </c>
      <c r="AU165" s="242" t="s">
        <v>252</v>
      </c>
      <c r="AV165" s="242">
        <v>151.32</v>
      </c>
      <c r="AW165" s="157" t="s">
        <v>252</v>
      </c>
      <c r="AX165" s="157">
        <v>3836.0000000000009</v>
      </c>
      <c r="AY165" s="240">
        <v>0.6</v>
      </c>
      <c r="AZ165" s="156" t="s">
        <v>253</v>
      </c>
      <c r="BA165" s="156" t="s">
        <v>254</v>
      </c>
      <c r="BB165" s="156">
        <v>0</v>
      </c>
      <c r="BC165" s="156" t="s">
        <v>1423</v>
      </c>
      <c r="BD165" s="3"/>
    </row>
    <row r="166" spans="1:56" ht="15.75" hidden="1" customHeight="1" outlineLevel="1">
      <c r="A166" s="58">
        <v>156</v>
      </c>
      <c r="B166" s="11">
        <v>129156</v>
      </c>
      <c r="C166" s="89" t="s">
        <v>273</v>
      </c>
      <c r="D166" s="157">
        <v>6</v>
      </c>
      <c r="E166" s="12" t="s">
        <v>191</v>
      </c>
      <c r="F166" s="11" t="s">
        <v>246</v>
      </c>
      <c r="G166" s="18" t="s">
        <v>247</v>
      </c>
      <c r="H166" s="11" t="s">
        <v>248</v>
      </c>
      <c r="I166" s="87" t="s">
        <v>249</v>
      </c>
      <c r="J166" s="19" t="s">
        <v>139</v>
      </c>
      <c r="K166" s="17" t="s">
        <v>140</v>
      </c>
      <c r="L166" s="260">
        <v>1</v>
      </c>
      <c r="M166" s="70" t="s">
        <v>250</v>
      </c>
      <c r="N166" s="70">
        <v>80</v>
      </c>
      <c r="O166" s="258">
        <v>8</v>
      </c>
      <c r="P166" s="70" t="s">
        <v>251</v>
      </c>
      <c r="Q166" s="70" t="s">
        <v>233</v>
      </c>
      <c r="R166" s="70" t="s">
        <v>240</v>
      </c>
      <c r="S166" s="70" t="s">
        <v>233</v>
      </c>
      <c r="T166" s="70" t="s">
        <v>233</v>
      </c>
      <c r="U166" s="70" t="s">
        <v>1427</v>
      </c>
      <c r="V166" s="70" t="s">
        <v>240</v>
      </c>
      <c r="W166" s="12"/>
      <c r="X166" s="242">
        <v>591.42000000000007</v>
      </c>
      <c r="Y166" s="242">
        <v>505.71000000000004</v>
      </c>
      <c r="Z166" s="242">
        <v>101.79</v>
      </c>
      <c r="AA166" s="157" t="s">
        <v>252</v>
      </c>
      <c r="AB166" s="242">
        <v>68.290000000000006</v>
      </c>
      <c r="AC166" s="157" t="s">
        <v>252</v>
      </c>
      <c r="AD166" s="242">
        <v>59.89</v>
      </c>
      <c r="AE166" s="157" t="s">
        <v>252</v>
      </c>
      <c r="AF166" s="242">
        <v>35.270000000000003</v>
      </c>
      <c r="AG166" s="157" t="s">
        <v>252</v>
      </c>
      <c r="AH166" s="242">
        <v>11.57</v>
      </c>
      <c r="AI166" s="157" t="s">
        <v>252</v>
      </c>
      <c r="AJ166" s="242">
        <v>4.4000000000000004</v>
      </c>
      <c r="AK166" s="242" t="s">
        <v>252</v>
      </c>
      <c r="AL166" s="242">
        <v>10.34</v>
      </c>
      <c r="AM166" s="242" t="s">
        <v>252</v>
      </c>
      <c r="AN166" s="242">
        <v>4.7300000000000004</v>
      </c>
      <c r="AO166" s="242" t="s">
        <v>252</v>
      </c>
      <c r="AP166" s="242">
        <v>5.07</v>
      </c>
      <c r="AQ166" s="242" t="s">
        <v>252</v>
      </c>
      <c r="AR166" s="242">
        <v>35.869999999999997</v>
      </c>
      <c r="AS166" s="242" t="s">
        <v>252</v>
      </c>
      <c r="AT166" s="242">
        <v>32.26</v>
      </c>
      <c r="AU166" s="242" t="s">
        <v>252</v>
      </c>
      <c r="AV166" s="242">
        <v>43.17</v>
      </c>
      <c r="AW166" s="157" t="s">
        <v>252</v>
      </c>
      <c r="AX166" s="157">
        <v>1509.78</v>
      </c>
      <c r="AY166" s="240">
        <v>0.152</v>
      </c>
      <c r="AZ166" s="156" t="s">
        <v>253</v>
      </c>
      <c r="BA166" s="156" t="s">
        <v>254</v>
      </c>
      <c r="BB166" s="156">
        <v>1</v>
      </c>
      <c r="BC166" s="156" t="s">
        <v>1423</v>
      </c>
      <c r="BD166" s="3"/>
    </row>
    <row r="167" spans="1:56" ht="15.75" hidden="1" customHeight="1" outlineLevel="1">
      <c r="A167" s="58">
        <v>157</v>
      </c>
      <c r="B167" s="11">
        <v>129157</v>
      </c>
      <c r="C167" s="89" t="s">
        <v>273</v>
      </c>
      <c r="D167" s="157">
        <v>8</v>
      </c>
      <c r="E167" s="12" t="s">
        <v>191</v>
      </c>
      <c r="F167" s="11" t="s">
        <v>246</v>
      </c>
      <c r="G167" s="18" t="s">
        <v>247</v>
      </c>
      <c r="H167" s="11" t="s">
        <v>248</v>
      </c>
      <c r="I167" s="87" t="s">
        <v>249</v>
      </c>
      <c r="J167" s="19" t="s">
        <v>139</v>
      </c>
      <c r="K167" s="17" t="s">
        <v>140</v>
      </c>
      <c r="L167" s="257">
        <v>0</v>
      </c>
      <c r="M167" s="70" t="s">
        <v>250</v>
      </c>
      <c r="N167" s="70">
        <v>80</v>
      </c>
      <c r="O167" s="258">
        <v>8</v>
      </c>
      <c r="P167" s="70" t="s">
        <v>251</v>
      </c>
      <c r="Q167" s="70" t="s">
        <v>233</v>
      </c>
      <c r="R167" s="70" t="s">
        <v>240</v>
      </c>
      <c r="S167" s="70" t="s">
        <v>233</v>
      </c>
      <c r="T167" s="70" t="s">
        <v>233</v>
      </c>
      <c r="U167" s="70" t="s">
        <v>1427</v>
      </c>
      <c r="V167" s="70" t="s">
        <v>240</v>
      </c>
      <c r="W167" s="12"/>
      <c r="X167" s="242">
        <v>1078.52</v>
      </c>
      <c r="Y167" s="242">
        <v>994.61</v>
      </c>
      <c r="Z167" s="242">
        <v>153.25</v>
      </c>
      <c r="AA167" s="157" t="s">
        <v>252</v>
      </c>
      <c r="AB167" s="242">
        <v>120.25</v>
      </c>
      <c r="AC167" s="157" t="s">
        <v>252</v>
      </c>
      <c r="AD167" s="242">
        <v>153.75</v>
      </c>
      <c r="AE167" s="157" t="s">
        <v>252</v>
      </c>
      <c r="AF167" s="242">
        <v>97.78</v>
      </c>
      <c r="AG167" s="157" t="s">
        <v>252</v>
      </c>
      <c r="AH167" s="242">
        <v>41.51</v>
      </c>
      <c r="AI167" s="157" t="s">
        <v>252</v>
      </c>
      <c r="AJ167" s="242">
        <v>20.22</v>
      </c>
      <c r="AK167" s="242" t="s">
        <v>252</v>
      </c>
      <c r="AL167" s="242">
        <v>17.41</v>
      </c>
      <c r="AM167" s="242" t="s">
        <v>252</v>
      </c>
      <c r="AN167" s="242">
        <v>19.73</v>
      </c>
      <c r="AO167" s="242" t="s">
        <v>252</v>
      </c>
      <c r="AP167" s="242">
        <v>24.02</v>
      </c>
      <c r="AQ167" s="242" t="s">
        <v>252</v>
      </c>
      <c r="AR167" s="242">
        <v>98.21</v>
      </c>
      <c r="AS167" s="242" t="s">
        <v>252</v>
      </c>
      <c r="AT167" s="242">
        <v>89.72</v>
      </c>
      <c r="AU167" s="242" t="s">
        <v>252</v>
      </c>
      <c r="AV167" s="242">
        <v>125.79</v>
      </c>
      <c r="AW167" s="157" t="s">
        <v>252</v>
      </c>
      <c r="AX167" s="157">
        <v>3034.77</v>
      </c>
      <c r="AY167" s="240">
        <v>0.4</v>
      </c>
      <c r="AZ167" s="156" t="s">
        <v>253</v>
      </c>
      <c r="BA167" s="156" t="s">
        <v>254</v>
      </c>
      <c r="BB167" s="156">
        <v>0</v>
      </c>
      <c r="BC167" s="156" t="s">
        <v>1423</v>
      </c>
      <c r="BD167" s="3"/>
    </row>
    <row r="168" spans="1:56" ht="15.75" hidden="1" customHeight="1" outlineLevel="1">
      <c r="A168" s="58">
        <v>158</v>
      </c>
      <c r="B168" s="11">
        <v>129158</v>
      </c>
      <c r="C168" s="89" t="s">
        <v>274</v>
      </c>
      <c r="D168" s="157">
        <v>10</v>
      </c>
      <c r="E168" s="12" t="s">
        <v>191</v>
      </c>
      <c r="F168" s="11" t="s">
        <v>246</v>
      </c>
      <c r="G168" s="18" t="s">
        <v>247</v>
      </c>
      <c r="H168" s="11" t="s">
        <v>248</v>
      </c>
      <c r="I168" s="87" t="s">
        <v>249</v>
      </c>
      <c r="J168" s="19" t="s">
        <v>139</v>
      </c>
      <c r="K168" s="17" t="s">
        <v>140</v>
      </c>
      <c r="L168" s="257">
        <v>0</v>
      </c>
      <c r="M168" s="70" t="s">
        <v>250</v>
      </c>
      <c r="N168" s="70">
        <v>100</v>
      </c>
      <c r="O168" s="258">
        <v>8</v>
      </c>
      <c r="P168" s="70" t="s">
        <v>251</v>
      </c>
      <c r="Q168" s="70" t="s">
        <v>233</v>
      </c>
      <c r="R168" s="70" t="s">
        <v>240</v>
      </c>
      <c r="S168" s="70" t="s">
        <v>240</v>
      </c>
      <c r="T168" s="70" t="s">
        <v>240</v>
      </c>
      <c r="U168" s="70" t="s">
        <v>1427</v>
      </c>
      <c r="V168" s="70" t="s">
        <v>240</v>
      </c>
      <c r="W168" s="12"/>
      <c r="X168" s="242">
        <v>475.25000000000006</v>
      </c>
      <c r="Y168" s="242">
        <v>518.17999999999995</v>
      </c>
      <c r="Z168" s="242">
        <v>83.69</v>
      </c>
      <c r="AA168" s="157" t="s">
        <v>259</v>
      </c>
      <c r="AB168" s="242">
        <v>67.69</v>
      </c>
      <c r="AC168" s="157" t="s">
        <v>259</v>
      </c>
      <c r="AD168" s="242">
        <v>82.99</v>
      </c>
      <c r="AE168" s="157" t="s">
        <v>259</v>
      </c>
      <c r="AF168" s="242">
        <v>49.5</v>
      </c>
      <c r="AG168" s="157" t="s">
        <v>259</v>
      </c>
      <c r="AH168" s="242">
        <v>36.229999999999997</v>
      </c>
      <c r="AI168" s="157" t="s">
        <v>259</v>
      </c>
      <c r="AJ168" s="242">
        <v>10.65</v>
      </c>
      <c r="AK168" s="242" t="s">
        <v>259</v>
      </c>
      <c r="AL168" s="242">
        <v>10.06</v>
      </c>
      <c r="AM168" s="242" t="s">
        <v>259</v>
      </c>
      <c r="AN168" s="242">
        <v>2.71</v>
      </c>
      <c r="AO168" s="242" t="s">
        <v>259</v>
      </c>
      <c r="AP168" s="242">
        <v>15.053330000000001</v>
      </c>
      <c r="AQ168" s="242" t="s">
        <v>259</v>
      </c>
      <c r="AR168" s="242">
        <v>39.67</v>
      </c>
      <c r="AS168" s="242" t="s">
        <v>259</v>
      </c>
      <c r="AT168" s="242">
        <v>48.06</v>
      </c>
      <c r="AU168" s="242" t="s">
        <v>259</v>
      </c>
      <c r="AV168" s="242">
        <v>57.91</v>
      </c>
      <c r="AW168" s="157" t="s">
        <v>259</v>
      </c>
      <c r="AX168" s="157">
        <v>1497.6433300000003</v>
      </c>
      <c r="AY168" s="240">
        <v>0.254</v>
      </c>
      <c r="AZ168" s="156" t="s">
        <v>253</v>
      </c>
      <c r="BA168" s="156" t="s">
        <v>254</v>
      </c>
      <c r="BB168" s="156">
        <v>0</v>
      </c>
      <c r="BC168" s="156" t="s">
        <v>1423</v>
      </c>
      <c r="BD168" s="3"/>
    </row>
    <row r="169" spans="1:56" ht="15.75" hidden="1" customHeight="1" outlineLevel="1">
      <c r="A169" s="58">
        <v>159</v>
      </c>
      <c r="B169" s="11">
        <v>129159</v>
      </c>
      <c r="C169" s="89" t="s">
        <v>274</v>
      </c>
      <c r="D169" s="157">
        <v>11</v>
      </c>
      <c r="E169" s="12" t="s">
        <v>191</v>
      </c>
      <c r="F169" s="11" t="s">
        <v>246</v>
      </c>
      <c r="G169" s="18" t="s">
        <v>247</v>
      </c>
      <c r="H169" s="11" t="s">
        <v>248</v>
      </c>
      <c r="I169" s="87" t="s">
        <v>249</v>
      </c>
      <c r="J169" s="19" t="s">
        <v>139</v>
      </c>
      <c r="K169" s="17" t="s">
        <v>140</v>
      </c>
      <c r="L169" s="257">
        <v>0</v>
      </c>
      <c r="M169" s="70" t="s">
        <v>250</v>
      </c>
      <c r="N169" s="70">
        <v>80</v>
      </c>
      <c r="O169" s="258">
        <v>8</v>
      </c>
      <c r="P169" s="70" t="s">
        <v>251</v>
      </c>
      <c r="Q169" s="70" t="s">
        <v>233</v>
      </c>
      <c r="R169" s="70" t="s">
        <v>240</v>
      </c>
      <c r="S169" s="70" t="s">
        <v>233</v>
      </c>
      <c r="T169" s="70" t="s">
        <v>233</v>
      </c>
      <c r="U169" s="70" t="s">
        <v>1427</v>
      </c>
      <c r="V169" s="70" t="s">
        <v>240</v>
      </c>
      <c r="W169" s="12"/>
      <c r="X169" s="242">
        <v>305.44025231748122</v>
      </c>
      <c r="Y169" s="242">
        <v>308.51489221655419</v>
      </c>
      <c r="Z169" s="242">
        <v>50.671506774175853</v>
      </c>
      <c r="AA169" s="157" t="s">
        <v>252</v>
      </c>
      <c r="AB169" s="242">
        <v>37.700369699961605</v>
      </c>
      <c r="AC169" s="157" t="s">
        <v>252</v>
      </c>
      <c r="AD169" s="242">
        <v>50.010939608359386</v>
      </c>
      <c r="AE169" s="157" t="s">
        <v>252</v>
      </c>
      <c r="AF169" s="242">
        <v>30.83647633152323</v>
      </c>
      <c r="AG169" s="157" t="s">
        <v>252</v>
      </c>
      <c r="AH169" s="242">
        <v>13.2713948768581</v>
      </c>
      <c r="AI169" s="157" t="s">
        <v>252</v>
      </c>
      <c r="AJ169" s="242">
        <v>4.6600010970325272</v>
      </c>
      <c r="AK169" s="242" t="s">
        <v>252</v>
      </c>
      <c r="AL169" s="242">
        <v>3.6331194119905654</v>
      </c>
      <c r="AM169" s="242" t="s">
        <v>252</v>
      </c>
      <c r="AN169" s="242">
        <v>3.1707223959190389</v>
      </c>
      <c r="AO169" s="242" t="s">
        <v>252</v>
      </c>
      <c r="AP169" s="242">
        <v>4.8641764028303438</v>
      </c>
      <c r="AQ169" s="242" t="s">
        <v>252</v>
      </c>
      <c r="AR169" s="242">
        <v>30.350058691240193</v>
      </c>
      <c r="AS169" s="242" t="s">
        <v>252</v>
      </c>
      <c r="AT169" s="242">
        <v>28.494465470901215</v>
      </c>
      <c r="AU169" s="242" t="s">
        <v>252</v>
      </c>
      <c r="AV169" s="242">
        <v>36.247121935165374</v>
      </c>
      <c r="AW169" s="157" t="s">
        <v>252</v>
      </c>
      <c r="AX169" s="157">
        <v>907.86549722999303</v>
      </c>
      <c r="AY169" s="240">
        <v>0.13751807361088256</v>
      </c>
      <c r="AZ169" s="156" t="s">
        <v>253</v>
      </c>
      <c r="BA169" s="156" t="s">
        <v>254</v>
      </c>
      <c r="BB169" s="156">
        <v>0</v>
      </c>
      <c r="BC169" s="156" t="s">
        <v>1423</v>
      </c>
      <c r="BD169" s="3"/>
    </row>
    <row r="170" spans="1:56" ht="15.75" hidden="1" customHeight="1" outlineLevel="1">
      <c r="A170" s="58">
        <v>160</v>
      </c>
      <c r="B170" s="11">
        <v>129160</v>
      </c>
      <c r="C170" s="89" t="s">
        <v>274</v>
      </c>
      <c r="D170" s="157">
        <v>11</v>
      </c>
      <c r="E170" s="12" t="s">
        <v>231</v>
      </c>
      <c r="F170" s="11" t="s">
        <v>246</v>
      </c>
      <c r="G170" s="18" t="s">
        <v>247</v>
      </c>
      <c r="H170" s="11" t="s">
        <v>248</v>
      </c>
      <c r="I170" s="87" t="s">
        <v>249</v>
      </c>
      <c r="J170" s="19" t="s">
        <v>139</v>
      </c>
      <c r="K170" s="17" t="s">
        <v>140</v>
      </c>
      <c r="L170" s="257">
        <v>0</v>
      </c>
      <c r="M170" s="70" t="s">
        <v>250</v>
      </c>
      <c r="N170" s="70">
        <v>80</v>
      </c>
      <c r="O170" s="258">
        <v>8</v>
      </c>
      <c r="P170" s="70" t="s">
        <v>251</v>
      </c>
      <c r="Q170" s="70" t="s">
        <v>233</v>
      </c>
      <c r="R170" s="70" t="s">
        <v>240</v>
      </c>
      <c r="S170" s="70" t="s">
        <v>233</v>
      </c>
      <c r="T170" s="70" t="s">
        <v>233</v>
      </c>
      <c r="U170" s="70" t="s">
        <v>1427</v>
      </c>
      <c r="V170" s="70" t="s">
        <v>240</v>
      </c>
      <c r="W170" s="12"/>
      <c r="X170" s="242">
        <v>203.1897476825188</v>
      </c>
      <c r="Y170" s="242">
        <v>205.23510778344578</v>
      </c>
      <c r="Z170" s="242">
        <v>33.708493225824142</v>
      </c>
      <c r="AA170" s="157" t="s">
        <v>252</v>
      </c>
      <c r="AB170" s="242">
        <v>25.079630300038399</v>
      </c>
      <c r="AC170" s="157" t="s">
        <v>252</v>
      </c>
      <c r="AD170" s="242">
        <v>33.269060391640615</v>
      </c>
      <c r="AE170" s="157" t="s">
        <v>252</v>
      </c>
      <c r="AF170" s="242">
        <v>20.513523668476772</v>
      </c>
      <c r="AG170" s="157" t="s">
        <v>252</v>
      </c>
      <c r="AH170" s="242">
        <v>8.8286051231419016</v>
      </c>
      <c r="AI170" s="157" t="s">
        <v>252</v>
      </c>
      <c r="AJ170" s="242">
        <v>3.099998902967473</v>
      </c>
      <c r="AK170" s="242" t="s">
        <v>252</v>
      </c>
      <c r="AL170" s="242">
        <v>2.4168805880094344</v>
      </c>
      <c r="AM170" s="242" t="s">
        <v>252</v>
      </c>
      <c r="AN170" s="242">
        <v>2.1092776040809613</v>
      </c>
      <c r="AO170" s="242" t="s">
        <v>252</v>
      </c>
      <c r="AP170" s="242">
        <v>3.2358235971696563</v>
      </c>
      <c r="AQ170" s="242" t="s">
        <v>252</v>
      </c>
      <c r="AR170" s="242">
        <v>20.189941308759806</v>
      </c>
      <c r="AS170" s="242" t="s">
        <v>252</v>
      </c>
      <c r="AT170" s="242">
        <v>18.955534529098788</v>
      </c>
      <c r="AU170" s="242" t="s">
        <v>252</v>
      </c>
      <c r="AV170" s="242">
        <v>24.112878064834621</v>
      </c>
      <c r="AW170" s="157" t="s">
        <v>252</v>
      </c>
      <c r="AX170" s="157">
        <v>603.94450277000715</v>
      </c>
      <c r="AY170" s="243">
        <v>9.1481926389117452E-2</v>
      </c>
      <c r="AZ170" s="156" t="s">
        <v>253</v>
      </c>
      <c r="BA170" s="156" t="s">
        <v>254</v>
      </c>
      <c r="BB170" s="156">
        <v>0</v>
      </c>
      <c r="BC170" s="156" t="s">
        <v>1423</v>
      </c>
      <c r="BD170" s="3"/>
    </row>
    <row r="171" spans="1:56" ht="15.75" hidden="1" customHeight="1" outlineLevel="1">
      <c r="A171" s="58">
        <v>161</v>
      </c>
      <c r="B171" s="11">
        <v>129161</v>
      </c>
      <c r="C171" s="89" t="s">
        <v>274</v>
      </c>
      <c r="D171" s="157">
        <v>13</v>
      </c>
      <c r="E171" s="12" t="s">
        <v>191</v>
      </c>
      <c r="F171" s="11" t="s">
        <v>246</v>
      </c>
      <c r="G171" s="18" t="s">
        <v>247</v>
      </c>
      <c r="H171" s="11" t="s">
        <v>248</v>
      </c>
      <c r="I171" s="87" t="s">
        <v>249</v>
      </c>
      <c r="J171" s="19" t="s">
        <v>139</v>
      </c>
      <c r="K171" s="17" t="s">
        <v>140</v>
      </c>
      <c r="L171" s="260">
        <v>1</v>
      </c>
      <c r="M171" s="70" t="s">
        <v>250</v>
      </c>
      <c r="N171" s="70">
        <v>100</v>
      </c>
      <c r="O171" s="258">
        <v>8</v>
      </c>
      <c r="P171" s="70" t="s">
        <v>251</v>
      </c>
      <c r="Q171" s="70" t="s">
        <v>233</v>
      </c>
      <c r="R171" s="70" t="s">
        <v>240</v>
      </c>
      <c r="S171" s="70" t="s">
        <v>233</v>
      </c>
      <c r="T171" s="70" t="s">
        <v>233</v>
      </c>
      <c r="U171" s="70" t="s">
        <v>1427</v>
      </c>
      <c r="V171" s="70" t="s">
        <v>240</v>
      </c>
      <c r="W171" s="12"/>
      <c r="X171" s="242">
        <v>629.95999999999992</v>
      </c>
      <c r="Y171" s="242">
        <v>563.65000000000009</v>
      </c>
      <c r="Z171" s="242">
        <v>89.08</v>
      </c>
      <c r="AA171" s="157" t="s">
        <v>252</v>
      </c>
      <c r="AB171" s="242">
        <v>59.08</v>
      </c>
      <c r="AC171" s="157" t="s">
        <v>252</v>
      </c>
      <c r="AD171" s="242">
        <v>79.88</v>
      </c>
      <c r="AE171" s="157" t="s">
        <v>252</v>
      </c>
      <c r="AF171" s="242">
        <v>50.95</v>
      </c>
      <c r="AG171" s="157" t="s">
        <v>252</v>
      </c>
      <c r="AH171" s="242">
        <v>19.78</v>
      </c>
      <c r="AI171" s="157" t="s">
        <v>252</v>
      </c>
      <c r="AJ171" s="242">
        <v>10.93</v>
      </c>
      <c r="AK171" s="242" t="s">
        <v>252</v>
      </c>
      <c r="AL171" s="242">
        <v>10.45</v>
      </c>
      <c r="AM171" s="242" t="s">
        <v>252</v>
      </c>
      <c r="AN171" s="242">
        <v>10.33</v>
      </c>
      <c r="AO171" s="242" t="s">
        <v>252</v>
      </c>
      <c r="AP171" s="242">
        <v>17.79</v>
      </c>
      <c r="AQ171" s="242" t="s">
        <v>252</v>
      </c>
      <c r="AR171" s="242">
        <v>51.79</v>
      </c>
      <c r="AS171" s="242" t="s">
        <v>252</v>
      </c>
      <c r="AT171" s="242">
        <v>52.69</v>
      </c>
      <c r="AU171" s="242" t="s">
        <v>252</v>
      </c>
      <c r="AV171" s="242">
        <v>62.98</v>
      </c>
      <c r="AW171" s="157" t="s">
        <v>252</v>
      </c>
      <c r="AX171" s="157">
        <v>1709.3400000000001</v>
      </c>
      <c r="AY171" s="240">
        <v>0.24</v>
      </c>
      <c r="AZ171" s="156" t="s">
        <v>253</v>
      </c>
      <c r="BA171" s="156" t="s">
        <v>254</v>
      </c>
      <c r="BB171" s="156">
        <v>1</v>
      </c>
      <c r="BC171" s="156" t="s">
        <v>1423</v>
      </c>
      <c r="BD171" s="3"/>
    </row>
    <row r="172" spans="1:56" ht="15.75" hidden="1" customHeight="1" outlineLevel="1">
      <c r="A172" s="58">
        <v>162</v>
      </c>
      <c r="B172" s="11">
        <v>129162</v>
      </c>
      <c r="C172" s="89" t="s">
        <v>274</v>
      </c>
      <c r="D172" s="157">
        <v>15</v>
      </c>
      <c r="E172" s="12" t="s">
        <v>191</v>
      </c>
      <c r="F172" s="11" t="s">
        <v>246</v>
      </c>
      <c r="G172" s="18" t="s">
        <v>247</v>
      </c>
      <c r="H172" s="11" t="s">
        <v>248</v>
      </c>
      <c r="I172" s="87" t="s">
        <v>249</v>
      </c>
      <c r="J172" s="19" t="s">
        <v>139</v>
      </c>
      <c r="K172" s="17" t="s">
        <v>140</v>
      </c>
      <c r="L172" s="257">
        <v>0</v>
      </c>
      <c r="M172" s="70" t="s">
        <v>250</v>
      </c>
      <c r="N172" s="70">
        <v>100</v>
      </c>
      <c r="O172" s="258">
        <v>8</v>
      </c>
      <c r="P172" s="70" t="s">
        <v>251</v>
      </c>
      <c r="Q172" s="70" t="s">
        <v>233</v>
      </c>
      <c r="R172" s="70" t="s">
        <v>240</v>
      </c>
      <c r="S172" s="70" t="s">
        <v>233</v>
      </c>
      <c r="T172" s="70" t="s">
        <v>233</v>
      </c>
      <c r="U172" s="70" t="s">
        <v>1427</v>
      </c>
      <c r="V172" s="70" t="s">
        <v>240</v>
      </c>
      <c r="W172" s="12"/>
      <c r="X172" s="242">
        <v>762.03330561330552</v>
      </c>
      <c r="Y172" s="242">
        <v>749.33059459459457</v>
      </c>
      <c r="Z172" s="242">
        <v>118.98119750519751</v>
      </c>
      <c r="AA172" s="157" t="s">
        <v>252</v>
      </c>
      <c r="AB172" s="242">
        <v>86.814794178794187</v>
      </c>
      <c r="AC172" s="157" t="s">
        <v>252</v>
      </c>
      <c r="AD172" s="242">
        <v>118.98119750519751</v>
      </c>
      <c r="AE172" s="157" t="s">
        <v>252</v>
      </c>
      <c r="AF172" s="242">
        <v>72.809904365904373</v>
      </c>
      <c r="AG172" s="157" t="s">
        <v>252</v>
      </c>
      <c r="AH172" s="242">
        <v>24.258469854469855</v>
      </c>
      <c r="AI172" s="157" t="s">
        <v>252</v>
      </c>
      <c r="AJ172" s="242">
        <v>12.659592515592516</v>
      </c>
      <c r="AK172" s="242" t="s">
        <v>252</v>
      </c>
      <c r="AL172" s="242">
        <v>9.9258794178794183</v>
      </c>
      <c r="AM172" s="242" t="s">
        <v>252</v>
      </c>
      <c r="AN172" s="242">
        <v>9.7275343035343038</v>
      </c>
      <c r="AO172" s="242" t="s">
        <v>252</v>
      </c>
      <c r="AP172" s="242">
        <v>12.642345114345115</v>
      </c>
      <c r="AQ172" s="242" t="s">
        <v>252</v>
      </c>
      <c r="AR172" s="242">
        <v>71.585338877338884</v>
      </c>
      <c r="AS172" s="242" t="s">
        <v>252</v>
      </c>
      <c r="AT172" s="242">
        <v>65.108939708939715</v>
      </c>
      <c r="AU172" s="242" t="s">
        <v>252</v>
      </c>
      <c r="AV172" s="242">
        <v>85.943800415800425</v>
      </c>
      <c r="AW172" s="157" t="s">
        <v>252</v>
      </c>
      <c r="AX172" s="157">
        <v>2200.8028939708943</v>
      </c>
      <c r="AY172" s="240">
        <v>0.28458212058212062</v>
      </c>
      <c r="AZ172" s="156" t="s">
        <v>253</v>
      </c>
      <c r="BA172" s="156" t="s">
        <v>254</v>
      </c>
      <c r="BB172" s="156">
        <v>0</v>
      </c>
      <c r="BC172" s="156" t="s">
        <v>1423</v>
      </c>
      <c r="BD172" s="3"/>
    </row>
    <row r="173" spans="1:56" ht="15.75" hidden="1" customHeight="1" outlineLevel="1">
      <c r="A173" s="58">
        <v>163</v>
      </c>
      <c r="B173" s="11">
        <v>129163</v>
      </c>
      <c r="C173" s="89" t="s">
        <v>274</v>
      </c>
      <c r="D173" s="157">
        <v>15</v>
      </c>
      <c r="E173" s="12" t="s">
        <v>231</v>
      </c>
      <c r="F173" s="11" t="s">
        <v>246</v>
      </c>
      <c r="G173" s="18" t="s">
        <v>247</v>
      </c>
      <c r="H173" s="11" t="s">
        <v>248</v>
      </c>
      <c r="I173" s="87" t="s">
        <v>249</v>
      </c>
      <c r="J173" s="19" t="s">
        <v>139</v>
      </c>
      <c r="K173" s="17" t="s">
        <v>140</v>
      </c>
      <c r="L173" s="257">
        <v>0</v>
      </c>
      <c r="M173" s="70" t="s">
        <v>250</v>
      </c>
      <c r="N173" s="70">
        <v>100</v>
      </c>
      <c r="O173" s="258">
        <v>8</v>
      </c>
      <c r="P173" s="70" t="s">
        <v>251</v>
      </c>
      <c r="Q173" s="70" t="s">
        <v>233</v>
      </c>
      <c r="R173" s="70" t="s">
        <v>240</v>
      </c>
      <c r="S173" s="70" t="s">
        <v>233</v>
      </c>
      <c r="T173" s="70" t="s">
        <v>233</v>
      </c>
      <c r="U173" s="70" t="s">
        <v>1427</v>
      </c>
      <c r="V173" s="70" t="s">
        <v>240</v>
      </c>
      <c r="W173" s="12"/>
      <c r="X173" s="242">
        <v>121.61669438669438</v>
      </c>
      <c r="Y173" s="242">
        <v>119.5894054054054</v>
      </c>
      <c r="Z173" s="242">
        <v>18.988802494802496</v>
      </c>
      <c r="AA173" s="157" t="s">
        <v>252</v>
      </c>
      <c r="AB173" s="242">
        <v>13.855205821205821</v>
      </c>
      <c r="AC173" s="157" t="s">
        <v>252</v>
      </c>
      <c r="AD173" s="242">
        <v>18.988802494802496</v>
      </c>
      <c r="AE173" s="157" t="s">
        <v>252</v>
      </c>
      <c r="AF173" s="242">
        <v>11.620095634095636</v>
      </c>
      <c r="AG173" s="157" t="s">
        <v>252</v>
      </c>
      <c r="AH173" s="242">
        <v>3.8715301455301456</v>
      </c>
      <c r="AI173" s="157" t="s">
        <v>252</v>
      </c>
      <c r="AJ173" s="242">
        <v>2.0204074844074844</v>
      </c>
      <c r="AK173" s="242" t="s">
        <v>252</v>
      </c>
      <c r="AL173" s="242">
        <v>1.5841205821205822</v>
      </c>
      <c r="AM173" s="242" t="s">
        <v>252</v>
      </c>
      <c r="AN173" s="242">
        <v>1.5524656964656964</v>
      </c>
      <c r="AO173" s="242" t="s">
        <v>252</v>
      </c>
      <c r="AP173" s="242">
        <v>2.0176548856548857</v>
      </c>
      <c r="AQ173" s="242" t="s">
        <v>252</v>
      </c>
      <c r="AR173" s="242">
        <v>11.424661122661124</v>
      </c>
      <c r="AS173" s="242" t="s">
        <v>252</v>
      </c>
      <c r="AT173" s="242">
        <v>10.391060291060292</v>
      </c>
      <c r="AU173" s="242" t="s">
        <v>252</v>
      </c>
      <c r="AV173" s="242">
        <v>13.716199584199584</v>
      </c>
      <c r="AW173" s="157" t="s">
        <v>252</v>
      </c>
      <c r="AX173" s="157">
        <v>351.23710602910597</v>
      </c>
      <c r="AY173" s="243">
        <v>4.541787941787942E-2</v>
      </c>
      <c r="AZ173" s="156" t="s">
        <v>253</v>
      </c>
      <c r="BA173" s="156" t="s">
        <v>254</v>
      </c>
      <c r="BB173" s="156">
        <v>0</v>
      </c>
      <c r="BC173" s="156" t="s">
        <v>1423</v>
      </c>
      <c r="BD173" s="3"/>
    </row>
    <row r="174" spans="1:56" ht="15.75" hidden="1" customHeight="1" outlineLevel="1">
      <c r="A174" s="58">
        <v>164</v>
      </c>
      <c r="B174" s="11">
        <v>129164</v>
      </c>
      <c r="C174" s="89" t="s">
        <v>274</v>
      </c>
      <c r="D174" s="157">
        <v>16</v>
      </c>
      <c r="E174" s="12" t="s">
        <v>191</v>
      </c>
      <c r="F174" s="11" t="s">
        <v>246</v>
      </c>
      <c r="G174" s="18" t="s">
        <v>247</v>
      </c>
      <c r="H174" s="11" t="s">
        <v>248</v>
      </c>
      <c r="I174" s="87" t="s">
        <v>249</v>
      </c>
      <c r="J174" s="19" t="s">
        <v>139</v>
      </c>
      <c r="K174" s="17" t="s">
        <v>140</v>
      </c>
      <c r="L174" s="257">
        <v>0</v>
      </c>
      <c r="M174" s="70" t="s">
        <v>250</v>
      </c>
      <c r="N174" s="70">
        <v>100</v>
      </c>
      <c r="O174" s="258">
        <v>8</v>
      </c>
      <c r="P174" s="70" t="s">
        <v>251</v>
      </c>
      <c r="Q174" s="70" t="s">
        <v>233</v>
      </c>
      <c r="R174" s="70" t="s">
        <v>240</v>
      </c>
      <c r="S174" s="70" t="s">
        <v>240</v>
      </c>
      <c r="T174" s="70" t="s">
        <v>240</v>
      </c>
      <c r="U174" s="70" t="s">
        <v>1427</v>
      </c>
      <c r="V174" s="70" t="s">
        <v>240</v>
      </c>
      <c r="W174" s="12"/>
      <c r="X174" s="242">
        <v>0</v>
      </c>
      <c r="Y174" s="242">
        <v>0</v>
      </c>
      <c r="Z174" s="242">
        <v>0</v>
      </c>
      <c r="AA174" s="157" t="s">
        <v>259</v>
      </c>
      <c r="AB174" s="242">
        <v>0</v>
      </c>
      <c r="AC174" s="157" t="s">
        <v>259</v>
      </c>
      <c r="AD174" s="242">
        <v>0</v>
      </c>
      <c r="AE174" s="157" t="s">
        <v>259</v>
      </c>
      <c r="AF174" s="242">
        <v>0</v>
      </c>
      <c r="AG174" s="157" t="s">
        <v>259</v>
      </c>
      <c r="AH174" s="242">
        <v>23.43</v>
      </c>
      <c r="AI174" s="157" t="s">
        <v>259</v>
      </c>
      <c r="AJ174" s="242">
        <v>19.53</v>
      </c>
      <c r="AK174" s="242" t="s">
        <v>259</v>
      </c>
      <c r="AL174" s="242">
        <v>3.79</v>
      </c>
      <c r="AM174" s="242" t="s">
        <v>259</v>
      </c>
      <c r="AN174" s="242">
        <v>15.58</v>
      </c>
      <c r="AO174" s="242" t="s">
        <v>259</v>
      </c>
      <c r="AP174" s="242">
        <v>15.58</v>
      </c>
      <c r="AQ174" s="242" t="s">
        <v>259</v>
      </c>
      <c r="AR174" s="242">
        <v>64.34</v>
      </c>
      <c r="AS174" s="242" t="s">
        <v>259</v>
      </c>
      <c r="AT174" s="242">
        <v>54.48</v>
      </c>
      <c r="AU174" s="242" t="s">
        <v>259</v>
      </c>
      <c r="AV174" s="242">
        <v>60.676729999999999</v>
      </c>
      <c r="AW174" s="157" t="s">
        <v>259</v>
      </c>
      <c r="AX174" s="157">
        <v>257.40672999999998</v>
      </c>
      <c r="AY174" s="240">
        <v>0.33</v>
      </c>
      <c r="AZ174" s="156" t="s">
        <v>253</v>
      </c>
      <c r="BA174" s="156" t="s">
        <v>254</v>
      </c>
      <c r="BB174" s="156">
        <v>0</v>
      </c>
      <c r="BC174" s="156" t="s">
        <v>1423</v>
      </c>
      <c r="BD174" s="3"/>
    </row>
    <row r="175" spans="1:56" ht="15.75" hidden="1" customHeight="1" outlineLevel="1">
      <c r="A175" s="58">
        <v>165</v>
      </c>
      <c r="B175" s="11">
        <v>129165</v>
      </c>
      <c r="C175" s="89" t="s">
        <v>274</v>
      </c>
      <c r="D175" s="157">
        <v>17</v>
      </c>
      <c r="E175" s="12" t="s">
        <v>191</v>
      </c>
      <c r="F175" s="11" t="s">
        <v>246</v>
      </c>
      <c r="G175" s="18" t="s">
        <v>247</v>
      </c>
      <c r="H175" s="11" t="s">
        <v>248</v>
      </c>
      <c r="I175" s="87" t="s">
        <v>249</v>
      </c>
      <c r="J175" s="19" t="s">
        <v>139</v>
      </c>
      <c r="K175" s="17" t="s">
        <v>140</v>
      </c>
      <c r="L175" s="260">
        <v>1</v>
      </c>
      <c r="M175" s="70" t="s">
        <v>250</v>
      </c>
      <c r="N175" s="70">
        <v>100</v>
      </c>
      <c r="O175" s="258">
        <v>8</v>
      </c>
      <c r="P175" s="70" t="s">
        <v>251</v>
      </c>
      <c r="Q175" s="70" t="s">
        <v>233</v>
      </c>
      <c r="R175" s="70" t="s">
        <v>240</v>
      </c>
      <c r="S175" s="70" t="s">
        <v>233</v>
      </c>
      <c r="T175" s="70" t="s">
        <v>233</v>
      </c>
      <c r="U175" s="70" t="s">
        <v>1427</v>
      </c>
      <c r="V175" s="70" t="s">
        <v>240</v>
      </c>
      <c r="W175" s="12"/>
      <c r="X175" s="242">
        <v>451.34999999999991</v>
      </c>
      <c r="Y175" s="242">
        <v>452.62000000000006</v>
      </c>
      <c r="Z175" s="242">
        <v>72.19</v>
      </c>
      <c r="AA175" s="157" t="s">
        <v>252</v>
      </c>
      <c r="AB175" s="242">
        <v>52.69</v>
      </c>
      <c r="AC175" s="157" t="s">
        <v>252</v>
      </c>
      <c r="AD175" s="242">
        <v>72.19</v>
      </c>
      <c r="AE175" s="157" t="s">
        <v>252</v>
      </c>
      <c r="AF175" s="242">
        <v>44.17</v>
      </c>
      <c r="AG175" s="157" t="s">
        <v>252</v>
      </c>
      <c r="AH175" s="242">
        <v>14.83</v>
      </c>
      <c r="AI175" s="157" t="s">
        <v>252</v>
      </c>
      <c r="AJ175" s="242">
        <v>6.43</v>
      </c>
      <c r="AK175" s="242" t="s">
        <v>252</v>
      </c>
      <c r="AL175" s="242">
        <v>13.44</v>
      </c>
      <c r="AM175" s="242" t="s">
        <v>252</v>
      </c>
      <c r="AN175" s="242">
        <v>4.93</v>
      </c>
      <c r="AO175" s="242" t="s">
        <v>252</v>
      </c>
      <c r="AP175" s="242">
        <v>6.46</v>
      </c>
      <c r="AQ175" s="242" t="s">
        <v>252</v>
      </c>
      <c r="AR175" s="242">
        <v>43.69</v>
      </c>
      <c r="AS175" s="242" t="s">
        <v>252</v>
      </c>
      <c r="AT175" s="242">
        <v>39.64</v>
      </c>
      <c r="AU175" s="242" t="s">
        <v>252</v>
      </c>
      <c r="AV175" s="242">
        <v>52.24</v>
      </c>
      <c r="AW175" s="157" t="s">
        <v>252</v>
      </c>
      <c r="AX175" s="157">
        <v>1326.8700000000006</v>
      </c>
      <c r="AY175" s="240">
        <v>0.18</v>
      </c>
      <c r="AZ175" s="156" t="s">
        <v>253</v>
      </c>
      <c r="BA175" s="156" t="s">
        <v>254</v>
      </c>
      <c r="BB175" s="156">
        <v>1</v>
      </c>
      <c r="BC175" s="156" t="s">
        <v>1423</v>
      </c>
      <c r="BD175" s="3"/>
    </row>
    <row r="176" spans="1:56" ht="15.75" hidden="1" customHeight="1" outlineLevel="1">
      <c r="A176" s="58">
        <v>166</v>
      </c>
      <c r="B176" s="11">
        <v>129166</v>
      </c>
      <c r="C176" s="89" t="s">
        <v>274</v>
      </c>
      <c r="D176" s="157">
        <v>19</v>
      </c>
      <c r="E176" s="12" t="s">
        <v>191</v>
      </c>
      <c r="F176" s="11" t="s">
        <v>246</v>
      </c>
      <c r="G176" s="18" t="s">
        <v>247</v>
      </c>
      <c r="H176" s="11" t="s">
        <v>248</v>
      </c>
      <c r="I176" s="87" t="s">
        <v>249</v>
      </c>
      <c r="J176" s="19" t="s">
        <v>139</v>
      </c>
      <c r="K176" s="17" t="s">
        <v>140</v>
      </c>
      <c r="L176" s="257">
        <v>0</v>
      </c>
      <c r="M176" s="70" t="s">
        <v>250</v>
      </c>
      <c r="N176" s="70">
        <v>100</v>
      </c>
      <c r="O176" s="258">
        <v>8</v>
      </c>
      <c r="P176" s="70" t="s">
        <v>251</v>
      </c>
      <c r="Q176" s="70" t="s">
        <v>233</v>
      </c>
      <c r="R176" s="70" t="s">
        <v>240</v>
      </c>
      <c r="S176" s="70" t="s">
        <v>233</v>
      </c>
      <c r="T176" s="70" t="s">
        <v>233</v>
      </c>
      <c r="U176" s="70" t="s">
        <v>1427</v>
      </c>
      <c r="V176" s="70" t="s">
        <v>240</v>
      </c>
      <c r="W176" s="12"/>
      <c r="X176" s="242">
        <v>1213.55</v>
      </c>
      <c r="Y176" s="242">
        <v>1169.3600000000001</v>
      </c>
      <c r="Z176" s="242">
        <v>185.9</v>
      </c>
      <c r="AA176" s="157" t="s">
        <v>252</v>
      </c>
      <c r="AB176" s="242">
        <v>135.74</v>
      </c>
      <c r="AC176" s="157" t="s">
        <v>252</v>
      </c>
      <c r="AD176" s="242">
        <v>185.93</v>
      </c>
      <c r="AE176" s="157" t="s">
        <v>252</v>
      </c>
      <c r="AF176" s="242">
        <v>113.71</v>
      </c>
      <c r="AG176" s="157" t="s">
        <v>252</v>
      </c>
      <c r="AH176" s="242">
        <v>37.6</v>
      </c>
      <c r="AI176" s="157" t="s">
        <v>252</v>
      </c>
      <c r="AJ176" s="242">
        <v>22.32</v>
      </c>
      <c r="AK176" s="242" t="s">
        <v>252</v>
      </c>
      <c r="AL176" s="242">
        <v>17.510000000000002</v>
      </c>
      <c r="AM176" s="242" t="s">
        <v>252</v>
      </c>
      <c r="AN176" s="242">
        <v>17.04</v>
      </c>
      <c r="AO176" s="242" t="s">
        <v>252</v>
      </c>
      <c r="AP176" s="242">
        <v>22.29</v>
      </c>
      <c r="AQ176" s="242" t="s">
        <v>252</v>
      </c>
      <c r="AR176" s="242">
        <v>111.32</v>
      </c>
      <c r="AS176" s="242" t="s">
        <v>252</v>
      </c>
      <c r="AT176" s="242">
        <v>101.48</v>
      </c>
      <c r="AU176" s="242" t="s">
        <v>252</v>
      </c>
      <c r="AV176" s="242">
        <v>134.27000000000001</v>
      </c>
      <c r="AW176" s="157" t="s">
        <v>252</v>
      </c>
      <c r="AX176" s="157">
        <v>3468.0200000000004</v>
      </c>
      <c r="AY176" s="240">
        <v>0.438</v>
      </c>
      <c r="AZ176" s="156" t="s">
        <v>253</v>
      </c>
      <c r="BA176" s="156" t="s">
        <v>254</v>
      </c>
      <c r="BB176" s="156">
        <v>0</v>
      </c>
      <c r="BC176" s="156" t="s">
        <v>1423</v>
      </c>
      <c r="BD176" s="3"/>
    </row>
    <row r="177" spans="1:56" ht="15.75" hidden="1" customHeight="1" outlineLevel="1">
      <c r="A177" s="58">
        <v>167</v>
      </c>
      <c r="B177" s="11">
        <v>129167</v>
      </c>
      <c r="C177" s="89" t="s">
        <v>274</v>
      </c>
      <c r="D177" s="157">
        <v>20</v>
      </c>
      <c r="E177" s="12" t="s">
        <v>191</v>
      </c>
      <c r="F177" s="11" t="s">
        <v>246</v>
      </c>
      <c r="G177" s="18" t="s">
        <v>247</v>
      </c>
      <c r="H177" s="11" t="s">
        <v>248</v>
      </c>
      <c r="I177" s="87" t="s">
        <v>249</v>
      </c>
      <c r="J177" s="19" t="s">
        <v>139</v>
      </c>
      <c r="K177" s="17" t="s">
        <v>140</v>
      </c>
      <c r="L177" s="260">
        <v>1</v>
      </c>
      <c r="M177" s="70" t="s">
        <v>250</v>
      </c>
      <c r="N177" s="70">
        <v>80</v>
      </c>
      <c r="O177" s="258">
        <v>8</v>
      </c>
      <c r="P177" s="70" t="s">
        <v>251</v>
      </c>
      <c r="Q177" s="70" t="s">
        <v>233</v>
      </c>
      <c r="R177" s="70" t="s">
        <v>240</v>
      </c>
      <c r="S177" s="70" t="s">
        <v>233</v>
      </c>
      <c r="T177" s="70" t="s">
        <v>233</v>
      </c>
      <c r="U177" s="70" t="s">
        <v>1427</v>
      </c>
      <c r="V177" s="70" t="s">
        <v>240</v>
      </c>
      <c r="W177" s="12"/>
      <c r="X177" s="242">
        <v>1447.7893028059907</v>
      </c>
      <c r="Y177" s="242">
        <v>1420.8552694095367</v>
      </c>
      <c r="Z177" s="242">
        <v>214.64008607333449</v>
      </c>
      <c r="AA177" s="157" t="s">
        <v>252</v>
      </c>
      <c r="AB177" s="242">
        <v>164.06495093819936</v>
      </c>
      <c r="AC177" s="157" t="s">
        <v>252</v>
      </c>
      <c r="AD177" s="242">
        <v>215.91072818040971</v>
      </c>
      <c r="AE177" s="157" t="s">
        <v>252</v>
      </c>
      <c r="AF177" s="242">
        <v>139.16215527629541</v>
      </c>
      <c r="AG177" s="157" t="s">
        <v>252</v>
      </c>
      <c r="AH177" s="242">
        <v>63.344193492855922</v>
      </c>
      <c r="AI177" s="157" t="s">
        <v>252</v>
      </c>
      <c r="AJ177" s="242">
        <v>36.454901015665349</v>
      </c>
      <c r="AK177" s="242" t="s">
        <v>252</v>
      </c>
      <c r="AL177" s="242">
        <v>36.884413840592188</v>
      </c>
      <c r="AM177" s="242" t="s">
        <v>252</v>
      </c>
      <c r="AN177" s="242">
        <v>36.329626441728358</v>
      </c>
      <c r="AO177" s="242" t="s">
        <v>252</v>
      </c>
      <c r="AP177" s="242">
        <v>33.645171285935618</v>
      </c>
      <c r="AQ177" s="242" t="s">
        <v>252</v>
      </c>
      <c r="AR177" s="242">
        <v>156.37846100877948</v>
      </c>
      <c r="AS177" s="242" t="s">
        <v>252</v>
      </c>
      <c r="AT177" s="242">
        <v>130.70612153554828</v>
      </c>
      <c r="AU177" s="242" t="s">
        <v>252</v>
      </c>
      <c r="AV177" s="242">
        <v>178.54311241177484</v>
      </c>
      <c r="AW177" s="157" t="s">
        <v>252</v>
      </c>
      <c r="AX177" s="157">
        <v>4274.7084937166474</v>
      </c>
      <c r="AY177" s="240">
        <v>0.62100395937338615</v>
      </c>
      <c r="AZ177" s="156" t="s">
        <v>253</v>
      </c>
      <c r="BA177" s="156" t="s">
        <v>254</v>
      </c>
      <c r="BB177" s="156">
        <v>1</v>
      </c>
      <c r="BC177" s="156" t="s">
        <v>1423</v>
      </c>
      <c r="BD177" s="3"/>
    </row>
    <row r="178" spans="1:56" ht="15.75" hidden="1" customHeight="1" outlineLevel="1">
      <c r="A178" s="58">
        <v>168</v>
      </c>
      <c r="B178" s="11">
        <v>129168</v>
      </c>
      <c r="C178" s="89" t="s">
        <v>274</v>
      </c>
      <c r="D178" s="157">
        <v>20</v>
      </c>
      <c r="E178" s="12" t="s">
        <v>231</v>
      </c>
      <c r="F178" s="11" t="s">
        <v>246</v>
      </c>
      <c r="G178" s="18" t="s">
        <v>247</v>
      </c>
      <c r="H178" s="11" t="s">
        <v>248</v>
      </c>
      <c r="I178" s="87" t="s">
        <v>249</v>
      </c>
      <c r="J178" s="19" t="s">
        <v>139</v>
      </c>
      <c r="K178" s="17" t="s">
        <v>140</v>
      </c>
      <c r="L178" s="257">
        <v>0</v>
      </c>
      <c r="M178" s="70" t="s">
        <v>250</v>
      </c>
      <c r="N178" s="70">
        <v>100</v>
      </c>
      <c r="O178" s="258">
        <v>8</v>
      </c>
      <c r="P178" s="70" t="s">
        <v>251</v>
      </c>
      <c r="Q178" s="70" t="s">
        <v>233</v>
      </c>
      <c r="R178" s="70" t="s">
        <v>240</v>
      </c>
      <c r="S178" s="70" t="s">
        <v>233</v>
      </c>
      <c r="T178" s="70" t="s">
        <v>233</v>
      </c>
      <c r="U178" s="70" t="s">
        <v>1427</v>
      </c>
      <c r="V178" s="70" t="s">
        <v>240</v>
      </c>
      <c r="W178" s="12"/>
      <c r="X178" s="242">
        <v>170.1806971940093</v>
      </c>
      <c r="Y178" s="242">
        <v>167.01473059046305</v>
      </c>
      <c r="Z178" s="242">
        <v>25.229913926665521</v>
      </c>
      <c r="AA178" s="157" t="s">
        <v>252</v>
      </c>
      <c r="AB178" s="242">
        <v>19.285049061800652</v>
      </c>
      <c r="AC178" s="157" t="s">
        <v>252</v>
      </c>
      <c r="AD178" s="242">
        <v>25.37927181959029</v>
      </c>
      <c r="AE178" s="157" t="s">
        <v>252</v>
      </c>
      <c r="AF178" s="242">
        <v>16.357844723704599</v>
      </c>
      <c r="AG178" s="157" t="s">
        <v>252</v>
      </c>
      <c r="AH178" s="242">
        <v>7.4458065071440878</v>
      </c>
      <c r="AI178" s="157" t="s">
        <v>252</v>
      </c>
      <c r="AJ178" s="242">
        <v>4.2850989843346534</v>
      </c>
      <c r="AK178" s="242" t="s">
        <v>252</v>
      </c>
      <c r="AL178" s="242">
        <v>4.3355861594078151</v>
      </c>
      <c r="AM178" s="242" t="s">
        <v>252</v>
      </c>
      <c r="AN178" s="242">
        <v>4.2703735582716478</v>
      </c>
      <c r="AO178" s="242" t="s">
        <v>252</v>
      </c>
      <c r="AP178" s="242">
        <v>3.9548287140643832</v>
      </c>
      <c r="AQ178" s="242" t="s">
        <v>252</v>
      </c>
      <c r="AR178" s="242">
        <v>18.38153899122052</v>
      </c>
      <c r="AS178" s="242" t="s">
        <v>252</v>
      </c>
      <c r="AT178" s="242">
        <v>15.363878464451712</v>
      </c>
      <c r="AU178" s="242" t="s">
        <v>252</v>
      </c>
      <c r="AV178" s="242">
        <v>20.986887588225169</v>
      </c>
      <c r="AW178" s="157" t="s">
        <v>252</v>
      </c>
      <c r="AX178" s="157">
        <v>502.47150628335339</v>
      </c>
      <c r="AY178" s="243">
        <v>7.299604062661387E-2</v>
      </c>
      <c r="AZ178" s="156" t="s">
        <v>253</v>
      </c>
      <c r="BA178" s="156" t="s">
        <v>254</v>
      </c>
      <c r="BB178" s="156">
        <v>0</v>
      </c>
      <c r="BC178" s="156" t="s">
        <v>1423</v>
      </c>
      <c r="BD178" s="3"/>
    </row>
    <row r="179" spans="1:56" ht="15.75" hidden="1" customHeight="1" outlineLevel="1">
      <c r="A179" s="58">
        <v>169</v>
      </c>
      <c r="B179" s="11">
        <v>129169</v>
      </c>
      <c r="C179" s="89" t="s">
        <v>274</v>
      </c>
      <c r="D179" s="157">
        <v>21</v>
      </c>
      <c r="E179" s="12" t="s">
        <v>191</v>
      </c>
      <c r="F179" s="11" t="s">
        <v>246</v>
      </c>
      <c r="G179" s="18" t="s">
        <v>247</v>
      </c>
      <c r="H179" s="11" t="s">
        <v>248</v>
      </c>
      <c r="I179" s="87" t="s">
        <v>249</v>
      </c>
      <c r="J179" s="19" t="s">
        <v>139</v>
      </c>
      <c r="K179" s="17" t="s">
        <v>140</v>
      </c>
      <c r="L179" s="257">
        <v>0</v>
      </c>
      <c r="M179" s="70" t="s">
        <v>250</v>
      </c>
      <c r="N179" s="70">
        <v>100</v>
      </c>
      <c r="O179" s="258">
        <v>8</v>
      </c>
      <c r="P179" s="70" t="s">
        <v>251</v>
      </c>
      <c r="Q179" s="70" t="s">
        <v>233</v>
      </c>
      <c r="R179" s="70" t="s">
        <v>240</v>
      </c>
      <c r="S179" s="70" t="s">
        <v>233</v>
      </c>
      <c r="T179" s="70" t="s">
        <v>233</v>
      </c>
      <c r="U179" s="70" t="s">
        <v>1427</v>
      </c>
      <c r="V179" s="70" t="s">
        <v>240</v>
      </c>
      <c r="W179" s="12"/>
      <c r="X179" s="242">
        <v>112.85999999999999</v>
      </c>
      <c r="Y179" s="242">
        <v>103.29999999999998</v>
      </c>
      <c r="Z179" s="242">
        <v>15.9</v>
      </c>
      <c r="AA179" s="157" t="s">
        <v>252</v>
      </c>
      <c r="AB179" s="242">
        <v>12.6</v>
      </c>
      <c r="AC179" s="157" t="s">
        <v>252</v>
      </c>
      <c r="AD179" s="242">
        <v>16.100000000000001</v>
      </c>
      <c r="AE179" s="157" t="s">
        <v>252</v>
      </c>
      <c r="AF179" s="242">
        <v>11.39</v>
      </c>
      <c r="AG179" s="157" t="s">
        <v>252</v>
      </c>
      <c r="AH179" s="242">
        <v>4.5199999999999996</v>
      </c>
      <c r="AI179" s="157" t="s">
        <v>252</v>
      </c>
      <c r="AJ179" s="242">
        <v>1.23</v>
      </c>
      <c r="AK179" s="242" t="s">
        <v>252</v>
      </c>
      <c r="AL179" s="242">
        <v>1.7</v>
      </c>
      <c r="AM179" s="242" t="s">
        <v>252</v>
      </c>
      <c r="AN179" s="242">
        <v>0.95</v>
      </c>
      <c r="AO179" s="242" t="s">
        <v>252</v>
      </c>
      <c r="AP179" s="242">
        <v>1.17</v>
      </c>
      <c r="AQ179" s="242" t="s">
        <v>252</v>
      </c>
      <c r="AR179" s="242">
        <v>10.37</v>
      </c>
      <c r="AS179" s="242" t="s">
        <v>252</v>
      </c>
      <c r="AT179" s="242">
        <v>10.89</v>
      </c>
      <c r="AU179" s="242" t="s">
        <v>252</v>
      </c>
      <c r="AV179" s="242">
        <v>12.52</v>
      </c>
      <c r="AW179" s="157" t="s">
        <v>252</v>
      </c>
      <c r="AX179" s="157">
        <v>315.49999999999994</v>
      </c>
      <c r="AY179" s="240">
        <v>5.3999999999999999E-2</v>
      </c>
      <c r="AZ179" s="156" t="s">
        <v>253</v>
      </c>
      <c r="BA179" s="156" t="s">
        <v>254</v>
      </c>
      <c r="BB179" s="156">
        <v>0</v>
      </c>
      <c r="BC179" s="156" t="s">
        <v>1423</v>
      </c>
      <c r="BD179" s="3"/>
    </row>
    <row r="180" spans="1:56" ht="15.75" hidden="1" customHeight="1" outlineLevel="1">
      <c r="A180" s="58">
        <v>170</v>
      </c>
      <c r="B180" s="11">
        <v>129170</v>
      </c>
      <c r="C180" s="89" t="s">
        <v>274</v>
      </c>
      <c r="D180" s="157" t="s">
        <v>275</v>
      </c>
      <c r="E180" s="12" t="s">
        <v>191</v>
      </c>
      <c r="F180" s="11" t="s">
        <v>246</v>
      </c>
      <c r="G180" s="18" t="s">
        <v>247</v>
      </c>
      <c r="H180" s="11" t="s">
        <v>248</v>
      </c>
      <c r="I180" s="87" t="s">
        <v>249</v>
      </c>
      <c r="J180" s="19" t="s">
        <v>139</v>
      </c>
      <c r="K180" s="17" t="s">
        <v>140</v>
      </c>
      <c r="L180" s="260">
        <v>1</v>
      </c>
      <c r="M180" s="70" t="s">
        <v>250</v>
      </c>
      <c r="N180" s="70">
        <v>80</v>
      </c>
      <c r="O180" s="258">
        <v>8</v>
      </c>
      <c r="P180" s="70" t="s">
        <v>251</v>
      </c>
      <c r="Q180" s="70" t="s">
        <v>233</v>
      </c>
      <c r="R180" s="70" t="s">
        <v>240</v>
      </c>
      <c r="S180" s="70" t="s">
        <v>233</v>
      </c>
      <c r="T180" s="70" t="s">
        <v>233</v>
      </c>
      <c r="U180" s="70" t="s">
        <v>1427</v>
      </c>
      <c r="V180" s="70" t="s">
        <v>240</v>
      </c>
      <c r="W180" s="12"/>
      <c r="X180" s="242">
        <v>974.86261628936143</v>
      </c>
      <c r="Y180" s="242">
        <v>990.43565485907595</v>
      </c>
      <c r="Z180" s="242">
        <v>143.67267863816062</v>
      </c>
      <c r="AA180" s="157" t="s">
        <v>252</v>
      </c>
      <c r="AB180" s="242">
        <v>107.88348445213697</v>
      </c>
      <c r="AC180" s="157" t="s">
        <v>252</v>
      </c>
      <c r="AD180" s="242">
        <v>140.13935054973155</v>
      </c>
      <c r="AE180" s="157" t="s">
        <v>252</v>
      </c>
      <c r="AF180" s="242">
        <v>93.546210884487536</v>
      </c>
      <c r="AG180" s="157" t="s">
        <v>252</v>
      </c>
      <c r="AH180" s="242">
        <v>40.660267883484451</v>
      </c>
      <c r="AI180" s="157" t="s">
        <v>252</v>
      </c>
      <c r="AJ180" s="242">
        <v>19.460299352909935</v>
      </c>
      <c r="AK180" s="242" t="s">
        <v>252</v>
      </c>
      <c r="AL180" s="242">
        <v>16.52085832858014</v>
      </c>
      <c r="AM180" s="242" t="s">
        <v>252</v>
      </c>
      <c r="AN180" s="242">
        <v>14.343272426882757</v>
      </c>
      <c r="AO180" s="242" t="s">
        <v>252</v>
      </c>
      <c r="AP180" s="242">
        <v>18.332513817044628</v>
      </c>
      <c r="AQ180" s="242" t="s">
        <v>252</v>
      </c>
      <c r="AR180" s="242">
        <v>80.030781031803784</v>
      </c>
      <c r="AS180" s="242" t="s">
        <v>252</v>
      </c>
      <c r="AT180" s="242">
        <v>87.439372184961542</v>
      </c>
      <c r="AU180" s="242" t="s">
        <v>252</v>
      </c>
      <c r="AV180" s="242">
        <v>114.63819994886218</v>
      </c>
      <c r="AW180" s="157" t="s">
        <v>252</v>
      </c>
      <c r="AX180" s="157">
        <v>2841.965560647483</v>
      </c>
      <c r="AY180" s="240">
        <v>0.3839269909328718</v>
      </c>
      <c r="AZ180" s="156" t="s">
        <v>253</v>
      </c>
      <c r="BA180" s="156" t="s">
        <v>254</v>
      </c>
      <c r="BB180" s="156">
        <v>1</v>
      </c>
      <c r="BC180" s="156" t="s">
        <v>1423</v>
      </c>
      <c r="BD180" s="3"/>
    </row>
    <row r="181" spans="1:56" ht="15.75" hidden="1" customHeight="1" outlineLevel="1">
      <c r="A181" s="58">
        <v>171</v>
      </c>
      <c r="B181" s="11">
        <v>129171</v>
      </c>
      <c r="C181" s="89" t="s">
        <v>274</v>
      </c>
      <c r="D181" s="157" t="s">
        <v>275</v>
      </c>
      <c r="E181" s="12" t="s">
        <v>231</v>
      </c>
      <c r="F181" s="11" t="s">
        <v>246</v>
      </c>
      <c r="G181" s="18" t="s">
        <v>247</v>
      </c>
      <c r="H181" s="11" t="s">
        <v>248</v>
      </c>
      <c r="I181" s="87" t="s">
        <v>249</v>
      </c>
      <c r="J181" s="19" t="s">
        <v>139</v>
      </c>
      <c r="K181" s="17" t="s">
        <v>140</v>
      </c>
      <c r="L181" s="257">
        <v>0</v>
      </c>
      <c r="M181" s="70" t="s">
        <v>250</v>
      </c>
      <c r="N181" s="70">
        <v>80</v>
      </c>
      <c r="O181" s="258">
        <v>8</v>
      </c>
      <c r="P181" s="70" t="s">
        <v>251</v>
      </c>
      <c r="Q181" s="70" t="s">
        <v>233</v>
      </c>
      <c r="R181" s="70" t="s">
        <v>240</v>
      </c>
      <c r="S181" s="70" t="s">
        <v>233</v>
      </c>
      <c r="T181" s="70" t="s">
        <v>233</v>
      </c>
      <c r="U181" s="70" t="s">
        <v>1427</v>
      </c>
      <c r="V181" s="70" t="s">
        <v>240</v>
      </c>
      <c r="W181" s="12"/>
      <c r="X181" s="242">
        <v>650.21738371063861</v>
      </c>
      <c r="Y181" s="242">
        <v>660.6043451409239</v>
      </c>
      <c r="Z181" s="242">
        <v>95.827321361839381</v>
      </c>
      <c r="AA181" s="157" t="s">
        <v>252</v>
      </c>
      <c r="AB181" s="242">
        <v>71.95651554786302</v>
      </c>
      <c r="AC181" s="157" t="s">
        <v>252</v>
      </c>
      <c r="AD181" s="242">
        <v>93.470649450268468</v>
      </c>
      <c r="AE181" s="157" t="s">
        <v>252</v>
      </c>
      <c r="AF181" s="242">
        <v>62.393789115512455</v>
      </c>
      <c r="AG181" s="157" t="s">
        <v>252</v>
      </c>
      <c r="AH181" s="242">
        <v>27.119732116515546</v>
      </c>
      <c r="AI181" s="157" t="s">
        <v>252</v>
      </c>
      <c r="AJ181" s="242">
        <v>12.979700647090059</v>
      </c>
      <c r="AK181" s="242" t="s">
        <v>252</v>
      </c>
      <c r="AL181" s="242">
        <v>11.01914167141986</v>
      </c>
      <c r="AM181" s="242" t="s">
        <v>252</v>
      </c>
      <c r="AN181" s="242">
        <v>9.5667275731172428</v>
      </c>
      <c r="AO181" s="242" t="s">
        <v>252</v>
      </c>
      <c r="AP181" s="242">
        <v>12.227486182955371</v>
      </c>
      <c r="AQ181" s="242" t="s">
        <v>252</v>
      </c>
      <c r="AR181" s="242">
        <v>53.379218968196206</v>
      </c>
      <c r="AS181" s="242" t="s">
        <v>252</v>
      </c>
      <c r="AT181" s="242">
        <v>58.320627815038442</v>
      </c>
      <c r="AU181" s="242" t="s">
        <v>252</v>
      </c>
      <c r="AV181" s="242">
        <v>76.4618000511378</v>
      </c>
      <c r="AW181" s="157" t="s">
        <v>252</v>
      </c>
      <c r="AX181" s="157">
        <v>1895.5444393525165</v>
      </c>
      <c r="AY181" s="243">
        <v>0.25607300906712821</v>
      </c>
      <c r="AZ181" s="156" t="s">
        <v>253</v>
      </c>
      <c r="BA181" s="156" t="s">
        <v>254</v>
      </c>
      <c r="BB181" s="156">
        <v>0</v>
      </c>
      <c r="BC181" s="156" t="s">
        <v>1423</v>
      </c>
      <c r="BD181" s="3"/>
    </row>
    <row r="182" spans="1:56" ht="15.75" hidden="1" customHeight="1" outlineLevel="1">
      <c r="A182" s="58">
        <v>172</v>
      </c>
      <c r="B182" s="11">
        <v>129172</v>
      </c>
      <c r="C182" s="89" t="s">
        <v>274</v>
      </c>
      <c r="D182" s="157">
        <v>23</v>
      </c>
      <c r="E182" s="12" t="s">
        <v>191</v>
      </c>
      <c r="F182" s="11" t="s">
        <v>246</v>
      </c>
      <c r="G182" s="18" t="s">
        <v>247</v>
      </c>
      <c r="H182" s="11" t="s">
        <v>248</v>
      </c>
      <c r="I182" s="87" t="s">
        <v>249</v>
      </c>
      <c r="J182" s="19" t="s">
        <v>139</v>
      </c>
      <c r="K182" s="17" t="s">
        <v>140</v>
      </c>
      <c r="L182" s="260">
        <v>1</v>
      </c>
      <c r="M182" s="70" t="s">
        <v>250</v>
      </c>
      <c r="N182" s="70">
        <v>100</v>
      </c>
      <c r="O182" s="258">
        <v>8</v>
      </c>
      <c r="P182" s="70" t="s">
        <v>251</v>
      </c>
      <c r="Q182" s="70" t="s">
        <v>233</v>
      </c>
      <c r="R182" s="70" t="s">
        <v>240</v>
      </c>
      <c r="S182" s="70" t="s">
        <v>233</v>
      </c>
      <c r="T182" s="70" t="s">
        <v>233</v>
      </c>
      <c r="U182" s="70" t="s">
        <v>1427</v>
      </c>
      <c r="V182" s="70" t="s">
        <v>240</v>
      </c>
      <c r="W182" s="12"/>
      <c r="X182" s="242">
        <v>238.71</v>
      </c>
      <c r="Y182" s="242">
        <v>215.38</v>
      </c>
      <c r="Z182" s="242">
        <v>31.69</v>
      </c>
      <c r="AA182" s="157" t="s">
        <v>252</v>
      </c>
      <c r="AB182" s="242">
        <v>25.39</v>
      </c>
      <c r="AC182" s="157" t="s">
        <v>252</v>
      </c>
      <c r="AD182" s="242">
        <v>32.19</v>
      </c>
      <c r="AE182" s="157" t="s">
        <v>252</v>
      </c>
      <c r="AF182" s="242">
        <v>22.78</v>
      </c>
      <c r="AG182" s="157" t="s">
        <v>252</v>
      </c>
      <c r="AH182" s="242">
        <v>8.84</v>
      </c>
      <c r="AI182" s="157" t="s">
        <v>252</v>
      </c>
      <c r="AJ182" s="242">
        <v>4.0999999999999996</v>
      </c>
      <c r="AK182" s="242" t="s">
        <v>252</v>
      </c>
      <c r="AL182" s="242">
        <v>12.22</v>
      </c>
      <c r="AM182" s="242" t="s">
        <v>252</v>
      </c>
      <c r="AN182" s="242">
        <v>3.02</v>
      </c>
      <c r="AO182" s="242" t="s">
        <v>252</v>
      </c>
      <c r="AP182" s="242">
        <v>3.9</v>
      </c>
      <c r="AQ182" s="242" t="s">
        <v>252</v>
      </c>
      <c r="AR182" s="242">
        <v>20.420000000000002</v>
      </c>
      <c r="AS182" s="242" t="s">
        <v>252</v>
      </c>
      <c r="AT182" s="242">
        <v>21.64</v>
      </c>
      <c r="AU182" s="242" t="s">
        <v>252</v>
      </c>
      <c r="AV182" s="242">
        <v>25.14</v>
      </c>
      <c r="AW182" s="157" t="s">
        <v>252</v>
      </c>
      <c r="AX182" s="157">
        <v>665.42</v>
      </c>
      <c r="AY182" s="240">
        <v>0.105</v>
      </c>
      <c r="AZ182" s="156" t="s">
        <v>253</v>
      </c>
      <c r="BA182" s="156" t="s">
        <v>254</v>
      </c>
      <c r="BB182" s="156">
        <v>1</v>
      </c>
      <c r="BC182" s="156" t="s">
        <v>1423</v>
      </c>
      <c r="BD182" s="3"/>
    </row>
    <row r="183" spans="1:56" ht="15.75" hidden="1" customHeight="1" outlineLevel="1">
      <c r="A183" s="58">
        <v>173</v>
      </c>
      <c r="B183" s="11">
        <v>129173</v>
      </c>
      <c r="C183" s="89" t="s">
        <v>274</v>
      </c>
      <c r="D183" s="157">
        <v>3</v>
      </c>
      <c r="E183" s="12" t="s">
        <v>191</v>
      </c>
      <c r="F183" s="11" t="s">
        <v>246</v>
      </c>
      <c r="G183" s="18" t="s">
        <v>247</v>
      </c>
      <c r="H183" s="11" t="s">
        <v>248</v>
      </c>
      <c r="I183" s="87" t="s">
        <v>249</v>
      </c>
      <c r="J183" s="19" t="s">
        <v>139</v>
      </c>
      <c r="K183" s="17" t="s">
        <v>140</v>
      </c>
      <c r="L183" s="257">
        <v>0</v>
      </c>
      <c r="M183" s="70" t="s">
        <v>250</v>
      </c>
      <c r="N183" s="70">
        <v>100</v>
      </c>
      <c r="O183" s="258">
        <v>8</v>
      </c>
      <c r="P183" s="70" t="s">
        <v>251</v>
      </c>
      <c r="Q183" s="70" t="s">
        <v>233</v>
      </c>
      <c r="R183" s="70" t="s">
        <v>240</v>
      </c>
      <c r="S183" s="70" t="s">
        <v>233</v>
      </c>
      <c r="T183" s="70" t="s">
        <v>233</v>
      </c>
      <c r="U183" s="70" t="s">
        <v>1427</v>
      </c>
      <c r="V183" s="70" t="s">
        <v>240</v>
      </c>
      <c r="W183" s="12"/>
      <c r="X183" s="242">
        <v>101.26694444444443</v>
      </c>
      <c r="Y183" s="242">
        <v>86.515277777777769</v>
      </c>
      <c r="Z183" s="242">
        <v>13.135787037037035</v>
      </c>
      <c r="AA183" s="157" t="s">
        <v>252</v>
      </c>
      <c r="AB183" s="242">
        <v>9.7339351851851852</v>
      </c>
      <c r="AC183" s="157" t="s">
        <v>252</v>
      </c>
      <c r="AD183" s="242">
        <v>16.383009259259261</v>
      </c>
      <c r="AE183" s="157" t="s">
        <v>252</v>
      </c>
      <c r="AF183" s="242">
        <v>10.259675925925926</v>
      </c>
      <c r="AG183" s="157" t="s">
        <v>252</v>
      </c>
      <c r="AH183" s="242">
        <v>3.9971759259259256</v>
      </c>
      <c r="AI183" s="157" t="s">
        <v>252</v>
      </c>
      <c r="AJ183" s="242">
        <v>4.1595370370370368</v>
      </c>
      <c r="AK183" s="242" t="s">
        <v>252</v>
      </c>
      <c r="AL183" s="242">
        <v>3.0848611111111111</v>
      </c>
      <c r="AM183" s="242" t="s">
        <v>252</v>
      </c>
      <c r="AN183" s="242">
        <v>3.9275925925925925</v>
      </c>
      <c r="AO183" s="242" t="s">
        <v>252</v>
      </c>
      <c r="AP183" s="242">
        <v>4.6775462962962964</v>
      </c>
      <c r="AQ183" s="242" t="s">
        <v>252</v>
      </c>
      <c r="AR183" s="242">
        <v>9.6643518518518512</v>
      </c>
      <c r="AS183" s="242" t="s">
        <v>252</v>
      </c>
      <c r="AT183" s="242">
        <v>8.8293518518518521</v>
      </c>
      <c r="AU183" s="242" t="s">
        <v>252</v>
      </c>
      <c r="AV183" s="242">
        <v>14.813518518518519</v>
      </c>
      <c r="AW183" s="157" t="s">
        <v>252</v>
      </c>
      <c r="AX183" s="157">
        <v>290.44856481481474</v>
      </c>
      <c r="AY183" s="240">
        <v>3.8657407407407411E-2</v>
      </c>
      <c r="AZ183" s="156" t="s">
        <v>253</v>
      </c>
      <c r="BA183" s="156" t="s">
        <v>254</v>
      </c>
      <c r="BB183" s="156">
        <v>0</v>
      </c>
      <c r="BC183" s="156" t="s">
        <v>1423</v>
      </c>
      <c r="BD183" s="3"/>
    </row>
    <row r="184" spans="1:56" ht="15.75" hidden="1" customHeight="1" outlineLevel="1">
      <c r="A184" s="58">
        <v>174</v>
      </c>
      <c r="B184" s="11">
        <v>129174</v>
      </c>
      <c r="C184" s="89" t="s">
        <v>274</v>
      </c>
      <c r="D184" s="157">
        <v>3</v>
      </c>
      <c r="E184" s="12" t="s">
        <v>231</v>
      </c>
      <c r="F184" s="11" t="s">
        <v>246</v>
      </c>
      <c r="G184" s="18" t="s">
        <v>247</v>
      </c>
      <c r="H184" s="11" t="s">
        <v>248</v>
      </c>
      <c r="I184" s="87" t="s">
        <v>249</v>
      </c>
      <c r="J184" s="19" t="s">
        <v>139</v>
      </c>
      <c r="K184" s="17" t="s">
        <v>140</v>
      </c>
      <c r="L184" s="257">
        <v>0</v>
      </c>
      <c r="M184" s="70" t="s">
        <v>250</v>
      </c>
      <c r="N184" s="70">
        <v>100</v>
      </c>
      <c r="O184" s="258">
        <v>8</v>
      </c>
      <c r="P184" s="70" t="s">
        <v>251</v>
      </c>
      <c r="Q184" s="70" t="s">
        <v>233</v>
      </c>
      <c r="R184" s="70" t="s">
        <v>240</v>
      </c>
      <c r="S184" s="70" t="s">
        <v>233</v>
      </c>
      <c r="T184" s="70" t="s">
        <v>233</v>
      </c>
      <c r="U184" s="70" t="s">
        <v>1427</v>
      </c>
      <c r="V184" s="70" t="s">
        <v>240</v>
      </c>
      <c r="W184" s="12"/>
      <c r="X184" s="242">
        <v>29.713055555555556</v>
      </c>
      <c r="Y184" s="242">
        <v>25.384722222222223</v>
      </c>
      <c r="Z184" s="242">
        <v>3.8542129629629627</v>
      </c>
      <c r="AA184" s="157" t="s">
        <v>252</v>
      </c>
      <c r="AB184" s="242">
        <v>2.8560648148148147</v>
      </c>
      <c r="AC184" s="157" t="s">
        <v>252</v>
      </c>
      <c r="AD184" s="242">
        <v>4.8069907407407415</v>
      </c>
      <c r="AE184" s="157" t="s">
        <v>252</v>
      </c>
      <c r="AF184" s="242">
        <v>3.0103240740740742</v>
      </c>
      <c r="AG184" s="157" t="s">
        <v>252</v>
      </c>
      <c r="AH184" s="242">
        <v>1.1728240740740741</v>
      </c>
      <c r="AI184" s="157" t="s">
        <v>252</v>
      </c>
      <c r="AJ184" s="242">
        <v>1.2204629629629631</v>
      </c>
      <c r="AK184" s="242" t="s">
        <v>252</v>
      </c>
      <c r="AL184" s="242">
        <v>0.90513888888888894</v>
      </c>
      <c r="AM184" s="242" t="s">
        <v>252</v>
      </c>
      <c r="AN184" s="242">
        <v>1.1524074074074075</v>
      </c>
      <c r="AO184" s="242" t="s">
        <v>252</v>
      </c>
      <c r="AP184" s="242">
        <v>1.3724537037037037</v>
      </c>
      <c r="AQ184" s="242" t="s">
        <v>252</v>
      </c>
      <c r="AR184" s="242">
        <v>2.8356481481481484</v>
      </c>
      <c r="AS184" s="242" t="s">
        <v>252</v>
      </c>
      <c r="AT184" s="242">
        <v>2.5906481481481483</v>
      </c>
      <c r="AU184" s="242" t="s">
        <v>252</v>
      </c>
      <c r="AV184" s="242">
        <v>4.3464814814814821</v>
      </c>
      <c r="AW184" s="157" t="s">
        <v>252</v>
      </c>
      <c r="AX184" s="157">
        <v>85.221435185185186</v>
      </c>
      <c r="AY184" s="243">
        <v>1.1342592592592593E-2</v>
      </c>
      <c r="AZ184" s="156" t="s">
        <v>253</v>
      </c>
      <c r="BA184" s="156" t="s">
        <v>254</v>
      </c>
      <c r="BB184" s="156">
        <v>0</v>
      </c>
      <c r="BC184" s="156" t="s">
        <v>1423</v>
      </c>
      <c r="BD184" s="3"/>
    </row>
    <row r="185" spans="1:56" ht="15.75" hidden="1" customHeight="1" outlineLevel="1">
      <c r="A185" s="58">
        <v>175</v>
      </c>
      <c r="B185" s="11">
        <v>129175</v>
      </c>
      <c r="C185" s="89" t="s">
        <v>274</v>
      </c>
      <c r="D185" s="157">
        <v>5</v>
      </c>
      <c r="E185" s="12" t="s">
        <v>191</v>
      </c>
      <c r="F185" s="11" t="s">
        <v>246</v>
      </c>
      <c r="G185" s="18" t="s">
        <v>247</v>
      </c>
      <c r="H185" s="11" t="s">
        <v>248</v>
      </c>
      <c r="I185" s="87" t="s">
        <v>249</v>
      </c>
      <c r="J185" s="19" t="s">
        <v>139</v>
      </c>
      <c r="K185" s="17" t="s">
        <v>140</v>
      </c>
      <c r="L185" s="260">
        <v>1</v>
      </c>
      <c r="M185" s="70" t="s">
        <v>250</v>
      </c>
      <c r="N185" s="70">
        <v>80</v>
      </c>
      <c r="O185" s="258">
        <v>8</v>
      </c>
      <c r="P185" s="70" t="s">
        <v>251</v>
      </c>
      <c r="Q185" s="70" t="s">
        <v>233</v>
      </c>
      <c r="R185" s="70" t="s">
        <v>240</v>
      </c>
      <c r="S185" s="70" t="s">
        <v>233</v>
      </c>
      <c r="T185" s="70" t="s">
        <v>233</v>
      </c>
      <c r="U185" s="70" t="s">
        <v>1427</v>
      </c>
      <c r="V185" s="70" t="s">
        <v>240</v>
      </c>
      <c r="W185" s="12"/>
      <c r="X185" s="242">
        <v>470.84999999999997</v>
      </c>
      <c r="Y185" s="242">
        <v>430.74000000000007</v>
      </c>
      <c r="Z185" s="242">
        <v>70.290000000000006</v>
      </c>
      <c r="AA185" s="157" t="s">
        <v>252</v>
      </c>
      <c r="AB185" s="242">
        <v>52.19</v>
      </c>
      <c r="AC185" s="157" t="s">
        <v>252</v>
      </c>
      <c r="AD185" s="242">
        <v>85.14</v>
      </c>
      <c r="AE185" s="157" t="s">
        <v>252</v>
      </c>
      <c r="AF185" s="242">
        <v>50.03</v>
      </c>
      <c r="AG185" s="157" t="s">
        <v>252</v>
      </c>
      <c r="AH185" s="242">
        <v>16.84</v>
      </c>
      <c r="AI185" s="157" t="s">
        <v>252</v>
      </c>
      <c r="AJ185" s="242">
        <v>2.74</v>
      </c>
      <c r="AK185" s="242" t="s">
        <v>252</v>
      </c>
      <c r="AL185" s="242">
        <v>4.1100000000000003</v>
      </c>
      <c r="AM185" s="242" t="s">
        <v>252</v>
      </c>
      <c r="AN185" s="242">
        <v>2.99</v>
      </c>
      <c r="AO185" s="242" t="s">
        <v>252</v>
      </c>
      <c r="AP185" s="242">
        <v>3.17</v>
      </c>
      <c r="AQ185" s="242" t="s">
        <v>252</v>
      </c>
      <c r="AR185" s="242">
        <v>51.8</v>
      </c>
      <c r="AS185" s="242" t="s">
        <v>252</v>
      </c>
      <c r="AT185" s="242">
        <v>46.41</v>
      </c>
      <c r="AU185" s="242" t="s">
        <v>252</v>
      </c>
      <c r="AV185" s="242">
        <v>61.6</v>
      </c>
      <c r="AW185" s="157" t="s">
        <v>252</v>
      </c>
      <c r="AX185" s="157">
        <v>1348.8999999999999</v>
      </c>
      <c r="AY185" s="240">
        <v>0.22</v>
      </c>
      <c r="AZ185" s="156" t="s">
        <v>253</v>
      </c>
      <c r="BA185" s="156" t="s">
        <v>254</v>
      </c>
      <c r="BB185" s="156">
        <v>1</v>
      </c>
      <c r="BC185" s="156" t="s">
        <v>1423</v>
      </c>
      <c r="BD185" s="3"/>
    </row>
    <row r="186" spans="1:56" ht="15.75" hidden="1" customHeight="1" outlineLevel="1">
      <c r="A186" s="58">
        <v>176</v>
      </c>
      <c r="B186" s="11">
        <v>129176</v>
      </c>
      <c r="C186" s="89" t="s">
        <v>274</v>
      </c>
      <c r="D186" s="157">
        <v>7</v>
      </c>
      <c r="E186" s="12" t="s">
        <v>191</v>
      </c>
      <c r="F186" s="11" t="s">
        <v>246</v>
      </c>
      <c r="G186" s="18" t="s">
        <v>247</v>
      </c>
      <c r="H186" s="11" t="s">
        <v>248</v>
      </c>
      <c r="I186" s="87" t="s">
        <v>249</v>
      </c>
      <c r="J186" s="19" t="s">
        <v>139</v>
      </c>
      <c r="K186" s="17" t="s">
        <v>140</v>
      </c>
      <c r="L186" s="257">
        <v>0</v>
      </c>
      <c r="M186" s="70" t="s">
        <v>250</v>
      </c>
      <c r="N186" s="70">
        <v>100</v>
      </c>
      <c r="O186" s="258">
        <v>8</v>
      </c>
      <c r="P186" s="70" t="s">
        <v>251</v>
      </c>
      <c r="Q186" s="70" t="s">
        <v>233</v>
      </c>
      <c r="R186" s="70" t="s">
        <v>240</v>
      </c>
      <c r="S186" s="70" t="s">
        <v>233</v>
      </c>
      <c r="T186" s="70" t="s">
        <v>233</v>
      </c>
      <c r="U186" s="70" t="s">
        <v>1427</v>
      </c>
      <c r="V186" s="70" t="s">
        <v>240</v>
      </c>
      <c r="W186" s="12"/>
      <c r="X186" s="242">
        <v>704.52</v>
      </c>
      <c r="Y186" s="242">
        <v>656.52</v>
      </c>
      <c r="Z186" s="242">
        <v>102.88</v>
      </c>
      <c r="AA186" s="157" t="s">
        <v>252</v>
      </c>
      <c r="AB186" s="242">
        <v>80.78</v>
      </c>
      <c r="AC186" s="157" t="s">
        <v>252</v>
      </c>
      <c r="AD186" s="242">
        <v>103.18</v>
      </c>
      <c r="AE186" s="157" t="s">
        <v>252</v>
      </c>
      <c r="AF186" s="242">
        <v>65.75</v>
      </c>
      <c r="AG186" s="157" t="s">
        <v>252</v>
      </c>
      <c r="AH186" s="242">
        <v>28.54</v>
      </c>
      <c r="AI186" s="157" t="s">
        <v>252</v>
      </c>
      <c r="AJ186" s="242">
        <v>9.27</v>
      </c>
      <c r="AK186" s="242" t="s">
        <v>252</v>
      </c>
      <c r="AL186" s="242">
        <v>8.1199999999999992</v>
      </c>
      <c r="AM186" s="242" t="s">
        <v>252</v>
      </c>
      <c r="AN186" s="242">
        <v>9.01</v>
      </c>
      <c r="AO186" s="242" t="s">
        <v>252</v>
      </c>
      <c r="AP186" s="242">
        <v>11.13</v>
      </c>
      <c r="AQ186" s="242" t="s">
        <v>252</v>
      </c>
      <c r="AR186" s="242">
        <v>67.16</v>
      </c>
      <c r="AS186" s="242" t="s">
        <v>252</v>
      </c>
      <c r="AT186" s="242">
        <v>61.09</v>
      </c>
      <c r="AU186" s="242" t="s">
        <v>252</v>
      </c>
      <c r="AV186" s="242">
        <v>84.76</v>
      </c>
      <c r="AW186" s="157" t="s">
        <v>252</v>
      </c>
      <c r="AX186" s="157">
        <v>1992.71</v>
      </c>
      <c r="AY186" s="240">
        <v>0.28599999999999998</v>
      </c>
      <c r="AZ186" s="156" t="s">
        <v>253</v>
      </c>
      <c r="BA186" s="156" t="s">
        <v>254</v>
      </c>
      <c r="BB186" s="156">
        <v>0</v>
      </c>
      <c r="BC186" s="156" t="s">
        <v>1423</v>
      </c>
      <c r="BD186" s="3"/>
    </row>
    <row r="187" spans="1:56" ht="15.75" hidden="1" customHeight="1" outlineLevel="1">
      <c r="A187" s="58">
        <v>177</v>
      </c>
      <c r="B187" s="11">
        <v>129177</v>
      </c>
      <c r="C187" s="89" t="s">
        <v>274</v>
      </c>
      <c r="D187" s="157">
        <v>9</v>
      </c>
      <c r="E187" s="12" t="s">
        <v>191</v>
      </c>
      <c r="F187" s="11" t="s">
        <v>246</v>
      </c>
      <c r="G187" s="18" t="s">
        <v>247</v>
      </c>
      <c r="H187" s="11" t="s">
        <v>248</v>
      </c>
      <c r="I187" s="87" t="s">
        <v>249</v>
      </c>
      <c r="J187" s="19" t="s">
        <v>139</v>
      </c>
      <c r="K187" s="17" t="s">
        <v>140</v>
      </c>
      <c r="L187" s="260">
        <v>1</v>
      </c>
      <c r="M187" s="70" t="s">
        <v>250</v>
      </c>
      <c r="N187" s="70">
        <v>100</v>
      </c>
      <c r="O187" s="258">
        <v>8</v>
      </c>
      <c r="P187" s="70" t="s">
        <v>251</v>
      </c>
      <c r="Q187" s="70" t="s">
        <v>233</v>
      </c>
      <c r="R187" s="70" t="s">
        <v>240</v>
      </c>
      <c r="S187" s="70" t="s">
        <v>233</v>
      </c>
      <c r="T187" s="70" t="s">
        <v>233</v>
      </c>
      <c r="U187" s="70" t="s">
        <v>1427</v>
      </c>
      <c r="V187" s="70" t="s">
        <v>240</v>
      </c>
      <c r="W187" s="12"/>
      <c r="X187" s="242">
        <v>954.30000000000018</v>
      </c>
      <c r="Y187" s="242">
        <v>900.30000000000007</v>
      </c>
      <c r="Z187" s="242">
        <v>141.28</v>
      </c>
      <c r="AA187" s="157" t="s">
        <v>252</v>
      </c>
      <c r="AB187" s="242">
        <v>110.88</v>
      </c>
      <c r="AC187" s="157" t="s">
        <v>252</v>
      </c>
      <c r="AD187" s="242">
        <v>141.78</v>
      </c>
      <c r="AE187" s="157" t="s">
        <v>252</v>
      </c>
      <c r="AF187" s="242">
        <v>90.25</v>
      </c>
      <c r="AG187" s="157" t="s">
        <v>252</v>
      </c>
      <c r="AH187" s="242">
        <v>39.51</v>
      </c>
      <c r="AI187" s="157" t="s">
        <v>252</v>
      </c>
      <c r="AJ187" s="242">
        <v>10.130000000000001</v>
      </c>
      <c r="AK187" s="242" t="s">
        <v>252</v>
      </c>
      <c r="AL187" s="242">
        <v>14.49</v>
      </c>
      <c r="AM187" s="242" t="s">
        <v>252</v>
      </c>
      <c r="AN187" s="242">
        <v>9.8000000000000007</v>
      </c>
      <c r="AO187" s="242" t="s">
        <v>252</v>
      </c>
      <c r="AP187" s="242">
        <v>12.09</v>
      </c>
      <c r="AQ187" s="242" t="s">
        <v>252</v>
      </c>
      <c r="AR187" s="242">
        <v>92.84</v>
      </c>
      <c r="AS187" s="242" t="s">
        <v>252</v>
      </c>
      <c r="AT187" s="242">
        <v>84.06</v>
      </c>
      <c r="AU187" s="242" t="s">
        <v>252</v>
      </c>
      <c r="AV187" s="242">
        <v>116.51</v>
      </c>
      <c r="AW187" s="157" t="s">
        <v>252</v>
      </c>
      <c r="AX187" s="157">
        <v>2718.2200000000012</v>
      </c>
      <c r="AY187" s="240">
        <v>0.38800000000000001</v>
      </c>
      <c r="AZ187" s="156" t="s">
        <v>253</v>
      </c>
      <c r="BA187" s="156" t="s">
        <v>254</v>
      </c>
      <c r="BB187" s="156">
        <v>1</v>
      </c>
      <c r="BC187" s="156" t="s">
        <v>1423</v>
      </c>
      <c r="BD187" s="3"/>
    </row>
    <row r="188" spans="1:56" ht="15.75" hidden="1" customHeight="1" outlineLevel="1">
      <c r="A188" s="58">
        <v>178</v>
      </c>
      <c r="B188" s="11">
        <v>129178</v>
      </c>
      <c r="C188" s="89" t="s">
        <v>276</v>
      </c>
      <c r="D188" s="157">
        <v>12</v>
      </c>
      <c r="E188" s="12" t="s">
        <v>191</v>
      </c>
      <c r="F188" s="11" t="s">
        <v>246</v>
      </c>
      <c r="G188" s="18" t="s">
        <v>247</v>
      </c>
      <c r="H188" s="11" t="s">
        <v>248</v>
      </c>
      <c r="I188" s="87" t="s">
        <v>249</v>
      </c>
      <c r="J188" s="19" t="s">
        <v>139</v>
      </c>
      <c r="K188" s="17" t="s">
        <v>140</v>
      </c>
      <c r="L188" s="257">
        <v>0</v>
      </c>
      <c r="M188" s="70" t="s">
        <v>250</v>
      </c>
      <c r="N188" s="70">
        <v>100</v>
      </c>
      <c r="O188" s="258">
        <v>8</v>
      </c>
      <c r="P188" s="70" t="s">
        <v>251</v>
      </c>
      <c r="Q188" s="70" t="s">
        <v>233</v>
      </c>
      <c r="R188" s="70" t="s">
        <v>240</v>
      </c>
      <c r="S188" s="70" t="s">
        <v>240</v>
      </c>
      <c r="T188" s="70" t="s">
        <v>240</v>
      </c>
      <c r="U188" s="70" t="s">
        <v>1427</v>
      </c>
      <c r="V188" s="70" t="s">
        <v>240</v>
      </c>
      <c r="W188" s="12"/>
      <c r="X188" s="242">
        <v>0</v>
      </c>
      <c r="Y188" s="242">
        <v>0</v>
      </c>
      <c r="Z188" s="242">
        <v>0</v>
      </c>
      <c r="AA188" s="157" t="s">
        <v>252</v>
      </c>
      <c r="AB188" s="242">
        <v>0</v>
      </c>
      <c r="AC188" s="157" t="s">
        <v>252</v>
      </c>
      <c r="AD188" s="242">
        <v>0</v>
      </c>
      <c r="AE188" s="157" t="s">
        <v>252</v>
      </c>
      <c r="AF188" s="242">
        <v>0</v>
      </c>
      <c r="AG188" s="157" t="s">
        <v>252</v>
      </c>
      <c r="AH188" s="242">
        <v>0</v>
      </c>
      <c r="AI188" s="157" t="s">
        <v>252</v>
      </c>
      <c r="AJ188" s="242">
        <v>0</v>
      </c>
      <c r="AK188" s="242" t="s">
        <v>252</v>
      </c>
      <c r="AL188" s="242">
        <v>0</v>
      </c>
      <c r="AM188" s="242" t="s">
        <v>252</v>
      </c>
      <c r="AN188" s="242">
        <v>0</v>
      </c>
      <c r="AO188" s="242" t="s">
        <v>252</v>
      </c>
      <c r="AP188" s="242">
        <v>0</v>
      </c>
      <c r="AQ188" s="242" t="s">
        <v>252</v>
      </c>
      <c r="AR188" s="242">
        <v>0</v>
      </c>
      <c r="AS188" s="242" t="s">
        <v>252</v>
      </c>
      <c r="AT188" s="242">
        <v>0</v>
      </c>
      <c r="AU188" s="242" t="s">
        <v>252</v>
      </c>
      <c r="AV188" s="242">
        <v>0</v>
      </c>
      <c r="AW188" s="157" t="s">
        <v>252</v>
      </c>
      <c r="AX188" s="157">
        <v>0</v>
      </c>
      <c r="AY188" s="243">
        <v>0.372</v>
      </c>
      <c r="AZ188" s="156" t="s">
        <v>253</v>
      </c>
      <c r="BA188" s="156" t="s">
        <v>254</v>
      </c>
      <c r="BB188" s="156">
        <v>0</v>
      </c>
      <c r="BC188" s="156" t="s">
        <v>1423</v>
      </c>
      <c r="BD188" s="3"/>
    </row>
    <row r="189" spans="1:56" ht="15.75" hidden="1" customHeight="1" outlineLevel="1">
      <c r="A189" s="58">
        <v>179</v>
      </c>
      <c r="B189" s="11">
        <v>129179</v>
      </c>
      <c r="C189" s="89" t="s">
        <v>276</v>
      </c>
      <c r="D189" s="157">
        <v>14</v>
      </c>
      <c r="E189" s="12" t="s">
        <v>191</v>
      </c>
      <c r="F189" s="11" t="s">
        <v>246</v>
      </c>
      <c r="G189" s="18" t="s">
        <v>247</v>
      </c>
      <c r="H189" s="11" t="s">
        <v>248</v>
      </c>
      <c r="I189" s="87" t="s">
        <v>249</v>
      </c>
      <c r="J189" s="19" t="s">
        <v>139</v>
      </c>
      <c r="K189" s="17" t="s">
        <v>140</v>
      </c>
      <c r="L189" s="257">
        <v>0</v>
      </c>
      <c r="M189" s="70" t="s">
        <v>250</v>
      </c>
      <c r="N189" s="70">
        <v>100</v>
      </c>
      <c r="O189" s="258">
        <v>8</v>
      </c>
      <c r="P189" s="70" t="s">
        <v>251</v>
      </c>
      <c r="Q189" s="70" t="s">
        <v>233</v>
      </c>
      <c r="R189" s="70" t="s">
        <v>240</v>
      </c>
      <c r="S189" s="70" t="s">
        <v>233</v>
      </c>
      <c r="T189" s="70" t="s">
        <v>233</v>
      </c>
      <c r="U189" s="70" t="s">
        <v>1427</v>
      </c>
      <c r="V189" s="70" t="s">
        <v>240</v>
      </c>
      <c r="W189" s="12"/>
      <c r="X189" s="242">
        <v>629.81999999999994</v>
      </c>
      <c r="Y189" s="242">
        <v>543.17999999999995</v>
      </c>
      <c r="Z189" s="242">
        <v>87.28</v>
      </c>
      <c r="AA189" s="157" t="s">
        <v>252</v>
      </c>
      <c r="AB189" s="242">
        <v>65.48</v>
      </c>
      <c r="AC189" s="157" t="s">
        <v>252</v>
      </c>
      <c r="AD189" s="242">
        <v>86.58</v>
      </c>
      <c r="AE189" s="157" t="s">
        <v>252</v>
      </c>
      <c r="AF189" s="242">
        <v>54.26</v>
      </c>
      <c r="AG189" s="157" t="s">
        <v>252</v>
      </c>
      <c r="AH189" s="242">
        <v>20.75</v>
      </c>
      <c r="AI189" s="157" t="s">
        <v>252</v>
      </c>
      <c r="AJ189" s="242">
        <v>7.23</v>
      </c>
      <c r="AK189" s="242" t="s">
        <v>252</v>
      </c>
      <c r="AL189" s="242">
        <v>7.39</v>
      </c>
      <c r="AM189" s="242" t="s">
        <v>252</v>
      </c>
      <c r="AN189" s="242">
        <v>6.75</v>
      </c>
      <c r="AO189" s="242" t="s">
        <v>252</v>
      </c>
      <c r="AP189" s="242">
        <v>9.98</v>
      </c>
      <c r="AQ189" s="242" t="s">
        <v>252</v>
      </c>
      <c r="AR189" s="242">
        <v>55.77</v>
      </c>
      <c r="AS189" s="242" t="s">
        <v>252</v>
      </c>
      <c r="AT189" s="242">
        <v>50.81</v>
      </c>
      <c r="AU189" s="242" t="s">
        <v>252</v>
      </c>
      <c r="AV189" s="242">
        <v>66.760000000000005</v>
      </c>
      <c r="AW189" s="157" t="s">
        <v>252</v>
      </c>
      <c r="AX189" s="157">
        <v>1692.04</v>
      </c>
      <c r="AY189" s="240">
        <v>0.24</v>
      </c>
      <c r="AZ189" s="156" t="s">
        <v>253</v>
      </c>
      <c r="BA189" s="156" t="s">
        <v>254</v>
      </c>
      <c r="BB189" s="156">
        <v>0</v>
      </c>
      <c r="BC189" s="156" t="s">
        <v>1423</v>
      </c>
      <c r="BD189" s="3"/>
    </row>
    <row r="190" spans="1:56" ht="15.75" hidden="1" customHeight="1" outlineLevel="1">
      <c r="A190" s="58">
        <v>180</v>
      </c>
      <c r="B190" s="11">
        <v>129180</v>
      </c>
      <c r="C190" s="89" t="s">
        <v>276</v>
      </c>
      <c r="D190" s="157" t="s">
        <v>277</v>
      </c>
      <c r="E190" s="12" t="s">
        <v>191</v>
      </c>
      <c r="F190" s="11" t="s">
        <v>246</v>
      </c>
      <c r="G190" s="18" t="s">
        <v>247</v>
      </c>
      <c r="H190" s="11" t="s">
        <v>248</v>
      </c>
      <c r="I190" s="87" t="s">
        <v>249</v>
      </c>
      <c r="J190" s="19" t="s">
        <v>139</v>
      </c>
      <c r="K190" s="17" t="s">
        <v>140</v>
      </c>
      <c r="L190" s="257">
        <v>0</v>
      </c>
      <c r="M190" s="70" t="s">
        <v>250</v>
      </c>
      <c r="N190" s="70">
        <v>100</v>
      </c>
      <c r="O190" s="258">
        <v>8</v>
      </c>
      <c r="P190" s="70" t="s">
        <v>251</v>
      </c>
      <c r="Q190" s="70" t="s">
        <v>233</v>
      </c>
      <c r="R190" s="70" t="s">
        <v>240</v>
      </c>
      <c r="S190" s="70" t="s">
        <v>233</v>
      </c>
      <c r="T190" s="70" t="s">
        <v>233</v>
      </c>
      <c r="U190" s="70" t="s">
        <v>1427</v>
      </c>
      <c r="V190" s="70" t="s">
        <v>240</v>
      </c>
      <c r="W190" s="12"/>
      <c r="X190" s="242">
        <v>821.36582861160525</v>
      </c>
      <c r="Y190" s="242">
        <v>657.44433971628268</v>
      </c>
      <c r="Z190" s="242">
        <v>107.3525402208528</v>
      </c>
      <c r="AA190" s="157" t="s">
        <v>252</v>
      </c>
      <c r="AB190" s="242">
        <v>68.412986889449527</v>
      </c>
      <c r="AC190" s="157" t="s">
        <v>252</v>
      </c>
      <c r="AD190" s="242">
        <v>90.716221928119438</v>
      </c>
      <c r="AE190" s="157" t="s">
        <v>252</v>
      </c>
      <c r="AF190" s="242">
        <v>58.892202324331031</v>
      </c>
      <c r="AG190" s="157" t="s">
        <v>252</v>
      </c>
      <c r="AH190" s="242">
        <v>22.339678233177551</v>
      </c>
      <c r="AI190" s="157" t="s">
        <v>252</v>
      </c>
      <c r="AJ190" s="242">
        <v>14.231067455229743</v>
      </c>
      <c r="AK190" s="242" t="s">
        <v>252</v>
      </c>
      <c r="AL190" s="242">
        <v>7.5072980685719015</v>
      </c>
      <c r="AM190" s="242" t="s">
        <v>252</v>
      </c>
      <c r="AN190" s="242">
        <v>7.3341928946606565</v>
      </c>
      <c r="AO190" s="242" t="s">
        <v>252</v>
      </c>
      <c r="AP190" s="242">
        <v>10.623191198974316</v>
      </c>
      <c r="AQ190" s="242" t="s">
        <v>252</v>
      </c>
      <c r="AR190" s="242">
        <v>56.213627528020183</v>
      </c>
      <c r="AS190" s="242" t="s">
        <v>252</v>
      </c>
      <c r="AT190" s="242">
        <v>58.463994788866373</v>
      </c>
      <c r="AU190" s="242" t="s">
        <v>252</v>
      </c>
      <c r="AV190" s="242">
        <v>70.891124115968395</v>
      </c>
      <c r="AW190" s="157" t="s">
        <v>252</v>
      </c>
      <c r="AX190" s="157">
        <v>2051.7882939741098</v>
      </c>
      <c r="AY190" s="240">
        <v>0.26421316018032176</v>
      </c>
      <c r="AZ190" s="156" t="s">
        <v>253</v>
      </c>
      <c r="BA190" s="156" t="s">
        <v>254</v>
      </c>
      <c r="BB190" s="156">
        <v>0</v>
      </c>
      <c r="BC190" s="156" t="s">
        <v>1423</v>
      </c>
      <c r="BD190" s="3"/>
    </row>
    <row r="191" spans="1:56" ht="15.75" hidden="1" customHeight="1" outlineLevel="1">
      <c r="A191" s="58">
        <v>181</v>
      </c>
      <c r="B191" s="11">
        <v>129181</v>
      </c>
      <c r="C191" s="89" t="s">
        <v>276</v>
      </c>
      <c r="D191" s="157" t="s">
        <v>277</v>
      </c>
      <c r="E191" s="12" t="s">
        <v>231</v>
      </c>
      <c r="F191" s="11" t="s">
        <v>246</v>
      </c>
      <c r="G191" s="18" t="s">
        <v>247</v>
      </c>
      <c r="H191" s="11" t="s">
        <v>248</v>
      </c>
      <c r="I191" s="87" t="s">
        <v>249</v>
      </c>
      <c r="J191" s="19" t="s">
        <v>139</v>
      </c>
      <c r="K191" s="17" t="s">
        <v>140</v>
      </c>
      <c r="L191" s="257">
        <v>0</v>
      </c>
      <c r="M191" s="70" t="s">
        <v>250</v>
      </c>
      <c r="N191" s="70">
        <v>100</v>
      </c>
      <c r="O191" s="258">
        <v>8</v>
      </c>
      <c r="P191" s="70" t="s">
        <v>251</v>
      </c>
      <c r="Q191" s="70" t="s">
        <v>233</v>
      </c>
      <c r="R191" s="70" t="s">
        <v>240</v>
      </c>
      <c r="S191" s="70" t="s">
        <v>233</v>
      </c>
      <c r="T191" s="70" t="s">
        <v>233</v>
      </c>
      <c r="U191" s="70" t="s">
        <v>1427</v>
      </c>
      <c r="V191" s="70" t="s">
        <v>240</v>
      </c>
      <c r="W191" s="12"/>
      <c r="X191" s="242">
        <v>80.164171388394905</v>
      </c>
      <c r="Y191" s="242">
        <v>64.165660283717273</v>
      </c>
      <c r="Z191" s="242">
        <v>10.477459779147194</v>
      </c>
      <c r="AA191" s="157" t="s">
        <v>252</v>
      </c>
      <c r="AB191" s="242">
        <v>6.6770131105504777</v>
      </c>
      <c r="AC191" s="157" t="s">
        <v>252</v>
      </c>
      <c r="AD191" s="242">
        <v>8.8537780718805568</v>
      </c>
      <c r="AE191" s="157" t="s">
        <v>252</v>
      </c>
      <c r="AF191" s="242">
        <v>5.747797675668969</v>
      </c>
      <c r="AG191" s="157" t="s">
        <v>252</v>
      </c>
      <c r="AH191" s="242">
        <v>2.1803217668224493</v>
      </c>
      <c r="AI191" s="157" t="s">
        <v>252</v>
      </c>
      <c r="AJ191" s="242">
        <v>1.3889325447702552</v>
      </c>
      <c r="AK191" s="242" t="s">
        <v>252</v>
      </c>
      <c r="AL191" s="242">
        <v>0.73270193142809881</v>
      </c>
      <c r="AM191" s="242" t="s">
        <v>252</v>
      </c>
      <c r="AN191" s="242">
        <v>0.71580710533934411</v>
      </c>
      <c r="AO191" s="242" t="s">
        <v>252</v>
      </c>
      <c r="AP191" s="242">
        <v>1.0368088010256835</v>
      </c>
      <c r="AQ191" s="242" t="s">
        <v>252</v>
      </c>
      <c r="AR191" s="242">
        <v>5.4863724719798173</v>
      </c>
      <c r="AS191" s="242" t="s">
        <v>252</v>
      </c>
      <c r="AT191" s="242">
        <v>5.7060052111336281</v>
      </c>
      <c r="AU191" s="242" t="s">
        <v>252</v>
      </c>
      <c r="AV191" s="242">
        <v>6.918875884031598</v>
      </c>
      <c r="AW191" s="157" t="s">
        <v>252</v>
      </c>
      <c r="AX191" s="157">
        <v>200.25170602589023</v>
      </c>
      <c r="AY191" s="243">
        <v>2.578683981967823E-2</v>
      </c>
      <c r="AZ191" s="156" t="s">
        <v>253</v>
      </c>
      <c r="BA191" s="156" t="s">
        <v>254</v>
      </c>
      <c r="BB191" s="156">
        <v>0</v>
      </c>
      <c r="BC191" s="156" t="s">
        <v>1423</v>
      </c>
      <c r="BD191" s="3"/>
    </row>
    <row r="192" spans="1:56" ht="15.75" hidden="1" customHeight="1" outlineLevel="1">
      <c r="A192" s="58">
        <v>182</v>
      </c>
      <c r="B192" s="11">
        <v>129182</v>
      </c>
      <c r="C192" s="89" t="s">
        <v>276</v>
      </c>
      <c r="D192" s="157">
        <v>18</v>
      </c>
      <c r="E192" s="12" t="s">
        <v>191</v>
      </c>
      <c r="F192" s="11" t="s">
        <v>246</v>
      </c>
      <c r="G192" s="18" t="s">
        <v>247</v>
      </c>
      <c r="H192" s="11" t="s">
        <v>248</v>
      </c>
      <c r="I192" s="87" t="s">
        <v>249</v>
      </c>
      <c r="J192" s="19" t="s">
        <v>139</v>
      </c>
      <c r="K192" s="17" t="s">
        <v>140</v>
      </c>
      <c r="L192" s="257">
        <v>0</v>
      </c>
      <c r="M192" s="70" t="s">
        <v>250</v>
      </c>
      <c r="N192" s="70">
        <v>100</v>
      </c>
      <c r="O192" s="258">
        <v>8</v>
      </c>
      <c r="P192" s="70" t="s">
        <v>251</v>
      </c>
      <c r="Q192" s="70" t="s">
        <v>233</v>
      </c>
      <c r="R192" s="70" t="s">
        <v>240</v>
      </c>
      <c r="S192" s="70" t="s">
        <v>233</v>
      </c>
      <c r="T192" s="70" t="s">
        <v>233</v>
      </c>
      <c r="U192" s="70" t="s">
        <v>1427</v>
      </c>
      <c r="V192" s="70" t="s">
        <v>240</v>
      </c>
      <c r="W192" s="12"/>
      <c r="X192" s="242">
        <v>769.36000000000013</v>
      </c>
      <c r="Y192" s="242">
        <v>695.56000000000006</v>
      </c>
      <c r="Z192" s="242">
        <v>136.86000000000001</v>
      </c>
      <c r="AA192" s="157" t="s">
        <v>252</v>
      </c>
      <c r="AB192" s="242">
        <v>81.05</v>
      </c>
      <c r="AC192" s="157" t="s">
        <v>252</v>
      </c>
      <c r="AD192" s="242">
        <v>109.39</v>
      </c>
      <c r="AE192" s="157" t="s">
        <v>252</v>
      </c>
      <c r="AF192" s="242">
        <v>58.93</v>
      </c>
      <c r="AG192" s="157" t="s">
        <v>252</v>
      </c>
      <c r="AH192" s="242">
        <v>25.65</v>
      </c>
      <c r="AI192" s="157" t="s">
        <v>252</v>
      </c>
      <c r="AJ192" s="242">
        <v>9.6300000000000008</v>
      </c>
      <c r="AK192" s="242" t="s">
        <v>252</v>
      </c>
      <c r="AL192" s="242">
        <v>8.24</v>
      </c>
      <c r="AM192" s="242" t="s">
        <v>252</v>
      </c>
      <c r="AN192" s="242">
        <v>11.84</v>
      </c>
      <c r="AO192" s="242" t="s">
        <v>252</v>
      </c>
      <c r="AP192" s="242">
        <v>9.15</v>
      </c>
      <c r="AQ192" s="242" t="s">
        <v>252</v>
      </c>
      <c r="AR192" s="242">
        <v>73.099999999999994</v>
      </c>
      <c r="AS192" s="242" t="s">
        <v>252</v>
      </c>
      <c r="AT192" s="242">
        <v>72.81</v>
      </c>
      <c r="AU192" s="242" t="s">
        <v>252</v>
      </c>
      <c r="AV192" s="242">
        <v>80.819999999999993</v>
      </c>
      <c r="AW192" s="157" t="s">
        <v>252</v>
      </c>
      <c r="AX192" s="157">
        <v>2142.3900000000008</v>
      </c>
      <c r="AY192" s="240">
        <v>0.36</v>
      </c>
      <c r="AZ192" s="156" t="s">
        <v>253</v>
      </c>
      <c r="BA192" s="156" t="s">
        <v>254</v>
      </c>
      <c r="BB192" s="156">
        <v>0</v>
      </c>
      <c r="BC192" s="156" t="s">
        <v>1423</v>
      </c>
      <c r="BD192" s="3"/>
    </row>
    <row r="193" spans="1:56" ht="15.75" hidden="1" customHeight="1" outlineLevel="1">
      <c r="A193" s="58">
        <v>183</v>
      </c>
      <c r="B193" s="11">
        <v>129183</v>
      </c>
      <c r="C193" s="89" t="s">
        <v>276</v>
      </c>
      <c r="D193" s="157">
        <v>19</v>
      </c>
      <c r="E193" s="12" t="s">
        <v>191</v>
      </c>
      <c r="F193" s="11" t="s">
        <v>246</v>
      </c>
      <c r="G193" s="18" t="s">
        <v>247</v>
      </c>
      <c r="H193" s="11" t="s">
        <v>248</v>
      </c>
      <c r="I193" s="87" t="s">
        <v>249</v>
      </c>
      <c r="J193" s="19" t="s">
        <v>139</v>
      </c>
      <c r="K193" s="17" t="s">
        <v>140</v>
      </c>
      <c r="L193" s="257">
        <v>0</v>
      </c>
      <c r="M193" s="70" t="s">
        <v>250</v>
      </c>
      <c r="N193" s="70">
        <v>100</v>
      </c>
      <c r="O193" s="258">
        <v>8</v>
      </c>
      <c r="P193" s="70" t="s">
        <v>251</v>
      </c>
      <c r="Q193" s="70" t="s">
        <v>233</v>
      </c>
      <c r="R193" s="70" t="s">
        <v>240</v>
      </c>
      <c r="S193" s="70" t="s">
        <v>233</v>
      </c>
      <c r="T193" s="70" t="s">
        <v>233</v>
      </c>
      <c r="U193" s="70" t="s">
        <v>1427</v>
      </c>
      <c r="V193" s="70" t="s">
        <v>240</v>
      </c>
      <c r="W193" s="12"/>
      <c r="X193" s="242">
        <v>852.92</v>
      </c>
      <c r="Y193" s="242">
        <v>682.71</v>
      </c>
      <c r="Z193" s="242">
        <v>112.1</v>
      </c>
      <c r="AA193" s="157" t="s">
        <v>252</v>
      </c>
      <c r="AB193" s="242">
        <v>71.430000000000007</v>
      </c>
      <c r="AC193" s="157" t="s">
        <v>252</v>
      </c>
      <c r="AD193" s="242">
        <v>94.78</v>
      </c>
      <c r="AE193" s="157" t="s">
        <v>252</v>
      </c>
      <c r="AF193" s="242">
        <v>61.54</v>
      </c>
      <c r="AG193" s="157" t="s">
        <v>252</v>
      </c>
      <c r="AH193" s="242">
        <v>23.36</v>
      </c>
      <c r="AI193" s="157" t="s">
        <v>252</v>
      </c>
      <c r="AJ193" s="242">
        <v>13.68</v>
      </c>
      <c r="AK193" s="242" t="s">
        <v>252</v>
      </c>
      <c r="AL193" s="242">
        <v>7.28</v>
      </c>
      <c r="AM193" s="242" t="s">
        <v>252</v>
      </c>
      <c r="AN193" s="242">
        <v>7.14</v>
      </c>
      <c r="AO193" s="242" t="s">
        <v>252</v>
      </c>
      <c r="AP193" s="242">
        <v>10.27</v>
      </c>
      <c r="AQ193" s="242" t="s">
        <v>252</v>
      </c>
      <c r="AR193" s="242">
        <v>58.71</v>
      </c>
      <c r="AS193" s="242" t="s">
        <v>252</v>
      </c>
      <c r="AT193" s="242">
        <v>61.14</v>
      </c>
      <c r="AU193" s="242" t="s">
        <v>252</v>
      </c>
      <c r="AV193" s="242">
        <v>74.05</v>
      </c>
      <c r="AW193" s="157" t="s">
        <v>252</v>
      </c>
      <c r="AX193" s="157">
        <v>2131.11</v>
      </c>
      <c r="AY193" s="240">
        <v>0.28000000000000003</v>
      </c>
      <c r="AZ193" s="156" t="s">
        <v>253</v>
      </c>
      <c r="BA193" s="156" t="s">
        <v>254</v>
      </c>
      <c r="BB193" s="156">
        <v>0</v>
      </c>
      <c r="BC193" s="156" t="s">
        <v>1423</v>
      </c>
      <c r="BD193" s="3"/>
    </row>
    <row r="194" spans="1:56" ht="15.75" hidden="1" customHeight="1" outlineLevel="1">
      <c r="A194" s="58">
        <v>184</v>
      </c>
      <c r="B194" s="11">
        <v>129184</v>
      </c>
      <c r="C194" s="89" t="s">
        <v>276</v>
      </c>
      <c r="D194" s="157" t="s">
        <v>278</v>
      </c>
      <c r="E194" s="12" t="s">
        <v>191</v>
      </c>
      <c r="F194" s="11" t="s">
        <v>246</v>
      </c>
      <c r="G194" s="18" t="s">
        <v>247</v>
      </c>
      <c r="H194" s="11" t="s">
        <v>248</v>
      </c>
      <c r="I194" s="87" t="s">
        <v>249</v>
      </c>
      <c r="J194" s="19" t="s">
        <v>139</v>
      </c>
      <c r="K194" s="17" t="s">
        <v>140</v>
      </c>
      <c r="L194" s="260">
        <v>1</v>
      </c>
      <c r="M194" s="70" t="s">
        <v>250</v>
      </c>
      <c r="N194" s="70">
        <v>100</v>
      </c>
      <c r="O194" s="258">
        <v>8</v>
      </c>
      <c r="P194" s="70" t="s">
        <v>251</v>
      </c>
      <c r="Q194" s="70" t="s">
        <v>233</v>
      </c>
      <c r="R194" s="70" t="s">
        <v>240</v>
      </c>
      <c r="S194" s="70" t="s">
        <v>233</v>
      </c>
      <c r="T194" s="70" t="s">
        <v>233</v>
      </c>
      <c r="U194" s="70" t="s">
        <v>1427</v>
      </c>
      <c r="V194" s="70" t="s">
        <v>240</v>
      </c>
      <c r="W194" s="12"/>
      <c r="X194" s="242">
        <v>550.03701903523688</v>
      </c>
      <c r="Y194" s="242">
        <v>495.46748041470818</v>
      </c>
      <c r="Z194" s="242">
        <v>97.054296096276303</v>
      </c>
      <c r="AA194" s="157" t="s">
        <v>252</v>
      </c>
      <c r="AB194" s="242">
        <v>57.500995432876621</v>
      </c>
      <c r="AC194" s="157" t="s">
        <v>252</v>
      </c>
      <c r="AD194" s="242">
        <v>77.585320532053203</v>
      </c>
      <c r="AE194" s="157" t="s">
        <v>252</v>
      </c>
      <c r="AF194" s="242">
        <v>41.91214054738807</v>
      </c>
      <c r="AG194" s="157" t="s">
        <v>252</v>
      </c>
      <c r="AH194" s="242">
        <v>18.05879954662133</v>
      </c>
      <c r="AI194" s="157" t="s">
        <v>252</v>
      </c>
      <c r="AJ194" s="242">
        <v>7.4782061539487286</v>
      </c>
      <c r="AK194" s="242" t="s">
        <v>252</v>
      </c>
      <c r="AL194" s="242">
        <v>6.3927979464613136</v>
      </c>
      <c r="AM194" s="242" t="s">
        <v>252</v>
      </c>
      <c r="AN194" s="242">
        <v>9.3584408440844076</v>
      </c>
      <c r="AO194" s="242" t="s">
        <v>252</v>
      </c>
      <c r="AP194" s="242">
        <v>7.3158222488915561</v>
      </c>
      <c r="AQ194" s="242" t="s">
        <v>252</v>
      </c>
      <c r="AR194" s="242">
        <v>51.629535286862016</v>
      </c>
      <c r="AS194" s="242" t="s">
        <v>252</v>
      </c>
      <c r="AT194" s="242">
        <v>51.544070073674035</v>
      </c>
      <c r="AU194" s="242" t="s">
        <v>252</v>
      </c>
      <c r="AV194" s="242">
        <v>57.253146314631458</v>
      </c>
      <c r="AW194" s="157" t="s">
        <v>252</v>
      </c>
      <c r="AX194" s="157">
        <v>1528.5880704737144</v>
      </c>
      <c r="AY194" s="240">
        <v>0.23930259692635933</v>
      </c>
      <c r="AZ194" s="156" t="s">
        <v>253</v>
      </c>
      <c r="BA194" s="156" t="s">
        <v>254</v>
      </c>
      <c r="BB194" s="156">
        <v>1</v>
      </c>
      <c r="BC194" s="156" t="s">
        <v>1423</v>
      </c>
      <c r="BD194" s="3"/>
    </row>
    <row r="195" spans="1:56" ht="15.75" hidden="1" customHeight="1" outlineLevel="1">
      <c r="A195" s="58">
        <v>185</v>
      </c>
      <c r="B195" s="11">
        <v>129185</v>
      </c>
      <c r="C195" s="89" t="s">
        <v>276</v>
      </c>
      <c r="D195" s="157" t="s">
        <v>278</v>
      </c>
      <c r="E195" s="12" t="s">
        <v>231</v>
      </c>
      <c r="F195" s="11" t="s">
        <v>246</v>
      </c>
      <c r="G195" s="18" t="s">
        <v>247</v>
      </c>
      <c r="H195" s="11" t="s">
        <v>248</v>
      </c>
      <c r="I195" s="87" t="s">
        <v>249</v>
      </c>
      <c r="J195" s="19" t="s">
        <v>139</v>
      </c>
      <c r="K195" s="17" t="s">
        <v>140</v>
      </c>
      <c r="L195" s="257">
        <v>0</v>
      </c>
      <c r="M195" s="70" t="s">
        <v>250</v>
      </c>
      <c r="N195" s="70">
        <v>80</v>
      </c>
      <c r="O195" s="258">
        <v>8</v>
      </c>
      <c r="P195" s="70" t="s">
        <v>251</v>
      </c>
      <c r="Q195" s="70" t="s">
        <v>233</v>
      </c>
      <c r="R195" s="70" t="s">
        <v>240</v>
      </c>
      <c r="S195" s="70" t="s">
        <v>233</v>
      </c>
      <c r="T195" s="70" t="s">
        <v>233</v>
      </c>
      <c r="U195" s="70" t="s">
        <v>1427</v>
      </c>
      <c r="V195" s="70" t="s">
        <v>240</v>
      </c>
      <c r="W195" s="12"/>
      <c r="X195" s="242">
        <v>93.54298096476316</v>
      </c>
      <c r="Y195" s="242">
        <v>84.262519585291869</v>
      </c>
      <c r="Z195" s="242">
        <v>16.505703903723706</v>
      </c>
      <c r="AA195" s="157" t="s">
        <v>252</v>
      </c>
      <c r="AB195" s="242">
        <v>9.7790045671233798</v>
      </c>
      <c r="AC195" s="157" t="s">
        <v>252</v>
      </c>
      <c r="AD195" s="242">
        <v>13.194679467946795</v>
      </c>
      <c r="AE195" s="157" t="s">
        <v>252</v>
      </c>
      <c r="AF195" s="242">
        <v>7.1278594526119283</v>
      </c>
      <c r="AG195" s="157" t="s">
        <v>252</v>
      </c>
      <c r="AH195" s="242">
        <v>3.0712004533786712</v>
      </c>
      <c r="AI195" s="157" t="s">
        <v>252</v>
      </c>
      <c r="AJ195" s="242">
        <v>1.2717938460512719</v>
      </c>
      <c r="AK195" s="242" t="s">
        <v>252</v>
      </c>
      <c r="AL195" s="242">
        <v>1.0872020535386873</v>
      </c>
      <c r="AM195" s="242" t="s">
        <v>252</v>
      </c>
      <c r="AN195" s="242">
        <v>1.5915591559155915</v>
      </c>
      <c r="AO195" s="242" t="s">
        <v>252</v>
      </c>
      <c r="AP195" s="242">
        <v>1.2441777511084444</v>
      </c>
      <c r="AQ195" s="242" t="s">
        <v>252</v>
      </c>
      <c r="AR195" s="242">
        <v>8.7804647131379809</v>
      </c>
      <c r="AS195" s="242" t="s">
        <v>252</v>
      </c>
      <c r="AT195" s="242">
        <v>8.7659299263259669</v>
      </c>
      <c r="AU195" s="242" t="s">
        <v>252</v>
      </c>
      <c r="AV195" s="242">
        <v>9.736853685368537</v>
      </c>
      <c r="AW195" s="157" t="s">
        <v>252</v>
      </c>
      <c r="AX195" s="157">
        <v>259.96192952628604</v>
      </c>
      <c r="AY195" s="243">
        <v>4.0697403073640705E-2</v>
      </c>
      <c r="AZ195" s="156" t="s">
        <v>253</v>
      </c>
      <c r="BA195" s="156" t="s">
        <v>254</v>
      </c>
      <c r="BB195" s="156">
        <v>0</v>
      </c>
      <c r="BC195" s="156" t="s">
        <v>1423</v>
      </c>
      <c r="BD195" s="3"/>
    </row>
    <row r="196" spans="1:56" ht="15.75" hidden="1" customHeight="1" outlineLevel="1">
      <c r="A196" s="58">
        <v>186</v>
      </c>
      <c r="B196" s="11">
        <v>129186</v>
      </c>
      <c r="C196" s="89" t="s">
        <v>276</v>
      </c>
      <c r="D196" s="157">
        <v>21</v>
      </c>
      <c r="E196" s="12" t="s">
        <v>191</v>
      </c>
      <c r="F196" s="11" t="s">
        <v>246</v>
      </c>
      <c r="G196" s="18" t="s">
        <v>247</v>
      </c>
      <c r="H196" s="11" t="s">
        <v>248</v>
      </c>
      <c r="I196" s="87" t="s">
        <v>249</v>
      </c>
      <c r="J196" s="19" t="s">
        <v>139</v>
      </c>
      <c r="K196" s="17" t="s">
        <v>140</v>
      </c>
      <c r="L196" s="260">
        <v>1</v>
      </c>
      <c r="M196" s="70" t="s">
        <v>250</v>
      </c>
      <c r="N196" s="70">
        <v>100</v>
      </c>
      <c r="O196" s="258">
        <v>8</v>
      </c>
      <c r="P196" s="70" t="s">
        <v>251</v>
      </c>
      <c r="Q196" s="70" t="s">
        <v>233</v>
      </c>
      <c r="R196" s="70" t="s">
        <v>240</v>
      </c>
      <c r="S196" s="70" t="s">
        <v>233</v>
      </c>
      <c r="T196" s="70" t="s">
        <v>233</v>
      </c>
      <c r="U196" s="70" t="s">
        <v>1427</v>
      </c>
      <c r="V196" s="70" t="s">
        <v>240</v>
      </c>
      <c r="W196" s="12"/>
      <c r="X196" s="242">
        <v>877.04842234332432</v>
      </c>
      <c r="Y196" s="242">
        <v>864.27080108991845</v>
      </c>
      <c r="Z196" s="242">
        <v>156.57273841961853</v>
      </c>
      <c r="AA196" s="157" t="s">
        <v>252</v>
      </c>
      <c r="AB196" s="242">
        <v>95.684828337874663</v>
      </c>
      <c r="AC196" s="157" t="s">
        <v>252</v>
      </c>
      <c r="AD196" s="242">
        <v>132.65153133514988</v>
      </c>
      <c r="AE196" s="157" t="s">
        <v>252</v>
      </c>
      <c r="AF196" s="242">
        <v>75.826386920980937</v>
      </c>
      <c r="AG196" s="157" t="s">
        <v>252</v>
      </c>
      <c r="AH196" s="242">
        <v>38.368580381471389</v>
      </c>
      <c r="AI196" s="157" t="s">
        <v>252</v>
      </c>
      <c r="AJ196" s="242">
        <v>21.706776566757494</v>
      </c>
      <c r="AK196" s="242" t="s">
        <v>252</v>
      </c>
      <c r="AL196" s="242">
        <v>15.61709264305177</v>
      </c>
      <c r="AM196" s="242" t="s">
        <v>252</v>
      </c>
      <c r="AN196" s="242">
        <v>13.384803814713898</v>
      </c>
      <c r="AO196" s="242" t="s">
        <v>252</v>
      </c>
      <c r="AP196" s="242">
        <v>17.063615803814713</v>
      </c>
      <c r="AQ196" s="242" t="s">
        <v>252</v>
      </c>
      <c r="AR196" s="242">
        <v>91.023809264305171</v>
      </c>
      <c r="AS196" s="242" t="s">
        <v>252</v>
      </c>
      <c r="AT196" s="242">
        <v>80.42490190735694</v>
      </c>
      <c r="AU196" s="242" t="s">
        <v>252</v>
      </c>
      <c r="AV196" s="242">
        <v>103.29246866485015</v>
      </c>
      <c r="AW196" s="157" t="s">
        <v>252</v>
      </c>
      <c r="AX196" s="157">
        <v>2582.9367574931885</v>
      </c>
      <c r="AY196" s="240">
        <v>0.36609536784741142</v>
      </c>
      <c r="AZ196" s="156" t="s">
        <v>253</v>
      </c>
      <c r="BA196" s="156" t="s">
        <v>254</v>
      </c>
      <c r="BB196" s="156">
        <v>2</v>
      </c>
      <c r="BC196" s="156" t="s">
        <v>1423</v>
      </c>
      <c r="BD196" s="3"/>
    </row>
    <row r="197" spans="1:56" ht="15.75" hidden="1" customHeight="1" outlineLevel="1">
      <c r="A197" s="58">
        <v>187</v>
      </c>
      <c r="B197" s="11">
        <v>129187</v>
      </c>
      <c r="C197" s="89" t="s">
        <v>276</v>
      </c>
      <c r="D197" s="157">
        <v>21</v>
      </c>
      <c r="E197" s="12" t="s">
        <v>231</v>
      </c>
      <c r="F197" s="11" t="s">
        <v>246</v>
      </c>
      <c r="G197" s="18" t="s">
        <v>247</v>
      </c>
      <c r="H197" s="11" t="s">
        <v>248</v>
      </c>
      <c r="I197" s="87" t="s">
        <v>249</v>
      </c>
      <c r="J197" s="19" t="s">
        <v>139</v>
      </c>
      <c r="K197" s="17" t="s">
        <v>140</v>
      </c>
      <c r="L197" s="257">
        <v>0</v>
      </c>
      <c r="M197" s="70" t="s">
        <v>250</v>
      </c>
      <c r="N197" s="70">
        <v>100</v>
      </c>
      <c r="O197" s="258">
        <v>8</v>
      </c>
      <c r="P197" s="70" t="s">
        <v>251</v>
      </c>
      <c r="Q197" s="70" t="s">
        <v>233</v>
      </c>
      <c r="R197" s="70" t="s">
        <v>240</v>
      </c>
      <c r="S197" s="70" t="s">
        <v>233</v>
      </c>
      <c r="T197" s="70" t="s">
        <v>233</v>
      </c>
      <c r="U197" s="70" t="s">
        <v>1427</v>
      </c>
      <c r="V197" s="70" t="s">
        <v>240</v>
      </c>
      <c r="W197" s="12"/>
      <c r="X197" s="242">
        <v>105.18157765667576</v>
      </c>
      <c r="Y197" s="242">
        <v>103.64919891008176</v>
      </c>
      <c r="Z197" s="242">
        <v>18.77726158038147</v>
      </c>
      <c r="AA197" s="157" t="s">
        <v>252</v>
      </c>
      <c r="AB197" s="242">
        <v>11.475171662125341</v>
      </c>
      <c r="AC197" s="157" t="s">
        <v>252</v>
      </c>
      <c r="AD197" s="242">
        <v>15.908468664850137</v>
      </c>
      <c r="AE197" s="157" t="s">
        <v>252</v>
      </c>
      <c r="AF197" s="242">
        <v>9.0936130790190735</v>
      </c>
      <c r="AG197" s="157" t="s">
        <v>252</v>
      </c>
      <c r="AH197" s="242">
        <v>4.6014196185286105</v>
      </c>
      <c r="AI197" s="157" t="s">
        <v>252</v>
      </c>
      <c r="AJ197" s="242">
        <v>2.6032234332425066</v>
      </c>
      <c r="AK197" s="242" t="s">
        <v>252</v>
      </c>
      <c r="AL197" s="242">
        <v>1.8729073569482286</v>
      </c>
      <c r="AM197" s="242" t="s">
        <v>252</v>
      </c>
      <c r="AN197" s="242">
        <v>1.6051961852861036</v>
      </c>
      <c r="AO197" s="242" t="s">
        <v>252</v>
      </c>
      <c r="AP197" s="242">
        <v>2.046384196185286</v>
      </c>
      <c r="AQ197" s="242" t="s">
        <v>252</v>
      </c>
      <c r="AR197" s="242">
        <v>10.916190735694823</v>
      </c>
      <c r="AS197" s="242" t="s">
        <v>252</v>
      </c>
      <c r="AT197" s="242">
        <v>9.6450980926430514</v>
      </c>
      <c r="AU197" s="242" t="s">
        <v>252</v>
      </c>
      <c r="AV197" s="242">
        <v>12.387531335149864</v>
      </c>
      <c r="AW197" s="157" t="s">
        <v>252</v>
      </c>
      <c r="AX197" s="157">
        <v>309.76324250681205</v>
      </c>
      <c r="AY197" s="243">
        <v>4.3904632152588552E-2</v>
      </c>
      <c r="AZ197" s="156" t="s">
        <v>253</v>
      </c>
      <c r="BA197" s="156" t="s">
        <v>254</v>
      </c>
      <c r="BB197" s="156">
        <v>0</v>
      </c>
      <c r="BC197" s="156" t="s">
        <v>1423</v>
      </c>
      <c r="BD197" s="3"/>
    </row>
    <row r="198" spans="1:56" ht="15.75" hidden="1" customHeight="1" outlineLevel="1">
      <c r="A198" s="58">
        <v>188</v>
      </c>
      <c r="B198" s="11">
        <v>129188</v>
      </c>
      <c r="C198" s="89" t="s">
        <v>276</v>
      </c>
      <c r="D198" s="157">
        <v>23</v>
      </c>
      <c r="E198" s="12" t="s">
        <v>191</v>
      </c>
      <c r="F198" s="11" t="s">
        <v>246</v>
      </c>
      <c r="G198" s="18" t="s">
        <v>247</v>
      </c>
      <c r="H198" s="11" t="s">
        <v>248</v>
      </c>
      <c r="I198" s="87" t="s">
        <v>249</v>
      </c>
      <c r="J198" s="19" t="s">
        <v>139</v>
      </c>
      <c r="K198" s="17" t="s">
        <v>140</v>
      </c>
      <c r="L198" s="257">
        <v>0</v>
      </c>
      <c r="M198" s="70" t="s">
        <v>250</v>
      </c>
      <c r="N198" s="70">
        <v>100</v>
      </c>
      <c r="O198" s="258">
        <v>8</v>
      </c>
      <c r="P198" s="70" t="s">
        <v>251</v>
      </c>
      <c r="Q198" s="70" t="s">
        <v>233</v>
      </c>
      <c r="R198" s="70" t="s">
        <v>240</v>
      </c>
      <c r="S198" s="70" t="s">
        <v>233</v>
      </c>
      <c r="T198" s="70" t="s">
        <v>233</v>
      </c>
      <c r="U198" s="70" t="s">
        <v>1427</v>
      </c>
      <c r="V198" s="70" t="s">
        <v>240</v>
      </c>
      <c r="W198" s="12"/>
      <c r="X198" s="242">
        <v>1111.95</v>
      </c>
      <c r="Y198" s="242">
        <v>1082.0900000000001</v>
      </c>
      <c r="Z198" s="242">
        <v>197.2</v>
      </c>
      <c r="AA198" s="157" t="s">
        <v>252</v>
      </c>
      <c r="AB198" s="242">
        <v>120.63</v>
      </c>
      <c r="AC198" s="157" t="s">
        <v>252</v>
      </c>
      <c r="AD198" s="242">
        <v>167.08</v>
      </c>
      <c r="AE198" s="157" t="s">
        <v>252</v>
      </c>
      <c r="AF198" s="242">
        <v>95.54</v>
      </c>
      <c r="AG198" s="157" t="s">
        <v>252</v>
      </c>
      <c r="AH198" s="242">
        <v>48.11</v>
      </c>
      <c r="AI198" s="157" t="s">
        <v>252</v>
      </c>
      <c r="AJ198" s="242">
        <v>23.76</v>
      </c>
      <c r="AK198" s="242" t="s">
        <v>252</v>
      </c>
      <c r="AL198" s="242">
        <v>19.170000000000002</v>
      </c>
      <c r="AM198" s="242" t="s">
        <v>252</v>
      </c>
      <c r="AN198" s="242">
        <v>18.059999999999999</v>
      </c>
      <c r="AO198" s="242" t="s">
        <v>252</v>
      </c>
      <c r="AP198" s="242">
        <v>23.29</v>
      </c>
      <c r="AQ198" s="242" t="s">
        <v>252</v>
      </c>
      <c r="AR198" s="242">
        <v>114.27</v>
      </c>
      <c r="AS198" s="242" t="s">
        <v>252</v>
      </c>
      <c r="AT198" s="242">
        <v>101.1</v>
      </c>
      <c r="AU198" s="242" t="s">
        <v>252</v>
      </c>
      <c r="AV198" s="242">
        <v>129.87</v>
      </c>
      <c r="AW198" s="157" t="s">
        <v>252</v>
      </c>
      <c r="AX198" s="157">
        <v>3252.12</v>
      </c>
      <c r="AY198" s="240">
        <v>0.45</v>
      </c>
      <c r="AZ198" s="156" t="s">
        <v>253</v>
      </c>
      <c r="BA198" s="156" t="s">
        <v>254</v>
      </c>
      <c r="BB198" s="156">
        <v>0</v>
      </c>
      <c r="BC198" s="156" t="s">
        <v>1423</v>
      </c>
      <c r="BD198" s="3"/>
    </row>
    <row r="199" spans="1:56" ht="15.75" hidden="1" customHeight="1" outlineLevel="1">
      <c r="A199" s="58">
        <v>189</v>
      </c>
      <c r="B199" s="11">
        <v>129189</v>
      </c>
      <c r="C199" s="89" t="s">
        <v>276</v>
      </c>
      <c r="D199" s="157" t="s">
        <v>205</v>
      </c>
      <c r="E199" s="12" t="s">
        <v>191</v>
      </c>
      <c r="F199" s="11" t="s">
        <v>246</v>
      </c>
      <c r="G199" s="18" t="s">
        <v>247</v>
      </c>
      <c r="H199" s="11" t="s">
        <v>248</v>
      </c>
      <c r="I199" s="87" t="s">
        <v>249</v>
      </c>
      <c r="J199" s="19" t="s">
        <v>139</v>
      </c>
      <c r="K199" s="17" t="s">
        <v>140</v>
      </c>
      <c r="L199" s="257">
        <v>0</v>
      </c>
      <c r="M199" s="70" t="s">
        <v>250</v>
      </c>
      <c r="N199" s="70">
        <v>80</v>
      </c>
      <c r="O199" s="258">
        <v>8</v>
      </c>
      <c r="P199" s="70" t="s">
        <v>251</v>
      </c>
      <c r="Q199" s="70" t="s">
        <v>233</v>
      </c>
      <c r="R199" s="70" t="s">
        <v>240</v>
      </c>
      <c r="S199" s="70" t="s">
        <v>233</v>
      </c>
      <c r="T199" s="70" t="s">
        <v>233</v>
      </c>
      <c r="U199" s="70" t="s">
        <v>1427</v>
      </c>
      <c r="V199" s="70" t="s">
        <v>240</v>
      </c>
      <c r="W199" s="12"/>
      <c r="X199" s="242">
        <v>225.99</v>
      </c>
      <c r="Y199" s="242">
        <v>189.27000000000004</v>
      </c>
      <c r="Z199" s="242">
        <v>34.99</v>
      </c>
      <c r="AA199" s="157" t="s">
        <v>252</v>
      </c>
      <c r="AB199" s="242">
        <v>26.36</v>
      </c>
      <c r="AC199" s="157" t="s">
        <v>252</v>
      </c>
      <c r="AD199" s="242">
        <v>31.99</v>
      </c>
      <c r="AE199" s="157" t="s">
        <v>252</v>
      </c>
      <c r="AF199" s="242">
        <v>19.690000000000001</v>
      </c>
      <c r="AG199" s="157" t="s">
        <v>252</v>
      </c>
      <c r="AH199" s="242">
        <v>7.85</v>
      </c>
      <c r="AI199" s="157" t="s">
        <v>252</v>
      </c>
      <c r="AJ199" s="242">
        <v>2.65</v>
      </c>
      <c r="AK199" s="242" t="s">
        <v>252</v>
      </c>
      <c r="AL199" s="242">
        <v>1.94</v>
      </c>
      <c r="AM199" s="242" t="s">
        <v>252</v>
      </c>
      <c r="AN199" s="242">
        <v>1.78</v>
      </c>
      <c r="AO199" s="242" t="s">
        <v>252</v>
      </c>
      <c r="AP199" s="242">
        <v>2.97</v>
      </c>
      <c r="AQ199" s="242" t="s">
        <v>252</v>
      </c>
      <c r="AR199" s="242">
        <v>24.91</v>
      </c>
      <c r="AS199" s="242" t="s">
        <v>252</v>
      </c>
      <c r="AT199" s="242">
        <v>18.98</v>
      </c>
      <c r="AU199" s="242" t="s">
        <v>252</v>
      </c>
      <c r="AV199" s="242">
        <v>29.63</v>
      </c>
      <c r="AW199" s="157" t="s">
        <v>252</v>
      </c>
      <c r="AX199" s="157">
        <v>619.00000000000011</v>
      </c>
      <c r="AY199" s="240">
        <v>0.1</v>
      </c>
      <c r="AZ199" s="156" t="s">
        <v>253</v>
      </c>
      <c r="BA199" s="156" t="s">
        <v>254</v>
      </c>
      <c r="BB199" s="156">
        <v>0</v>
      </c>
      <c r="BC199" s="156" t="s">
        <v>1423</v>
      </c>
      <c r="BD199" s="3"/>
    </row>
    <row r="200" spans="1:56" ht="15.75" hidden="1" customHeight="1" outlineLevel="1">
      <c r="A200" s="58">
        <v>190</v>
      </c>
      <c r="B200" s="11">
        <v>129190</v>
      </c>
      <c r="C200" s="89" t="s">
        <v>276</v>
      </c>
      <c r="D200" s="157">
        <v>5</v>
      </c>
      <c r="E200" s="12" t="s">
        <v>191</v>
      </c>
      <c r="F200" s="11" t="s">
        <v>246</v>
      </c>
      <c r="G200" s="18" t="s">
        <v>247</v>
      </c>
      <c r="H200" s="11" t="s">
        <v>248</v>
      </c>
      <c r="I200" s="87" t="s">
        <v>249</v>
      </c>
      <c r="J200" s="19" t="s">
        <v>139</v>
      </c>
      <c r="K200" s="17" t="s">
        <v>140</v>
      </c>
      <c r="L200" s="257">
        <v>0</v>
      </c>
      <c r="M200" s="70" t="s">
        <v>250</v>
      </c>
      <c r="N200" s="70">
        <v>80</v>
      </c>
      <c r="O200" s="258">
        <v>8</v>
      </c>
      <c r="P200" s="70" t="s">
        <v>251</v>
      </c>
      <c r="Q200" s="70" t="s">
        <v>233</v>
      </c>
      <c r="R200" s="70" t="s">
        <v>240</v>
      </c>
      <c r="S200" s="70" t="s">
        <v>233</v>
      </c>
      <c r="T200" s="70" t="s">
        <v>233</v>
      </c>
      <c r="U200" s="70" t="s">
        <v>1427</v>
      </c>
      <c r="V200" s="70" t="s">
        <v>240</v>
      </c>
      <c r="W200" s="12"/>
      <c r="X200" s="242">
        <v>685.86588939039632</v>
      </c>
      <c r="Y200" s="242">
        <v>765.03149213986626</v>
      </c>
      <c r="Z200" s="242">
        <v>134.23436421338846</v>
      </c>
      <c r="AA200" s="157" t="s">
        <v>252</v>
      </c>
      <c r="AB200" s="242">
        <v>85.186841698841704</v>
      </c>
      <c r="AC200" s="157" t="s">
        <v>252</v>
      </c>
      <c r="AD200" s="242">
        <v>74.429508014573926</v>
      </c>
      <c r="AE200" s="157" t="s">
        <v>252</v>
      </c>
      <c r="AF200" s="242">
        <v>43.640000974495628</v>
      </c>
      <c r="AG200" s="157" t="s">
        <v>252</v>
      </c>
      <c r="AH200" s="242">
        <v>13.831121805427157</v>
      </c>
      <c r="AI200" s="157" t="s">
        <v>252</v>
      </c>
      <c r="AJ200" s="242">
        <v>4.7646067627385937</v>
      </c>
      <c r="AK200" s="242" t="s">
        <v>252</v>
      </c>
      <c r="AL200" s="242">
        <v>3.1558975039425743</v>
      </c>
      <c r="AM200" s="242" t="s">
        <v>252</v>
      </c>
      <c r="AN200" s="242">
        <v>4.1848747142313343</v>
      </c>
      <c r="AO200" s="242" t="s">
        <v>252</v>
      </c>
      <c r="AP200" s="242">
        <v>5.0748874740333898</v>
      </c>
      <c r="AQ200" s="242" t="s">
        <v>252</v>
      </c>
      <c r="AR200" s="242">
        <v>60.162800909239223</v>
      </c>
      <c r="AS200" s="242" t="s">
        <v>252</v>
      </c>
      <c r="AT200" s="242">
        <v>50.162655430964165</v>
      </c>
      <c r="AU200" s="242" t="s">
        <v>252</v>
      </c>
      <c r="AV200" s="242">
        <v>65.520790194137803</v>
      </c>
      <c r="AW200" s="157" t="s">
        <v>252</v>
      </c>
      <c r="AX200" s="157">
        <v>1995.2457312262761</v>
      </c>
      <c r="AY200" s="240">
        <v>0.26287019413779977</v>
      </c>
      <c r="AZ200" s="156" t="s">
        <v>253</v>
      </c>
      <c r="BA200" s="156" t="s">
        <v>254</v>
      </c>
      <c r="BB200" s="156">
        <v>0</v>
      </c>
      <c r="BC200" s="156" t="s">
        <v>1423</v>
      </c>
      <c r="BD200" s="3"/>
    </row>
    <row r="201" spans="1:56" ht="15.75" hidden="1" customHeight="1" outlineLevel="1">
      <c r="A201" s="58">
        <v>191</v>
      </c>
      <c r="B201" s="11">
        <v>129191</v>
      </c>
      <c r="C201" s="89" t="s">
        <v>276</v>
      </c>
      <c r="D201" s="157">
        <v>5</v>
      </c>
      <c r="E201" s="12" t="s">
        <v>231</v>
      </c>
      <c r="F201" s="11" t="s">
        <v>246</v>
      </c>
      <c r="G201" s="18" t="s">
        <v>247</v>
      </c>
      <c r="H201" s="11" t="s">
        <v>248</v>
      </c>
      <c r="I201" s="87" t="s">
        <v>249</v>
      </c>
      <c r="J201" s="19" t="s">
        <v>139</v>
      </c>
      <c r="K201" s="17" t="s">
        <v>140</v>
      </c>
      <c r="L201" s="257">
        <v>0</v>
      </c>
      <c r="M201" s="70" t="s">
        <v>250</v>
      </c>
      <c r="N201" s="70">
        <v>100</v>
      </c>
      <c r="O201" s="258">
        <v>8</v>
      </c>
      <c r="P201" s="70" t="s">
        <v>251</v>
      </c>
      <c r="Q201" s="70" t="s">
        <v>233</v>
      </c>
      <c r="R201" s="70" t="s">
        <v>240</v>
      </c>
      <c r="S201" s="70" t="s">
        <v>233</v>
      </c>
      <c r="T201" s="70" t="s">
        <v>233</v>
      </c>
      <c r="U201" s="70" t="s">
        <v>1427</v>
      </c>
      <c r="V201" s="70" t="s">
        <v>240</v>
      </c>
      <c r="W201" s="12"/>
      <c r="X201" s="242">
        <v>44.694110609603563</v>
      </c>
      <c r="Y201" s="242">
        <v>49.85289786013378</v>
      </c>
      <c r="Z201" s="242">
        <v>8.7473157866115621</v>
      </c>
      <c r="AA201" s="157" t="s">
        <v>252</v>
      </c>
      <c r="AB201" s="242">
        <v>5.551158301158301</v>
      </c>
      <c r="AC201" s="157" t="s">
        <v>252</v>
      </c>
      <c r="AD201" s="242">
        <v>4.8501619854260696</v>
      </c>
      <c r="AE201" s="157" t="s">
        <v>252</v>
      </c>
      <c r="AF201" s="242">
        <v>2.8437790255043778</v>
      </c>
      <c r="AG201" s="157" t="s">
        <v>252</v>
      </c>
      <c r="AH201" s="242">
        <v>0.90129819457284233</v>
      </c>
      <c r="AI201" s="157" t="s">
        <v>252</v>
      </c>
      <c r="AJ201" s="242">
        <v>0.31048323726140625</v>
      </c>
      <c r="AK201" s="242" t="s">
        <v>252</v>
      </c>
      <c r="AL201" s="242">
        <v>0.20565249605742561</v>
      </c>
      <c r="AM201" s="242" t="s">
        <v>252</v>
      </c>
      <c r="AN201" s="242">
        <v>0.27270528576866604</v>
      </c>
      <c r="AO201" s="242" t="s">
        <v>252</v>
      </c>
      <c r="AP201" s="242">
        <v>0.33070252596661048</v>
      </c>
      <c r="AQ201" s="242" t="s">
        <v>252</v>
      </c>
      <c r="AR201" s="242">
        <v>3.9204790907607809</v>
      </c>
      <c r="AS201" s="242" t="s">
        <v>252</v>
      </c>
      <c r="AT201" s="242">
        <v>3.2688245690358366</v>
      </c>
      <c r="AU201" s="242" t="s">
        <v>252</v>
      </c>
      <c r="AV201" s="242">
        <v>4.2696298058622002</v>
      </c>
      <c r="AW201" s="157" t="s">
        <v>252</v>
      </c>
      <c r="AX201" s="157">
        <v>130.01919877372342</v>
      </c>
      <c r="AY201" s="243">
        <v>1.7129805862200229E-2</v>
      </c>
      <c r="AZ201" s="156" t="s">
        <v>253</v>
      </c>
      <c r="BA201" s="156" t="s">
        <v>254</v>
      </c>
      <c r="BB201" s="156">
        <v>0</v>
      </c>
      <c r="BC201" s="156" t="s">
        <v>1423</v>
      </c>
      <c r="BD201" s="3"/>
    </row>
    <row r="202" spans="1:56" ht="15.75" hidden="1" customHeight="1" outlineLevel="1">
      <c r="A202" s="58">
        <v>192</v>
      </c>
      <c r="B202" s="11">
        <v>129192</v>
      </c>
      <c r="C202" s="89" t="s">
        <v>276</v>
      </c>
      <c r="D202" s="157" t="s">
        <v>206</v>
      </c>
      <c r="E202" s="12" t="s">
        <v>191</v>
      </c>
      <c r="F202" s="11" t="s">
        <v>246</v>
      </c>
      <c r="G202" s="18" t="s">
        <v>247</v>
      </c>
      <c r="H202" s="11" t="s">
        <v>248</v>
      </c>
      <c r="I202" s="87" t="s">
        <v>249</v>
      </c>
      <c r="J202" s="19" t="s">
        <v>139</v>
      </c>
      <c r="K202" s="17" t="s">
        <v>140</v>
      </c>
      <c r="L202" s="260">
        <v>1</v>
      </c>
      <c r="M202" s="70" t="s">
        <v>250</v>
      </c>
      <c r="N202" s="70">
        <v>100</v>
      </c>
      <c r="O202" s="258">
        <v>8</v>
      </c>
      <c r="P202" s="70" t="s">
        <v>251</v>
      </c>
      <c r="Q202" s="70" t="s">
        <v>233</v>
      </c>
      <c r="R202" s="70" t="s">
        <v>240</v>
      </c>
      <c r="S202" s="70" t="s">
        <v>233</v>
      </c>
      <c r="T202" s="70" t="s">
        <v>233</v>
      </c>
      <c r="U202" s="70" t="s">
        <v>1427</v>
      </c>
      <c r="V202" s="70" t="s">
        <v>240</v>
      </c>
      <c r="W202" s="12"/>
      <c r="X202" s="242">
        <v>662.26229327140891</v>
      </c>
      <c r="Y202" s="242">
        <v>486.81255805391947</v>
      </c>
      <c r="Z202" s="242">
        <v>84.86780556184867</v>
      </c>
      <c r="AA202" s="157" t="s">
        <v>252</v>
      </c>
      <c r="AB202" s="242">
        <v>65.849753624830086</v>
      </c>
      <c r="AC202" s="157" t="s">
        <v>252</v>
      </c>
      <c r="AD202" s="242">
        <v>87.071729157226997</v>
      </c>
      <c r="AE202" s="157" t="s">
        <v>252</v>
      </c>
      <c r="AF202" s="242">
        <v>46.175213808337112</v>
      </c>
      <c r="AG202" s="157" t="s">
        <v>252</v>
      </c>
      <c r="AH202" s="242">
        <v>21.17508354100589</v>
      </c>
      <c r="AI202" s="157" t="s">
        <v>252</v>
      </c>
      <c r="AJ202" s="242">
        <v>12.158423482102402</v>
      </c>
      <c r="AK202" s="242" t="s">
        <v>252</v>
      </c>
      <c r="AL202" s="242">
        <v>15.688720548255553</v>
      </c>
      <c r="AM202" s="242" t="s">
        <v>252</v>
      </c>
      <c r="AN202" s="242">
        <v>8.7755012460353417</v>
      </c>
      <c r="AO202" s="242" t="s">
        <v>252</v>
      </c>
      <c r="AP202" s="242">
        <v>11.823480686452196</v>
      </c>
      <c r="AQ202" s="242" t="s">
        <v>252</v>
      </c>
      <c r="AR202" s="242">
        <v>56.833093565926603</v>
      </c>
      <c r="AS202" s="242" t="s">
        <v>252</v>
      </c>
      <c r="AT202" s="242">
        <v>53.85880154055279</v>
      </c>
      <c r="AU202" s="242" t="s">
        <v>252</v>
      </c>
      <c r="AV202" s="242">
        <v>69.949453443588581</v>
      </c>
      <c r="AW202" s="157" t="s">
        <v>252</v>
      </c>
      <c r="AX202" s="157">
        <v>1683.3019115314908</v>
      </c>
      <c r="AY202" s="240">
        <v>0.26125538060715908</v>
      </c>
      <c r="AZ202" s="156" t="s">
        <v>253</v>
      </c>
      <c r="BA202" s="156" t="s">
        <v>254</v>
      </c>
      <c r="BB202" s="156">
        <v>1</v>
      </c>
      <c r="BC202" s="157" t="s">
        <v>255</v>
      </c>
      <c r="BD202" s="3"/>
    </row>
    <row r="203" spans="1:56" ht="15.75" hidden="1" customHeight="1" outlineLevel="1">
      <c r="A203" s="58">
        <v>193</v>
      </c>
      <c r="B203" s="11">
        <v>129193</v>
      </c>
      <c r="C203" s="89" t="s">
        <v>276</v>
      </c>
      <c r="D203" s="157" t="s">
        <v>206</v>
      </c>
      <c r="E203" s="12" t="s">
        <v>231</v>
      </c>
      <c r="F203" s="11" t="s">
        <v>246</v>
      </c>
      <c r="G203" s="18" t="s">
        <v>247</v>
      </c>
      <c r="H203" s="11" t="s">
        <v>248</v>
      </c>
      <c r="I203" s="87" t="s">
        <v>249</v>
      </c>
      <c r="J203" s="19" t="s">
        <v>139</v>
      </c>
      <c r="K203" s="17" t="s">
        <v>140</v>
      </c>
      <c r="L203" s="257">
        <v>0</v>
      </c>
      <c r="M203" s="70" t="s">
        <v>250</v>
      </c>
      <c r="N203" s="70">
        <v>80</v>
      </c>
      <c r="O203" s="258">
        <v>8</v>
      </c>
      <c r="P203" s="70" t="s">
        <v>251</v>
      </c>
      <c r="Q203" s="70" t="s">
        <v>233</v>
      </c>
      <c r="R203" s="70" t="s">
        <v>240</v>
      </c>
      <c r="S203" s="70" t="s">
        <v>233</v>
      </c>
      <c r="T203" s="70" t="s">
        <v>233</v>
      </c>
      <c r="U203" s="70" t="s">
        <v>1427</v>
      </c>
      <c r="V203" s="70" t="s">
        <v>240</v>
      </c>
      <c r="W203" s="12"/>
      <c r="X203" s="242">
        <v>326.35770672859076</v>
      </c>
      <c r="Y203" s="242">
        <v>239.89744194608073</v>
      </c>
      <c r="Z203" s="242">
        <v>41.822194438151342</v>
      </c>
      <c r="AA203" s="157" t="s">
        <v>252</v>
      </c>
      <c r="AB203" s="242">
        <v>32.450246375169918</v>
      </c>
      <c r="AC203" s="157" t="s">
        <v>252</v>
      </c>
      <c r="AD203" s="242">
        <v>42.908270842773</v>
      </c>
      <c r="AE203" s="157" t="s">
        <v>252</v>
      </c>
      <c r="AF203" s="242">
        <v>22.754786191662895</v>
      </c>
      <c r="AG203" s="157" t="s">
        <v>252</v>
      </c>
      <c r="AH203" s="242">
        <v>10.434916458994111</v>
      </c>
      <c r="AI203" s="157" t="s">
        <v>252</v>
      </c>
      <c r="AJ203" s="242">
        <v>5.9915765178975988</v>
      </c>
      <c r="AK203" s="242" t="s">
        <v>252</v>
      </c>
      <c r="AL203" s="242">
        <v>7.7312794517444505</v>
      </c>
      <c r="AM203" s="242" t="s">
        <v>252</v>
      </c>
      <c r="AN203" s="242">
        <v>4.324498753964658</v>
      </c>
      <c r="AO203" s="242" t="s">
        <v>252</v>
      </c>
      <c r="AP203" s="242">
        <v>5.8265193135478031</v>
      </c>
      <c r="AQ203" s="242" t="s">
        <v>252</v>
      </c>
      <c r="AR203" s="242">
        <v>28.006906434073407</v>
      </c>
      <c r="AS203" s="242" t="s">
        <v>252</v>
      </c>
      <c r="AT203" s="242">
        <v>26.541198459447219</v>
      </c>
      <c r="AU203" s="242" t="s">
        <v>252</v>
      </c>
      <c r="AV203" s="242">
        <v>34.470546556411421</v>
      </c>
      <c r="AW203" s="157" t="s">
        <v>252</v>
      </c>
      <c r="AX203" s="157">
        <v>829.5180884685094</v>
      </c>
      <c r="AY203" s="243">
        <v>0.12874461939284099</v>
      </c>
      <c r="AZ203" s="156" t="s">
        <v>253</v>
      </c>
      <c r="BA203" s="156" t="s">
        <v>254</v>
      </c>
      <c r="BB203" s="156">
        <v>0</v>
      </c>
      <c r="BC203" s="157" t="s">
        <v>255</v>
      </c>
      <c r="BD203" s="3"/>
    </row>
    <row r="204" spans="1:56" ht="15.75" hidden="1" customHeight="1" outlineLevel="1">
      <c r="A204" s="58">
        <v>194</v>
      </c>
      <c r="B204" s="11">
        <v>129194</v>
      </c>
      <c r="C204" s="89" t="s">
        <v>279</v>
      </c>
      <c r="D204" s="157">
        <v>13</v>
      </c>
      <c r="E204" s="12" t="s">
        <v>191</v>
      </c>
      <c r="F204" s="11" t="s">
        <v>246</v>
      </c>
      <c r="G204" s="18" t="s">
        <v>247</v>
      </c>
      <c r="H204" s="11" t="s">
        <v>248</v>
      </c>
      <c r="I204" s="87" t="s">
        <v>249</v>
      </c>
      <c r="J204" s="19" t="s">
        <v>139</v>
      </c>
      <c r="K204" s="17" t="s">
        <v>140</v>
      </c>
      <c r="L204" s="260">
        <v>1</v>
      </c>
      <c r="M204" s="70" t="s">
        <v>250</v>
      </c>
      <c r="N204" s="70">
        <v>80</v>
      </c>
      <c r="O204" s="258">
        <v>8</v>
      </c>
      <c r="P204" s="70" t="s">
        <v>251</v>
      </c>
      <c r="Q204" s="70" t="s">
        <v>233</v>
      </c>
      <c r="R204" s="70" t="s">
        <v>240</v>
      </c>
      <c r="S204" s="70" t="s">
        <v>233</v>
      </c>
      <c r="T204" s="70" t="s">
        <v>233</v>
      </c>
      <c r="U204" s="70" t="s">
        <v>1427</v>
      </c>
      <c r="V204" s="70" t="s">
        <v>240</v>
      </c>
      <c r="W204" s="12"/>
      <c r="X204" s="242">
        <v>1065.1199999999999</v>
      </c>
      <c r="Y204" s="242">
        <v>937.36999999999989</v>
      </c>
      <c r="Z204" s="242">
        <v>150.63</v>
      </c>
      <c r="AA204" s="157" t="s">
        <v>252</v>
      </c>
      <c r="AB204" s="242">
        <v>113.06</v>
      </c>
      <c r="AC204" s="157" t="s">
        <v>252</v>
      </c>
      <c r="AD204" s="242">
        <v>149.54</v>
      </c>
      <c r="AE204" s="157" t="s">
        <v>252</v>
      </c>
      <c r="AF204" s="242">
        <v>93.59</v>
      </c>
      <c r="AG204" s="157" t="s">
        <v>252</v>
      </c>
      <c r="AH204" s="242">
        <v>35.92</v>
      </c>
      <c r="AI204" s="157" t="s">
        <v>252</v>
      </c>
      <c r="AJ204" s="242">
        <v>14.75</v>
      </c>
      <c r="AK204" s="242" t="s">
        <v>252</v>
      </c>
      <c r="AL204" s="242">
        <v>12.43</v>
      </c>
      <c r="AM204" s="242" t="s">
        <v>252</v>
      </c>
      <c r="AN204" s="242">
        <v>11.27</v>
      </c>
      <c r="AO204" s="242" t="s">
        <v>252</v>
      </c>
      <c r="AP204" s="242">
        <v>16.989999999999998</v>
      </c>
      <c r="AQ204" s="242" t="s">
        <v>252</v>
      </c>
      <c r="AR204" s="242">
        <v>96.31</v>
      </c>
      <c r="AS204" s="242" t="s">
        <v>252</v>
      </c>
      <c r="AT204" s="242">
        <v>87.81</v>
      </c>
      <c r="AU204" s="242" t="s">
        <v>252</v>
      </c>
      <c r="AV204" s="242">
        <v>115.33</v>
      </c>
      <c r="AW204" s="157" t="s">
        <v>252</v>
      </c>
      <c r="AX204" s="157">
        <v>2900.1199999999994</v>
      </c>
      <c r="AY204" s="240">
        <v>0.41</v>
      </c>
      <c r="AZ204" s="156" t="s">
        <v>253</v>
      </c>
      <c r="BA204" s="156" t="s">
        <v>254</v>
      </c>
      <c r="BB204" s="156">
        <v>1</v>
      </c>
      <c r="BC204" s="156" t="s">
        <v>1423</v>
      </c>
      <c r="BD204" s="3"/>
    </row>
    <row r="205" spans="1:56" ht="15.75" hidden="1" customHeight="1" outlineLevel="1">
      <c r="A205" s="58">
        <v>195</v>
      </c>
      <c r="B205" s="11">
        <v>129195</v>
      </c>
      <c r="C205" s="89" t="s">
        <v>279</v>
      </c>
      <c r="D205" s="157">
        <v>15</v>
      </c>
      <c r="E205" s="12" t="s">
        <v>191</v>
      </c>
      <c r="F205" s="11" t="s">
        <v>246</v>
      </c>
      <c r="G205" s="18" t="s">
        <v>247</v>
      </c>
      <c r="H205" s="11" t="s">
        <v>248</v>
      </c>
      <c r="I205" s="87" t="s">
        <v>249</v>
      </c>
      <c r="J205" s="19" t="s">
        <v>139</v>
      </c>
      <c r="K205" s="17" t="s">
        <v>140</v>
      </c>
      <c r="L205" s="257">
        <v>0</v>
      </c>
      <c r="M205" s="70" t="s">
        <v>250</v>
      </c>
      <c r="N205" s="70">
        <v>80</v>
      </c>
      <c r="O205" s="258">
        <v>8</v>
      </c>
      <c r="P205" s="70" t="s">
        <v>251</v>
      </c>
      <c r="Q205" s="70" t="s">
        <v>233</v>
      </c>
      <c r="R205" s="70" t="s">
        <v>240</v>
      </c>
      <c r="S205" s="70" t="s">
        <v>233</v>
      </c>
      <c r="T205" s="70" t="s">
        <v>233</v>
      </c>
      <c r="U205" s="70" t="s">
        <v>1427</v>
      </c>
      <c r="V205" s="70" t="s">
        <v>240</v>
      </c>
      <c r="W205" s="12"/>
      <c r="X205" s="242">
        <v>600.48</v>
      </c>
      <c r="Y205" s="242">
        <v>513.04</v>
      </c>
      <c r="Z205" s="242">
        <v>81.97</v>
      </c>
      <c r="AA205" s="157" t="s">
        <v>252</v>
      </c>
      <c r="AB205" s="242">
        <v>61.48</v>
      </c>
      <c r="AC205" s="157" t="s">
        <v>252</v>
      </c>
      <c r="AD205" s="242">
        <v>81.28</v>
      </c>
      <c r="AE205" s="157" t="s">
        <v>252</v>
      </c>
      <c r="AF205" s="242">
        <v>50.95</v>
      </c>
      <c r="AG205" s="157" t="s">
        <v>252</v>
      </c>
      <c r="AH205" s="242">
        <v>19.36</v>
      </c>
      <c r="AI205" s="157" t="s">
        <v>252</v>
      </c>
      <c r="AJ205" s="242">
        <v>7.87</v>
      </c>
      <c r="AK205" s="242" t="s">
        <v>252</v>
      </c>
      <c r="AL205" s="242">
        <v>7.96</v>
      </c>
      <c r="AM205" s="242" t="s">
        <v>252</v>
      </c>
      <c r="AN205" s="242">
        <v>7.23</v>
      </c>
      <c r="AO205" s="242" t="s">
        <v>252</v>
      </c>
      <c r="AP205" s="242">
        <v>10.75</v>
      </c>
      <c r="AQ205" s="242" t="s">
        <v>252</v>
      </c>
      <c r="AR205" s="242">
        <v>52.13</v>
      </c>
      <c r="AS205" s="242" t="s">
        <v>252</v>
      </c>
      <c r="AT205" s="242">
        <v>47.56</v>
      </c>
      <c r="AU205" s="242" t="s">
        <v>252</v>
      </c>
      <c r="AV205" s="242">
        <v>62.66</v>
      </c>
      <c r="AW205" s="157" t="s">
        <v>252</v>
      </c>
      <c r="AX205" s="157">
        <v>1604.72</v>
      </c>
      <c r="AY205" s="240">
        <v>0.22</v>
      </c>
      <c r="AZ205" s="156" t="s">
        <v>253</v>
      </c>
      <c r="BA205" s="156" t="s">
        <v>254</v>
      </c>
      <c r="BB205" s="156">
        <v>0</v>
      </c>
      <c r="BC205" s="156" t="s">
        <v>1423</v>
      </c>
      <c r="BD205" s="3"/>
    </row>
    <row r="206" spans="1:56" ht="15.75" hidden="1" customHeight="1" outlineLevel="1">
      <c r="A206" s="58">
        <v>196</v>
      </c>
      <c r="B206" s="11">
        <v>129196</v>
      </c>
      <c r="C206" s="89" t="s">
        <v>279</v>
      </c>
      <c r="D206" s="157">
        <v>19</v>
      </c>
      <c r="E206" s="12" t="s">
        <v>191</v>
      </c>
      <c r="F206" s="11" t="s">
        <v>246</v>
      </c>
      <c r="G206" s="18" t="s">
        <v>247</v>
      </c>
      <c r="H206" s="11" t="s">
        <v>248</v>
      </c>
      <c r="I206" s="87" t="s">
        <v>249</v>
      </c>
      <c r="J206" s="19" t="s">
        <v>139</v>
      </c>
      <c r="K206" s="17" t="s">
        <v>140</v>
      </c>
      <c r="L206" s="257">
        <v>0</v>
      </c>
      <c r="M206" s="70" t="s">
        <v>250</v>
      </c>
      <c r="N206" s="70">
        <v>100</v>
      </c>
      <c r="O206" s="258">
        <v>8</v>
      </c>
      <c r="P206" s="70" t="s">
        <v>251</v>
      </c>
      <c r="Q206" s="70" t="s">
        <v>233</v>
      </c>
      <c r="R206" s="70" t="s">
        <v>240</v>
      </c>
      <c r="S206" s="70" t="s">
        <v>233</v>
      </c>
      <c r="T206" s="70" t="s">
        <v>233</v>
      </c>
      <c r="U206" s="70" t="s">
        <v>1427</v>
      </c>
      <c r="V206" s="70" t="s">
        <v>240</v>
      </c>
      <c r="W206" s="12"/>
      <c r="X206" s="242">
        <v>220.33994594594591</v>
      </c>
      <c r="Y206" s="242">
        <v>199.41893243243243</v>
      </c>
      <c r="Z206" s="242">
        <v>39.223743243243241</v>
      </c>
      <c r="AA206" s="157" t="s">
        <v>252</v>
      </c>
      <c r="AB206" s="242">
        <v>23.227797297297297</v>
      </c>
      <c r="AC206" s="157" t="s">
        <v>252</v>
      </c>
      <c r="AD206" s="242">
        <v>31.394148648648645</v>
      </c>
      <c r="AE206" s="157" t="s">
        <v>252</v>
      </c>
      <c r="AF206" s="242">
        <v>16.905189189189187</v>
      </c>
      <c r="AG206" s="157" t="s">
        <v>252</v>
      </c>
      <c r="AH206" s="242">
        <v>7.3833918918918915</v>
      </c>
      <c r="AI206" s="157" t="s">
        <v>252</v>
      </c>
      <c r="AJ206" s="242">
        <v>2.6603783783783785</v>
      </c>
      <c r="AK206" s="242" t="s">
        <v>252</v>
      </c>
      <c r="AL206" s="242">
        <v>2.2646891891891889</v>
      </c>
      <c r="AM206" s="242" t="s">
        <v>252</v>
      </c>
      <c r="AN206" s="242">
        <v>3.3928243243243243</v>
      </c>
      <c r="AO206" s="242" t="s">
        <v>252</v>
      </c>
      <c r="AP206" s="242">
        <v>2.6267027027027026</v>
      </c>
      <c r="AQ206" s="242" t="s">
        <v>252</v>
      </c>
      <c r="AR206" s="242">
        <v>20.979945945945946</v>
      </c>
      <c r="AS206" s="242" t="s">
        <v>252</v>
      </c>
      <c r="AT206" s="242">
        <v>20.86208108108108</v>
      </c>
      <c r="AU206" s="242" t="s">
        <v>252</v>
      </c>
      <c r="AV206" s="242">
        <v>23.227797297297297</v>
      </c>
      <c r="AW206" s="157" t="s">
        <v>252</v>
      </c>
      <c r="AX206" s="157">
        <v>613.90756756756753</v>
      </c>
      <c r="AY206" s="240">
        <v>9.26081081081081E-2</v>
      </c>
      <c r="AZ206" s="156" t="s">
        <v>253</v>
      </c>
      <c r="BA206" s="156" t="s">
        <v>254</v>
      </c>
      <c r="BB206" s="156">
        <v>0</v>
      </c>
      <c r="BC206" s="156" t="s">
        <v>1423</v>
      </c>
      <c r="BD206" s="3"/>
    </row>
    <row r="207" spans="1:56" ht="15.75" hidden="1" customHeight="1" outlineLevel="1">
      <c r="A207" s="58">
        <v>197</v>
      </c>
      <c r="B207" s="11">
        <v>129197</v>
      </c>
      <c r="C207" s="89" t="s">
        <v>279</v>
      </c>
      <c r="D207" s="157">
        <v>19</v>
      </c>
      <c r="E207" s="12" t="s">
        <v>231</v>
      </c>
      <c r="F207" s="11" t="s">
        <v>246</v>
      </c>
      <c r="G207" s="18" t="s">
        <v>247</v>
      </c>
      <c r="H207" s="11" t="s">
        <v>248</v>
      </c>
      <c r="I207" s="87" t="s">
        <v>249</v>
      </c>
      <c r="J207" s="19" t="s">
        <v>139</v>
      </c>
      <c r="K207" s="17" t="s">
        <v>140</v>
      </c>
      <c r="L207" s="257">
        <v>0</v>
      </c>
      <c r="M207" s="70" t="s">
        <v>250</v>
      </c>
      <c r="N207" s="70">
        <v>100</v>
      </c>
      <c r="O207" s="258">
        <v>8</v>
      </c>
      <c r="P207" s="70" t="s">
        <v>251</v>
      </c>
      <c r="Q207" s="70" t="s">
        <v>233</v>
      </c>
      <c r="R207" s="70" t="s">
        <v>240</v>
      </c>
      <c r="S207" s="70" t="s">
        <v>233</v>
      </c>
      <c r="T207" s="70" t="s">
        <v>233</v>
      </c>
      <c r="U207" s="70" t="s">
        <v>1427</v>
      </c>
      <c r="V207" s="70" t="s">
        <v>240</v>
      </c>
      <c r="W207" s="12"/>
      <c r="X207" s="242">
        <v>41.38005405405405</v>
      </c>
      <c r="Y207" s="242">
        <v>37.45106756756757</v>
      </c>
      <c r="Z207" s="242">
        <v>7.3662567567567567</v>
      </c>
      <c r="AA207" s="157" t="s">
        <v>252</v>
      </c>
      <c r="AB207" s="242">
        <v>4.3622027027027022</v>
      </c>
      <c r="AC207" s="157" t="s">
        <v>252</v>
      </c>
      <c r="AD207" s="242">
        <v>5.8958513513513511</v>
      </c>
      <c r="AE207" s="157" t="s">
        <v>252</v>
      </c>
      <c r="AF207" s="242">
        <v>3.1748108108108104</v>
      </c>
      <c r="AG207" s="157" t="s">
        <v>252</v>
      </c>
      <c r="AH207" s="242">
        <v>1.3866081081081081</v>
      </c>
      <c r="AI207" s="157" t="s">
        <v>252</v>
      </c>
      <c r="AJ207" s="242">
        <v>0.4996216216216216</v>
      </c>
      <c r="AK207" s="242" t="s">
        <v>252</v>
      </c>
      <c r="AL207" s="242">
        <v>0.42531081081081079</v>
      </c>
      <c r="AM207" s="242" t="s">
        <v>252</v>
      </c>
      <c r="AN207" s="242">
        <v>0.63717567567567568</v>
      </c>
      <c r="AO207" s="242" t="s">
        <v>252</v>
      </c>
      <c r="AP207" s="242">
        <v>0.49329729729729732</v>
      </c>
      <c r="AQ207" s="242" t="s">
        <v>252</v>
      </c>
      <c r="AR207" s="242">
        <v>3.9400540540540541</v>
      </c>
      <c r="AS207" s="242" t="s">
        <v>252</v>
      </c>
      <c r="AT207" s="242">
        <v>3.917918918918919</v>
      </c>
      <c r="AU207" s="242" t="s">
        <v>252</v>
      </c>
      <c r="AV207" s="242">
        <v>4.3622027027027022</v>
      </c>
      <c r="AW207" s="157" t="s">
        <v>252</v>
      </c>
      <c r="AX207" s="157">
        <v>115.29243243243245</v>
      </c>
      <c r="AY207" s="243">
        <v>1.739189189189189E-2</v>
      </c>
      <c r="AZ207" s="156" t="s">
        <v>253</v>
      </c>
      <c r="BA207" s="156" t="s">
        <v>254</v>
      </c>
      <c r="BB207" s="156">
        <v>0</v>
      </c>
      <c r="BC207" s="156" t="s">
        <v>1423</v>
      </c>
      <c r="BD207" s="3"/>
    </row>
    <row r="208" spans="1:56" ht="15.75" hidden="1" customHeight="1" outlineLevel="1">
      <c r="A208" s="58">
        <v>198</v>
      </c>
      <c r="B208" s="11">
        <v>129198</v>
      </c>
      <c r="C208" s="89" t="s">
        <v>279</v>
      </c>
      <c r="D208" s="157">
        <v>21</v>
      </c>
      <c r="E208" s="12" t="s">
        <v>191</v>
      </c>
      <c r="F208" s="11" t="s">
        <v>246</v>
      </c>
      <c r="G208" s="18" t="s">
        <v>247</v>
      </c>
      <c r="H208" s="11" t="s">
        <v>248</v>
      </c>
      <c r="I208" s="87" t="s">
        <v>249</v>
      </c>
      <c r="J208" s="19" t="s">
        <v>139</v>
      </c>
      <c r="K208" s="17" t="s">
        <v>140</v>
      </c>
      <c r="L208" s="257">
        <v>0</v>
      </c>
      <c r="M208" s="70" t="s">
        <v>250</v>
      </c>
      <c r="N208" s="70">
        <v>100</v>
      </c>
      <c r="O208" s="258">
        <v>8</v>
      </c>
      <c r="P208" s="70" t="s">
        <v>251</v>
      </c>
      <c r="Q208" s="70" t="s">
        <v>233</v>
      </c>
      <c r="R208" s="70" t="s">
        <v>240</v>
      </c>
      <c r="S208" s="70" t="s">
        <v>233</v>
      </c>
      <c r="T208" s="70" t="s">
        <v>233</v>
      </c>
      <c r="U208" s="70" t="s">
        <v>1427</v>
      </c>
      <c r="V208" s="70" t="s">
        <v>240</v>
      </c>
      <c r="W208" s="12"/>
      <c r="X208" s="242">
        <v>356.24</v>
      </c>
      <c r="Y208" s="242">
        <v>315.87</v>
      </c>
      <c r="Z208" s="242">
        <v>61.18</v>
      </c>
      <c r="AA208" s="157" t="s">
        <v>252</v>
      </c>
      <c r="AB208" s="242">
        <v>36.18</v>
      </c>
      <c r="AC208" s="157" t="s">
        <v>252</v>
      </c>
      <c r="AD208" s="242">
        <v>48.88</v>
      </c>
      <c r="AE208" s="157" t="s">
        <v>252</v>
      </c>
      <c r="AF208" s="242">
        <v>26.36</v>
      </c>
      <c r="AG208" s="157" t="s">
        <v>252</v>
      </c>
      <c r="AH208" s="242">
        <v>11.25</v>
      </c>
      <c r="AI208" s="157" t="s">
        <v>252</v>
      </c>
      <c r="AJ208" s="242">
        <v>10.27</v>
      </c>
      <c r="AK208" s="242" t="s">
        <v>252</v>
      </c>
      <c r="AL208" s="242">
        <v>5.49</v>
      </c>
      <c r="AM208" s="242" t="s">
        <v>252</v>
      </c>
      <c r="AN208" s="242">
        <v>7.95</v>
      </c>
      <c r="AO208" s="242" t="s">
        <v>252</v>
      </c>
      <c r="AP208" s="242">
        <v>6.14</v>
      </c>
      <c r="AQ208" s="242" t="s">
        <v>252</v>
      </c>
      <c r="AR208" s="242">
        <v>32.04</v>
      </c>
      <c r="AS208" s="242" t="s">
        <v>252</v>
      </c>
      <c r="AT208" s="242">
        <v>32.17</v>
      </c>
      <c r="AU208" s="242" t="s">
        <v>252</v>
      </c>
      <c r="AV208" s="242">
        <v>35.78</v>
      </c>
      <c r="AW208" s="157" t="s">
        <v>252</v>
      </c>
      <c r="AX208" s="157">
        <v>985.79999999999984</v>
      </c>
      <c r="AY208" s="240">
        <v>0.15</v>
      </c>
      <c r="AZ208" s="156" t="s">
        <v>253</v>
      </c>
      <c r="BA208" s="156" t="s">
        <v>254</v>
      </c>
      <c r="BB208" s="156">
        <v>0</v>
      </c>
      <c r="BC208" s="156" t="s">
        <v>1423</v>
      </c>
      <c r="BD208" s="3"/>
    </row>
    <row r="209" spans="1:56" ht="15.75" hidden="1" customHeight="1" outlineLevel="1">
      <c r="A209" s="58">
        <v>199</v>
      </c>
      <c r="B209" s="11">
        <v>129199</v>
      </c>
      <c r="C209" s="89" t="s">
        <v>279</v>
      </c>
      <c r="D209" s="157" t="s">
        <v>207</v>
      </c>
      <c r="E209" s="12" t="s">
        <v>191</v>
      </c>
      <c r="F209" s="11" t="s">
        <v>246</v>
      </c>
      <c r="G209" s="18" t="s">
        <v>247</v>
      </c>
      <c r="H209" s="11" t="s">
        <v>248</v>
      </c>
      <c r="I209" s="87" t="s">
        <v>249</v>
      </c>
      <c r="J209" s="19" t="s">
        <v>139</v>
      </c>
      <c r="K209" s="17" t="s">
        <v>140</v>
      </c>
      <c r="L209" s="260">
        <v>1</v>
      </c>
      <c r="M209" s="70" t="s">
        <v>250</v>
      </c>
      <c r="N209" s="70">
        <v>80</v>
      </c>
      <c r="O209" s="258">
        <v>8</v>
      </c>
      <c r="P209" s="70" t="s">
        <v>251</v>
      </c>
      <c r="Q209" s="70" t="s">
        <v>233</v>
      </c>
      <c r="R209" s="70" t="s">
        <v>240</v>
      </c>
      <c r="S209" s="70" t="s">
        <v>233</v>
      </c>
      <c r="T209" s="70" t="s">
        <v>233</v>
      </c>
      <c r="U209" s="70" t="s">
        <v>1427</v>
      </c>
      <c r="V209" s="70" t="s">
        <v>240</v>
      </c>
      <c r="W209" s="12"/>
      <c r="X209" s="242">
        <v>554.36</v>
      </c>
      <c r="Y209" s="242">
        <v>451.79</v>
      </c>
      <c r="Z209" s="242">
        <v>80.7</v>
      </c>
      <c r="AA209" s="157" t="s">
        <v>252</v>
      </c>
      <c r="AB209" s="242">
        <v>60.84</v>
      </c>
      <c r="AC209" s="157" t="s">
        <v>252</v>
      </c>
      <c r="AD209" s="242">
        <v>73.94</v>
      </c>
      <c r="AE209" s="157" t="s">
        <v>252</v>
      </c>
      <c r="AF209" s="242">
        <v>45.34</v>
      </c>
      <c r="AG209" s="157" t="s">
        <v>252</v>
      </c>
      <c r="AH209" s="242">
        <v>17.61</v>
      </c>
      <c r="AI209" s="157" t="s">
        <v>252</v>
      </c>
      <c r="AJ209" s="242">
        <v>9.49</v>
      </c>
      <c r="AK209" s="242" t="s">
        <v>252</v>
      </c>
      <c r="AL209" s="242">
        <v>7.16</v>
      </c>
      <c r="AM209" s="242" t="s">
        <v>252</v>
      </c>
      <c r="AN209" s="242">
        <v>6.36</v>
      </c>
      <c r="AO209" s="242" t="s">
        <v>252</v>
      </c>
      <c r="AP209" s="242">
        <v>10.9</v>
      </c>
      <c r="AQ209" s="242" t="s">
        <v>252</v>
      </c>
      <c r="AR209" s="242">
        <v>56.6</v>
      </c>
      <c r="AS209" s="242" t="s">
        <v>252</v>
      </c>
      <c r="AT209" s="242">
        <v>43.2</v>
      </c>
      <c r="AU209" s="242" t="s">
        <v>252</v>
      </c>
      <c r="AV209" s="242">
        <v>68.150000000000006</v>
      </c>
      <c r="AW209" s="157" t="s">
        <v>252</v>
      </c>
      <c r="AX209" s="157">
        <v>1486.44</v>
      </c>
      <c r="AY209" s="240">
        <v>0.22</v>
      </c>
      <c r="AZ209" s="156" t="s">
        <v>253</v>
      </c>
      <c r="BA209" s="156" t="s">
        <v>254</v>
      </c>
      <c r="BB209" s="156">
        <v>1</v>
      </c>
      <c r="BC209" s="156" t="s">
        <v>1423</v>
      </c>
      <c r="BD209" s="3"/>
    </row>
    <row r="210" spans="1:56" ht="15.75" hidden="1" customHeight="1" outlineLevel="1">
      <c r="A210" s="58">
        <v>200</v>
      </c>
      <c r="B210" s="11">
        <v>129200</v>
      </c>
      <c r="C210" s="89" t="s">
        <v>279</v>
      </c>
      <c r="D210" s="157">
        <v>8</v>
      </c>
      <c r="E210" s="12" t="s">
        <v>191</v>
      </c>
      <c r="F210" s="11" t="s">
        <v>246</v>
      </c>
      <c r="G210" s="18" t="s">
        <v>247</v>
      </c>
      <c r="H210" s="11" t="s">
        <v>248</v>
      </c>
      <c r="I210" s="87" t="s">
        <v>249</v>
      </c>
      <c r="J210" s="19" t="s">
        <v>139</v>
      </c>
      <c r="K210" s="17" t="s">
        <v>140</v>
      </c>
      <c r="L210" s="260">
        <v>1</v>
      </c>
      <c r="M210" s="70" t="s">
        <v>250</v>
      </c>
      <c r="N210" s="70">
        <v>80</v>
      </c>
      <c r="O210" s="258">
        <v>8</v>
      </c>
      <c r="P210" s="70" t="s">
        <v>251</v>
      </c>
      <c r="Q210" s="70" t="s">
        <v>233</v>
      </c>
      <c r="R210" s="70" t="s">
        <v>240</v>
      </c>
      <c r="S210" s="70" t="s">
        <v>233</v>
      </c>
      <c r="T210" s="70" t="s">
        <v>233</v>
      </c>
      <c r="U210" s="70" t="s">
        <v>1427</v>
      </c>
      <c r="V210" s="70" t="s">
        <v>240</v>
      </c>
      <c r="W210" s="12"/>
      <c r="X210" s="242">
        <v>522.23</v>
      </c>
      <c r="Y210" s="242">
        <v>428.29</v>
      </c>
      <c r="Z210" s="242">
        <v>67.91</v>
      </c>
      <c r="AA210" s="157" t="s">
        <v>252</v>
      </c>
      <c r="AB210" s="242">
        <v>53.29</v>
      </c>
      <c r="AC210" s="157" t="s">
        <v>252</v>
      </c>
      <c r="AD210" s="242">
        <v>69.959999999999994</v>
      </c>
      <c r="AE210" s="157" t="s">
        <v>252</v>
      </c>
      <c r="AF210" s="242">
        <v>49.74</v>
      </c>
      <c r="AG210" s="157" t="s">
        <v>252</v>
      </c>
      <c r="AH210" s="242">
        <v>15.25</v>
      </c>
      <c r="AI210" s="157" t="s">
        <v>252</v>
      </c>
      <c r="AJ210" s="242">
        <v>7.34</v>
      </c>
      <c r="AK210" s="242" t="s">
        <v>252</v>
      </c>
      <c r="AL210" s="242">
        <v>7.36</v>
      </c>
      <c r="AM210" s="242" t="s">
        <v>252</v>
      </c>
      <c r="AN210" s="242">
        <v>3.74</v>
      </c>
      <c r="AO210" s="242" t="s">
        <v>252</v>
      </c>
      <c r="AP210" s="242">
        <v>7.26</v>
      </c>
      <c r="AQ210" s="242" t="s">
        <v>252</v>
      </c>
      <c r="AR210" s="242">
        <v>44.62</v>
      </c>
      <c r="AS210" s="242" t="s">
        <v>252</v>
      </c>
      <c r="AT210" s="242">
        <v>47.84</v>
      </c>
      <c r="AU210" s="242" t="s">
        <v>252</v>
      </c>
      <c r="AV210" s="242">
        <v>50.69</v>
      </c>
      <c r="AW210" s="157" t="s">
        <v>252</v>
      </c>
      <c r="AX210" s="157">
        <v>1375.5199999999998</v>
      </c>
      <c r="AY210" s="240">
        <v>0.18</v>
      </c>
      <c r="AZ210" s="156" t="s">
        <v>253</v>
      </c>
      <c r="BA210" s="156" t="s">
        <v>254</v>
      </c>
      <c r="BB210" s="156">
        <v>1</v>
      </c>
      <c r="BC210" s="156" t="s">
        <v>1423</v>
      </c>
      <c r="BD210" s="3"/>
    </row>
    <row r="211" spans="1:56" ht="15.75" hidden="1" customHeight="1" outlineLevel="1">
      <c r="A211" s="58">
        <v>201</v>
      </c>
      <c r="B211" s="11">
        <v>129201</v>
      </c>
      <c r="C211" s="89" t="s">
        <v>279</v>
      </c>
      <c r="D211" s="157">
        <v>9</v>
      </c>
      <c r="E211" s="12" t="s">
        <v>191</v>
      </c>
      <c r="F211" s="11" t="s">
        <v>246</v>
      </c>
      <c r="G211" s="18" t="s">
        <v>247</v>
      </c>
      <c r="H211" s="11" t="s">
        <v>248</v>
      </c>
      <c r="I211" s="87" t="s">
        <v>249</v>
      </c>
      <c r="J211" s="19" t="s">
        <v>139</v>
      </c>
      <c r="K211" s="17" t="s">
        <v>140</v>
      </c>
      <c r="L211" s="260">
        <v>1</v>
      </c>
      <c r="M211" s="70" t="s">
        <v>250</v>
      </c>
      <c r="N211" s="70">
        <v>100</v>
      </c>
      <c r="O211" s="258">
        <v>8</v>
      </c>
      <c r="P211" s="70" t="s">
        <v>251</v>
      </c>
      <c r="Q211" s="70" t="s">
        <v>233</v>
      </c>
      <c r="R211" s="70" t="s">
        <v>240</v>
      </c>
      <c r="S211" s="70" t="s">
        <v>233</v>
      </c>
      <c r="T211" s="70" t="s">
        <v>233</v>
      </c>
      <c r="U211" s="70" t="s">
        <v>1427</v>
      </c>
      <c r="V211" s="70" t="s">
        <v>240</v>
      </c>
      <c r="W211" s="12"/>
      <c r="X211" s="242">
        <v>1220.5099999999998</v>
      </c>
      <c r="Y211" s="242">
        <v>1094.44</v>
      </c>
      <c r="Z211" s="242">
        <v>218.86</v>
      </c>
      <c r="AA211" s="157" t="s">
        <v>252</v>
      </c>
      <c r="AB211" s="242">
        <v>139.41999999999999</v>
      </c>
      <c r="AC211" s="157" t="s">
        <v>252</v>
      </c>
      <c r="AD211" s="242">
        <v>187.49</v>
      </c>
      <c r="AE211" s="157" t="s">
        <v>252</v>
      </c>
      <c r="AF211" s="242">
        <v>87.31</v>
      </c>
      <c r="AG211" s="157" t="s">
        <v>252</v>
      </c>
      <c r="AH211" s="242">
        <v>52.62</v>
      </c>
      <c r="AI211" s="157" t="s">
        <v>252</v>
      </c>
      <c r="AJ211" s="242">
        <v>15.48</v>
      </c>
      <c r="AK211" s="242" t="s">
        <v>252</v>
      </c>
      <c r="AL211" s="242">
        <v>12.15</v>
      </c>
      <c r="AM211" s="242" t="s">
        <v>252</v>
      </c>
      <c r="AN211" s="242">
        <v>12.31</v>
      </c>
      <c r="AO211" s="242" t="s">
        <v>252</v>
      </c>
      <c r="AP211" s="242">
        <v>15.73</v>
      </c>
      <c r="AQ211" s="242" t="s">
        <v>252</v>
      </c>
      <c r="AR211" s="242">
        <v>125.13</v>
      </c>
      <c r="AS211" s="242" t="s">
        <v>252</v>
      </c>
      <c r="AT211" s="242">
        <v>104.15</v>
      </c>
      <c r="AU211" s="242" t="s">
        <v>252</v>
      </c>
      <c r="AV211" s="242">
        <v>143.31</v>
      </c>
      <c r="AW211" s="157" t="s">
        <v>252</v>
      </c>
      <c r="AX211" s="157">
        <v>3428.9100000000003</v>
      </c>
      <c r="AY211" s="240">
        <v>0.61</v>
      </c>
      <c r="AZ211" s="156" t="s">
        <v>253</v>
      </c>
      <c r="BA211" s="156" t="s">
        <v>254</v>
      </c>
      <c r="BB211" s="156">
        <v>1</v>
      </c>
      <c r="BC211" s="157" t="s">
        <v>255</v>
      </c>
      <c r="BD211" s="3"/>
    </row>
    <row r="212" spans="1:56" ht="15.75" hidden="1" customHeight="1" outlineLevel="1">
      <c r="A212" s="58">
        <v>202</v>
      </c>
      <c r="B212" s="11">
        <v>129202</v>
      </c>
      <c r="C212" s="89" t="s">
        <v>280</v>
      </c>
      <c r="D212" s="157">
        <v>10</v>
      </c>
      <c r="E212" s="12" t="s">
        <v>191</v>
      </c>
      <c r="F212" s="11" t="s">
        <v>246</v>
      </c>
      <c r="G212" s="18" t="s">
        <v>281</v>
      </c>
      <c r="H212" s="11" t="s">
        <v>248</v>
      </c>
      <c r="I212" s="87" t="s">
        <v>249</v>
      </c>
      <c r="J212" s="19" t="s">
        <v>139</v>
      </c>
      <c r="K212" s="17" t="s">
        <v>140</v>
      </c>
      <c r="L212" s="260">
        <v>1</v>
      </c>
      <c r="M212" s="70" t="s">
        <v>250</v>
      </c>
      <c r="N212" s="70">
        <v>80</v>
      </c>
      <c r="O212" s="258">
        <v>8</v>
      </c>
      <c r="P212" s="70" t="s">
        <v>253</v>
      </c>
      <c r="Q212" s="70" t="s">
        <v>240</v>
      </c>
      <c r="R212" s="70" t="s">
        <v>240</v>
      </c>
      <c r="S212" s="70" t="s">
        <v>233</v>
      </c>
      <c r="T212" s="70" t="s">
        <v>233</v>
      </c>
      <c r="U212" s="70" t="s">
        <v>1428</v>
      </c>
      <c r="V212" s="70" t="s">
        <v>240</v>
      </c>
      <c r="W212" s="12"/>
      <c r="X212" s="242">
        <v>1096.96</v>
      </c>
      <c r="Y212" s="242">
        <v>1096.96</v>
      </c>
      <c r="Z212" s="242">
        <v>137.12</v>
      </c>
      <c r="AA212" s="157" t="s">
        <v>259</v>
      </c>
      <c r="AB212" s="242">
        <v>137.12</v>
      </c>
      <c r="AC212" s="157" t="s">
        <v>259</v>
      </c>
      <c r="AD212" s="242">
        <v>137.12</v>
      </c>
      <c r="AE212" s="157" t="s">
        <v>259</v>
      </c>
      <c r="AF212" s="242">
        <v>137.12</v>
      </c>
      <c r="AG212" s="157" t="s">
        <v>259</v>
      </c>
      <c r="AH212" s="242">
        <v>39.81</v>
      </c>
      <c r="AI212" s="157" t="s">
        <v>259</v>
      </c>
      <c r="AJ212" s="242">
        <v>0</v>
      </c>
      <c r="AK212" s="242" t="s">
        <v>259</v>
      </c>
      <c r="AL212" s="242">
        <v>0</v>
      </c>
      <c r="AM212" s="242" t="s">
        <v>259</v>
      </c>
      <c r="AN212" s="242">
        <v>0</v>
      </c>
      <c r="AO212" s="242" t="s">
        <v>259</v>
      </c>
      <c r="AP212" s="242">
        <v>26.86</v>
      </c>
      <c r="AQ212" s="242" t="s">
        <v>259</v>
      </c>
      <c r="AR212" s="242">
        <v>134.27000000000001</v>
      </c>
      <c r="AS212" s="242" t="s">
        <v>259</v>
      </c>
      <c r="AT212" s="242">
        <v>129.80000000000001</v>
      </c>
      <c r="AU212" s="242" t="s">
        <v>259</v>
      </c>
      <c r="AV212" s="242">
        <v>88.84</v>
      </c>
      <c r="AW212" s="157" t="s">
        <v>252</v>
      </c>
      <c r="AX212" s="157">
        <v>3161.98</v>
      </c>
      <c r="AY212" s="243">
        <v>0.48399999999999999</v>
      </c>
      <c r="AZ212" s="156" t="s">
        <v>253</v>
      </c>
      <c r="BA212" s="156" t="s">
        <v>254</v>
      </c>
      <c r="BB212" s="156">
        <v>0</v>
      </c>
      <c r="BC212" s="156" t="s">
        <v>1423</v>
      </c>
      <c r="BD212" s="3"/>
    </row>
    <row r="213" spans="1:56" ht="15.75" hidden="1" customHeight="1" outlineLevel="1">
      <c r="A213" s="58">
        <v>203</v>
      </c>
      <c r="B213" s="11">
        <v>129203</v>
      </c>
      <c r="C213" s="89" t="s">
        <v>280</v>
      </c>
      <c r="D213" s="157">
        <v>12</v>
      </c>
      <c r="E213" s="12" t="s">
        <v>191</v>
      </c>
      <c r="F213" s="11" t="s">
        <v>246</v>
      </c>
      <c r="G213" s="18" t="s">
        <v>281</v>
      </c>
      <c r="H213" s="11" t="s">
        <v>248</v>
      </c>
      <c r="I213" s="87" t="s">
        <v>249</v>
      </c>
      <c r="J213" s="19" t="s">
        <v>139</v>
      </c>
      <c r="K213" s="17" t="s">
        <v>140</v>
      </c>
      <c r="L213" s="260">
        <v>1</v>
      </c>
      <c r="M213" s="70" t="s">
        <v>250</v>
      </c>
      <c r="N213" s="70">
        <v>80</v>
      </c>
      <c r="O213" s="258">
        <v>8</v>
      </c>
      <c r="P213" s="70" t="s">
        <v>253</v>
      </c>
      <c r="Q213" s="70" t="s">
        <v>240</v>
      </c>
      <c r="R213" s="70" t="s">
        <v>240</v>
      </c>
      <c r="S213" s="70" t="s">
        <v>233</v>
      </c>
      <c r="T213" s="70" t="s">
        <v>233</v>
      </c>
      <c r="U213" s="70" t="s">
        <v>1428</v>
      </c>
      <c r="V213" s="70" t="s">
        <v>240</v>
      </c>
      <c r="W213" s="12"/>
      <c r="X213" s="242">
        <v>2712.48</v>
      </c>
      <c r="Y213" s="242">
        <v>2712.48</v>
      </c>
      <c r="Z213" s="242">
        <v>339.06</v>
      </c>
      <c r="AA213" s="157" t="s">
        <v>259</v>
      </c>
      <c r="AB213" s="242">
        <v>339.06</v>
      </c>
      <c r="AC213" s="157" t="s">
        <v>259</v>
      </c>
      <c r="AD213" s="242">
        <v>339.06</v>
      </c>
      <c r="AE213" s="157" t="s">
        <v>259</v>
      </c>
      <c r="AF213" s="242">
        <v>339.06</v>
      </c>
      <c r="AG213" s="157" t="s">
        <v>259</v>
      </c>
      <c r="AH213" s="242">
        <v>98.43</v>
      </c>
      <c r="AI213" s="157" t="s">
        <v>259</v>
      </c>
      <c r="AJ213" s="242">
        <v>0</v>
      </c>
      <c r="AK213" s="242" t="s">
        <v>259</v>
      </c>
      <c r="AL213" s="242">
        <v>0</v>
      </c>
      <c r="AM213" s="242" t="s">
        <v>259</v>
      </c>
      <c r="AN213" s="242">
        <v>0</v>
      </c>
      <c r="AO213" s="242" t="s">
        <v>259</v>
      </c>
      <c r="AP213" s="242">
        <v>0</v>
      </c>
      <c r="AQ213" s="242" t="s">
        <v>259</v>
      </c>
      <c r="AR213" s="242">
        <v>286.77999999999997</v>
      </c>
      <c r="AS213" s="242" t="s">
        <v>259</v>
      </c>
      <c r="AT213" s="242">
        <v>343.76</v>
      </c>
      <c r="AU213" s="242" t="s">
        <v>259</v>
      </c>
      <c r="AV213" s="242">
        <v>80.739999999999995</v>
      </c>
      <c r="AW213" s="157" t="s">
        <v>252</v>
      </c>
      <c r="AX213" s="157">
        <v>7590.9100000000017</v>
      </c>
      <c r="AY213" s="243">
        <v>0.57199999999999995</v>
      </c>
      <c r="AZ213" s="156" t="s">
        <v>253</v>
      </c>
      <c r="BA213" s="156" t="s">
        <v>254</v>
      </c>
      <c r="BB213" s="156">
        <v>0</v>
      </c>
      <c r="BC213" s="156" t="s">
        <v>1423</v>
      </c>
      <c r="BD213" s="3"/>
    </row>
    <row r="214" spans="1:56" ht="15.75" hidden="1" customHeight="1" outlineLevel="1">
      <c r="A214" s="58">
        <v>204</v>
      </c>
      <c r="B214" s="11">
        <v>129204</v>
      </c>
      <c r="C214" s="89" t="s">
        <v>280</v>
      </c>
      <c r="D214" s="157">
        <v>6</v>
      </c>
      <c r="E214" s="12" t="s">
        <v>191</v>
      </c>
      <c r="F214" s="11" t="s">
        <v>246</v>
      </c>
      <c r="G214" s="18" t="s">
        <v>281</v>
      </c>
      <c r="H214" s="11" t="s">
        <v>248</v>
      </c>
      <c r="I214" s="87" t="s">
        <v>249</v>
      </c>
      <c r="J214" s="19" t="s">
        <v>139</v>
      </c>
      <c r="K214" s="17" t="s">
        <v>140</v>
      </c>
      <c r="L214" s="260">
        <v>1</v>
      </c>
      <c r="M214" s="70" t="s">
        <v>250</v>
      </c>
      <c r="N214" s="70">
        <v>80</v>
      </c>
      <c r="O214" s="258">
        <v>8</v>
      </c>
      <c r="P214" s="70" t="s">
        <v>253</v>
      </c>
      <c r="Q214" s="70" t="s">
        <v>240</v>
      </c>
      <c r="R214" s="70" t="s">
        <v>240</v>
      </c>
      <c r="S214" s="70" t="s">
        <v>233</v>
      </c>
      <c r="T214" s="70" t="s">
        <v>233</v>
      </c>
      <c r="U214" s="70" t="s">
        <v>1428</v>
      </c>
      <c r="V214" s="70" t="s">
        <v>240</v>
      </c>
      <c r="W214" s="12"/>
      <c r="X214" s="242">
        <v>1469.04</v>
      </c>
      <c r="Y214" s="242">
        <v>1469.04</v>
      </c>
      <c r="Z214" s="242">
        <v>183.63</v>
      </c>
      <c r="AA214" s="157" t="s">
        <v>259</v>
      </c>
      <c r="AB214" s="242">
        <v>183.63</v>
      </c>
      <c r="AC214" s="157" t="s">
        <v>259</v>
      </c>
      <c r="AD214" s="242">
        <v>183.63</v>
      </c>
      <c r="AE214" s="157" t="s">
        <v>259</v>
      </c>
      <c r="AF214" s="242">
        <v>183.63</v>
      </c>
      <c r="AG214" s="157" t="s">
        <v>259</v>
      </c>
      <c r="AH214" s="242">
        <v>53.3</v>
      </c>
      <c r="AI214" s="157" t="s">
        <v>259</v>
      </c>
      <c r="AJ214" s="242">
        <v>0</v>
      </c>
      <c r="AK214" s="242" t="s">
        <v>259</v>
      </c>
      <c r="AL214" s="242">
        <v>0</v>
      </c>
      <c r="AM214" s="242" t="s">
        <v>259</v>
      </c>
      <c r="AN214" s="242">
        <v>0</v>
      </c>
      <c r="AO214" s="242" t="s">
        <v>259</v>
      </c>
      <c r="AP214" s="242">
        <v>0</v>
      </c>
      <c r="AQ214" s="242" t="s">
        <v>259</v>
      </c>
      <c r="AR214" s="242">
        <v>174.68</v>
      </c>
      <c r="AS214" s="242" t="s">
        <v>259</v>
      </c>
      <c r="AT214" s="242">
        <v>174.48</v>
      </c>
      <c r="AU214" s="242" t="s">
        <v>259</v>
      </c>
      <c r="AV214" s="242">
        <v>82.78</v>
      </c>
      <c r="AW214" s="157" t="s">
        <v>252</v>
      </c>
      <c r="AX214" s="157">
        <v>4157.84</v>
      </c>
      <c r="AY214" s="243">
        <v>0.57299999999999995</v>
      </c>
      <c r="AZ214" s="156" t="s">
        <v>253</v>
      </c>
      <c r="BA214" s="156" t="s">
        <v>254</v>
      </c>
      <c r="BB214" s="156">
        <v>0</v>
      </c>
      <c r="BC214" s="156" t="s">
        <v>1423</v>
      </c>
      <c r="BD214" s="3"/>
    </row>
    <row r="215" spans="1:56" ht="15.75" hidden="1" customHeight="1" outlineLevel="1">
      <c r="A215" s="58">
        <v>205</v>
      </c>
      <c r="B215" s="11">
        <v>129205</v>
      </c>
      <c r="C215" s="89" t="s">
        <v>282</v>
      </c>
      <c r="D215" s="157">
        <v>5</v>
      </c>
      <c r="E215" s="12" t="s">
        <v>191</v>
      </c>
      <c r="F215" s="11" t="s">
        <v>246</v>
      </c>
      <c r="G215" s="18" t="s">
        <v>247</v>
      </c>
      <c r="H215" s="11" t="s">
        <v>248</v>
      </c>
      <c r="I215" s="87" t="s">
        <v>249</v>
      </c>
      <c r="J215" s="19" t="s">
        <v>139</v>
      </c>
      <c r="K215" s="17" t="s">
        <v>140</v>
      </c>
      <c r="L215" s="257">
        <v>0</v>
      </c>
      <c r="M215" s="70" t="s">
        <v>250</v>
      </c>
      <c r="N215" s="70">
        <v>100</v>
      </c>
      <c r="O215" s="258">
        <v>8</v>
      </c>
      <c r="P215" s="70" t="s">
        <v>251</v>
      </c>
      <c r="Q215" s="70" t="s">
        <v>233</v>
      </c>
      <c r="R215" s="70" t="s">
        <v>240</v>
      </c>
      <c r="S215" s="70" t="s">
        <v>233</v>
      </c>
      <c r="T215" s="70" t="s">
        <v>233</v>
      </c>
      <c r="U215" s="70" t="s">
        <v>1427</v>
      </c>
      <c r="V215" s="70" t="s">
        <v>240</v>
      </c>
      <c r="W215" s="12"/>
      <c r="X215" s="242">
        <v>685.19957999999997</v>
      </c>
      <c r="Y215" s="242">
        <v>762.01766999999995</v>
      </c>
      <c r="Z215" s="242">
        <v>87.315899999999999</v>
      </c>
      <c r="AA215" s="157" t="s">
        <v>252</v>
      </c>
      <c r="AB215" s="242">
        <v>71.275040000000004</v>
      </c>
      <c r="AC215" s="157" t="s">
        <v>252</v>
      </c>
      <c r="AD215" s="242">
        <v>71.449929999999995</v>
      </c>
      <c r="AE215" s="157" t="s">
        <v>252</v>
      </c>
      <c r="AF215" s="242">
        <v>47.004440000000002</v>
      </c>
      <c r="AG215" s="157" t="s">
        <v>259</v>
      </c>
      <c r="AH215" s="242">
        <v>46.940840000000001</v>
      </c>
      <c r="AI215" s="157" t="s">
        <v>259</v>
      </c>
      <c r="AJ215" s="242">
        <v>28.674289999999999</v>
      </c>
      <c r="AK215" s="242" t="s">
        <v>259</v>
      </c>
      <c r="AL215" s="242">
        <v>29.38439</v>
      </c>
      <c r="AM215" s="242" t="s">
        <v>259</v>
      </c>
      <c r="AN215" s="242">
        <v>8.2244700000000002</v>
      </c>
      <c r="AO215" s="242" t="s">
        <v>259</v>
      </c>
      <c r="AP215" s="242">
        <v>18.676069999999999</v>
      </c>
      <c r="AQ215" s="242" t="s">
        <v>259</v>
      </c>
      <c r="AR215" s="242">
        <v>86.811149999999998</v>
      </c>
      <c r="AS215" s="242" t="s">
        <v>259</v>
      </c>
      <c r="AT215" s="242">
        <v>40.655929999999998</v>
      </c>
      <c r="AU215" s="242" t="s">
        <v>259</v>
      </c>
      <c r="AV215" s="242">
        <v>88.481539999999995</v>
      </c>
      <c r="AW215" s="157" t="s">
        <v>259</v>
      </c>
      <c r="AX215" s="157">
        <v>2072.1112399999997</v>
      </c>
      <c r="AY215" s="240">
        <v>0.59</v>
      </c>
      <c r="AZ215" s="156" t="s">
        <v>253</v>
      </c>
      <c r="BA215" s="156" t="s">
        <v>254</v>
      </c>
      <c r="BB215" s="156">
        <v>0</v>
      </c>
      <c r="BC215" s="156" t="s">
        <v>1423</v>
      </c>
      <c r="BD215" s="3"/>
    </row>
    <row r="216" spans="1:56" ht="15.75" hidden="1" customHeight="1" outlineLevel="1">
      <c r="A216" s="58">
        <v>206</v>
      </c>
      <c r="B216" s="11">
        <v>129206</v>
      </c>
      <c r="C216" s="89" t="s">
        <v>282</v>
      </c>
      <c r="D216" s="157">
        <v>7</v>
      </c>
      <c r="E216" s="12" t="s">
        <v>191</v>
      </c>
      <c r="F216" s="11" t="s">
        <v>246</v>
      </c>
      <c r="G216" s="18" t="s">
        <v>247</v>
      </c>
      <c r="H216" s="11" t="s">
        <v>248</v>
      </c>
      <c r="I216" s="87" t="s">
        <v>249</v>
      </c>
      <c r="J216" s="19" t="s">
        <v>139</v>
      </c>
      <c r="K216" s="17" t="s">
        <v>140</v>
      </c>
      <c r="L216" s="260">
        <v>1</v>
      </c>
      <c r="M216" s="70" t="s">
        <v>250</v>
      </c>
      <c r="N216" s="70">
        <v>80</v>
      </c>
      <c r="O216" s="258">
        <v>8</v>
      </c>
      <c r="P216" s="70" t="s">
        <v>251</v>
      </c>
      <c r="Q216" s="70" t="s">
        <v>233</v>
      </c>
      <c r="R216" s="70" t="s">
        <v>240</v>
      </c>
      <c r="S216" s="70" t="s">
        <v>233</v>
      </c>
      <c r="T216" s="70" t="s">
        <v>233</v>
      </c>
      <c r="U216" s="70" t="s">
        <v>1427</v>
      </c>
      <c r="V216" s="70" t="s">
        <v>240</v>
      </c>
      <c r="W216" s="12"/>
      <c r="X216" s="242">
        <v>285.02999999999997</v>
      </c>
      <c r="Y216" s="242">
        <v>232.30999999999997</v>
      </c>
      <c r="Z216" s="242">
        <v>36.06</v>
      </c>
      <c r="AA216" s="157" t="s">
        <v>252</v>
      </c>
      <c r="AB216" s="242">
        <v>28.65</v>
      </c>
      <c r="AC216" s="157" t="s">
        <v>252</v>
      </c>
      <c r="AD216" s="242">
        <v>38.36</v>
      </c>
      <c r="AE216" s="157" t="s">
        <v>252</v>
      </c>
      <c r="AF216" s="242">
        <v>18.84</v>
      </c>
      <c r="AG216" s="157" t="s">
        <v>252</v>
      </c>
      <c r="AH216" s="242">
        <v>5.14</v>
      </c>
      <c r="AI216" s="157" t="s">
        <v>252</v>
      </c>
      <c r="AJ216" s="242">
        <v>2.4</v>
      </c>
      <c r="AK216" s="242" t="s">
        <v>252</v>
      </c>
      <c r="AL216" s="242">
        <v>2.0499999999999998</v>
      </c>
      <c r="AM216" s="242" t="s">
        <v>252</v>
      </c>
      <c r="AN216" s="242">
        <v>8.4700000000000006</v>
      </c>
      <c r="AO216" s="242" t="s">
        <v>252</v>
      </c>
      <c r="AP216" s="242">
        <v>3.04</v>
      </c>
      <c r="AQ216" s="242" t="s">
        <v>252</v>
      </c>
      <c r="AR216" s="242">
        <v>22.29</v>
      </c>
      <c r="AS216" s="242" t="s">
        <v>252</v>
      </c>
      <c r="AT216" s="242">
        <v>29.88</v>
      </c>
      <c r="AU216" s="242" t="s">
        <v>252</v>
      </c>
      <c r="AV216" s="242">
        <v>21.87</v>
      </c>
      <c r="AW216" s="157" t="s">
        <v>252</v>
      </c>
      <c r="AX216" s="157">
        <v>734.38999999999976</v>
      </c>
      <c r="AY216" s="240">
        <v>0.12</v>
      </c>
      <c r="AZ216" s="156" t="s">
        <v>253</v>
      </c>
      <c r="BA216" s="156" t="s">
        <v>254</v>
      </c>
      <c r="BB216" s="156">
        <v>1</v>
      </c>
      <c r="BC216" s="157" t="s">
        <v>255</v>
      </c>
      <c r="BD216" s="3"/>
    </row>
    <row r="217" spans="1:56" ht="15.75" hidden="1" customHeight="1" outlineLevel="1">
      <c r="A217" s="58">
        <v>207</v>
      </c>
      <c r="B217" s="11">
        <v>129207</v>
      </c>
      <c r="C217" s="89" t="s">
        <v>282</v>
      </c>
      <c r="D217" s="157">
        <v>9</v>
      </c>
      <c r="E217" s="12" t="s">
        <v>191</v>
      </c>
      <c r="F217" s="11" t="s">
        <v>246</v>
      </c>
      <c r="G217" s="18" t="s">
        <v>247</v>
      </c>
      <c r="H217" s="11" t="s">
        <v>248</v>
      </c>
      <c r="I217" s="87" t="s">
        <v>249</v>
      </c>
      <c r="J217" s="19" t="s">
        <v>139</v>
      </c>
      <c r="K217" s="17" t="s">
        <v>140</v>
      </c>
      <c r="L217" s="257">
        <v>0</v>
      </c>
      <c r="M217" s="70" t="s">
        <v>250</v>
      </c>
      <c r="N217" s="70">
        <v>100</v>
      </c>
      <c r="O217" s="258">
        <v>8</v>
      </c>
      <c r="P217" s="70" t="s">
        <v>251</v>
      </c>
      <c r="Q217" s="70" t="s">
        <v>233</v>
      </c>
      <c r="R217" s="70" t="s">
        <v>240</v>
      </c>
      <c r="S217" s="70" t="s">
        <v>233</v>
      </c>
      <c r="T217" s="70" t="s">
        <v>233</v>
      </c>
      <c r="U217" s="70" t="s">
        <v>1427</v>
      </c>
      <c r="V217" s="70" t="s">
        <v>240</v>
      </c>
      <c r="W217" s="12"/>
      <c r="X217" s="242">
        <v>648.29999999999984</v>
      </c>
      <c r="Y217" s="242">
        <v>585.53</v>
      </c>
      <c r="Z217" s="242">
        <v>92.05</v>
      </c>
      <c r="AA217" s="157" t="s">
        <v>252</v>
      </c>
      <c r="AB217" s="242">
        <v>73.34</v>
      </c>
      <c r="AC217" s="157" t="s">
        <v>252</v>
      </c>
      <c r="AD217" s="242">
        <v>98.25</v>
      </c>
      <c r="AE217" s="157" t="s">
        <v>252</v>
      </c>
      <c r="AF217" s="242">
        <v>48.17</v>
      </c>
      <c r="AG217" s="157" t="s">
        <v>252</v>
      </c>
      <c r="AH217" s="242">
        <v>12.95</v>
      </c>
      <c r="AI217" s="157" t="s">
        <v>252</v>
      </c>
      <c r="AJ217" s="242">
        <v>7.15</v>
      </c>
      <c r="AK217" s="242" t="s">
        <v>252</v>
      </c>
      <c r="AL217" s="242">
        <v>5.95</v>
      </c>
      <c r="AM217" s="242" t="s">
        <v>252</v>
      </c>
      <c r="AN217" s="242">
        <v>7.3</v>
      </c>
      <c r="AO217" s="242" t="s">
        <v>252</v>
      </c>
      <c r="AP217" s="242">
        <v>8.8800000000000008</v>
      </c>
      <c r="AQ217" s="242" t="s">
        <v>252</v>
      </c>
      <c r="AR217" s="242">
        <v>56.89</v>
      </c>
      <c r="AS217" s="242" t="s">
        <v>252</v>
      </c>
      <c r="AT217" s="242">
        <v>76.349999999999994</v>
      </c>
      <c r="AU217" s="242" t="s">
        <v>252</v>
      </c>
      <c r="AV217" s="242">
        <v>55.86</v>
      </c>
      <c r="AW217" s="157" t="s">
        <v>252</v>
      </c>
      <c r="AX217" s="157">
        <v>1776.97</v>
      </c>
      <c r="AY217" s="240">
        <v>0.28000000000000003</v>
      </c>
      <c r="AZ217" s="156" t="s">
        <v>253</v>
      </c>
      <c r="BA217" s="156" t="s">
        <v>254</v>
      </c>
      <c r="BB217" s="156">
        <v>0</v>
      </c>
      <c r="BC217" s="156" t="s">
        <v>1423</v>
      </c>
      <c r="BD217" s="3"/>
    </row>
    <row r="218" spans="1:56" ht="15.75" hidden="1" customHeight="1" outlineLevel="1">
      <c r="A218" s="58">
        <v>208</v>
      </c>
      <c r="B218" s="11">
        <v>129208</v>
      </c>
      <c r="C218" s="89" t="s">
        <v>283</v>
      </c>
      <c r="D218" s="157">
        <v>6</v>
      </c>
      <c r="E218" s="12" t="s">
        <v>191</v>
      </c>
      <c r="F218" s="11" t="s">
        <v>246</v>
      </c>
      <c r="G218" s="18" t="s">
        <v>247</v>
      </c>
      <c r="H218" s="11" t="s">
        <v>248</v>
      </c>
      <c r="I218" s="87" t="s">
        <v>249</v>
      </c>
      <c r="J218" s="19" t="s">
        <v>139</v>
      </c>
      <c r="K218" s="17" t="s">
        <v>140</v>
      </c>
      <c r="L218" s="257">
        <v>0</v>
      </c>
      <c r="M218" s="70" t="s">
        <v>250</v>
      </c>
      <c r="N218" s="70">
        <v>100</v>
      </c>
      <c r="O218" s="258">
        <v>8</v>
      </c>
      <c r="P218" s="70" t="s">
        <v>251</v>
      </c>
      <c r="Q218" s="70" t="s">
        <v>233</v>
      </c>
      <c r="R218" s="70" t="s">
        <v>240</v>
      </c>
      <c r="S218" s="70" t="s">
        <v>240</v>
      </c>
      <c r="T218" s="70" t="s">
        <v>240</v>
      </c>
      <c r="U218" s="70" t="s">
        <v>1427</v>
      </c>
      <c r="V218" s="70" t="s">
        <v>240</v>
      </c>
      <c r="W218" s="12"/>
      <c r="X218" s="242">
        <v>84.910000000000025</v>
      </c>
      <c r="Y218" s="242">
        <v>83.54</v>
      </c>
      <c r="Z218" s="242">
        <v>8.5399999999999991</v>
      </c>
      <c r="AA218" s="157" t="s">
        <v>259</v>
      </c>
      <c r="AB218" s="242">
        <v>8.5399999999999991</v>
      </c>
      <c r="AC218" s="157" t="s">
        <v>259</v>
      </c>
      <c r="AD218" s="242">
        <v>8.5399999999999991</v>
      </c>
      <c r="AE218" s="157" t="s">
        <v>259</v>
      </c>
      <c r="AF218" s="242">
        <v>8.5399999999999991</v>
      </c>
      <c r="AG218" s="157" t="s">
        <v>259</v>
      </c>
      <c r="AH218" s="242">
        <v>8.5299999999999994</v>
      </c>
      <c r="AI218" s="157" t="s">
        <v>259</v>
      </c>
      <c r="AJ218" s="242">
        <v>0.82</v>
      </c>
      <c r="AK218" s="242" t="s">
        <v>259</v>
      </c>
      <c r="AL218" s="242">
        <v>0.82</v>
      </c>
      <c r="AM218" s="242" t="s">
        <v>259</v>
      </c>
      <c r="AN218" s="242">
        <v>0.82</v>
      </c>
      <c r="AO218" s="242" t="s">
        <v>259</v>
      </c>
      <c r="AP218" s="242">
        <v>3.82</v>
      </c>
      <c r="AQ218" s="242" t="s">
        <v>259</v>
      </c>
      <c r="AR218" s="242">
        <v>7.63</v>
      </c>
      <c r="AS218" s="242" t="s">
        <v>259</v>
      </c>
      <c r="AT218" s="242">
        <v>7.68</v>
      </c>
      <c r="AU218" s="242" t="s">
        <v>259</v>
      </c>
      <c r="AV218" s="242">
        <v>7.34</v>
      </c>
      <c r="AW218" s="157" t="s">
        <v>259</v>
      </c>
      <c r="AX218" s="157">
        <v>240.07</v>
      </c>
      <c r="AY218" s="240">
        <v>0.08</v>
      </c>
      <c r="AZ218" s="156" t="s">
        <v>253</v>
      </c>
      <c r="BA218" s="156" t="s">
        <v>254</v>
      </c>
      <c r="BB218" s="157">
        <v>1</v>
      </c>
      <c r="BC218" s="156" t="s">
        <v>1423</v>
      </c>
      <c r="BD218" s="3"/>
    </row>
    <row r="219" spans="1:56" ht="15.75" hidden="1" customHeight="1" outlineLevel="1">
      <c r="A219" s="58">
        <v>209</v>
      </c>
      <c r="B219" s="11">
        <v>129209</v>
      </c>
      <c r="C219" s="89" t="s">
        <v>284</v>
      </c>
      <c r="D219" s="157">
        <v>22</v>
      </c>
      <c r="E219" s="12" t="s">
        <v>191</v>
      </c>
      <c r="F219" s="11" t="s">
        <v>246</v>
      </c>
      <c r="G219" s="18" t="s">
        <v>247</v>
      </c>
      <c r="H219" s="11" t="s">
        <v>248</v>
      </c>
      <c r="I219" s="87" t="s">
        <v>249</v>
      </c>
      <c r="J219" s="19" t="s">
        <v>139</v>
      </c>
      <c r="K219" s="17" t="s">
        <v>140</v>
      </c>
      <c r="L219" s="260">
        <v>1</v>
      </c>
      <c r="M219" s="70" t="s">
        <v>250</v>
      </c>
      <c r="N219" s="70">
        <v>80</v>
      </c>
      <c r="O219" s="258">
        <v>8</v>
      </c>
      <c r="P219" s="70" t="s">
        <v>251</v>
      </c>
      <c r="Q219" s="70" t="s">
        <v>233</v>
      </c>
      <c r="R219" s="70" t="s">
        <v>240</v>
      </c>
      <c r="S219" s="70" t="s">
        <v>233</v>
      </c>
      <c r="T219" s="70" t="s">
        <v>233</v>
      </c>
      <c r="U219" s="70" t="s">
        <v>1427</v>
      </c>
      <c r="V219" s="70" t="s">
        <v>240</v>
      </c>
      <c r="W219" s="12"/>
      <c r="X219" s="242">
        <v>547.97</v>
      </c>
      <c r="Y219" s="242">
        <v>422.44000000000005</v>
      </c>
      <c r="Z219" s="242">
        <v>70.53</v>
      </c>
      <c r="AA219" s="157" t="s">
        <v>252</v>
      </c>
      <c r="AB219" s="242">
        <v>57.13</v>
      </c>
      <c r="AC219" s="157" t="s">
        <v>252</v>
      </c>
      <c r="AD219" s="242">
        <v>81.66</v>
      </c>
      <c r="AE219" s="157" t="s">
        <v>252</v>
      </c>
      <c r="AF219" s="242">
        <v>39.65</v>
      </c>
      <c r="AG219" s="157" t="s">
        <v>252</v>
      </c>
      <c r="AH219" s="242">
        <v>12.58</v>
      </c>
      <c r="AI219" s="157" t="s">
        <v>252</v>
      </c>
      <c r="AJ219" s="242">
        <v>4.88</v>
      </c>
      <c r="AK219" s="242" t="s">
        <v>252</v>
      </c>
      <c r="AL219" s="242">
        <v>4.88</v>
      </c>
      <c r="AM219" s="242" t="s">
        <v>259</v>
      </c>
      <c r="AN219" s="242">
        <v>4.88</v>
      </c>
      <c r="AO219" s="242" t="s">
        <v>259</v>
      </c>
      <c r="AP219" s="242">
        <v>12.65357</v>
      </c>
      <c r="AQ219" s="242" t="s">
        <v>259</v>
      </c>
      <c r="AR219" s="242">
        <v>53.187820000000002</v>
      </c>
      <c r="AS219" s="242" t="s">
        <v>259</v>
      </c>
      <c r="AT219" s="242">
        <v>52.468359999999997</v>
      </c>
      <c r="AU219" s="242" t="s">
        <v>259</v>
      </c>
      <c r="AV219" s="242">
        <v>56.726570000000002</v>
      </c>
      <c r="AW219" s="157" t="s">
        <v>259</v>
      </c>
      <c r="AX219" s="157">
        <v>1421.6363200000008</v>
      </c>
      <c r="AY219" s="240">
        <v>0.24</v>
      </c>
      <c r="AZ219" s="156" t="s">
        <v>253</v>
      </c>
      <c r="BA219" s="156" t="s">
        <v>254</v>
      </c>
      <c r="BB219" s="156">
        <v>1</v>
      </c>
      <c r="BC219" s="156" t="s">
        <v>1423</v>
      </c>
      <c r="BD219" s="3"/>
    </row>
    <row r="220" spans="1:56" ht="15.75" hidden="1" customHeight="1" outlineLevel="1">
      <c r="A220" s="58">
        <v>210</v>
      </c>
      <c r="B220" s="11">
        <v>129210</v>
      </c>
      <c r="C220" s="89" t="s">
        <v>284</v>
      </c>
      <c r="D220" s="157">
        <v>48</v>
      </c>
      <c r="E220" s="12" t="s">
        <v>191</v>
      </c>
      <c r="F220" s="11" t="s">
        <v>246</v>
      </c>
      <c r="G220" s="18" t="s">
        <v>247</v>
      </c>
      <c r="H220" s="11" t="s">
        <v>248</v>
      </c>
      <c r="I220" s="87" t="s">
        <v>249</v>
      </c>
      <c r="J220" s="19" t="s">
        <v>139</v>
      </c>
      <c r="K220" s="17" t="s">
        <v>140</v>
      </c>
      <c r="L220" s="257">
        <v>0</v>
      </c>
      <c r="M220" s="70" t="s">
        <v>250</v>
      </c>
      <c r="N220" s="70">
        <v>80</v>
      </c>
      <c r="O220" s="258">
        <v>8</v>
      </c>
      <c r="P220" s="70" t="s">
        <v>251</v>
      </c>
      <c r="Q220" s="70" t="s">
        <v>233</v>
      </c>
      <c r="R220" s="70" t="s">
        <v>240</v>
      </c>
      <c r="S220" s="70" t="s">
        <v>240</v>
      </c>
      <c r="T220" s="70" t="s">
        <v>240</v>
      </c>
      <c r="U220" s="70" t="s">
        <v>1427</v>
      </c>
      <c r="V220" s="70" t="s">
        <v>240</v>
      </c>
      <c r="W220" s="12"/>
      <c r="X220" s="242">
        <v>39.012627636284826</v>
      </c>
      <c r="Y220" s="242">
        <v>39.012627636284826</v>
      </c>
      <c r="Z220" s="242">
        <v>4.8765784545356032</v>
      </c>
      <c r="AA220" s="157" t="s">
        <v>252</v>
      </c>
      <c r="AB220" s="242">
        <v>4.8765784545356032</v>
      </c>
      <c r="AC220" s="157" t="s">
        <v>252</v>
      </c>
      <c r="AD220" s="242">
        <v>4.8765784545356032</v>
      </c>
      <c r="AE220" s="157" t="s">
        <v>252</v>
      </c>
      <c r="AF220" s="242">
        <v>4.8765784545356032</v>
      </c>
      <c r="AG220" s="157" t="s">
        <v>252</v>
      </c>
      <c r="AH220" s="242">
        <v>4.8765784545356032</v>
      </c>
      <c r="AI220" s="157" t="s">
        <v>252</v>
      </c>
      <c r="AJ220" s="242">
        <v>1.000108377587515</v>
      </c>
      <c r="AK220" s="242" t="s">
        <v>252</v>
      </c>
      <c r="AL220" s="242">
        <v>1.000108377587515</v>
      </c>
      <c r="AM220" s="242" t="s">
        <v>252</v>
      </c>
      <c r="AN220" s="242">
        <v>1.000108377587515</v>
      </c>
      <c r="AO220" s="242" t="s">
        <v>252</v>
      </c>
      <c r="AP220" s="242">
        <v>1.000108377587515</v>
      </c>
      <c r="AQ220" s="242" t="s">
        <v>252</v>
      </c>
      <c r="AR220" s="242">
        <v>4.8765784545356032</v>
      </c>
      <c r="AS220" s="242" t="s">
        <v>252</v>
      </c>
      <c r="AT220" s="242">
        <v>4.8765784545356032</v>
      </c>
      <c r="AU220" s="242" t="s">
        <v>252</v>
      </c>
      <c r="AV220" s="242">
        <v>4.8765784545356032</v>
      </c>
      <c r="AW220" s="157" t="s">
        <v>252</v>
      </c>
      <c r="AX220" s="157">
        <v>121.03831641920452</v>
      </c>
      <c r="AY220" s="243">
        <v>0.372</v>
      </c>
      <c r="AZ220" s="156" t="s">
        <v>253</v>
      </c>
      <c r="BA220" s="156" t="s">
        <v>254</v>
      </c>
      <c r="BB220" s="156">
        <v>0</v>
      </c>
      <c r="BC220" s="156" t="s">
        <v>1423</v>
      </c>
      <c r="BD220" s="3"/>
    </row>
    <row r="221" spans="1:56" ht="15.75" hidden="1" customHeight="1" outlineLevel="1">
      <c r="A221" s="58">
        <v>211</v>
      </c>
      <c r="B221" s="11">
        <v>129211</v>
      </c>
      <c r="C221" s="89" t="s">
        <v>284</v>
      </c>
      <c r="D221" s="157">
        <v>48</v>
      </c>
      <c r="E221" s="12" t="s">
        <v>231</v>
      </c>
      <c r="F221" s="11" t="s">
        <v>246</v>
      </c>
      <c r="G221" s="18" t="s">
        <v>247</v>
      </c>
      <c r="H221" s="11" t="s">
        <v>248</v>
      </c>
      <c r="I221" s="87" t="s">
        <v>249</v>
      </c>
      <c r="J221" s="19" t="s">
        <v>139</v>
      </c>
      <c r="K221" s="17" t="s">
        <v>140</v>
      </c>
      <c r="L221" s="257">
        <v>0</v>
      </c>
      <c r="M221" s="70" t="s">
        <v>250</v>
      </c>
      <c r="N221" s="70">
        <v>80</v>
      </c>
      <c r="O221" s="258">
        <v>8</v>
      </c>
      <c r="P221" s="70" t="s">
        <v>251</v>
      </c>
      <c r="Q221" s="70" t="s">
        <v>233</v>
      </c>
      <c r="R221" s="70" t="s">
        <v>240</v>
      </c>
      <c r="S221" s="70" t="s">
        <v>240</v>
      </c>
      <c r="T221" s="70" t="s">
        <v>240</v>
      </c>
      <c r="U221" s="70" t="s">
        <v>1427</v>
      </c>
      <c r="V221" s="70" t="s">
        <v>240</v>
      </c>
      <c r="W221" s="12"/>
      <c r="X221" s="242">
        <v>39.004172363715185</v>
      </c>
      <c r="Y221" s="242">
        <v>39.004172363715185</v>
      </c>
      <c r="Z221" s="242">
        <v>4.8755215454643981</v>
      </c>
      <c r="AA221" s="157" t="s">
        <v>252</v>
      </c>
      <c r="AB221" s="242">
        <v>4.8755215454643981</v>
      </c>
      <c r="AC221" s="157" t="s">
        <v>252</v>
      </c>
      <c r="AD221" s="242">
        <v>4.8755215454643981</v>
      </c>
      <c r="AE221" s="157" t="s">
        <v>252</v>
      </c>
      <c r="AF221" s="242">
        <v>4.8755215454643981</v>
      </c>
      <c r="AG221" s="157" t="s">
        <v>252</v>
      </c>
      <c r="AH221" s="242">
        <v>4.8755215454643981</v>
      </c>
      <c r="AI221" s="157" t="s">
        <v>252</v>
      </c>
      <c r="AJ221" s="242">
        <v>0.99989162241248508</v>
      </c>
      <c r="AK221" s="242" t="s">
        <v>252</v>
      </c>
      <c r="AL221" s="242">
        <v>0.99989162241248508</v>
      </c>
      <c r="AM221" s="242" t="s">
        <v>252</v>
      </c>
      <c r="AN221" s="242">
        <v>0.99989162241248508</v>
      </c>
      <c r="AO221" s="242" t="s">
        <v>252</v>
      </c>
      <c r="AP221" s="242">
        <v>0.99989162241248508</v>
      </c>
      <c r="AQ221" s="242" t="s">
        <v>252</v>
      </c>
      <c r="AR221" s="242">
        <v>4.8755215454643981</v>
      </c>
      <c r="AS221" s="242" t="s">
        <v>252</v>
      </c>
      <c r="AT221" s="242">
        <v>4.8755215454643981</v>
      </c>
      <c r="AU221" s="242" t="s">
        <v>252</v>
      </c>
      <c r="AV221" s="242">
        <v>4.8755215454643981</v>
      </c>
      <c r="AW221" s="157" t="s">
        <v>252</v>
      </c>
      <c r="AX221" s="157">
        <v>121.01208358079549</v>
      </c>
      <c r="AY221" s="243">
        <v>0.372</v>
      </c>
      <c r="AZ221" s="156" t="s">
        <v>253</v>
      </c>
      <c r="BA221" s="156" t="s">
        <v>254</v>
      </c>
      <c r="BB221" s="156">
        <v>0</v>
      </c>
      <c r="BC221" s="156" t="s">
        <v>1423</v>
      </c>
      <c r="BD221" s="3"/>
    </row>
    <row r="222" spans="1:56" ht="15.75" hidden="1" customHeight="1" outlineLevel="1">
      <c r="A222" s="58">
        <v>212</v>
      </c>
      <c r="B222" s="11">
        <v>129212</v>
      </c>
      <c r="C222" s="89" t="s">
        <v>284</v>
      </c>
      <c r="D222" s="157">
        <v>74</v>
      </c>
      <c r="E222" s="12" t="s">
        <v>191</v>
      </c>
      <c r="F222" s="11" t="s">
        <v>246</v>
      </c>
      <c r="G222" s="18" t="s">
        <v>247</v>
      </c>
      <c r="H222" s="11" t="s">
        <v>248</v>
      </c>
      <c r="I222" s="87" t="s">
        <v>249</v>
      </c>
      <c r="J222" s="19" t="s">
        <v>139</v>
      </c>
      <c r="K222" s="17" t="s">
        <v>140</v>
      </c>
      <c r="L222" s="257">
        <v>0</v>
      </c>
      <c r="M222" s="70" t="s">
        <v>250</v>
      </c>
      <c r="N222" s="70">
        <v>100</v>
      </c>
      <c r="O222" s="258">
        <v>8</v>
      </c>
      <c r="P222" s="70" t="s">
        <v>251</v>
      </c>
      <c r="Q222" s="70" t="s">
        <v>233</v>
      </c>
      <c r="R222" s="70" t="s">
        <v>240</v>
      </c>
      <c r="S222" s="70" t="s">
        <v>240</v>
      </c>
      <c r="T222" s="70" t="s">
        <v>240</v>
      </c>
      <c r="U222" s="70" t="s">
        <v>1427</v>
      </c>
      <c r="V222" s="70" t="s">
        <v>240</v>
      </c>
      <c r="W222" s="12"/>
      <c r="X222" s="242">
        <v>611.91</v>
      </c>
      <c r="Y222" s="242">
        <v>611.91</v>
      </c>
      <c r="Z222" s="242">
        <v>76.796000000000006</v>
      </c>
      <c r="AA222" s="157" t="s">
        <v>259</v>
      </c>
      <c r="AB222" s="242">
        <v>76.796000000000006</v>
      </c>
      <c r="AC222" s="157" t="s">
        <v>259</v>
      </c>
      <c r="AD222" s="242">
        <v>76.796000000000006</v>
      </c>
      <c r="AE222" s="157" t="s">
        <v>259</v>
      </c>
      <c r="AF222" s="242">
        <v>76.796000000000006</v>
      </c>
      <c r="AG222" s="157" t="s">
        <v>259</v>
      </c>
      <c r="AH222" s="242">
        <v>76.796000000000006</v>
      </c>
      <c r="AI222" s="157" t="s">
        <v>259</v>
      </c>
      <c r="AJ222" s="242">
        <v>5.15</v>
      </c>
      <c r="AK222" s="242" t="s">
        <v>259</v>
      </c>
      <c r="AL222" s="242">
        <v>5.15</v>
      </c>
      <c r="AM222" s="242" t="s">
        <v>259</v>
      </c>
      <c r="AN222" s="242">
        <v>5.15</v>
      </c>
      <c r="AO222" s="242" t="s">
        <v>259</v>
      </c>
      <c r="AP222" s="242">
        <v>5.15</v>
      </c>
      <c r="AQ222" s="242" t="s">
        <v>259</v>
      </c>
      <c r="AR222" s="242">
        <v>64.760000000000005</v>
      </c>
      <c r="AS222" s="242" t="s">
        <v>259</v>
      </c>
      <c r="AT222" s="242">
        <v>65.78</v>
      </c>
      <c r="AU222" s="242" t="s">
        <v>259</v>
      </c>
      <c r="AV222" s="242">
        <v>76.796000000000006</v>
      </c>
      <c r="AW222" s="157" t="s">
        <v>259</v>
      </c>
      <c r="AX222" s="157">
        <v>1835.7360000000006</v>
      </c>
      <c r="AY222" s="243">
        <v>0.27</v>
      </c>
      <c r="AZ222" s="156" t="s">
        <v>253</v>
      </c>
      <c r="BA222" s="156" t="s">
        <v>254</v>
      </c>
      <c r="BB222" s="156">
        <v>0</v>
      </c>
      <c r="BC222" s="156" t="s">
        <v>1423</v>
      </c>
      <c r="BD222" s="3"/>
    </row>
    <row r="223" spans="1:56" ht="15.75" hidden="1" customHeight="1" outlineLevel="1">
      <c r="A223" s="58">
        <v>213</v>
      </c>
      <c r="B223" s="11">
        <v>129213</v>
      </c>
      <c r="C223" s="89" t="s">
        <v>285</v>
      </c>
      <c r="D223" s="157">
        <v>12</v>
      </c>
      <c r="E223" s="12" t="s">
        <v>191</v>
      </c>
      <c r="F223" s="11" t="s">
        <v>246</v>
      </c>
      <c r="G223" s="18" t="s">
        <v>247</v>
      </c>
      <c r="H223" s="11" t="s">
        <v>248</v>
      </c>
      <c r="I223" s="87" t="s">
        <v>249</v>
      </c>
      <c r="J223" s="19" t="s">
        <v>139</v>
      </c>
      <c r="K223" s="17" t="s">
        <v>140</v>
      </c>
      <c r="L223" s="260">
        <v>1</v>
      </c>
      <c r="M223" s="70" t="s">
        <v>250</v>
      </c>
      <c r="N223" s="70">
        <v>100</v>
      </c>
      <c r="O223" s="258">
        <v>8</v>
      </c>
      <c r="P223" s="70" t="s">
        <v>251</v>
      </c>
      <c r="Q223" s="70" t="s">
        <v>233</v>
      </c>
      <c r="R223" s="70" t="s">
        <v>240</v>
      </c>
      <c r="S223" s="70" t="s">
        <v>233</v>
      </c>
      <c r="T223" s="70" t="s">
        <v>233</v>
      </c>
      <c r="U223" s="70" t="s">
        <v>1428</v>
      </c>
      <c r="V223" s="70" t="s">
        <v>240</v>
      </c>
      <c r="W223" s="12"/>
      <c r="X223" s="242">
        <v>562.29999999999995</v>
      </c>
      <c r="Y223" s="242">
        <v>505.8</v>
      </c>
      <c r="Z223" s="242">
        <v>79.03</v>
      </c>
      <c r="AA223" s="157" t="s">
        <v>252</v>
      </c>
      <c r="AB223" s="242">
        <v>60.21</v>
      </c>
      <c r="AC223" s="157" t="s">
        <v>252</v>
      </c>
      <c r="AD223" s="242">
        <v>72.319999999999993</v>
      </c>
      <c r="AE223" s="157" t="s">
        <v>252</v>
      </c>
      <c r="AF223" s="242">
        <v>51.62</v>
      </c>
      <c r="AG223" s="157" t="s">
        <v>252</v>
      </c>
      <c r="AH223" s="242">
        <v>23.66</v>
      </c>
      <c r="AI223" s="157" t="s">
        <v>252</v>
      </c>
      <c r="AJ223" s="242">
        <v>6.92</v>
      </c>
      <c r="AK223" s="242" t="s">
        <v>252</v>
      </c>
      <c r="AL223" s="242">
        <v>4.92</v>
      </c>
      <c r="AM223" s="242" t="s">
        <v>252</v>
      </c>
      <c r="AN223" s="242">
        <v>11.82</v>
      </c>
      <c r="AO223" s="242" t="s">
        <v>252</v>
      </c>
      <c r="AP223" s="242">
        <v>19.865829999999999</v>
      </c>
      <c r="AQ223" s="242" t="s">
        <v>252</v>
      </c>
      <c r="AR223" s="242">
        <v>71.33</v>
      </c>
      <c r="AS223" s="242" t="s">
        <v>252</v>
      </c>
      <c r="AT223" s="242">
        <v>69.55</v>
      </c>
      <c r="AU223" s="242" t="s">
        <v>252</v>
      </c>
      <c r="AV223" s="242">
        <v>65.935630000000003</v>
      </c>
      <c r="AW223" s="157" t="s">
        <v>252</v>
      </c>
      <c r="AX223" s="157">
        <v>1605.2814599999997</v>
      </c>
      <c r="AY223" s="240">
        <v>0.3</v>
      </c>
      <c r="AZ223" s="156" t="s">
        <v>253</v>
      </c>
      <c r="BA223" s="156" t="s">
        <v>254</v>
      </c>
      <c r="BB223" s="156">
        <v>1</v>
      </c>
      <c r="BC223" s="157" t="s">
        <v>255</v>
      </c>
      <c r="BD223" s="3"/>
    </row>
    <row r="224" spans="1:56" ht="15.75" hidden="1" customHeight="1" outlineLevel="1">
      <c r="A224" s="58">
        <v>214</v>
      </c>
      <c r="B224" s="11">
        <v>129214</v>
      </c>
      <c r="C224" s="89" t="s">
        <v>285</v>
      </c>
      <c r="D224" s="157">
        <v>13</v>
      </c>
      <c r="E224" s="12" t="s">
        <v>191</v>
      </c>
      <c r="F224" s="11" t="s">
        <v>246</v>
      </c>
      <c r="G224" s="18" t="s">
        <v>247</v>
      </c>
      <c r="H224" s="11" t="s">
        <v>248</v>
      </c>
      <c r="I224" s="87" t="s">
        <v>249</v>
      </c>
      <c r="J224" s="19" t="s">
        <v>139</v>
      </c>
      <c r="K224" s="17" t="s">
        <v>140</v>
      </c>
      <c r="L224" s="257">
        <v>0</v>
      </c>
      <c r="M224" s="70" t="s">
        <v>250</v>
      </c>
      <c r="N224" s="70">
        <v>100</v>
      </c>
      <c r="O224" s="258">
        <v>8</v>
      </c>
      <c r="P224" s="70" t="s">
        <v>251</v>
      </c>
      <c r="Q224" s="70" t="s">
        <v>233</v>
      </c>
      <c r="R224" s="70" t="s">
        <v>240</v>
      </c>
      <c r="S224" s="70" t="s">
        <v>233</v>
      </c>
      <c r="T224" s="70" t="s">
        <v>233</v>
      </c>
      <c r="U224" s="70" t="s">
        <v>1428</v>
      </c>
      <c r="V224" s="70" t="s">
        <v>240</v>
      </c>
      <c r="W224" s="12"/>
      <c r="X224" s="242">
        <v>407.34568686006838</v>
      </c>
      <c r="Y224" s="242">
        <v>374.24363481228664</v>
      </c>
      <c r="Z224" s="242">
        <v>26.885465017064845</v>
      </c>
      <c r="AA224" s="157" t="s">
        <v>259</v>
      </c>
      <c r="AB224" s="242">
        <v>26.617947952218426</v>
      </c>
      <c r="AC224" s="157" t="s">
        <v>259</v>
      </c>
      <c r="AD224" s="242">
        <v>26.082913822525597</v>
      </c>
      <c r="AE224" s="157" t="s">
        <v>259</v>
      </c>
      <c r="AF224" s="242">
        <v>25.879091296928326</v>
      </c>
      <c r="AG224" s="157" t="s">
        <v>259</v>
      </c>
      <c r="AH224" s="242">
        <v>26.90457337883959</v>
      </c>
      <c r="AI224" s="157" t="s">
        <v>259</v>
      </c>
      <c r="AJ224" s="242">
        <v>4.5605290102389073</v>
      </c>
      <c r="AK224" s="242" t="s">
        <v>259</v>
      </c>
      <c r="AL224" s="242">
        <v>4.5605290102389073</v>
      </c>
      <c r="AM224" s="242" t="s">
        <v>259</v>
      </c>
      <c r="AN224" s="242">
        <v>4.5605290102389073</v>
      </c>
      <c r="AO224" s="242" t="s">
        <v>259</v>
      </c>
      <c r="AP224" s="242">
        <v>4.7452431740614331</v>
      </c>
      <c r="AQ224" s="242" t="s">
        <v>259</v>
      </c>
      <c r="AR224" s="242">
        <v>25.63705204778157</v>
      </c>
      <c r="AS224" s="242" t="s">
        <v>259</v>
      </c>
      <c r="AT224" s="242">
        <v>25.006476109215015</v>
      </c>
      <c r="AU224" s="242" t="s">
        <v>259</v>
      </c>
      <c r="AV224" s="242">
        <v>24.719850682593858</v>
      </c>
      <c r="AW224" s="157" t="s">
        <v>259</v>
      </c>
      <c r="AX224" s="157">
        <v>1007.7495221843005</v>
      </c>
      <c r="AY224" s="240">
        <v>9.1720136518771311E-2</v>
      </c>
      <c r="AZ224" s="156" t="s">
        <v>253</v>
      </c>
      <c r="BA224" s="156" t="s">
        <v>254</v>
      </c>
      <c r="BB224" s="157">
        <v>1</v>
      </c>
      <c r="BC224" s="157" t="s">
        <v>255</v>
      </c>
      <c r="BD224" s="3"/>
    </row>
    <row r="225" spans="1:56" ht="15.75" hidden="1" customHeight="1" outlineLevel="1">
      <c r="A225" s="58">
        <v>215</v>
      </c>
      <c r="B225" s="11">
        <v>129215</v>
      </c>
      <c r="C225" s="89" t="s">
        <v>285</v>
      </c>
      <c r="D225" s="157">
        <v>13</v>
      </c>
      <c r="E225" s="12" t="s">
        <v>231</v>
      </c>
      <c r="F225" s="11" t="s">
        <v>246</v>
      </c>
      <c r="G225" s="18" t="s">
        <v>247</v>
      </c>
      <c r="H225" s="11" t="s">
        <v>248</v>
      </c>
      <c r="I225" s="87" t="s">
        <v>249</v>
      </c>
      <c r="J225" s="19" t="s">
        <v>139</v>
      </c>
      <c r="K225" s="17" t="s">
        <v>140</v>
      </c>
      <c r="L225" s="257">
        <v>0</v>
      </c>
      <c r="M225" s="70" t="s">
        <v>250</v>
      </c>
      <c r="N225" s="70">
        <v>80</v>
      </c>
      <c r="O225" s="258">
        <v>8</v>
      </c>
      <c r="P225" s="70" t="s">
        <v>251</v>
      </c>
      <c r="Q225" s="70" t="s">
        <v>233</v>
      </c>
      <c r="R225" s="70" t="s">
        <v>240</v>
      </c>
      <c r="S225" s="70" t="s">
        <v>233</v>
      </c>
      <c r="T225" s="70" t="s">
        <v>233</v>
      </c>
      <c r="U225" s="70" t="s">
        <v>1427</v>
      </c>
      <c r="V225" s="70" t="s">
        <v>240</v>
      </c>
      <c r="W225" s="12"/>
      <c r="X225" s="242">
        <v>232.18431313993182</v>
      </c>
      <c r="Y225" s="242">
        <v>213.31636518771327</v>
      </c>
      <c r="Z225" s="242">
        <v>15.324534982935154</v>
      </c>
      <c r="AA225" s="157" t="s">
        <v>259</v>
      </c>
      <c r="AB225" s="242">
        <v>15.17205204778157</v>
      </c>
      <c r="AC225" s="157" t="s">
        <v>259</v>
      </c>
      <c r="AD225" s="242">
        <v>14.867086177474404</v>
      </c>
      <c r="AE225" s="157" t="s">
        <v>259</v>
      </c>
      <c r="AF225" s="242">
        <v>14.750908703071673</v>
      </c>
      <c r="AG225" s="157" t="s">
        <v>259</v>
      </c>
      <c r="AH225" s="242">
        <v>15.33542662116041</v>
      </c>
      <c r="AI225" s="157" t="s">
        <v>259</v>
      </c>
      <c r="AJ225" s="242">
        <v>2.5994709897610919</v>
      </c>
      <c r="AK225" s="242" t="s">
        <v>259</v>
      </c>
      <c r="AL225" s="242">
        <v>2.5994709897610919</v>
      </c>
      <c r="AM225" s="242" t="s">
        <v>259</v>
      </c>
      <c r="AN225" s="242">
        <v>2.5994709897610919</v>
      </c>
      <c r="AO225" s="242" t="s">
        <v>259</v>
      </c>
      <c r="AP225" s="242">
        <v>2.7047568259385666</v>
      </c>
      <c r="AQ225" s="242" t="s">
        <v>259</v>
      </c>
      <c r="AR225" s="242">
        <v>14.61294795221843</v>
      </c>
      <c r="AS225" s="242" t="s">
        <v>259</v>
      </c>
      <c r="AT225" s="242">
        <v>14.253523890784981</v>
      </c>
      <c r="AU225" s="242" t="s">
        <v>259</v>
      </c>
      <c r="AV225" s="242">
        <v>14.090149317406144</v>
      </c>
      <c r="AW225" s="157" t="s">
        <v>259</v>
      </c>
      <c r="AX225" s="157">
        <v>574.41047781569989</v>
      </c>
      <c r="AY225" s="243">
        <v>5.2279863481228664E-2</v>
      </c>
      <c r="AZ225" s="156" t="s">
        <v>253</v>
      </c>
      <c r="BA225" s="156" t="s">
        <v>254</v>
      </c>
      <c r="BB225" s="156">
        <v>0</v>
      </c>
      <c r="BC225" s="157" t="s">
        <v>255</v>
      </c>
      <c r="BD225" s="3"/>
    </row>
    <row r="226" spans="1:56" ht="15.75" hidden="1" customHeight="1" outlineLevel="1">
      <c r="A226" s="58">
        <v>216</v>
      </c>
      <c r="B226" s="11">
        <v>129216</v>
      </c>
      <c r="C226" s="89" t="s">
        <v>285</v>
      </c>
      <c r="D226" s="157">
        <v>15</v>
      </c>
      <c r="E226" s="12" t="s">
        <v>191</v>
      </c>
      <c r="F226" s="11" t="s">
        <v>246</v>
      </c>
      <c r="G226" s="18" t="s">
        <v>247</v>
      </c>
      <c r="H226" s="11" t="s">
        <v>248</v>
      </c>
      <c r="I226" s="87" t="s">
        <v>249</v>
      </c>
      <c r="J226" s="19" t="s">
        <v>139</v>
      </c>
      <c r="K226" s="17" t="s">
        <v>140</v>
      </c>
      <c r="L226" s="260">
        <v>1</v>
      </c>
      <c r="M226" s="70" t="s">
        <v>250</v>
      </c>
      <c r="N226" s="70">
        <v>80</v>
      </c>
      <c r="O226" s="258">
        <v>8</v>
      </c>
      <c r="P226" s="70" t="s">
        <v>251</v>
      </c>
      <c r="Q226" s="70" t="s">
        <v>233</v>
      </c>
      <c r="R226" s="70" t="s">
        <v>240</v>
      </c>
      <c r="S226" s="70" t="s">
        <v>233</v>
      </c>
      <c r="T226" s="70" t="s">
        <v>233</v>
      </c>
      <c r="U226" s="70" t="s">
        <v>1427</v>
      </c>
      <c r="V226" s="70" t="s">
        <v>240</v>
      </c>
      <c r="W226" s="12"/>
      <c r="X226" s="242">
        <v>626.8599999999999</v>
      </c>
      <c r="Y226" s="242">
        <v>565.69000000000005</v>
      </c>
      <c r="Z226" s="242">
        <v>43.12</v>
      </c>
      <c r="AA226" s="157" t="s">
        <v>259</v>
      </c>
      <c r="AB226" s="242">
        <v>41.29</v>
      </c>
      <c r="AC226" s="157" t="s">
        <v>259</v>
      </c>
      <c r="AD226" s="242">
        <v>41.8</v>
      </c>
      <c r="AE226" s="157" t="s">
        <v>259</v>
      </c>
      <c r="AF226" s="242">
        <v>41.85</v>
      </c>
      <c r="AG226" s="157" t="s">
        <v>259</v>
      </c>
      <c r="AH226" s="242">
        <v>40</v>
      </c>
      <c r="AI226" s="157" t="s">
        <v>259</v>
      </c>
      <c r="AJ226" s="242">
        <v>12.38</v>
      </c>
      <c r="AK226" s="242" t="s">
        <v>259</v>
      </c>
      <c r="AL226" s="242">
        <v>12.44</v>
      </c>
      <c r="AM226" s="242" t="s">
        <v>259</v>
      </c>
      <c r="AN226" s="242">
        <v>9.56</v>
      </c>
      <c r="AO226" s="242" t="s">
        <v>259</v>
      </c>
      <c r="AP226" s="242">
        <v>5.74</v>
      </c>
      <c r="AQ226" s="242" t="s">
        <v>259</v>
      </c>
      <c r="AR226" s="242">
        <v>36.33</v>
      </c>
      <c r="AS226" s="242" t="s">
        <v>259</v>
      </c>
      <c r="AT226" s="242">
        <v>35.46</v>
      </c>
      <c r="AU226" s="242" t="s">
        <v>259</v>
      </c>
      <c r="AV226" s="242">
        <v>36.07</v>
      </c>
      <c r="AW226" s="157" t="s">
        <v>259</v>
      </c>
      <c r="AX226" s="157">
        <v>1548.5899999999997</v>
      </c>
      <c r="AY226" s="240">
        <v>0.13700000000000001</v>
      </c>
      <c r="AZ226" s="156" t="s">
        <v>253</v>
      </c>
      <c r="BA226" s="156" t="s">
        <v>254</v>
      </c>
      <c r="BB226" s="156">
        <v>1</v>
      </c>
      <c r="BC226" s="156" t="s">
        <v>1423</v>
      </c>
      <c r="BD226" s="3"/>
    </row>
    <row r="227" spans="1:56" ht="15.75" hidden="1" customHeight="1" outlineLevel="1">
      <c r="A227" s="58">
        <v>217</v>
      </c>
      <c r="B227" s="11">
        <v>129217</v>
      </c>
      <c r="C227" s="89" t="s">
        <v>285</v>
      </c>
      <c r="D227" s="157" t="s">
        <v>286</v>
      </c>
      <c r="E227" s="12" t="s">
        <v>191</v>
      </c>
      <c r="F227" s="11" t="s">
        <v>246</v>
      </c>
      <c r="G227" s="18" t="s">
        <v>247</v>
      </c>
      <c r="H227" s="11" t="s">
        <v>248</v>
      </c>
      <c r="I227" s="87" t="s">
        <v>249</v>
      </c>
      <c r="J227" s="19" t="s">
        <v>139</v>
      </c>
      <c r="K227" s="17" t="s">
        <v>140</v>
      </c>
      <c r="L227" s="260">
        <v>3</v>
      </c>
      <c r="M227" s="70" t="s">
        <v>250</v>
      </c>
      <c r="N227" s="70">
        <v>100</v>
      </c>
      <c r="O227" s="258">
        <v>8</v>
      </c>
      <c r="P227" s="70" t="s">
        <v>251</v>
      </c>
      <c r="Q227" s="70" t="s">
        <v>233</v>
      </c>
      <c r="R227" s="70" t="s">
        <v>240</v>
      </c>
      <c r="S227" s="70" t="s">
        <v>233</v>
      </c>
      <c r="T227" s="70" t="s">
        <v>233</v>
      </c>
      <c r="U227" s="70" t="s">
        <v>1428</v>
      </c>
      <c r="V227" s="70" t="s">
        <v>240</v>
      </c>
      <c r="W227" s="12"/>
      <c r="X227" s="242">
        <v>1063.6622447603784</v>
      </c>
      <c r="Y227" s="242">
        <v>1297.8589669817684</v>
      </c>
      <c r="Z227" s="242">
        <v>187.18342002367007</v>
      </c>
      <c r="AA227" s="157" t="s">
        <v>252</v>
      </c>
      <c r="AB227" s="242">
        <v>186.58594830039999</v>
      </c>
      <c r="AC227" s="157" t="s">
        <v>252</v>
      </c>
      <c r="AD227" s="242">
        <v>187.90282475168911</v>
      </c>
      <c r="AE227" s="157" t="s">
        <v>252</v>
      </c>
      <c r="AF227" s="242">
        <v>186.38679105930999</v>
      </c>
      <c r="AG227" s="157" t="s">
        <v>252</v>
      </c>
      <c r="AH227" s="242">
        <v>184.60250475648306</v>
      </c>
      <c r="AI227" s="157" t="s">
        <v>252</v>
      </c>
      <c r="AJ227" s="242">
        <v>39.105255886054145</v>
      </c>
      <c r="AK227" s="242" t="s">
        <v>252</v>
      </c>
      <c r="AL227" s="242">
        <v>39.105255886054145</v>
      </c>
      <c r="AM227" s="242" t="s">
        <v>252</v>
      </c>
      <c r="AN227" s="242">
        <v>39.105255886054145</v>
      </c>
      <c r="AO227" s="242" t="s">
        <v>252</v>
      </c>
      <c r="AP227" s="242">
        <v>37.339950487633146</v>
      </c>
      <c r="AQ227" s="242" t="s">
        <v>252</v>
      </c>
      <c r="AR227" s="242">
        <v>171.09232783029469</v>
      </c>
      <c r="AS227" s="242" t="s">
        <v>252</v>
      </c>
      <c r="AT227" s="242">
        <v>169.06417551796977</v>
      </c>
      <c r="AU227" s="242" t="s">
        <v>252</v>
      </c>
      <c r="AV227" s="242">
        <v>171.75889492292251</v>
      </c>
      <c r="AW227" s="157" t="s">
        <v>252</v>
      </c>
      <c r="AX227" s="157">
        <v>3960.7538170506823</v>
      </c>
      <c r="AY227" s="240">
        <v>0.4422103638896796</v>
      </c>
      <c r="AZ227" s="156" t="s">
        <v>253</v>
      </c>
      <c r="BA227" s="156" t="s">
        <v>254</v>
      </c>
      <c r="BB227" s="156">
        <v>3</v>
      </c>
      <c r="BC227" s="156" t="s">
        <v>1423</v>
      </c>
      <c r="BD227" s="3"/>
    </row>
    <row r="228" spans="1:56" ht="15.75" hidden="1" customHeight="1" outlineLevel="1">
      <c r="A228" s="58">
        <v>218</v>
      </c>
      <c r="B228" s="11">
        <v>129218</v>
      </c>
      <c r="C228" s="89" t="s">
        <v>285</v>
      </c>
      <c r="D228" s="157" t="s">
        <v>286</v>
      </c>
      <c r="E228" s="12" t="s">
        <v>231</v>
      </c>
      <c r="F228" s="11" t="s">
        <v>246</v>
      </c>
      <c r="G228" s="18" t="s">
        <v>247</v>
      </c>
      <c r="H228" s="11" t="s">
        <v>248</v>
      </c>
      <c r="I228" s="87" t="s">
        <v>249</v>
      </c>
      <c r="J228" s="19" t="s">
        <v>139</v>
      </c>
      <c r="K228" s="17" t="s">
        <v>140</v>
      </c>
      <c r="L228" s="257">
        <v>0</v>
      </c>
      <c r="M228" s="70" t="s">
        <v>250</v>
      </c>
      <c r="N228" s="70">
        <v>100</v>
      </c>
      <c r="O228" s="258">
        <v>8</v>
      </c>
      <c r="P228" s="70" t="s">
        <v>251</v>
      </c>
      <c r="Q228" s="70" t="s">
        <v>233</v>
      </c>
      <c r="R228" s="70" t="s">
        <v>240</v>
      </c>
      <c r="S228" s="70" t="s">
        <v>233</v>
      </c>
      <c r="T228" s="70" t="s">
        <v>233</v>
      </c>
      <c r="U228" s="70" t="s">
        <v>1428</v>
      </c>
      <c r="V228" s="70" t="s">
        <v>240</v>
      </c>
      <c r="W228" s="12"/>
      <c r="X228" s="242">
        <v>146.96146125151685</v>
      </c>
      <c r="Y228" s="242">
        <v>179.31937626402603</v>
      </c>
      <c r="Z228" s="242">
        <v>25.862297044239039</v>
      </c>
      <c r="AA228" s="157" t="s">
        <v>252</v>
      </c>
      <c r="AB228" s="242">
        <v>25.779747044988092</v>
      </c>
      <c r="AC228" s="157" t="s">
        <v>252</v>
      </c>
      <c r="AD228" s="242">
        <v>25.961693982112628</v>
      </c>
      <c r="AE228" s="157" t="s">
        <v>252</v>
      </c>
      <c r="AF228" s="242">
        <v>25.752230378571106</v>
      </c>
      <c r="AG228" s="157" t="s">
        <v>252</v>
      </c>
      <c r="AH228" s="242">
        <v>25.505703510059774</v>
      </c>
      <c r="AI228" s="157" t="s">
        <v>252</v>
      </c>
      <c r="AJ228" s="242">
        <v>5.4029985326062535</v>
      </c>
      <c r="AK228" s="242" t="s">
        <v>252</v>
      </c>
      <c r="AL228" s="242">
        <v>5.4029985326062535</v>
      </c>
      <c r="AM228" s="242" t="s">
        <v>252</v>
      </c>
      <c r="AN228" s="242">
        <v>5.4029985326062535</v>
      </c>
      <c r="AO228" s="242" t="s">
        <v>252</v>
      </c>
      <c r="AP228" s="242">
        <v>5.1590941708738454</v>
      </c>
      <c r="AQ228" s="242" t="s">
        <v>252</v>
      </c>
      <c r="AR228" s="242">
        <v>23.639062710671002</v>
      </c>
      <c r="AS228" s="242" t="s">
        <v>252</v>
      </c>
      <c r="AT228" s="242">
        <v>23.358841964914383</v>
      </c>
      <c r="AU228" s="242" t="s">
        <v>252</v>
      </c>
      <c r="AV228" s="242">
        <v>23.73115930847478</v>
      </c>
      <c r="AW228" s="157" t="s">
        <v>252</v>
      </c>
      <c r="AX228" s="157">
        <v>547.23966322826629</v>
      </c>
      <c r="AY228" s="243">
        <v>6.1098230738116287E-2</v>
      </c>
      <c r="AZ228" s="156" t="s">
        <v>253</v>
      </c>
      <c r="BA228" s="156" t="s">
        <v>254</v>
      </c>
      <c r="BB228" s="156">
        <v>0</v>
      </c>
      <c r="BC228" s="156" t="s">
        <v>1423</v>
      </c>
      <c r="BD228" s="3"/>
    </row>
    <row r="229" spans="1:56" ht="15.75" hidden="1" customHeight="1" outlineLevel="1">
      <c r="A229" s="58">
        <v>219</v>
      </c>
      <c r="B229" s="11">
        <v>129219</v>
      </c>
      <c r="C229" s="89" t="s">
        <v>285</v>
      </c>
      <c r="D229" s="157" t="s">
        <v>286</v>
      </c>
      <c r="E229" s="12" t="s">
        <v>261</v>
      </c>
      <c r="F229" s="11" t="s">
        <v>246</v>
      </c>
      <c r="G229" s="18" t="s">
        <v>247</v>
      </c>
      <c r="H229" s="11" t="s">
        <v>248</v>
      </c>
      <c r="I229" s="87" t="s">
        <v>249</v>
      </c>
      <c r="J229" s="19" t="s">
        <v>139</v>
      </c>
      <c r="K229" s="17" t="s">
        <v>140</v>
      </c>
      <c r="L229" s="257">
        <v>0</v>
      </c>
      <c r="M229" s="70" t="s">
        <v>250</v>
      </c>
      <c r="N229" s="70">
        <v>100</v>
      </c>
      <c r="O229" s="258">
        <v>8</v>
      </c>
      <c r="P229" s="70" t="s">
        <v>251</v>
      </c>
      <c r="Q229" s="70" t="s">
        <v>233</v>
      </c>
      <c r="R229" s="70" t="s">
        <v>240</v>
      </c>
      <c r="S229" s="70" t="s">
        <v>233</v>
      </c>
      <c r="T229" s="70" t="s">
        <v>233</v>
      </c>
      <c r="U229" s="70" t="s">
        <v>1428</v>
      </c>
      <c r="V229" s="70" t="s">
        <v>240</v>
      </c>
      <c r="W229" s="12"/>
      <c r="X229" s="242">
        <v>68.766280654971482</v>
      </c>
      <c r="Y229" s="242">
        <v>83.907212476217595</v>
      </c>
      <c r="Z229" s="242">
        <v>12.101499003760244</v>
      </c>
      <c r="AA229" s="157" t="s">
        <v>252</v>
      </c>
      <c r="AB229" s="242">
        <v>12.062872166709113</v>
      </c>
      <c r="AC229" s="157" t="s">
        <v>252</v>
      </c>
      <c r="AD229" s="242">
        <v>12.148008868780993</v>
      </c>
      <c r="AE229" s="157" t="s">
        <v>252</v>
      </c>
      <c r="AF229" s="242">
        <v>12.049996554358737</v>
      </c>
      <c r="AG229" s="157" t="s">
        <v>252</v>
      </c>
      <c r="AH229" s="242">
        <v>11.934641578403321</v>
      </c>
      <c r="AI229" s="157" t="s">
        <v>252</v>
      </c>
      <c r="AJ229" s="242">
        <v>2.5281737831642972</v>
      </c>
      <c r="AK229" s="242" t="s">
        <v>252</v>
      </c>
      <c r="AL229" s="242">
        <v>2.5281737831642972</v>
      </c>
      <c r="AM229" s="242" t="s">
        <v>252</v>
      </c>
      <c r="AN229" s="242">
        <v>2.5281737831642972</v>
      </c>
      <c r="AO229" s="242" t="s">
        <v>252</v>
      </c>
      <c r="AP229" s="242">
        <v>2.4140459318961516</v>
      </c>
      <c r="AQ229" s="242" t="s">
        <v>252</v>
      </c>
      <c r="AR229" s="242">
        <v>11.061202079369597</v>
      </c>
      <c r="AS229" s="242" t="s">
        <v>252</v>
      </c>
      <c r="AT229" s="242">
        <v>10.930081047474944</v>
      </c>
      <c r="AU229" s="242" t="s">
        <v>252</v>
      </c>
      <c r="AV229" s="242">
        <v>11.104295965603511</v>
      </c>
      <c r="AW229" s="157" t="s">
        <v>252</v>
      </c>
      <c r="AX229" s="157">
        <v>256.06465767703861</v>
      </c>
      <c r="AY229" s="243">
        <v>2.8589114769816185E-2</v>
      </c>
      <c r="AZ229" s="156" t="s">
        <v>253</v>
      </c>
      <c r="BA229" s="156" t="s">
        <v>254</v>
      </c>
      <c r="BB229" s="156">
        <v>0</v>
      </c>
      <c r="BC229" s="156" t="s">
        <v>1423</v>
      </c>
      <c r="BD229" s="3"/>
    </row>
    <row r="230" spans="1:56" ht="15.75" hidden="1" customHeight="1" outlineLevel="1">
      <c r="A230" s="58">
        <v>220</v>
      </c>
      <c r="B230" s="11">
        <v>129220</v>
      </c>
      <c r="C230" s="89" t="s">
        <v>285</v>
      </c>
      <c r="D230" s="157" t="s">
        <v>286</v>
      </c>
      <c r="E230" s="12" t="s">
        <v>287</v>
      </c>
      <c r="F230" s="11" t="s">
        <v>246</v>
      </c>
      <c r="G230" s="18" t="s">
        <v>247</v>
      </c>
      <c r="H230" s="11" t="s">
        <v>248</v>
      </c>
      <c r="I230" s="87" t="s">
        <v>249</v>
      </c>
      <c r="J230" s="19" t="s">
        <v>139</v>
      </c>
      <c r="K230" s="17" t="s">
        <v>140</v>
      </c>
      <c r="L230" s="257">
        <v>0</v>
      </c>
      <c r="M230" s="70" t="s">
        <v>250</v>
      </c>
      <c r="N230" s="70">
        <v>100</v>
      </c>
      <c r="O230" s="258">
        <v>8</v>
      </c>
      <c r="P230" s="70" t="s">
        <v>251</v>
      </c>
      <c r="Q230" s="70" t="s">
        <v>233</v>
      </c>
      <c r="R230" s="70" t="s">
        <v>240</v>
      </c>
      <c r="S230" s="70" t="s">
        <v>233</v>
      </c>
      <c r="T230" s="70" t="s">
        <v>233</v>
      </c>
      <c r="U230" s="70" t="s">
        <v>1428</v>
      </c>
      <c r="V230" s="70" t="s">
        <v>240</v>
      </c>
      <c r="W230" s="12"/>
      <c r="X230" s="242">
        <v>332.14819253644146</v>
      </c>
      <c r="Y230" s="242">
        <v>405.28044703450144</v>
      </c>
      <c r="Z230" s="242">
        <v>58.451482075174901</v>
      </c>
      <c r="AA230" s="157" t="s">
        <v>252</v>
      </c>
      <c r="AB230" s="242">
        <v>58.264910488232381</v>
      </c>
      <c r="AC230" s="157" t="s">
        <v>252</v>
      </c>
      <c r="AD230" s="242">
        <v>58.676129496187322</v>
      </c>
      <c r="AE230" s="157" t="s">
        <v>252</v>
      </c>
      <c r="AF230" s="242">
        <v>58.202719959251546</v>
      </c>
      <c r="AG230" s="157" t="s">
        <v>252</v>
      </c>
      <c r="AH230" s="242">
        <v>57.645543587361985</v>
      </c>
      <c r="AI230" s="157" t="s">
        <v>252</v>
      </c>
      <c r="AJ230" s="242">
        <v>12.211338820392204</v>
      </c>
      <c r="AK230" s="242" t="s">
        <v>252</v>
      </c>
      <c r="AL230" s="242">
        <v>12.211338820392204</v>
      </c>
      <c r="AM230" s="242" t="s">
        <v>252</v>
      </c>
      <c r="AN230" s="242">
        <v>12.211338820392204</v>
      </c>
      <c r="AO230" s="242" t="s">
        <v>252</v>
      </c>
      <c r="AP230" s="242">
        <v>11.660089586672859</v>
      </c>
      <c r="AQ230" s="242" t="s">
        <v>252</v>
      </c>
      <c r="AR230" s="242">
        <v>53.426741172416889</v>
      </c>
      <c r="AS230" s="242" t="s">
        <v>252</v>
      </c>
      <c r="AT230" s="242">
        <v>52.793413132387528</v>
      </c>
      <c r="AU230" s="242" t="s">
        <v>252</v>
      </c>
      <c r="AV230" s="242">
        <v>53.634889065332352</v>
      </c>
      <c r="AW230" s="157" t="s">
        <v>252</v>
      </c>
      <c r="AX230" s="157">
        <v>1236.8185745951375</v>
      </c>
      <c r="AY230" s="243">
        <v>0.13808835822684304</v>
      </c>
      <c r="AZ230" s="156" t="s">
        <v>253</v>
      </c>
      <c r="BA230" s="156" t="s">
        <v>254</v>
      </c>
      <c r="BB230" s="156">
        <v>0</v>
      </c>
      <c r="BC230" s="156" t="s">
        <v>1423</v>
      </c>
      <c r="BD230" s="3"/>
    </row>
    <row r="231" spans="1:56" ht="15.75" hidden="1" customHeight="1" outlineLevel="1">
      <c r="A231" s="58">
        <v>221</v>
      </c>
      <c r="B231" s="11">
        <v>129221</v>
      </c>
      <c r="C231" s="89" t="s">
        <v>285</v>
      </c>
      <c r="D231" s="157" t="s">
        <v>286</v>
      </c>
      <c r="E231" s="12" t="s">
        <v>288</v>
      </c>
      <c r="F231" s="11" t="s">
        <v>246</v>
      </c>
      <c r="G231" s="18" t="s">
        <v>247</v>
      </c>
      <c r="H231" s="11" t="s">
        <v>248</v>
      </c>
      <c r="I231" s="87" t="s">
        <v>249</v>
      </c>
      <c r="J231" s="19" t="s">
        <v>139</v>
      </c>
      <c r="K231" s="17" t="s">
        <v>140</v>
      </c>
      <c r="L231" s="257">
        <v>0</v>
      </c>
      <c r="M231" s="70" t="s">
        <v>250</v>
      </c>
      <c r="N231" s="70">
        <v>80</v>
      </c>
      <c r="O231" s="258">
        <v>8</v>
      </c>
      <c r="P231" s="70" t="s">
        <v>251</v>
      </c>
      <c r="Q231" s="70" t="s">
        <v>233</v>
      </c>
      <c r="R231" s="70" t="s">
        <v>240</v>
      </c>
      <c r="S231" s="70" t="s">
        <v>233</v>
      </c>
      <c r="T231" s="70" t="s">
        <v>233</v>
      </c>
      <c r="U231" s="70" t="s">
        <v>1428</v>
      </c>
      <c r="V231" s="70" t="s">
        <v>240</v>
      </c>
      <c r="W231" s="12"/>
      <c r="X231" s="242">
        <v>1005.4618207966923</v>
      </c>
      <c r="Y231" s="242">
        <v>1226.8439972434871</v>
      </c>
      <c r="Z231" s="242">
        <v>176.94130185315575</v>
      </c>
      <c r="AA231" s="157" t="s">
        <v>252</v>
      </c>
      <c r="AB231" s="242">
        <v>176.37652199967042</v>
      </c>
      <c r="AC231" s="157" t="s">
        <v>252</v>
      </c>
      <c r="AD231" s="242">
        <v>177.62134290122995</v>
      </c>
      <c r="AE231" s="157" t="s">
        <v>252</v>
      </c>
      <c r="AF231" s="242">
        <v>176.18826204850862</v>
      </c>
      <c r="AG231" s="157" t="s">
        <v>252</v>
      </c>
      <c r="AH231" s="242">
        <v>174.50160656769185</v>
      </c>
      <c r="AI231" s="157" t="s">
        <v>252</v>
      </c>
      <c r="AJ231" s="242">
        <v>36.965532977783106</v>
      </c>
      <c r="AK231" s="242" t="s">
        <v>252</v>
      </c>
      <c r="AL231" s="242">
        <v>36.965532977783106</v>
      </c>
      <c r="AM231" s="242" t="s">
        <v>252</v>
      </c>
      <c r="AN231" s="242">
        <v>36.965532977783106</v>
      </c>
      <c r="AO231" s="242" t="s">
        <v>252</v>
      </c>
      <c r="AP231" s="242">
        <v>35.296819822924</v>
      </c>
      <c r="AQ231" s="242" t="s">
        <v>252</v>
      </c>
      <c r="AR231" s="242">
        <v>161.73066620724782</v>
      </c>
      <c r="AS231" s="242" t="s">
        <v>252</v>
      </c>
      <c r="AT231" s="242">
        <v>159.81348833725335</v>
      </c>
      <c r="AU231" s="242" t="s">
        <v>252</v>
      </c>
      <c r="AV231" s="242">
        <v>162.36076073766682</v>
      </c>
      <c r="AW231" s="157" t="s">
        <v>252</v>
      </c>
      <c r="AX231" s="157">
        <v>3744.0331874488766</v>
      </c>
      <c r="AY231" s="243">
        <v>0.41801393237554496</v>
      </c>
      <c r="AZ231" s="156" t="s">
        <v>253</v>
      </c>
      <c r="BA231" s="156" t="s">
        <v>254</v>
      </c>
      <c r="BB231" s="156">
        <v>0</v>
      </c>
      <c r="BC231" s="156" t="s">
        <v>1423</v>
      </c>
      <c r="BD231" s="3"/>
    </row>
    <row r="232" spans="1:56" ht="15.75" hidden="1" customHeight="1" outlineLevel="1">
      <c r="A232" s="58">
        <v>222</v>
      </c>
      <c r="B232" s="11">
        <v>129222</v>
      </c>
      <c r="C232" s="89" t="s">
        <v>285</v>
      </c>
      <c r="D232" s="157">
        <v>2</v>
      </c>
      <c r="E232" s="12" t="s">
        <v>191</v>
      </c>
      <c r="F232" s="11" t="s">
        <v>246</v>
      </c>
      <c r="G232" s="18" t="s">
        <v>247</v>
      </c>
      <c r="H232" s="11" t="s">
        <v>248</v>
      </c>
      <c r="I232" s="87" t="s">
        <v>249</v>
      </c>
      <c r="J232" s="19" t="s">
        <v>139</v>
      </c>
      <c r="K232" s="17" t="s">
        <v>140</v>
      </c>
      <c r="L232" s="257">
        <v>0</v>
      </c>
      <c r="M232" s="70" t="s">
        <v>250</v>
      </c>
      <c r="N232" s="70">
        <v>80</v>
      </c>
      <c r="O232" s="258">
        <v>8</v>
      </c>
      <c r="P232" s="70" t="s">
        <v>251</v>
      </c>
      <c r="Q232" s="70" t="s">
        <v>233</v>
      </c>
      <c r="R232" s="70" t="s">
        <v>240</v>
      </c>
      <c r="S232" s="70" t="s">
        <v>240</v>
      </c>
      <c r="T232" s="70" t="s">
        <v>240</v>
      </c>
      <c r="U232" s="70" t="s">
        <v>1427</v>
      </c>
      <c r="V232" s="70" t="s">
        <v>240</v>
      </c>
      <c r="W232" s="12"/>
      <c r="X232" s="242">
        <v>919.26</v>
      </c>
      <c r="Y232" s="242">
        <v>940.86</v>
      </c>
      <c r="Z232" s="242">
        <v>139.31</v>
      </c>
      <c r="AA232" s="157" t="s">
        <v>252</v>
      </c>
      <c r="AB232" s="242">
        <v>113.25</v>
      </c>
      <c r="AC232" s="157" t="s">
        <v>252</v>
      </c>
      <c r="AD232" s="242">
        <v>136.69999999999999</v>
      </c>
      <c r="AE232" s="157" t="s">
        <v>252</v>
      </c>
      <c r="AF232" s="242">
        <v>100.28</v>
      </c>
      <c r="AG232" s="157" t="s">
        <v>252</v>
      </c>
      <c r="AH232" s="242">
        <v>39.21</v>
      </c>
      <c r="AI232" s="157" t="s">
        <v>252</v>
      </c>
      <c r="AJ232" s="242">
        <v>29.52</v>
      </c>
      <c r="AK232" s="242" t="s">
        <v>252</v>
      </c>
      <c r="AL232" s="242">
        <v>30.3</v>
      </c>
      <c r="AM232" s="242" t="s">
        <v>252</v>
      </c>
      <c r="AN232" s="242">
        <v>34.92</v>
      </c>
      <c r="AO232" s="242" t="s">
        <v>252</v>
      </c>
      <c r="AP232" s="242">
        <v>40.869999999999997</v>
      </c>
      <c r="AQ232" s="242" t="s">
        <v>252</v>
      </c>
      <c r="AR232" s="242">
        <v>97.53</v>
      </c>
      <c r="AS232" s="242" t="s">
        <v>252</v>
      </c>
      <c r="AT232" s="242">
        <v>99.16</v>
      </c>
      <c r="AU232" s="242" t="s">
        <v>252</v>
      </c>
      <c r="AV232" s="242">
        <v>114.65</v>
      </c>
      <c r="AW232" s="157" t="s">
        <v>252</v>
      </c>
      <c r="AX232" s="157">
        <v>2835.82</v>
      </c>
      <c r="AY232" s="243">
        <v>1.4851300000000001</v>
      </c>
      <c r="AZ232" s="156" t="s">
        <v>253</v>
      </c>
      <c r="BA232" s="156" t="s">
        <v>254</v>
      </c>
      <c r="BB232" s="156">
        <v>0</v>
      </c>
      <c r="BC232" s="156" t="s">
        <v>1423</v>
      </c>
      <c r="BD232" s="3"/>
    </row>
    <row r="233" spans="1:56" ht="15.75" hidden="1" customHeight="1" outlineLevel="1">
      <c r="A233" s="58">
        <v>223</v>
      </c>
      <c r="B233" s="11">
        <v>129223</v>
      </c>
      <c r="C233" s="89" t="s">
        <v>285</v>
      </c>
      <c r="D233" s="157">
        <v>20</v>
      </c>
      <c r="E233" s="12" t="s">
        <v>191</v>
      </c>
      <c r="F233" s="11" t="s">
        <v>246</v>
      </c>
      <c r="G233" s="18" t="s">
        <v>247</v>
      </c>
      <c r="H233" s="11" t="s">
        <v>248</v>
      </c>
      <c r="I233" s="87" t="s">
        <v>249</v>
      </c>
      <c r="J233" s="19" t="s">
        <v>139</v>
      </c>
      <c r="K233" s="17" t="s">
        <v>140</v>
      </c>
      <c r="L233" s="257">
        <v>0</v>
      </c>
      <c r="M233" s="70" t="s">
        <v>250</v>
      </c>
      <c r="N233" s="70">
        <v>80</v>
      </c>
      <c r="O233" s="258">
        <v>8</v>
      </c>
      <c r="P233" s="70" t="s">
        <v>251</v>
      </c>
      <c r="Q233" s="70" t="s">
        <v>233</v>
      </c>
      <c r="R233" s="70" t="s">
        <v>240</v>
      </c>
      <c r="S233" s="70" t="s">
        <v>233</v>
      </c>
      <c r="T233" s="70" t="s">
        <v>233</v>
      </c>
      <c r="U233" s="70" t="s">
        <v>1427</v>
      </c>
      <c r="V233" s="70" t="s">
        <v>240</v>
      </c>
      <c r="W233" s="12"/>
      <c r="X233" s="242">
        <v>768.84000000000015</v>
      </c>
      <c r="Y233" s="242">
        <v>722.34999999999991</v>
      </c>
      <c r="Z233" s="242">
        <v>150.41</v>
      </c>
      <c r="AA233" s="157" t="s">
        <v>252</v>
      </c>
      <c r="AB233" s="242">
        <v>82.37</v>
      </c>
      <c r="AC233" s="157" t="s">
        <v>252</v>
      </c>
      <c r="AD233" s="242">
        <v>109.22</v>
      </c>
      <c r="AE233" s="157" t="s">
        <v>252</v>
      </c>
      <c r="AF233" s="242">
        <v>75.88</v>
      </c>
      <c r="AG233" s="157" t="s">
        <v>252</v>
      </c>
      <c r="AH233" s="242">
        <v>34.69</v>
      </c>
      <c r="AI233" s="157" t="s">
        <v>252</v>
      </c>
      <c r="AJ233" s="242">
        <v>17.760000000000002</v>
      </c>
      <c r="AK233" s="242" t="s">
        <v>252</v>
      </c>
      <c r="AL233" s="242">
        <v>12.57</v>
      </c>
      <c r="AM233" s="242" t="s">
        <v>252</v>
      </c>
      <c r="AN233" s="242">
        <v>8.81</v>
      </c>
      <c r="AO233" s="242" t="s">
        <v>252</v>
      </c>
      <c r="AP233" s="242">
        <v>10.47</v>
      </c>
      <c r="AQ233" s="242" t="s">
        <v>252</v>
      </c>
      <c r="AR233" s="242">
        <v>79.040000000000006</v>
      </c>
      <c r="AS233" s="242" t="s">
        <v>252</v>
      </c>
      <c r="AT233" s="242">
        <v>89.84</v>
      </c>
      <c r="AU233" s="242" t="s">
        <v>252</v>
      </c>
      <c r="AV233" s="242">
        <v>105.85</v>
      </c>
      <c r="AW233" s="157" t="s">
        <v>252</v>
      </c>
      <c r="AX233" s="157">
        <v>2268.1000000000004</v>
      </c>
      <c r="AY233" s="240">
        <v>0.28499999999999998</v>
      </c>
      <c r="AZ233" s="156" t="s">
        <v>253</v>
      </c>
      <c r="BA233" s="156" t="s">
        <v>254</v>
      </c>
      <c r="BB233" s="156">
        <v>0</v>
      </c>
      <c r="BC233" s="156" t="s">
        <v>1423</v>
      </c>
      <c r="BD233" s="3"/>
    </row>
    <row r="234" spans="1:56" ht="15.75" hidden="1" customHeight="1" outlineLevel="1">
      <c r="A234" s="58">
        <v>224</v>
      </c>
      <c r="B234" s="11">
        <v>129224</v>
      </c>
      <c r="C234" s="89" t="s">
        <v>285</v>
      </c>
      <c r="D234" s="157">
        <v>22</v>
      </c>
      <c r="E234" s="12" t="s">
        <v>191</v>
      </c>
      <c r="F234" s="11" t="s">
        <v>246</v>
      </c>
      <c r="G234" s="18" t="s">
        <v>247</v>
      </c>
      <c r="H234" s="11" t="s">
        <v>248</v>
      </c>
      <c r="I234" s="87" t="s">
        <v>249</v>
      </c>
      <c r="J234" s="19" t="s">
        <v>139</v>
      </c>
      <c r="K234" s="17" t="s">
        <v>140</v>
      </c>
      <c r="L234" s="260">
        <v>1</v>
      </c>
      <c r="M234" s="70" t="s">
        <v>250</v>
      </c>
      <c r="N234" s="70">
        <v>80</v>
      </c>
      <c r="O234" s="258">
        <v>8</v>
      </c>
      <c r="P234" s="70" t="s">
        <v>251</v>
      </c>
      <c r="Q234" s="70" t="s">
        <v>233</v>
      </c>
      <c r="R234" s="70" t="s">
        <v>240</v>
      </c>
      <c r="S234" s="70" t="s">
        <v>233</v>
      </c>
      <c r="T234" s="70" t="s">
        <v>233</v>
      </c>
      <c r="U234" s="70" t="s">
        <v>1427</v>
      </c>
      <c r="V234" s="70" t="s">
        <v>240</v>
      </c>
      <c r="W234" s="12"/>
      <c r="X234" s="242">
        <v>384.14229522752498</v>
      </c>
      <c r="Y234" s="242">
        <v>365.45186237513866</v>
      </c>
      <c r="Z234" s="242">
        <v>74.509691453940064</v>
      </c>
      <c r="AA234" s="157" t="s">
        <v>252</v>
      </c>
      <c r="AB234" s="242">
        <v>40.794033296337403</v>
      </c>
      <c r="AC234" s="157" t="s">
        <v>252</v>
      </c>
      <c r="AD234" s="242">
        <v>54.127857935627084</v>
      </c>
      <c r="AE234" s="157" t="s">
        <v>252</v>
      </c>
      <c r="AF234" s="242">
        <v>37.61772253052164</v>
      </c>
      <c r="AG234" s="157" t="s">
        <v>252</v>
      </c>
      <c r="AH234" s="242">
        <v>16.853274139844618</v>
      </c>
      <c r="AI234" s="157" t="s">
        <v>252</v>
      </c>
      <c r="AJ234" s="242">
        <v>11.305358490566038</v>
      </c>
      <c r="AK234" s="242" t="s">
        <v>252</v>
      </c>
      <c r="AL234" s="242">
        <v>6.8293718091009987</v>
      </c>
      <c r="AM234" s="242" t="s">
        <v>252</v>
      </c>
      <c r="AN234" s="242">
        <v>5.6086481687014427</v>
      </c>
      <c r="AO234" s="242" t="s">
        <v>252</v>
      </c>
      <c r="AP234" s="242">
        <v>6.7109433962264156</v>
      </c>
      <c r="AQ234" s="242" t="s">
        <v>252</v>
      </c>
      <c r="AR234" s="242">
        <v>38.33436625971143</v>
      </c>
      <c r="AS234" s="242" t="s">
        <v>252</v>
      </c>
      <c r="AT234" s="242">
        <v>43.918721420643728</v>
      </c>
      <c r="AU234" s="242" t="s">
        <v>252</v>
      </c>
      <c r="AV234" s="242">
        <v>52.220856825749166</v>
      </c>
      <c r="AW234" s="157" t="s">
        <v>252</v>
      </c>
      <c r="AX234" s="157">
        <v>1138.4250033296337</v>
      </c>
      <c r="AY234" s="240">
        <v>0.13877380688124308</v>
      </c>
      <c r="AZ234" s="156" t="s">
        <v>253</v>
      </c>
      <c r="BA234" s="156" t="s">
        <v>254</v>
      </c>
      <c r="BB234" s="156">
        <v>1</v>
      </c>
      <c r="BC234" s="156" t="s">
        <v>1423</v>
      </c>
      <c r="BD234" s="3"/>
    </row>
    <row r="235" spans="1:56" ht="15.75" hidden="1" customHeight="1" outlineLevel="1">
      <c r="A235" s="58">
        <v>225</v>
      </c>
      <c r="B235" s="11">
        <v>129225</v>
      </c>
      <c r="C235" s="89" t="s">
        <v>285</v>
      </c>
      <c r="D235" s="157">
        <v>22</v>
      </c>
      <c r="E235" s="12" t="s">
        <v>231</v>
      </c>
      <c r="F235" s="11" t="s">
        <v>246</v>
      </c>
      <c r="G235" s="18" t="s">
        <v>247</v>
      </c>
      <c r="H235" s="11" t="s">
        <v>248</v>
      </c>
      <c r="I235" s="87" t="s">
        <v>249</v>
      </c>
      <c r="J235" s="19" t="s">
        <v>139</v>
      </c>
      <c r="K235" s="17" t="s">
        <v>140</v>
      </c>
      <c r="L235" s="257">
        <v>0</v>
      </c>
      <c r="M235" s="70" t="s">
        <v>250</v>
      </c>
      <c r="N235" s="70">
        <v>100</v>
      </c>
      <c r="O235" s="258">
        <v>8</v>
      </c>
      <c r="P235" s="70" t="s">
        <v>251</v>
      </c>
      <c r="Q235" s="70" t="s">
        <v>233</v>
      </c>
      <c r="R235" s="70" t="s">
        <v>240</v>
      </c>
      <c r="S235" s="70" t="s">
        <v>233</v>
      </c>
      <c r="T235" s="70" t="s">
        <v>233</v>
      </c>
      <c r="U235" s="70" t="s">
        <v>1427</v>
      </c>
      <c r="V235" s="70" t="s">
        <v>240</v>
      </c>
      <c r="W235" s="12"/>
      <c r="X235" s="242">
        <v>439.29254872364032</v>
      </c>
      <c r="Y235" s="242">
        <v>417.9187817980021</v>
      </c>
      <c r="Z235" s="242">
        <v>85.206843063263037</v>
      </c>
      <c r="AA235" s="157" t="s">
        <v>252</v>
      </c>
      <c r="AB235" s="242">
        <v>46.650720532741396</v>
      </c>
      <c r="AC235" s="157" t="s">
        <v>252</v>
      </c>
      <c r="AD235" s="242">
        <v>61.898845726970023</v>
      </c>
      <c r="AE235" s="157" t="s">
        <v>252</v>
      </c>
      <c r="AF235" s="242">
        <v>43.018395560488337</v>
      </c>
      <c r="AG235" s="157" t="s">
        <v>252</v>
      </c>
      <c r="AH235" s="242">
        <v>19.27285238623751</v>
      </c>
      <c r="AI235" s="157" t="s">
        <v>252</v>
      </c>
      <c r="AJ235" s="242">
        <v>12.928437735849053</v>
      </c>
      <c r="AK235" s="242" t="s">
        <v>252</v>
      </c>
      <c r="AL235" s="242">
        <v>7.8098459489456147</v>
      </c>
      <c r="AM235" s="242" t="s">
        <v>252</v>
      </c>
      <c r="AN235" s="242">
        <v>6.4138663706992221</v>
      </c>
      <c r="AO235" s="242" t="s">
        <v>252</v>
      </c>
      <c r="AP235" s="242">
        <v>7.6744150943396221</v>
      </c>
      <c r="AQ235" s="242" t="s">
        <v>252</v>
      </c>
      <c r="AR235" s="242">
        <v>43.837925860155373</v>
      </c>
      <c r="AS235" s="242" t="s">
        <v>252</v>
      </c>
      <c r="AT235" s="242">
        <v>50.224011542730295</v>
      </c>
      <c r="AU235" s="242" t="s">
        <v>252</v>
      </c>
      <c r="AV235" s="242">
        <v>59.71806170921198</v>
      </c>
      <c r="AW235" s="157" t="s">
        <v>252</v>
      </c>
      <c r="AX235" s="157">
        <v>1301.8655520532736</v>
      </c>
      <c r="AY235" s="243">
        <v>0.15869718091009988</v>
      </c>
      <c r="AZ235" s="156" t="s">
        <v>253</v>
      </c>
      <c r="BA235" s="156" t="s">
        <v>254</v>
      </c>
      <c r="BB235" s="156">
        <v>0</v>
      </c>
      <c r="BC235" s="156" t="s">
        <v>1423</v>
      </c>
      <c r="BD235" s="3"/>
    </row>
    <row r="236" spans="1:56" ht="15.75" hidden="1" customHeight="1" outlineLevel="1">
      <c r="A236" s="58">
        <v>226</v>
      </c>
      <c r="B236" s="11">
        <v>129226</v>
      </c>
      <c r="C236" s="89" t="s">
        <v>285</v>
      </c>
      <c r="D236" s="157">
        <v>22</v>
      </c>
      <c r="E236" s="12" t="s">
        <v>260</v>
      </c>
      <c r="F236" s="11" t="s">
        <v>246</v>
      </c>
      <c r="G236" s="18" t="s">
        <v>247</v>
      </c>
      <c r="H236" s="11" t="s">
        <v>248</v>
      </c>
      <c r="I236" s="87" t="s">
        <v>249</v>
      </c>
      <c r="J236" s="19" t="s">
        <v>139</v>
      </c>
      <c r="K236" s="17" t="s">
        <v>140</v>
      </c>
      <c r="L236" s="257">
        <v>0</v>
      </c>
      <c r="M236" s="70" t="s">
        <v>250</v>
      </c>
      <c r="N236" s="70">
        <v>80</v>
      </c>
      <c r="O236" s="258">
        <v>8</v>
      </c>
      <c r="P236" s="70" t="s">
        <v>251</v>
      </c>
      <c r="Q236" s="70" t="s">
        <v>233</v>
      </c>
      <c r="R236" s="70" t="s">
        <v>240</v>
      </c>
      <c r="S236" s="70" t="s">
        <v>233</v>
      </c>
      <c r="T236" s="70" t="s">
        <v>233</v>
      </c>
      <c r="U236" s="70" t="s">
        <v>1427</v>
      </c>
      <c r="V236" s="70" t="s">
        <v>240</v>
      </c>
      <c r="W236" s="12"/>
      <c r="X236" s="242">
        <v>441.59515604883461</v>
      </c>
      <c r="Y236" s="242">
        <v>420.10935582685897</v>
      </c>
      <c r="Z236" s="242">
        <v>85.653465482796889</v>
      </c>
      <c r="AA236" s="157" t="s">
        <v>252</v>
      </c>
      <c r="AB236" s="242">
        <v>46.895246170921197</v>
      </c>
      <c r="AC236" s="157" t="s">
        <v>252</v>
      </c>
      <c r="AD236" s="242">
        <v>62.223296337402886</v>
      </c>
      <c r="AE236" s="157" t="s">
        <v>252</v>
      </c>
      <c r="AF236" s="242">
        <v>43.243881908990005</v>
      </c>
      <c r="AG236" s="157" t="s">
        <v>252</v>
      </c>
      <c r="AH236" s="242">
        <v>19.373873473917868</v>
      </c>
      <c r="AI236" s="157" t="s">
        <v>252</v>
      </c>
      <c r="AJ236" s="242">
        <v>12.996203773584904</v>
      </c>
      <c r="AK236" s="242" t="s">
        <v>252</v>
      </c>
      <c r="AL236" s="242">
        <v>7.8507822419533841</v>
      </c>
      <c r="AM236" s="242" t="s">
        <v>252</v>
      </c>
      <c r="AN236" s="242">
        <v>6.4474854605993333</v>
      </c>
      <c r="AO236" s="242" t="s">
        <v>252</v>
      </c>
      <c r="AP236" s="242">
        <v>7.7146415094339629</v>
      </c>
      <c r="AQ236" s="242" t="s">
        <v>252</v>
      </c>
      <c r="AR236" s="242">
        <v>44.067707880133185</v>
      </c>
      <c r="AS236" s="242" t="s">
        <v>252</v>
      </c>
      <c r="AT236" s="242">
        <v>50.487267036625965</v>
      </c>
      <c r="AU236" s="242" t="s">
        <v>252</v>
      </c>
      <c r="AV236" s="242">
        <v>60.031081465038845</v>
      </c>
      <c r="AW236" s="157" t="s">
        <v>252</v>
      </c>
      <c r="AX236" s="157">
        <v>1308.689444617092</v>
      </c>
      <c r="AY236" s="243">
        <v>0.15952901220865706</v>
      </c>
      <c r="AZ236" s="156" t="s">
        <v>253</v>
      </c>
      <c r="BA236" s="156" t="s">
        <v>254</v>
      </c>
      <c r="BB236" s="156">
        <v>0</v>
      </c>
      <c r="BC236" s="156" t="s">
        <v>1423</v>
      </c>
      <c r="BD236" s="3"/>
    </row>
    <row r="237" spans="1:56" ht="15.75" hidden="1" customHeight="1" outlineLevel="1">
      <c r="A237" s="58">
        <v>227</v>
      </c>
      <c r="B237" s="11">
        <v>129227</v>
      </c>
      <c r="C237" s="89" t="s">
        <v>285</v>
      </c>
      <c r="D237" s="157">
        <v>25</v>
      </c>
      <c r="E237" s="12" t="s">
        <v>191</v>
      </c>
      <c r="F237" s="11" t="s">
        <v>246</v>
      </c>
      <c r="G237" s="18" t="s">
        <v>247</v>
      </c>
      <c r="H237" s="11" t="s">
        <v>248</v>
      </c>
      <c r="I237" s="87" t="s">
        <v>249</v>
      </c>
      <c r="J237" s="19" t="s">
        <v>139</v>
      </c>
      <c r="K237" s="17" t="s">
        <v>140</v>
      </c>
      <c r="L237" s="257">
        <v>0</v>
      </c>
      <c r="M237" s="70" t="s">
        <v>250</v>
      </c>
      <c r="N237" s="70">
        <v>80</v>
      </c>
      <c r="O237" s="258">
        <v>8</v>
      </c>
      <c r="P237" s="70" t="s">
        <v>251</v>
      </c>
      <c r="Q237" s="70" t="s">
        <v>233</v>
      </c>
      <c r="R237" s="70" t="s">
        <v>240</v>
      </c>
      <c r="S237" s="70" t="s">
        <v>233</v>
      </c>
      <c r="T237" s="70" t="s">
        <v>233</v>
      </c>
      <c r="U237" s="70" t="s">
        <v>1427</v>
      </c>
      <c r="V237" s="70" t="s">
        <v>240</v>
      </c>
      <c r="W237" s="12"/>
      <c r="X237" s="242">
        <v>911.49</v>
      </c>
      <c r="Y237" s="242">
        <v>799.15000000000009</v>
      </c>
      <c r="Z237" s="242">
        <v>113.28</v>
      </c>
      <c r="AA237" s="157" t="s">
        <v>252</v>
      </c>
      <c r="AB237" s="242">
        <v>88</v>
      </c>
      <c r="AC237" s="157" t="s">
        <v>252</v>
      </c>
      <c r="AD237" s="242">
        <v>126.33</v>
      </c>
      <c r="AE237" s="157" t="s">
        <v>252</v>
      </c>
      <c r="AF237" s="242">
        <v>83.5</v>
      </c>
      <c r="AG237" s="157" t="s">
        <v>252</v>
      </c>
      <c r="AH237" s="242">
        <v>33.39</v>
      </c>
      <c r="AI237" s="157" t="s">
        <v>252</v>
      </c>
      <c r="AJ237" s="242">
        <v>15.63</v>
      </c>
      <c r="AK237" s="242" t="s">
        <v>252</v>
      </c>
      <c r="AL237" s="242">
        <v>13.6</v>
      </c>
      <c r="AM237" s="242" t="s">
        <v>252</v>
      </c>
      <c r="AN237" s="242">
        <v>14.22</v>
      </c>
      <c r="AO237" s="242" t="s">
        <v>252</v>
      </c>
      <c r="AP237" s="242">
        <v>17.809999999999999</v>
      </c>
      <c r="AQ237" s="242" t="s">
        <v>252</v>
      </c>
      <c r="AR237" s="242">
        <v>73.099999999999994</v>
      </c>
      <c r="AS237" s="242" t="s">
        <v>252</v>
      </c>
      <c r="AT237" s="242">
        <v>77.53</v>
      </c>
      <c r="AU237" s="242" t="s">
        <v>252</v>
      </c>
      <c r="AV237" s="242">
        <v>99.83</v>
      </c>
      <c r="AW237" s="157" t="s">
        <v>252</v>
      </c>
      <c r="AX237" s="157">
        <v>2466.8599999999997</v>
      </c>
      <c r="AY237" s="240">
        <v>0.35</v>
      </c>
      <c r="AZ237" s="156" t="s">
        <v>253</v>
      </c>
      <c r="BA237" s="156" t="s">
        <v>254</v>
      </c>
      <c r="BB237" s="156">
        <v>0</v>
      </c>
      <c r="BC237" s="156" t="s">
        <v>1423</v>
      </c>
      <c r="BD237" s="3"/>
    </row>
    <row r="238" spans="1:56" ht="15.75" hidden="1" customHeight="1" outlineLevel="1">
      <c r="A238" s="58">
        <v>228</v>
      </c>
      <c r="B238" s="11">
        <v>129228</v>
      </c>
      <c r="C238" s="89" t="s">
        <v>285</v>
      </c>
      <c r="D238" s="157">
        <v>26</v>
      </c>
      <c r="E238" s="12" t="s">
        <v>191</v>
      </c>
      <c r="F238" s="11" t="s">
        <v>246</v>
      </c>
      <c r="G238" s="18" t="s">
        <v>247</v>
      </c>
      <c r="H238" s="11" t="s">
        <v>248</v>
      </c>
      <c r="I238" s="87" t="s">
        <v>249</v>
      </c>
      <c r="J238" s="19" t="s">
        <v>139</v>
      </c>
      <c r="K238" s="17" t="s">
        <v>140</v>
      </c>
      <c r="L238" s="260">
        <v>1</v>
      </c>
      <c r="M238" s="70" t="s">
        <v>250</v>
      </c>
      <c r="N238" s="70">
        <v>80</v>
      </c>
      <c r="O238" s="258">
        <v>8</v>
      </c>
      <c r="P238" s="70" t="s">
        <v>251</v>
      </c>
      <c r="Q238" s="70" t="s">
        <v>240</v>
      </c>
      <c r="R238" s="70" t="s">
        <v>240</v>
      </c>
      <c r="S238" s="70" t="s">
        <v>233</v>
      </c>
      <c r="T238" s="70" t="s">
        <v>233</v>
      </c>
      <c r="U238" s="70" t="s">
        <v>1427</v>
      </c>
      <c r="V238" s="70" t="s">
        <v>240</v>
      </c>
      <c r="W238" s="12"/>
      <c r="X238" s="242">
        <v>1390.2399999999998</v>
      </c>
      <c r="Y238" s="242">
        <v>1218.9000000000001</v>
      </c>
      <c r="Z238" s="242">
        <v>158.91999999999999</v>
      </c>
      <c r="AA238" s="157" t="s">
        <v>252</v>
      </c>
      <c r="AB238" s="242">
        <v>158.91999999999999</v>
      </c>
      <c r="AC238" s="157" t="s">
        <v>252</v>
      </c>
      <c r="AD238" s="242">
        <v>158.91999999999999</v>
      </c>
      <c r="AE238" s="157" t="s">
        <v>252</v>
      </c>
      <c r="AF238" s="242">
        <v>158.91999999999999</v>
      </c>
      <c r="AG238" s="157" t="s">
        <v>252</v>
      </c>
      <c r="AH238" s="242">
        <v>158.91999999999999</v>
      </c>
      <c r="AI238" s="157" t="s">
        <v>252</v>
      </c>
      <c r="AJ238" s="242">
        <v>0</v>
      </c>
      <c r="AK238" s="242" t="s">
        <v>252</v>
      </c>
      <c r="AL238" s="242">
        <v>0</v>
      </c>
      <c r="AM238" s="242" t="s">
        <v>252</v>
      </c>
      <c r="AN238" s="242">
        <v>0</v>
      </c>
      <c r="AO238" s="242" t="s">
        <v>252</v>
      </c>
      <c r="AP238" s="242">
        <v>0</v>
      </c>
      <c r="AQ238" s="242" t="s">
        <v>252</v>
      </c>
      <c r="AR238" s="242">
        <v>98.25</v>
      </c>
      <c r="AS238" s="242" t="s">
        <v>252</v>
      </c>
      <c r="AT238" s="242">
        <v>120.31</v>
      </c>
      <c r="AU238" s="242" t="s">
        <v>252</v>
      </c>
      <c r="AV238" s="242">
        <v>147.19999999999999</v>
      </c>
      <c r="AW238" s="157" t="s">
        <v>252</v>
      </c>
      <c r="AX238" s="157">
        <v>3769.5</v>
      </c>
      <c r="AY238" s="240">
        <v>0.61599999999999999</v>
      </c>
      <c r="AZ238" s="156" t="s">
        <v>253</v>
      </c>
      <c r="BA238" s="156" t="s">
        <v>254</v>
      </c>
      <c r="BB238" s="156">
        <v>1</v>
      </c>
      <c r="BC238" s="156" t="s">
        <v>1423</v>
      </c>
      <c r="BD238" s="3"/>
    </row>
    <row r="239" spans="1:56" ht="15.75" hidden="1" customHeight="1" outlineLevel="1">
      <c r="A239" s="58">
        <v>229</v>
      </c>
      <c r="B239" s="11">
        <v>129229</v>
      </c>
      <c r="C239" s="89" t="s">
        <v>285</v>
      </c>
      <c r="D239" s="157">
        <v>30</v>
      </c>
      <c r="E239" s="12" t="s">
        <v>191</v>
      </c>
      <c r="F239" s="11" t="s">
        <v>246</v>
      </c>
      <c r="G239" s="18" t="s">
        <v>247</v>
      </c>
      <c r="H239" s="11" t="s">
        <v>248</v>
      </c>
      <c r="I239" s="87" t="s">
        <v>249</v>
      </c>
      <c r="J239" s="19" t="s">
        <v>139</v>
      </c>
      <c r="K239" s="17" t="s">
        <v>140</v>
      </c>
      <c r="L239" s="260">
        <v>1</v>
      </c>
      <c r="M239" s="70" t="s">
        <v>250</v>
      </c>
      <c r="N239" s="70">
        <v>100</v>
      </c>
      <c r="O239" s="258">
        <v>8</v>
      </c>
      <c r="P239" s="70" t="s">
        <v>251</v>
      </c>
      <c r="Q239" s="70" t="s">
        <v>233</v>
      </c>
      <c r="R239" s="70" t="s">
        <v>240</v>
      </c>
      <c r="S239" s="70" t="s">
        <v>233</v>
      </c>
      <c r="T239" s="70" t="s">
        <v>233</v>
      </c>
      <c r="U239" s="70" t="s">
        <v>1428</v>
      </c>
      <c r="V239" s="70" t="s">
        <v>240</v>
      </c>
      <c r="W239" s="12"/>
      <c r="X239" s="242">
        <v>992.08942442957652</v>
      </c>
      <c r="Y239" s="242">
        <v>951.45688325613321</v>
      </c>
      <c r="Z239" s="242">
        <v>182.40193515182708</v>
      </c>
      <c r="AA239" s="157" t="s">
        <v>252</v>
      </c>
      <c r="AB239" s="242">
        <v>111.27319887630813</v>
      </c>
      <c r="AC239" s="157" t="s">
        <v>252</v>
      </c>
      <c r="AD239" s="242">
        <v>168.65729391833935</v>
      </c>
      <c r="AE239" s="157" t="s">
        <v>252</v>
      </c>
      <c r="AF239" s="242">
        <v>83.531161434208272</v>
      </c>
      <c r="AG239" s="157" t="s">
        <v>252</v>
      </c>
      <c r="AH239" s="242">
        <v>33.677421513124038</v>
      </c>
      <c r="AI239" s="157" t="s">
        <v>252</v>
      </c>
      <c r="AJ239" s="242">
        <v>16.734122490993311</v>
      </c>
      <c r="AK239" s="242" t="s">
        <v>252</v>
      </c>
      <c r="AL239" s="242">
        <v>9.8835910962429239</v>
      </c>
      <c r="AM239" s="242" t="s">
        <v>252</v>
      </c>
      <c r="AN239" s="242">
        <v>13.640052967919027</v>
      </c>
      <c r="AO239" s="242" t="s">
        <v>252</v>
      </c>
      <c r="AP239" s="242">
        <v>40.444465324884199</v>
      </c>
      <c r="AQ239" s="242" t="s">
        <v>252</v>
      </c>
      <c r="AR239" s="242">
        <v>140.74094270029164</v>
      </c>
      <c r="AS239" s="242" t="s">
        <v>252</v>
      </c>
      <c r="AT239" s="242">
        <v>104.57954987991079</v>
      </c>
      <c r="AU239" s="242" t="s">
        <v>252</v>
      </c>
      <c r="AV239" s="242">
        <v>122.22002556463373</v>
      </c>
      <c r="AW239" s="157" t="s">
        <v>252</v>
      </c>
      <c r="AX239" s="157">
        <v>2971.3300686043922</v>
      </c>
      <c r="AY239" s="240">
        <v>0.40092168468004807</v>
      </c>
      <c r="AZ239" s="156" t="s">
        <v>253</v>
      </c>
      <c r="BA239" s="156" t="s">
        <v>254</v>
      </c>
      <c r="BB239" s="156">
        <v>1</v>
      </c>
      <c r="BC239" s="156" t="s">
        <v>1423</v>
      </c>
      <c r="BD239" s="3"/>
    </row>
    <row r="240" spans="1:56" ht="15.75" hidden="1" customHeight="1" outlineLevel="1">
      <c r="A240" s="58">
        <v>230</v>
      </c>
      <c r="B240" s="11">
        <v>129230</v>
      </c>
      <c r="C240" s="89" t="s">
        <v>285</v>
      </c>
      <c r="D240" s="157">
        <v>30</v>
      </c>
      <c r="E240" s="12" t="s">
        <v>231</v>
      </c>
      <c r="F240" s="11" t="s">
        <v>246</v>
      </c>
      <c r="G240" s="18" t="s">
        <v>247</v>
      </c>
      <c r="H240" s="11" t="s">
        <v>248</v>
      </c>
      <c r="I240" s="87" t="s">
        <v>249</v>
      </c>
      <c r="J240" s="19" t="s">
        <v>139</v>
      </c>
      <c r="K240" s="17" t="s">
        <v>140</v>
      </c>
      <c r="L240" s="257">
        <v>0</v>
      </c>
      <c r="M240" s="70" t="s">
        <v>250</v>
      </c>
      <c r="N240" s="70">
        <v>100</v>
      </c>
      <c r="O240" s="258">
        <v>8</v>
      </c>
      <c r="P240" s="70" t="s">
        <v>251</v>
      </c>
      <c r="Q240" s="70" t="s">
        <v>233</v>
      </c>
      <c r="R240" s="70" t="s">
        <v>240</v>
      </c>
      <c r="S240" s="70" t="s">
        <v>233</v>
      </c>
      <c r="T240" s="70" t="s">
        <v>233</v>
      </c>
      <c r="U240" s="70" t="s">
        <v>1428</v>
      </c>
      <c r="V240" s="70" t="s">
        <v>240</v>
      </c>
      <c r="W240" s="12"/>
      <c r="X240" s="242">
        <v>146.19057557042376</v>
      </c>
      <c r="Y240" s="242">
        <v>140.20311674386687</v>
      </c>
      <c r="Z240" s="242">
        <v>26.878064848172929</v>
      </c>
      <c r="AA240" s="157" t="s">
        <v>252</v>
      </c>
      <c r="AB240" s="242">
        <v>16.396801123691887</v>
      </c>
      <c r="AC240" s="157" t="s">
        <v>252</v>
      </c>
      <c r="AD240" s="242">
        <v>24.85270608166066</v>
      </c>
      <c r="AE240" s="157" t="s">
        <v>252</v>
      </c>
      <c r="AF240" s="242">
        <v>12.308838565791731</v>
      </c>
      <c r="AG240" s="157" t="s">
        <v>252</v>
      </c>
      <c r="AH240" s="242">
        <v>4.962578486875965</v>
      </c>
      <c r="AI240" s="157" t="s">
        <v>252</v>
      </c>
      <c r="AJ240" s="242">
        <v>2.4658775090066904</v>
      </c>
      <c r="AK240" s="242" t="s">
        <v>252</v>
      </c>
      <c r="AL240" s="242">
        <v>1.4564089037570767</v>
      </c>
      <c r="AM240" s="242" t="s">
        <v>252</v>
      </c>
      <c r="AN240" s="242">
        <v>2.0099470320809747</v>
      </c>
      <c r="AO240" s="242" t="s">
        <v>252</v>
      </c>
      <c r="AP240" s="242">
        <v>5.9597446751158003</v>
      </c>
      <c r="AQ240" s="242" t="s">
        <v>252</v>
      </c>
      <c r="AR240" s="242">
        <v>20.739057299708353</v>
      </c>
      <c r="AS240" s="242" t="s">
        <v>252</v>
      </c>
      <c r="AT240" s="242">
        <v>15.410450120089209</v>
      </c>
      <c r="AU240" s="242" t="s">
        <v>252</v>
      </c>
      <c r="AV240" s="242">
        <v>18.009884435366271</v>
      </c>
      <c r="AW240" s="157" t="s">
        <v>252</v>
      </c>
      <c r="AX240" s="157">
        <v>437.84405139560812</v>
      </c>
      <c r="AY240" s="243">
        <v>5.9078315319951967E-2</v>
      </c>
      <c r="AZ240" s="156" t="s">
        <v>253</v>
      </c>
      <c r="BA240" s="156" t="s">
        <v>254</v>
      </c>
      <c r="BB240" s="156">
        <v>0</v>
      </c>
      <c r="BC240" s="156" t="s">
        <v>1423</v>
      </c>
      <c r="BD240" s="3"/>
    </row>
    <row r="241" spans="1:56" ht="15.75" hidden="1" customHeight="1" outlineLevel="1">
      <c r="A241" s="58">
        <v>231</v>
      </c>
      <c r="B241" s="11">
        <v>129231</v>
      </c>
      <c r="C241" s="89" t="s">
        <v>285</v>
      </c>
      <c r="D241" s="157">
        <v>31</v>
      </c>
      <c r="E241" s="12" t="s">
        <v>191</v>
      </c>
      <c r="F241" s="11" t="s">
        <v>246</v>
      </c>
      <c r="G241" s="18" t="s">
        <v>247</v>
      </c>
      <c r="H241" s="11" t="s">
        <v>248</v>
      </c>
      <c r="I241" s="87" t="s">
        <v>249</v>
      </c>
      <c r="J241" s="19" t="s">
        <v>139</v>
      </c>
      <c r="K241" s="17" t="s">
        <v>140</v>
      </c>
      <c r="L241" s="257">
        <v>0</v>
      </c>
      <c r="M241" s="70" t="s">
        <v>250</v>
      </c>
      <c r="N241" s="70">
        <v>100</v>
      </c>
      <c r="O241" s="258">
        <v>8</v>
      </c>
      <c r="P241" s="70" t="s">
        <v>251</v>
      </c>
      <c r="Q241" s="70" t="s">
        <v>233</v>
      </c>
      <c r="R241" s="70" t="s">
        <v>240</v>
      </c>
      <c r="S241" s="70" t="s">
        <v>233</v>
      </c>
      <c r="T241" s="70" t="s">
        <v>233</v>
      </c>
      <c r="U241" s="70" t="s">
        <v>1427</v>
      </c>
      <c r="V241" s="70" t="s">
        <v>240</v>
      </c>
      <c r="W241" s="12"/>
      <c r="X241" s="242">
        <v>1400.79</v>
      </c>
      <c r="Y241" s="242">
        <v>1333.21</v>
      </c>
      <c r="Z241" s="242">
        <v>252.62</v>
      </c>
      <c r="AA241" s="157" t="s">
        <v>252</v>
      </c>
      <c r="AB241" s="242">
        <v>170.72</v>
      </c>
      <c r="AC241" s="157" t="s">
        <v>252</v>
      </c>
      <c r="AD241" s="242">
        <v>119.08</v>
      </c>
      <c r="AE241" s="157" t="s">
        <v>252</v>
      </c>
      <c r="AF241" s="242">
        <v>69.41</v>
      </c>
      <c r="AG241" s="157" t="s">
        <v>252</v>
      </c>
      <c r="AH241" s="242">
        <v>33.39</v>
      </c>
      <c r="AI241" s="157" t="s">
        <v>252</v>
      </c>
      <c r="AJ241" s="242">
        <v>18.5</v>
      </c>
      <c r="AK241" s="242" t="s">
        <v>252</v>
      </c>
      <c r="AL241" s="242">
        <v>9.25</v>
      </c>
      <c r="AM241" s="242" t="s">
        <v>252</v>
      </c>
      <c r="AN241" s="242">
        <v>11.39</v>
      </c>
      <c r="AO241" s="242" t="s">
        <v>252</v>
      </c>
      <c r="AP241" s="242">
        <v>13.86</v>
      </c>
      <c r="AQ241" s="242" t="s">
        <v>252</v>
      </c>
      <c r="AR241" s="242">
        <v>67.14</v>
      </c>
      <c r="AS241" s="242" t="s">
        <v>252</v>
      </c>
      <c r="AT241" s="242">
        <v>72.16</v>
      </c>
      <c r="AU241" s="242" t="s">
        <v>252</v>
      </c>
      <c r="AV241" s="242">
        <v>123.78</v>
      </c>
      <c r="AW241" s="157" t="s">
        <v>252</v>
      </c>
      <c r="AX241" s="157">
        <v>3695.2999999999993</v>
      </c>
      <c r="AY241" s="240">
        <v>0.52</v>
      </c>
      <c r="AZ241" s="156" t="s">
        <v>253</v>
      </c>
      <c r="BA241" s="156" t="s">
        <v>254</v>
      </c>
      <c r="BB241" s="156">
        <v>0</v>
      </c>
      <c r="BC241" s="156" t="s">
        <v>1423</v>
      </c>
      <c r="BD241" s="3"/>
    </row>
    <row r="242" spans="1:56" ht="15.75" hidden="1" customHeight="1" outlineLevel="1">
      <c r="A242" s="58">
        <v>232</v>
      </c>
      <c r="B242" s="11">
        <v>129232</v>
      </c>
      <c r="C242" s="89" t="s">
        <v>285</v>
      </c>
      <c r="D242" s="157">
        <v>38</v>
      </c>
      <c r="E242" s="12" t="s">
        <v>191</v>
      </c>
      <c r="F242" s="11" t="s">
        <v>246</v>
      </c>
      <c r="G242" s="18" t="s">
        <v>247</v>
      </c>
      <c r="H242" s="11" t="s">
        <v>248</v>
      </c>
      <c r="I242" s="87" t="s">
        <v>249</v>
      </c>
      <c r="J242" s="19" t="s">
        <v>139</v>
      </c>
      <c r="K242" s="17" t="s">
        <v>140</v>
      </c>
      <c r="L242" s="260">
        <v>1</v>
      </c>
      <c r="M242" s="70" t="s">
        <v>250</v>
      </c>
      <c r="N242" s="70">
        <v>100</v>
      </c>
      <c r="O242" s="258">
        <v>8</v>
      </c>
      <c r="P242" s="70" t="s">
        <v>251</v>
      </c>
      <c r="Q242" s="70" t="s">
        <v>233</v>
      </c>
      <c r="R242" s="70" t="s">
        <v>240</v>
      </c>
      <c r="S242" s="70" t="s">
        <v>233</v>
      </c>
      <c r="T242" s="70" t="s">
        <v>233</v>
      </c>
      <c r="U242" s="70" t="s">
        <v>1428</v>
      </c>
      <c r="V242" s="70" t="s">
        <v>240</v>
      </c>
      <c r="W242" s="12"/>
      <c r="X242" s="242">
        <v>1077.2</v>
      </c>
      <c r="Y242" s="242">
        <v>1113.03</v>
      </c>
      <c r="Z242" s="242">
        <v>165.27</v>
      </c>
      <c r="AA242" s="157" t="s">
        <v>252</v>
      </c>
      <c r="AB242" s="242">
        <v>92.24</v>
      </c>
      <c r="AC242" s="157" t="s">
        <v>252</v>
      </c>
      <c r="AD242" s="242">
        <v>151.38999999999999</v>
      </c>
      <c r="AE242" s="157" t="s">
        <v>252</v>
      </c>
      <c r="AF242" s="242">
        <v>115.43</v>
      </c>
      <c r="AG242" s="157" t="s">
        <v>252</v>
      </c>
      <c r="AH242" s="242">
        <v>52.19</v>
      </c>
      <c r="AI242" s="157" t="s">
        <v>252</v>
      </c>
      <c r="AJ242" s="242">
        <v>37.9</v>
      </c>
      <c r="AK242" s="242" t="s">
        <v>252</v>
      </c>
      <c r="AL242" s="242">
        <v>28.56</v>
      </c>
      <c r="AM242" s="242" t="s">
        <v>252</v>
      </c>
      <c r="AN242" s="242">
        <v>41.61</v>
      </c>
      <c r="AO242" s="242" t="s">
        <v>252</v>
      </c>
      <c r="AP242" s="242">
        <v>54.266570000000002</v>
      </c>
      <c r="AQ242" s="242" t="s">
        <v>252</v>
      </c>
      <c r="AR242" s="242">
        <v>135.1</v>
      </c>
      <c r="AS242" s="242" t="s">
        <v>252</v>
      </c>
      <c r="AT242" s="242">
        <v>117.43107999999999</v>
      </c>
      <c r="AU242" s="242" t="s">
        <v>252</v>
      </c>
      <c r="AV242" s="242">
        <v>121.09791</v>
      </c>
      <c r="AW242" s="157" t="s">
        <v>252</v>
      </c>
      <c r="AX242" s="157">
        <v>3302.7155599999992</v>
      </c>
      <c r="AY242" s="240">
        <v>0.434</v>
      </c>
      <c r="AZ242" s="156" t="s">
        <v>253</v>
      </c>
      <c r="BA242" s="156" t="s">
        <v>254</v>
      </c>
      <c r="BB242" s="157">
        <v>1</v>
      </c>
      <c r="BC242" s="157" t="s">
        <v>255</v>
      </c>
      <c r="BD242" s="3"/>
    </row>
    <row r="243" spans="1:56" ht="15.75" hidden="1" customHeight="1" outlineLevel="1">
      <c r="A243" s="58">
        <v>233</v>
      </c>
      <c r="B243" s="11">
        <v>129233</v>
      </c>
      <c r="C243" s="89" t="s">
        <v>285</v>
      </c>
      <c r="D243" s="157">
        <v>40</v>
      </c>
      <c r="E243" s="12" t="s">
        <v>191</v>
      </c>
      <c r="F243" s="11" t="s">
        <v>246</v>
      </c>
      <c r="G243" s="18" t="s">
        <v>247</v>
      </c>
      <c r="H243" s="11" t="s">
        <v>248</v>
      </c>
      <c r="I243" s="87" t="s">
        <v>249</v>
      </c>
      <c r="J243" s="19" t="s">
        <v>139</v>
      </c>
      <c r="K243" s="17" t="s">
        <v>140</v>
      </c>
      <c r="L243" s="260">
        <v>1</v>
      </c>
      <c r="M243" s="70" t="s">
        <v>250</v>
      </c>
      <c r="N243" s="70">
        <v>80</v>
      </c>
      <c r="O243" s="258">
        <v>8</v>
      </c>
      <c r="P243" s="70" t="s">
        <v>251</v>
      </c>
      <c r="Q243" s="70" t="s">
        <v>233</v>
      </c>
      <c r="R243" s="70" t="s">
        <v>240</v>
      </c>
      <c r="S243" s="70" t="s">
        <v>233</v>
      </c>
      <c r="T243" s="70" t="s">
        <v>233</v>
      </c>
      <c r="U243" s="70" t="s">
        <v>1428</v>
      </c>
      <c r="V243" s="70" t="s">
        <v>240</v>
      </c>
      <c r="W243" s="12"/>
      <c r="X243" s="242">
        <v>1930.5</v>
      </c>
      <c r="Y243" s="242">
        <v>2276.96</v>
      </c>
      <c r="Z243" s="242">
        <v>309.35000000000002</v>
      </c>
      <c r="AA243" s="157" t="s">
        <v>252</v>
      </c>
      <c r="AB243" s="242">
        <v>309.19</v>
      </c>
      <c r="AC243" s="157" t="s">
        <v>252</v>
      </c>
      <c r="AD243" s="242">
        <v>309.04000000000002</v>
      </c>
      <c r="AE243" s="157" t="s">
        <v>252</v>
      </c>
      <c r="AF243" s="242">
        <v>307.75</v>
      </c>
      <c r="AG243" s="157" t="s">
        <v>252</v>
      </c>
      <c r="AH243" s="242">
        <v>307.08999999999997</v>
      </c>
      <c r="AI243" s="157" t="s">
        <v>252</v>
      </c>
      <c r="AJ243" s="242">
        <v>112.92</v>
      </c>
      <c r="AK243" s="242" t="s">
        <v>252</v>
      </c>
      <c r="AL243" s="242">
        <v>112.18</v>
      </c>
      <c r="AM243" s="242" t="s">
        <v>252</v>
      </c>
      <c r="AN243" s="242">
        <v>45.75</v>
      </c>
      <c r="AO243" s="242" t="s">
        <v>252</v>
      </c>
      <c r="AP243" s="242">
        <v>88.86</v>
      </c>
      <c r="AQ243" s="242" t="s">
        <v>252</v>
      </c>
      <c r="AR243" s="242">
        <v>298.64</v>
      </c>
      <c r="AS243" s="242" t="s">
        <v>252</v>
      </c>
      <c r="AT243" s="242">
        <v>298.38</v>
      </c>
      <c r="AU243" s="242" t="s">
        <v>252</v>
      </c>
      <c r="AV243" s="242">
        <v>285</v>
      </c>
      <c r="AW243" s="157" t="s">
        <v>252</v>
      </c>
      <c r="AX243" s="157">
        <v>6991.6100000000006</v>
      </c>
      <c r="AY243" s="240">
        <v>0.76</v>
      </c>
      <c r="AZ243" s="156" t="s">
        <v>253</v>
      </c>
      <c r="BA243" s="156" t="s">
        <v>254</v>
      </c>
      <c r="BB243" s="156">
        <v>1</v>
      </c>
      <c r="BC243" s="157" t="s">
        <v>255</v>
      </c>
      <c r="BD243" s="3"/>
    </row>
    <row r="244" spans="1:56" ht="15.75" hidden="1" customHeight="1" outlineLevel="1">
      <c r="A244" s="58">
        <v>234</v>
      </c>
      <c r="B244" s="11">
        <v>129234</v>
      </c>
      <c r="C244" s="89" t="s">
        <v>285</v>
      </c>
      <c r="D244" s="157">
        <v>43</v>
      </c>
      <c r="E244" s="12" t="s">
        <v>191</v>
      </c>
      <c r="F244" s="11" t="s">
        <v>246</v>
      </c>
      <c r="G244" s="18" t="s">
        <v>247</v>
      </c>
      <c r="H244" s="11" t="s">
        <v>248</v>
      </c>
      <c r="I244" s="87" t="s">
        <v>249</v>
      </c>
      <c r="J244" s="19" t="s">
        <v>139</v>
      </c>
      <c r="K244" s="17" t="s">
        <v>140</v>
      </c>
      <c r="L244" s="260">
        <v>1</v>
      </c>
      <c r="M244" s="70" t="s">
        <v>250</v>
      </c>
      <c r="N244" s="70">
        <v>80</v>
      </c>
      <c r="O244" s="258">
        <v>8</v>
      </c>
      <c r="P244" s="70" t="s">
        <v>251</v>
      </c>
      <c r="Q244" s="70" t="s">
        <v>233</v>
      </c>
      <c r="R244" s="70" t="s">
        <v>240</v>
      </c>
      <c r="S244" s="70" t="s">
        <v>233</v>
      </c>
      <c r="T244" s="70" t="s">
        <v>233</v>
      </c>
      <c r="U244" s="70" t="s">
        <v>1427</v>
      </c>
      <c r="V244" s="70" t="s">
        <v>240</v>
      </c>
      <c r="W244" s="12"/>
      <c r="X244" s="242">
        <v>0</v>
      </c>
      <c r="Y244" s="242">
        <v>151.56062034739455</v>
      </c>
      <c r="Z244" s="242">
        <v>50.818362282878418</v>
      </c>
      <c r="AA244" s="157" t="s">
        <v>252</v>
      </c>
      <c r="AB244" s="242">
        <v>55.346104218362285</v>
      </c>
      <c r="AC244" s="157" t="s">
        <v>252</v>
      </c>
      <c r="AD244" s="242">
        <v>58.456947890818853</v>
      </c>
      <c r="AE244" s="157" t="s">
        <v>252</v>
      </c>
      <c r="AF244" s="242">
        <v>51.42786600496278</v>
      </c>
      <c r="AG244" s="157" t="s">
        <v>252</v>
      </c>
      <c r="AH244" s="242">
        <v>39.641488833746898</v>
      </c>
      <c r="AI244" s="157" t="s">
        <v>252</v>
      </c>
      <c r="AJ244" s="242">
        <v>9.1979652605459048</v>
      </c>
      <c r="AK244" s="242" t="s">
        <v>252</v>
      </c>
      <c r="AL244" s="242">
        <v>15.023870967741937</v>
      </c>
      <c r="AM244" s="242" t="s">
        <v>252</v>
      </c>
      <c r="AN244" s="242">
        <v>9.1346401985111658</v>
      </c>
      <c r="AO244" s="242" t="s">
        <v>252</v>
      </c>
      <c r="AP244" s="242">
        <v>15.063449131513648</v>
      </c>
      <c r="AQ244" s="242" t="s">
        <v>252</v>
      </c>
      <c r="AR244" s="242">
        <v>47.485880893300255</v>
      </c>
      <c r="AS244" s="242" t="s">
        <v>252</v>
      </c>
      <c r="AT244" s="242">
        <v>46.433101736972702</v>
      </c>
      <c r="AU244" s="242" t="s">
        <v>252</v>
      </c>
      <c r="AV244" s="242">
        <v>50.248436724565757</v>
      </c>
      <c r="AW244" s="157" t="s">
        <v>252</v>
      </c>
      <c r="AX244" s="157">
        <v>599.83873449131511</v>
      </c>
      <c r="AY244" s="243">
        <v>0.372</v>
      </c>
      <c r="AZ244" s="156" t="s">
        <v>253</v>
      </c>
      <c r="BA244" s="156" t="s">
        <v>254</v>
      </c>
      <c r="BB244" s="156">
        <v>0</v>
      </c>
      <c r="BC244" s="156" t="s">
        <v>1423</v>
      </c>
      <c r="BD244" s="3"/>
    </row>
    <row r="245" spans="1:56" ht="15.75" hidden="1" customHeight="1" outlineLevel="1">
      <c r="A245" s="58">
        <v>235</v>
      </c>
      <c r="B245" s="11">
        <v>129235</v>
      </c>
      <c r="C245" s="89" t="s">
        <v>285</v>
      </c>
      <c r="D245" s="157">
        <v>43</v>
      </c>
      <c r="E245" s="12" t="s">
        <v>231</v>
      </c>
      <c r="F245" s="11" t="s">
        <v>246</v>
      </c>
      <c r="G245" s="18" t="s">
        <v>247</v>
      </c>
      <c r="H245" s="11" t="s">
        <v>248</v>
      </c>
      <c r="I245" s="87" t="s">
        <v>249</v>
      </c>
      <c r="J245" s="19" t="s">
        <v>139</v>
      </c>
      <c r="K245" s="17" t="s">
        <v>140</v>
      </c>
      <c r="L245" s="257">
        <v>0</v>
      </c>
      <c r="M245" s="70" t="s">
        <v>250</v>
      </c>
      <c r="N245" s="70">
        <v>100</v>
      </c>
      <c r="O245" s="258">
        <v>8</v>
      </c>
      <c r="P245" s="70" t="s">
        <v>251</v>
      </c>
      <c r="Q245" s="70" t="s">
        <v>233</v>
      </c>
      <c r="R245" s="70" t="s">
        <v>240</v>
      </c>
      <c r="S245" s="70" t="s">
        <v>233</v>
      </c>
      <c r="T245" s="70" t="s">
        <v>233</v>
      </c>
      <c r="U245" s="70" t="s">
        <v>1427</v>
      </c>
      <c r="V245" s="70" t="s">
        <v>240</v>
      </c>
      <c r="W245" s="12"/>
      <c r="X245" s="242">
        <v>0</v>
      </c>
      <c r="Y245" s="242">
        <v>39.909379652605459</v>
      </c>
      <c r="Z245" s="242">
        <v>13.381637717121588</v>
      </c>
      <c r="AA245" s="157" t="s">
        <v>259</v>
      </c>
      <c r="AB245" s="242">
        <v>14.573895781637717</v>
      </c>
      <c r="AC245" s="157" t="s">
        <v>259</v>
      </c>
      <c r="AD245" s="242">
        <v>15.39305210918114</v>
      </c>
      <c r="AE245" s="157" t="s">
        <v>259</v>
      </c>
      <c r="AF245" s="242">
        <v>13.54213399503722</v>
      </c>
      <c r="AG245" s="157" t="s">
        <v>259</v>
      </c>
      <c r="AH245" s="242">
        <v>10.438511166253102</v>
      </c>
      <c r="AI245" s="157" t="s">
        <v>259</v>
      </c>
      <c r="AJ245" s="242">
        <v>2.422034739454094</v>
      </c>
      <c r="AK245" s="242" t="s">
        <v>259</v>
      </c>
      <c r="AL245" s="242">
        <v>3.9561290322580644</v>
      </c>
      <c r="AM245" s="242" t="s">
        <v>259</v>
      </c>
      <c r="AN245" s="242">
        <v>2.4053598014888333</v>
      </c>
      <c r="AO245" s="242" t="s">
        <v>259</v>
      </c>
      <c r="AP245" s="242">
        <v>3.9665508684863524</v>
      </c>
      <c r="AQ245" s="242" t="s">
        <v>259</v>
      </c>
      <c r="AR245" s="242">
        <v>12.504119106699752</v>
      </c>
      <c r="AS245" s="242" t="s">
        <v>259</v>
      </c>
      <c r="AT245" s="242">
        <v>12.226898263027294</v>
      </c>
      <c r="AU245" s="242" t="s">
        <v>259</v>
      </c>
      <c r="AV245" s="242">
        <v>13.231563275434242</v>
      </c>
      <c r="AW245" s="157" t="s">
        <v>259</v>
      </c>
      <c r="AX245" s="157">
        <v>157.95126550868486</v>
      </c>
      <c r="AY245" s="243">
        <v>0.372</v>
      </c>
      <c r="AZ245" s="156" t="s">
        <v>253</v>
      </c>
      <c r="BA245" s="156" t="s">
        <v>254</v>
      </c>
      <c r="BB245" s="156">
        <v>0</v>
      </c>
      <c r="BC245" s="156" t="s">
        <v>1423</v>
      </c>
      <c r="BD245" s="3"/>
    </row>
    <row r="246" spans="1:56" ht="15.75" hidden="1" customHeight="1" outlineLevel="1">
      <c r="A246" s="58">
        <v>236</v>
      </c>
      <c r="B246" s="11">
        <v>129236</v>
      </c>
      <c r="C246" s="89" t="s">
        <v>285</v>
      </c>
      <c r="D246" s="157">
        <v>45</v>
      </c>
      <c r="E246" s="12" t="s">
        <v>191</v>
      </c>
      <c r="F246" s="11" t="s">
        <v>246</v>
      </c>
      <c r="G246" s="18" t="s">
        <v>247</v>
      </c>
      <c r="H246" s="11" t="s">
        <v>248</v>
      </c>
      <c r="I246" s="87" t="s">
        <v>249</v>
      </c>
      <c r="J246" s="19" t="s">
        <v>139</v>
      </c>
      <c r="K246" s="17" t="s">
        <v>140</v>
      </c>
      <c r="L246" s="257">
        <v>0</v>
      </c>
      <c r="M246" s="70" t="s">
        <v>250</v>
      </c>
      <c r="N246" s="70">
        <v>100</v>
      </c>
      <c r="O246" s="258">
        <v>8</v>
      </c>
      <c r="P246" s="70" t="s">
        <v>251</v>
      </c>
      <c r="Q246" s="70" t="s">
        <v>233</v>
      </c>
      <c r="R246" s="70" t="s">
        <v>240</v>
      </c>
      <c r="S246" s="70" t="s">
        <v>233</v>
      </c>
      <c r="T246" s="70" t="s">
        <v>233</v>
      </c>
      <c r="U246" s="70" t="s">
        <v>1427</v>
      </c>
      <c r="V246" s="70" t="s">
        <v>240</v>
      </c>
      <c r="W246" s="12"/>
      <c r="X246" s="242">
        <v>1763.02</v>
      </c>
      <c r="Y246" s="242">
        <v>1833.1200000000003</v>
      </c>
      <c r="Z246" s="242">
        <v>261.89</v>
      </c>
      <c r="AA246" s="157" t="s">
        <v>252</v>
      </c>
      <c r="AB246" s="242">
        <v>151.66</v>
      </c>
      <c r="AC246" s="157" t="s">
        <v>252</v>
      </c>
      <c r="AD246" s="242">
        <v>274.93</v>
      </c>
      <c r="AE246" s="157" t="s">
        <v>252</v>
      </c>
      <c r="AF246" s="242">
        <v>169.87</v>
      </c>
      <c r="AG246" s="157" t="s">
        <v>252</v>
      </c>
      <c r="AH246" s="242">
        <v>61.87</v>
      </c>
      <c r="AI246" s="157" t="s">
        <v>252</v>
      </c>
      <c r="AJ246" s="242">
        <v>40.46</v>
      </c>
      <c r="AK246" s="242" t="s">
        <v>252</v>
      </c>
      <c r="AL246" s="242">
        <v>32.61</v>
      </c>
      <c r="AM246" s="242" t="s">
        <v>252</v>
      </c>
      <c r="AN246" s="242">
        <v>32.729999999999997</v>
      </c>
      <c r="AO246" s="242" t="s">
        <v>252</v>
      </c>
      <c r="AP246" s="242">
        <v>44.47</v>
      </c>
      <c r="AQ246" s="242" t="s">
        <v>252</v>
      </c>
      <c r="AR246" s="242">
        <v>128.62</v>
      </c>
      <c r="AS246" s="242" t="s">
        <v>252</v>
      </c>
      <c r="AT246" s="242">
        <v>135.49</v>
      </c>
      <c r="AU246" s="242" t="s">
        <v>252</v>
      </c>
      <c r="AV246" s="242">
        <v>176.71</v>
      </c>
      <c r="AW246" s="157" t="s">
        <v>252</v>
      </c>
      <c r="AX246" s="157">
        <v>5107.4499999999989</v>
      </c>
      <c r="AY246" s="240">
        <v>0.6</v>
      </c>
      <c r="AZ246" s="156" t="s">
        <v>253</v>
      </c>
      <c r="BA246" s="156" t="s">
        <v>254</v>
      </c>
      <c r="BB246" s="156">
        <v>0</v>
      </c>
      <c r="BC246" s="156" t="s">
        <v>1423</v>
      </c>
      <c r="BD246" s="3"/>
    </row>
    <row r="247" spans="1:56" ht="15.75" hidden="1" customHeight="1" outlineLevel="1">
      <c r="A247" s="58">
        <v>237</v>
      </c>
      <c r="B247" s="11">
        <v>129237</v>
      </c>
      <c r="C247" s="89" t="s">
        <v>285</v>
      </c>
      <c r="D247" s="157">
        <v>5</v>
      </c>
      <c r="E247" s="12" t="s">
        <v>191</v>
      </c>
      <c r="F247" s="11" t="s">
        <v>246</v>
      </c>
      <c r="G247" s="18" t="s">
        <v>247</v>
      </c>
      <c r="H247" s="11" t="s">
        <v>248</v>
      </c>
      <c r="I247" s="87" t="s">
        <v>249</v>
      </c>
      <c r="J247" s="19" t="s">
        <v>139</v>
      </c>
      <c r="K247" s="17" t="s">
        <v>140</v>
      </c>
      <c r="L247" s="260">
        <v>1</v>
      </c>
      <c r="M247" s="70" t="s">
        <v>250</v>
      </c>
      <c r="N247" s="70">
        <v>100</v>
      </c>
      <c r="O247" s="258">
        <v>8</v>
      </c>
      <c r="P247" s="70" t="s">
        <v>251</v>
      </c>
      <c r="Q247" s="70" t="s">
        <v>233</v>
      </c>
      <c r="R247" s="70" t="s">
        <v>240</v>
      </c>
      <c r="S247" s="70" t="s">
        <v>233</v>
      </c>
      <c r="T247" s="70" t="s">
        <v>233</v>
      </c>
      <c r="U247" s="70" t="s">
        <v>1427</v>
      </c>
      <c r="V247" s="70" t="s">
        <v>240</v>
      </c>
      <c r="W247" s="12"/>
      <c r="X247" s="242">
        <v>830.34999999999991</v>
      </c>
      <c r="Y247" s="242">
        <v>546.53</v>
      </c>
      <c r="Z247" s="242">
        <v>146.24</v>
      </c>
      <c r="AA247" s="157" t="s">
        <v>252</v>
      </c>
      <c r="AB247" s="242">
        <v>60.86</v>
      </c>
      <c r="AC247" s="157" t="s">
        <v>252</v>
      </c>
      <c r="AD247" s="242">
        <v>110.84</v>
      </c>
      <c r="AE247" s="157" t="s">
        <v>252</v>
      </c>
      <c r="AF247" s="242">
        <v>70.489999999999995</v>
      </c>
      <c r="AG247" s="157" t="s">
        <v>252</v>
      </c>
      <c r="AH247" s="242">
        <v>30.19</v>
      </c>
      <c r="AI247" s="157" t="s">
        <v>252</v>
      </c>
      <c r="AJ247" s="242">
        <v>16.12</v>
      </c>
      <c r="AK247" s="242" t="s">
        <v>252</v>
      </c>
      <c r="AL247" s="242">
        <v>22.59</v>
      </c>
      <c r="AM247" s="242" t="s">
        <v>259</v>
      </c>
      <c r="AN247" s="242">
        <v>16.66</v>
      </c>
      <c r="AO247" s="242" t="s">
        <v>259</v>
      </c>
      <c r="AP247" s="242">
        <v>33.492959999999997</v>
      </c>
      <c r="AQ247" s="242" t="s">
        <v>259</v>
      </c>
      <c r="AR247" s="242">
        <v>72.56</v>
      </c>
      <c r="AS247" s="242" t="s">
        <v>259</v>
      </c>
      <c r="AT247" s="242">
        <v>76.77</v>
      </c>
      <c r="AU247" s="242" t="s">
        <v>259</v>
      </c>
      <c r="AV247" s="242">
        <v>91.224080000000001</v>
      </c>
      <c r="AW247" s="157" t="s">
        <v>259</v>
      </c>
      <c r="AX247" s="157">
        <v>2124.9170399999998</v>
      </c>
      <c r="AY247" s="240">
        <v>0.28000000000000003</v>
      </c>
      <c r="AZ247" s="156" t="s">
        <v>253</v>
      </c>
      <c r="BA247" s="156" t="s">
        <v>254</v>
      </c>
      <c r="BB247" s="156">
        <v>1</v>
      </c>
      <c r="BC247" s="157" t="s">
        <v>255</v>
      </c>
      <c r="BD247" s="3"/>
    </row>
    <row r="248" spans="1:56" ht="15.75" hidden="1" customHeight="1" outlineLevel="1">
      <c r="A248" s="58">
        <v>238</v>
      </c>
      <c r="B248" s="11">
        <v>129238</v>
      </c>
      <c r="C248" s="89" t="s">
        <v>285</v>
      </c>
      <c r="D248" s="157">
        <v>51</v>
      </c>
      <c r="E248" s="12" t="s">
        <v>191</v>
      </c>
      <c r="F248" s="11" t="s">
        <v>246</v>
      </c>
      <c r="G248" s="18" t="s">
        <v>247</v>
      </c>
      <c r="H248" s="11" t="s">
        <v>248</v>
      </c>
      <c r="I248" s="87" t="s">
        <v>249</v>
      </c>
      <c r="J248" s="19" t="s">
        <v>139</v>
      </c>
      <c r="K248" s="17" t="s">
        <v>140</v>
      </c>
      <c r="L248" s="260">
        <v>1</v>
      </c>
      <c r="M248" s="70" t="s">
        <v>250</v>
      </c>
      <c r="N248" s="70">
        <v>100</v>
      </c>
      <c r="O248" s="258">
        <v>8</v>
      </c>
      <c r="P248" s="70" t="s">
        <v>251</v>
      </c>
      <c r="Q248" s="70" t="s">
        <v>233</v>
      </c>
      <c r="R248" s="70" t="s">
        <v>240</v>
      </c>
      <c r="S248" s="70" t="s">
        <v>233</v>
      </c>
      <c r="T248" s="70" t="s">
        <v>233</v>
      </c>
      <c r="U248" s="70" t="s">
        <v>1427</v>
      </c>
      <c r="V248" s="70" t="s">
        <v>240</v>
      </c>
      <c r="W248" s="12"/>
      <c r="X248" s="242">
        <v>1190.2299999999998</v>
      </c>
      <c r="Y248" s="242">
        <v>1197.0500000000002</v>
      </c>
      <c r="Z248" s="242">
        <v>148.01</v>
      </c>
      <c r="AA248" s="157" t="s">
        <v>252</v>
      </c>
      <c r="AB248" s="242">
        <v>85.76</v>
      </c>
      <c r="AC248" s="157" t="s">
        <v>252</v>
      </c>
      <c r="AD248" s="242">
        <v>155.43</v>
      </c>
      <c r="AE248" s="157" t="s">
        <v>252</v>
      </c>
      <c r="AF248" s="242">
        <v>96.08</v>
      </c>
      <c r="AG248" s="157" t="s">
        <v>252</v>
      </c>
      <c r="AH248" s="242">
        <v>35.49</v>
      </c>
      <c r="AI248" s="157" t="s">
        <v>252</v>
      </c>
      <c r="AJ248" s="242">
        <v>19.670000000000002</v>
      </c>
      <c r="AK248" s="242" t="s">
        <v>252</v>
      </c>
      <c r="AL248" s="242">
        <v>15.92</v>
      </c>
      <c r="AM248" s="242" t="s">
        <v>252</v>
      </c>
      <c r="AN248" s="242">
        <v>15.92</v>
      </c>
      <c r="AO248" s="242" t="s">
        <v>252</v>
      </c>
      <c r="AP248" s="242">
        <v>22.35</v>
      </c>
      <c r="AQ248" s="242" t="s">
        <v>252</v>
      </c>
      <c r="AR248" s="242">
        <v>73.42</v>
      </c>
      <c r="AS248" s="242" t="s">
        <v>252</v>
      </c>
      <c r="AT248" s="242">
        <v>76.89</v>
      </c>
      <c r="AU248" s="242" t="s">
        <v>252</v>
      </c>
      <c r="AV248" s="242">
        <v>99.9</v>
      </c>
      <c r="AW248" s="157" t="s">
        <v>252</v>
      </c>
      <c r="AX248" s="157">
        <v>3232.12</v>
      </c>
      <c r="AY248" s="240">
        <v>0.35</v>
      </c>
      <c r="AZ248" s="156" t="s">
        <v>253</v>
      </c>
      <c r="BA248" s="156" t="s">
        <v>254</v>
      </c>
      <c r="BB248" s="156">
        <v>2</v>
      </c>
      <c r="BC248" s="156" t="s">
        <v>1423</v>
      </c>
      <c r="BD248" s="3"/>
    </row>
    <row r="249" spans="1:56" ht="15.75" hidden="1" customHeight="1" outlineLevel="1">
      <c r="A249" s="58">
        <v>239</v>
      </c>
      <c r="B249" s="11">
        <v>129239</v>
      </c>
      <c r="C249" s="89" t="s">
        <v>285</v>
      </c>
      <c r="D249" s="157">
        <v>52</v>
      </c>
      <c r="E249" s="12" t="s">
        <v>191</v>
      </c>
      <c r="F249" s="11" t="s">
        <v>246</v>
      </c>
      <c r="G249" s="18" t="s">
        <v>247</v>
      </c>
      <c r="H249" s="11" t="s">
        <v>248</v>
      </c>
      <c r="I249" s="87" t="s">
        <v>249</v>
      </c>
      <c r="J249" s="19" t="s">
        <v>139</v>
      </c>
      <c r="K249" s="17" t="s">
        <v>140</v>
      </c>
      <c r="L249" s="257">
        <v>0</v>
      </c>
      <c r="M249" s="70" t="s">
        <v>250</v>
      </c>
      <c r="N249" s="70">
        <v>100</v>
      </c>
      <c r="O249" s="258">
        <v>8</v>
      </c>
      <c r="P249" s="70" t="s">
        <v>251</v>
      </c>
      <c r="Q249" s="70" t="s">
        <v>240</v>
      </c>
      <c r="R249" s="70" t="s">
        <v>240</v>
      </c>
      <c r="S249" s="70" t="s">
        <v>233</v>
      </c>
      <c r="T249" s="70" t="s">
        <v>233</v>
      </c>
      <c r="U249" s="70" t="s">
        <v>1427</v>
      </c>
      <c r="V249" s="70" t="s">
        <v>240</v>
      </c>
      <c r="W249" s="12"/>
      <c r="X249" s="242">
        <v>424.99</v>
      </c>
      <c r="Y249" s="242">
        <v>441.47</v>
      </c>
      <c r="Z249" s="242">
        <v>73.11</v>
      </c>
      <c r="AA249" s="157" t="s">
        <v>252</v>
      </c>
      <c r="AB249" s="242">
        <v>55.27</v>
      </c>
      <c r="AC249" s="157" t="s">
        <v>252</v>
      </c>
      <c r="AD249" s="242">
        <v>75.459999999999994</v>
      </c>
      <c r="AE249" s="157" t="s">
        <v>252</v>
      </c>
      <c r="AF249" s="242">
        <v>27.96</v>
      </c>
      <c r="AG249" s="157" t="s">
        <v>252</v>
      </c>
      <c r="AH249" s="242">
        <v>10.64</v>
      </c>
      <c r="AI249" s="157" t="s">
        <v>252</v>
      </c>
      <c r="AJ249" s="242">
        <v>5.07</v>
      </c>
      <c r="AK249" s="242" t="s">
        <v>252</v>
      </c>
      <c r="AL249" s="242">
        <v>0</v>
      </c>
      <c r="AM249" s="242" t="s">
        <v>252</v>
      </c>
      <c r="AN249" s="242">
        <v>0</v>
      </c>
      <c r="AO249" s="242" t="s">
        <v>252</v>
      </c>
      <c r="AP249" s="242">
        <v>0</v>
      </c>
      <c r="AQ249" s="242" t="s">
        <v>252</v>
      </c>
      <c r="AR249" s="242">
        <v>38.96</v>
      </c>
      <c r="AS249" s="242" t="s">
        <v>252</v>
      </c>
      <c r="AT249" s="242">
        <v>45.92</v>
      </c>
      <c r="AU249" s="242" t="s">
        <v>252</v>
      </c>
      <c r="AV249" s="242">
        <v>57.58</v>
      </c>
      <c r="AW249" s="157" t="s">
        <v>252</v>
      </c>
      <c r="AX249" s="157">
        <v>1256.43</v>
      </c>
      <c r="AY249" s="240">
        <v>0.2</v>
      </c>
      <c r="AZ249" s="156" t="s">
        <v>253</v>
      </c>
      <c r="BA249" s="156" t="s">
        <v>254</v>
      </c>
      <c r="BB249" s="156">
        <v>0</v>
      </c>
      <c r="BC249" s="156" t="s">
        <v>1423</v>
      </c>
      <c r="BD249" s="3"/>
    </row>
    <row r="250" spans="1:56" ht="15.75" hidden="1" customHeight="1" outlineLevel="1">
      <c r="A250" s="58">
        <v>240</v>
      </c>
      <c r="B250" s="11">
        <v>129240</v>
      </c>
      <c r="C250" s="89" t="s">
        <v>285</v>
      </c>
      <c r="D250" s="157" t="s">
        <v>289</v>
      </c>
      <c r="E250" s="12" t="s">
        <v>290</v>
      </c>
      <c r="F250" s="11" t="s">
        <v>246</v>
      </c>
      <c r="G250" s="18" t="s">
        <v>247</v>
      </c>
      <c r="H250" s="11" t="s">
        <v>248</v>
      </c>
      <c r="I250" s="87" t="s">
        <v>249</v>
      </c>
      <c r="J250" s="19" t="s">
        <v>139</v>
      </c>
      <c r="K250" s="17" t="s">
        <v>140</v>
      </c>
      <c r="L250" s="257">
        <v>0</v>
      </c>
      <c r="M250" s="70" t="s">
        <v>250</v>
      </c>
      <c r="N250" s="70">
        <v>80</v>
      </c>
      <c r="O250" s="258">
        <v>8</v>
      </c>
      <c r="P250" s="70" t="s">
        <v>251</v>
      </c>
      <c r="Q250" s="70" t="s">
        <v>233</v>
      </c>
      <c r="R250" s="70" t="s">
        <v>240</v>
      </c>
      <c r="S250" s="70" t="s">
        <v>233</v>
      </c>
      <c r="T250" s="70" t="s">
        <v>233</v>
      </c>
      <c r="U250" s="70" t="s">
        <v>1427</v>
      </c>
      <c r="V250" s="70" t="s">
        <v>240</v>
      </c>
      <c r="W250" s="12"/>
      <c r="X250" s="242">
        <v>105.11000000000001</v>
      </c>
      <c r="Y250" s="242">
        <v>104.49000000000002</v>
      </c>
      <c r="Z250" s="242">
        <v>15.68</v>
      </c>
      <c r="AA250" s="157" t="s">
        <v>252</v>
      </c>
      <c r="AB250" s="242">
        <v>12.48</v>
      </c>
      <c r="AC250" s="157" t="s">
        <v>252</v>
      </c>
      <c r="AD250" s="242">
        <v>10.39</v>
      </c>
      <c r="AE250" s="157" t="s">
        <v>252</v>
      </c>
      <c r="AF250" s="242">
        <v>16.670000000000002</v>
      </c>
      <c r="AG250" s="157" t="s">
        <v>252</v>
      </c>
      <c r="AH250" s="242">
        <v>1.5</v>
      </c>
      <c r="AI250" s="157" t="s">
        <v>259</v>
      </c>
      <c r="AJ250" s="242">
        <v>0.25</v>
      </c>
      <c r="AK250" s="242" t="s">
        <v>259</v>
      </c>
      <c r="AL250" s="242">
        <v>1.27</v>
      </c>
      <c r="AM250" s="242" t="s">
        <v>259</v>
      </c>
      <c r="AN250" s="242">
        <v>0.26</v>
      </c>
      <c r="AO250" s="242" t="s">
        <v>259</v>
      </c>
      <c r="AP250" s="242">
        <v>1.71</v>
      </c>
      <c r="AQ250" s="242" t="s">
        <v>259</v>
      </c>
      <c r="AR250" s="242">
        <v>8.73</v>
      </c>
      <c r="AS250" s="242" t="s">
        <v>259</v>
      </c>
      <c r="AT250" s="242">
        <v>9.18</v>
      </c>
      <c r="AU250" s="242" t="s">
        <v>259</v>
      </c>
      <c r="AV250" s="242">
        <v>11.05</v>
      </c>
      <c r="AW250" s="157" t="s">
        <v>259</v>
      </c>
      <c r="AX250" s="157">
        <v>298.77000000000004</v>
      </c>
      <c r="AY250" s="243">
        <v>0.372</v>
      </c>
      <c r="AZ250" s="156" t="s">
        <v>253</v>
      </c>
      <c r="BA250" s="156" t="s">
        <v>254</v>
      </c>
      <c r="BB250" s="156">
        <v>0</v>
      </c>
      <c r="BC250" s="156" t="s">
        <v>1423</v>
      </c>
      <c r="BD250" s="3"/>
    </row>
    <row r="251" spans="1:56" ht="15.75" hidden="1" customHeight="1" outlineLevel="1">
      <c r="A251" s="58">
        <v>241</v>
      </c>
      <c r="B251" s="11">
        <v>129241</v>
      </c>
      <c r="C251" s="89" t="s">
        <v>285</v>
      </c>
      <c r="D251" s="157">
        <v>56</v>
      </c>
      <c r="E251" s="12" t="s">
        <v>191</v>
      </c>
      <c r="F251" s="11" t="s">
        <v>246</v>
      </c>
      <c r="G251" s="18" t="s">
        <v>247</v>
      </c>
      <c r="H251" s="11" t="s">
        <v>248</v>
      </c>
      <c r="I251" s="87" t="s">
        <v>249</v>
      </c>
      <c r="J251" s="19" t="s">
        <v>139</v>
      </c>
      <c r="K251" s="17" t="s">
        <v>140</v>
      </c>
      <c r="L251" s="257">
        <v>0</v>
      </c>
      <c r="M251" s="70" t="s">
        <v>250</v>
      </c>
      <c r="N251" s="70">
        <v>80</v>
      </c>
      <c r="O251" s="258">
        <v>8</v>
      </c>
      <c r="P251" s="70" t="s">
        <v>251</v>
      </c>
      <c r="Q251" s="70" t="s">
        <v>233</v>
      </c>
      <c r="R251" s="70" t="s">
        <v>240</v>
      </c>
      <c r="S251" s="70" t="s">
        <v>233</v>
      </c>
      <c r="T251" s="70" t="s">
        <v>233</v>
      </c>
      <c r="U251" s="70" t="s">
        <v>1427</v>
      </c>
      <c r="V251" s="70" t="s">
        <v>240</v>
      </c>
      <c r="W251" s="12"/>
      <c r="X251" s="242">
        <v>376.27</v>
      </c>
      <c r="Y251" s="242">
        <v>357.82999999999993</v>
      </c>
      <c r="Z251" s="242">
        <v>51.05</v>
      </c>
      <c r="AA251" s="157" t="s">
        <v>252</v>
      </c>
      <c r="AB251" s="242">
        <v>40.549999999999997</v>
      </c>
      <c r="AC251" s="157" t="s">
        <v>252</v>
      </c>
      <c r="AD251" s="242">
        <v>33.71</v>
      </c>
      <c r="AE251" s="157" t="s">
        <v>252</v>
      </c>
      <c r="AF251" s="242">
        <v>54.17</v>
      </c>
      <c r="AG251" s="157" t="s">
        <v>252</v>
      </c>
      <c r="AH251" s="242">
        <v>17.420000000000002</v>
      </c>
      <c r="AI251" s="157" t="s">
        <v>259</v>
      </c>
      <c r="AJ251" s="242">
        <v>3.33</v>
      </c>
      <c r="AK251" s="242" t="s">
        <v>259</v>
      </c>
      <c r="AL251" s="242">
        <v>4.18</v>
      </c>
      <c r="AM251" s="242" t="s">
        <v>259</v>
      </c>
      <c r="AN251" s="242">
        <v>5.81</v>
      </c>
      <c r="AO251" s="242" t="s">
        <v>259</v>
      </c>
      <c r="AP251" s="242">
        <v>9.9201999999999995</v>
      </c>
      <c r="AQ251" s="242" t="s">
        <v>259</v>
      </c>
      <c r="AR251" s="242">
        <v>45.54</v>
      </c>
      <c r="AS251" s="242" t="s">
        <v>259</v>
      </c>
      <c r="AT251" s="242">
        <v>18.850000000000001</v>
      </c>
      <c r="AU251" s="242" t="s">
        <v>259</v>
      </c>
      <c r="AV251" s="242">
        <v>47.4998</v>
      </c>
      <c r="AW251" s="157" t="s">
        <v>259</v>
      </c>
      <c r="AX251" s="157">
        <v>1066.1299999999997</v>
      </c>
      <c r="AY251" s="240">
        <v>0.14000000000000001</v>
      </c>
      <c r="AZ251" s="156" t="s">
        <v>253</v>
      </c>
      <c r="BA251" s="156" t="s">
        <v>254</v>
      </c>
      <c r="BB251" s="156">
        <v>0</v>
      </c>
      <c r="BC251" s="156" t="s">
        <v>1423</v>
      </c>
      <c r="BD251" s="3"/>
    </row>
    <row r="252" spans="1:56" ht="15.75" hidden="1" customHeight="1" outlineLevel="1">
      <c r="A252" s="58">
        <v>242</v>
      </c>
      <c r="B252" s="11">
        <v>129242</v>
      </c>
      <c r="C252" s="89" t="s">
        <v>285</v>
      </c>
      <c r="D252" s="157">
        <v>58</v>
      </c>
      <c r="E252" s="12" t="s">
        <v>191</v>
      </c>
      <c r="F252" s="11" t="s">
        <v>246</v>
      </c>
      <c r="G252" s="18" t="s">
        <v>247</v>
      </c>
      <c r="H252" s="11" t="s">
        <v>248</v>
      </c>
      <c r="I252" s="87" t="s">
        <v>249</v>
      </c>
      <c r="J252" s="19" t="s">
        <v>139</v>
      </c>
      <c r="K252" s="17" t="s">
        <v>140</v>
      </c>
      <c r="L252" s="257">
        <v>0</v>
      </c>
      <c r="M252" s="70" t="s">
        <v>250</v>
      </c>
      <c r="N252" s="70">
        <v>100</v>
      </c>
      <c r="O252" s="258">
        <v>8</v>
      </c>
      <c r="P252" s="70" t="s">
        <v>251</v>
      </c>
      <c r="Q252" s="70" t="s">
        <v>233</v>
      </c>
      <c r="R252" s="70" t="s">
        <v>240</v>
      </c>
      <c r="S252" s="70" t="s">
        <v>233</v>
      </c>
      <c r="T252" s="70" t="s">
        <v>233</v>
      </c>
      <c r="U252" s="70" t="s">
        <v>1427</v>
      </c>
      <c r="V252" s="70" t="s">
        <v>240</v>
      </c>
      <c r="W252" s="12"/>
      <c r="X252" s="242">
        <v>664.52</v>
      </c>
      <c r="Y252" s="242">
        <v>646.75</v>
      </c>
      <c r="Z252" s="242">
        <v>111.5</v>
      </c>
      <c r="AA252" s="157" t="s">
        <v>252</v>
      </c>
      <c r="AB252" s="242">
        <v>86.08</v>
      </c>
      <c r="AC252" s="157" t="s">
        <v>252</v>
      </c>
      <c r="AD252" s="242">
        <v>113.8</v>
      </c>
      <c r="AE252" s="157" t="s">
        <v>252</v>
      </c>
      <c r="AF252" s="242">
        <v>68.599999999999994</v>
      </c>
      <c r="AG252" s="157" t="s">
        <v>252</v>
      </c>
      <c r="AH252" s="242">
        <v>16.34</v>
      </c>
      <c r="AI252" s="157" t="s">
        <v>252</v>
      </c>
      <c r="AJ252" s="242">
        <v>12.85</v>
      </c>
      <c r="AK252" s="242" t="s">
        <v>252</v>
      </c>
      <c r="AL252" s="242">
        <v>10.34</v>
      </c>
      <c r="AM252" s="242" t="s">
        <v>252</v>
      </c>
      <c r="AN252" s="242">
        <v>11.61</v>
      </c>
      <c r="AO252" s="242" t="s">
        <v>252</v>
      </c>
      <c r="AP252" s="242">
        <v>14.89</v>
      </c>
      <c r="AQ252" s="242" t="s">
        <v>252</v>
      </c>
      <c r="AR252" s="242">
        <v>67.95</v>
      </c>
      <c r="AS252" s="242" t="s">
        <v>252</v>
      </c>
      <c r="AT252" s="242">
        <v>67.45</v>
      </c>
      <c r="AU252" s="242" t="s">
        <v>252</v>
      </c>
      <c r="AV252" s="242">
        <v>89.87</v>
      </c>
      <c r="AW252" s="157" t="s">
        <v>252</v>
      </c>
      <c r="AX252" s="157">
        <v>1982.5499999999997</v>
      </c>
      <c r="AY252" s="240">
        <v>0.26</v>
      </c>
      <c r="AZ252" s="156" t="s">
        <v>253</v>
      </c>
      <c r="BA252" s="156" t="s">
        <v>254</v>
      </c>
      <c r="BB252" s="156">
        <v>0</v>
      </c>
      <c r="BC252" s="156" t="s">
        <v>1423</v>
      </c>
      <c r="BD252" s="3"/>
    </row>
    <row r="253" spans="1:56" ht="15.75" hidden="1" customHeight="1" outlineLevel="1">
      <c r="A253" s="58">
        <v>243</v>
      </c>
      <c r="B253" s="11">
        <v>129243</v>
      </c>
      <c r="C253" s="89" t="s">
        <v>285</v>
      </c>
      <c r="D253" s="157">
        <v>60</v>
      </c>
      <c r="E253" s="12" t="s">
        <v>191</v>
      </c>
      <c r="F253" s="11" t="s">
        <v>246</v>
      </c>
      <c r="G253" s="18" t="s">
        <v>247</v>
      </c>
      <c r="H253" s="11" t="s">
        <v>248</v>
      </c>
      <c r="I253" s="87" t="s">
        <v>249</v>
      </c>
      <c r="J253" s="19" t="s">
        <v>139</v>
      </c>
      <c r="K253" s="17" t="s">
        <v>140</v>
      </c>
      <c r="L253" s="257">
        <v>0</v>
      </c>
      <c r="M253" s="70" t="s">
        <v>250</v>
      </c>
      <c r="N253" s="70">
        <v>100</v>
      </c>
      <c r="O253" s="258">
        <v>8</v>
      </c>
      <c r="P253" s="70" t="s">
        <v>251</v>
      </c>
      <c r="Q253" s="70" t="s">
        <v>240</v>
      </c>
      <c r="R253" s="70" t="s">
        <v>240</v>
      </c>
      <c r="S253" s="70" t="s">
        <v>233</v>
      </c>
      <c r="T253" s="70" t="s">
        <v>233</v>
      </c>
      <c r="U253" s="70" t="s">
        <v>1427</v>
      </c>
      <c r="V253" s="70" t="s">
        <v>240</v>
      </c>
      <c r="W253" s="12"/>
      <c r="X253" s="242">
        <v>393.96000000000004</v>
      </c>
      <c r="Y253" s="242">
        <v>372.09000000000003</v>
      </c>
      <c r="Z253" s="242">
        <v>70.2</v>
      </c>
      <c r="AA253" s="157" t="s">
        <v>252</v>
      </c>
      <c r="AB253" s="242">
        <v>54.3</v>
      </c>
      <c r="AC253" s="157" t="s">
        <v>252</v>
      </c>
      <c r="AD253" s="242">
        <v>71.599999999999994</v>
      </c>
      <c r="AE253" s="157" t="s">
        <v>252</v>
      </c>
      <c r="AF253" s="242">
        <v>43.3</v>
      </c>
      <c r="AG253" s="157" t="s">
        <v>252</v>
      </c>
      <c r="AH253" s="242">
        <v>11.2</v>
      </c>
      <c r="AI253" s="157" t="s">
        <v>252</v>
      </c>
      <c r="AJ253" s="242">
        <v>0</v>
      </c>
      <c r="AK253" s="242" t="s">
        <v>252</v>
      </c>
      <c r="AL253" s="242">
        <v>0</v>
      </c>
      <c r="AM253" s="242" t="s">
        <v>252</v>
      </c>
      <c r="AN253" s="242">
        <v>0</v>
      </c>
      <c r="AO253" s="242" t="s">
        <v>252</v>
      </c>
      <c r="AP253" s="242">
        <v>0</v>
      </c>
      <c r="AQ253" s="242" t="s">
        <v>252</v>
      </c>
      <c r="AR253" s="242">
        <v>45.4</v>
      </c>
      <c r="AS253" s="242" t="s">
        <v>252</v>
      </c>
      <c r="AT253" s="242">
        <v>43.6</v>
      </c>
      <c r="AU253" s="242" t="s">
        <v>252</v>
      </c>
      <c r="AV253" s="242">
        <v>57</v>
      </c>
      <c r="AW253" s="157" t="s">
        <v>252</v>
      </c>
      <c r="AX253" s="157">
        <v>1162.6500000000001</v>
      </c>
      <c r="AY253" s="240">
        <v>0.18</v>
      </c>
      <c r="AZ253" s="156" t="s">
        <v>253</v>
      </c>
      <c r="BA253" s="156" t="s">
        <v>254</v>
      </c>
      <c r="BB253" s="156">
        <v>0</v>
      </c>
      <c r="BC253" s="156" t="s">
        <v>1423</v>
      </c>
      <c r="BD253" s="3"/>
    </row>
    <row r="254" spans="1:56" ht="15.75" hidden="1" customHeight="1" outlineLevel="1">
      <c r="A254" s="58">
        <v>244</v>
      </c>
      <c r="B254" s="11">
        <v>129244</v>
      </c>
      <c r="C254" s="89" t="s">
        <v>285</v>
      </c>
      <c r="D254" s="157">
        <v>62</v>
      </c>
      <c r="E254" s="12" t="s">
        <v>191</v>
      </c>
      <c r="F254" s="11" t="s">
        <v>246</v>
      </c>
      <c r="G254" s="18" t="s">
        <v>247</v>
      </c>
      <c r="H254" s="11" t="s">
        <v>248</v>
      </c>
      <c r="I254" s="87" t="s">
        <v>249</v>
      </c>
      <c r="J254" s="19" t="s">
        <v>139</v>
      </c>
      <c r="K254" s="17" t="s">
        <v>140</v>
      </c>
      <c r="L254" s="260">
        <v>1</v>
      </c>
      <c r="M254" s="70" t="s">
        <v>250</v>
      </c>
      <c r="N254" s="70">
        <v>100</v>
      </c>
      <c r="O254" s="258">
        <v>8</v>
      </c>
      <c r="P254" s="70" t="s">
        <v>251</v>
      </c>
      <c r="Q254" s="70" t="s">
        <v>233</v>
      </c>
      <c r="R254" s="70" t="s">
        <v>240</v>
      </c>
      <c r="S254" s="70" t="s">
        <v>233</v>
      </c>
      <c r="T254" s="70" t="s">
        <v>233</v>
      </c>
      <c r="U254" s="70" t="s">
        <v>1427</v>
      </c>
      <c r="V254" s="70" t="s">
        <v>240</v>
      </c>
      <c r="W254" s="12"/>
      <c r="X254" s="242">
        <v>611.5</v>
      </c>
      <c r="Y254" s="242">
        <v>1122.6099999999999</v>
      </c>
      <c r="Z254" s="242">
        <v>99.44</v>
      </c>
      <c r="AA254" s="157" t="s">
        <v>252</v>
      </c>
      <c r="AB254" s="242">
        <v>98.57</v>
      </c>
      <c r="AC254" s="157" t="s">
        <v>252</v>
      </c>
      <c r="AD254" s="242">
        <v>98.38</v>
      </c>
      <c r="AE254" s="157" t="s">
        <v>252</v>
      </c>
      <c r="AF254" s="242">
        <v>94.94</v>
      </c>
      <c r="AG254" s="157" t="s">
        <v>252</v>
      </c>
      <c r="AH254" s="242">
        <v>100.79</v>
      </c>
      <c r="AI254" s="157" t="s">
        <v>252</v>
      </c>
      <c r="AJ254" s="242">
        <v>44.13</v>
      </c>
      <c r="AK254" s="242" t="s">
        <v>252</v>
      </c>
      <c r="AL254" s="242">
        <v>6.37</v>
      </c>
      <c r="AM254" s="242" t="s">
        <v>252</v>
      </c>
      <c r="AN254" s="242">
        <v>0.28000000000000003</v>
      </c>
      <c r="AO254" s="242" t="s">
        <v>252</v>
      </c>
      <c r="AP254" s="242">
        <v>12.9</v>
      </c>
      <c r="AQ254" s="242" t="s">
        <v>252</v>
      </c>
      <c r="AR254" s="242">
        <v>196.52</v>
      </c>
      <c r="AS254" s="242" t="s">
        <v>252</v>
      </c>
      <c r="AT254" s="242">
        <v>57.26</v>
      </c>
      <c r="AU254" s="242" t="s">
        <v>252</v>
      </c>
      <c r="AV254" s="242">
        <v>92.18</v>
      </c>
      <c r="AW254" s="157" t="s">
        <v>252</v>
      </c>
      <c r="AX254" s="157">
        <v>2635.8700000000003</v>
      </c>
      <c r="AY254" s="240">
        <v>0.24399999999999999</v>
      </c>
      <c r="AZ254" s="156" t="s">
        <v>253</v>
      </c>
      <c r="BA254" s="156" t="s">
        <v>254</v>
      </c>
      <c r="BB254" s="156">
        <v>0</v>
      </c>
      <c r="BC254" s="156" t="s">
        <v>1423</v>
      </c>
      <c r="BD254" s="3"/>
    </row>
    <row r="255" spans="1:56" ht="15.75" hidden="1" customHeight="1" outlineLevel="1">
      <c r="A255" s="58">
        <v>245</v>
      </c>
      <c r="B255" s="11">
        <v>129245</v>
      </c>
      <c r="C255" s="89" t="s">
        <v>285</v>
      </c>
      <c r="D255" s="157" t="s">
        <v>208</v>
      </c>
      <c r="E255" s="12" t="s">
        <v>191</v>
      </c>
      <c r="F255" s="11" t="s">
        <v>246</v>
      </c>
      <c r="G255" s="18" t="s">
        <v>247</v>
      </c>
      <c r="H255" s="11" t="s">
        <v>248</v>
      </c>
      <c r="I255" s="87" t="s">
        <v>249</v>
      </c>
      <c r="J255" s="19" t="s">
        <v>139</v>
      </c>
      <c r="K255" s="17" t="s">
        <v>140</v>
      </c>
      <c r="L255" s="257">
        <v>0</v>
      </c>
      <c r="M255" s="70" t="s">
        <v>250</v>
      </c>
      <c r="N255" s="70">
        <v>100</v>
      </c>
      <c r="O255" s="258">
        <v>8</v>
      </c>
      <c r="P255" s="70" t="s">
        <v>251</v>
      </c>
      <c r="Q255" s="70" t="s">
        <v>233</v>
      </c>
      <c r="R255" s="70" t="s">
        <v>240</v>
      </c>
      <c r="S255" s="70" t="s">
        <v>233</v>
      </c>
      <c r="T255" s="70" t="s">
        <v>233</v>
      </c>
      <c r="U255" s="70" t="s">
        <v>1427</v>
      </c>
      <c r="V255" s="70" t="s">
        <v>240</v>
      </c>
      <c r="W255" s="12"/>
      <c r="X255" s="242">
        <v>228.02459541450324</v>
      </c>
      <c r="Y255" s="242">
        <v>231.24381366314685</v>
      </c>
      <c r="Z255" s="242">
        <v>39.518679190245606</v>
      </c>
      <c r="AA255" s="157" t="s">
        <v>252</v>
      </c>
      <c r="AB255" s="242">
        <v>26.29869202496937</v>
      </c>
      <c r="AC255" s="157" t="s">
        <v>252</v>
      </c>
      <c r="AD255" s="242">
        <v>34.982508021702351</v>
      </c>
      <c r="AE255" s="157" t="s">
        <v>252</v>
      </c>
      <c r="AF255" s="242">
        <v>21.187300040837759</v>
      </c>
      <c r="AG255" s="157" t="s">
        <v>252</v>
      </c>
      <c r="AH255" s="242">
        <v>9.0420675573187097</v>
      </c>
      <c r="AI255" s="157" t="s">
        <v>252</v>
      </c>
      <c r="AJ255" s="242">
        <v>4.4302094393559299</v>
      </c>
      <c r="AK255" s="242" t="s">
        <v>252</v>
      </c>
      <c r="AL255" s="242">
        <v>4.4604842191237388</v>
      </c>
      <c r="AM255" s="242" t="s">
        <v>252</v>
      </c>
      <c r="AN255" s="242">
        <v>3.1838976722478267</v>
      </c>
      <c r="AO255" s="242" t="s">
        <v>252</v>
      </c>
      <c r="AP255" s="242">
        <v>4.7329572370340127</v>
      </c>
      <c r="AQ255" s="242" t="s">
        <v>252</v>
      </c>
      <c r="AR255" s="242">
        <v>16.37361005775626</v>
      </c>
      <c r="AS255" s="242" t="s">
        <v>252</v>
      </c>
      <c r="AT255" s="242">
        <v>26.140496209089317</v>
      </c>
      <c r="AU255" s="242" t="s">
        <v>252</v>
      </c>
      <c r="AV255" s="242">
        <v>27.453508361822532</v>
      </c>
      <c r="AW255" s="157" t="s">
        <v>252</v>
      </c>
      <c r="AX255" s="157">
        <v>677.07281910915333</v>
      </c>
      <c r="AY255" s="240">
        <v>9.2842657954611746E-2</v>
      </c>
      <c r="AZ255" s="156" t="s">
        <v>253</v>
      </c>
      <c r="BA255" s="156" t="s">
        <v>254</v>
      </c>
      <c r="BB255" s="156">
        <v>0</v>
      </c>
      <c r="BC255" s="156" t="s">
        <v>1423</v>
      </c>
      <c r="BD255" s="3"/>
    </row>
    <row r="256" spans="1:56" ht="15.75" hidden="1" customHeight="1" outlineLevel="1">
      <c r="A256" s="58">
        <v>246</v>
      </c>
      <c r="B256" s="11">
        <v>129246</v>
      </c>
      <c r="C256" s="89" t="s">
        <v>285</v>
      </c>
      <c r="D256" s="157" t="s">
        <v>208</v>
      </c>
      <c r="E256" s="12" t="s">
        <v>231</v>
      </c>
      <c r="F256" s="11" t="s">
        <v>246</v>
      </c>
      <c r="G256" s="18" t="s">
        <v>247</v>
      </c>
      <c r="H256" s="11" t="s">
        <v>248</v>
      </c>
      <c r="I256" s="87" t="s">
        <v>249</v>
      </c>
      <c r="J256" s="19" t="s">
        <v>139</v>
      </c>
      <c r="K256" s="17" t="s">
        <v>140</v>
      </c>
      <c r="L256" s="257">
        <v>0</v>
      </c>
      <c r="M256" s="70" t="s">
        <v>250</v>
      </c>
      <c r="N256" s="70">
        <v>100</v>
      </c>
      <c r="O256" s="258">
        <v>8</v>
      </c>
      <c r="P256" s="70" t="s">
        <v>251</v>
      </c>
      <c r="Q256" s="70" t="s">
        <v>233</v>
      </c>
      <c r="R256" s="70" t="s">
        <v>240</v>
      </c>
      <c r="S256" s="70" t="s">
        <v>233</v>
      </c>
      <c r="T256" s="70" t="s">
        <v>233</v>
      </c>
      <c r="U256" s="70" t="s">
        <v>1427</v>
      </c>
      <c r="V256" s="70" t="s">
        <v>240</v>
      </c>
      <c r="W256" s="12"/>
      <c r="X256" s="242">
        <v>223.88540458549676</v>
      </c>
      <c r="Y256" s="242">
        <v>227.0461863368532</v>
      </c>
      <c r="Z256" s="242">
        <v>38.801320809754394</v>
      </c>
      <c r="AA256" s="157" t="s">
        <v>252</v>
      </c>
      <c r="AB256" s="242">
        <v>25.821307975030628</v>
      </c>
      <c r="AC256" s="157" t="s">
        <v>252</v>
      </c>
      <c r="AD256" s="242">
        <v>34.347491978297654</v>
      </c>
      <c r="AE256" s="157" t="s">
        <v>252</v>
      </c>
      <c r="AF256" s="242">
        <v>20.802699959162247</v>
      </c>
      <c r="AG256" s="157" t="s">
        <v>252</v>
      </c>
      <c r="AH256" s="242">
        <v>8.877932442681292</v>
      </c>
      <c r="AI256" s="157" t="s">
        <v>252</v>
      </c>
      <c r="AJ256" s="242">
        <v>4.3497905606440694</v>
      </c>
      <c r="AK256" s="242" t="s">
        <v>252</v>
      </c>
      <c r="AL256" s="242">
        <v>4.3795157808762619</v>
      </c>
      <c r="AM256" s="242" t="s">
        <v>252</v>
      </c>
      <c r="AN256" s="242">
        <v>3.1261023277521733</v>
      </c>
      <c r="AO256" s="242" t="s">
        <v>252</v>
      </c>
      <c r="AP256" s="242">
        <v>4.6470427629659889</v>
      </c>
      <c r="AQ256" s="242" t="s">
        <v>252</v>
      </c>
      <c r="AR256" s="242">
        <v>16.076389942243747</v>
      </c>
      <c r="AS256" s="242" t="s">
        <v>252</v>
      </c>
      <c r="AT256" s="242">
        <v>25.665983790910683</v>
      </c>
      <c r="AU256" s="242" t="s">
        <v>252</v>
      </c>
      <c r="AV256" s="242">
        <v>26.955161638177472</v>
      </c>
      <c r="AW256" s="157" t="s">
        <v>252</v>
      </c>
      <c r="AX256" s="157">
        <v>664.78233089084665</v>
      </c>
      <c r="AY256" s="243">
        <v>9.1157342045388251E-2</v>
      </c>
      <c r="AZ256" s="156" t="s">
        <v>253</v>
      </c>
      <c r="BA256" s="156" t="s">
        <v>254</v>
      </c>
      <c r="BB256" s="156">
        <v>0</v>
      </c>
      <c r="BC256" s="156" t="s">
        <v>1423</v>
      </c>
      <c r="BD256" s="3"/>
    </row>
    <row r="257" spans="1:56" ht="15.75" hidden="1" customHeight="1" outlineLevel="1">
      <c r="A257" s="58">
        <v>247</v>
      </c>
      <c r="B257" s="11">
        <v>129247</v>
      </c>
      <c r="C257" s="89" t="s">
        <v>285</v>
      </c>
      <c r="D257" s="157" t="s">
        <v>206</v>
      </c>
      <c r="E257" s="12" t="s">
        <v>191</v>
      </c>
      <c r="F257" s="11" t="s">
        <v>246</v>
      </c>
      <c r="G257" s="18" t="s">
        <v>247</v>
      </c>
      <c r="H257" s="11" t="s">
        <v>248</v>
      </c>
      <c r="I257" s="87" t="s">
        <v>249</v>
      </c>
      <c r="J257" s="19" t="s">
        <v>139</v>
      </c>
      <c r="K257" s="17" t="s">
        <v>140</v>
      </c>
      <c r="L257" s="257">
        <v>0</v>
      </c>
      <c r="M257" s="70" t="s">
        <v>250</v>
      </c>
      <c r="N257" s="70">
        <v>100</v>
      </c>
      <c r="O257" s="258">
        <v>8</v>
      </c>
      <c r="P257" s="70" t="s">
        <v>251</v>
      </c>
      <c r="Q257" s="70" t="s">
        <v>240</v>
      </c>
      <c r="R257" s="70" t="s">
        <v>240</v>
      </c>
      <c r="S257" s="70" t="s">
        <v>240</v>
      </c>
      <c r="T257" s="70" t="s">
        <v>240</v>
      </c>
      <c r="U257" s="70" t="s">
        <v>1427</v>
      </c>
      <c r="V257" s="70" t="s">
        <v>240</v>
      </c>
      <c r="W257" s="12"/>
      <c r="X257" s="242">
        <v>67.649676343664197</v>
      </c>
      <c r="Y257" s="242">
        <v>46.696071008238519</v>
      </c>
      <c r="Z257" s="242">
        <v>0</v>
      </c>
      <c r="AA257" s="157" t="s">
        <v>252</v>
      </c>
      <c r="AB257" s="242">
        <v>0</v>
      </c>
      <c r="AC257" s="157" t="s">
        <v>252</v>
      </c>
      <c r="AD257" s="242">
        <v>0</v>
      </c>
      <c r="AE257" s="157" t="s">
        <v>252</v>
      </c>
      <c r="AF257" s="242">
        <v>0</v>
      </c>
      <c r="AG257" s="157" t="s">
        <v>252</v>
      </c>
      <c r="AH257" s="242">
        <v>0</v>
      </c>
      <c r="AI257" s="157" t="s">
        <v>252</v>
      </c>
      <c r="AJ257" s="242">
        <v>0</v>
      </c>
      <c r="AK257" s="242" t="s">
        <v>252</v>
      </c>
      <c r="AL257" s="242">
        <v>0</v>
      </c>
      <c r="AM257" s="242" t="s">
        <v>252</v>
      </c>
      <c r="AN257" s="242">
        <v>0</v>
      </c>
      <c r="AO257" s="242" t="s">
        <v>252</v>
      </c>
      <c r="AP257" s="242">
        <v>0</v>
      </c>
      <c r="AQ257" s="242" t="s">
        <v>252</v>
      </c>
      <c r="AR257" s="242">
        <v>0</v>
      </c>
      <c r="AS257" s="242" t="s">
        <v>252</v>
      </c>
      <c r="AT257" s="242">
        <v>0</v>
      </c>
      <c r="AU257" s="242" t="s">
        <v>252</v>
      </c>
      <c r="AV257" s="242">
        <v>0</v>
      </c>
      <c r="AW257" s="157" t="s">
        <v>252</v>
      </c>
      <c r="AX257" s="157">
        <v>114.34574735190272</v>
      </c>
      <c r="AY257" s="243">
        <v>0.21228324833267948</v>
      </c>
      <c r="AZ257" s="156" t="s">
        <v>253</v>
      </c>
      <c r="BA257" s="156" t="s">
        <v>254</v>
      </c>
      <c r="BB257" s="157">
        <v>1</v>
      </c>
      <c r="BC257" s="156" t="s">
        <v>1423</v>
      </c>
      <c r="BD257" s="3"/>
    </row>
    <row r="258" spans="1:56" ht="15.75" hidden="1" customHeight="1" outlineLevel="1">
      <c r="A258" s="58">
        <v>248</v>
      </c>
      <c r="B258" s="11">
        <v>129248</v>
      </c>
      <c r="C258" s="89" t="s">
        <v>285</v>
      </c>
      <c r="D258" s="157" t="s">
        <v>206</v>
      </c>
      <c r="E258" s="12" t="s">
        <v>231</v>
      </c>
      <c r="F258" s="11" t="s">
        <v>246</v>
      </c>
      <c r="G258" s="18" t="s">
        <v>247</v>
      </c>
      <c r="H258" s="11" t="s">
        <v>248</v>
      </c>
      <c r="I258" s="87" t="s">
        <v>249</v>
      </c>
      <c r="J258" s="19" t="s">
        <v>139</v>
      </c>
      <c r="K258" s="17" t="s">
        <v>140</v>
      </c>
      <c r="L258" s="257">
        <v>0</v>
      </c>
      <c r="M258" s="70" t="s">
        <v>250</v>
      </c>
      <c r="N258" s="70">
        <v>100</v>
      </c>
      <c r="O258" s="258">
        <v>8</v>
      </c>
      <c r="P258" s="70" t="s">
        <v>251</v>
      </c>
      <c r="Q258" s="70" t="s">
        <v>240</v>
      </c>
      <c r="R258" s="70" t="s">
        <v>240</v>
      </c>
      <c r="S258" s="70" t="s">
        <v>240</v>
      </c>
      <c r="T258" s="70" t="s">
        <v>240</v>
      </c>
      <c r="U258" s="70" t="s">
        <v>1427</v>
      </c>
      <c r="V258" s="70" t="s">
        <v>240</v>
      </c>
      <c r="W258" s="12"/>
      <c r="X258" s="242">
        <v>40.700323656335826</v>
      </c>
      <c r="Y258" s="242">
        <v>28.093928991761473</v>
      </c>
      <c r="Z258" s="242">
        <v>0</v>
      </c>
      <c r="AA258" s="157" t="s">
        <v>252</v>
      </c>
      <c r="AB258" s="242">
        <v>0</v>
      </c>
      <c r="AC258" s="157" t="s">
        <v>252</v>
      </c>
      <c r="AD258" s="242">
        <v>0</v>
      </c>
      <c r="AE258" s="157" t="s">
        <v>252</v>
      </c>
      <c r="AF258" s="242">
        <v>0</v>
      </c>
      <c r="AG258" s="157" t="s">
        <v>252</v>
      </c>
      <c r="AH258" s="242">
        <v>0</v>
      </c>
      <c r="AI258" s="157" t="s">
        <v>252</v>
      </c>
      <c r="AJ258" s="242">
        <v>0</v>
      </c>
      <c r="AK258" s="242" t="s">
        <v>252</v>
      </c>
      <c r="AL258" s="242">
        <v>0</v>
      </c>
      <c r="AM258" s="242" t="s">
        <v>252</v>
      </c>
      <c r="AN258" s="242">
        <v>0</v>
      </c>
      <c r="AO258" s="242" t="s">
        <v>252</v>
      </c>
      <c r="AP258" s="242">
        <v>0</v>
      </c>
      <c r="AQ258" s="242" t="s">
        <v>252</v>
      </c>
      <c r="AR258" s="242">
        <v>0</v>
      </c>
      <c r="AS258" s="242" t="s">
        <v>252</v>
      </c>
      <c r="AT258" s="242">
        <v>0</v>
      </c>
      <c r="AU258" s="242" t="s">
        <v>252</v>
      </c>
      <c r="AV258" s="242">
        <v>0</v>
      </c>
      <c r="AW258" s="157" t="s">
        <v>252</v>
      </c>
      <c r="AX258" s="157">
        <v>68.794252648097299</v>
      </c>
      <c r="AY258" s="243">
        <v>0.12771675166732052</v>
      </c>
      <c r="AZ258" s="156" t="s">
        <v>253</v>
      </c>
      <c r="BA258" s="156" t="s">
        <v>254</v>
      </c>
      <c r="BB258" s="156">
        <v>0</v>
      </c>
      <c r="BC258" s="156" t="s">
        <v>1423</v>
      </c>
      <c r="BD258" s="3"/>
    </row>
    <row r="259" spans="1:56" ht="15.75" hidden="1" customHeight="1" outlineLevel="1">
      <c r="A259" s="58">
        <v>249</v>
      </c>
      <c r="B259" s="11">
        <v>129249</v>
      </c>
      <c r="C259" s="89" t="s">
        <v>291</v>
      </c>
      <c r="D259" s="157">
        <v>35</v>
      </c>
      <c r="E259" s="12" t="s">
        <v>191</v>
      </c>
      <c r="F259" s="11" t="s">
        <v>246</v>
      </c>
      <c r="G259" s="18" t="s">
        <v>247</v>
      </c>
      <c r="H259" s="11" t="s">
        <v>248</v>
      </c>
      <c r="I259" s="87" t="s">
        <v>249</v>
      </c>
      <c r="J259" s="19" t="s">
        <v>139</v>
      </c>
      <c r="K259" s="17" t="s">
        <v>140</v>
      </c>
      <c r="L259" s="257">
        <v>0</v>
      </c>
      <c r="M259" s="70" t="s">
        <v>250</v>
      </c>
      <c r="N259" s="70">
        <v>100</v>
      </c>
      <c r="O259" s="258">
        <v>8</v>
      </c>
      <c r="P259" s="70" t="s">
        <v>251</v>
      </c>
      <c r="Q259" s="70" t="s">
        <v>240</v>
      </c>
      <c r="R259" s="70" t="s">
        <v>240</v>
      </c>
      <c r="S259" s="70" t="s">
        <v>240</v>
      </c>
      <c r="T259" s="70" t="s">
        <v>240</v>
      </c>
      <c r="U259" s="70" t="s">
        <v>1427</v>
      </c>
      <c r="V259" s="70" t="s">
        <v>240</v>
      </c>
      <c r="W259" s="12"/>
      <c r="X259" s="242">
        <v>0</v>
      </c>
      <c r="Y259" s="242">
        <v>0</v>
      </c>
      <c r="Z259" s="242">
        <v>0</v>
      </c>
      <c r="AA259" s="157"/>
      <c r="AB259" s="242">
        <v>0</v>
      </c>
      <c r="AC259" s="157"/>
      <c r="AD259" s="242">
        <v>0</v>
      </c>
      <c r="AE259" s="157"/>
      <c r="AF259" s="242">
        <v>0</v>
      </c>
      <c r="AG259" s="157"/>
      <c r="AH259" s="242">
        <v>0</v>
      </c>
      <c r="AI259" s="157"/>
      <c r="AJ259" s="242">
        <v>0</v>
      </c>
      <c r="AK259" s="242"/>
      <c r="AL259" s="242">
        <v>0</v>
      </c>
      <c r="AM259" s="242"/>
      <c r="AN259" s="242">
        <v>0</v>
      </c>
      <c r="AO259" s="242"/>
      <c r="AP259" s="242">
        <v>0</v>
      </c>
      <c r="AQ259" s="242"/>
      <c r="AR259" s="242">
        <v>0</v>
      </c>
      <c r="AS259" s="242"/>
      <c r="AT259" s="242">
        <v>0</v>
      </c>
      <c r="AU259" s="242"/>
      <c r="AV259" s="242">
        <v>0</v>
      </c>
      <c r="AW259" s="157"/>
      <c r="AX259" s="157">
        <v>0</v>
      </c>
      <c r="AY259" s="243">
        <v>0.372</v>
      </c>
      <c r="AZ259" s="156" t="s">
        <v>253</v>
      </c>
      <c r="BA259" s="156" t="s">
        <v>254</v>
      </c>
      <c r="BB259" s="156">
        <v>0</v>
      </c>
      <c r="BC259" s="156" t="s">
        <v>1423</v>
      </c>
      <c r="BD259" s="3"/>
    </row>
    <row r="260" spans="1:56" ht="15.75" hidden="1" customHeight="1" outlineLevel="1">
      <c r="A260" s="58">
        <v>250</v>
      </c>
      <c r="B260" s="11">
        <v>129250</v>
      </c>
      <c r="C260" s="89" t="s">
        <v>291</v>
      </c>
      <c r="D260" s="157">
        <v>46</v>
      </c>
      <c r="E260" s="12" t="s">
        <v>191</v>
      </c>
      <c r="F260" s="11" t="s">
        <v>246</v>
      </c>
      <c r="G260" s="18" t="s">
        <v>247</v>
      </c>
      <c r="H260" s="11" t="s">
        <v>248</v>
      </c>
      <c r="I260" s="87" t="s">
        <v>249</v>
      </c>
      <c r="J260" s="19" t="s">
        <v>139</v>
      </c>
      <c r="K260" s="17" t="s">
        <v>140</v>
      </c>
      <c r="L260" s="260">
        <v>1</v>
      </c>
      <c r="M260" s="70" t="s">
        <v>250</v>
      </c>
      <c r="N260" s="70">
        <v>100</v>
      </c>
      <c r="O260" s="258">
        <v>8</v>
      </c>
      <c r="P260" s="70" t="s">
        <v>251</v>
      </c>
      <c r="Q260" s="70" t="s">
        <v>233</v>
      </c>
      <c r="R260" s="70" t="s">
        <v>240</v>
      </c>
      <c r="S260" s="70" t="s">
        <v>233</v>
      </c>
      <c r="T260" s="70" t="s">
        <v>233</v>
      </c>
      <c r="U260" s="70" t="s">
        <v>1427</v>
      </c>
      <c r="V260" s="70" t="s">
        <v>240</v>
      </c>
      <c r="W260" s="12"/>
      <c r="X260" s="242">
        <v>1115.3000000000002</v>
      </c>
      <c r="Y260" s="242">
        <v>995.39999999999986</v>
      </c>
      <c r="Z260" s="242">
        <v>191.35</v>
      </c>
      <c r="AA260" s="157" t="s">
        <v>252</v>
      </c>
      <c r="AB260" s="242">
        <v>142.97999999999999</v>
      </c>
      <c r="AC260" s="157" t="s">
        <v>252</v>
      </c>
      <c r="AD260" s="242">
        <v>178.72</v>
      </c>
      <c r="AE260" s="157" t="s">
        <v>252</v>
      </c>
      <c r="AF260" s="242">
        <v>101.51</v>
      </c>
      <c r="AG260" s="157" t="s">
        <v>252</v>
      </c>
      <c r="AH260" s="242">
        <v>152.66999999999999</v>
      </c>
      <c r="AI260" s="157" t="s">
        <v>259</v>
      </c>
      <c r="AJ260" s="242">
        <v>9.7666000000000004</v>
      </c>
      <c r="AK260" s="242" t="s">
        <v>259</v>
      </c>
      <c r="AL260" s="242">
        <v>9.7666000000000004</v>
      </c>
      <c r="AM260" s="242" t="s">
        <v>259</v>
      </c>
      <c r="AN260" s="242">
        <v>9.7666000000000004</v>
      </c>
      <c r="AO260" s="242" t="s">
        <v>259</v>
      </c>
      <c r="AP260" s="242">
        <v>32.707880000000003</v>
      </c>
      <c r="AQ260" s="242" t="s">
        <v>259</v>
      </c>
      <c r="AR260" s="242">
        <v>150.1602</v>
      </c>
      <c r="AS260" s="242" t="s">
        <v>259</v>
      </c>
      <c r="AT260" s="242">
        <v>143.28</v>
      </c>
      <c r="AU260" s="242" t="s">
        <v>259</v>
      </c>
      <c r="AV260" s="242">
        <v>157.80297999999999</v>
      </c>
      <c r="AW260" s="157" t="s">
        <v>259</v>
      </c>
      <c r="AX260" s="157">
        <v>3391.1808599999995</v>
      </c>
      <c r="AY260" s="240">
        <v>0.81</v>
      </c>
      <c r="AZ260" s="156" t="s">
        <v>253</v>
      </c>
      <c r="BA260" s="156" t="s">
        <v>254</v>
      </c>
      <c r="BB260" s="156">
        <v>1</v>
      </c>
      <c r="BC260" s="156" t="s">
        <v>1423</v>
      </c>
      <c r="BD260" s="3"/>
    </row>
    <row r="261" spans="1:56" ht="15.75" hidden="1" customHeight="1" outlineLevel="1">
      <c r="A261" s="58">
        <v>251</v>
      </c>
      <c r="B261" s="11">
        <v>129251</v>
      </c>
      <c r="C261" s="89" t="s">
        <v>291</v>
      </c>
      <c r="D261" s="157">
        <v>47</v>
      </c>
      <c r="E261" s="12" t="s">
        <v>191</v>
      </c>
      <c r="F261" s="11" t="s">
        <v>246</v>
      </c>
      <c r="G261" s="18" t="s">
        <v>247</v>
      </c>
      <c r="H261" s="11" t="s">
        <v>248</v>
      </c>
      <c r="I261" s="87" t="s">
        <v>249</v>
      </c>
      <c r="J261" s="19" t="s">
        <v>139</v>
      </c>
      <c r="K261" s="17" t="s">
        <v>140</v>
      </c>
      <c r="L261" s="260">
        <v>1</v>
      </c>
      <c r="M261" s="70" t="s">
        <v>250</v>
      </c>
      <c r="N261" s="70">
        <v>100</v>
      </c>
      <c r="O261" s="258">
        <v>8</v>
      </c>
      <c r="P261" s="70" t="s">
        <v>251</v>
      </c>
      <c r="Q261" s="70" t="s">
        <v>233</v>
      </c>
      <c r="R261" s="70" t="s">
        <v>240</v>
      </c>
      <c r="S261" s="70" t="s">
        <v>233</v>
      </c>
      <c r="T261" s="70" t="s">
        <v>233</v>
      </c>
      <c r="U261" s="70" t="s">
        <v>1427</v>
      </c>
      <c r="V261" s="70" t="s">
        <v>240</v>
      </c>
      <c r="W261" s="12"/>
      <c r="X261" s="242">
        <v>668.81</v>
      </c>
      <c r="Y261" s="242">
        <v>661.33</v>
      </c>
      <c r="Z261" s="242">
        <v>95.08</v>
      </c>
      <c r="AA261" s="157" t="s">
        <v>252</v>
      </c>
      <c r="AB261" s="242">
        <v>75.56</v>
      </c>
      <c r="AC261" s="157" t="s">
        <v>252</v>
      </c>
      <c r="AD261" s="242">
        <v>94.16</v>
      </c>
      <c r="AE261" s="157" t="s">
        <v>252</v>
      </c>
      <c r="AF261" s="242">
        <v>63.83</v>
      </c>
      <c r="AG261" s="157" t="s">
        <v>252</v>
      </c>
      <c r="AH261" s="242">
        <v>27.66</v>
      </c>
      <c r="AI261" s="157" t="s">
        <v>252</v>
      </c>
      <c r="AJ261" s="242">
        <v>8.7100000000000009</v>
      </c>
      <c r="AK261" s="242" t="s">
        <v>252</v>
      </c>
      <c r="AL261" s="242">
        <v>17.97</v>
      </c>
      <c r="AM261" s="242" t="s">
        <v>259</v>
      </c>
      <c r="AN261" s="242">
        <v>0.89</v>
      </c>
      <c r="AO261" s="242" t="s">
        <v>259</v>
      </c>
      <c r="AP261" s="242">
        <v>19.811399999999999</v>
      </c>
      <c r="AQ261" s="242" t="s">
        <v>259</v>
      </c>
      <c r="AR261" s="242">
        <v>81.816000000000003</v>
      </c>
      <c r="AS261" s="242" t="s">
        <v>259</v>
      </c>
      <c r="AT261" s="242">
        <v>87.511579999999995</v>
      </c>
      <c r="AU261" s="242" t="s">
        <v>259</v>
      </c>
      <c r="AV261" s="242">
        <v>77.612110000000001</v>
      </c>
      <c r="AW261" s="157" t="s">
        <v>259</v>
      </c>
      <c r="AX261" s="157">
        <v>1980.7510900000002</v>
      </c>
      <c r="AY261" s="240">
        <v>0.28000000000000003</v>
      </c>
      <c r="AZ261" s="156" t="s">
        <v>253</v>
      </c>
      <c r="BA261" s="156" t="s">
        <v>254</v>
      </c>
      <c r="BB261" s="156">
        <v>1</v>
      </c>
      <c r="BC261" s="156" t="s">
        <v>1423</v>
      </c>
      <c r="BD261" s="3"/>
    </row>
    <row r="262" spans="1:56" ht="15.75" hidden="1" customHeight="1" outlineLevel="1">
      <c r="A262" s="58">
        <v>252</v>
      </c>
      <c r="B262" s="11">
        <v>129252</v>
      </c>
      <c r="C262" s="89" t="s">
        <v>291</v>
      </c>
      <c r="D262" s="157">
        <v>49</v>
      </c>
      <c r="E262" s="12" t="s">
        <v>191</v>
      </c>
      <c r="F262" s="11" t="s">
        <v>246</v>
      </c>
      <c r="G262" s="18" t="s">
        <v>247</v>
      </c>
      <c r="H262" s="11" t="s">
        <v>248</v>
      </c>
      <c r="I262" s="87" t="s">
        <v>249</v>
      </c>
      <c r="J262" s="19" t="s">
        <v>139</v>
      </c>
      <c r="K262" s="17" t="s">
        <v>140</v>
      </c>
      <c r="L262" s="260">
        <v>1</v>
      </c>
      <c r="M262" s="70" t="s">
        <v>250</v>
      </c>
      <c r="N262" s="70">
        <v>80</v>
      </c>
      <c r="O262" s="258">
        <v>8</v>
      </c>
      <c r="P262" s="70" t="s">
        <v>251</v>
      </c>
      <c r="Q262" s="70" t="s">
        <v>233</v>
      </c>
      <c r="R262" s="70" t="s">
        <v>240</v>
      </c>
      <c r="S262" s="70" t="s">
        <v>233</v>
      </c>
      <c r="T262" s="70" t="s">
        <v>233</v>
      </c>
      <c r="U262" s="70" t="s">
        <v>1427</v>
      </c>
      <c r="V262" s="70" t="s">
        <v>240</v>
      </c>
      <c r="W262" s="12"/>
      <c r="X262" s="242">
        <v>703.43000000000006</v>
      </c>
      <c r="Y262" s="242">
        <v>725.80000000000018</v>
      </c>
      <c r="Z262" s="242">
        <v>110.67</v>
      </c>
      <c r="AA262" s="157" t="s">
        <v>252</v>
      </c>
      <c r="AB262" s="242">
        <v>94.24</v>
      </c>
      <c r="AC262" s="157" t="s">
        <v>252</v>
      </c>
      <c r="AD262" s="242">
        <v>224.04</v>
      </c>
      <c r="AE262" s="157" t="s">
        <v>252</v>
      </c>
      <c r="AF262" s="242">
        <v>113.04</v>
      </c>
      <c r="AG262" s="157" t="s">
        <v>252</v>
      </c>
      <c r="AH262" s="242">
        <v>92.69</v>
      </c>
      <c r="AI262" s="157" t="s">
        <v>259</v>
      </c>
      <c r="AJ262" s="242">
        <v>11.083</v>
      </c>
      <c r="AK262" s="242" t="s">
        <v>259</v>
      </c>
      <c r="AL262" s="242">
        <v>11.083</v>
      </c>
      <c r="AM262" s="242" t="s">
        <v>259</v>
      </c>
      <c r="AN262" s="242">
        <v>11.083</v>
      </c>
      <c r="AO262" s="242" t="s">
        <v>259</v>
      </c>
      <c r="AP262" s="242">
        <v>22.339040000000001</v>
      </c>
      <c r="AQ262" s="242" t="s">
        <v>259</v>
      </c>
      <c r="AR262" s="242">
        <v>122.94734</v>
      </c>
      <c r="AS262" s="242" t="s">
        <v>259</v>
      </c>
      <c r="AT262" s="242">
        <v>121.76353</v>
      </c>
      <c r="AU262" s="242" t="s">
        <v>259</v>
      </c>
      <c r="AV262" s="242">
        <v>78.141059999999996</v>
      </c>
      <c r="AW262" s="157" t="s">
        <v>259</v>
      </c>
      <c r="AX262" s="157">
        <v>2442.3499700000007</v>
      </c>
      <c r="AY262" s="240">
        <v>0.38</v>
      </c>
      <c r="AZ262" s="156" t="s">
        <v>253</v>
      </c>
      <c r="BA262" s="156" t="s">
        <v>254</v>
      </c>
      <c r="BB262" s="156">
        <v>1</v>
      </c>
      <c r="BC262" s="156" t="s">
        <v>1423</v>
      </c>
      <c r="BD262" s="3"/>
    </row>
    <row r="263" spans="1:56" ht="15.75" hidden="1" customHeight="1" outlineLevel="1">
      <c r="A263" s="58">
        <v>253</v>
      </c>
      <c r="B263" s="11">
        <v>129253</v>
      </c>
      <c r="C263" s="89" t="s">
        <v>291</v>
      </c>
      <c r="D263" s="157">
        <v>50</v>
      </c>
      <c r="E263" s="12" t="s">
        <v>191</v>
      </c>
      <c r="F263" s="11" t="s">
        <v>246</v>
      </c>
      <c r="G263" s="18" t="s">
        <v>247</v>
      </c>
      <c r="H263" s="11" t="s">
        <v>248</v>
      </c>
      <c r="I263" s="87" t="s">
        <v>249</v>
      </c>
      <c r="J263" s="19" t="s">
        <v>139</v>
      </c>
      <c r="K263" s="17" t="s">
        <v>140</v>
      </c>
      <c r="L263" s="257">
        <v>0</v>
      </c>
      <c r="M263" s="70" t="s">
        <v>250</v>
      </c>
      <c r="N263" s="70">
        <v>80</v>
      </c>
      <c r="O263" s="258">
        <v>8</v>
      </c>
      <c r="P263" s="70" t="s">
        <v>251</v>
      </c>
      <c r="Q263" s="70" t="s">
        <v>233</v>
      </c>
      <c r="R263" s="70" t="s">
        <v>240</v>
      </c>
      <c r="S263" s="70" t="s">
        <v>233</v>
      </c>
      <c r="T263" s="70" t="s">
        <v>233</v>
      </c>
      <c r="U263" s="70" t="s">
        <v>1427</v>
      </c>
      <c r="V263" s="70" t="s">
        <v>240</v>
      </c>
      <c r="W263" s="12"/>
      <c r="X263" s="242">
        <v>818.08</v>
      </c>
      <c r="Y263" s="242">
        <v>481.90999999999997</v>
      </c>
      <c r="Z263" s="242">
        <v>93.12</v>
      </c>
      <c r="AA263" s="157" t="s">
        <v>252</v>
      </c>
      <c r="AB263" s="242">
        <v>69.64</v>
      </c>
      <c r="AC263" s="157" t="s">
        <v>252</v>
      </c>
      <c r="AD263" s="242">
        <v>86.98</v>
      </c>
      <c r="AE263" s="157" t="s">
        <v>252</v>
      </c>
      <c r="AF263" s="242">
        <v>49.41</v>
      </c>
      <c r="AG263" s="157" t="s">
        <v>252</v>
      </c>
      <c r="AH263" s="242">
        <v>90.41</v>
      </c>
      <c r="AI263" s="157" t="s">
        <v>259</v>
      </c>
      <c r="AJ263" s="242">
        <v>4.82</v>
      </c>
      <c r="AK263" s="242" t="s">
        <v>259</v>
      </c>
      <c r="AL263" s="242">
        <v>4.82</v>
      </c>
      <c r="AM263" s="242" t="s">
        <v>259</v>
      </c>
      <c r="AN263" s="242">
        <v>4.82</v>
      </c>
      <c r="AO263" s="242" t="s">
        <v>259</v>
      </c>
      <c r="AP263" s="242">
        <v>15.907579999999999</v>
      </c>
      <c r="AQ263" s="242" t="s">
        <v>259</v>
      </c>
      <c r="AR263" s="242">
        <v>73.067790000000002</v>
      </c>
      <c r="AS263" s="242" t="s">
        <v>259</v>
      </c>
      <c r="AT263" s="242">
        <v>85.57</v>
      </c>
      <c r="AU263" s="242" t="s">
        <v>259</v>
      </c>
      <c r="AV263" s="242">
        <v>76.828209999999999</v>
      </c>
      <c r="AW263" s="157" t="s">
        <v>259</v>
      </c>
      <c r="AX263" s="157">
        <v>1955.3835800000002</v>
      </c>
      <c r="AY263" s="240">
        <v>0.39</v>
      </c>
      <c r="AZ263" s="156" t="s">
        <v>253</v>
      </c>
      <c r="BA263" s="156" t="s">
        <v>254</v>
      </c>
      <c r="BB263" s="156">
        <v>0</v>
      </c>
      <c r="BC263" s="156" t="s">
        <v>1423</v>
      </c>
      <c r="BD263" s="3"/>
    </row>
    <row r="264" spans="1:56" ht="15.75" hidden="1" customHeight="1" outlineLevel="1">
      <c r="A264" s="58">
        <v>254</v>
      </c>
      <c r="B264" s="11">
        <v>129254</v>
      </c>
      <c r="C264" s="89" t="s">
        <v>291</v>
      </c>
      <c r="D264" s="157">
        <v>52</v>
      </c>
      <c r="E264" s="12" t="s">
        <v>191</v>
      </c>
      <c r="F264" s="11" t="s">
        <v>246</v>
      </c>
      <c r="G264" s="18" t="s">
        <v>247</v>
      </c>
      <c r="H264" s="11" t="s">
        <v>248</v>
      </c>
      <c r="I264" s="87" t="s">
        <v>249</v>
      </c>
      <c r="J264" s="19" t="s">
        <v>139</v>
      </c>
      <c r="K264" s="17" t="s">
        <v>140</v>
      </c>
      <c r="L264" s="260">
        <v>1</v>
      </c>
      <c r="M264" s="70" t="s">
        <v>250</v>
      </c>
      <c r="N264" s="70">
        <v>80</v>
      </c>
      <c r="O264" s="258">
        <v>8</v>
      </c>
      <c r="P264" s="70" t="s">
        <v>251</v>
      </c>
      <c r="Q264" s="70" t="s">
        <v>233</v>
      </c>
      <c r="R264" s="70" t="s">
        <v>240</v>
      </c>
      <c r="S264" s="70" t="s">
        <v>233</v>
      </c>
      <c r="T264" s="70" t="s">
        <v>233</v>
      </c>
      <c r="U264" s="70" t="s">
        <v>1427</v>
      </c>
      <c r="V264" s="70" t="s">
        <v>240</v>
      </c>
      <c r="W264" s="12"/>
      <c r="X264" s="242">
        <v>878.68000000000006</v>
      </c>
      <c r="Y264" s="242">
        <v>890.71</v>
      </c>
      <c r="Z264" s="242">
        <v>127.39</v>
      </c>
      <c r="AA264" s="157" t="s">
        <v>252</v>
      </c>
      <c r="AB264" s="242">
        <v>96.67</v>
      </c>
      <c r="AC264" s="157" t="s">
        <v>252</v>
      </c>
      <c r="AD264" s="242">
        <v>122.88</v>
      </c>
      <c r="AE264" s="157" t="s">
        <v>252</v>
      </c>
      <c r="AF264" s="242">
        <v>74.680000000000007</v>
      </c>
      <c r="AG264" s="157" t="s">
        <v>252</v>
      </c>
      <c r="AH264" s="242">
        <v>16.54</v>
      </c>
      <c r="AI264" s="157" t="s">
        <v>252</v>
      </c>
      <c r="AJ264" s="242">
        <v>8.91</v>
      </c>
      <c r="AK264" s="242" t="s">
        <v>252</v>
      </c>
      <c r="AL264" s="242">
        <v>7.71</v>
      </c>
      <c r="AM264" s="242" t="s">
        <v>252</v>
      </c>
      <c r="AN264" s="242">
        <v>8.6199999999999992</v>
      </c>
      <c r="AO264" s="242" t="s">
        <v>252</v>
      </c>
      <c r="AP264" s="242">
        <v>16.489999999999998</v>
      </c>
      <c r="AQ264" s="242" t="s">
        <v>252</v>
      </c>
      <c r="AR264" s="242">
        <v>70.97</v>
      </c>
      <c r="AS264" s="242" t="s">
        <v>252</v>
      </c>
      <c r="AT264" s="242">
        <v>94.91</v>
      </c>
      <c r="AU264" s="242" t="s">
        <v>252</v>
      </c>
      <c r="AV264" s="242">
        <v>110.49</v>
      </c>
      <c r="AW264" s="157" t="s">
        <v>252</v>
      </c>
      <c r="AX264" s="157">
        <v>2525.6499999999992</v>
      </c>
      <c r="AY264" s="240">
        <v>0.56999999999999995</v>
      </c>
      <c r="AZ264" s="156" t="s">
        <v>253</v>
      </c>
      <c r="BA264" s="156" t="s">
        <v>254</v>
      </c>
      <c r="BB264" s="156">
        <v>0</v>
      </c>
      <c r="BC264" s="156" t="s">
        <v>1423</v>
      </c>
      <c r="BD264" s="3"/>
    </row>
    <row r="265" spans="1:56" ht="15.75" hidden="1" customHeight="1" outlineLevel="1">
      <c r="A265" s="58">
        <v>255</v>
      </c>
      <c r="B265" s="11">
        <v>129255</v>
      </c>
      <c r="C265" s="89" t="s">
        <v>291</v>
      </c>
      <c r="D265" s="157" t="s">
        <v>292</v>
      </c>
      <c r="E265" s="12" t="s">
        <v>191</v>
      </c>
      <c r="F265" s="11" t="s">
        <v>246</v>
      </c>
      <c r="G265" s="18" t="s">
        <v>247</v>
      </c>
      <c r="H265" s="11" t="s">
        <v>248</v>
      </c>
      <c r="I265" s="87" t="s">
        <v>249</v>
      </c>
      <c r="J265" s="19" t="s">
        <v>139</v>
      </c>
      <c r="K265" s="17" t="s">
        <v>140</v>
      </c>
      <c r="L265" s="260">
        <v>1</v>
      </c>
      <c r="M265" s="70" t="s">
        <v>250</v>
      </c>
      <c r="N265" s="70">
        <v>100</v>
      </c>
      <c r="O265" s="258">
        <v>8</v>
      </c>
      <c r="P265" s="70" t="s">
        <v>251</v>
      </c>
      <c r="Q265" s="70" t="s">
        <v>233</v>
      </c>
      <c r="R265" s="70" t="s">
        <v>240</v>
      </c>
      <c r="S265" s="70" t="s">
        <v>233</v>
      </c>
      <c r="T265" s="70" t="s">
        <v>233</v>
      </c>
      <c r="U265" s="70" t="s">
        <v>1427</v>
      </c>
      <c r="V265" s="70" t="s">
        <v>240</v>
      </c>
      <c r="W265" s="12"/>
      <c r="X265" s="242">
        <v>971.44</v>
      </c>
      <c r="Y265" s="242">
        <v>1027.8000000000002</v>
      </c>
      <c r="Z265" s="242">
        <v>139.12</v>
      </c>
      <c r="AA265" s="157" t="s">
        <v>252</v>
      </c>
      <c r="AB265" s="242">
        <v>109.68</v>
      </c>
      <c r="AC265" s="157" t="s">
        <v>252</v>
      </c>
      <c r="AD265" s="242">
        <v>87.39</v>
      </c>
      <c r="AE265" s="157" t="s">
        <v>252</v>
      </c>
      <c r="AF265" s="242">
        <v>130.72</v>
      </c>
      <c r="AG265" s="157" t="s">
        <v>252</v>
      </c>
      <c r="AH265" s="242">
        <v>34.86</v>
      </c>
      <c r="AI265" s="157" t="s">
        <v>252</v>
      </c>
      <c r="AJ265" s="242">
        <v>10.54</v>
      </c>
      <c r="AK265" s="242" t="s">
        <v>252</v>
      </c>
      <c r="AL265" s="242">
        <v>9.85</v>
      </c>
      <c r="AM265" s="242" t="s">
        <v>252</v>
      </c>
      <c r="AN265" s="242">
        <v>10.4</v>
      </c>
      <c r="AO265" s="242" t="s">
        <v>252</v>
      </c>
      <c r="AP265" s="242">
        <v>12.02</v>
      </c>
      <c r="AQ265" s="242" t="s">
        <v>252</v>
      </c>
      <c r="AR265" s="242">
        <v>77.16</v>
      </c>
      <c r="AS265" s="242" t="s">
        <v>252</v>
      </c>
      <c r="AT265" s="242">
        <v>75.39</v>
      </c>
      <c r="AU265" s="242" t="s">
        <v>252</v>
      </c>
      <c r="AV265" s="242">
        <v>117.12</v>
      </c>
      <c r="AW265" s="157" t="s">
        <v>252</v>
      </c>
      <c r="AX265" s="157">
        <v>2813.4899999999993</v>
      </c>
      <c r="AY265" s="240">
        <v>0.4</v>
      </c>
      <c r="AZ265" s="156" t="s">
        <v>253</v>
      </c>
      <c r="BA265" s="156" t="s">
        <v>254</v>
      </c>
      <c r="BB265" s="156">
        <v>0</v>
      </c>
      <c r="BC265" s="156" t="s">
        <v>1423</v>
      </c>
      <c r="BD265" s="3"/>
    </row>
    <row r="266" spans="1:56" ht="15.75" hidden="1" customHeight="1" outlineLevel="1">
      <c r="A266" s="58">
        <v>256</v>
      </c>
      <c r="B266" s="11">
        <v>129256</v>
      </c>
      <c r="C266" s="89" t="s">
        <v>291</v>
      </c>
      <c r="D266" s="157">
        <v>55</v>
      </c>
      <c r="E266" s="12" t="s">
        <v>191</v>
      </c>
      <c r="F266" s="11" t="s">
        <v>246</v>
      </c>
      <c r="G266" s="18" t="s">
        <v>247</v>
      </c>
      <c r="H266" s="11" t="s">
        <v>248</v>
      </c>
      <c r="I266" s="87" t="s">
        <v>249</v>
      </c>
      <c r="J266" s="19" t="s">
        <v>139</v>
      </c>
      <c r="K266" s="17" t="s">
        <v>140</v>
      </c>
      <c r="L266" s="260">
        <v>1</v>
      </c>
      <c r="M266" s="70" t="s">
        <v>250</v>
      </c>
      <c r="N266" s="70">
        <v>100</v>
      </c>
      <c r="O266" s="258">
        <v>8</v>
      </c>
      <c r="P266" s="70" t="s">
        <v>251</v>
      </c>
      <c r="Q266" s="70" t="s">
        <v>233</v>
      </c>
      <c r="R266" s="70" t="s">
        <v>240</v>
      </c>
      <c r="S266" s="70" t="s">
        <v>233</v>
      </c>
      <c r="T266" s="70" t="s">
        <v>233</v>
      </c>
      <c r="U266" s="70" t="s">
        <v>1427</v>
      </c>
      <c r="V266" s="70" t="s">
        <v>240</v>
      </c>
      <c r="W266" s="12"/>
      <c r="X266" s="242">
        <v>392.74</v>
      </c>
      <c r="Y266" s="242">
        <v>510.81000000000006</v>
      </c>
      <c r="Z266" s="242">
        <v>84.17</v>
      </c>
      <c r="AA266" s="157" t="s">
        <v>252</v>
      </c>
      <c r="AB266" s="242">
        <v>63.77</v>
      </c>
      <c r="AC266" s="157" t="s">
        <v>252</v>
      </c>
      <c r="AD266" s="242">
        <v>79.34</v>
      </c>
      <c r="AE266" s="157" t="s">
        <v>252</v>
      </c>
      <c r="AF266" s="242">
        <v>40.79</v>
      </c>
      <c r="AG266" s="157" t="s">
        <v>252</v>
      </c>
      <c r="AH266" s="242">
        <v>13.8</v>
      </c>
      <c r="AI266" s="157" t="s">
        <v>252</v>
      </c>
      <c r="AJ266" s="242">
        <v>0.51</v>
      </c>
      <c r="AK266" s="242" t="s">
        <v>252</v>
      </c>
      <c r="AL266" s="242">
        <v>0.67</v>
      </c>
      <c r="AM266" s="242" t="s">
        <v>252</v>
      </c>
      <c r="AN266" s="242">
        <v>0.67</v>
      </c>
      <c r="AO266" s="242" t="s">
        <v>252</v>
      </c>
      <c r="AP266" s="242">
        <v>0.24</v>
      </c>
      <c r="AQ266" s="242" t="s">
        <v>252</v>
      </c>
      <c r="AR266" s="242">
        <v>47.67</v>
      </c>
      <c r="AS266" s="242" t="s">
        <v>252</v>
      </c>
      <c r="AT266" s="242">
        <v>48.16</v>
      </c>
      <c r="AU266" s="242" t="s">
        <v>252</v>
      </c>
      <c r="AV266" s="242">
        <v>65.709999999999994</v>
      </c>
      <c r="AW266" s="157" t="s">
        <v>252</v>
      </c>
      <c r="AX266" s="157">
        <v>1349.0500000000002</v>
      </c>
      <c r="AY266" s="240">
        <v>0.24</v>
      </c>
      <c r="AZ266" s="156" t="s">
        <v>253</v>
      </c>
      <c r="BA266" s="156" t="s">
        <v>254</v>
      </c>
      <c r="BB266" s="156">
        <v>1</v>
      </c>
      <c r="BC266" s="156" t="s">
        <v>1423</v>
      </c>
      <c r="BD266" s="3"/>
    </row>
    <row r="267" spans="1:56" ht="15.75" hidden="1" customHeight="1" outlineLevel="1">
      <c r="A267" s="58">
        <v>257</v>
      </c>
      <c r="B267" s="11">
        <v>129257</v>
      </c>
      <c r="C267" s="89" t="s">
        <v>291</v>
      </c>
      <c r="D267" s="157">
        <v>56</v>
      </c>
      <c r="E267" s="12" t="s">
        <v>191</v>
      </c>
      <c r="F267" s="11" t="s">
        <v>246</v>
      </c>
      <c r="G267" s="18" t="s">
        <v>247</v>
      </c>
      <c r="H267" s="11" t="s">
        <v>248</v>
      </c>
      <c r="I267" s="87" t="s">
        <v>249</v>
      </c>
      <c r="J267" s="19" t="s">
        <v>139</v>
      </c>
      <c r="K267" s="17" t="s">
        <v>140</v>
      </c>
      <c r="L267" s="260">
        <v>1</v>
      </c>
      <c r="M267" s="70" t="s">
        <v>250</v>
      </c>
      <c r="N267" s="70">
        <v>100</v>
      </c>
      <c r="O267" s="258">
        <v>8</v>
      </c>
      <c r="P267" s="70" t="s">
        <v>251</v>
      </c>
      <c r="Q267" s="70" t="s">
        <v>233</v>
      </c>
      <c r="R267" s="70" t="s">
        <v>240</v>
      </c>
      <c r="S267" s="70" t="s">
        <v>233</v>
      </c>
      <c r="T267" s="70" t="s">
        <v>233</v>
      </c>
      <c r="U267" s="70" t="s">
        <v>1427</v>
      </c>
      <c r="V267" s="70" t="s">
        <v>240</v>
      </c>
      <c r="W267" s="12"/>
      <c r="X267" s="242">
        <v>392.8689444855994</v>
      </c>
      <c r="Y267" s="242">
        <v>353.36654230363428</v>
      </c>
      <c r="Z267" s="242">
        <v>49.445521134981021</v>
      </c>
      <c r="AA267" s="157" t="s">
        <v>252</v>
      </c>
      <c r="AB267" s="242">
        <v>40.0370377354255</v>
      </c>
      <c r="AC267" s="157" t="s">
        <v>252</v>
      </c>
      <c r="AD267" s="242">
        <v>38.7252515320897</v>
      </c>
      <c r="AE267" s="157" t="s">
        <v>252</v>
      </c>
      <c r="AF267" s="242">
        <v>37.022134150447833</v>
      </c>
      <c r="AG267" s="157" t="s">
        <v>252</v>
      </c>
      <c r="AH267" s="242">
        <v>43.250362762924546</v>
      </c>
      <c r="AI267" s="157" t="s">
        <v>259</v>
      </c>
      <c r="AJ267" s="242">
        <v>5.1920277459761586</v>
      </c>
      <c r="AK267" s="242" t="s">
        <v>259</v>
      </c>
      <c r="AL267" s="242">
        <v>5.1920277459761586</v>
      </c>
      <c r="AM267" s="242" t="s">
        <v>259</v>
      </c>
      <c r="AN267" s="242">
        <v>5.1920277459761586</v>
      </c>
      <c r="AO267" s="242" t="s">
        <v>259</v>
      </c>
      <c r="AP267" s="242">
        <v>15.238287267156036</v>
      </c>
      <c r="AQ267" s="242" t="s">
        <v>259</v>
      </c>
      <c r="AR267" s="242">
        <v>42.118335363099639</v>
      </c>
      <c r="AS267" s="242" t="s">
        <v>259</v>
      </c>
      <c r="AT267" s="242">
        <v>40.726430990639095</v>
      </c>
      <c r="AU267" s="242" t="s">
        <v>259</v>
      </c>
      <c r="AV267" s="242">
        <v>39.789010932273769</v>
      </c>
      <c r="AW267" s="157" t="s">
        <v>259</v>
      </c>
      <c r="AX267" s="157">
        <v>1108.1639418961993</v>
      </c>
      <c r="AY267" s="240">
        <v>0.18188632231126672</v>
      </c>
      <c r="AZ267" s="156" t="s">
        <v>253</v>
      </c>
      <c r="BA267" s="156" t="s">
        <v>254</v>
      </c>
      <c r="BB267" s="156">
        <v>1</v>
      </c>
      <c r="BC267" s="157" t="s">
        <v>255</v>
      </c>
      <c r="BD267" s="3"/>
    </row>
    <row r="268" spans="1:56" ht="15.75" hidden="1" customHeight="1" outlineLevel="1">
      <c r="A268" s="58">
        <v>258</v>
      </c>
      <c r="B268" s="11">
        <v>129258</v>
      </c>
      <c r="C268" s="89" t="s">
        <v>291</v>
      </c>
      <c r="D268" s="157">
        <v>56</v>
      </c>
      <c r="E268" s="12" t="s">
        <v>231</v>
      </c>
      <c r="F268" s="11" t="s">
        <v>246</v>
      </c>
      <c r="G268" s="18" t="s">
        <v>247</v>
      </c>
      <c r="H268" s="11" t="s">
        <v>248</v>
      </c>
      <c r="I268" s="87" t="s">
        <v>249</v>
      </c>
      <c r="J268" s="19" t="s">
        <v>139</v>
      </c>
      <c r="K268" s="17" t="s">
        <v>140</v>
      </c>
      <c r="L268" s="257">
        <v>0</v>
      </c>
      <c r="M268" s="70" t="s">
        <v>250</v>
      </c>
      <c r="N268" s="70">
        <v>100</v>
      </c>
      <c r="O268" s="258">
        <v>8</v>
      </c>
      <c r="P268" s="70" t="s">
        <v>251</v>
      </c>
      <c r="Q268" s="70" t="s">
        <v>233</v>
      </c>
      <c r="R268" s="70" t="s">
        <v>240</v>
      </c>
      <c r="S268" s="70" t="s">
        <v>233</v>
      </c>
      <c r="T268" s="70" t="s">
        <v>233</v>
      </c>
      <c r="U268" s="70" t="s">
        <v>1427</v>
      </c>
      <c r="V268" s="70" t="s">
        <v>240</v>
      </c>
      <c r="W268" s="12"/>
      <c r="X268" s="242">
        <v>319.92105551440045</v>
      </c>
      <c r="Y268" s="242">
        <v>287.75345769636561</v>
      </c>
      <c r="Z268" s="242">
        <v>40.264478865018958</v>
      </c>
      <c r="AA268" s="157" t="s">
        <v>252</v>
      </c>
      <c r="AB268" s="242">
        <v>32.602962264574487</v>
      </c>
      <c r="AC268" s="157" t="s">
        <v>252</v>
      </c>
      <c r="AD268" s="242">
        <v>31.534748467910294</v>
      </c>
      <c r="AE268" s="157" t="s">
        <v>252</v>
      </c>
      <c r="AF268" s="242">
        <v>30.147865849552154</v>
      </c>
      <c r="AG268" s="157" t="s">
        <v>252</v>
      </c>
      <c r="AH268" s="242">
        <v>35.219637237075446</v>
      </c>
      <c r="AI268" s="157" t="s">
        <v>259</v>
      </c>
      <c r="AJ268" s="242">
        <v>4.2279722540238396</v>
      </c>
      <c r="AK268" s="242" t="s">
        <v>259</v>
      </c>
      <c r="AL268" s="242">
        <v>4.2279722540238396</v>
      </c>
      <c r="AM268" s="242" t="s">
        <v>259</v>
      </c>
      <c r="AN268" s="242">
        <v>4.2279722540238396</v>
      </c>
      <c r="AO268" s="242" t="s">
        <v>259</v>
      </c>
      <c r="AP268" s="242">
        <v>12.408842732843961</v>
      </c>
      <c r="AQ268" s="242" t="s">
        <v>259</v>
      </c>
      <c r="AR268" s="242">
        <v>34.297804636900345</v>
      </c>
      <c r="AS268" s="242" t="s">
        <v>259</v>
      </c>
      <c r="AT268" s="242">
        <v>33.164349009360897</v>
      </c>
      <c r="AU268" s="242" t="s">
        <v>259</v>
      </c>
      <c r="AV268" s="242">
        <v>32.400989067726215</v>
      </c>
      <c r="AW268" s="157" t="s">
        <v>259</v>
      </c>
      <c r="AX268" s="157">
        <v>902.40010810380011</v>
      </c>
      <c r="AY268" s="243">
        <v>0.14811367768873324</v>
      </c>
      <c r="AZ268" s="156" t="s">
        <v>253</v>
      </c>
      <c r="BA268" s="156" t="s">
        <v>254</v>
      </c>
      <c r="BB268" s="156">
        <v>0</v>
      </c>
      <c r="BC268" s="157" t="s">
        <v>255</v>
      </c>
      <c r="BD268" s="3"/>
    </row>
    <row r="269" spans="1:56" ht="15.75" hidden="1" customHeight="1" outlineLevel="1">
      <c r="A269" s="58">
        <v>259</v>
      </c>
      <c r="B269" s="11">
        <v>129259</v>
      </c>
      <c r="C269" s="89" t="s">
        <v>291</v>
      </c>
      <c r="D269" s="157">
        <v>57</v>
      </c>
      <c r="E269" s="12" t="s">
        <v>191</v>
      </c>
      <c r="F269" s="11" t="s">
        <v>246</v>
      </c>
      <c r="G269" s="18" t="s">
        <v>247</v>
      </c>
      <c r="H269" s="11" t="s">
        <v>248</v>
      </c>
      <c r="I269" s="87" t="s">
        <v>249</v>
      </c>
      <c r="J269" s="19" t="s">
        <v>139</v>
      </c>
      <c r="K269" s="17" t="s">
        <v>140</v>
      </c>
      <c r="L269" s="257">
        <v>0</v>
      </c>
      <c r="M269" s="70" t="s">
        <v>250</v>
      </c>
      <c r="N269" s="70">
        <v>80</v>
      </c>
      <c r="O269" s="258">
        <v>8</v>
      </c>
      <c r="P269" s="70" t="s">
        <v>251</v>
      </c>
      <c r="Q269" s="70" t="s">
        <v>233</v>
      </c>
      <c r="R269" s="70" t="s">
        <v>240</v>
      </c>
      <c r="S269" s="70" t="s">
        <v>233</v>
      </c>
      <c r="T269" s="70" t="s">
        <v>233</v>
      </c>
      <c r="U269" s="70" t="s">
        <v>1427</v>
      </c>
      <c r="V269" s="70" t="s">
        <v>240</v>
      </c>
      <c r="W269" s="12"/>
      <c r="X269" s="242">
        <v>129.88999999999999</v>
      </c>
      <c r="Y269" s="242">
        <v>264.10000000000002</v>
      </c>
      <c r="Z269" s="242">
        <v>63.68</v>
      </c>
      <c r="AA269" s="157" t="s">
        <v>252</v>
      </c>
      <c r="AB269" s="242">
        <v>48.18</v>
      </c>
      <c r="AC269" s="157" t="s">
        <v>252</v>
      </c>
      <c r="AD269" s="242">
        <v>60.06</v>
      </c>
      <c r="AE269" s="157" t="s">
        <v>252</v>
      </c>
      <c r="AF269" s="242">
        <v>30.87</v>
      </c>
      <c r="AG269" s="157" t="s">
        <v>252</v>
      </c>
      <c r="AH269" s="242">
        <v>10.52</v>
      </c>
      <c r="AI269" s="157" t="s">
        <v>252</v>
      </c>
      <c r="AJ269" s="242">
        <v>0.85</v>
      </c>
      <c r="AK269" s="242" t="s">
        <v>252</v>
      </c>
      <c r="AL269" s="242">
        <v>0.96</v>
      </c>
      <c r="AM269" s="242" t="s">
        <v>252</v>
      </c>
      <c r="AN269" s="242">
        <v>1.03</v>
      </c>
      <c r="AO269" s="242" t="s">
        <v>252</v>
      </c>
      <c r="AP269" s="242">
        <v>0.44</v>
      </c>
      <c r="AQ269" s="242" t="s">
        <v>252</v>
      </c>
      <c r="AR269" s="242">
        <v>35.81</v>
      </c>
      <c r="AS269" s="242" t="s">
        <v>252</v>
      </c>
      <c r="AT269" s="242">
        <v>36.32</v>
      </c>
      <c r="AU269" s="242" t="s">
        <v>252</v>
      </c>
      <c r="AV269" s="242">
        <v>49.8</v>
      </c>
      <c r="AW269" s="157" t="s">
        <v>252</v>
      </c>
      <c r="AX269" s="157">
        <v>732.5100000000001</v>
      </c>
      <c r="AY269" s="240">
        <v>0.16</v>
      </c>
      <c r="AZ269" s="156" t="s">
        <v>253</v>
      </c>
      <c r="BA269" s="156" t="s">
        <v>254</v>
      </c>
      <c r="BB269" s="156">
        <v>0</v>
      </c>
      <c r="BC269" s="156" t="s">
        <v>1423</v>
      </c>
      <c r="BD269" s="3"/>
    </row>
    <row r="270" spans="1:56" ht="15.75" hidden="1" customHeight="1" outlineLevel="1">
      <c r="A270" s="58">
        <v>260</v>
      </c>
      <c r="B270" s="11">
        <v>129260</v>
      </c>
      <c r="C270" s="89" t="s">
        <v>291</v>
      </c>
      <c r="D270" s="157">
        <v>63</v>
      </c>
      <c r="E270" s="12" t="s">
        <v>191</v>
      </c>
      <c r="F270" s="11" t="s">
        <v>246</v>
      </c>
      <c r="G270" s="18" t="s">
        <v>247</v>
      </c>
      <c r="H270" s="11" t="s">
        <v>248</v>
      </c>
      <c r="I270" s="87" t="s">
        <v>249</v>
      </c>
      <c r="J270" s="19" t="s">
        <v>139</v>
      </c>
      <c r="K270" s="17" t="s">
        <v>140</v>
      </c>
      <c r="L270" s="257">
        <v>0</v>
      </c>
      <c r="M270" s="70" t="s">
        <v>250</v>
      </c>
      <c r="N270" s="70">
        <v>100</v>
      </c>
      <c r="O270" s="258">
        <v>8</v>
      </c>
      <c r="P270" s="70" t="s">
        <v>251</v>
      </c>
      <c r="Q270" s="70" t="s">
        <v>233</v>
      </c>
      <c r="R270" s="70" t="s">
        <v>240</v>
      </c>
      <c r="S270" s="70" t="s">
        <v>233</v>
      </c>
      <c r="T270" s="70" t="s">
        <v>233</v>
      </c>
      <c r="U270" s="70" t="s">
        <v>1427</v>
      </c>
      <c r="V270" s="70" t="s">
        <v>240</v>
      </c>
      <c r="W270" s="12"/>
      <c r="X270" s="242">
        <v>595.65000000000009</v>
      </c>
      <c r="Y270" s="242">
        <v>559.05999999999995</v>
      </c>
      <c r="Z270" s="242">
        <v>87.24</v>
      </c>
      <c r="AA270" s="157" t="s">
        <v>252</v>
      </c>
      <c r="AB270" s="242">
        <v>64.239999999999995</v>
      </c>
      <c r="AC270" s="157" t="s">
        <v>252</v>
      </c>
      <c r="AD270" s="242">
        <v>80.13</v>
      </c>
      <c r="AE270" s="157" t="s">
        <v>252</v>
      </c>
      <c r="AF270" s="242">
        <v>51.51</v>
      </c>
      <c r="AG270" s="157" t="s">
        <v>252</v>
      </c>
      <c r="AH270" s="242">
        <v>19.350000000000001</v>
      </c>
      <c r="AI270" s="157" t="s">
        <v>252</v>
      </c>
      <c r="AJ270" s="242">
        <v>7.75</v>
      </c>
      <c r="AK270" s="242" t="s">
        <v>252</v>
      </c>
      <c r="AL270" s="242">
        <v>6.38</v>
      </c>
      <c r="AM270" s="242" t="s">
        <v>252</v>
      </c>
      <c r="AN270" s="242">
        <v>7.14</v>
      </c>
      <c r="AO270" s="242" t="s">
        <v>252</v>
      </c>
      <c r="AP270" s="242">
        <v>8.9499999999999993</v>
      </c>
      <c r="AQ270" s="242" t="s">
        <v>252</v>
      </c>
      <c r="AR270" s="242">
        <v>43.42</v>
      </c>
      <c r="AS270" s="242" t="s">
        <v>252</v>
      </c>
      <c r="AT270" s="242">
        <v>60.65</v>
      </c>
      <c r="AU270" s="242" t="s">
        <v>252</v>
      </c>
      <c r="AV270" s="242">
        <v>63.45</v>
      </c>
      <c r="AW270" s="157" t="s">
        <v>252</v>
      </c>
      <c r="AX270" s="157">
        <v>1654.9200000000005</v>
      </c>
      <c r="AY270" s="240">
        <v>0.26</v>
      </c>
      <c r="AZ270" s="156" t="s">
        <v>253</v>
      </c>
      <c r="BA270" s="156" t="s">
        <v>254</v>
      </c>
      <c r="BB270" s="156">
        <v>0</v>
      </c>
      <c r="BC270" s="156" t="s">
        <v>1423</v>
      </c>
      <c r="BD270" s="3"/>
    </row>
    <row r="271" spans="1:56" ht="15.75" hidden="1" customHeight="1" outlineLevel="1">
      <c r="A271" s="58">
        <v>261</v>
      </c>
      <c r="B271" s="11">
        <v>129261</v>
      </c>
      <c r="C271" s="89" t="s">
        <v>293</v>
      </c>
      <c r="D271" s="157">
        <v>10</v>
      </c>
      <c r="E271" s="12" t="s">
        <v>191</v>
      </c>
      <c r="F271" s="11" t="s">
        <v>246</v>
      </c>
      <c r="G271" s="18" t="s">
        <v>247</v>
      </c>
      <c r="H271" s="11" t="s">
        <v>248</v>
      </c>
      <c r="I271" s="87" t="s">
        <v>249</v>
      </c>
      <c r="J271" s="19" t="s">
        <v>139</v>
      </c>
      <c r="K271" s="17" t="s">
        <v>140</v>
      </c>
      <c r="L271" s="260">
        <v>1</v>
      </c>
      <c r="M271" s="70" t="s">
        <v>250</v>
      </c>
      <c r="N271" s="70">
        <v>100</v>
      </c>
      <c r="O271" s="258">
        <v>8</v>
      </c>
      <c r="P271" s="70" t="s">
        <v>251</v>
      </c>
      <c r="Q271" s="70" t="s">
        <v>240</v>
      </c>
      <c r="R271" s="70" t="s">
        <v>240</v>
      </c>
      <c r="S271" s="70" t="s">
        <v>233</v>
      </c>
      <c r="T271" s="70" t="s">
        <v>233</v>
      </c>
      <c r="U271" s="70" t="s">
        <v>1427</v>
      </c>
      <c r="V271" s="70" t="s">
        <v>240</v>
      </c>
      <c r="W271" s="12"/>
      <c r="X271" s="242">
        <v>195.79999999999998</v>
      </c>
      <c r="Y271" s="242">
        <v>199.17</v>
      </c>
      <c r="Z271" s="242">
        <v>33</v>
      </c>
      <c r="AA271" s="157" t="s">
        <v>252</v>
      </c>
      <c r="AB271" s="242">
        <v>23</v>
      </c>
      <c r="AC271" s="157" t="s">
        <v>252</v>
      </c>
      <c r="AD271" s="242">
        <v>31.5</v>
      </c>
      <c r="AE271" s="157" t="s">
        <v>252</v>
      </c>
      <c r="AF271" s="242">
        <v>17.2</v>
      </c>
      <c r="AG271" s="157" t="s">
        <v>252</v>
      </c>
      <c r="AH271" s="242">
        <v>7.6</v>
      </c>
      <c r="AI271" s="157" t="s">
        <v>252</v>
      </c>
      <c r="AJ271" s="242">
        <v>0</v>
      </c>
      <c r="AK271" s="242" t="s">
        <v>252</v>
      </c>
      <c r="AL271" s="242">
        <v>0</v>
      </c>
      <c r="AM271" s="242" t="s">
        <v>252</v>
      </c>
      <c r="AN271" s="242">
        <v>1.08</v>
      </c>
      <c r="AO271" s="242" t="s">
        <v>252</v>
      </c>
      <c r="AP271" s="242">
        <v>0</v>
      </c>
      <c r="AQ271" s="242" t="s">
        <v>252</v>
      </c>
      <c r="AR271" s="242">
        <v>21.4</v>
      </c>
      <c r="AS271" s="242" t="s">
        <v>252</v>
      </c>
      <c r="AT271" s="242">
        <v>20.3</v>
      </c>
      <c r="AU271" s="242" t="s">
        <v>252</v>
      </c>
      <c r="AV271" s="242">
        <v>23</v>
      </c>
      <c r="AW271" s="157" t="s">
        <v>252</v>
      </c>
      <c r="AX271" s="157">
        <v>573.04999999999995</v>
      </c>
      <c r="AY271" s="240">
        <v>0.08</v>
      </c>
      <c r="AZ271" s="156" t="s">
        <v>253</v>
      </c>
      <c r="BA271" s="156" t="s">
        <v>254</v>
      </c>
      <c r="BB271" s="156">
        <v>1</v>
      </c>
      <c r="BC271" s="156" t="s">
        <v>1423</v>
      </c>
      <c r="BD271" s="3"/>
    </row>
    <row r="272" spans="1:56" ht="15.75" hidden="1" customHeight="1" outlineLevel="1">
      <c r="A272" s="58">
        <v>262</v>
      </c>
      <c r="B272" s="11">
        <v>129262</v>
      </c>
      <c r="C272" s="89" t="s">
        <v>293</v>
      </c>
      <c r="D272" s="157">
        <v>12</v>
      </c>
      <c r="E272" s="12" t="s">
        <v>191</v>
      </c>
      <c r="F272" s="11" t="s">
        <v>246</v>
      </c>
      <c r="G272" s="18" t="s">
        <v>247</v>
      </c>
      <c r="H272" s="11" t="s">
        <v>248</v>
      </c>
      <c r="I272" s="87" t="s">
        <v>249</v>
      </c>
      <c r="J272" s="19" t="s">
        <v>139</v>
      </c>
      <c r="K272" s="17" t="s">
        <v>140</v>
      </c>
      <c r="L272" s="260">
        <v>1</v>
      </c>
      <c r="M272" s="70" t="s">
        <v>250</v>
      </c>
      <c r="N272" s="70">
        <v>100</v>
      </c>
      <c r="O272" s="258">
        <v>8</v>
      </c>
      <c r="P272" s="70" t="s">
        <v>251</v>
      </c>
      <c r="Q272" s="70" t="s">
        <v>233</v>
      </c>
      <c r="R272" s="70" t="s">
        <v>240</v>
      </c>
      <c r="S272" s="70" t="s">
        <v>233</v>
      </c>
      <c r="T272" s="70" t="s">
        <v>233</v>
      </c>
      <c r="U272" s="70" t="s">
        <v>1427</v>
      </c>
      <c r="V272" s="70" t="s">
        <v>240</v>
      </c>
      <c r="W272" s="12"/>
      <c r="X272" s="242">
        <v>408.28268427195803</v>
      </c>
      <c r="Y272" s="242">
        <v>350.39981499854093</v>
      </c>
      <c r="Z272" s="242">
        <v>54.233159760723666</v>
      </c>
      <c r="AA272" s="157" t="s">
        <v>252</v>
      </c>
      <c r="AB272" s="242">
        <v>45.181603151444406</v>
      </c>
      <c r="AC272" s="157" t="s">
        <v>259</v>
      </c>
      <c r="AD272" s="242">
        <v>44.946138021593235</v>
      </c>
      <c r="AE272" s="157" t="s">
        <v>259</v>
      </c>
      <c r="AF272" s="242">
        <v>43.900395827254158</v>
      </c>
      <c r="AG272" s="157" t="s">
        <v>259</v>
      </c>
      <c r="AH272" s="242">
        <v>44.939212576597605</v>
      </c>
      <c r="AI272" s="157" t="s">
        <v>259</v>
      </c>
      <c r="AJ272" s="242">
        <v>12.673564341990078</v>
      </c>
      <c r="AK272" s="242" t="s">
        <v>259</v>
      </c>
      <c r="AL272" s="242">
        <v>12.465800992121387</v>
      </c>
      <c r="AM272" s="242" t="s">
        <v>259</v>
      </c>
      <c r="AN272" s="242">
        <v>3.4142443828421358</v>
      </c>
      <c r="AO272" s="242" t="s">
        <v>259</v>
      </c>
      <c r="AP272" s="242">
        <v>11.28266489451415</v>
      </c>
      <c r="AQ272" s="242" t="s">
        <v>259</v>
      </c>
      <c r="AR272" s="242">
        <v>51.649968777356285</v>
      </c>
      <c r="AS272" s="242" t="s">
        <v>259</v>
      </c>
      <c r="AT272" s="242">
        <v>49.98063873927633</v>
      </c>
      <c r="AU272" s="242" t="s">
        <v>259</v>
      </c>
      <c r="AV272" s="242">
        <v>38.92792632039685</v>
      </c>
      <c r="AW272" s="157" t="s">
        <v>252</v>
      </c>
      <c r="AX272" s="157">
        <v>1172.2778170566094</v>
      </c>
      <c r="AY272" s="240">
        <v>0.11911765392471547</v>
      </c>
      <c r="AZ272" s="156" t="s">
        <v>253</v>
      </c>
      <c r="BA272" s="156" t="s">
        <v>254</v>
      </c>
      <c r="BB272" s="156">
        <v>1</v>
      </c>
      <c r="BC272" s="157" t="s">
        <v>255</v>
      </c>
      <c r="BD272" s="3"/>
    </row>
    <row r="273" spans="1:56" ht="15.75" hidden="1" customHeight="1" outlineLevel="1">
      <c r="A273" s="58">
        <v>263</v>
      </c>
      <c r="B273" s="11">
        <v>129263</v>
      </c>
      <c r="C273" s="89" t="s">
        <v>293</v>
      </c>
      <c r="D273" s="157">
        <v>12</v>
      </c>
      <c r="E273" s="12" t="s">
        <v>231</v>
      </c>
      <c r="F273" s="11" t="s">
        <v>246</v>
      </c>
      <c r="G273" s="18" t="s">
        <v>247</v>
      </c>
      <c r="H273" s="11" t="s">
        <v>248</v>
      </c>
      <c r="I273" s="87" t="s">
        <v>249</v>
      </c>
      <c r="J273" s="19" t="s">
        <v>139</v>
      </c>
      <c r="K273" s="17" t="s">
        <v>140</v>
      </c>
      <c r="L273" s="257">
        <v>0</v>
      </c>
      <c r="M273" s="70" t="s">
        <v>250</v>
      </c>
      <c r="N273" s="70">
        <v>100</v>
      </c>
      <c r="O273" s="258">
        <v>8</v>
      </c>
      <c r="P273" s="70" t="s">
        <v>251</v>
      </c>
      <c r="Q273" s="70" t="s">
        <v>233</v>
      </c>
      <c r="R273" s="70" t="s">
        <v>240</v>
      </c>
      <c r="S273" s="70" t="s">
        <v>233</v>
      </c>
      <c r="T273" s="70" t="s">
        <v>233</v>
      </c>
      <c r="U273" s="70" t="s">
        <v>1427</v>
      </c>
      <c r="V273" s="70" t="s">
        <v>240</v>
      </c>
      <c r="W273" s="12"/>
      <c r="X273" s="242">
        <v>181.25731572804202</v>
      </c>
      <c r="Y273" s="242">
        <v>155.56018500145896</v>
      </c>
      <c r="Z273" s="242">
        <v>24.076840239276333</v>
      </c>
      <c r="AA273" s="157" t="s">
        <v>252</v>
      </c>
      <c r="AB273" s="242">
        <v>20.058396848555585</v>
      </c>
      <c r="AC273" s="157" t="s">
        <v>259</v>
      </c>
      <c r="AD273" s="242">
        <v>19.953861978406771</v>
      </c>
      <c r="AE273" s="157" t="s">
        <v>259</v>
      </c>
      <c r="AF273" s="242">
        <v>19.489604172745839</v>
      </c>
      <c r="AG273" s="157" t="s">
        <v>259</v>
      </c>
      <c r="AH273" s="242">
        <v>19.950787423402392</v>
      </c>
      <c r="AI273" s="157" t="s">
        <v>259</v>
      </c>
      <c r="AJ273" s="242">
        <v>5.6264356580099211</v>
      </c>
      <c r="AK273" s="242" t="s">
        <v>259</v>
      </c>
      <c r="AL273" s="242">
        <v>5.5341990078786107</v>
      </c>
      <c r="AM273" s="242" t="s">
        <v>259</v>
      </c>
      <c r="AN273" s="242">
        <v>1.5157556171578639</v>
      </c>
      <c r="AO273" s="242" t="s">
        <v>259</v>
      </c>
      <c r="AP273" s="242">
        <v>5.0089451054858465</v>
      </c>
      <c r="AQ273" s="242" t="s">
        <v>259</v>
      </c>
      <c r="AR273" s="242">
        <v>22.930031222643709</v>
      </c>
      <c r="AS273" s="242" t="s">
        <v>259</v>
      </c>
      <c r="AT273" s="242">
        <v>22.18893126072366</v>
      </c>
      <c r="AU273" s="242" t="s">
        <v>259</v>
      </c>
      <c r="AV273" s="242">
        <v>17.282073679603151</v>
      </c>
      <c r="AW273" s="157" t="s">
        <v>252</v>
      </c>
      <c r="AX273" s="157">
        <v>520.43336294339076</v>
      </c>
      <c r="AY273" s="243">
        <v>5.2882346075284498E-2</v>
      </c>
      <c r="AZ273" s="156" t="s">
        <v>253</v>
      </c>
      <c r="BA273" s="156" t="s">
        <v>254</v>
      </c>
      <c r="BB273" s="156">
        <v>0</v>
      </c>
      <c r="BC273" s="157" t="s">
        <v>255</v>
      </c>
      <c r="BD273" s="3"/>
    </row>
    <row r="274" spans="1:56" ht="15.75" hidden="1" customHeight="1" outlineLevel="1">
      <c r="A274" s="58">
        <v>264</v>
      </c>
      <c r="B274" s="11">
        <v>129264</v>
      </c>
      <c r="C274" s="89" t="s">
        <v>293</v>
      </c>
      <c r="D274" s="157">
        <v>15</v>
      </c>
      <c r="E274" s="12" t="s">
        <v>191</v>
      </c>
      <c r="F274" s="11" t="s">
        <v>246</v>
      </c>
      <c r="G274" s="18" t="s">
        <v>247</v>
      </c>
      <c r="H274" s="11" t="s">
        <v>248</v>
      </c>
      <c r="I274" s="87" t="s">
        <v>249</v>
      </c>
      <c r="J274" s="19" t="s">
        <v>139</v>
      </c>
      <c r="K274" s="17" t="s">
        <v>140</v>
      </c>
      <c r="L274" s="260">
        <v>1</v>
      </c>
      <c r="M274" s="70" t="s">
        <v>250</v>
      </c>
      <c r="N274" s="70">
        <v>100</v>
      </c>
      <c r="O274" s="258">
        <v>8</v>
      </c>
      <c r="P274" s="70" t="s">
        <v>251</v>
      </c>
      <c r="Q274" s="70" t="s">
        <v>233</v>
      </c>
      <c r="R274" s="70" t="s">
        <v>240</v>
      </c>
      <c r="S274" s="70" t="s">
        <v>233</v>
      </c>
      <c r="T274" s="70" t="s">
        <v>233</v>
      </c>
      <c r="U274" s="70" t="s">
        <v>1428</v>
      </c>
      <c r="V274" s="70" t="s">
        <v>240</v>
      </c>
      <c r="W274" s="12"/>
      <c r="X274" s="242">
        <v>1790.6199999999997</v>
      </c>
      <c r="Y274" s="242">
        <v>1913.2199999999998</v>
      </c>
      <c r="Z274" s="242">
        <v>153.69</v>
      </c>
      <c r="AA274" s="157" t="s">
        <v>252</v>
      </c>
      <c r="AB274" s="242">
        <v>112.94</v>
      </c>
      <c r="AC274" s="157" t="s">
        <v>252</v>
      </c>
      <c r="AD274" s="242">
        <v>166.08</v>
      </c>
      <c r="AE274" s="157" t="s">
        <v>252</v>
      </c>
      <c r="AF274" s="242">
        <v>117.18</v>
      </c>
      <c r="AG274" s="157" t="s">
        <v>252</v>
      </c>
      <c r="AH274" s="242">
        <v>119.87</v>
      </c>
      <c r="AI274" s="157" t="s">
        <v>252</v>
      </c>
      <c r="AJ274" s="242">
        <v>33.54</v>
      </c>
      <c r="AK274" s="242" t="s">
        <v>252</v>
      </c>
      <c r="AL274" s="242">
        <v>33.56</v>
      </c>
      <c r="AM274" s="242" t="s">
        <v>252</v>
      </c>
      <c r="AN274" s="242">
        <v>40.54</v>
      </c>
      <c r="AO274" s="242" t="s">
        <v>252</v>
      </c>
      <c r="AP274" s="242">
        <v>39.278300000000002</v>
      </c>
      <c r="AQ274" s="242" t="s">
        <v>252</v>
      </c>
      <c r="AR274" s="242">
        <v>182.58</v>
      </c>
      <c r="AS274" s="242" t="s">
        <v>252</v>
      </c>
      <c r="AT274" s="242">
        <v>125.09</v>
      </c>
      <c r="AU274" s="242" t="s">
        <v>252</v>
      </c>
      <c r="AV274" s="242">
        <v>194.19139999999999</v>
      </c>
      <c r="AW274" s="157" t="s">
        <v>252</v>
      </c>
      <c r="AX274" s="157">
        <v>5022.3796999999995</v>
      </c>
      <c r="AY274" s="240">
        <v>0.44</v>
      </c>
      <c r="AZ274" s="156" t="s">
        <v>253</v>
      </c>
      <c r="BA274" s="156" t="s">
        <v>254</v>
      </c>
      <c r="BB274" s="156">
        <v>1</v>
      </c>
      <c r="BC274" s="156" t="s">
        <v>1423</v>
      </c>
      <c r="BD274" s="3"/>
    </row>
    <row r="275" spans="1:56" ht="15.75" hidden="1" customHeight="1" outlineLevel="1">
      <c r="A275" s="58">
        <v>265</v>
      </c>
      <c r="B275" s="11">
        <v>129265</v>
      </c>
      <c r="C275" s="89" t="s">
        <v>293</v>
      </c>
      <c r="D275" s="157" t="s">
        <v>209</v>
      </c>
      <c r="E275" s="12" t="s">
        <v>191</v>
      </c>
      <c r="F275" s="11" t="s">
        <v>246</v>
      </c>
      <c r="G275" s="18" t="s">
        <v>247</v>
      </c>
      <c r="H275" s="11" t="s">
        <v>248</v>
      </c>
      <c r="I275" s="87" t="s">
        <v>249</v>
      </c>
      <c r="J275" s="19" t="s">
        <v>139</v>
      </c>
      <c r="K275" s="17" t="s">
        <v>140</v>
      </c>
      <c r="L275" s="257">
        <v>0</v>
      </c>
      <c r="M275" s="70" t="s">
        <v>250</v>
      </c>
      <c r="N275" s="70">
        <v>100</v>
      </c>
      <c r="O275" s="258">
        <v>8</v>
      </c>
      <c r="P275" s="70" t="s">
        <v>251</v>
      </c>
      <c r="Q275" s="70" t="s">
        <v>233</v>
      </c>
      <c r="R275" s="70" t="s">
        <v>240</v>
      </c>
      <c r="S275" s="70" t="s">
        <v>240</v>
      </c>
      <c r="T275" s="70" t="s">
        <v>240</v>
      </c>
      <c r="U275" s="70" t="s">
        <v>1427</v>
      </c>
      <c r="V275" s="70" t="s">
        <v>240</v>
      </c>
      <c r="W275" s="12"/>
      <c r="X275" s="242">
        <v>393.78680203045684</v>
      </c>
      <c r="Y275" s="242">
        <v>393.78680203045684</v>
      </c>
      <c r="Z275" s="242">
        <v>75.427411167512687</v>
      </c>
      <c r="AA275" s="157" t="s">
        <v>252</v>
      </c>
      <c r="AB275" s="242">
        <v>78.497461928934015</v>
      </c>
      <c r="AC275" s="157" t="s">
        <v>252</v>
      </c>
      <c r="AD275" s="242">
        <v>71.244670050761414</v>
      </c>
      <c r="AE275" s="157" t="s">
        <v>252</v>
      </c>
      <c r="AF275" s="242">
        <v>47.041624365482235</v>
      </c>
      <c r="AG275" s="157" t="s">
        <v>252</v>
      </c>
      <c r="AH275" s="242">
        <v>11.606091370558374</v>
      </c>
      <c r="AI275" s="157" t="s">
        <v>252</v>
      </c>
      <c r="AJ275" s="242">
        <v>7.3989847715736037</v>
      </c>
      <c r="AK275" s="242" t="s">
        <v>252</v>
      </c>
      <c r="AL275" s="242">
        <v>6.0913705583756341</v>
      </c>
      <c r="AM275" s="242" t="s">
        <v>252</v>
      </c>
      <c r="AN275" s="242">
        <v>6.4812182741116757</v>
      </c>
      <c r="AO275" s="242" t="s">
        <v>252</v>
      </c>
      <c r="AP275" s="242">
        <v>8.527918781725889</v>
      </c>
      <c r="AQ275" s="242" t="s">
        <v>252</v>
      </c>
      <c r="AR275" s="242">
        <v>45.953299492385788</v>
      </c>
      <c r="AS275" s="242" t="s">
        <v>252</v>
      </c>
      <c r="AT275" s="242">
        <v>53.89644670050761</v>
      </c>
      <c r="AU275" s="242" t="s">
        <v>252</v>
      </c>
      <c r="AV275" s="242">
        <v>56.99898477157361</v>
      </c>
      <c r="AW275" s="157" t="s">
        <v>252</v>
      </c>
      <c r="AX275" s="157">
        <v>1256.7390862944164</v>
      </c>
      <c r="AY275" s="243">
        <v>0.12588832487309645</v>
      </c>
      <c r="AZ275" s="156" t="s">
        <v>253</v>
      </c>
      <c r="BA275" s="156" t="s">
        <v>254</v>
      </c>
      <c r="BB275" s="156">
        <v>0</v>
      </c>
      <c r="BC275" s="156" t="s">
        <v>1423</v>
      </c>
      <c r="BD275" s="3"/>
    </row>
    <row r="276" spans="1:56" ht="15.75" hidden="1" customHeight="1" outlineLevel="1">
      <c r="A276" s="58">
        <v>266</v>
      </c>
      <c r="B276" s="11">
        <v>129266</v>
      </c>
      <c r="C276" s="89" t="s">
        <v>293</v>
      </c>
      <c r="D276" s="157" t="s">
        <v>209</v>
      </c>
      <c r="E276" s="12" t="s">
        <v>231</v>
      </c>
      <c r="F276" s="11" t="s">
        <v>246</v>
      </c>
      <c r="G276" s="18" t="s">
        <v>247</v>
      </c>
      <c r="H276" s="11" t="s">
        <v>248</v>
      </c>
      <c r="I276" s="87" t="s">
        <v>249</v>
      </c>
      <c r="J276" s="19" t="s">
        <v>139</v>
      </c>
      <c r="K276" s="17" t="s">
        <v>140</v>
      </c>
      <c r="L276" s="257">
        <v>0</v>
      </c>
      <c r="M276" s="70" t="s">
        <v>250</v>
      </c>
      <c r="N276" s="70">
        <v>100</v>
      </c>
      <c r="O276" s="258">
        <v>8</v>
      </c>
      <c r="P276" s="70" t="s">
        <v>251</v>
      </c>
      <c r="Q276" s="70" t="s">
        <v>233</v>
      </c>
      <c r="R276" s="70" t="s">
        <v>240</v>
      </c>
      <c r="S276" s="70" t="s">
        <v>240</v>
      </c>
      <c r="T276" s="70" t="s">
        <v>240</v>
      </c>
      <c r="U276" s="70" t="s">
        <v>1427</v>
      </c>
      <c r="V276" s="70" t="s">
        <v>240</v>
      </c>
      <c r="W276" s="12"/>
      <c r="X276" s="242">
        <v>91.063197969543154</v>
      </c>
      <c r="Y276" s="242">
        <v>91.063197969543154</v>
      </c>
      <c r="Z276" s="242">
        <v>17.44258883248731</v>
      </c>
      <c r="AA276" s="157" t="s">
        <v>252</v>
      </c>
      <c r="AB276" s="242">
        <v>18.15253807106599</v>
      </c>
      <c r="AC276" s="157" t="s">
        <v>252</v>
      </c>
      <c r="AD276" s="242">
        <v>16.475329949238578</v>
      </c>
      <c r="AE276" s="157" t="s">
        <v>252</v>
      </c>
      <c r="AF276" s="242">
        <v>10.878375634517766</v>
      </c>
      <c r="AG276" s="157" t="s">
        <v>252</v>
      </c>
      <c r="AH276" s="242">
        <v>2.6839086294416243</v>
      </c>
      <c r="AI276" s="157" t="s">
        <v>252</v>
      </c>
      <c r="AJ276" s="242">
        <v>1.711015228426396</v>
      </c>
      <c r="AK276" s="242" t="s">
        <v>252</v>
      </c>
      <c r="AL276" s="242">
        <v>1.4086294416243654</v>
      </c>
      <c r="AM276" s="242" t="s">
        <v>252</v>
      </c>
      <c r="AN276" s="242">
        <v>1.4987817258883249</v>
      </c>
      <c r="AO276" s="242" t="s">
        <v>252</v>
      </c>
      <c r="AP276" s="242">
        <v>1.9720812182741119</v>
      </c>
      <c r="AQ276" s="242" t="s">
        <v>252</v>
      </c>
      <c r="AR276" s="242">
        <v>10.626700507614213</v>
      </c>
      <c r="AS276" s="242" t="s">
        <v>252</v>
      </c>
      <c r="AT276" s="242">
        <v>12.463553299492386</v>
      </c>
      <c r="AU276" s="242" t="s">
        <v>252</v>
      </c>
      <c r="AV276" s="242">
        <v>13.181015228426398</v>
      </c>
      <c r="AW276" s="157" t="s">
        <v>252</v>
      </c>
      <c r="AX276" s="157">
        <v>290.6209137055838</v>
      </c>
      <c r="AY276" s="243">
        <v>2.9111675126903554E-2</v>
      </c>
      <c r="AZ276" s="156" t="s">
        <v>253</v>
      </c>
      <c r="BA276" s="156" t="s">
        <v>254</v>
      </c>
      <c r="BB276" s="156">
        <v>0</v>
      </c>
      <c r="BC276" s="156" t="s">
        <v>1423</v>
      </c>
      <c r="BD276" s="3"/>
    </row>
    <row r="277" spans="1:56" ht="15.75" hidden="1" customHeight="1" outlineLevel="1">
      <c r="A277" s="58">
        <v>267</v>
      </c>
      <c r="B277" s="11">
        <v>129267</v>
      </c>
      <c r="C277" s="89" t="s">
        <v>293</v>
      </c>
      <c r="D277" s="157">
        <v>27</v>
      </c>
      <c r="E277" s="12" t="s">
        <v>191</v>
      </c>
      <c r="F277" s="11" t="s">
        <v>246</v>
      </c>
      <c r="G277" s="18" t="s">
        <v>247</v>
      </c>
      <c r="H277" s="11" t="s">
        <v>248</v>
      </c>
      <c r="I277" s="87" t="s">
        <v>249</v>
      </c>
      <c r="J277" s="19" t="s">
        <v>139</v>
      </c>
      <c r="K277" s="17" t="s">
        <v>140</v>
      </c>
      <c r="L277" s="260">
        <v>1</v>
      </c>
      <c r="M277" s="70" t="s">
        <v>250</v>
      </c>
      <c r="N277" s="70">
        <v>100</v>
      </c>
      <c r="O277" s="258">
        <v>8</v>
      </c>
      <c r="P277" s="70" t="s">
        <v>251</v>
      </c>
      <c r="Q277" s="70" t="s">
        <v>233</v>
      </c>
      <c r="R277" s="70" t="s">
        <v>240</v>
      </c>
      <c r="S277" s="70" t="s">
        <v>233</v>
      </c>
      <c r="T277" s="70" t="s">
        <v>233</v>
      </c>
      <c r="U277" s="70" t="s">
        <v>1427</v>
      </c>
      <c r="V277" s="70" t="s">
        <v>240</v>
      </c>
      <c r="W277" s="12"/>
      <c r="X277" s="242">
        <v>700.52999999999986</v>
      </c>
      <c r="Y277" s="242">
        <v>625.05999999999995</v>
      </c>
      <c r="Z277" s="242">
        <v>63.94</v>
      </c>
      <c r="AA277" s="157" t="s">
        <v>252</v>
      </c>
      <c r="AB277" s="242">
        <v>49.87</v>
      </c>
      <c r="AC277" s="157" t="s">
        <v>252</v>
      </c>
      <c r="AD277" s="242">
        <v>75.209999999999994</v>
      </c>
      <c r="AE277" s="157" t="s">
        <v>252</v>
      </c>
      <c r="AF277" s="242">
        <v>39.369999999999997</v>
      </c>
      <c r="AG277" s="157" t="s">
        <v>252</v>
      </c>
      <c r="AH277" s="242">
        <v>12.2</v>
      </c>
      <c r="AI277" s="157" t="s">
        <v>252</v>
      </c>
      <c r="AJ277" s="242">
        <v>11.44</v>
      </c>
      <c r="AK277" s="242" t="s">
        <v>252</v>
      </c>
      <c r="AL277" s="242">
        <v>5.41</v>
      </c>
      <c r="AM277" s="242" t="s">
        <v>252</v>
      </c>
      <c r="AN277" s="242">
        <v>5.67</v>
      </c>
      <c r="AO277" s="242" t="s">
        <v>252</v>
      </c>
      <c r="AP277" s="242">
        <v>7.76</v>
      </c>
      <c r="AQ277" s="242" t="s">
        <v>252</v>
      </c>
      <c r="AR277" s="242">
        <v>31.67</v>
      </c>
      <c r="AS277" s="242" t="s">
        <v>252</v>
      </c>
      <c r="AT277" s="242">
        <v>34.020000000000003</v>
      </c>
      <c r="AU277" s="242" t="s">
        <v>252</v>
      </c>
      <c r="AV277" s="242">
        <v>37.99</v>
      </c>
      <c r="AW277" s="157" t="s">
        <v>252</v>
      </c>
      <c r="AX277" s="157">
        <v>1700.1399999999999</v>
      </c>
      <c r="AY277" s="240">
        <v>0.151</v>
      </c>
      <c r="AZ277" s="156" t="s">
        <v>253</v>
      </c>
      <c r="BA277" s="156" t="s">
        <v>254</v>
      </c>
      <c r="BB277" s="156">
        <v>1</v>
      </c>
      <c r="BC277" s="157" t="s">
        <v>255</v>
      </c>
      <c r="BD277" s="3"/>
    </row>
    <row r="278" spans="1:56" ht="15.75" hidden="1" customHeight="1" outlineLevel="1">
      <c r="A278" s="58">
        <v>268</v>
      </c>
      <c r="B278" s="11">
        <v>129268</v>
      </c>
      <c r="C278" s="89" t="s">
        <v>293</v>
      </c>
      <c r="D278" s="157">
        <v>3</v>
      </c>
      <c r="E278" s="12" t="s">
        <v>191</v>
      </c>
      <c r="F278" s="11" t="s">
        <v>246</v>
      </c>
      <c r="G278" s="18" t="s">
        <v>247</v>
      </c>
      <c r="H278" s="11" t="s">
        <v>248</v>
      </c>
      <c r="I278" s="87" t="s">
        <v>249</v>
      </c>
      <c r="J278" s="19" t="s">
        <v>139</v>
      </c>
      <c r="K278" s="17" t="s">
        <v>140</v>
      </c>
      <c r="L278" s="257">
        <v>0</v>
      </c>
      <c r="M278" s="70" t="s">
        <v>250</v>
      </c>
      <c r="N278" s="70">
        <v>80</v>
      </c>
      <c r="O278" s="258">
        <v>8</v>
      </c>
      <c r="P278" s="70" t="s">
        <v>251</v>
      </c>
      <c r="Q278" s="70" t="s">
        <v>240</v>
      </c>
      <c r="R278" s="70" t="s">
        <v>240</v>
      </c>
      <c r="S278" s="70" t="s">
        <v>240</v>
      </c>
      <c r="T278" s="70" t="s">
        <v>240</v>
      </c>
      <c r="U278" s="70" t="s">
        <v>1427</v>
      </c>
      <c r="V278" s="70" t="s">
        <v>240</v>
      </c>
      <c r="W278" s="12"/>
      <c r="X278" s="242">
        <v>331.44</v>
      </c>
      <c r="Y278" s="242">
        <v>357.57000000000005</v>
      </c>
      <c r="Z278" s="242">
        <v>42.83</v>
      </c>
      <c r="AA278" s="157" t="s">
        <v>259</v>
      </c>
      <c r="AB278" s="242">
        <v>42.83</v>
      </c>
      <c r="AC278" s="157" t="s">
        <v>259</v>
      </c>
      <c r="AD278" s="242">
        <v>42.83</v>
      </c>
      <c r="AE278" s="157" t="s">
        <v>259</v>
      </c>
      <c r="AF278" s="242">
        <v>42.83</v>
      </c>
      <c r="AG278" s="157" t="s">
        <v>259</v>
      </c>
      <c r="AH278" s="242">
        <v>42.83</v>
      </c>
      <c r="AI278" s="157" t="s">
        <v>259</v>
      </c>
      <c r="AJ278" s="242">
        <v>0</v>
      </c>
      <c r="AK278" s="242" t="s">
        <v>259</v>
      </c>
      <c r="AL278" s="242">
        <v>0</v>
      </c>
      <c r="AM278" s="242" t="s">
        <v>259</v>
      </c>
      <c r="AN278" s="242">
        <v>2.0499999999999998</v>
      </c>
      <c r="AO278" s="242" t="s">
        <v>259</v>
      </c>
      <c r="AP278" s="242">
        <v>6.88</v>
      </c>
      <c r="AQ278" s="242" t="s">
        <v>259</v>
      </c>
      <c r="AR278" s="242">
        <v>31.97</v>
      </c>
      <c r="AS278" s="242" t="s">
        <v>259</v>
      </c>
      <c r="AT278" s="242">
        <v>38.85</v>
      </c>
      <c r="AU278" s="242" t="s">
        <v>259</v>
      </c>
      <c r="AV278" s="242">
        <v>37.07</v>
      </c>
      <c r="AW278" s="157" t="s">
        <v>259</v>
      </c>
      <c r="AX278" s="157">
        <v>1019.9800000000002</v>
      </c>
      <c r="AY278" s="240">
        <v>0.17</v>
      </c>
      <c r="AZ278" s="156" t="s">
        <v>253</v>
      </c>
      <c r="BA278" s="156" t="s">
        <v>254</v>
      </c>
      <c r="BB278" s="156">
        <v>0</v>
      </c>
      <c r="BC278" s="156" t="s">
        <v>1423</v>
      </c>
      <c r="BD278" s="3"/>
    </row>
    <row r="279" spans="1:56" ht="15.75" hidden="1" customHeight="1" outlineLevel="1">
      <c r="A279" s="58">
        <v>269</v>
      </c>
      <c r="B279" s="11">
        <v>129269</v>
      </c>
      <c r="C279" s="89" t="s">
        <v>293</v>
      </c>
      <c r="D279" s="157">
        <v>4</v>
      </c>
      <c r="E279" s="12" t="s">
        <v>191</v>
      </c>
      <c r="F279" s="11" t="s">
        <v>246</v>
      </c>
      <c r="G279" s="18" t="s">
        <v>247</v>
      </c>
      <c r="H279" s="11" t="s">
        <v>248</v>
      </c>
      <c r="I279" s="87" t="s">
        <v>249</v>
      </c>
      <c r="J279" s="19" t="s">
        <v>139</v>
      </c>
      <c r="K279" s="17" t="s">
        <v>140</v>
      </c>
      <c r="L279" s="257">
        <v>0</v>
      </c>
      <c r="M279" s="70" t="s">
        <v>250</v>
      </c>
      <c r="N279" s="70">
        <v>100</v>
      </c>
      <c r="O279" s="258">
        <v>8</v>
      </c>
      <c r="P279" s="70" t="s">
        <v>251</v>
      </c>
      <c r="Q279" s="70" t="s">
        <v>233</v>
      </c>
      <c r="R279" s="70" t="s">
        <v>240</v>
      </c>
      <c r="S279" s="70" t="s">
        <v>233</v>
      </c>
      <c r="T279" s="70" t="s">
        <v>233</v>
      </c>
      <c r="U279" s="70" t="s">
        <v>1427</v>
      </c>
      <c r="V279" s="70" t="s">
        <v>240</v>
      </c>
      <c r="W279" s="12"/>
      <c r="X279" s="242">
        <v>283.79314668769717</v>
      </c>
      <c r="Y279" s="242">
        <v>262.95078864353314</v>
      </c>
      <c r="Z279" s="242">
        <v>35.194834384858048</v>
      </c>
      <c r="AA279" s="157" t="s">
        <v>252</v>
      </c>
      <c r="AB279" s="242">
        <v>35.629526813880126</v>
      </c>
      <c r="AC279" s="157" t="s">
        <v>252</v>
      </c>
      <c r="AD279" s="242">
        <v>41.730473186119873</v>
      </c>
      <c r="AE279" s="157" t="s">
        <v>252</v>
      </c>
      <c r="AF279" s="242">
        <v>27.820315457413248</v>
      </c>
      <c r="AG279" s="157" t="s">
        <v>252</v>
      </c>
      <c r="AH279" s="242">
        <v>10.981703470031546</v>
      </c>
      <c r="AI279" s="157" t="s">
        <v>252</v>
      </c>
      <c r="AJ279" s="242">
        <v>6.5432649842271298</v>
      </c>
      <c r="AK279" s="242" t="s">
        <v>252</v>
      </c>
      <c r="AL279" s="242">
        <v>2.8674447949526813</v>
      </c>
      <c r="AM279" s="242" t="s">
        <v>252</v>
      </c>
      <c r="AN279" s="242">
        <v>3.4851656151419563</v>
      </c>
      <c r="AO279" s="242" t="s">
        <v>252</v>
      </c>
      <c r="AP279" s="242">
        <v>5.0942902208201897</v>
      </c>
      <c r="AQ279" s="242" t="s">
        <v>252</v>
      </c>
      <c r="AR279" s="242">
        <v>24.731711356466878</v>
      </c>
      <c r="AS279" s="242" t="s">
        <v>252</v>
      </c>
      <c r="AT279" s="242">
        <v>29.078635646687701</v>
      </c>
      <c r="AU279" s="242" t="s">
        <v>252</v>
      </c>
      <c r="AV279" s="242">
        <v>30.099514629337538</v>
      </c>
      <c r="AW279" s="157" t="s">
        <v>259</v>
      </c>
      <c r="AX279" s="157">
        <v>800.00081589116735</v>
      </c>
      <c r="AY279" s="240">
        <v>0.11439274447949527</v>
      </c>
      <c r="AZ279" s="156" t="s">
        <v>253</v>
      </c>
      <c r="BA279" s="156" t="s">
        <v>254</v>
      </c>
      <c r="BB279" s="156">
        <v>0</v>
      </c>
      <c r="BC279" s="156" t="s">
        <v>1423</v>
      </c>
      <c r="BD279" s="3"/>
    </row>
    <row r="280" spans="1:56" ht="15.75" hidden="1" customHeight="1" outlineLevel="1">
      <c r="A280" s="58">
        <v>270</v>
      </c>
      <c r="B280" s="11">
        <v>129270</v>
      </c>
      <c r="C280" s="89" t="s">
        <v>293</v>
      </c>
      <c r="D280" s="157">
        <v>4</v>
      </c>
      <c r="E280" s="12" t="s">
        <v>231</v>
      </c>
      <c r="F280" s="11" t="s">
        <v>246</v>
      </c>
      <c r="G280" s="18" t="s">
        <v>247</v>
      </c>
      <c r="H280" s="11" t="s">
        <v>248</v>
      </c>
      <c r="I280" s="87" t="s">
        <v>249</v>
      </c>
      <c r="J280" s="19" t="s">
        <v>139</v>
      </c>
      <c r="K280" s="17" t="s">
        <v>140</v>
      </c>
      <c r="L280" s="257">
        <v>0</v>
      </c>
      <c r="M280" s="70" t="s">
        <v>250</v>
      </c>
      <c r="N280" s="70">
        <v>100</v>
      </c>
      <c r="O280" s="258">
        <v>8</v>
      </c>
      <c r="P280" s="70" t="s">
        <v>251</v>
      </c>
      <c r="Q280" s="70" t="s">
        <v>233</v>
      </c>
      <c r="R280" s="70" t="s">
        <v>240</v>
      </c>
      <c r="S280" s="70" t="s">
        <v>233</v>
      </c>
      <c r="T280" s="70" t="s">
        <v>233</v>
      </c>
      <c r="U280" s="70" t="s">
        <v>1427</v>
      </c>
      <c r="V280" s="70" t="s">
        <v>240</v>
      </c>
      <c r="W280" s="12"/>
      <c r="X280" s="242">
        <v>88.33685331230285</v>
      </c>
      <c r="Y280" s="242">
        <v>81.849211356466881</v>
      </c>
      <c r="Z280" s="242">
        <v>10.955165615141956</v>
      </c>
      <c r="AA280" s="157" t="s">
        <v>252</v>
      </c>
      <c r="AB280" s="242">
        <v>11.090473186119874</v>
      </c>
      <c r="AC280" s="157" t="s">
        <v>252</v>
      </c>
      <c r="AD280" s="242">
        <v>12.989526813880127</v>
      </c>
      <c r="AE280" s="157" t="s">
        <v>252</v>
      </c>
      <c r="AF280" s="242">
        <v>8.659684542586751</v>
      </c>
      <c r="AG280" s="157" t="s">
        <v>252</v>
      </c>
      <c r="AH280" s="242">
        <v>3.4182965299684547</v>
      </c>
      <c r="AI280" s="157" t="s">
        <v>252</v>
      </c>
      <c r="AJ280" s="242">
        <v>2.0367350157728707</v>
      </c>
      <c r="AK280" s="242" t="s">
        <v>252</v>
      </c>
      <c r="AL280" s="242">
        <v>0.89255520504731867</v>
      </c>
      <c r="AM280" s="242" t="s">
        <v>252</v>
      </c>
      <c r="AN280" s="242">
        <v>1.0848343848580444</v>
      </c>
      <c r="AO280" s="242" t="s">
        <v>252</v>
      </c>
      <c r="AP280" s="242">
        <v>1.5857097791798107</v>
      </c>
      <c r="AQ280" s="242" t="s">
        <v>252</v>
      </c>
      <c r="AR280" s="242">
        <v>7.6982886435331235</v>
      </c>
      <c r="AS280" s="242" t="s">
        <v>252</v>
      </c>
      <c r="AT280" s="242">
        <v>9.0513643533123052</v>
      </c>
      <c r="AU280" s="242" t="s">
        <v>252</v>
      </c>
      <c r="AV280" s="242">
        <v>9.3691353706624607</v>
      </c>
      <c r="AW280" s="157" t="s">
        <v>259</v>
      </c>
      <c r="AX280" s="157">
        <v>249.01783410883286</v>
      </c>
      <c r="AY280" s="243">
        <v>3.5607255520504734E-2</v>
      </c>
      <c r="AZ280" s="156" t="s">
        <v>253</v>
      </c>
      <c r="BA280" s="156" t="s">
        <v>254</v>
      </c>
      <c r="BB280" s="156">
        <v>0</v>
      </c>
      <c r="BC280" s="156" t="s">
        <v>1423</v>
      </c>
      <c r="BD280" s="3"/>
    </row>
    <row r="281" spans="1:56" ht="15.75" hidden="1" customHeight="1" outlineLevel="1">
      <c r="A281" s="58">
        <v>271</v>
      </c>
      <c r="B281" s="11">
        <v>129271</v>
      </c>
      <c r="C281" s="89" t="s">
        <v>293</v>
      </c>
      <c r="D281" s="157" t="s">
        <v>210</v>
      </c>
      <c r="E281" s="12" t="s">
        <v>191</v>
      </c>
      <c r="F281" s="11" t="s">
        <v>246</v>
      </c>
      <c r="G281" s="18" t="s">
        <v>247</v>
      </c>
      <c r="H281" s="11" t="s">
        <v>248</v>
      </c>
      <c r="I281" s="87" t="s">
        <v>249</v>
      </c>
      <c r="J281" s="19" t="s">
        <v>139</v>
      </c>
      <c r="K281" s="17" t="s">
        <v>140</v>
      </c>
      <c r="L281" s="257">
        <v>0</v>
      </c>
      <c r="M281" s="70" t="s">
        <v>250</v>
      </c>
      <c r="N281" s="70">
        <v>100</v>
      </c>
      <c r="O281" s="258">
        <v>8</v>
      </c>
      <c r="P281" s="70" t="s">
        <v>251</v>
      </c>
      <c r="Q281" s="70" t="s">
        <v>240</v>
      </c>
      <c r="R281" s="70" t="s">
        <v>240</v>
      </c>
      <c r="S281" s="70" t="s">
        <v>240</v>
      </c>
      <c r="T281" s="70" t="s">
        <v>240</v>
      </c>
      <c r="U281" s="70" t="s">
        <v>1427</v>
      </c>
      <c r="V281" s="70" t="s">
        <v>240</v>
      </c>
      <c r="W281" s="12"/>
      <c r="X281" s="242">
        <v>402.97</v>
      </c>
      <c r="Y281" s="242">
        <v>413.47</v>
      </c>
      <c r="Z281" s="242">
        <v>45.44</v>
      </c>
      <c r="AA281" s="157" t="s">
        <v>259</v>
      </c>
      <c r="AB281" s="242">
        <v>45.44</v>
      </c>
      <c r="AC281" s="157" t="s">
        <v>259</v>
      </c>
      <c r="AD281" s="242">
        <v>45.44</v>
      </c>
      <c r="AE281" s="157" t="s">
        <v>259</v>
      </c>
      <c r="AF281" s="242">
        <v>45.44</v>
      </c>
      <c r="AG281" s="157" t="s">
        <v>259</v>
      </c>
      <c r="AH281" s="242">
        <v>45.44</v>
      </c>
      <c r="AI281" s="157" t="s">
        <v>259</v>
      </c>
      <c r="AJ281" s="242">
        <v>0</v>
      </c>
      <c r="AK281" s="242" t="s">
        <v>259</v>
      </c>
      <c r="AL281" s="242">
        <v>0</v>
      </c>
      <c r="AM281" s="242" t="s">
        <v>259</v>
      </c>
      <c r="AN281" s="242">
        <v>1.08</v>
      </c>
      <c r="AO281" s="242" t="s">
        <v>259</v>
      </c>
      <c r="AP281" s="242">
        <v>3.93</v>
      </c>
      <c r="AQ281" s="242" t="s">
        <v>259</v>
      </c>
      <c r="AR281" s="242">
        <v>42.49</v>
      </c>
      <c r="AS281" s="242" t="s">
        <v>259</v>
      </c>
      <c r="AT281" s="242">
        <v>46.42</v>
      </c>
      <c r="AU281" s="242" t="s">
        <v>259</v>
      </c>
      <c r="AV281" s="242">
        <v>44.3</v>
      </c>
      <c r="AW281" s="157" t="s">
        <v>259</v>
      </c>
      <c r="AX281" s="157">
        <v>1181.8600000000004</v>
      </c>
      <c r="AY281" s="240">
        <v>0.09</v>
      </c>
      <c r="AZ281" s="156" t="s">
        <v>253</v>
      </c>
      <c r="BA281" s="156" t="s">
        <v>254</v>
      </c>
      <c r="BB281" s="156">
        <v>0</v>
      </c>
      <c r="BC281" s="156" t="s">
        <v>1423</v>
      </c>
      <c r="BD281" s="3"/>
    </row>
    <row r="282" spans="1:56" ht="15.75" hidden="1" customHeight="1" outlineLevel="1">
      <c r="A282" s="58">
        <v>272</v>
      </c>
      <c r="B282" s="11">
        <v>129272</v>
      </c>
      <c r="C282" s="89" t="s">
        <v>293</v>
      </c>
      <c r="D282" s="157">
        <v>9</v>
      </c>
      <c r="E282" s="12" t="s">
        <v>191</v>
      </c>
      <c r="F282" s="11" t="s">
        <v>246</v>
      </c>
      <c r="G282" s="18" t="s">
        <v>247</v>
      </c>
      <c r="H282" s="11" t="s">
        <v>248</v>
      </c>
      <c r="I282" s="87" t="s">
        <v>249</v>
      </c>
      <c r="J282" s="19" t="s">
        <v>139</v>
      </c>
      <c r="K282" s="17" t="s">
        <v>140</v>
      </c>
      <c r="L282" s="257">
        <v>0</v>
      </c>
      <c r="M282" s="70" t="s">
        <v>250</v>
      </c>
      <c r="N282" s="70">
        <v>80</v>
      </c>
      <c r="O282" s="258">
        <v>8</v>
      </c>
      <c r="P282" s="70" t="s">
        <v>251</v>
      </c>
      <c r="Q282" s="70" t="s">
        <v>233</v>
      </c>
      <c r="R282" s="70" t="s">
        <v>240</v>
      </c>
      <c r="S282" s="70" t="s">
        <v>233</v>
      </c>
      <c r="T282" s="70" t="s">
        <v>233</v>
      </c>
      <c r="U282" s="70" t="s">
        <v>1427</v>
      </c>
      <c r="V282" s="70" t="s">
        <v>240</v>
      </c>
      <c r="W282" s="12"/>
      <c r="X282" s="242">
        <v>392.83703052105005</v>
      </c>
      <c r="Y282" s="242">
        <v>407.12286043505145</v>
      </c>
      <c r="Z282" s="242">
        <v>38.424224045865891</v>
      </c>
      <c r="AA282" s="157" t="s">
        <v>252</v>
      </c>
      <c r="AB282" s="242">
        <v>38.12919060198977</v>
      </c>
      <c r="AC282" s="157" t="s">
        <v>252</v>
      </c>
      <c r="AD282" s="242">
        <v>38.144718677983256</v>
      </c>
      <c r="AE282" s="157" t="s">
        <v>252</v>
      </c>
      <c r="AF282" s="242">
        <v>37.562415828227763</v>
      </c>
      <c r="AG282" s="157" t="s">
        <v>252</v>
      </c>
      <c r="AH282" s="242">
        <v>38.199066943960432</v>
      </c>
      <c r="AI282" s="157" t="s">
        <v>252</v>
      </c>
      <c r="AJ282" s="242">
        <v>7.0155847338541966</v>
      </c>
      <c r="AK282" s="242" t="s">
        <v>252</v>
      </c>
      <c r="AL282" s="242">
        <v>7.0155847338541966</v>
      </c>
      <c r="AM282" s="242" t="s">
        <v>252</v>
      </c>
      <c r="AN282" s="242">
        <v>7.0155847338541966</v>
      </c>
      <c r="AO282" s="242" t="s">
        <v>252</v>
      </c>
      <c r="AP282" s="242">
        <v>12.250526173346074</v>
      </c>
      <c r="AQ282" s="242" t="s">
        <v>252</v>
      </c>
      <c r="AR282" s="242">
        <v>34.565497161486149</v>
      </c>
      <c r="AS282" s="242" t="s">
        <v>252</v>
      </c>
      <c r="AT282" s="242">
        <v>36.848124332527689</v>
      </c>
      <c r="AU282" s="242" t="s">
        <v>252</v>
      </c>
      <c r="AV282" s="242">
        <v>47.842002135911414</v>
      </c>
      <c r="AW282" s="157" t="s">
        <v>252</v>
      </c>
      <c r="AX282" s="157">
        <v>1142.9724110589627</v>
      </c>
      <c r="AY282" s="240">
        <v>0.17857287392501828</v>
      </c>
      <c r="AZ282" s="156" t="s">
        <v>253</v>
      </c>
      <c r="BA282" s="156" t="s">
        <v>254</v>
      </c>
      <c r="BB282" s="156">
        <v>0</v>
      </c>
      <c r="BC282" s="156" t="s">
        <v>1423</v>
      </c>
      <c r="BD282" s="3"/>
    </row>
    <row r="283" spans="1:56" ht="15.75" hidden="1" customHeight="1" outlineLevel="1">
      <c r="A283" s="58">
        <v>273</v>
      </c>
      <c r="B283" s="11">
        <v>129273</v>
      </c>
      <c r="C283" s="89" t="s">
        <v>293</v>
      </c>
      <c r="D283" s="157">
        <v>9</v>
      </c>
      <c r="E283" s="12" t="s">
        <v>231</v>
      </c>
      <c r="F283" s="11" t="s">
        <v>246</v>
      </c>
      <c r="G283" s="18" t="s">
        <v>247</v>
      </c>
      <c r="H283" s="11" t="s">
        <v>248</v>
      </c>
      <c r="I283" s="87" t="s">
        <v>249</v>
      </c>
      <c r="J283" s="19" t="s">
        <v>139</v>
      </c>
      <c r="K283" s="17" t="s">
        <v>140</v>
      </c>
      <c r="L283" s="257">
        <v>0</v>
      </c>
      <c r="M283" s="70" t="s">
        <v>250</v>
      </c>
      <c r="N283" s="70">
        <v>80</v>
      </c>
      <c r="O283" s="258">
        <v>8</v>
      </c>
      <c r="P283" s="70" t="s">
        <v>251</v>
      </c>
      <c r="Q283" s="70" t="s">
        <v>233</v>
      </c>
      <c r="R283" s="70" t="s">
        <v>240</v>
      </c>
      <c r="S283" s="70" t="s">
        <v>233</v>
      </c>
      <c r="T283" s="70" t="s">
        <v>233</v>
      </c>
      <c r="U283" s="70" t="s">
        <v>1427</v>
      </c>
      <c r="V283" s="70" t="s">
        <v>240</v>
      </c>
      <c r="W283" s="12"/>
      <c r="X283" s="242">
        <v>113.13296947895005</v>
      </c>
      <c r="Y283" s="242">
        <v>117.24713956494857</v>
      </c>
      <c r="Z283" s="242">
        <v>11.065775954134113</v>
      </c>
      <c r="AA283" s="157" t="s">
        <v>252</v>
      </c>
      <c r="AB283" s="242">
        <v>10.98080939801023</v>
      </c>
      <c r="AC283" s="157" t="s">
        <v>252</v>
      </c>
      <c r="AD283" s="242">
        <v>10.98528132201675</v>
      </c>
      <c r="AE283" s="157" t="s">
        <v>252</v>
      </c>
      <c r="AF283" s="242">
        <v>10.817584171772245</v>
      </c>
      <c r="AG283" s="157" t="s">
        <v>252</v>
      </c>
      <c r="AH283" s="242">
        <v>11.000933056039571</v>
      </c>
      <c r="AI283" s="157" t="s">
        <v>252</v>
      </c>
      <c r="AJ283" s="242">
        <v>2.0204152661458039</v>
      </c>
      <c r="AK283" s="242" t="s">
        <v>252</v>
      </c>
      <c r="AL283" s="242">
        <v>2.0204152661458039</v>
      </c>
      <c r="AM283" s="242" t="s">
        <v>252</v>
      </c>
      <c r="AN283" s="242">
        <v>2.0204152661458039</v>
      </c>
      <c r="AO283" s="242" t="s">
        <v>252</v>
      </c>
      <c r="AP283" s="242">
        <v>3.5280238266539259</v>
      </c>
      <c r="AQ283" s="242" t="s">
        <v>252</v>
      </c>
      <c r="AR283" s="242">
        <v>9.9545028385138554</v>
      </c>
      <c r="AS283" s="242" t="s">
        <v>252</v>
      </c>
      <c r="AT283" s="242">
        <v>10.611875667472317</v>
      </c>
      <c r="AU283" s="242" t="s">
        <v>252</v>
      </c>
      <c r="AV283" s="242">
        <v>13.777997864088583</v>
      </c>
      <c r="AW283" s="157" t="s">
        <v>252</v>
      </c>
      <c r="AX283" s="157">
        <v>329.16413894103755</v>
      </c>
      <c r="AY283" s="243">
        <v>5.1427126074981733E-2</v>
      </c>
      <c r="AZ283" s="156" t="s">
        <v>253</v>
      </c>
      <c r="BA283" s="156" t="s">
        <v>254</v>
      </c>
      <c r="BB283" s="156">
        <v>0</v>
      </c>
      <c r="BC283" s="156" t="s">
        <v>1423</v>
      </c>
      <c r="BD283" s="3"/>
    </row>
    <row r="284" spans="1:56" ht="15.75" hidden="1" customHeight="1" outlineLevel="1">
      <c r="A284" s="58">
        <v>274</v>
      </c>
      <c r="B284" s="11">
        <v>129274</v>
      </c>
      <c r="C284" s="89" t="s">
        <v>294</v>
      </c>
      <c r="D284" s="157">
        <v>17</v>
      </c>
      <c r="E284" s="12" t="s">
        <v>191</v>
      </c>
      <c r="F284" s="11" t="s">
        <v>246</v>
      </c>
      <c r="G284" s="18" t="s">
        <v>247</v>
      </c>
      <c r="H284" s="11" t="s">
        <v>248</v>
      </c>
      <c r="I284" s="87" t="s">
        <v>249</v>
      </c>
      <c r="J284" s="19" t="s">
        <v>139</v>
      </c>
      <c r="K284" s="17" t="s">
        <v>140</v>
      </c>
      <c r="L284" s="257">
        <v>0</v>
      </c>
      <c r="M284" s="70" t="s">
        <v>250</v>
      </c>
      <c r="N284" s="70">
        <v>100</v>
      </c>
      <c r="O284" s="258">
        <v>8</v>
      </c>
      <c r="P284" s="70" t="s">
        <v>251</v>
      </c>
      <c r="Q284" s="70" t="s">
        <v>233</v>
      </c>
      <c r="R284" s="70" t="s">
        <v>240</v>
      </c>
      <c r="S284" s="70" t="s">
        <v>233</v>
      </c>
      <c r="T284" s="70" t="s">
        <v>233</v>
      </c>
      <c r="U284" s="70" t="s">
        <v>1427</v>
      </c>
      <c r="V284" s="70" t="s">
        <v>240</v>
      </c>
      <c r="W284" s="12"/>
      <c r="X284" s="242">
        <v>757.91000000000008</v>
      </c>
      <c r="Y284" s="242">
        <v>708.61</v>
      </c>
      <c r="Z284" s="242">
        <v>103.49</v>
      </c>
      <c r="AA284" s="157" t="s">
        <v>252</v>
      </c>
      <c r="AB284" s="242">
        <v>77.23</v>
      </c>
      <c r="AC284" s="157" t="s">
        <v>252</v>
      </c>
      <c r="AD284" s="242">
        <v>76.569999999999993</v>
      </c>
      <c r="AE284" s="157" t="s">
        <v>252</v>
      </c>
      <c r="AF284" s="242">
        <v>34.409999999999997</v>
      </c>
      <c r="AG284" s="157" t="s">
        <v>252</v>
      </c>
      <c r="AH284" s="242">
        <v>27.77</v>
      </c>
      <c r="AI284" s="157" t="s">
        <v>252</v>
      </c>
      <c r="AJ284" s="242">
        <v>15.69</v>
      </c>
      <c r="AK284" s="242" t="s">
        <v>252</v>
      </c>
      <c r="AL284" s="242">
        <v>10.59</v>
      </c>
      <c r="AM284" s="242" t="s">
        <v>252</v>
      </c>
      <c r="AN284" s="242">
        <v>12.58</v>
      </c>
      <c r="AO284" s="242" t="s">
        <v>252</v>
      </c>
      <c r="AP284" s="242">
        <v>14.79</v>
      </c>
      <c r="AQ284" s="242" t="s">
        <v>252</v>
      </c>
      <c r="AR284" s="242">
        <v>68.77</v>
      </c>
      <c r="AS284" s="242" t="s">
        <v>252</v>
      </c>
      <c r="AT284" s="242">
        <v>78.05</v>
      </c>
      <c r="AU284" s="242" t="s">
        <v>259</v>
      </c>
      <c r="AV284" s="242">
        <v>67.205449999999999</v>
      </c>
      <c r="AW284" s="157" t="s">
        <v>259</v>
      </c>
      <c r="AX284" s="157">
        <v>2053.66545</v>
      </c>
      <c r="AY284" s="240">
        <v>0.31</v>
      </c>
      <c r="AZ284" s="156" t="s">
        <v>253</v>
      </c>
      <c r="BA284" s="156" t="s">
        <v>254</v>
      </c>
      <c r="BB284" s="156">
        <v>2</v>
      </c>
      <c r="BC284" s="156" t="s">
        <v>1423</v>
      </c>
      <c r="BD284" s="3"/>
    </row>
    <row r="285" spans="1:56" ht="15.75" hidden="1" customHeight="1" outlineLevel="1">
      <c r="A285" s="58">
        <v>275</v>
      </c>
      <c r="B285" s="11">
        <v>129275</v>
      </c>
      <c r="C285" s="89" t="s">
        <v>294</v>
      </c>
      <c r="D285" s="157">
        <v>19</v>
      </c>
      <c r="E285" s="12" t="s">
        <v>191</v>
      </c>
      <c r="F285" s="11" t="s">
        <v>246</v>
      </c>
      <c r="G285" s="18" t="s">
        <v>247</v>
      </c>
      <c r="H285" s="11" t="s">
        <v>248</v>
      </c>
      <c r="I285" s="87" t="s">
        <v>249</v>
      </c>
      <c r="J285" s="19" t="s">
        <v>139</v>
      </c>
      <c r="K285" s="17" t="s">
        <v>140</v>
      </c>
      <c r="L285" s="260">
        <v>1</v>
      </c>
      <c r="M285" s="70" t="s">
        <v>250</v>
      </c>
      <c r="N285" s="70">
        <v>100</v>
      </c>
      <c r="O285" s="258">
        <v>8</v>
      </c>
      <c r="P285" s="70" t="s">
        <v>251</v>
      </c>
      <c r="Q285" s="70" t="s">
        <v>233</v>
      </c>
      <c r="R285" s="70" t="s">
        <v>240</v>
      </c>
      <c r="S285" s="70" t="s">
        <v>233</v>
      </c>
      <c r="T285" s="70" t="s">
        <v>233</v>
      </c>
      <c r="U285" s="70" t="s">
        <v>1427</v>
      </c>
      <c r="V285" s="70" t="s">
        <v>240</v>
      </c>
      <c r="W285" s="12"/>
      <c r="X285" s="242">
        <v>129.41</v>
      </c>
      <c r="Y285" s="242">
        <v>121.04</v>
      </c>
      <c r="Z285" s="242">
        <v>17.25</v>
      </c>
      <c r="AA285" s="157" t="s">
        <v>252</v>
      </c>
      <c r="AB285" s="242">
        <v>9.9600000000000009</v>
      </c>
      <c r="AC285" s="157" t="s">
        <v>252</v>
      </c>
      <c r="AD285" s="242">
        <v>10.02</v>
      </c>
      <c r="AE285" s="157" t="s">
        <v>252</v>
      </c>
      <c r="AF285" s="242">
        <v>5.76</v>
      </c>
      <c r="AG285" s="157" t="s">
        <v>252</v>
      </c>
      <c r="AH285" s="242">
        <v>4.5</v>
      </c>
      <c r="AI285" s="157" t="s">
        <v>252</v>
      </c>
      <c r="AJ285" s="242">
        <v>3.58</v>
      </c>
      <c r="AK285" s="242" t="s">
        <v>252</v>
      </c>
      <c r="AL285" s="242">
        <v>2.4700000000000002</v>
      </c>
      <c r="AM285" s="242" t="s">
        <v>252</v>
      </c>
      <c r="AN285" s="242">
        <v>2.79</v>
      </c>
      <c r="AO285" s="242" t="s">
        <v>252</v>
      </c>
      <c r="AP285" s="242">
        <v>3.41</v>
      </c>
      <c r="AQ285" s="242" t="s">
        <v>252</v>
      </c>
      <c r="AR285" s="242">
        <v>11.24</v>
      </c>
      <c r="AS285" s="242" t="s">
        <v>252</v>
      </c>
      <c r="AT285" s="242">
        <v>12.86</v>
      </c>
      <c r="AU285" s="242" t="s">
        <v>259</v>
      </c>
      <c r="AV285" s="242">
        <v>11.11966</v>
      </c>
      <c r="AW285" s="157" t="s">
        <v>259</v>
      </c>
      <c r="AX285" s="157">
        <v>345.40966000000003</v>
      </c>
      <c r="AY285" s="243">
        <v>0.05</v>
      </c>
      <c r="AZ285" s="156" t="s">
        <v>253</v>
      </c>
      <c r="BA285" s="156" t="s">
        <v>254</v>
      </c>
      <c r="BB285" s="156">
        <v>0</v>
      </c>
      <c r="BC285" s="156" t="s">
        <v>1423</v>
      </c>
      <c r="BD285" s="3"/>
    </row>
    <row r="286" spans="1:56" ht="15.75" hidden="1" customHeight="1" outlineLevel="1">
      <c r="A286" s="58">
        <v>276</v>
      </c>
      <c r="B286" s="11">
        <v>129276</v>
      </c>
      <c r="C286" s="89" t="s">
        <v>294</v>
      </c>
      <c r="D286" s="157">
        <v>2</v>
      </c>
      <c r="E286" s="12" t="s">
        <v>191</v>
      </c>
      <c r="F286" s="11" t="s">
        <v>246</v>
      </c>
      <c r="G286" s="18" t="s">
        <v>247</v>
      </c>
      <c r="H286" s="11" t="s">
        <v>248</v>
      </c>
      <c r="I286" s="87" t="s">
        <v>249</v>
      </c>
      <c r="J286" s="19" t="s">
        <v>139</v>
      </c>
      <c r="K286" s="17" t="s">
        <v>140</v>
      </c>
      <c r="L286" s="260">
        <v>1</v>
      </c>
      <c r="M286" s="70" t="s">
        <v>250</v>
      </c>
      <c r="N286" s="70">
        <v>100</v>
      </c>
      <c r="O286" s="258">
        <v>8</v>
      </c>
      <c r="P286" s="70" t="s">
        <v>251</v>
      </c>
      <c r="Q286" s="70" t="s">
        <v>233</v>
      </c>
      <c r="R286" s="70" t="s">
        <v>240</v>
      </c>
      <c r="S286" s="70" t="s">
        <v>233</v>
      </c>
      <c r="T286" s="70" t="s">
        <v>233</v>
      </c>
      <c r="U286" s="70" t="s">
        <v>1427</v>
      </c>
      <c r="V286" s="70" t="s">
        <v>240</v>
      </c>
      <c r="W286" s="12"/>
      <c r="X286" s="242">
        <v>809.78</v>
      </c>
      <c r="Y286" s="242">
        <v>791.92999999999984</v>
      </c>
      <c r="Z286" s="242">
        <v>121.07</v>
      </c>
      <c r="AA286" s="157" t="s">
        <v>252</v>
      </c>
      <c r="AB286" s="242">
        <v>86.83</v>
      </c>
      <c r="AC286" s="157" t="s">
        <v>252</v>
      </c>
      <c r="AD286" s="242">
        <v>131.69999999999999</v>
      </c>
      <c r="AE286" s="157" t="s">
        <v>252</v>
      </c>
      <c r="AF286" s="242">
        <v>95.54</v>
      </c>
      <c r="AG286" s="157" t="s">
        <v>252</v>
      </c>
      <c r="AH286" s="242">
        <v>101.68</v>
      </c>
      <c r="AI286" s="157" t="s">
        <v>259</v>
      </c>
      <c r="AJ286" s="242">
        <v>22.015999999999998</v>
      </c>
      <c r="AK286" s="242" t="s">
        <v>259</v>
      </c>
      <c r="AL286" s="242">
        <v>22.015999999999998</v>
      </c>
      <c r="AM286" s="242" t="s">
        <v>259</v>
      </c>
      <c r="AN286" s="242">
        <v>22.015999999999998</v>
      </c>
      <c r="AO286" s="242" t="s">
        <v>259</v>
      </c>
      <c r="AP286" s="242">
        <v>23.39987</v>
      </c>
      <c r="AQ286" s="242" t="s">
        <v>259</v>
      </c>
      <c r="AR286" s="242">
        <v>81.44</v>
      </c>
      <c r="AS286" s="242" t="s">
        <v>259</v>
      </c>
      <c r="AT286" s="242">
        <v>105.3762</v>
      </c>
      <c r="AU286" s="242" t="s">
        <v>259</v>
      </c>
      <c r="AV286" s="242">
        <v>92.84</v>
      </c>
      <c r="AW286" s="157" t="s">
        <v>259</v>
      </c>
      <c r="AX286" s="157">
        <v>2507.6340700000005</v>
      </c>
      <c r="AY286" s="240">
        <v>0.38</v>
      </c>
      <c r="AZ286" s="156" t="s">
        <v>253</v>
      </c>
      <c r="BA286" s="156" t="s">
        <v>254</v>
      </c>
      <c r="BB286" s="156">
        <v>1</v>
      </c>
      <c r="BC286" s="157" t="s">
        <v>255</v>
      </c>
      <c r="BD286" s="3"/>
    </row>
    <row r="287" spans="1:56" ht="15.75" hidden="1" customHeight="1" outlineLevel="1">
      <c r="A287" s="58">
        <v>277</v>
      </c>
      <c r="B287" s="11">
        <v>129277</v>
      </c>
      <c r="C287" s="89" t="s">
        <v>295</v>
      </c>
      <c r="D287" s="157">
        <v>11</v>
      </c>
      <c r="E287" s="12" t="s">
        <v>191</v>
      </c>
      <c r="F287" s="11" t="s">
        <v>246</v>
      </c>
      <c r="G287" s="18" t="s">
        <v>247</v>
      </c>
      <c r="H287" s="11" t="s">
        <v>248</v>
      </c>
      <c r="I287" s="87" t="s">
        <v>249</v>
      </c>
      <c r="J287" s="19" t="s">
        <v>139</v>
      </c>
      <c r="K287" s="17" t="s">
        <v>140</v>
      </c>
      <c r="L287" s="260">
        <v>1</v>
      </c>
      <c r="M287" s="70" t="s">
        <v>250</v>
      </c>
      <c r="N287" s="70">
        <v>100</v>
      </c>
      <c r="O287" s="258">
        <v>8</v>
      </c>
      <c r="P287" s="70" t="s">
        <v>251</v>
      </c>
      <c r="Q287" s="70" t="s">
        <v>233</v>
      </c>
      <c r="R287" s="70" t="s">
        <v>240</v>
      </c>
      <c r="S287" s="70" t="s">
        <v>233</v>
      </c>
      <c r="T287" s="70" t="s">
        <v>233</v>
      </c>
      <c r="U287" s="70" t="s">
        <v>1427</v>
      </c>
      <c r="V287" s="70" t="s">
        <v>240</v>
      </c>
      <c r="W287" s="12"/>
      <c r="X287" s="242">
        <v>1256.72</v>
      </c>
      <c r="Y287" s="242">
        <v>1213.56</v>
      </c>
      <c r="Z287" s="242">
        <v>225.17</v>
      </c>
      <c r="AA287" s="157" t="s">
        <v>252</v>
      </c>
      <c r="AB287" s="242">
        <v>162.94</v>
      </c>
      <c r="AC287" s="157" t="s">
        <v>252</v>
      </c>
      <c r="AD287" s="242">
        <v>136.96</v>
      </c>
      <c r="AE287" s="157" t="s">
        <v>252</v>
      </c>
      <c r="AF287" s="242">
        <v>80.569999999999993</v>
      </c>
      <c r="AG287" s="157" t="s">
        <v>252</v>
      </c>
      <c r="AH287" s="242">
        <v>16.53</v>
      </c>
      <c r="AI287" s="157" t="s">
        <v>252</v>
      </c>
      <c r="AJ287" s="242">
        <v>10.49</v>
      </c>
      <c r="AK287" s="242" t="s">
        <v>252</v>
      </c>
      <c r="AL287" s="242">
        <v>8.33</v>
      </c>
      <c r="AM287" s="242" t="s">
        <v>252</v>
      </c>
      <c r="AN287" s="242">
        <v>6.94</v>
      </c>
      <c r="AO287" s="242" t="s">
        <v>252</v>
      </c>
      <c r="AP287" s="242">
        <v>11.91</v>
      </c>
      <c r="AQ287" s="242" t="s">
        <v>252</v>
      </c>
      <c r="AR287" s="242">
        <v>94.06</v>
      </c>
      <c r="AS287" s="242" t="s">
        <v>252</v>
      </c>
      <c r="AT287" s="242">
        <v>106.39</v>
      </c>
      <c r="AU287" s="242" t="s">
        <v>252</v>
      </c>
      <c r="AV287" s="242">
        <v>116.96</v>
      </c>
      <c r="AW287" s="157" t="s">
        <v>252</v>
      </c>
      <c r="AX287" s="157">
        <v>3447.5299999999997</v>
      </c>
      <c r="AY287" s="240">
        <v>0.42</v>
      </c>
      <c r="AZ287" s="156" t="s">
        <v>253</v>
      </c>
      <c r="BA287" s="156" t="s">
        <v>254</v>
      </c>
      <c r="BB287" s="156">
        <v>1</v>
      </c>
      <c r="BC287" s="156" t="s">
        <v>1423</v>
      </c>
      <c r="BD287" s="3"/>
    </row>
    <row r="288" spans="1:56" ht="15.75" hidden="1" customHeight="1" outlineLevel="1">
      <c r="A288" s="58">
        <v>278</v>
      </c>
      <c r="B288" s="11">
        <v>129278</v>
      </c>
      <c r="C288" s="89" t="s">
        <v>295</v>
      </c>
      <c r="D288" s="157">
        <v>16</v>
      </c>
      <c r="E288" s="12" t="s">
        <v>191</v>
      </c>
      <c r="F288" s="11" t="s">
        <v>246</v>
      </c>
      <c r="G288" s="18" t="s">
        <v>247</v>
      </c>
      <c r="H288" s="11" t="s">
        <v>248</v>
      </c>
      <c r="I288" s="87" t="s">
        <v>249</v>
      </c>
      <c r="J288" s="19" t="s">
        <v>139</v>
      </c>
      <c r="K288" s="17" t="s">
        <v>140</v>
      </c>
      <c r="L288" s="260">
        <v>1</v>
      </c>
      <c r="M288" s="70" t="s">
        <v>250</v>
      </c>
      <c r="N288" s="70">
        <v>80</v>
      </c>
      <c r="O288" s="258">
        <v>8</v>
      </c>
      <c r="P288" s="70" t="s">
        <v>251</v>
      </c>
      <c r="Q288" s="70" t="s">
        <v>233</v>
      </c>
      <c r="R288" s="70" t="s">
        <v>240</v>
      </c>
      <c r="S288" s="70" t="s">
        <v>233</v>
      </c>
      <c r="T288" s="70" t="s">
        <v>233</v>
      </c>
      <c r="U288" s="70" t="s">
        <v>1427</v>
      </c>
      <c r="V288" s="70" t="s">
        <v>240</v>
      </c>
      <c r="W288" s="12"/>
      <c r="X288" s="242">
        <v>442.66</v>
      </c>
      <c r="Y288" s="242">
        <v>488.68000000000006</v>
      </c>
      <c r="Z288" s="242">
        <v>62.87</v>
      </c>
      <c r="AA288" s="157" t="s">
        <v>252</v>
      </c>
      <c r="AB288" s="242">
        <v>47.66</v>
      </c>
      <c r="AC288" s="157" t="s">
        <v>252</v>
      </c>
      <c r="AD288" s="242">
        <v>82.21</v>
      </c>
      <c r="AE288" s="157" t="s">
        <v>252</v>
      </c>
      <c r="AF288" s="242">
        <v>51.69</v>
      </c>
      <c r="AG288" s="157" t="s">
        <v>252</v>
      </c>
      <c r="AH288" s="242">
        <v>0.3775</v>
      </c>
      <c r="AI288" s="157" t="s">
        <v>252</v>
      </c>
      <c r="AJ288" s="242">
        <v>0.3775</v>
      </c>
      <c r="AK288" s="242" t="s">
        <v>252</v>
      </c>
      <c r="AL288" s="242">
        <v>0.3775</v>
      </c>
      <c r="AM288" s="242" t="s">
        <v>252</v>
      </c>
      <c r="AN288" s="242">
        <v>0.3775</v>
      </c>
      <c r="AO288" s="242" t="s">
        <v>252</v>
      </c>
      <c r="AP288" s="242">
        <v>7.21</v>
      </c>
      <c r="AQ288" s="242" t="s">
        <v>252</v>
      </c>
      <c r="AR288" s="242">
        <v>38.85</v>
      </c>
      <c r="AS288" s="242" t="s">
        <v>252</v>
      </c>
      <c r="AT288" s="242">
        <v>32.270000000000003</v>
      </c>
      <c r="AU288" s="242" t="s">
        <v>252</v>
      </c>
      <c r="AV288" s="242">
        <v>59.63</v>
      </c>
      <c r="AW288" s="157" t="s">
        <v>252</v>
      </c>
      <c r="AX288" s="157">
        <v>1315.2400000000005</v>
      </c>
      <c r="AY288" s="240">
        <v>0.20200000000000001</v>
      </c>
      <c r="AZ288" s="156" t="s">
        <v>253</v>
      </c>
      <c r="BA288" s="156" t="s">
        <v>254</v>
      </c>
      <c r="BB288" s="156">
        <v>1</v>
      </c>
      <c r="BC288" s="156" t="s">
        <v>1423</v>
      </c>
      <c r="BD288" s="3"/>
    </row>
    <row r="289" spans="1:56" ht="15.75" hidden="1" customHeight="1" outlineLevel="1">
      <c r="A289" s="58">
        <v>279</v>
      </c>
      <c r="B289" s="11">
        <v>129279</v>
      </c>
      <c r="C289" s="89" t="s">
        <v>295</v>
      </c>
      <c r="D289" s="157">
        <v>17</v>
      </c>
      <c r="E289" s="12" t="s">
        <v>191</v>
      </c>
      <c r="F289" s="11" t="s">
        <v>246</v>
      </c>
      <c r="G289" s="18" t="s">
        <v>247</v>
      </c>
      <c r="H289" s="11" t="s">
        <v>248</v>
      </c>
      <c r="I289" s="87" t="s">
        <v>249</v>
      </c>
      <c r="J289" s="19" t="s">
        <v>139</v>
      </c>
      <c r="K289" s="17" t="s">
        <v>140</v>
      </c>
      <c r="L289" s="260">
        <v>1</v>
      </c>
      <c r="M289" s="70" t="s">
        <v>250</v>
      </c>
      <c r="N289" s="70">
        <v>80</v>
      </c>
      <c r="O289" s="258">
        <v>8</v>
      </c>
      <c r="P289" s="70" t="s">
        <v>251</v>
      </c>
      <c r="Q289" s="70" t="s">
        <v>233</v>
      </c>
      <c r="R289" s="70" t="s">
        <v>240</v>
      </c>
      <c r="S289" s="70" t="s">
        <v>233</v>
      </c>
      <c r="T289" s="70" t="s">
        <v>233</v>
      </c>
      <c r="U289" s="70" t="s">
        <v>1427</v>
      </c>
      <c r="V289" s="70" t="s">
        <v>240</v>
      </c>
      <c r="W289" s="12"/>
      <c r="X289" s="242">
        <v>723.43999999999994</v>
      </c>
      <c r="Y289" s="242">
        <v>662.48</v>
      </c>
      <c r="Z289" s="242">
        <v>92.3</v>
      </c>
      <c r="AA289" s="157" t="s">
        <v>252</v>
      </c>
      <c r="AB289" s="242">
        <v>72.17</v>
      </c>
      <c r="AC289" s="157" t="s">
        <v>252</v>
      </c>
      <c r="AD289" s="242">
        <v>93.63</v>
      </c>
      <c r="AE289" s="157" t="s">
        <v>252</v>
      </c>
      <c r="AF289" s="242">
        <v>60.17</v>
      </c>
      <c r="AG289" s="157" t="s">
        <v>252</v>
      </c>
      <c r="AH289" s="242">
        <v>23.45</v>
      </c>
      <c r="AI289" s="157" t="s">
        <v>252</v>
      </c>
      <c r="AJ289" s="242">
        <v>10.73</v>
      </c>
      <c r="AK289" s="242" t="s">
        <v>252</v>
      </c>
      <c r="AL289" s="242">
        <v>8.32</v>
      </c>
      <c r="AM289" s="242" t="s">
        <v>252</v>
      </c>
      <c r="AN289" s="242">
        <v>18.5</v>
      </c>
      <c r="AO289" s="242" t="s">
        <v>252</v>
      </c>
      <c r="AP289" s="242">
        <v>11.55</v>
      </c>
      <c r="AQ289" s="242" t="s">
        <v>252</v>
      </c>
      <c r="AR289" s="242">
        <v>62.27</v>
      </c>
      <c r="AS289" s="242" t="s">
        <v>252</v>
      </c>
      <c r="AT289" s="242">
        <v>118.78</v>
      </c>
      <c r="AU289" s="242" t="s">
        <v>252</v>
      </c>
      <c r="AV289" s="242">
        <v>78.500979999999998</v>
      </c>
      <c r="AW289" s="157" t="s">
        <v>259</v>
      </c>
      <c r="AX289" s="157">
        <v>2036.29098</v>
      </c>
      <c r="AY289" s="240">
        <v>0.31</v>
      </c>
      <c r="AZ289" s="156" t="s">
        <v>253</v>
      </c>
      <c r="BA289" s="156" t="s">
        <v>254</v>
      </c>
      <c r="BB289" s="156">
        <v>1</v>
      </c>
      <c r="BC289" s="157" t="s">
        <v>255</v>
      </c>
      <c r="BD289" s="3"/>
    </row>
    <row r="290" spans="1:56" ht="15.75" hidden="1" customHeight="1" outlineLevel="1">
      <c r="A290" s="58">
        <v>280</v>
      </c>
      <c r="B290" s="11">
        <v>129280</v>
      </c>
      <c r="C290" s="89" t="s">
        <v>295</v>
      </c>
      <c r="D290" s="157">
        <v>18</v>
      </c>
      <c r="E290" s="12" t="s">
        <v>191</v>
      </c>
      <c r="F290" s="11" t="s">
        <v>246</v>
      </c>
      <c r="G290" s="18" t="s">
        <v>247</v>
      </c>
      <c r="H290" s="11" t="s">
        <v>248</v>
      </c>
      <c r="I290" s="87" t="s">
        <v>249</v>
      </c>
      <c r="J290" s="19" t="s">
        <v>139</v>
      </c>
      <c r="K290" s="17" t="s">
        <v>140</v>
      </c>
      <c r="L290" s="260">
        <v>1</v>
      </c>
      <c r="M290" s="70" t="s">
        <v>250</v>
      </c>
      <c r="N290" s="70">
        <v>80</v>
      </c>
      <c r="O290" s="258">
        <v>8</v>
      </c>
      <c r="P290" s="70" t="s">
        <v>251</v>
      </c>
      <c r="Q290" s="70" t="s">
        <v>233</v>
      </c>
      <c r="R290" s="70" t="s">
        <v>240</v>
      </c>
      <c r="S290" s="70" t="s">
        <v>233</v>
      </c>
      <c r="T290" s="70" t="s">
        <v>233</v>
      </c>
      <c r="U290" s="70" t="s">
        <v>1427</v>
      </c>
      <c r="V290" s="70" t="s">
        <v>240</v>
      </c>
      <c r="W290" s="12"/>
      <c r="X290" s="242">
        <v>982.40000000000009</v>
      </c>
      <c r="Y290" s="242">
        <v>837.13000000000011</v>
      </c>
      <c r="Z290" s="242">
        <v>132.47999999999999</v>
      </c>
      <c r="AA290" s="157" t="s">
        <v>252</v>
      </c>
      <c r="AB290" s="242">
        <v>87.81</v>
      </c>
      <c r="AC290" s="157" t="s">
        <v>252</v>
      </c>
      <c r="AD290" s="242">
        <v>136.66999999999999</v>
      </c>
      <c r="AE290" s="157" t="s">
        <v>252</v>
      </c>
      <c r="AF290" s="242">
        <v>77.010000000000005</v>
      </c>
      <c r="AG290" s="157" t="s">
        <v>252</v>
      </c>
      <c r="AH290" s="242">
        <v>30.49</v>
      </c>
      <c r="AI290" s="157" t="s">
        <v>252</v>
      </c>
      <c r="AJ290" s="242">
        <v>15.65</v>
      </c>
      <c r="AK290" s="242" t="s">
        <v>252</v>
      </c>
      <c r="AL290" s="242">
        <v>10.78</v>
      </c>
      <c r="AM290" s="242" t="s">
        <v>252</v>
      </c>
      <c r="AN290" s="242">
        <v>12.29</v>
      </c>
      <c r="AO290" s="242" t="s">
        <v>252</v>
      </c>
      <c r="AP290" s="242">
        <v>15.67</v>
      </c>
      <c r="AQ290" s="242" t="s">
        <v>252</v>
      </c>
      <c r="AR290" s="242">
        <v>22.03</v>
      </c>
      <c r="AS290" s="242" t="s">
        <v>252</v>
      </c>
      <c r="AT290" s="242">
        <v>83.489680000000007</v>
      </c>
      <c r="AU290" s="242" t="s">
        <v>252</v>
      </c>
      <c r="AV290" s="242">
        <v>90.847080000000005</v>
      </c>
      <c r="AW290" s="157" t="s">
        <v>259</v>
      </c>
      <c r="AX290" s="157">
        <v>2534.7467600000009</v>
      </c>
      <c r="AY290" s="240">
        <v>0.41</v>
      </c>
      <c r="AZ290" s="156" t="s">
        <v>253</v>
      </c>
      <c r="BA290" s="156" t="s">
        <v>254</v>
      </c>
      <c r="BB290" s="156">
        <v>1</v>
      </c>
      <c r="BC290" s="157" t="s">
        <v>255</v>
      </c>
      <c r="BD290" s="3"/>
    </row>
    <row r="291" spans="1:56" ht="15.75" hidden="1" customHeight="1" outlineLevel="1">
      <c r="A291" s="58">
        <v>281</v>
      </c>
      <c r="B291" s="11">
        <v>129281</v>
      </c>
      <c r="C291" s="89" t="s">
        <v>295</v>
      </c>
      <c r="D291" s="157">
        <v>19</v>
      </c>
      <c r="E291" s="12" t="s">
        <v>191</v>
      </c>
      <c r="F291" s="11" t="s">
        <v>246</v>
      </c>
      <c r="G291" s="18" t="s">
        <v>247</v>
      </c>
      <c r="H291" s="11" t="s">
        <v>248</v>
      </c>
      <c r="I291" s="87" t="s">
        <v>249</v>
      </c>
      <c r="J291" s="19" t="s">
        <v>139</v>
      </c>
      <c r="K291" s="17" t="s">
        <v>140</v>
      </c>
      <c r="L291" s="260">
        <v>1</v>
      </c>
      <c r="M291" s="70" t="s">
        <v>250</v>
      </c>
      <c r="N291" s="70">
        <v>100</v>
      </c>
      <c r="O291" s="258">
        <v>8</v>
      </c>
      <c r="P291" s="70" t="s">
        <v>251</v>
      </c>
      <c r="Q291" s="70" t="s">
        <v>233</v>
      </c>
      <c r="R291" s="70" t="s">
        <v>240</v>
      </c>
      <c r="S291" s="70" t="s">
        <v>233</v>
      </c>
      <c r="T291" s="70" t="s">
        <v>233</v>
      </c>
      <c r="U291" s="70" t="s">
        <v>1427</v>
      </c>
      <c r="V291" s="70" t="s">
        <v>240</v>
      </c>
      <c r="W291" s="12"/>
      <c r="X291" s="242">
        <v>1393.6999999999998</v>
      </c>
      <c r="Y291" s="242">
        <v>1495.2400000000002</v>
      </c>
      <c r="Z291" s="242">
        <v>251.82</v>
      </c>
      <c r="AA291" s="157" t="s">
        <v>252</v>
      </c>
      <c r="AB291" s="242">
        <v>174.67</v>
      </c>
      <c r="AC291" s="157" t="s">
        <v>252</v>
      </c>
      <c r="AD291" s="242">
        <v>229.79</v>
      </c>
      <c r="AE291" s="157" t="s">
        <v>252</v>
      </c>
      <c r="AF291" s="242">
        <v>146.38</v>
      </c>
      <c r="AG291" s="157" t="s">
        <v>252</v>
      </c>
      <c r="AH291" s="242">
        <v>51.55</v>
      </c>
      <c r="AI291" s="157" t="s">
        <v>252</v>
      </c>
      <c r="AJ291" s="242">
        <v>14.39</v>
      </c>
      <c r="AK291" s="242" t="s">
        <v>252</v>
      </c>
      <c r="AL291" s="242">
        <v>9.74</v>
      </c>
      <c r="AM291" s="242" t="s">
        <v>252</v>
      </c>
      <c r="AN291" s="242">
        <v>13.83</v>
      </c>
      <c r="AO291" s="242" t="s">
        <v>252</v>
      </c>
      <c r="AP291" s="242">
        <v>18.59</v>
      </c>
      <c r="AQ291" s="242" t="s">
        <v>252</v>
      </c>
      <c r="AR291" s="242">
        <v>121.6</v>
      </c>
      <c r="AS291" s="242" t="s">
        <v>252</v>
      </c>
      <c r="AT291" s="242">
        <v>113.22</v>
      </c>
      <c r="AU291" s="242" t="s">
        <v>252</v>
      </c>
      <c r="AV291" s="242">
        <v>206.82</v>
      </c>
      <c r="AW291" s="157" t="s">
        <v>252</v>
      </c>
      <c r="AX291" s="157">
        <v>4241.34</v>
      </c>
      <c r="AY291" s="240">
        <v>0.69599999999999995</v>
      </c>
      <c r="AZ291" s="156" t="s">
        <v>253</v>
      </c>
      <c r="BA291" s="156" t="s">
        <v>254</v>
      </c>
      <c r="BB291" s="156">
        <v>1</v>
      </c>
      <c r="BC291" s="157" t="s">
        <v>255</v>
      </c>
      <c r="BD291" s="3"/>
    </row>
    <row r="292" spans="1:56" ht="15.75" hidden="1" customHeight="1" outlineLevel="1">
      <c r="A292" s="58">
        <v>282</v>
      </c>
      <c r="B292" s="11">
        <v>129282</v>
      </c>
      <c r="C292" s="89" t="s">
        <v>295</v>
      </c>
      <c r="D292" s="157">
        <v>21</v>
      </c>
      <c r="E292" s="12" t="s">
        <v>191</v>
      </c>
      <c r="F292" s="11" t="s">
        <v>246</v>
      </c>
      <c r="G292" s="18" t="s">
        <v>247</v>
      </c>
      <c r="H292" s="11" t="s">
        <v>248</v>
      </c>
      <c r="I292" s="87" t="s">
        <v>249</v>
      </c>
      <c r="J292" s="19" t="s">
        <v>139</v>
      </c>
      <c r="K292" s="17" t="s">
        <v>140</v>
      </c>
      <c r="L292" s="257">
        <v>0</v>
      </c>
      <c r="M292" s="70" t="s">
        <v>250</v>
      </c>
      <c r="N292" s="70">
        <v>100</v>
      </c>
      <c r="O292" s="258">
        <v>8</v>
      </c>
      <c r="P292" s="70" t="s">
        <v>251</v>
      </c>
      <c r="Q292" s="70" t="s">
        <v>233</v>
      </c>
      <c r="R292" s="70" t="s">
        <v>240</v>
      </c>
      <c r="S292" s="70" t="s">
        <v>233</v>
      </c>
      <c r="T292" s="70" t="s">
        <v>233</v>
      </c>
      <c r="U292" s="70" t="s">
        <v>1427</v>
      </c>
      <c r="V292" s="70" t="s">
        <v>240</v>
      </c>
      <c r="W292" s="12"/>
      <c r="X292" s="242">
        <v>343.99</v>
      </c>
      <c r="Y292" s="242">
        <v>345.00000000000006</v>
      </c>
      <c r="Z292" s="242">
        <v>58.52</v>
      </c>
      <c r="AA292" s="157" t="s">
        <v>252</v>
      </c>
      <c r="AB292" s="242">
        <v>47.49</v>
      </c>
      <c r="AC292" s="157" t="s">
        <v>252</v>
      </c>
      <c r="AD292" s="242">
        <v>67.67</v>
      </c>
      <c r="AE292" s="157" t="s">
        <v>252</v>
      </c>
      <c r="AF292" s="242">
        <v>32.86</v>
      </c>
      <c r="AG292" s="157" t="s">
        <v>252</v>
      </c>
      <c r="AH292" s="242">
        <v>10.14</v>
      </c>
      <c r="AI292" s="157" t="s">
        <v>252</v>
      </c>
      <c r="AJ292" s="242">
        <v>4.2060000000000004</v>
      </c>
      <c r="AK292" s="242" t="s">
        <v>252</v>
      </c>
      <c r="AL292" s="242">
        <v>4.2060000000000004</v>
      </c>
      <c r="AM292" s="242" t="s">
        <v>259</v>
      </c>
      <c r="AN292" s="242">
        <v>4.2060000000000004</v>
      </c>
      <c r="AO292" s="242" t="s">
        <v>259</v>
      </c>
      <c r="AP292" s="242">
        <v>11.504949999999999</v>
      </c>
      <c r="AQ292" s="242" t="s">
        <v>259</v>
      </c>
      <c r="AR292" s="242">
        <v>43.953440000000001</v>
      </c>
      <c r="AS292" s="242" t="s">
        <v>259</v>
      </c>
      <c r="AT292" s="242">
        <v>30.26031</v>
      </c>
      <c r="AU292" s="242" t="s">
        <v>259</v>
      </c>
      <c r="AV292" s="242">
        <v>46.992460000000001</v>
      </c>
      <c r="AW292" s="157" t="s">
        <v>259</v>
      </c>
      <c r="AX292" s="157">
        <v>1050.9991600000001</v>
      </c>
      <c r="AY292" s="240">
        <v>0.192</v>
      </c>
      <c r="AZ292" s="156" t="s">
        <v>253</v>
      </c>
      <c r="BA292" s="156" t="s">
        <v>254</v>
      </c>
      <c r="BB292" s="156">
        <v>0</v>
      </c>
      <c r="BC292" s="156" t="s">
        <v>1423</v>
      </c>
      <c r="BD292" s="3"/>
    </row>
    <row r="293" spans="1:56" ht="15.75" hidden="1" customHeight="1" outlineLevel="1">
      <c r="A293" s="58">
        <v>283</v>
      </c>
      <c r="B293" s="11">
        <v>129283</v>
      </c>
      <c r="C293" s="89" t="s">
        <v>295</v>
      </c>
      <c r="D293" s="157">
        <v>23</v>
      </c>
      <c r="E293" s="12" t="s">
        <v>191</v>
      </c>
      <c r="F293" s="11" t="s">
        <v>246</v>
      </c>
      <c r="G293" s="18" t="s">
        <v>247</v>
      </c>
      <c r="H293" s="11" t="s">
        <v>248</v>
      </c>
      <c r="I293" s="87" t="s">
        <v>249</v>
      </c>
      <c r="J293" s="19" t="s">
        <v>139</v>
      </c>
      <c r="K293" s="17" t="s">
        <v>140</v>
      </c>
      <c r="L293" s="260">
        <v>1</v>
      </c>
      <c r="M293" s="70" t="s">
        <v>250</v>
      </c>
      <c r="N293" s="70">
        <v>80</v>
      </c>
      <c r="O293" s="258">
        <v>8</v>
      </c>
      <c r="P293" s="70" t="s">
        <v>251</v>
      </c>
      <c r="Q293" s="70" t="s">
        <v>233</v>
      </c>
      <c r="R293" s="70" t="s">
        <v>240</v>
      </c>
      <c r="S293" s="70" t="s">
        <v>233</v>
      </c>
      <c r="T293" s="70" t="s">
        <v>233</v>
      </c>
      <c r="U293" s="70" t="s">
        <v>1427</v>
      </c>
      <c r="V293" s="70" t="s">
        <v>240</v>
      </c>
      <c r="W293" s="12"/>
      <c r="X293" s="242">
        <v>596.25000000000011</v>
      </c>
      <c r="Y293" s="242">
        <v>996.03000000000009</v>
      </c>
      <c r="Z293" s="242">
        <v>226.83</v>
      </c>
      <c r="AA293" s="157" t="s">
        <v>252</v>
      </c>
      <c r="AB293" s="242">
        <v>179.39</v>
      </c>
      <c r="AC293" s="157" t="s">
        <v>252</v>
      </c>
      <c r="AD293" s="242">
        <v>210.97</v>
      </c>
      <c r="AE293" s="157" t="s">
        <v>252</v>
      </c>
      <c r="AF293" s="242">
        <v>78.44</v>
      </c>
      <c r="AG293" s="157" t="s">
        <v>252</v>
      </c>
      <c r="AH293" s="242">
        <v>21.71</v>
      </c>
      <c r="AI293" s="157" t="s">
        <v>252</v>
      </c>
      <c r="AJ293" s="242">
        <v>12.15</v>
      </c>
      <c r="AK293" s="242" t="s">
        <v>252</v>
      </c>
      <c r="AL293" s="242">
        <v>7.57</v>
      </c>
      <c r="AM293" s="242" t="s">
        <v>252</v>
      </c>
      <c r="AN293" s="242">
        <v>7.44</v>
      </c>
      <c r="AO293" s="242" t="s">
        <v>252</v>
      </c>
      <c r="AP293" s="242">
        <v>9.26</v>
      </c>
      <c r="AQ293" s="242" t="s">
        <v>252</v>
      </c>
      <c r="AR293" s="242">
        <v>63.34</v>
      </c>
      <c r="AS293" s="242" t="s">
        <v>252</v>
      </c>
      <c r="AT293" s="242">
        <v>53.71</v>
      </c>
      <c r="AU293" s="242" t="s">
        <v>252</v>
      </c>
      <c r="AV293" s="242">
        <v>86.24</v>
      </c>
      <c r="AW293" s="157" t="s">
        <v>252</v>
      </c>
      <c r="AX293" s="157">
        <v>2549.3300000000004</v>
      </c>
      <c r="AY293" s="240">
        <v>0.27</v>
      </c>
      <c r="AZ293" s="156" t="s">
        <v>253</v>
      </c>
      <c r="BA293" s="156" t="s">
        <v>254</v>
      </c>
      <c r="BB293" s="156">
        <v>1</v>
      </c>
      <c r="BC293" s="156" t="s">
        <v>1423</v>
      </c>
      <c r="BD293" s="3"/>
    </row>
    <row r="294" spans="1:56" ht="15.75" hidden="1" customHeight="1" outlineLevel="1">
      <c r="A294" s="58">
        <v>284</v>
      </c>
      <c r="B294" s="11">
        <v>129284</v>
      </c>
      <c r="C294" s="89" t="s">
        <v>295</v>
      </c>
      <c r="D294" s="157">
        <v>25</v>
      </c>
      <c r="E294" s="12" t="s">
        <v>191</v>
      </c>
      <c r="F294" s="11" t="s">
        <v>246</v>
      </c>
      <c r="G294" s="18" t="s">
        <v>247</v>
      </c>
      <c r="H294" s="11" t="s">
        <v>248</v>
      </c>
      <c r="I294" s="87" t="s">
        <v>249</v>
      </c>
      <c r="J294" s="19" t="s">
        <v>139</v>
      </c>
      <c r="K294" s="17" t="s">
        <v>140</v>
      </c>
      <c r="L294" s="257">
        <v>0</v>
      </c>
      <c r="M294" s="70" t="s">
        <v>250</v>
      </c>
      <c r="N294" s="70">
        <v>80</v>
      </c>
      <c r="O294" s="258">
        <v>8</v>
      </c>
      <c r="P294" s="70" t="s">
        <v>251</v>
      </c>
      <c r="Q294" s="70" t="s">
        <v>233</v>
      </c>
      <c r="R294" s="70" t="s">
        <v>240</v>
      </c>
      <c r="S294" s="70" t="s">
        <v>233</v>
      </c>
      <c r="T294" s="70" t="s">
        <v>233</v>
      </c>
      <c r="U294" s="70" t="s">
        <v>1427</v>
      </c>
      <c r="V294" s="70" t="s">
        <v>240</v>
      </c>
      <c r="W294" s="12"/>
      <c r="X294" s="242">
        <v>992.39</v>
      </c>
      <c r="Y294" s="242">
        <v>1050.8300000000002</v>
      </c>
      <c r="Z294" s="242">
        <v>119.6</v>
      </c>
      <c r="AA294" s="157" t="s">
        <v>252</v>
      </c>
      <c r="AB294" s="242">
        <v>118.4</v>
      </c>
      <c r="AC294" s="157" t="s">
        <v>252</v>
      </c>
      <c r="AD294" s="242">
        <v>273.54000000000002</v>
      </c>
      <c r="AE294" s="157" t="s">
        <v>252</v>
      </c>
      <c r="AF294" s="242">
        <v>101.6</v>
      </c>
      <c r="AG294" s="157" t="s">
        <v>252</v>
      </c>
      <c r="AH294" s="242">
        <v>27.51</v>
      </c>
      <c r="AI294" s="157" t="s">
        <v>252</v>
      </c>
      <c r="AJ294" s="242">
        <v>21.4</v>
      </c>
      <c r="AK294" s="242" t="s">
        <v>252</v>
      </c>
      <c r="AL294" s="242">
        <v>13.39</v>
      </c>
      <c r="AM294" s="242" t="s">
        <v>252</v>
      </c>
      <c r="AN294" s="242">
        <v>13.22</v>
      </c>
      <c r="AO294" s="242" t="s">
        <v>252</v>
      </c>
      <c r="AP294" s="242">
        <v>16.440000000000001</v>
      </c>
      <c r="AQ294" s="242" t="s">
        <v>252</v>
      </c>
      <c r="AR294" s="242">
        <v>80.62</v>
      </c>
      <c r="AS294" s="242" t="s">
        <v>252</v>
      </c>
      <c r="AT294" s="242">
        <v>69.209999999999994</v>
      </c>
      <c r="AU294" s="242" t="s">
        <v>252</v>
      </c>
      <c r="AV294" s="242">
        <v>111.67</v>
      </c>
      <c r="AW294" s="157" t="s">
        <v>252</v>
      </c>
      <c r="AX294" s="157">
        <v>3009.82</v>
      </c>
      <c r="AY294" s="240">
        <v>0.36</v>
      </c>
      <c r="AZ294" s="156" t="s">
        <v>253</v>
      </c>
      <c r="BA294" s="156" t="s">
        <v>254</v>
      </c>
      <c r="BB294" s="156">
        <v>0</v>
      </c>
      <c r="BC294" s="156" t="s">
        <v>1423</v>
      </c>
      <c r="BD294" s="3"/>
    </row>
    <row r="295" spans="1:56" ht="15.75" hidden="1" customHeight="1" outlineLevel="1">
      <c r="A295" s="58">
        <v>285</v>
      </c>
      <c r="B295" s="11">
        <v>129285</v>
      </c>
      <c r="C295" s="89" t="s">
        <v>295</v>
      </c>
      <c r="D295" s="157">
        <v>26</v>
      </c>
      <c r="E295" s="12" t="s">
        <v>191</v>
      </c>
      <c r="F295" s="11" t="s">
        <v>246</v>
      </c>
      <c r="G295" s="18" t="s">
        <v>247</v>
      </c>
      <c r="H295" s="11" t="s">
        <v>248</v>
      </c>
      <c r="I295" s="87" t="s">
        <v>249</v>
      </c>
      <c r="J295" s="19" t="s">
        <v>139</v>
      </c>
      <c r="K295" s="17" t="s">
        <v>140</v>
      </c>
      <c r="L295" s="260">
        <v>1</v>
      </c>
      <c r="M295" s="70" t="s">
        <v>250</v>
      </c>
      <c r="N295" s="70">
        <v>80</v>
      </c>
      <c r="O295" s="258">
        <v>8</v>
      </c>
      <c r="P295" s="70" t="s">
        <v>251</v>
      </c>
      <c r="Q295" s="70" t="s">
        <v>233</v>
      </c>
      <c r="R295" s="70" t="s">
        <v>240</v>
      </c>
      <c r="S295" s="70" t="s">
        <v>233</v>
      </c>
      <c r="T295" s="70" t="s">
        <v>233</v>
      </c>
      <c r="U295" s="70" t="s">
        <v>1427</v>
      </c>
      <c r="V295" s="70" t="s">
        <v>240</v>
      </c>
      <c r="W295" s="12"/>
      <c r="X295" s="242">
        <v>1141.4199999999998</v>
      </c>
      <c r="Y295" s="242">
        <v>1151.95</v>
      </c>
      <c r="Z295" s="242">
        <v>196.07</v>
      </c>
      <c r="AA295" s="157" t="s">
        <v>252</v>
      </c>
      <c r="AB295" s="242">
        <v>155.78</v>
      </c>
      <c r="AC295" s="157" t="s">
        <v>252</v>
      </c>
      <c r="AD295" s="242">
        <v>189.21</v>
      </c>
      <c r="AE295" s="157" t="s">
        <v>252</v>
      </c>
      <c r="AF295" s="242">
        <v>125.69</v>
      </c>
      <c r="AG295" s="157" t="s">
        <v>252</v>
      </c>
      <c r="AH295" s="242">
        <v>33.22</v>
      </c>
      <c r="AI295" s="157" t="s">
        <v>252</v>
      </c>
      <c r="AJ295" s="242">
        <v>17.62</v>
      </c>
      <c r="AK295" s="242" t="s">
        <v>252</v>
      </c>
      <c r="AL295" s="242">
        <v>13.94</v>
      </c>
      <c r="AM295" s="242" t="s">
        <v>252</v>
      </c>
      <c r="AN295" s="242">
        <v>15</v>
      </c>
      <c r="AO295" s="242" t="s">
        <v>252</v>
      </c>
      <c r="AP295" s="242">
        <v>20.86</v>
      </c>
      <c r="AQ295" s="242" t="s">
        <v>252</v>
      </c>
      <c r="AR295" s="242">
        <v>107.79</v>
      </c>
      <c r="AS295" s="242" t="s">
        <v>252</v>
      </c>
      <c r="AT295" s="242">
        <v>132.69</v>
      </c>
      <c r="AU295" s="242" t="s">
        <v>252</v>
      </c>
      <c r="AV295" s="242">
        <v>121.89</v>
      </c>
      <c r="AW295" s="157" t="s">
        <v>252</v>
      </c>
      <c r="AX295" s="157">
        <v>3423.13</v>
      </c>
      <c r="AY295" s="240">
        <v>0.47</v>
      </c>
      <c r="AZ295" s="156" t="s">
        <v>253</v>
      </c>
      <c r="BA295" s="156" t="s">
        <v>254</v>
      </c>
      <c r="BB295" s="156">
        <v>1</v>
      </c>
      <c r="BC295" s="157" t="s">
        <v>255</v>
      </c>
      <c r="BD295" s="3"/>
    </row>
    <row r="296" spans="1:56" ht="15.75" hidden="1" customHeight="1" outlineLevel="1">
      <c r="A296" s="58">
        <v>286</v>
      </c>
      <c r="B296" s="11">
        <v>129286</v>
      </c>
      <c r="C296" s="89" t="s">
        <v>295</v>
      </c>
      <c r="D296" s="157">
        <v>28</v>
      </c>
      <c r="E296" s="12" t="s">
        <v>191</v>
      </c>
      <c r="F296" s="11" t="s">
        <v>246</v>
      </c>
      <c r="G296" s="18" t="s">
        <v>247</v>
      </c>
      <c r="H296" s="11" t="s">
        <v>248</v>
      </c>
      <c r="I296" s="87" t="s">
        <v>249</v>
      </c>
      <c r="J296" s="19" t="s">
        <v>139</v>
      </c>
      <c r="K296" s="17" t="s">
        <v>140</v>
      </c>
      <c r="L296" s="260">
        <v>1</v>
      </c>
      <c r="M296" s="70" t="s">
        <v>250</v>
      </c>
      <c r="N296" s="70">
        <v>100</v>
      </c>
      <c r="O296" s="258">
        <v>8</v>
      </c>
      <c r="P296" s="70" t="s">
        <v>251</v>
      </c>
      <c r="Q296" s="70" t="s">
        <v>233</v>
      </c>
      <c r="R296" s="70" t="s">
        <v>240</v>
      </c>
      <c r="S296" s="70" t="s">
        <v>233</v>
      </c>
      <c r="T296" s="70" t="s">
        <v>233</v>
      </c>
      <c r="U296" s="70" t="s">
        <v>1427</v>
      </c>
      <c r="V296" s="70" t="s">
        <v>240</v>
      </c>
      <c r="W296" s="12"/>
      <c r="X296" s="242">
        <v>434.14337804678553</v>
      </c>
      <c r="Y296" s="242">
        <v>387.62187060363158</v>
      </c>
      <c r="Z296" s="242">
        <v>62.839883854081464</v>
      </c>
      <c r="AA296" s="157" t="s">
        <v>252</v>
      </c>
      <c r="AB296" s="242">
        <v>48.516749550139046</v>
      </c>
      <c r="AC296" s="157" t="s">
        <v>252</v>
      </c>
      <c r="AD296" s="242">
        <v>53.297955995419599</v>
      </c>
      <c r="AE296" s="157" t="s">
        <v>252</v>
      </c>
      <c r="AF296" s="242">
        <v>32.460581547521677</v>
      </c>
      <c r="AG296" s="157" t="s">
        <v>252</v>
      </c>
      <c r="AH296" s="242">
        <v>32.419611483723209</v>
      </c>
      <c r="AI296" s="157" t="s">
        <v>252</v>
      </c>
      <c r="AJ296" s="242">
        <v>10.64811958122035</v>
      </c>
      <c r="AK296" s="242" t="s">
        <v>252</v>
      </c>
      <c r="AL296" s="242">
        <v>11.930482578112219</v>
      </c>
      <c r="AM296" s="242" t="s">
        <v>252</v>
      </c>
      <c r="AN296" s="242">
        <v>7.677789955831833</v>
      </c>
      <c r="AO296" s="242" t="s">
        <v>252</v>
      </c>
      <c r="AP296" s="242">
        <v>11.870035345983968</v>
      </c>
      <c r="AQ296" s="242" t="s">
        <v>252</v>
      </c>
      <c r="AR296" s="242">
        <v>55.174970789301483</v>
      </c>
      <c r="AS296" s="242" t="s">
        <v>252</v>
      </c>
      <c r="AT296" s="242">
        <v>63.102092262391629</v>
      </c>
      <c r="AU296" s="242" t="s">
        <v>252</v>
      </c>
      <c r="AV296" s="242">
        <v>32.653140847374445</v>
      </c>
      <c r="AW296" s="157" t="s">
        <v>252</v>
      </c>
      <c r="AX296" s="157">
        <v>1244.3566624415178</v>
      </c>
      <c r="AY296" s="240">
        <v>0.20075331261246523</v>
      </c>
      <c r="AZ296" s="156" t="s">
        <v>253</v>
      </c>
      <c r="BA296" s="156" t="s">
        <v>254</v>
      </c>
      <c r="BB296" s="156">
        <v>1</v>
      </c>
      <c r="BC296" s="157" t="s">
        <v>255</v>
      </c>
      <c r="BD296" s="3"/>
    </row>
    <row r="297" spans="1:56" ht="15.75" hidden="1" customHeight="1" outlineLevel="1">
      <c r="A297" s="58">
        <v>287</v>
      </c>
      <c r="B297" s="11">
        <v>129287</v>
      </c>
      <c r="C297" s="89" t="s">
        <v>295</v>
      </c>
      <c r="D297" s="157">
        <v>28</v>
      </c>
      <c r="E297" s="12" t="s">
        <v>231</v>
      </c>
      <c r="F297" s="11" t="s">
        <v>246</v>
      </c>
      <c r="G297" s="18" t="s">
        <v>247</v>
      </c>
      <c r="H297" s="11" t="s">
        <v>248</v>
      </c>
      <c r="I297" s="87" t="s">
        <v>249</v>
      </c>
      <c r="J297" s="19" t="s">
        <v>139</v>
      </c>
      <c r="K297" s="17" t="s">
        <v>140</v>
      </c>
      <c r="L297" s="257">
        <v>0</v>
      </c>
      <c r="M297" s="70" t="s">
        <v>250</v>
      </c>
      <c r="N297" s="70">
        <v>100</v>
      </c>
      <c r="O297" s="258">
        <v>8</v>
      </c>
      <c r="P297" s="70" t="s">
        <v>251</v>
      </c>
      <c r="Q297" s="70" t="s">
        <v>233</v>
      </c>
      <c r="R297" s="70" t="s">
        <v>240</v>
      </c>
      <c r="S297" s="70" t="s">
        <v>233</v>
      </c>
      <c r="T297" s="70" t="s">
        <v>233</v>
      </c>
      <c r="U297" s="70" t="s">
        <v>1427</v>
      </c>
      <c r="V297" s="70" t="s">
        <v>240</v>
      </c>
      <c r="W297" s="12"/>
      <c r="X297" s="242">
        <v>452.25796499263856</v>
      </c>
      <c r="Y297" s="242">
        <v>403.79535252740055</v>
      </c>
      <c r="Z297" s="242">
        <v>65.461871421560588</v>
      </c>
      <c r="AA297" s="157" t="s">
        <v>252</v>
      </c>
      <c r="AB297" s="242">
        <v>50.541105840013074</v>
      </c>
      <c r="AC297" s="157" t="s">
        <v>252</v>
      </c>
      <c r="AD297" s="242">
        <v>55.521807623098304</v>
      </c>
      <c r="AE297" s="157" t="s">
        <v>252</v>
      </c>
      <c r="AF297" s="242">
        <v>33.814995910354973</v>
      </c>
      <c r="AG297" s="157" t="s">
        <v>252</v>
      </c>
      <c r="AH297" s="242">
        <v>33.772316374938647</v>
      </c>
      <c r="AI297" s="157" t="s">
        <v>252</v>
      </c>
      <c r="AJ297" s="242">
        <v>11.092411254703089</v>
      </c>
      <c r="AK297" s="242" t="s">
        <v>252</v>
      </c>
      <c r="AL297" s="242">
        <v>12.42828071323409</v>
      </c>
      <c r="AM297" s="242" t="s">
        <v>252</v>
      </c>
      <c r="AN297" s="242">
        <v>7.9981449370194646</v>
      </c>
      <c r="AO297" s="242" t="s">
        <v>252</v>
      </c>
      <c r="AP297" s="242">
        <v>12.365311326680843</v>
      </c>
      <c r="AQ297" s="242" t="s">
        <v>252</v>
      </c>
      <c r="AR297" s="242">
        <v>57.477140662522473</v>
      </c>
      <c r="AS297" s="242" t="s">
        <v>252</v>
      </c>
      <c r="AT297" s="242">
        <v>65.735020448225086</v>
      </c>
      <c r="AU297" s="242" t="s">
        <v>252</v>
      </c>
      <c r="AV297" s="242">
        <v>34.015589726811704</v>
      </c>
      <c r="AW297" s="157" t="s">
        <v>252</v>
      </c>
      <c r="AX297" s="157">
        <v>1296.2773137592012</v>
      </c>
      <c r="AY297" s="243">
        <v>0.20912972353999668</v>
      </c>
      <c r="AZ297" s="156" t="s">
        <v>253</v>
      </c>
      <c r="BA297" s="156" t="s">
        <v>254</v>
      </c>
      <c r="BB297" s="156">
        <v>0</v>
      </c>
      <c r="BC297" s="157" t="s">
        <v>255</v>
      </c>
      <c r="BD297" s="3"/>
    </row>
    <row r="298" spans="1:56" ht="15.75" hidden="1" customHeight="1" outlineLevel="1">
      <c r="A298" s="58">
        <v>288</v>
      </c>
      <c r="B298" s="11">
        <v>129288</v>
      </c>
      <c r="C298" s="89" t="s">
        <v>295</v>
      </c>
      <c r="D298" s="157">
        <v>28</v>
      </c>
      <c r="E298" s="12" t="s">
        <v>260</v>
      </c>
      <c r="F298" s="11" t="s">
        <v>246</v>
      </c>
      <c r="G298" s="18" t="s">
        <v>247</v>
      </c>
      <c r="H298" s="11" t="s">
        <v>248</v>
      </c>
      <c r="I298" s="87" t="s">
        <v>249</v>
      </c>
      <c r="J298" s="19" t="s">
        <v>139</v>
      </c>
      <c r="K298" s="17" t="s">
        <v>140</v>
      </c>
      <c r="L298" s="257">
        <v>0</v>
      </c>
      <c r="M298" s="70" t="s">
        <v>250</v>
      </c>
      <c r="N298" s="70">
        <v>100</v>
      </c>
      <c r="O298" s="258">
        <v>8</v>
      </c>
      <c r="P298" s="70" t="s">
        <v>251</v>
      </c>
      <c r="Q298" s="70" t="s">
        <v>233</v>
      </c>
      <c r="R298" s="70" t="s">
        <v>240</v>
      </c>
      <c r="S298" s="70" t="s">
        <v>240</v>
      </c>
      <c r="T298" s="70" t="s">
        <v>240</v>
      </c>
      <c r="U298" s="70" t="s">
        <v>1427</v>
      </c>
      <c r="V298" s="70" t="s">
        <v>240</v>
      </c>
      <c r="W298" s="12"/>
      <c r="X298" s="242">
        <v>173.25865696057582</v>
      </c>
      <c r="Y298" s="242">
        <v>154.69277686896774</v>
      </c>
      <c r="Z298" s="242">
        <v>25.078244724357923</v>
      </c>
      <c r="AA298" s="157" t="s">
        <v>252</v>
      </c>
      <c r="AB298" s="242">
        <v>19.362144609847864</v>
      </c>
      <c r="AC298" s="157" t="s">
        <v>252</v>
      </c>
      <c r="AD298" s="242">
        <v>21.270236381482086</v>
      </c>
      <c r="AE298" s="157" t="s">
        <v>252</v>
      </c>
      <c r="AF298" s="242">
        <v>12.954422542123343</v>
      </c>
      <c r="AG298" s="157" t="s">
        <v>252</v>
      </c>
      <c r="AH298" s="242">
        <v>12.938072141338129</v>
      </c>
      <c r="AI298" s="157" t="s">
        <v>252</v>
      </c>
      <c r="AJ298" s="242">
        <v>4.2494691640765572</v>
      </c>
      <c r="AK298" s="242" t="s">
        <v>252</v>
      </c>
      <c r="AL298" s="242">
        <v>4.761236708653688</v>
      </c>
      <c r="AM298" s="242" t="s">
        <v>252</v>
      </c>
      <c r="AN298" s="242">
        <v>3.0640651071486986</v>
      </c>
      <c r="AO298" s="242" t="s">
        <v>252</v>
      </c>
      <c r="AP298" s="242">
        <v>4.7371133273351864</v>
      </c>
      <c r="AQ298" s="242" t="s">
        <v>252</v>
      </c>
      <c r="AR298" s="242">
        <v>22.019318548176013</v>
      </c>
      <c r="AS298" s="242" t="s">
        <v>252</v>
      </c>
      <c r="AT298" s="242">
        <v>25.182887289383281</v>
      </c>
      <c r="AU298" s="242" t="s">
        <v>252</v>
      </c>
      <c r="AV298" s="242">
        <v>13.031269425813838</v>
      </c>
      <c r="AW298" s="157" t="s">
        <v>252</v>
      </c>
      <c r="AX298" s="157">
        <v>496.59991379928022</v>
      </c>
      <c r="AY298" s="243">
        <v>8.0116963847538025E-2</v>
      </c>
      <c r="AZ298" s="156" t="s">
        <v>253</v>
      </c>
      <c r="BA298" s="156" t="s">
        <v>254</v>
      </c>
      <c r="BB298" s="156">
        <v>0</v>
      </c>
      <c r="BC298" s="156" t="s">
        <v>1423</v>
      </c>
      <c r="BD298" s="3"/>
    </row>
    <row r="299" spans="1:56" ht="15.75" hidden="1" customHeight="1" outlineLevel="1">
      <c r="A299" s="58">
        <v>289</v>
      </c>
      <c r="B299" s="11">
        <v>129289</v>
      </c>
      <c r="C299" s="89" t="s">
        <v>295</v>
      </c>
      <c r="D299" s="157">
        <v>29</v>
      </c>
      <c r="E299" s="12" t="s">
        <v>191</v>
      </c>
      <c r="F299" s="11" t="s">
        <v>246</v>
      </c>
      <c r="G299" s="18" t="s">
        <v>247</v>
      </c>
      <c r="H299" s="11" t="s">
        <v>248</v>
      </c>
      <c r="I299" s="87" t="s">
        <v>249</v>
      </c>
      <c r="J299" s="19" t="s">
        <v>139</v>
      </c>
      <c r="K299" s="17" t="s">
        <v>140</v>
      </c>
      <c r="L299" s="257">
        <v>0</v>
      </c>
      <c r="M299" s="70" t="s">
        <v>250</v>
      </c>
      <c r="N299" s="70">
        <v>80</v>
      </c>
      <c r="O299" s="258">
        <v>8</v>
      </c>
      <c r="P299" s="70" t="s">
        <v>251</v>
      </c>
      <c r="Q299" s="70" t="s">
        <v>233</v>
      </c>
      <c r="R299" s="70" t="s">
        <v>240</v>
      </c>
      <c r="S299" s="70" t="s">
        <v>240</v>
      </c>
      <c r="T299" s="70" t="s">
        <v>240</v>
      </c>
      <c r="U299" s="70" t="s">
        <v>1427</v>
      </c>
      <c r="V299" s="70" t="s">
        <v>240</v>
      </c>
      <c r="W299" s="12"/>
      <c r="X299" s="242">
        <v>946.81999999999994</v>
      </c>
      <c r="Y299" s="242">
        <v>952.87999999999988</v>
      </c>
      <c r="Z299" s="242">
        <v>97.05</v>
      </c>
      <c r="AA299" s="157" t="s">
        <v>252</v>
      </c>
      <c r="AB299" s="242">
        <v>96.63</v>
      </c>
      <c r="AC299" s="157" t="s">
        <v>252</v>
      </c>
      <c r="AD299" s="242">
        <v>94.19</v>
      </c>
      <c r="AE299" s="157" t="s">
        <v>252</v>
      </c>
      <c r="AF299" s="242">
        <v>96.45</v>
      </c>
      <c r="AG299" s="157" t="s">
        <v>252</v>
      </c>
      <c r="AH299" s="242">
        <v>96.73</v>
      </c>
      <c r="AI299" s="157" t="s">
        <v>252</v>
      </c>
      <c r="AJ299" s="242">
        <v>12.51</v>
      </c>
      <c r="AK299" s="242" t="s">
        <v>252</v>
      </c>
      <c r="AL299" s="242">
        <v>12.51</v>
      </c>
      <c r="AM299" s="242" t="s">
        <v>252</v>
      </c>
      <c r="AN299" s="242">
        <v>12.51</v>
      </c>
      <c r="AO299" s="242" t="s">
        <v>252</v>
      </c>
      <c r="AP299" s="242">
        <v>12.2</v>
      </c>
      <c r="AQ299" s="242" t="s">
        <v>252</v>
      </c>
      <c r="AR299" s="242">
        <v>84.37</v>
      </c>
      <c r="AS299" s="242" t="s">
        <v>252</v>
      </c>
      <c r="AT299" s="242">
        <v>81.88</v>
      </c>
      <c r="AU299" s="242" t="s">
        <v>252</v>
      </c>
      <c r="AV299" s="242">
        <v>85.67</v>
      </c>
      <c r="AW299" s="157" t="s">
        <v>252</v>
      </c>
      <c r="AX299" s="157">
        <v>2682.4</v>
      </c>
      <c r="AY299" s="240">
        <v>0.43</v>
      </c>
      <c r="AZ299" s="156" t="s">
        <v>253</v>
      </c>
      <c r="BA299" s="156" t="s">
        <v>254</v>
      </c>
      <c r="BB299" s="156">
        <v>0</v>
      </c>
      <c r="BC299" s="156" t="s">
        <v>1423</v>
      </c>
      <c r="BD299" s="3"/>
    </row>
    <row r="300" spans="1:56" ht="15.75" hidden="1" customHeight="1" outlineLevel="1">
      <c r="A300" s="58">
        <v>290</v>
      </c>
      <c r="B300" s="11">
        <v>129290</v>
      </c>
      <c r="C300" s="89" t="s">
        <v>295</v>
      </c>
      <c r="D300" s="157">
        <v>30</v>
      </c>
      <c r="E300" s="12" t="s">
        <v>191</v>
      </c>
      <c r="F300" s="11" t="s">
        <v>246</v>
      </c>
      <c r="G300" s="18" t="s">
        <v>247</v>
      </c>
      <c r="H300" s="11" t="s">
        <v>248</v>
      </c>
      <c r="I300" s="87" t="s">
        <v>249</v>
      </c>
      <c r="J300" s="19" t="s">
        <v>139</v>
      </c>
      <c r="K300" s="17" t="s">
        <v>140</v>
      </c>
      <c r="L300" s="260">
        <v>1</v>
      </c>
      <c r="M300" s="70" t="s">
        <v>250</v>
      </c>
      <c r="N300" s="70">
        <v>80</v>
      </c>
      <c r="O300" s="258">
        <v>8</v>
      </c>
      <c r="P300" s="70" t="s">
        <v>251</v>
      </c>
      <c r="Q300" s="70" t="s">
        <v>233</v>
      </c>
      <c r="R300" s="70" t="s">
        <v>240</v>
      </c>
      <c r="S300" s="70" t="s">
        <v>233</v>
      </c>
      <c r="T300" s="70" t="s">
        <v>233</v>
      </c>
      <c r="U300" s="70" t="s">
        <v>1427</v>
      </c>
      <c r="V300" s="70" t="s">
        <v>240</v>
      </c>
      <c r="W300" s="12"/>
      <c r="X300" s="242">
        <v>607.81040000000007</v>
      </c>
      <c r="Y300" s="242">
        <v>675.95236</v>
      </c>
      <c r="Z300" s="242">
        <v>77.45411</v>
      </c>
      <c r="AA300" s="157" t="s">
        <v>252</v>
      </c>
      <c r="AB300" s="242">
        <v>63.224960000000003</v>
      </c>
      <c r="AC300" s="157" t="s">
        <v>252</v>
      </c>
      <c r="AD300" s="242">
        <v>63.380070000000003</v>
      </c>
      <c r="AE300" s="157" t="s">
        <v>252</v>
      </c>
      <c r="AF300" s="242">
        <v>41.69556</v>
      </c>
      <c r="AG300" s="157" t="s">
        <v>259</v>
      </c>
      <c r="AH300" s="242">
        <v>41.639159999999997</v>
      </c>
      <c r="AI300" s="157" t="s">
        <v>259</v>
      </c>
      <c r="AJ300" s="242">
        <v>25.43572</v>
      </c>
      <c r="AK300" s="242" t="s">
        <v>259</v>
      </c>
      <c r="AL300" s="242">
        <v>26.0656</v>
      </c>
      <c r="AM300" s="242" t="s">
        <v>259</v>
      </c>
      <c r="AN300" s="242">
        <v>7.2955399999999999</v>
      </c>
      <c r="AO300" s="242" t="s">
        <v>259</v>
      </c>
      <c r="AP300" s="242">
        <v>16.56671</v>
      </c>
      <c r="AQ300" s="242" t="s">
        <v>259</v>
      </c>
      <c r="AR300" s="242">
        <v>77.006389999999996</v>
      </c>
      <c r="AS300" s="242" t="s">
        <v>259</v>
      </c>
      <c r="AT300" s="242">
        <v>36.064059999999998</v>
      </c>
      <c r="AU300" s="242" t="s">
        <v>259</v>
      </c>
      <c r="AV300" s="242">
        <v>78.488050000000001</v>
      </c>
      <c r="AW300" s="157" t="s">
        <v>259</v>
      </c>
      <c r="AX300" s="157">
        <v>1838.0786899999998</v>
      </c>
      <c r="AY300" s="243">
        <v>0.14149999999999999</v>
      </c>
      <c r="AZ300" s="156" t="s">
        <v>253</v>
      </c>
      <c r="BA300" s="156" t="s">
        <v>254</v>
      </c>
      <c r="BB300" s="156">
        <v>1</v>
      </c>
      <c r="BC300" s="156" t="s">
        <v>1423</v>
      </c>
      <c r="BD300" s="3"/>
    </row>
    <row r="301" spans="1:56" ht="15.75" hidden="1" customHeight="1" outlineLevel="1">
      <c r="A301" s="58">
        <v>291</v>
      </c>
      <c r="B301" s="11">
        <v>129291</v>
      </c>
      <c r="C301" s="89" t="s">
        <v>295</v>
      </c>
      <c r="D301" s="157">
        <v>32</v>
      </c>
      <c r="E301" s="12" t="s">
        <v>191</v>
      </c>
      <c r="F301" s="11" t="s">
        <v>246</v>
      </c>
      <c r="G301" s="18" t="s">
        <v>247</v>
      </c>
      <c r="H301" s="11" t="s">
        <v>248</v>
      </c>
      <c r="I301" s="87" t="s">
        <v>249</v>
      </c>
      <c r="J301" s="19" t="s">
        <v>139</v>
      </c>
      <c r="K301" s="17" t="s">
        <v>140</v>
      </c>
      <c r="L301" s="257">
        <v>0</v>
      </c>
      <c r="M301" s="70" t="s">
        <v>250</v>
      </c>
      <c r="N301" s="70">
        <v>80</v>
      </c>
      <c r="O301" s="258">
        <v>8</v>
      </c>
      <c r="P301" s="70" t="s">
        <v>251</v>
      </c>
      <c r="Q301" s="70" t="s">
        <v>233</v>
      </c>
      <c r="R301" s="70" t="s">
        <v>240</v>
      </c>
      <c r="S301" s="70" t="s">
        <v>233</v>
      </c>
      <c r="T301" s="70" t="s">
        <v>233</v>
      </c>
      <c r="U301" s="70" t="s">
        <v>1427</v>
      </c>
      <c r="V301" s="70" t="s">
        <v>240</v>
      </c>
      <c r="W301" s="12"/>
      <c r="X301" s="242">
        <v>225.82676101388054</v>
      </c>
      <c r="Y301" s="242">
        <v>256.29122329511165</v>
      </c>
      <c r="Z301" s="242">
        <v>29.500226312613155</v>
      </c>
      <c r="AA301" s="157" t="s">
        <v>252</v>
      </c>
      <c r="AB301" s="242">
        <v>24.105899215449604</v>
      </c>
      <c r="AC301" s="157" t="s">
        <v>252</v>
      </c>
      <c r="AD301" s="242">
        <v>24.173328304164151</v>
      </c>
      <c r="AE301" s="157" t="s">
        <v>252</v>
      </c>
      <c r="AF301" s="242">
        <v>39.547160531080259</v>
      </c>
      <c r="AG301" s="157" t="s">
        <v>259</v>
      </c>
      <c r="AH301" s="242">
        <v>38.78521182860591</v>
      </c>
      <c r="AI301" s="157" t="s">
        <v>259</v>
      </c>
      <c r="AJ301" s="242">
        <v>14.733255884127942</v>
      </c>
      <c r="AK301" s="242" t="s">
        <v>259</v>
      </c>
      <c r="AL301" s="242">
        <v>14.699541339770668</v>
      </c>
      <c r="AM301" s="242" t="s">
        <v>259</v>
      </c>
      <c r="AN301" s="242">
        <v>6.6754797827398908</v>
      </c>
      <c r="AO301" s="242" t="s">
        <v>259</v>
      </c>
      <c r="AP301" s="242">
        <v>6.3183820718165347</v>
      </c>
      <c r="AQ301" s="242" t="s">
        <v>259</v>
      </c>
      <c r="AR301" s="242">
        <v>29.369427366324679</v>
      </c>
      <c r="AS301" s="242" t="s">
        <v>259</v>
      </c>
      <c r="AT301" s="242">
        <v>34.051689800844898</v>
      </c>
      <c r="AU301" s="242" t="s">
        <v>259</v>
      </c>
      <c r="AV301" s="242">
        <v>29.899952693421842</v>
      </c>
      <c r="AW301" s="157" t="s">
        <v>259</v>
      </c>
      <c r="AX301" s="157">
        <v>773.97753943995178</v>
      </c>
      <c r="AY301" s="240">
        <v>0.10788654194327096</v>
      </c>
      <c r="AZ301" s="156" t="s">
        <v>253</v>
      </c>
      <c r="BA301" s="156" t="s">
        <v>254</v>
      </c>
      <c r="BB301" s="156">
        <v>0</v>
      </c>
      <c r="BC301" s="156" t="s">
        <v>1423</v>
      </c>
      <c r="BD301" s="3"/>
    </row>
    <row r="302" spans="1:56" ht="15.75" hidden="1" customHeight="1" outlineLevel="1">
      <c r="A302" s="58">
        <v>292</v>
      </c>
      <c r="B302" s="11">
        <v>129292</v>
      </c>
      <c r="C302" s="89" t="s">
        <v>295</v>
      </c>
      <c r="D302" s="157">
        <v>32</v>
      </c>
      <c r="E302" s="12" t="s">
        <v>231</v>
      </c>
      <c r="F302" s="11" t="s">
        <v>246</v>
      </c>
      <c r="G302" s="18" t="s">
        <v>247</v>
      </c>
      <c r="H302" s="11" t="s">
        <v>248</v>
      </c>
      <c r="I302" s="87" t="s">
        <v>249</v>
      </c>
      <c r="J302" s="19" t="s">
        <v>139</v>
      </c>
      <c r="K302" s="17" t="s">
        <v>140</v>
      </c>
      <c r="L302" s="257">
        <v>0</v>
      </c>
      <c r="M302" s="70" t="s">
        <v>250</v>
      </c>
      <c r="N302" s="70">
        <v>100</v>
      </c>
      <c r="O302" s="258">
        <v>8</v>
      </c>
      <c r="P302" s="70" t="s">
        <v>251</v>
      </c>
      <c r="Q302" s="70" t="s">
        <v>233</v>
      </c>
      <c r="R302" s="70" t="s">
        <v>240</v>
      </c>
      <c r="S302" s="70" t="s">
        <v>233</v>
      </c>
      <c r="T302" s="70" t="s">
        <v>233</v>
      </c>
      <c r="U302" s="70" t="s">
        <v>1427</v>
      </c>
      <c r="V302" s="70" t="s">
        <v>240</v>
      </c>
      <c r="W302" s="12"/>
      <c r="X302" s="242">
        <v>109.08323898611953</v>
      </c>
      <c r="Y302" s="242">
        <v>123.79877670488837</v>
      </c>
      <c r="Z302" s="242">
        <v>14.249773687386845</v>
      </c>
      <c r="AA302" s="157" t="s">
        <v>252</v>
      </c>
      <c r="AB302" s="242">
        <v>11.644100784550393</v>
      </c>
      <c r="AC302" s="157" t="s">
        <v>252</v>
      </c>
      <c r="AD302" s="242">
        <v>11.676671695835848</v>
      </c>
      <c r="AE302" s="157" t="s">
        <v>252</v>
      </c>
      <c r="AF302" s="242">
        <v>19.102839468919736</v>
      </c>
      <c r="AG302" s="157" t="s">
        <v>259</v>
      </c>
      <c r="AH302" s="242">
        <v>18.734788171394086</v>
      </c>
      <c r="AI302" s="157" t="s">
        <v>259</v>
      </c>
      <c r="AJ302" s="242">
        <v>7.1167441158720592</v>
      </c>
      <c r="AK302" s="242" t="s">
        <v>259</v>
      </c>
      <c r="AL302" s="242">
        <v>7.1004586602293305</v>
      </c>
      <c r="AM302" s="242" t="s">
        <v>259</v>
      </c>
      <c r="AN302" s="242">
        <v>3.2245202172601091</v>
      </c>
      <c r="AO302" s="242" t="s">
        <v>259</v>
      </c>
      <c r="AP302" s="242">
        <v>3.0520279281834641</v>
      </c>
      <c r="AQ302" s="242" t="s">
        <v>259</v>
      </c>
      <c r="AR302" s="242">
        <v>14.186592633675316</v>
      </c>
      <c r="AS302" s="242" t="s">
        <v>259</v>
      </c>
      <c r="AT302" s="242">
        <v>16.448310199155102</v>
      </c>
      <c r="AU302" s="242" t="s">
        <v>259</v>
      </c>
      <c r="AV302" s="242">
        <v>14.442857306578155</v>
      </c>
      <c r="AW302" s="157" t="s">
        <v>259</v>
      </c>
      <c r="AX302" s="157">
        <v>373.8617005600484</v>
      </c>
      <c r="AY302" s="243">
        <v>5.2113458056729033E-2</v>
      </c>
      <c r="AZ302" s="156" t="s">
        <v>253</v>
      </c>
      <c r="BA302" s="156" t="s">
        <v>254</v>
      </c>
      <c r="BB302" s="156">
        <v>0</v>
      </c>
      <c r="BC302" s="156" t="s">
        <v>1423</v>
      </c>
      <c r="BD302" s="3"/>
    </row>
    <row r="303" spans="1:56" ht="15.75" hidden="1" customHeight="1" outlineLevel="1">
      <c r="A303" s="58">
        <v>293</v>
      </c>
      <c r="B303" s="11">
        <v>129293</v>
      </c>
      <c r="C303" s="89" t="s">
        <v>295</v>
      </c>
      <c r="D303" s="157">
        <v>4</v>
      </c>
      <c r="E303" s="12" t="s">
        <v>191</v>
      </c>
      <c r="F303" s="11" t="s">
        <v>246</v>
      </c>
      <c r="G303" s="18" t="s">
        <v>247</v>
      </c>
      <c r="H303" s="11" t="s">
        <v>248</v>
      </c>
      <c r="I303" s="87" t="s">
        <v>249</v>
      </c>
      <c r="J303" s="19" t="s">
        <v>139</v>
      </c>
      <c r="K303" s="17" t="s">
        <v>140</v>
      </c>
      <c r="L303" s="257">
        <v>0</v>
      </c>
      <c r="M303" s="70" t="s">
        <v>250</v>
      </c>
      <c r="N303" s="70">
        <v>100</v>
      </c>
      <c r="O303" s="258">
        <v>8</v>
      </c>
      <c r="P303" s="70" t="s">
        <v>253</v>
      </c>
      <c r="Q303" s="70" t="s">
        <v>240</v>
      </c>
      <c r="R303" s="70" t="s">
        <v>240</v>
      </c>
      <c r="S303" s="70" t="s">
        <v>240</v>
      </c>
      <c r="T303" s="70" t="s">
        <v>240</v>
      </c>
      <c r="U303" s="70" t="s">
        <v>1427</v>
      </c>
      <c r="V303" s="70" t="s">
        <v>240</v>
      </c>
      <c r="W303" s="12"/>
      <c r="X303" s="242">
        <v>327.52</v>
      </c>
      <c r="Y303" s="242">
        <v>327.52</v>
      </c>
      <c r="Z303" s="242">
        <v>40.94</v>
      </c>
      <c r="AA303" s="157" t="s">
        <v>259</v>
      </c>
      <c r="AB303" s="242">
        <v>40.94</v>
      </c>
      <c r="AC303" s="157" t="s">
        <v>259</v>
      </c>
      <c r="AD303" s="242">
        <v>39.630000000000003</v>
      </c>
      <c r="AE303" s="157" t="s">
        <v>259</v>
      </c>
      <c r="AF303" s="242">
        <v>40.94</v>
      </c>
      <c r="AG303" s="157" t="s">
        <v>259</v>
      </c>
      <c r="AH303" s="242">
        <v>11.89</v>
      </c>
      <c r="AI303" s="157" t="s">
        <v>259</v>
      </c>
      <c r="AJ303" s="242">
        <v>0</v>
      </c>
      <c r="AK303" s="242" t="s">
        <v>259</v>
      </c>
      <c r="AL303" s="242">
        <v>0</v>
      </c>
      <c r="AM303" s="242" t="s">
        <v>259</v>
      </c>
      <c r="AN303" s="242">
        <v>0</v>
      </c>
      <c r="AO303" s="242" t="s">
        <v>259</v>
      </c>
      <c r="AP303" s="242">
        <v>6.82</v>
      </c>
      <c r="AQ303" s="242" t="s">
        <v>259</v>
      </c>
      <c r="AR303" s="242">
        <v>40.869999999999997</v>
      </c>
      <c r="AS303" s="242" t="s">
        <v>259</v>
      </c>
      <c r="AT303" s="242">
        <v>39.51</v>
      </c>
      <c r="AU303" s="242" t="s">
        <v>259</v>
      </c>
      <c r="AV303" s="242">
        <v>40.869999999999997</v>
      </c>
      <c r="AW303" s="157" t="s">
        <v>259</v>
      </c>
      <c r="AX303" s="157">
        <v>957.45</v>
      </c>
      <c r="AY303" s="243">
        <v>0.157</v>
      </c>
      <c r="AZ303" s="156" t="s">
        <v>253</v>
      </c>
      <c r="BA303" s="156" t="s">
        <v>254</v>
      </c>
      <c r="BB303" s="156">
        <v>0</v>
      </c>
      <c r="BC303" s="156" t="s">
        <v>1423</v>
      </c>
      <c r="BD303" s="3"/>
    </row>
    <row r="304" spans="1:56" ht="15.75" hidden="1" customHeight="1" outlineLevel="1">
      <c r="A304" s="58">
        <v>294</v>
      </c>
      <c r="B304" s="11">
        <v>129294</v>
      </c>
      <c r="C304" s="89" t="s">
        <v>295</v>
      </c>
      <c r="D304" s="157">
        <v>41</v>
      </c>
      <c r="E304" s="12" t="s">
        <v>191</v>
      </c>
      <c r="F304" s="11" t="s">
        <v>246</v>
      </c>
      <c r="G304" s="18" t="s">
        <v>247</v>
      </c>
      <c r="H304" s="11" t="s">
        <v>248</v>
      </c>
      <c r="I304" s="87" t="s">
        <v>249</v>
      </c>
      <c r="J304" s="19" t="s">
        <v>139</v>
      </c>
      <c r="K304" s="17" t="s">
        <v>140</v>
      </c>
      <c r="L304" s="260">
        <v>1</v>
      </c>
      <c r="M304" s="70" t="s">
        <v>250</v>
      </c>
      <c r="N304" s="70">
        <v>100</v>
      </c>
      <c r="O304" s="258">
        <v>8</v>
      </c>
      <c r="P304" s="70" t="s">
        <v>251</v>
      </c>
      <c r="Q304" s="70" t="s">
        <v>233</v>
      </c>
      <c r="R304" s="70" t="s">
        <v>240</v>
      </c>
      <c r="S304" s="70" t="s">
        <v>233</v>
      </c>
      <c r="T304" s="70" t="s">
        <v>233</v>
      </c>
      <c r="U304" s="70" t="s">
        <v>1427</v>
      </c>
      <c r="V304" s="70" t="s">
        <v>240</v>
      </c>
      <c r="W304" s="12"/>
      <c r="X304" s="242">
        <v>674.18000000000006</v>
      </c>
      <c r="Y304" s="242">
        <v>645.91</v>
      </c>
      <c r="Z304" s="242">
        <v>102.04</v>
      </c>
      <c r="AA304" s="157" t="s">
        <v>252</v>
      </c>
      <c r="AB304" s="242">
        <v>76.02</v>
      </c>
      <c r="AC304" s="157" t="s">
        <v>252</v>
      </c>
      <c r="AD304" s="242">
        <v>90.6</v>
      </c>
      <c r="AE304" s="157" t="s">
        <v>252</v>
      </c>
      <c r="AF304" s="242">
        <v>66.27</v>
      </c>
      <c r="AG304" s="157" t="s">
        <v>252</v>
      </c>
      <c r="AH304" s="242">
        <v>21.75</v>
      </c>
      <c r="AI304" s="157" t="s">
        <v>252</v>
      </c>
      <c r="AJ304" s="242">
        <v>15.15</v>
      </c>
      <c r="AK304" s="242" t="s">
        <v>252</v>
      </c>
      <c r="AL304" s="242">
        <v>12.94</v>
      </c>
      <c r="AM304" s="242" t="s">
        <v>252</v>
      </c>
      <c r="AN304" s="242">
        <v>20.47</v>
      </c>
      <c r="AO304" s="242" t="s">
        <v>252</v>
      </c>
      <c r="AP304" s="242">
        <v>15.7</v>
      </c>
      <c r="AQ304" s="242" t="s">
        <v>252</v>
      </c>
      <c r="AR304" s="242">
        <v>47</v>
      </c>
      <c r="AS304" s="242" t="s">
        <v>252</v>
      </c>
      <c r="AT304" s="242">
        <v>79.430000000000007</v>
      </c>
      <c r="AU304" s="242" t="s">
        <v>252</v>
      </c>
      <c r="AV304" s="242">
        <v>59.01</v>
      </c>
      <c r="AW304" s="157" t="s">
        <v>252</v>
      </c>
      <c r="AX304" s="157">
        <v>1926.4700000000003</v>
      </c>
      <c r="AY304" s="240">
        <v>0.3</v>
      </c>
      <c r="AZ304" s="156" t="s">
        <v>253</v>
      </c>
      <c r="BA304" s="156" t="s">
        <v>254</v>
      </c>
      <c r="BB304" s="156">
        <v>1</v>
      </c>
      <c r="BC304" s="156" t="s">
        <v>1423</v>
      </c>
      <c r="BD304" s="3"/>
    </row>
    <row r="305" spans="1:56" ht="15.75" hidden="1" customHeight="1" outlineLevel="1">
      <c r="A305" s="58">
        <v>295</v>
      </c>
      <c r="B305" s="11">
        <v>129295</v>
      </c>
      <c r="C305" s="89" t="s">
        <v>295</v>
      </c>
      <c r="D305" s="157">
        <v>42</v>
      </c>
      <c r="E305" s="12" t="s">
        <v>191</v>
      </c>
      <c r="F305" s="11" t="s">
        <v>246</v>
      </c>
      <c r="G305" s="18" t="s">
        <v>247</v>
      </c>
      <c r="H305" s="11" t="s">
        <v>248</v>
      </c>
      <c r="I305" s="87" t="s">
        <v>249</v>
      </c>
      <c r="J305" s="19" t="s">
        <v>139</v>
      </c>
      <c r="K305" s="17" t="s">
        <v>140</v>
      </c>
      <c r="L305" s="260">
        <v>1</v>
      </c>
      <c r="M305" s="70" t="s">
        <v>250</v>
      </c>
      <c r="N305" s="70">
        <v>100</v>
      </c>
      <c r="O305" s="258">
        <v>8</v>
      </c>
      <c r="P305" s="70" t="s">
        <v>251</v>
      </c>
      <c r="Q305" s="70" t="s">
        <v>233</v>
      </c>
      <c r="R305" s="70" t="s">
        <v>240</v>
      </c>
      <c r="S305" s="70" t="s">
        <v>233</v>
      </c>
      <c r="T305" s="70" t="s">
        <v>233</v>
      </c>
      <c r="U305" s="70" t="s">
        <v>1427</v>
      </c>
      <c r="V305" s="70" t="s">
        <v>240</v>
      </c>
      <c r="W305" s="12"/>
      <c r="X305" s="242">
        <v>1260.2299999999998</v>
      </c>
      <c r="Y305" s="242">
        <v>1146.6199999999999</v>
      </c>
      <c r="Z305" s="242">
        <v>169.63</v>
      </c>
      <c r="AA305" s="157" t="s">
        <v>252</v>
      </c>
      <c r="AB305" s="242">
        <v>124.4</v>
      </c>
      <c r="AC305" s="157" t="s">
        <v>252</v>
      </c>
      <c r="AD305" s="242">
        <v>162.18</v>
      </c>
      <c r="AE305" s="157" t="s">
        <v>252</v>
      </c>
      <c r="AF305" s="242">
        <v>114.09</v>
      </c>
      <c r="AG305" s="157" t="s">
        <v>252</v>
      </c>
      <c r="AH305" s="242">
        <v>112.65</v>
      </c>
      <c r="AI305" s="157" t="s">
        <v>259</v>
      </c>
      <c r="AJ305" s="242">
        <v>21.186</v>
      </c>
      <c r="AK305" s="242" t="s">
        <v>259</v>
      </c>
      <c r="AL305" s="242">
        <v>21.186</v>
      </c>
      <c r="AM305" s="242" t="s">
        <v>259</v>
      </c>
      <c r="AN305" s="242">
        <v>21.186</v>
      </c>
      <c r="AO305" s="242" t="s">
        <v>259</v>
      </c>
      <c r="AP305" s="242">
        <v>30.877649999999999</v>
      </c>
      <c r="AQ305" s="242" t="s">
        <v>259</v>
      </c>
      <c r="AR305" s="242">
        <v>143.68589</v>
      </c>
      <c r="AS305" s="242" t="s">
        <v>259</v>
      </c>
      <c r="AT305" s="242">
        <v>102.88</v>
      </c>
      <c r="AU305" s="242" t="s">
        <v>259</v>
      </c>
      <c r="AV305" s="242">
        <v>150.39313000000001</v>
      </c>
      <c r="AW305" s="157" t="s">
        <v>259</v>
      </c>
      <c r="AX305" s="157">
        <v>3581.1946700000003</v>
      </c>
      <c r="AY305" s="240">
        <v>0.50800000000000001</v>
      </c>
      <c r="AZ305" s="156" t="s">
        <v>253</v>
      </c>
      <c r="BA305" s="156" t="s">
        <v>254</v>
      </c>
      <c r="BB305" s="156">
        <v>1</v>
      </c>
      <c r="BC305" s="156" t="s">
        <v>1423</v>
      </c>
      <c r="BD305" s="3"/>
    </row>
    <row r="306" spans="1:56" ht="15.75" hidden="1" customHeight="1" outlineLevel="1">
      <c r="A306" s="58">
        <v>296</v>
      </c>
      <c r="B306" s="11">
        <v>129296</v>
      </c>
      <c r="C306" s="89" t="s">
        <v>295</v>
      </c>
      <c r="D306" s="157">
        <v>43</v>
      </c>
      <c r="E306" s="12" t="s">
        <v>191</v>
      </c>
      <c r="F306" s="11" t="s">
        <v>246</v>
      </c>
      <c r="G306" s="18" t="s">
        <v>247</v>
      </c>
      <c r="H306" s="11" t="s">
        <v>248</v>
      </c>
      <c r="I306" s="87" t="s">
        <v>249</v>
      </c>
      <c r="J306" s="19" t="s">
        <v>139</v>
      </c>
      <c r="K306" s="17" t="s">
        <v>140</v>
      </c>
      <c r="L306" s="257">
        <v>0</v>
      </c>
      <c r="M306" s="70" t="s">
        <v>250</v>
      </c>
      <c r="N306" s="70">
        <v>100</v>
      </c>
      <c r="O306" s="258">
        <v>8</v>
      </c>
      <c r="P306" s="70" t="s">
        <v>251</v>
      </c>
      <c r="Q306" s="70" t="s">
        <v>233</v>
      </c>
      <c r="R306" s="70" t="s">
        <v>240</v>
      </c>
      <c r="S306" s="70" t="s">
        <v>233</v>
      </c>
      <c r="T306" s="70" t="s">
        <v>233</v>
      </c>
      <c r="U306" s="70" t="s">
        <v>1427</v>
      </c>
      <c r="V306" s="70" t="s">
        <v>240</v>
      </c>
      <c r="W306" s="12"/>
      <c r="X306" s="242">
        <v>566.15329414907819</v>
      </c>
      <c r="Y306" s="242">
        <v>543.34829815655894</v>
      </c>
      <c r="Z306" s="242">
        <v>88.164205183008278</v>
      </c>
      <c r="AA306" s="157" t="s">
        <v>252</v>
      </c>
      <c r="AB306" s="242">
        <v>65.58589901148811</v>
      </c>
      <c r="AC306" s="157" t="s">
        <v>252</v>
      </c>
      <c r="AD306" s="242">
        <v>78.289596580283188</v>
      </c>
      <c r="AE306" s="157" t="s">
        <v>252</v>
      </c>
      <c r="AF306" s="242">
        <v>57.216510820197698</v>
      </c>
      <c r="AG306" s="157" t="s">
        <v>252</v>
      </c>
      <c r="AH306" s="242">
        <v>19.386513491851453</v>
      </c>
      <c r="AI306" s="157" t="s">
        <v>252</v>
      </c>
      <c r="AJ306" s="242">
        <v>8.4056585626502791</v>
      </c>
      <c r="AK306" s="242" t="s">
        <v>252</v>
      </c>
      <c r="AL306" s="242">
        <v>7.2178039006144799</v>
      </c>
      <c r="AM306" s="242" t="s">
        <v>252</v>
      </c>
      <c r="AN306" s="242">
        <v>7.2087363077745117</v>
      </c>
      <c r="AO306" s="242" t="s">
        <v>252</v>
      </c>
      <c r="AP306" s="242">
        <v>8.741159497729095</v>
      </c>
      <c r="AQ306" s="242" t="s">
        <v>252</v>
      </c>
      <c r="AR306" s="242">
        <v>41.665589099652685</v>
      </c>
      <c r="AS306" s="242" t="s">
        <v>252</v>
      </c>
      <c r="AT306" s="242">
        <v>68.922773176596309</v>
      </c>
      <c r="AU306" s="242" t="s">
        <v>252</v>
      </c>
      <c r="AV306" s="242">
        <v>51.250034731498801</v>
      </c>
      <c r="AW306" s="157" t="s">
        <v>252</v>
      </c>
      <c r="AX306" s="157">
        <v>1611.5560726689821</v>
      </c>
      <c r="AY306" s="240">
        <v>0.2720277851990382</v>
      </c>
      <c r="AZ306" s="156" t="s">
        <v>253</v>
      </c>
      <c r="BA306" s="156" t="s">
        <v>254</v>
      </c>
      <c r="BB306" s="156">
        <v>0</v>
      </c>
      <c r="BC306" s="156" t="s">
        <v>1423</v>
      </c>
      <c r="BD306" s="3"/>
    </row>
    <row r="307" spans="1:56" ht="15.75" hidden="1" customHeight="1" outlineLevel="1">
      <c r="A307" s="58">
        <v>297</v>
      </c>
      <c r="B307" s="11">
        <v>129297</v>
      </c>
      <c r="C307" s="89" t="s">
        <v>295</v>
      </c>
      <c r="D307" s="157">
        <v>43</v>
      </c>
      <c r="E307" s="12" t="s">
        <v>231</v>
      </c>
      <c r="F307" s="11" t="s">
        <v>246</v>
      </c>
      <c r="G307" s="18" t="s">
        <v>247</v>
      </c>
      <c r="H307" s="11" t="s">
        <v>248</v>
      </c>
      <c r="I307" s="87" t="s">
        <v>249</v>
      </c>
      <c r="J307" s="19" t="s">
        <v>139</v>
      </c>
      <c r="K307" s="17" t="s">
        <v>140</v>
      </c>
      <c r="L307" s="257">
        <v>0</v>
      </c>
      <c r="M307" s="70" t="s">
        <v>250</v>
      </c>
      <c r="N307" s="70">
        <v>100</v>
      </c>
      <c r="O307" s="258">
        <v>8</v>
      </c>
      <c r="P307" s="70" t="s">
        <v>251</v>
      </c>
      <c r="Q307" s="70" t="s">
        <v>233</v>
      </c>
      <c r="R307" s="70" t="s">
        <v>240</v>
      </c>
      <c r="S307" s="70" t="s">
        <v>233</v>
      </c>
      <c r="T307" s="70" t="s">
        <v>233</v>
      </c>
      <c r="U307" s="70" t="s">
        <v>1427</v>
      </c>
      <c r="V307" s="70" t="s">
        <v>240</v>
      </c>
      <c r="W307" s="12"/>
      <c r="X307" s="242">
        <v>58.21670585092172</v>
      </c>
      <c r="Y307" s="242">
        <v>55.871701843441087</v>
      </c>
      <c r="Z307" s="242">
        <v>9.0657948169917173</v>
      </c>
      <c r="AA307" s="157" t="s">
        <v>252</v>
      </c>
      <c r="AB307" s="242">
        <v>6.7441009885118879</v>
      </c>
      <c r="AC307" s="157" t="s">
        <v>252</v>
      </c>
      <c r="AD307" s="242">
        <v>8.0504034197168046</v>
      </c>
      <c r="AE307" s="157" t="s">
        <v>252</v>
      </c>
      <c r="AF307" s="242">
        <v>5.8834891798022975</v>
      </c>
      <c r="AG307" s="157" t="s">
        <v>252</v>
      </c>
      <c r="AH307" s="242">
        <v>1.9934865081485438</v>
      </c>
      <c r="AI307" s="157" t="s">
        <v>252</v>
      </c>
      <c r="AJ307" s="242">
        <v>0.86434143734971935</v>
      </c>
      <c r="AK307" s="242" t="s">
        <v>252</v>
      </c>
      <c r="AL307" s="242">
        <v>0.74219609938551956</v>
      </c>
      <c r="AM307" s="242" t="s">
        <v>252</v>
      </c>
      <c r="AN307" s="242">
        <v>0.74126369222548749</v>
      </c>
      <c r="AO307" s="242" t="s">
        <v>252</v>
      </c>
      <c r="AP307" s="242">
        <v>0.89884050227090573</v>
      </c>
      <c r="AQ307" s="242" t="s">
        <v>252</v>
      </c>
      <c r="AR307" s="242">
        <v>4.2844109003473152</v>
      </c>
      <c r="AS307" s="242" t="s">
        <v>252</v>
      </c>
      <c r="AT307" s="242">
        <v>7.0872268234036868</v>
      </c>
      <c r="AU307" s="242" t="s">
        <v>252</v>
      </c>
      <c r="AV307" s="242">
        <v>5.2699652685012026</v>
      </c>
      <c r="AW307" s="157" t="s">
        <v>252</v>
      </c>
      <c r="AX307" s="157">
        <v>165.71392733101791</v>
      </c>
      <c r="AY307" s="243">
        <v>2.7972214800961792E-2</v>
      </c>
      <c r="AZ307" s="156" t="s">
        <v>253</v>
      </c>
      <c r="BA307" s="156" t="s">
        <v>254</v>
      </c>
      <c r="BB307" s="156">
        <v>0</v>
      </c>
      <c r="BC307" s="156" t="s">
        <v>1423</v>
      </c>
      <c r="BD307" s="3"/>
    </row>
    <row r="308" spans="1:56" ht="15.75" hidden="1" customHeight="1" outlineLevel="1">
      <c r="A308" s="58">
        <v>298</v>
      </c>
      <c r="B308" s="11">
        <v>129298</v>
      </c>
      <c r="C308" s="89" t="s">
        <v>295</v>
      </c>
      <c r="D308" s="157">
        <v>44</v>
      </c>
      <c r="E308" s="12" t="s">
        <v>191</v>
      </c>
      <c r="F308" s="11" t="s">
        <v>246</v>
      </c>
      <c r="G308" s="18" t="s">
        <v>247</v>
      </c>
      <c r="H308" s="11" t="s">
        <v>248</v>
      </c>
      <c r="I308" s="87" t="s">
        <v>249</v>
      </c>
      <c r="J308" s="19" t="s">
        <v>139</v>
      </c>
      <c r="K308" s="17" t="s">
        <v>140</v>
      </c>
      <c r="L308" s="257">
        <v>0</v>
      </c>
      <c r="M308" s="70" t="s">
        <v>250</v>
      </c>
      <c r="N308" s="70">
        <v>80</v>
      </c>
      <c r="O308" s="258">
        <v>8</v>
      </c>
      <c r="P308" s="70" t="s">
        <v>251</v>
      </c>
      <c r="Q308" s="70" t="s">
        <v>233</v>
      </c>
      <c r="R308" s="70" t="s">
        <v>240</v>
      </c>
      <c r="S308" s="70" t="s">
        <v>233</v>
      </c>
      <c r="T308" s="70" t="s">
        <v>233</v>
      </c>
      <c r="U308" s="70" t="s">
        <v>1427</v>
      </c>
      <c r="V308" s="70" t="s">
        <v>240</v>
      </c>
      <c r="W308" s="12"/>
      <c r="X308" s="242">
        <v>488.47944444444437</v>
      </c>
      <c r="Y308" s="242">
        <v>441.78870370370367</v>
      </c>
      <c r="Z308" s="242">
        <v>65.694259259259269</v>
      </c>
      <c r="AA308" s="157" t="s">
        <v>252</v>
      </c>
      <c r="AB308" s="242">
        <v>48.210740740740746</v>
      </c>
      <c r="AC308" s="157" t="s">
        <v>252</v>
      </c>
      <c r="AD308" s="242">
        <v>62.784444444444446</v>
      </c>
      <c r="AE308" s="157" t="s">
        <v>252</v>
      </c>
      <c r="AF308" s="242">
        <v>44.196111111111115</v>
      </c>
      <c r="AG308" s="157" t="s">
        <v>252</v>
      </c>
      <c r="AH308" s="242">
        <v>45.065185185185193</v>
      </c>
      <c r="AI308" s="157" t="s">
        <v>259</v>
      </c>
      <c r="AJ308" s="242">
        <v>9.1984629629629637</v>
      </c>
      <c r="AK308" s="242" t="s">
        <v>259</v>
      </c>
      <c r="AL308" s="242">
        <v>9.1984629629629637</v>
      </c>
      <c r="AM308" s="242" t="s">
        <v>259</v>
      </c>
      <c r="AN308" s="242">
        <v>9.1984629629629637</v>
      </c>
      <c r="AO308" s="242" t="s">
        <v>259</v>
      </c>
      <c r="AP308" s="242">
        <v>11.958642222222224</v>
      </c>
      <c r="AQ308" s="242" t="s">
        <v>259</v>
      </c>
      <c r="AR308" s="242">
        <v>55.648259074074076</v>
      </c>
      <c r="AS308" s="242" t="s">
        <v>259</v>
      </c>
      <c r="AT308" s="242">
        <v>40.53685185185185</v>
      </c>
      <c r="AU308" s="242" t="s">
        <v>259</v>
      </c>
      <c r="AV308" s="242">
        <v>58.241224259259262</v>
      </c>
      <c r="AW308" s="157" t="s">
        <v>259</v>
      </c>
      <c r="AX308" s="157">
        <v>1390.1992551851854</v>
      </c>
      <c r="AY308" s="240">
        <v>0.19774074074074077</v>
      </c>
      <c r="AZ308" s="156" t="s">
        <v>253</v>
      </c>
      <c r="BA308" s="156" t="s">
        <v>254</v>
      </c>
      <c r="BB308" s="156">
        <v>0</v>
      </c>
      <c r="BC308" s="156" t="s">
        <v>1423</v>
      </c>
      <c r="BD308" s="3"/>
    </row>
    <row r="309" spans="1:56" ht="15.75" hidden="1" customHeight="1" outlineLevel="1">
      <c r="A309" s="58">
        <v>299</v>
      </c>
      <c r="B309" s="11">
        <v>129299</v>
      </c>
      <c r="C309" s="89" t="s">
        <v>295</v>
      </c>
      <c r="D309" s="157">
        <v>44</v>
      </c>
      <c r="E309" s="12" t="s">
        <v>231</v>
      </c>
      <c r="F309" s="11" t="s">
        <v>246</v>
      </c>
      <c r="G309" s="18" t="s">
        <v>247</v>
      </c>
      <c r="H309" s="11" t="s">
        <v>248</v>
      </c>
      <c r="I309" s="87" t="s">
        <v>249</v>
      </c>
      <c r="J309" s="19" t="s">
        <v>139</v>
      </c>
      <c r="K309" s="17" t="s">
        <v>140</v>
      </c>
      <c r="L309" s="257">
        <v>0</v>
      </c>
      <c r="M309" s="70" t="s">
        <v>250</v>
      </c>
      <c r="N309" s="70">
        <v>100</v>
      </c>
      <c r="O309" s="258">
        <v>8</v>
      </c>
      <c r="P309" s="70" t="s">
        <v>251</v>
      </c>
      <c r="Q309" s="70" t="s">
        <v>233</v>
      </c>
      <c r="R309" s="70" t="s">
        <v>240</v>
      </c>
      <c r="S309" s="70" t="s">
        <v>233</v>
      </c>
      <c r="T309" s="70" t="s">
        <v>233</v>
      </c>
      <c r="U309" s="70" t="s">
        <v>1427</v>
      </c>
      <c r="V309" s="70" t="s">
        <v>240</v>
      </c>
      <c r="W309" s="12"/>
      <c r="X309" s="242">
        <v>899.83055555555541</v>
      </c>
      <c r="Y309" s="242">
        <v>813.82129629629617</v>
      </c>
      <c r="Z309" s="242">
        <v>121.01574074074074</v>
      </c>
      <c r="AA309" s="157" t="s">
        <v>252</v>
      </c>
      <c r="AB309" s="242">
        <v>88.809259259259264</v>
      </c>
      <c r="AC309" s="157" t="s">
        <v>252</v>
      </c>
      <c r="AD309" s="242">
        <v>115.65555555555555</v>
      </c>
      <c r="AE309" s="157" t="s">
        <v>252</v>
      </c>
      <c r="AF309" s="242">
        <v>81.413888888888891</v>
      </c>
      <c r="AG309" s="157" t="s">
        <v>252</v>
      </c>
      <c r="AH309" s="242">
        <v>83.014814814814827</v>
      </c>
      <c r="AI309" s="157" t="s">
        <v>259</v>
      </c>
      <c r="AJ309" s="242">
        <v>16.944537037037037</v>
      </c>
      <c r="AK309" s="242" t="s">
        <v>259</v>
      </c>
      <c r="AL309" s="242">
        <v>16.944537037037037</v>
      </c>
      <c r="AM309" s="242" t="s">
        <v>259</v>
      </c>
      <c r="AN309" s="242">
        <v>16.944537037037037</v>
      </c>
      <c r="AO309" s="242" t="s">
        <v>259</v>
      </c>
      <c r="AP309" s="242">
        <v>22.029077777777779</v>
      </c>
      <c r="AQ309" s="242" t="s">
        <v>259</v>
      </c>
      <c r="AR309" s="242">
        <v>102.50995092592592</v>
      </c>
      <c r="AS309" s="242" t="s">
        <v>259</v>
      </c>
      <c r="AT309" s="242">
        <v>74.673148148148144</v>
      </c>
      <c r="AU309" s="242" t="s">
        <v>259</v>
      </c>
      <c r="AV309" s="242">
        <v>107.28646574074074</v>
      </c>
      <c r="AW309" s="157" t="s">
        <v>259</v>
      </c>
      <c r="AX309" s="157">
        <v>2560.8933648148154</v>
      </c>
      <c r="AY309" s="243">
        <v>0.36425925925925928</v>
      </c>
      <c r="AZ309" s="156" t="s">
        <v>253</v>
      </c>
      <c r="BA309" s="156" t="s">
        <v>254</v>
      </c>
      <c r="BB309" s="156">
        <v>0</v>
      </c>
      <c r="BC309" s="156" t="s">
        <v>1423</v>
      </c>
      <c r="BD309" s="3"/>
    </row>
    <row r="310" spans="1:56" ht="15.75" hidden="1" customHeight="1" outlineLevel="1">
      <c r="A310" s="58">
        <v>300</v>
      </c>
      <c r="B310" s="11">
        <v>129300</v>
      </c>
      <c r="C310" s="89" t="s">
        <v>295</v>
      </c>
      <c r="D310" s="157">
        <v>46</v>
      </c>
      <c r="E310" s="12" t="s">
        <v>191</v>
      </c>
      <c r="F310" s="11" t="s">
        <v>246</v>
      </c>
      <c r="G310" s="18" t="s">
        <v>247</v>
      </c>
      <c r="H310" s="11" t="s">
        <v>248</v>
      </c>
      <c r="I310" s="87" t="s">
        <v>249</v>
      </c>
      <c r="J310" s="19" t="s">
        <v>139</v>
      </c>
      <c r="K310" s="17" t="s">
        <v>140</v>
      </c>
      <c r="L310" s="260">
        <v>1</v>
      </c>
      <c r="M310" s="70" t="s">
        <v>250</v>
      </c>
      <c r="N310" s="70">
        <v>100</v>
      </c>
      <c r="O310" s="258">
        <v>8</v>
      </c>
      <c r="P310" s="70" t="s">
        <v>251</v>
      </c>
      <c r="Q310" s="70" t="s">
        <v>233</v>
      </c>
      <c r="R310" s="70" t="s">
        <v>240</v>
      </c>
      <c r="S310" s="70" t="s">
        <v>233</v>
      </c>
      <c r="T310" s="70" t="s">
        <v>233</v>
      </c>
      <c r="U310" s="70" t="s">
        <v>1427</v>
      </c>
      <c r="V310" s="70" t="s">
        <v>240</v>
      </c>
      <c r="W310" s="12"/>
      <c r="X310" s="242">
        <v>875.72</v>
      </c>
      <c r="Y310" s="242">
        <v>947.18999999999994</v>
      </c>
      <c r="Z310" s="242">
        <v>150.49</v>
      </c>
      <c r="AA310" s="157" t="s">
        <v>252</v>
      </c>
      <c r="AB310" s="242">
        <v>115.76</v>
      </c>
      <c r="AC310" s="157" t="s">
        <v>252</v>
      </c>
      <c r="AD310" s="242">
        <v>140.58000000000001</v>
      </c>
      <c r="AE310" s="157" t="s">
        <v>252</v>
      </c>
      <c r="AF310" s="242">
        <v>107.44</v>
      </c>
      <c r="AG310" s="157" t="s">
        <v>252</v>
      </c>
      <c r="AH310" s="242">
        <v>34.26</v>
      </c>
      <c r="AI310" s="157" t="s">
        <v>252</v>
      </c>
      <c r="AJ310" s="242">
        <v>14.72</v>
      </c>
      <c r="AK310" s="242" t="s">
        <v>252</v>
      </c>
      <c r="AL310" s="242">
        <v>12.15</v>
      </c>
      <c r="AM310" s="242" t="s">
        <v>252</v>
      </c>
      <c r="AN310" s="242">
        <v>14.28</v>
      </c>
      <c r="AO310" s="242" t="s">
        <v>252</v>
      </c>
      <c r="AP310" s="242">
        <v>17.82</v>
      </c>
      <c r="AQ310" s="242" t="s">
        <v>252</v>
      </c>
      <c r="AR310" s="242">
        <v>93.92</v>
      </c>
      <c r="AS310" s="242" t="s">
        <v>252</v>
      </c>
      <c r="AT310" s="242">
        <v>106.81</v>
      </c>
      <c r="AU310" s="242" t="s">
        <v>252</v>
      </c>
      <c r="AV310" s="242">
        <v>113.33</v>
      </c>
      <c r="AW310" s="157" t="s">
        <v>252</v>
      </c>
      <c r="AX310" s="157">
        <v>2744.4700000000003</v>
      </c>
      <c r="AY310" s="240">
        <v>0.3</v>
      </c>
      <c r="AZ310" s="156" t="s">
        <v>253</v>
      </c>
      <c r="BA310" s="156" t="s">
        <v>254</v>
      </c>
      <c r="BB310" s="156">
        <v>1</v>
      </c>
      <c r="BC310" s="156" t="s">
        <v>1423</v>
      </c>
      <c r="BD310" s="3"/>
    </row>
    <row r="311" spans="1:56" ht="15.75" hidden="1" customHeight="1" outlineLevel="1">
      <c r="A311" s="58">
        <v>301</v>
      </c>
      <c r="B311" s="11">
        <v>129301</v>
      </c>
      <c r="C311" s="89" t="s">
        <v>295</v>
      </c>
      <c r="D311" s="157">
        <v>47</v>
      </c>
      <c r="E311" s="12" t="s">
        <v>191</v>
      </c>
      <c r="F311" s="11" t="s">
        <v>246</v>
      </c>
      <c r="G311" s="18" t="s">
        <v>247</v>
      </c>
      <c r="H311" s="11" t="s">
        <v>248</v>
      </c>
      <c r="I311" s="87" t="s">
        <v>249</v>
      </c>
      <c r="J311" s="19" t="s">
        <v>139</v>
      </c>
      <c r="K311" s="17" t="s">
        <v>140</v>
      </c>
      <c r="L311" s="260">
        <v>1</v>
      </c>
      <c r="M311" s="70" t="s">
        <v>250</v>
      </c>
      <c r="N311" s="70">
        <v>80</v>
      </c>
      <c r="O311" s="258">
        <v>8</v>
      </c>
      <c r="P311" s="70" t="s">
        <v>251</v>
      </c>
      <c r="Q311" s="70" t="s">
        <v>233</v>
      </c>
      <c r="R311" s="70" t="s">
        <v>240</v>
      </c>
      <c r="S311" s="70" t="s">
        <v>233</v>
      </c>
      <c r="T311" s="70" t="s">
        <v>233</v>
      </c>
      <c r="U311" s="70" t="s">
        <v>1427</v>
      </c>
      <c r="V311" s="70" t="s">
        <v>240</v>
      </c>
      <c r="W311" s="12"/>
      <c r="X311" s="242">
        <v>713.93000000000006</v>
      </c>
      <c r="Y311" s="242">
        <v>731.74000000000012</v>
      </c>
      <c r="Z311" s="242">
        <v>90.3</v>
      </c>
      <c r="AA311" s="157" t="s">
        <v>252</v>
      </c>
      <c r="AB311" s="242">
        <v>88.08</v>
      </c>
      <c r="AC311" s="157" t="s">
        <v>252</v>
      </c>
      <c r="AD311" s="242">
        <v>92.13</v>
      </c>
      <c r="AE311" s="157" t="s">
        <v>252</v>
      </c>
      <c r="AF311" s="242">
        <v>89.42</v>
      </c>
      <c r="AG311" s="157" t="s">
        <v>252</v>
      </c>
      <c r="AH311" s="242">
        <v>34.5</v>
      </c>
      <c r="AI311" s="157" t="s">
        <v>252</v>
      </c>
      <c r="AJ311" s="242">
        <v>21.84</v>
      </c>
      <c r="AK311" s="242" t="s">
        <v>252</v>
      </c>
      <c r="AL311" s="242">
        <v>16.920000000000002</v>
      </c>
      <c r="AM311" s="242" t="s">
        <v>252</v>
      </c>
      <c r="AN311" s="242">
        <v>35.6</v>
      </c>
      <c r="AO311" s="242" t="s">
        <v>252</v>
      </c>
      <c r="AP311" s="242">
        <v>22.77</v>
      </c>
      <c r="AQ311" s="242" t="s">
        <v>252</v>
      </c>
      <c r="AR311" s="242">
        <v>66.010000000000005</v>
      </c>
      <c r="AS311" s="242" t="s">
        <v>252</v>
      </c>
      <c r="AT311" s="242">
        <v>71.41</v>
      </c>
      <c r="AU311" s="242" t="s">
        <v>252</v>
      </c>
      <c r="AV311" s="242">
        <v>72.2</v>
      </c>
      <c r="AW311" s="157" t="s">
        <v>252</v>
      </c>
      <c r="AX311" s="157">
        <v>2146.8499999999995</v>
      </c>
      <c r="AY311" s="240">
        <v>0.31</v>
      </c>
      <c r="AZ311" s="156" t="s">
        <v>253</v>
      </c>
      <c r="BA311" s="156" t="s">
        <v>254</v>
      </c>
      <c r="BB311" s="156">
        <v>1</v>
      </c>
      <c r="BC311" s="156" t="s">
        <v>1423</v>
      </c>
      <c r="BD311" s="3"/>
    </row>
    <row r="312" spans="1:56" ht="15.75" hidden="1" customHeight="1" outlineLevel="1">
      <c r="A312" s="58">
        <v>302</v>
      </c>
      <c r="B312" s="11">
        <v>129302</v>
      </c>
      <c r="C312" s="89" t="s">
        <v>295</v>
      </c>
      <c r="D312" s="157">
        <v>48</v>
      </c>
      <c r="E312" s="12" t="s">
        <v>191</v>
      </c>
      <c r="F312" s="11" t="s">
        <v>246</v>
      </c>
      <c r="G312" s="18" t="s">
        <v>247</v>
      </c>
      <c r="H312" s="11" t="s">
        <v>248</v>
      </c>
      <c r="I312" s="87" t="s">
        <v>249</v>
      </c>
      <c r="J312" s="19" t="s">
        <v>139</v>
      </c>
      <c r="K312" s="17" t="s">
        <v>140</v>
      </c>
      <c r="L312" s="260">
        <v>1</v>
      </c>
      <c r="M312" s="70" t="s">
        <v>250</v>
      </c>
      <c r="N312" s="70">
        <v>100</v>
      </c>
      <c r="O312" s="258">
        <v>8</v>
      </c>
      <c r="P312" s="70" t="s">
        <v>251</v>
      </c>
      <c r="Q312" s="70" t="s">
        <v>233</v>
      </c>
      <c r="R312" s="70" t="s">
        <v>240</v>
      </c>
      <c r="S312" s="70" t="s">
        <v>233</v>
      </c>
      <c r="T312" s="70" t="s">
        <v>233</v>
      </c>
      <c r="U312" s="70" t="s">
        <v>1427</v>
      </c>
      <c r="V312" s="70" t="s">
        <v>240</v>
      </c>
      <c r="W312" s="12"/>
      <c r="X312" s="242">
        <v>933.13000000000011</v>
      </c>
      <c r="Y312" s="242">
        <v>972.5200000000001</v>
      </c>
      <c r="Z312" s="242">
        <v>156.15</v>
      </c>
      <c r="AA312" s="157" t="s">
        <v>252</v>
      </c>
      <c r="AB312" s="242">
        <v>87.35</v>
      </c>
      <c r="AC312" s="157" t="s">
        <v>252</v>
      </c>
      <c r="AD312" s="242">
        <v>117.26</v>
      </c>
      <c r="AE312" s="157" t="s">
        <v>252</v>
      </c>
      <c r="AF312" s="242">
        <v>103.52</v>
      </c>
      <c r="AG312" s="157" t="s">
        <v>252</v>
      </c>
      <c r="AH312" s="242">
        <v>34.69</v>
      </c>
      <c r="AI312" s="157" t="s">
        <v>252</v>
      </c>
      <c r="AJ312" s="242">
        <v>10.44</v>
      </c>
      <c r="AK312" s="242" t="s">
        <v>252</v>
      </c>
      <c r="AL312" s="242">
        <v>8.19</v>
      </c>
      <c r="AM312" s="242" t="s">
        <v>252</v>
      </c>
      <c r="AN312" s="242">
        <v>11.73</v>
      </c>
      <c r="AO312" s="242" t="s">
        <v>252</v>
      </c>
      <c r="AP312" s="242">
        <v>14.53</v>
      </c>
      <c r="AQ312" s="242" t="s">
        <v>252</v>
      </c>
      <c r="AR312" s="242">
        <v>57.83</v>
      </c>
      <c r="AS312" s="242" t="s">
        <v>252</v>
      </c>
      <c r="AT312" s="242">
        <v>61.05</v>
      </c>
      <c r="AU312" s="242" t="s">
        <v>252</v>
      </c>
      <c r="AV312" s="242">
        <v>66.88</v>
      </c>
      <c r="AW312" s="157" t="s">
        <v>252</v>
      </c>
      <c r="AX312" s="157">
        <v>2635.2700000000009</v>
      </c>
      <c r="AY312" s="240">
        <v>0.45</v>
      </c>
      <c r="AZ312" s="156" t="s">
        <v>253</v>
      </c>
      <c r="BA312" s="156" t="s">
        <v>254</v>
      </c>
      <c r="BB312" s="156">
        <v>1</v>
      </c>
      <c r="BC312" s="156" t="s">
        <v>1423</v>
      </c>
      <c r="BD312" s="3"/>
    </row>
    <row r="313" spans="1:56" ht="15.75" hidden="1" customHeight="1" outlineLevel="1">
      <c r="A313" s="58">
        <v>303</v>
      </c>
      <c r="B313" s="11">
        <v>129303</v>
      </c>
      <c r="C313" s="89" t="s">
        <v>295</v>
      </c>
      <c r="D313" s="157">
        <v>49</v>
      </c>
      <c r="E313" s="12" t="s">
        <v>191</v>
      </c>
      <c r="F313" s="11" t="s">
        <v>246</v>
      </c>
      <c r="G313" s="18" t="s">
        <v>247</v>
      </c>
      <c r="H313" s="11" t="s">
        <v>248</v>
      </c>
      <c r="I313" s="87" t="s">
        <v>249</v>
      </c>
      <c r="J313" s="19" t="s">
        <v>139</v>
      </c>
      <c r="K313" s="17" t="s">
        <v>140</v>
      </c>
      <c r="L313" s="257">
        <v>0</v>
      </c>
      <c r="M313" s="70" t="s">
        <v>250</v>
      </c>
      <c r="N313" s="70">
        <v>100</v>
      </c>
      <c r="O313" s="258">
        <v>8</v>
      </c>
      <c r="P313" s="70" t="s">
        <v>251</v>
      </c>
      <c r="Q313" s="70" t="s">
        <v>233</v>
      </c>
      <c r="R313" s="70" t="s">
        <v>240</v>
      </c>
      <c r="S313" s="70" t="s">
        <v>233</v>
      </c>
      <c r="T313" s="70" t="s">
        <v>233</v>
      </c>
      <c r="U313" s="70" t="s">
        <v>1427</v>
      </c>
      <c r="V313" s="70" t="s">
        <v>240</v>
      </c>
      <c r="W313" s="12"/>
      <c r="X313" s="242">
        <v>412.18766949935338</v>
      </c>
      <c r="Y313" s="242">
        <v>424.29880057269537</v>
      </c>
      <c r="Z313" s="242">
        <v>55.330320062811744</v>
      </c>
      <c r="AA313" s="157" t="s">
        <v>252</v>
      </c>
      <c r="AB313" s="242">
        <v>54.055464160354695</v>
      </c>
      <c r="AC313" s="157" t="s">
        <v>252</v>
      </c>
      <c r="AD313" s="242">
        <v>56.565828560871964</v>
      </c>
      <c r="AE313" s="157" t="s">
        <v>252</v>
      </c>
      <c r="AF313" s="242">
        <v>54.936846018843518</v>
      </c>
      <c r="AG313" s="157" t="s">
        <v>252</v>
      </c>
      <c r="AH313" s="242">
        <v>22.168327637169774</v>
      </c>
      <c r="AI313" s="157" t="s">
        <v>252</v>
      </c>
      <c r="AJ313" s="242">
        <v>6.146064566783668</v>
      </c>
      <c r="AK313" s="242" t="s">
        <v>252</v>
      </c>
      <c r="AL313" s="242">
        <v>4.7531664511361535</v>
      </c>
      <c r="AM313" s="242" t="s">
        <v>252</v>
      </c>
      <c r="AN313" s="242">
        <v>5.4456807685202282</v>
      </c>
      <c r="AO313" s="242" t="s">
        <v>252</v>
      </c>
      <c r="AP313" s="242">
        <v>6.4136269166820616</v>
      </c>
      <c r="AQ313" s="242" t="s">
        <v>252</v>
      </c>
      <c r="AR313" s="242">
        <v>42.007288934047658</v>
      </c>
      <c r="AS313" s="242" t="s">
        <v>252</v>
      </c>
      <c r="AT313" s="242">
        <v>44.210743580269714</v>
      </c>
      <c r="AU313" s="242" t="s">
        <v>252</v>
      </c>
      <c r="AV313" s="242">
        <v>44.682912433031589</v>
      </c>
      <c r="AW313" s="157" t="s">
        <v>252</v>
      </c>
      <c r="AX313" s="157">
        <v>1233.2027401625717</v>
      </c>
      <c r="AY313" s="243">
        <v>0.20460650286347681</v>
      </c>
      <c r="AZ313" s="156" t="s">
        <v>253</v>
      </c>
      <c r="BA313" s="156" t="s">
        <v>254</v>
      </c>
      <c r="BB313" s="156">
        <v>0</v>
      </c>
      <c r="BC313" s="156" t="s">
        <v>1423</v>
      </c>
      <c r="BD313" s="3"/>
    </row>
    <row r="314" spans="1:56" ht="15.75" hidden="1" customHeight="1" outlineLevel="1">
      <c r="A314" s="58">
        <v>304</v>
      </c>
      <c r="B314" s="11">
        <v>129304</v>
      </c>
      <c r="C314" s="89" t="s">
        <v>295</v>
      </c>
      <c r="D314" s="157">
        <v>49</v>
      </c>
      <c r="E314" s="12" t="s">
        <v>231</v>
      </c>
      <c r="F314" s="11" t="s">
        <v>246</v>
      </c>
      <c r="G314" s="18" t="s">
        <v>247</v>
      </c>
      <c r="H314" s="11" t="s">
        <v>248</v>
      </c>
      <c r="I314" s="87" t="s">
        <v>249</v>
      </c>
      <c r="J314" s="19" t="s">
        <v>139</v>
      </c>
      <c r="K314" s="17" t="s">
        <v>140</v>
      </c>
      <c r="L314" s="257">
        <v>0</v>
      </c>
      <c r="M314" s="70" t="s">
        <v>250</v>
      </c>
      <c r="N314" s="70">
        <v>100</v>
      </c>
      <c r="O314" s="258">
        <v>8</v>
      </c>
      <c r="P314" s="70" t="s">
        <v>251</v>
      </c>
      <c r="Q314" s="70" t="s">
        <v>233</v>
      </c>
      <c r="R314" s="70" t="s">
        <v>240</v>
      </c>
      <c r="S314" s="70" t="s">
        <v>233</v>
      </c>
      <c r="T314" s="70" t="s">
        <v>233</v>
      </c>
      <c r="U314" s="70" t="s">
        <v>1427</v>
      </c>
      <c r="V314" s="70" t="s">
        <v>240</v>
      </c>
      <c r="W314" s="12"/>
      <c r="X314" s="242">
        <v>111.59233050064658</v>
      </c>
      <c r="Y314" s="242">
        <v>114.87119942730465</v>
      </c>
      <c r="Z314" s="242">
        <v>14.97967993718825</v>
      </c>
      <c r="AA314" s="157" t="s">
        <v>252</v>
      </c>
      <c r="AB314" s="242">
        <v>14.634535839645297</v>
      </c>
      <c r="AC314" s="157" t="s">
        <v>252</v>
      </c>
      <c r="AD314" s="242">
        <v>15.314171439128023</v>
      </c>
      <c r="AE314" s="157" t="s">
        <v>252</v>
      </c>
      <c r="AF314" s="242">
        <v>14.873153981156475</v>
      </c>
      <c r="AG314" s="157" t="s">
        <v>252</v>
      </c>
      <c r="AH314" s="242">
        <v>6.0016723628302238</v>
      </c>
      <c r="AI314" s="157" t="s">
        <v>252</v>
      </c>
      <c r="AJ314" s="242">
        <v>1.663935433216331</v>
      </c>
      <c r="AK314" s="242" t="s">
        <v>252</v>
      </c>
      <c r="AL314" s="242">
        <v>1.2868335488638463</v>
      </c>
      <c r="AM314" s="242" t="s">
        <v>252</v>
      </c>
      <c r="AN314" s="242">
        <v>1.4743192314797708</v>
      </c>
      <c r="AO314" s="242" t="s">
        <v>252</v>
      </c>
      <c r="AP314" s="242">
        <v>1.7363730833179383</v>
      </c>
      <c r="AQ314" s="242" t="s">
        <v>252</v>
      </c>
      <c r="AR314" s="242">
        <v>11.372711065952338</v>
      </c>
      <c r="AS314" s="242" t="s">
        <v>252</v>
      </c>
      <c r="AT314" s="242">
        <v>11.969256419730279</v>
      </c>
      <c r="AU314" s="242" t="s">
        <v>252</v>
      </c>
      <c r="AV314" s="242">
        <v>12.097087566968408</v>
      </c>
      <c r="AW314" s="157" t="s">
        <v>252</v>
      </c>
      <c r="AX314" s="157">
        <v>333.86725983742843</v>
      </c>
      <c r="AY314" s="243">
        <v>5.5393497136523182E-2</v>
      </c>
      <c r="AZ314" s="156" t="s">
        <v>253</v>
      </c>
      <c r="BA314" s="156" t="s">
        <v>254</v>
      </c>
      <c r="BB314" s="156">
        <v>0</v>
      </c>
      <c r="BC314" s="156" t="s">
        <v>1423</v>
      </c>
      <c r="BD314" s="3"/>
    </row>
    <row r="315" spans="1:56" ht="15.75" hidden="1" customHeight="1" outlineLevel="1">
      <c r="A315" s="58">
        <v>305</v>
      </c>
      <c r="B315" s="11">
        <v>129305</v>
      </c>
      <c r="C315" s="89" t="s">
        <v>295</v>
      </c>
      <c r="D315" s="157">
        <v>52</v>
      </c>
      <c r="E315" s="12" t="s">
        <v>191</v>
      </c>
      <c r="F315" s="11" t="s">
        <v>246</v>
      </c>
      <c r="G315" s="18" t="s">
        <v>247</v>
      </c>
      <c r="H315" s="11" t="s">
        <v>248</v>
      </c>
      <c r="I315" s="87" t="s">
        <v>249</v>
      </c>
      <c r="J315" s="19" t="s">
        <v>139</v>
      </c>
      <c r="K315" s="17" t="s">
        <v>140</v>
      </c>
      <c r="L315" s="257">
        <v>0</v>
      </c>
      <c r="M315" s="70" t="s">
        <v>250</v>
      </c>
      <c r="N315" s="70">
        <v>80</v>
      </c>
      <c r="O315" s="258">
        <v>8</v>
      </c>
      <c r="P315" s="70" t="s">
        <v>251</v>
      </c>
      <c r="Q315" s="70" t="s">
        <v>233</v>
      </c>
      <c r="R315" s="70" t="s">
        <v>240</v>
      </c>
      <c r="S315" s="70" t="s">
        <v>240</v>
      </c>
      <c r="T315" s="70" t="s">
        <v>240</v>
      </c>
      <c r="U315" s="70" t="s">
        <v>1427</v>
      </c>
      <c r="V315" s="70" t="s">
        <v>240</v>
      </c>
      <c r="W315" s="12"/>
      <c r="X315" s="242">
        <v>728.69827333144349</v>
      </c>
      <c r="Y315" s="242">
        <v>626.91590223314108</v>
      </c>
      <c r="Z315" s="242">
        <v>69.395467573781843</v>
      </c>
      <c r="AA315" s="157" t="s">
        <v>259</v>
      </c>
      <c r="AB315" s="242">
        <v>69.127340703644208</v>
      </c>
      <c r="AC315" s="157" t="s">
        <v>259</v>
      </c>
      <c r="AD315" s="242">
        <v>67.779650382689226</v>
      </c>
      <c r="AE315" s="157" t="s">
        <v>259</v>
      </c>
      <c r="AF315" s="242">
        <v>70.319799678730035</v>
      </c>
      <c r="AG315" s="157" t="s">
        <v>259</v>
      </c>
      <c r="AH315" s="242">
        <v>69.070892941509967</v>
      </c>
      <c r="AI315" s="157" t="s">
        <v>259</v>
      </c>
      <c r="AJ315" s="242">
        <v>18.409026426029165</v>
      </c>
      <c r="AK315" s="242" t="s">
        <v>259</v>
      </c>
      <c r="AL315" s="242">
        <v>18.98056001763835</v>
      </c>
      <c r="AM315" s="242" t="s">
        <v>259</v>
      </c>
      <c r="AN315" s="242">
        <v>0.52919777000850421</v>
      </c>
      <c r="AO315" s="242" t="s">
        <v>259</v>
      </c>
      <c r="AP315" s="242">
        <v>12.185660650729156</v>
      </c>
      <c r="AQ315" s="242" t="s">
        <v>259</v>
      </c>
      <c r="AR315" s="242">
        <v>65.168941383980595</v>
      </c>
      <c r="AS315" s="242" t="s">
        <v>259</v>
      </c>
      <c r="AT315" s="242">
        <v>62.78402343380894</v>
      </c>
      <c r="AU315" s="242" t="s">
        <v>259</v>
      </c>
      <c r="AV315" s="242">
        <v>65.895706321458945</v>
      </c>
      <c r="AW315" s="157" t="s">
        <v>259</v>
      </c>
      <c r="AX315" s="157">
        <v>1945.2604428485934</v>
      </c>
      <c r="AY315" s="240">
        <v>0.23284701880374187</v>
      </c>
      <c r="AZ315" s="156" t="s">
        <v>253</v>
      </c>
      <c r="BA315" s="156" t="s">
        <v>254</v>
      </c>
      <c r="BB315" s="156">
        <v>0</v>
      </c>
      <c r="BC315" s="156" t="s">
        <v>1423</v>
      </c>
      <c r="BD315" s="3"/>
    </row>
    <row r="316" spans="1:56" ht="15.75" hidden="1" customHeight="1" outlineLevel="1">
      <c r="A316" s="58">
        <v>306</v>
      </c>
      <c r="B316" s="11">
        <v>129306</v>
      </c>
      <c r="C316" s="89" t="s">
        <v>295</v>
      </c>
      <c r="D316" s="157">
        <v>52</v>
      </c>
      <c r="E316" s="12" t="s">
        <v>231</v>
      </c>
      <c r="F316" s="11" t="s">
        <v>246</v>
      </c>
      <c r="G316" s="18" t="s">
        <v>247</v>
      </c>
      <c r="H316" s="11" t="s">
        <v>248</v>
      </c>
      <c r="I316" s="87" t="s">
        <v>249</v>
      </c>
      <c r="J316" s="19" t="s">
        <v>139</v>
      </c>
      <c r="K316" s="17" t="s">
        <v>140</v>
      </c>
      <c r="L316" s="257">
        <v>0</v>
      </c>
      <c r="M316" s="70" t="s">
        <v>250</v>
      </c>
      <c r="N316" s="70">
        <v>80</v>
      </c>
      <c r="O316" s="258">
        <v>8</v>
      </c>
      <c r="P316" s="70" t="s">
        <v>251</v>
      </c>
      <c r="Q316" s="70" t="s">
        <v>233</v>
      </c>
      <c r="R316" s="70" t="s">
        <v>240</v>
      </c>
      <c r="S316" s="70" t="s">
        <v>240</v>
      </c>
      <c r="T316" s="70" t="s">
        <v>240</v>
      </c>
      <c r="U316" s="70" t="s">
        <v>1427</v>
      </c>
      <c r="V316" s="70" t="s">
        <v>240</v>
      </c>
      <c r="W316" s="12"/>
      <c r="X316" s="242">
        <v>304.04172666855652</v>
      </c>
      <c r="Y316" s="242">
        <v>261.57409776685881</v>
      </c>
      <c r="Z316" s="242">
        <v>28.954532426218151</v>
      </c>
      <c r="AA316" s="157" t="s">
        <v>259</v>
      </c>
      <c r="AB316" s="242">
        <v>28.842659296355794</v>
      </c>
      <c r="AC316" s="157" t="s">
        <v>259</v>
      </c>
      <c r="AD316" s="242">
        <v>28.280349617310787</v>
      </c>
      <c r="AE316" s="157" t="s">
        <v>259</v>
      </c>
      <c r="AF316" s="242">
        <v>29.340200321269965</v>
      </c>
      <c r="AG316" s="157" t="s">
        <v>259</v>
      </c>
      <c r="AH316" s="242">
        <v>28.819107058490037</v>
      </c>
      <c r="AI316" s="157" t="s">
        <v>259</v>
      </c>
      <c r="AJ316" s="242">
        <v>7.6809735739708351</v>
      </c>
      <c r="AK316" s="242" t="s">
        <v>259</v>
      </c>
      <c r="AL316" s="242">
        <v>7.9194399823616504</v>
      </c>
      <c r="AM316" s="242" t="s">
        <v>259</v>
      </c>
      <c r="AN316" s="242">
        <v>0.22080222999149585</v>
      </c>
      <c r="AO316" s="242" t="s">
        <v>259</v>
      </c>
      <c r="AP316" s="242">
        <v>5.0843393492708442</v>
      </c>
      <c r="AQ316" s="242" t="s">
        <v>259</v>
      </c>
      <c r="AR316" s="242">
        <v>27.191058616019408</v>
      </c>
      <c r="AS316" s="242" t="s">
        <v>259</v>
      </c>
      <c r="AT316" s="242">
        <v>26.195976566191067</v>
      </c>
      <c r="AU316" s="242" t="s">
        <v>259</v>
      </c>
      <c r="AV316" s="242">
        <v>27.494293678541062</v>
      </c>
      <c r="AW316" s="157" t="s">
        <v>259</v>
      </c>
      <c r="AX316" s="157">
        <v>811.63955715140662</v>
      </c>
      <c r="AY316" s="243">
        <v>9.7152981196258176E-2</v>
      </c>
      <c r="AZ316" s="156" t="s">
        <v>253</v>
      </c>
      <c r="BA316" s="156" t="s">
        <v>254</v>
      </c>
      <c r="BB316" s="156">
        <v>0</v>
      </c>
      <c r="BC316" s="156" t="s">
        <v>1423</v>
      </c>
      <c r="BD316" s="3"/>
    </row>
    <row r="317" spans="1:56" ht="15.75" hidden="1" customHeight="1" outlineLevel="1">
      <c r="A317" s="58">
        <v>307</v>
      </c>
      <c r="B317" s="11">
        <v>129307</v>
      </c>
      <c r="C317" s="89" t="s">
        <v>295</v>
      </c>
      <c r="D317" s="157">
        <v>54</v>
      </c>
      <c r="E317" s="12" t="s">
        <v>191</v>
      </c>
      <c r="F317" s="11" t="s">
        <v>246</v>
      </c>
      <c r="G317" s="18" t="s">
        <v>247</v>
      </c>
      <c r="H317" s="11" t="s">
        <v>248</v>
      </c>
      <c r="I317" s="87" t="s">
        <v>249</v>
      </c>
      <c r="J317" s="19" t="s">
        <v>139</v>
      </c>
      <c r="K317" s="17" t="s">
        <v>140</v>
      </c>
      <c r="L317" s="260">
        <v>1</v>
      </c>
      <c r="M317" s="70" t="s">
        <v>250</v>
      </c>
      <c r="N317" s="70">
        <v>80</v>
      </c>
      <c r="O317" s="258">
        <v>8</v>
      </c>
      <c r="P317" s="70" t="s">
        <v>251</v>
      </c>
      <c r="Q317" s="70" t="s">
        <v>233</v>
      </c>
      <c r="R317" s="70" t="s">
        <v>240</v>
      </c>
      <c r="S317" s="70" t="s">
        <v>233</v>
      </c>
      <c r="T317" s="70" t="s">
        <v>233</v>
      </c>
      <c r="U317" s="70" t="s">
        <v>1427</v>
      </c>
      <c r="V317" s="70" t="s">
        <v>240</v>
      </c>
      <c r="W317" s="12"/>
      <c r="X317" s="242">
        <v>916.64970782940793</v>
      </c>
      <c r="Y317" s="242">
        <v>949.62987269255245</v>
      </c>
      <c r="Z317" s="242">
        <v>95.441761298535965</v>
      </c>
      <c r="AA317" s="157" t="s">
        <v>252</v>
      </c>
      <c r="AB317" s="242">
        <v>94.962987269255251</v>
      </c>
      <c r="AC317" s="157" t="s">
        <v>252</v>
      </c>
      <c r="AD317" s="242">
        <v>94.079096753660096</v>
      </c>
      <c r="AE317" s="157" t="s">
        <v>259</v>
      </c>
      <c r="AF317" s="242">
        <v>94.530249204328456</v>
      </c>
      <c r="AG317" s="157" t="s">
        <v>259</v>
      </c>
      <c r="AH317" s="242">
        <v>94.18037587523871</v>
      </c>
      <c r="AI317" s="157" t="s">
        <v>259</v>
      </c>
      <c r="AJ317" s="242">
        <v>20.141655124124764</v>
      </c>
      <c r="AK317" s="242" t="s">
        <v>259</v>
      </c>
      <c r="AL317" s="242">
        <v>20.141655124124764</v>
      </c>
      <c r="AM317" s="242" t="s">
        <v>259</v>
      </c>
      <c r="AN317" s="242">
        <v>20.141655124124764</v>
      </c>
      <c r="AO317" s="242" t="s">
        <v>259</v>
      </c>
      <c r="AP317" s="242">
        <v>19.18778994271165</v>
      </c>
      <c r="AQ317" s="242" t="s">
        <v>259</v>
      </c>
      <c r="AR317" s="242">
        <v>87.75375525143221</v>
      </c>
      <c r="AS317" s="242" t="s">
        <v>259</v>
      </c>
      <c r="AT317" s="242">
        <v>83.905148631444931</v>
      </c>
      <c r="AU317" s="242" t="s">
        <v>259</v>
      </c>
      <c r="AV317" s="242">
        <v>87.486746658179499</v>
      </c>
      <c r="AW317" s="157" t="s">
        <v>259</v>
      </c>
      <c r="AX317" s="157">
        <v>2678.2324567791202</v>
      </c>
      <c r="AY317" s="240">
        <v>0.35908052196053469</v>
      </c>
      <c r="AZ317" s="156" t="s">
        <v>253</v>
      </c>
      <c r="BA317" s="156" t="s">
        <v>254</v>
      </c>
      <c r="BB317" s="157">
        <v>2</v>
      </c>
      <c r="BC317" s="156" t="s">
        <v>1423</v>
      </c>
      <c r="BD317" s="3"/>
    </row>
    <row r="318" spans="1:56" ht="15.75" hidden="1" customHeight="1" outlineLevel="1">
      <c r="A318" s="58">
        <v>308</v>
      </c>
      <c r="B318" s="11">
        <v>129308</v>
      </c>
      <c r="C318" s="89" t="s">
        <v>295</v>
      </c>
      <c r="D318" s="157">
        <v>54</v>
      </c>
      <c r="E318" s="12" t="s">
        <v>231</v>
      </c>
      <c r="F318" s="11" t="s">
        <v>246</v>
      </c>
      <c r="G318" s="18" t="s">
        <v>247</v>
      </c>
      <c r="H318" s="11" t="s">
        <v>248</v>
      </c>
      <c r="I318" s="87" t="s">
        <v>249</v>
      </c>
      <c r="J318" s="19" t="s">
        <v>139</v>
      </c>
      <c r="K318" s="17" t="s">
        <v>140</v>
      </c>
      <c r="L318" s="257">
        <v>0</v>
      </c>
      <c r="M318" s="70" t="s">
        <v>250</v>
      </c>
      <c r="N318" s="70">
        <v>100</v>
      </c>
      <c r="O318" s="258">
        <v>8</v>
      </c>
      <c r="P318" s="70" t="s">
        <v>251</v>
      </c>
      <c r="Q318" s="70" t="s">
        <v>233</v>
      </c>
      <c r="R318" s="70" t="s">
        <v>240</v>
      </c>
      <c r="S318" s="70" t="s">
        <v>233</v>
      </c>
      <c r="T318" s="70" t="s">
        <v>233</v>
      </c>
      <c r="U318" s="70" t="s">
        <v>1427</v>
      </c>
      <c r="V318" s="70" t="s">
        <v>240</v>
      </c>
      <c r="W318" s="12"/>
      <c r="X318" s="242">
        <v>78.930292170591983</v>
      </c>
      <c r="Y318" s="242">
        <v>81.770127307447481</v>
      </c>
      <c r="Z318" s="242">
        <v>8.2182387014640366</v>
      </c>
      <c r="AA318" s="157" t="s">
        <v>252</v>
      </c>
      <c r="AB318" s="242">
        <v>8.1770127307447495</v>
      </c>
      <c r="AC318" s="157" t="s">
        <v>252</v>
      </c>
      <c r="AD318" s="242">
        <v>8.1009032463399109</v>
      </c>
      <c r="AE318" s="157" t="s">
        <v>259</v>
      </c>
      <c r="AF318" s="242">
        <v>8.1397507956715476</v>
      </c>
      <c r="AG318" s="157" t="s">
        <v>259</v>
      </c>
      <c r="AH318" s="242">
        <v>8.1096241247613001</v>
      </c>
      <c r="AI318" s="157" t="s">
        <v>259</v>
      </c>
      <c r="AJ318" s="242">
        <v>1.7343448758752389</v>
      </c>
      <c r="AK318" s="242" t="s">
        <v>259</v>
      </c>
      <c r="AL318" s="242">
        <v>1.7343448758752389</v>
      </c>
      <c r="AM318" s="242" t="s">
        <v>259</v>
      </c>
      <c r="AN318" s="242">
        <v>1.7343448758752389</v>
      </c>
      <c r="AO318" s="242" t="s">
        <v>259</v>
      </c>
      <c r="AP318" s="242">
        <v>1.6522100572883514</v>
      </c>
      <c r="AQ318" s="242" t="s">
        <v>259</v>
      </c>
      <c r="AR318" s="242">
        <v>7.5562447485677913</v>
      </c>
      <c r="AS318" s="242" t="s">
        <v>259</v>
      </c>
      <c r="AT318" s="242">
        <v>7.2248513685550604</v>
      </c>
      <c r="AU318" s="242" t="s">
        <v>259</v>
      </c>
      <c r="AV318" s="242">
        <v>7.5332533418204966</v>
      </c>
      <c r="AW318" s="157" t="s">
        <v>259</v>
      </c>
      <c r="AX318" s="157">
        <v>230.61554322087844</v>
      </c>
      <c r="AY318" s="243">
        <v>3.091947803946531E-2</v>
      </c>
      <c r="AZ318" s="156" t="s">
        <v>253</v>
      </c>
      <c r="BA318" s="156" t="s">
        <v>254</v>
      </c>
      <c r="BB318" s="156">
        <v>0</v>
      </c>
      <c r="BC318" s="156" t="s">
        <v>1423</v>
      </c>
      <c r="BD318" s="3"/>
    </row>
    <row r="319" spans="1:56" ht="15.75" hidden="1" customHeight="1" outlineLevel="1">
      <c r="A319" s="58">
        <v>309</v>
      </c>
      <c r="B319" s="11">
        <v>129309</v>
      </c>
      <c r="C319" s="89" t="s">
        <v>295</v>
      </c>
      <c r="D319" s="157">
        <v>56</v>
      </c>
      <c r="E319" s="12" t="s">
        <v>191</v>
      </c>
      <c r="F319" s="11" t="s">
        <v>246</v>
      </c>
      <c r="G319" s="18" t="s">
        <v>247</v>
      </c>
      <c r="H319" s="11" t="s">
        <v>248</v>
      </c>
      <c r="I319" s="87" t="s">
        <v>249</v>
      </c>
      <c r="J319" s="19" t="s">
        <v>139</v>
      </c>
      <c r="K319" s="17" t="s">
        <v>140</v>
      </c>
      <c r="L319" s="260">
        <v>1</v>
      </c>
      <c r="M319" s="70" t="s">
        <v>250</v>
      </c>
      <c r="N319" s="70">
        <v>100</v>
      </c>
      <c r="O319" s="258">
        <v>8</v>
      </c>
      <c r="P319" s="70" t="s">
        <v>251</v>
      </c>
      <c r="Q319" s="70" t="s">
        <v>233</v>
      </c>
      <c r="R319" s="70" t="s">
        <v>240</v>
      </c>
      <c r="S319" s="70" t="s">
        <v>233</v>
      </c>
      <c r="T319" s="70" t="s">
        <v>233</v>
      </c>
      <c r="U319" s="70" t="s">
        <v>1427</v>
      </c>
      <c r="V319" s="70" t="s">
        <v>240</v>
      </c>
      <c r="W319" s="12"/>
      <c r="X319" s="242">
        <v>369.81102410890577</v>
      </c>
      <c r="Y319" s="242">
        <v>437.31151979632131</v>
      </c>
      <c r="Z319" s="242">
        <v>57.37974644081887</v>
      </c>
      <c r="AA319" s="157" t="s">
        <v>252</v>
      </c>
      <c r="AB319" s="242">
        <v>42.597493505143923</v>
      </c>
      <c r="AC319" s="157" t="s">
        <v>252</v>
      </c>
      <c r="AD319" s="242">
        <v>60.224705393328477</v>
      </c>
      <c r="AE319" s="157" t="s">
        <v>259</v>
      </c>
      <c r="AF319" s="242">
        <v>61.71926997817728</v>
      </c>
      <c r="AG319" s="157" t="s">
        <v>259</v>
      </c>
      <c r="AH319" s="242">
        <v>62.589096955211474</v>
      </c>
      <c r="AI319" s="157" t="s">
        <v>259</v>
      </c>
      <c r="AJ319" s="242">
        <v>9.6049082094980758</v>
      </c>
      <c r="AK319" s="242" t="s">
        <v>259</v>
      </c>
      <c r="AL319" s="242">
        <v>9.6049082094980758</v>
      </c>
      <c r="AM319" s="242" t="s">
        <v>259</v>
      </c>
      <c r="AN319" s="242">
        <v>9.6049082094980758</v>
      </c>
      <c r="AO319" s="242" t="s">
        <v>259</v>
      </c>
      <c r="AP319" s="242">
        <v>11.124318128442273</v>
      </c>
      <c r="AQ319" s="242" t="s">
        <v>259</v>
      </c>
      <c r="AR319" s="242">
        <v>52.053416212199934</v>
      </c>
      <c r="AS319" s="242" t="s">
        <v>259</v>
      </c>
      <c r="AT319" s="242">
        <v>56.356137898784155</v>
      </c>
      <c r="AU319" s="242" t="s">
        <v>259</v>
      </c>
      <c r="AV319" s="242">
        <v>54.927761860646363</v>
      </c>
      <c r="AW319" s="157" t="s">
        <v>259</v>
      </c>
      <c r="AX319" s="157">
        <v>1294.9092149064741</v>
      </c>
      <c r="AY319" s="240">
        <v>0.22106099968824691</v>
      </c>
      <c r="AZ319" s="156" t="s">
        <v>253</v>
      </c>
      <c r="BA319" s="156" t="s">
        <v>254</v>
      </c>
      <c r="BB319" s="156">
        <v>1</v>
      </c>
      <c r="BC319" s="157" t="s">
        <v>255</v>
      </c>
      <c r="BD319" s="3"/>
    </row>
    <row r="320" spans="1:56" ht="15.75" hidden="1" customHeight="1" outlineLevel="1">
      <c r="A320" s="58">
        <v>310</v>
      </c>
      <c r="B320" s="11">
        <v>129310</v>
      </c>
      <c r="C320" s="89" t="s">
        <v>295</v>
      </c>
      <c r="D320" s="157">
        <v>56</v>
      </c>
      <c r="E320" s="12" t="s">
        <v>231</v>
      </c>
      <c r="F320" s="11" t="s">
        <v>246</v>
      </c>
      <c r="G320" s="18" t="s">
        <v>247</v>
      </c>
      <c r="H320" s="11" t="s">
        <v>248</v>
      </c>
      <c r="I320" s="87" t="s">
        <v>249</v>
      </c>
      <c r="J320" s="19" t="s">
        <v>139</v>
      </c>
      <c r="K320" s="17" t="s">
        <v>140</v>
      </c>
      <c r="L320" s="257">
        <v>0</v>
      </c>
      <c r="M320" s="70" t="s">
        <v>250</v>
      </c>
      <c r="N320" s="70">
        <v>100</v>
      </c>
      <c r="O320" s="258">
        <v>8</v>
      </c>
      <c r="P320" s="70" t="s">
        <v>251</v>
      </c>
      <c r="Q320" s="70" t="s">
        <v>233</v>
      </c>
      <c r="R320" s="70" t="s">
        <v>240</v>
      </c>
      <c r="S320" s="70" t="s">
        <v>233</v>
      </c>
      <c r="T320" s="70" t="s">
        <v>233</v>
      </c>
      <c r="U320" s="70" t="s">
        <v>1427</v>
      </c>
      <c r="V320" s="70" t="s">
        <v>240</v>
      </c>
      <c r="W320" s="12"/>
      <c r="X320" s="242">
        <v>399.71897589109432</v>
      </c>
      <c r="Y320" s="242">
        <v>472.6784802036787</v>
      </c>
      <c r="Z320" s="242">
        <v>62.020253559181135</v>
      </c>
      <c r="AA320" s="157" t="s">
        <v>252</v>
      </c>
      <c r="AB320" s="242">
        <v>46.042506494856077</v>
      </c>
      <c r="AC320" s="157" t="s">
        <v>252</v>
      </c>
      <c r="AD320" s="242">
        <v>65.095294606671516</v>
      </c>
      <c r="AE320" s="157" t="s">
        <v>259</v>
      </c>
      <c r="AF320" s="242">
        <v>66.710730021822727</v>
      </c>
      <c r="AG320" s="157" t="s">
        <v>259</v>
      </c>
      <c r="AH320" s="242">
        <v>67.650903044788535</v>
      </c>
      <c r="AI320" s="157" t="s">
        <v>259</v>
      </c>
      <c r="AJ320" s="242">
        <v>10.381691790501923</v>
      </c>
      <c r="AK320" s="242" t="s">
        <v>259</v>
      </c>
      <c r="AL320" s="242">
        <v>10.381691790501923</v>
      </c>
      <c r="AM320" s="242" t="s">
        <v>259</v>
      </c>
      <c r="AN320" s="242">
        <v>10.381691790501923</v>
      </c>
      <c r="AO320" s="242" t="s">
        <v>259</v>
      </c>
      <c r="AP320" s="242">
        <v>12.023981871557726</v>
      </c>
      <c r="AQ320" s="242" t="s">
        <v>259</v>
      </c>
      <c r="AR320" s="242">
        <v>56.263163787800067</v>
      </c>
      <c r="AS320" s="242" t="s">
        <v>259</v>
      </c>
      <c r="AT320" s="242">
        <v>60.913862101215841</v>
      </c>
      <c r="AU320" s="242" t="s">
        <v>259</v>
      </c>
      <c r="AV320" s="242">
        <v>59.369968139353638</v>
      </c>
      <c r="AW320" s="157" t="s">
        <v>259</v>
      </c>
      <c r="AX320" s="157">
        <v>1399.633195093526</v>
      </c>
      <c r="AY320" s="243">
        <v>0.23893900031175311</v>
      </c>
      <c r="AZ320" s="156" t="s">
        <v>253</v>
      </c>
      <c r="BA320" s="156" t="s">
        <v>254</v>
      </c>
      <c r="BB320" s="156">
        <v>0</v>
      </c>
      <c r="BC320" s="157" t="s">
        <v>255</v>
      </c>
      <c r="BD320" s="3"/>
    </row>
    <row r="321" spans="1:56" ht="15.75" hidden="1" customHeight="1" outlineLevel="1">
      <c r="A321" s="58">
        <v>311</v>
      </c>
      <c r="B321" s="11">
        <v>129311</v>
      </c>
      <c r="C321" s="89" t="s">
        <v>295</v>
      </c>
      <c r="D321" s="157">
        <v>59</v>
      </c>
      <c r="E321" s="12" t="s">
        <v>191</v>
      </c>
      <c r="F321" s="11" t="s">
        <v>246</v>
      </c>
      <c r="G321" s="18" t="s">
        <v>247</v>
      </c>
      <c r="H321" s="11" t="s">
        <v>248</v>
      </c>
      <c r="I321" s="87" t="s">
        <v>249</v>
      </c>
      <c r="J321" s="19" t="s">
        <v>139</v>
      </c>
      <c r="K321" s="17" t="s">
        <v>140</v>
      </c>
      <c r="L321" s="260">
        <v>1</v>
      </c>
      <c r="M321" s="70" t="s">
        <v>250</v>
      </c>
      <c r="N321" s="70">
        <v>80</v>
      </c>
      <c r="O321" s="258">
        <v>8</v>
      </c>
      <c r="P321" s="70" t="s">
        <v>251</v>
      </c>
      <c r="Q321" s="70" t="s">
        <v>233</v>
      </c>
      <c r="R321" s="70" t="s">
        <v>240</v>
      </c>
      <c r="S321" s="70" t="s">
        <v>233</v>
      </c>
      <c r="T321" s="70" t="s">
        <v>233</v>
      </c>
      <c r="U321" s="70" t="s">
        <v>1427</v>
      </c>
      <c r="V321" s="70" t="s">
        <v>240</v>
      </c>
      <c r="W321" s="12"/>
      <c r="X321" s="242">
        <v>920.91999999999985</v>
      </c>
      <c r="Y321" s="242">
        <v>988.5</v>
      </c>
      <c r="Z321" s="242">
        <v>133.38</v>
      </c>
      <c r="AA321" s="157" t="s">
        <v>252</v>
      </c>
      <c r="AB321" s="242">
        <v>103.23</v>
      </c>
      <c r="AC321" s="157" t="s">
        <v>252</v>
      </c>
      <c r="AD321" s="242">
        <v>141.06</v>
      </c>
      <c r="AE321" s="157" t="s">
        <v>252</v>
      </c>
      <c r="AF321" s="242">
        <v>93.78</v>
      </c>
      <c r="AG321" s="157" t="s">
        <v>252</v>
      </c>
      <c r="AH321" s="242">
        <v>12.65</v>
      </c>
      <c r="AI321" s="157" t="s">
        <v>252</v>
      </c>
      <c r="AJ321" s="242">
        <v>12.47</v>
      </c>
      <c r="AK321" s="242" t="s">
        <v>252</v>
      </c>
      <c r="AL321" s="242">
        <v>9.86</v>
      </c>
      <c r="AM321" s="242" t="s">
        <v>252</v>
      </c>
      <c r="AN321" s="242">
        <v>10.94</v>
      </c>
      <c r="AO321" s="242" t="s">
        <v>252</v>
      </c>
      <c r="AP321" s="242">
        <v>12.16</v>
      </c>
      <c r="AQ321" s="242" t="s">
        <v>252</v>
      </c>
      <c r="AR321" s="242">
        <v>106.92</v>
      </c>
      <c r="AS321" s="242" t="s">
        <v>252</v>
      </c>
      <c r="AT321" s="242">
        <v>83.05</v>
      </c>
      <c r="AU321" s="242" t="s">
        <v>252</v>
      </c>
      <c r="AV321" s="242">
        <v>112.96</v>
      </c>
      <c r="AW321" s="157" t="s">
        <v>252</v>
      </c>
      <c r="AX321" s="157">
        <v>2741.88</v>
      </c>
      <c r="AY321" s="240">
        <v>0.45</v>
      </c>
      <c r="AZ321" s="156" t="s">
        <v>253</v>
      </c>
      <c r="BA321" s="156" t="s">
        <v>254</v>
      </c>
      <c r="BB321" s="156">
        <v>1</v>
      </c>
      <c r="BC321" s="157" t="s">
        <v>255</v>
      </c>
      <c r="BD321" s="3"/>
    </row>
    <row r="322" spans="1:56" ht="15.75" hidden="1" customHeight="1" outlineLevel="1">
      <c r="A322" s="58">
        <v>312</v>
      </c>
      <c r="B322" s="11">
        <v>129312</v>
      </c>
      <c r="C322" s="89" t="s">
        <v>295</v>
      </c>
      <c r="D322" s="157">
        <v>61</v>
      </c>
      <c r="E322" s="12" t="s">
        <v>191</v>
      </c>
      <c r="F322" s="11" t="s">
        <v>246</v>
      </c>
      <c r="G322" s="18" t="s">
        <v>247</v>
      </c>
      <c r="H322" s="11" t="s">
        <v>248</v>
      </c>
      <c r="I322" s="87" t="s">
        <v>249</v>
      </c>
      <c r="J322" s="19" t="s">
        <v>139</v>
      </c>
      <c r="K322" s="17" t="s">
        <v>140</v>
      </c>
      <c r="L322" s="260">
        <v>1</v>
      </c>
      <c r="M322" s="70" t="s">
        <v>250</v>
      </c>
      <c r="N322" s="70">
        <v>80</v>
      </c>
      <c r="O322" s="258">
        <v>8</v>
      </c>
      <c r="P322" s="70" t="s">
        <v>251</v>
      </c>
      <c r="Q322" s="70" t="s">
        <v>233</v>
      </c>
      <c r="R322" s="70" t="s">
        <v>240</v>
      </c>
      <c r="S322" s="70" t="s">
        <v>233</v>
      </c>
      <c r="T322" s="70" t="s">
        <v>233</v>
      </c>
      <c r="U322" s="70" t="s">
        <v>1427</v>
      </c>
      <c r="V322" s="70" t="s">
        <v>240</v>
      </c>
      <c r="W322" s="12"/>
      <c r="X322" s="242">
        <v>138.98883274578927</v>
      </c>
      <c r="Y322" s="242">
        <v>132.24647473560518</v>
      </c>
      <c r="Z322" s="242">
        <v>19.048672150411281</v>
      </c>
      <c r="AA322" s="157" t="s">
        <v>252</v>
      </c>
      <c r="AB322" s="242">
        <v>14.749447708578145</v>
      </c>
      <c r="AC322" s="157" t="s">
        <v>252</v>
      </c>
      <c r="AD322" s="242">
        <v>20.112687034860947</v>
      </c>
      <c r="AE322" s="157" t="s">
        <v>252</v>
      </c>
      <c r="AF322" s="242">
        <v>13.411335683509597</v>
      </c>
      <c r="AG322" s="157" t="s">
        <v>252</v>
      </c>
      <c r="AH322" s="242">
        <v>1.8129259694477087</v>
      </c>
      <c r="AI322" s="157" t="s">
        <v>252</v>
      </c>
      <c r="AJ322" s="242">
        <v>1.3510614962788876</v>
      </c>
      <c r="AK322" s="242" t="s">
        <v>252</v>
      </c>
      <c r="AL322" s="242">
        <v>1.0596983940462201</v>
      </c>
      <c r="AM322" s="242" t="s">
        <v>252</v>
      </c>
      <c r="AN322" s="242">
        <v>1.1827183705444577</v>
      </c>
      <c r="AO322" s="242" t="s">
        <v>252</v>
      </c>
      <c r="AP322" s="242">
        <v>1.3057383470426949</v>
      </c>
      <c r="AQ322" s="242" t="s">
        <v>252</v>
      </c>
      <c r="AR322" s="242">
        <v>15.35807285546416</v>
      </c>
      <c r="AS322" s="242" t="s">
        <v>252</v>
      </c>
      <c r="AT322" s="242">
        <v>11.939412455934196</v>
      </c>
      <c r="AU322" s="242" t="s">
        <v>252</v>
      </c>
      <c r="AV322" s="242">
        <v>16.357340383862127</v>
      </c>
      <c r="AW322" s="157" t="s">
        <v>252</v>
      </c>
      <c r="AX322" s="157">
        <v>388.92441833137485</v>
      </c>
      <c r="AY322" s="240">
        <v>6.6905601253427344E-2</v>
      </c>
      <c r="AZ322" s="156" t="s">
        <v>253</v>
      </c>
      <c r="BA322" s="156" t="s">
        <v>254</v>
      </c>
      <c r="BB322" s="156">
        <v>1</v>
      </c>
      <c r="BC322" s="157" t="s">
        <v>255</v>
      </c>
      <c r="BD322" s="3"/>
    </row>
    <row r="323" spans="1:56" ht="15.75" hidden="1" customHeight="1" outlineLevel="1">
      <c r="A323" s="58">
        <v>313</v>
      </c>
      <c r="B323" s="11">
        <v>129313</v>
      </c>
      <c r="C323" s="89" t="s">
        <v>295</v>
      </c>
      <c r="D323" s="157">
        <v>61</v>
      </c>
      <c r="E323" s="12" t="s">
        <v>231</v>
      </c>
      <c r="F323" s="11" t="s">
        <v>246</v>
      </c>
      <c r="G323" s="18" t="s">
        <v>247</v>
      </c>
      <c r="H323" s="11" t="s">
        <v>248</v>
      </c>
      <c r="I323" s="87" t="s">
        <v>249</v>
      </c>
      <c r="J323" s="19" t="s">
        <v>139</v>
      </c>
      <c r="K323" s="17" t="s">
        <v>140</v>
      </c>
      <c r="L323" s="257">
        <v>0</v>
      </c>
      <c r="M323" s="70" t="s">
        <v>250</v>
      </c>
      <c r="N323" s="70">
        <v>100</v>
      </c>
      <c r="O323" s="258">
        <v>8</v>
      </c>
      <c r="P323" s="70" t="s">
        <v>251</v>
      </c>
      <c r="Q323" s="70" t="s">
        <v>233</v>
      </c>
      <c r="R323" s="70" t="s">
        <v>240</v>
      </c>
      <c r="S323" s="70" t="s">
        <v>233</v>
      </c>
      <c r="T323" s="70" t="s">
        <v>233</v>
      </c>
      <c r="U323" s="70" t="s">
        <v>1427</v>
      </c>
      <c r="V323" s="70" t="s">
        <v>240</v>
      </c>
      <c r="W323" s="12"/>
      <c r="X323" s="242">
        <v>505.00116725421077</v>
      </c>
      <c r="Y323" s="242">
        <v>480.50352526439485</v>
      </c>
      <c r="Z323" s="242">
        <v>69.211327849588727</v>
      </c>
      <c r="AA323" s="157" t="s">
        <v>252</v>
      </c>
      <c r="AB323" s="242">
        <v>53.590552291421865</v>
      </c>
      <c r="AC323" s="157" t="s">
        <v>252</v>
      </c>
      <c r="AD323" s="242">
        <v>73.077312965139058</v>
      </c>
      <c r="AE323" s="157" t="s">
        <v>252</v>
      </c>
      <c r="AF323" s="242">
        <v>48.728664316490409</v>
      </c>
      <c r="AG323" s="157" t="s">
        <v>252</v>
      </c>
      <c r="AH323" s="242">
        <v>6.5870740305522917</v>
      </c>
      <c r="AI323" s="157" t="s">
        <v>252</v>
      </c>
      <c r="AJ323" s="242">
        <v>4.9089385037211128</v>
      </c>
      <c r="AK323" s="242" t="s">
        <v>252</v>
      </c>
      <c r="AL323" s="242">
        <v>3.85030160595378</v>
      </c>
      <c r="AM323" s="242" t="s">
        <v>252</v>
      </c>
      <c r="AN323" s="242">
        <v>4.2972816294555427</v>
      </c>
      <c r="AO323" s="242" t="s">
        <v>252</v>
      </c>
      <c r="AP323" s="242">
        <v>4.744261652957305</v>
      </c>
      <c r="AQ323" s="242" t="s">
        <v>252</v>
      </c>
      <c r="AR323" s="242">
        <v>55.801927144535838</v>
      </c>
      <c r="AS323" s="242" t="s">
        <v>252</v>
      </c>
      <c r="AT323" s="242">
        <v>43.380587544065804</v>
      </c>
      <c r="AU323" s="242" t="s">
        <v>252</v>
      </c>
      <c r="AV323" s="242">
        <v>59.432659616137883</v>
      </c>
      <c r="AW323" s="157" t="s">
        <v>252</v>
      </c>
      <c r="AX323" s="157">
        <v>1413.1155816686251</v>
      </c>
      <c r="AY323" s="243">
        <v>0.24309439874657268</v>
      </c>
      <c r="AZ323" s="156" t="s">
        <v>253</v>
      </c>
      <c r="BA323" s="156" t="s">
        <v>254</v>
      </c>
      <c r="BB323" s="156">
        <v>0</v>
      </c>
      <c r="BC323" s="157" t="s">
        <v>255</v>
      </c>
      <c r="BD323" s="3"/>
    </row>
    <row r="324" spans="1:56" ht="15.75" hidden="1" customHeight="1" outlineLevel="1">
      <c r="A324" s="58">
        <v>314</v>
      </c>
      <c r="B324" s="11">
        <v>129314</v>
      </c>
      <c r="C324" s="89" t="s">
        <v>295</v>
      </c>
      <c r="D324" s="157">
        <v>67</v>
      </c>
      <c r="E324" s="12" t="s">
        <v>191</v>
      </c>
      <c r="F324" s="11" t="s">
        <v>246</v>
      </c>
      <c r="G324" s="18" t="s">
        <v>247</v>
      </c>
      <c r="H324" s="11" t="s">
        <v>248</v>
      </c>
      <c r="I324" s="87" t="s">
        <v>249</v>
      </c>
      <c r="J324" s="19" t="s">
        <v>139</v>
      </c>
      <c r="K324" s="17" t="s">
        <v>140</v>
      </c>
      <c r="L324" s="260">
        <v>1</v>
      </c>
      <c r="M324" s="70" t="s">
        <v>250</v>
      </c>
      <c r="N324" s="70">
        <v>80</v>
      </c>
      <c r="O324" s="258">
        <v>8</v>
      </c>
      <c r="P324" s="70" t="s">
        <v>251</v>
      </c>
      <c r="Q324" s="70" t="s">
        <v>233</v>
      </c>
      <c r="R324" s="70" t="s">
        <v>240</v>
      </c>
      <c r="S324" s="70" t="s">
        <v>233</v>
      </c>
      <c r="T324" s="70" t="s">
        <v>233</v>
      </c>
      <c r="U324" s="70" t="s">
        <v>1427</v>
      </c>
      <c r="V324" s="70" t="s">
        <v>240</v>
      </c>
      <c r="W324" s="12"/>
      <c r="X324" s="242">
        <v>869.09</v>
      </c>
      <c r="Y324" s="242">
        <v>836.95999999999992</v>
      </c>
      <c r="Z324" s="242">
        <v>139.15</v>
      </c>
      <c r="AA324" s="157" t="s">
        <v>252</v>
      </c>
      <c r="AB324" s="242">
        <v>103.29</v>
      </c>
      <c r="AC324" s="157" t="s">
        <v>252</v>
      </c>
      <c r="AD324" s="242">
        <v>156.66</v>
      </c>
      <c r="AE324" s="157" t="s">
        <v>252</v>
      </c>
      <c r="AF324" s="242">
        <v>86.29</v>
      </c>
      <c r="AG324" s="157" t="s">
        <v>252</v>
      </c>
      <c r="AH324" s="242">
        <v>25.8</v>
      </c>
      <c r="AI324" s="157" t="s">
        <v>252</v>
      </c>
      <c r="AJ324" s="242">
        <v>10.49</v>
      </c>
      <c r="AK324" s="242" t="s">
        <v>252</v>
      </c>
      <c r="AL324" s="242">
        <v>8.51</v>
      </c>
      <c r="AM324" s="242" t="s">
        <v>252</v>
      </c>
      <c r="AN324" s="242">
        <v>7.38</v>
      </c>
      <c r="AO324" s="242" t="s">
        <v>252</v>
      </c>
      <c r="AP324" s="242">
        <v>10.5</v>
      </c>
      <c r="AQ324" s="242" t="s">
        <v>252</v>
      </c>
      <c r="AR324" s="242">
        <v>79.31</v>
      </c>
      <c r="AS324" s="242" t="s">
        <v>252</v>
      </c>
      <c r="AT324" s="242">
        <v>90.54</v>
      </c>
      <c r="AU324" s="242" t="s">
        <v>252</v>
      </c>
      <c r="AV324" s="242">
        <v>101.8</v>
      </c>
      <c r="AW324" s="157" t="s">
        <v>252</v>
      </c>
      <c r="AX324" s="157">
        <v>2525.7700000000004</v>
      </c>
      <c r="AY324" s="240">
        <v>0.34</v>
      </c>
      <c r="AZ324" s="156" t="s">
        <v>253</v>
      </c>
      <c r="BA324" s="156" t="s">
        <v>254</v>
      </c>
      <c r="BB324" s="156">
        <v>1</v>
      </c>
      <c r="BC324" s="157" t="s">
        <v>255</v>
      </c>
      <c r="BD324" s="3"/>
    </row>
    <row r="325" spans="1:56" ht="15.75" hidden="1" customHeight="1" outlineLevel="1">
      <c r="A325" s="58">
        <v>315</v>
      </c>
      <c r="B325" s="11">
        <v>129315</v>
      </c>
      <c r="C325" s="89" t="s">
        <v>295</v>
      </c>
      <c r="D325" s="157">
        <v>77</v>
      </c>
      <c r="E325" s="12" t="s">
        <v>191</v>
      </c>
      <c r="F325" s="11" t="s">
        <v>246</v>
      </c>
      <c r="G325" s="18" t="s">
        <v>247</v>
      </c>
      <c r="H325" s="11" t="s">
        <v>248</v>
      </c>
      <c r="I325" s="87" t="s">
        <v>249</v>
      </c>
      <c r="J325" s="19" t="s">
        <v>139</v>
      </c>
      <c r="K325" s="17" t="s">
        <v>140</v>
      </c>
      <c r="L325" s="260">
        <v>1</v>
      </c>
      <c r="M325" s="70" t="s">
        <v>250</v>
      </c>
      <c r="N325" s="70">
        <v>80</v>
      </c>
      <c r="O325" s="258">
        <v>8</v>
      </c>
      <c r="P325" s="70" t="s">
        <v>251</v>
      </c>
      <c r="Q325" s="70" t="s">
        <v>233</v>
      </c>
      <c r="R325" s="70" t="s">
        <v>240</v>
      </c>
      <c r="S325" s="70" t="s">
        <v>233</v>
      </c>
      <c r="T325" s="70" t="s">
        <v>233</v>
      </c>
      <c r="U325" s="70" t="s">
        <v>1427</v>
      </c>
      <c r="V325" s="70" t="s">
        <v>240</v>
      </c>
      <c r="W325" s="12"/>
      <c r="X325" s="242">
        <v>1048.0238283846818</v>
      </c>
      <c r="Y325" s="242">
        <v>862.05574201837942</v>
      </c>
      <c r="Z325" s="242">
        <v>104.15433535376107</v>
      </c>
      <c r="AA325" s="157" t="s">
        <v>259</v>
      </c>
      <c r="AB325" s="242">
        <v>104.47746152342114</v>
      </c>
      <c r="AC325" s="157" t="s">
        <v>259</v>
      </c>
      <c r="AD325" s="242">
        <v>100.8781950224854</v>
      </c>
      <c r="AE325" s="157" t="s">
        <v>259</v>
      </c>
      <c r="AF325" s="242">
        <v>101.3898114577805</v>
      </c>
      <c r="AG325" s="157" t="s">
        <v>259</v>
      </c>
      <c r="AH325" s="242">
        <v>103.86711209184101</v>
      </c>
      <c r="AI325" s="157" t="s">
        <v>259</v>
      </c>
      <c r="AJ325" s="242">
        <v>36.63891734867741</v>
      </c>
      <c r="AK325" s="242" t="s">
        <v>259</v>
      </c>
      <c r="AL325" s="242">
        <v>35.445145666322169</v>
      </c>
      <c r="AM325" s="242" t="s">
        <v>259</v>
      </c>
      <c r="AN325" s="242">
        <v>0.80781542415016339</v>
      </c>
      <c r="AO325" s="242" t="s">
        <v>259</v>
      </c>
      <c r="AP325" s="242">
        <v>27.286209882405519</v>
      </c>
      <c r="AQ325" s="242" t="s">
        <v>259</v>
      </c>
      <c r="AR325" s="242">
        <v>96.578821820619524</v>
      </c>
      <c r="AS325" s="242" t="s">
        <v>259</v>
      </c>
      <c r="AT325" s="242">
        <v>91.705002094913553</v>
      </c>
      <c r="AU325" s="242" t="s">
        <v>259</v>
      </c>
      <c r="AV325" s="242">
        <v>96.713457724644556</v>
      </c>
      <c r="AW325" s="157" t="s">
        <v>259</v>
      </c>
      <c r="AX325" s="157">
        <v>2810.0218558140837</v>
      </c>
      <c r="AY325" s="240">
        <v>0.39493198514007988</v>
      </c>
      <c r="AZ325" s="156" t="s">
        <v>253</v>
      </c>
      <c r="BA325" s="156" t="s">
        <v>254</v>
      </c>
      <c r="BB325" s="156">
        <v>1</v>
      </c>
      <c r="BC325" s="156" t="s">
        <v>1423</v>
      </c>
      <c r="BD325" s="3"/>
    </row>
    <row r="326" spans="1:56" ht="15.75" hidden="1" customHeight="1" outlineLevel="1">
      <c r="A326" s="58">
        <v>316</v>
      </c>
      <c r="B326" s="11">
        <v>129316</v>
      </c>
      <c r="C326" s="89" t="s">
        <v>295</v>
      </c>
      <c r="D326" s="157">
        <v>77</v>
      </c>
      <c r="E326" s="12" t="s">
        <v>231</v>
      </c>
      <c r="F326" s="11" t="s">
        <v>246</v>
      </c>
      <c r="G326" s="18" t="s">
        <v>247</v>
      </c>
      <c r="H326" s="11" t="s">
        <v>248</v>
      </c>
      <c r="I326" s="87" t="s">
        <v>249</v>
      </c>
      <c r="J326" s="19" t="s">
        <v>139</v>
      </c>
      <c r="K326" s="17" t="s">
        <v>140</v>
      </c>
      <c r="L326" s="257">
        <v>0</v>
      </c>
      <c r="M326" s="70" t="s">
        <v>250</v>
      </c>
      <c r="N326" s="70">
        <v>80</v>
      </c>
      <c r="O326" s="258">
        <v>8</v>
      </c>
      <c r="P326" s="70" t="s">
        <v>251</v>
      </c>
      <c r="Q326" s="70" t="s">
        <v>233</v>
      </c>
      <c r="R326" s="70" t="s">
        <v>240</v>
      </c>
      <c r="S326" s="70" t="s">
        <v>233</v>
      </c>
      <c r="T326" s="70" t="s">
        <v>233</v>
      </c>
      <c r="U326" s="70" t="s">
        <v>1427</v>
      </c>
      <c r="V326" s="70" t="s">
        <v>240</v>
      </c>
      <c r="W326" s="12"/>
      <c r="X326" s="242">
        <v>119.59617161531801</v>
      </c>
      <c r="Y326" s="242">
        <v>98.374257981620644</v>
      </c>
      <c r="Z326" s="242">
        <v>11.885664646238935</v>
      </c>
      <c r="AA326" s="157" t="s">
        <v>259</v>
      </c>
      <c r="AB326" s="242">
        <v>11.92253847657887</v>
      </c>
      <c r="AC326" s="157" t="s">
        <v>259</v>
      </c>
      <c r="AD326" s="242">
        <v>11.511804977514597</v>
      </c>
      <c r="AE326" s="157" t="s">
        <v>259</v>
      </c>
      <c r="AF326" s="242">
        <v>11.570188542219492</v>
      </c>
      <c r="AG326" s="157" t="s">
        <v>259</v>
      </c>
      <c r="AH326" s="242">
        <v>11.852887908158992</v>
      </c>
      <c r="AI326" s="157" t="s">
        <v>259</v>
      </c>
      <c r="AJ326" s="242">
        <v>4.1810826513225896</v>
      </c>
      <c r="AK326" s="242" t="s">
        <v>259</v>
      </c>
      <c r="AL326" s="242">
        <v>4.0448543336778311</v>
      </c>
      <c r="AM326" s="242" t="s">
        <v>259</v>
      </c>
      <c r="AN326" s="242">
        <v>9.2184575849836622E-2</v>
      </c>
      <c r="AO326" s="242" t="s">
        <v>259</v>
      </c>
      <c r="AP326" s="242">
        <v>3.1137901175944811</v>
      </c>
      <c r="AQ326" s="242" t="s">
        <v>259</v>
      </c>
      <c r="AR326" s="242">
        <v>11.021178179380465</v>
      </c>
      <c r="AS326" s="242" t="s">
        <v>259</v>
      </c>
      <c r="AT326" s="242">
        <v>10.464997905086452</v>
      </c>
      <c r="AU326" s="242" t="s">
        <v>259</v>
      </c>
      <c r="AV326" s="242">
        <v>11.036542275355439</v>
      </c>
      <c r="AW326" s="157" t="s">
        <v>259</v>
      </c>
      <c r="AX326" s="157">
        <v>320.66814418591667</v>
      </c>
      <c r="AY326" s="243">
        <v>4.5068014859920125E-2</v>
      </c>
      <c r="AZ326" s="156" t="s">
        <v>253</v>
      </c>
      <c r="BA326" s="156" t="s">
        <v>254</v>
      </c>
      <c r="BB326" s="156">
        <v>0</v>
      </c>
      <c r="BC326" s="156" t="s">
        <v>1423</v>
      </c>
      <c r="BD326" s="3"/>
    </row>
    <row r="327" spans="1:56" ht="15.75" hidden="1" customHeight="1" outlineLevel="1">
      <c r="A327" s="58">
        <v>317</v>
      </c>
      <c r="B327" s="11">
        <v>129317</v>
      </c>
      <c r="C327" s="89" t="s">
        <v>295</v>
      </c>
      <c r="D327" s="157">
        <v>8</v>
      </c>
      <c r="E327" s="12" t="s">
        <v>191</v>
      </c>
      <c r="F327" s="11" t="s">
        <v>246</v>
      </c>
      <c r="G327" s="18" t="s">
        <v>247</v>
      </c>
      <c r="H327" s="11" t="s">
        <v>248</v>
      </c>
      <c r="I327" s="87" t="s">
        <v>249</v>
      </c>
      <c r="J327" s="19" t="s">
        <v>139</v>
      </c>
      <c r="K327" s="17" t="s">
        <v>140</v>
      </c>
      <c r="L327" s="260">
        <v>1</v>
      </c>
      <c r="M327" s="70" t="s">
        <v>250</v>
      </c>
      <c r="N327" s="70">
        <v>80</v>
      </c>
      <c r="O327" s="258">
        <v>8</v>
      </c>
      <c r="P327" s="70" t="s">
        <v>251</v>
      </c>
      <c r="Q327" s="70" t="s">
        <v>233</v>
      </c>
      <c r="R327" s="70" t="s">
        <v>240</v>
      </c>
      <c r="S327" s="70" t="s">
        <v>233</v>
      </c>
      <c r="T327" s="70" t="s">
        <v>233</v>
      </c>
      <c r="U327" s="70" t="s">
        <v>1427</v>
      </c>
      <c r="V327" s="70" t="s">
        <v>240</v>
      </c>
      <c r="W327" s="12"/>
      <c r="X327" s="242">
        <v>568.98</v>
      </c>
      <c r="Y327" s="242">
        <v>479.81999999999994</v>
      </c>
      <c r="Z327" s="242">
        <v>78.3</v>
      </c>
      <c r="AA327" s="157" t="s">
        <v>252</v>
      </c>
      <c r="AB327" s="242">
        <v>58.91</v>
      </c>
      <c r="AC327" s="157" t="s">
        <v>252</v>
      </c>
      <c r="AD327" s="242">
        <v>84.45</v>
      </c>
      <c r="AE327" s="157" t="s">
        <v>252</v>
      </c>
      <c r="AF327" s="242">
        <v>49.19</v>
      </c>
      <c r="AG327" s="157" t="s">
        <v>252</v>
      </c>
      <c r="AH327" s="242">
        <v>14.08</v>
      </c>
      <c r="AI327" s="157" t="s">
        <v>252</v>
      </c>
      <c r="AJ327" s="242">
        <v>6.15</v>
      </c>
      <c r="AK327" s="242" t="s">
        <v>252</v>
      </c>
      <c r="AL327" s="242">
        <v>4.09</v>
      </c>
      <c r="AM327" s="242" t="s">
        <v>252</v>
      </c>
      <c r="AN327" s="242">
        <v>4.34</v>
      </c>
      <c r="AO327" s="242" t="s">
        <v>259</v>
      </c>
      <c r="AP327" s="242">
        <v>10.072889999999999</v>
      </c>
      <c r="AQ327" s="242" t="s">
        <v>259</v>
      </c>
      <c r="AR327" s="242">
        <v>67.607399999999998</v>
      </c>
      <c r="AS327" s="242" t="s">
        <v>259</v>
      </c>
      <c r="AT327" s="242">
        <v>44.8</v>
      </c>
      <c r="AU327" s="242" t="s">
        <v>259</v>
      </c>
      <c r="AV327" s="242">
        <v>63.77</v>
      </c>
      <c r="AW327" s="157" t="s">
        <v>259</v>
      </c>
      <c r="AX327" s="157">
        <v>1534.5602899999999</v>
      </c>
      <c r="AY327" s="240">
        <v>0.28000000000000003</v>
      </c>
      <c r="AZ327" s="156" t="s">
        <v>253</v>
      </c>
      <c r="BA327" s="156" t="s">
        <v>254</v>
      </c>
      <c r="BB327" s="156">
        <v>1</v>
      </c>
      <c r="BC327" s="157" t="s">
        <v>255</v>
      </c>
      <c r="BD327" s="3"/>
    </row>
    <row r="328" spans="1:56" ht="15.75" hidden="1" customHeight="1" outlineLevel="1">
      <c r="A328" s="58">
        <v>318</v>
      </c>
      <c r="B328" s="11">
        <v>129318</v>
      </c>
      <c r="C328" s="89" t="s">
        <v>296</v>
      </c>
      <c r="D328" s="157">
        <v>3</v>
      </c>
      <c r="E328" s="12" t="s">
        <v>191</v>
      </c>
      <c r="F328" s="11" t="s">
        <v>246</v>
      </c>
      <c r="G328" s="18" t="s">
        <v>247</v>
      </c>
      <c r="H328" s="11" t="s">
        <v>248</v>
      </c>
      <c r="I328" s="87" t="s">
        <v>249</v>
      </c>
      <c r="J328" s="19" t="s">
        <v>139</v>
      </c>
      <c r="K328" s="17" t="s">
        <v>140</v>
      </c>
      <c r="L328" s="260">
        <v>1</v>
      </c>
      <c r="M328" s="70" t="s">
        <v>250</v>
      </c>
      <c r="N328" s="70">
        <v>100</v>
      </c>
      <c r="O328" s="258">
        <v>8</v>
      </c>
      <c r="P328" s="70" t="s">
        <v>251</v>
      </c>
      <c r="Q328" s="70" t="s">
        <v>233</v>
      </c>
      <c r="R328" s="70" t="s">
        <v>240</v>
      </c>
      <c r="S328" s="70" t="s">
        <v>233</v>
      </c>
      <c r="T328" s="70" t="s">
        <v>233</v>
      </c>
      <c r="U328" s="70" t="s">
        <v>1427</v>
      </c>
      <c r="V328" s="70" t="s">
        <v>240</v>
      </c>
      <c r="W328" s="12"/>
      <c r="X328" s="242">
        <v>1392.3400000000001</v>
      </c>
      <c r="Y328" s="242">
        <v>1579.76</v>
      </c>
      <c r="Z328" s="242">
        <v>233.58</v>
      </c>
      <c r="AA328" s="157" t="s">
        <v>252</v>
      </c>
      <c r="AB328" s="242">
        <v>182.46</v>
      </c>
      <c r="AC328" s="157" t="s">
        <v>252</v>
      </c>
      <c r="AD328" s="242">
        <v>236.63</v>
      </c>
      <c r="AE328" s="157" t="s">
        <v>252</v>
      </c>
      <c r="AF328" s="242">
        <v>150.38</v>
      </c>
      <c r="AG328" s="157" t="s">
        <v>252</v>
      </c>
      <c r="AH328" s="242">
        <v>55.21</v>
      </c>
      <c r="AI328" s="157" t="s">
        <v>252</v>
      </c>
      <c r="AJ328" s="242">
        <v>26.586600000000001</v>
      </c>
      <c r="AK328" s="242" t="s">
        <v>252</v>
      </c>
      <c r="AL328" s="242">
        <v>26.586600000000001</v>
      </c>
      <c r="AM328" s="242" t="s">
        <v>252</v>
      </c>
      <c r="AN328" s="242">
        <v>26.586600000000001</v>
      </c>
      <c r="AO328" s="242" t="s">
        <v>252</v>
      </c>
      <c r="AP328" s="242">
        <v>26.92</v>
      </c>
      <c r="AQ328" s="242" t="s">
        <v>252</v>
      </c>
      <c r="AR328" s="242">
        <v>128.63999999999999</v>
      </c>
      <c r="AS328" s="242" t="s">
        <v>252</v>
      </c>
      <c r="AT328" s="242">
        <v>139.22</v>
      </c>
      <c r="AU328" s="242" t="s">
        <v>252</v>
      </c>
      <c r="AV328" s="242">
        <v>180.83</v>
      </c>
      <c r="AW328" s="157" t="s">
        <v>252</v>
      </c>
      <c r="AX328" s="157">
        <v>4385.729800000001</v>
      </c>
      <c r="AY328" s="240">
        <v>0.69</v>
      </c>
      <c r="AZ328" s="156" t="s">
        <v>253</v>
      </c>
      <c r="BA328" s="156" t="s">
        <v>254</v>
      </c>
      <c r="BB328" s="156">
        <v>1</v>
      </c>
      <c r="BC328" s="157" t="s">
        <v>255</v>
      </c>
      <c r="BD328" s="3"/>
    </row>
    <row r="329" spans="1:56" ht="15.75" hidden="1" customHeight="1" outlineLevel="1">
      <c r="A329" s="58">
        <v>319</v>
      </c>
      <c r="B329" s="11">
        <v>129319</v>
      </c>
      <c r="C329" s="89" t="s">
        <v>297</v>
      </c>
      <c r="D329" s="157">
        <v>124</v>
      </c>
      <c r="E329" s="12" t="s">
        <v>231</v>
      </c>
      <c r="F329" s="11" t="s">
        <v>246</v>
      </c>
      <c r="G329" s="18" t="s">
        <v>247</v>
      </c>
      <c r="H329" s="11" t="s">
        <v>248</v>
      </c>
      <c r="I329" s="87" t="s">
        <v>249</v>
      </c>
      <c r="J329" s="19" t="s">
        <v>139</v>
      </c>
      <c r="K329" s="17" t="s">
        <v>140</v>
      </c>
      <c r="L329" s="257">
        <v>0</v>
      </c>
      <c r="M329" s="70" t="s">
        <v>250</v>
      </c>
      <c r="N329" s="70">
        <v>100</v>
      </c>
      <c r="O329" s="258">
        <v>8</v>
      </c>
      <c r="P329" s="70" t="s">
        <v>251</v>
      </c>
      <c r="Q329" s="70" t="s">
        <v>233</v>
      </c>
      <c r="R329" s="70" t="s">
        <v>240</v>
      </c>
      <c r="S329" s="70" t="s">
        <v>240</v>
      </c>
      <c r="T329" s="70" t="s">
        <v>240</v>
      </c>
      <c r="U329" s="70" t="s">
        <v>1427</v>
      </c>
      <c r="V329" s="70" t="s">
        <v>240</v>
      </c>
      <c r="W329" s="12"/>
      <c r="X329" s="242">
        <v>929.0100000000001</v>
      </c>
      <c r="Y329" s="242">
        <v>889.46</v>
      </c>
      <c r="Z329" s="242">
        <v>77.98</v>
      </c>
      <c r="AA329" s="157" t="s">
        <v>259</v>
      </c>
      <c r="AB329" s="242">
        <v>76.77</v>
      </c>
      <c r="AC329" s="157" t="s">
        <v>259</v>
      </c>
      <c r="AD329" s="242">
        <v>77.8</v>
      </c>
      <c r="AE329" s="157" t="s">
        <v>259</v>
      </c>
      <c r="AF329" s="242">
        <v>76.16</v>
      </c>
      <c r="AG329" s="157" t="s">
        <v>259</v>
      </c>
      <c r="AH329" s="242">
        <v>76.64</v>
      </c>
      <c r="AI329" s="157" t="s">
        <v>259</v>
      </c>
      <c r="AJ329" s="242">
        <v>25.24</v>
      </c>
      <c r="AK329" s="242" t="s">
        <v>259</v>
      </c>
      <c r="AL329" s="242">
        <v>33.909999999999997</v>
      </c>
      <c r="AM329" s="242" t="s">
        <v>259</v>
      </c>
      <c r="AN329" s="242">
        <v>1.19</v>
      </c>
      <c r="AO329" s="242" t="s">
        <v>259</v>
      </c>
      <c r="AP329" s="242">
        <v>22.44</v>
      </c>
      <c r="AQ329" s="242" t="s">
        <v>259</v>
      </c>
      <c r="AR329" s="242">
        <v>74.16</v>
      </c>
      <c r="AS329" s="242" t="s">
        <v>259</v>
      </c>
      <c r="AT329" s="242">
        <v>72.81</v>
      </c>
      <c r="AU329" s="242" t="s">
        <v>259</v>
      </c>
      <c r="AV329" s="242">
        <v>74.239999999999995</v>
      </c>
      <c r="AW329" s="157" t="s">
        <v>259</v>
      </c>
      <c r="AX329" s="157">
        <v>2507.8099999999995</v>
      </c>
      <c r="AY329" s="240">
        <v>0.41</v>
      </c>
      <c r="AZ329" s="156" t="s">
        <v>253</v>
      </c>
      <c r="BA329" s="156" t="s">
        <v>254</v>
      </c>
      <c r="BB329" s="156">
        <v>0</v>
      </c>
      <c r="BC329" s="156" t="s">
        <v>1423</v>
      </c>
      <c r="BD329" s="3"/>
    </row>
    <row r="330" spans="1:56" ht="15.75" hidden="1" customHeight="1" outlineLevel="1">
      <c r="A330" s="58">
        <v>320</v>
      </c>
      <c r="B330" s="11">
        <v>129320</v>
      </c>
      <c r="C330" s="89" t="s">
        <v>297</v>
      </c>
      <c r="D330" s="157">
        <v>130</v>
      </c>
      <c r="E330" s="12" t="s">
        <v>191</v>
      </c>
      <c r="F330" s="11" t="s">
        <v>246</v>
      </c>
      <c r="G330" s="18" t="s">
        <v>247</v>
      </c>
      <c r="H330" s="11" t="s">
        <v>248</v>
      </c>
      <c r="I330" s="87" t="s">
        <v>249</v>
      </c>
      <c r="J330" s="19" t="s">
        <v>139</v>
      </c>
      <c r="K330" s="17" t="s">
        <v>140</v>
      </c>
      <c r="L330" s="257">
        <v>0</v>
      </c>
      <c r="M330" s="70" t="s">
        <v>250</v>
      </c>
      <c r="N330" s="70">
        <v>80</v>
      </c>
      <c r="O330" s="258">
        <v>8</v>
      </c>
      <c r="P330" s="70" t="s">
        <v>251</v>
      </c>
      <c r="Q330" s="70" t="s">
        <v>240</v>
      </c>
      <c r="R330" s="70" t="s">
        <v>240</v>
      </c>
      <c r="S330" s="70" t="s">
        <v>240</v>
      </c>
      <c r="T330" s="70" t="s">
        <v>240</v>
      </c>
      <c r="U330" s="70" t="s">
        <v>1427</v>
      </c>
      <c r="V330" s="70" t="s">
        <v>240</v>
      </c>
      <c r="W330" s="12"/>
      <c r="X330" s="242">
        <v>71.2</v>
      </c>
      <c r="Y330" s="242">
        <v>71.2</v>
      </c>
      <c r="Z330" s="242">
        <v>12.87</v>
      </c>
      <c r="AA330" s="157" t="s">
        <v>259</v>
      </c>
      <c r="AB330" s="242">
        <v>10.14</v>
      </c>
      <c r="AC330" s="157" t="s">
        <v>259</v>
      </c>
      <c r="AD330" s="242">
        <v>12.56</v>
      </c>
      <c r="AE330" s="157" t="s">
        <v>259</v>
      </c>
      <c r="AF330" s="242">
        <v>8.3699999999999992</v>
      </c>
      <c r="AG330" s="157" t="s">
        <v>259</v>
      </c>
      <c r="AH330" s="242">
        <v>1.1499999999999999</v>
      </c>
      <c r="AI330" s="157" t="s">
        <v>259</v>
      </c>
      <c r="AJ330" s="242">
        <v>0</v>
      </c>
      <c r="AK330" s="242" t="s">
        <v>259</v>
      </c>
      <c r="AL330" s="242">
        <v>0</v>
      </c>
      <c r="AM330" s="242" t="s">
        <v>259</v>
      </c>
      <c r="AN330" s="242">
        <v>0</v>
      </c>
      <c r="AO330" s="242" t="s">
        <v>259</v>
      </c>
      <c r="AP330" s="242">
        <v>0.91</v>
      </c>
      <c r="AQ330" s="242" t="s">
        <v>259</v>
      </c>
      <c r="AR330" s="242">
        <v>7.93</v>
      </c>
      <c r="AS330" s="242" t="s">
        <v>259</v>
      </c>
      <c r="AT330" s="242">
        <v>8.24</v>
      </c>
      <c r="AU330" s="242" t="s">
        <v>259</v>
      </c>
      <c r="AV330" s="242">
        <v>9.9499999999999993</v>
      </c>
      <c r="AW330" s="157" t="s">
        <v>259</v>
      </c>
      <c r="AX330" s="157">
        <v>214.52000000000004</v>
      </c>
      <c r="AY330" s="243">
        <v>3.6600000000000001E-2</v>
      </c>
      <c r="AZ330" s="156" t="s">
        <v>253</v>
      </c>
      <c r="BA330" s="156" t="s">
        <v>254</v>
      </c>
      <c r="BB330" s="157">
        <v>1</v>
      </c>
      <c r="BC330" s="156" t="s">
        <v>1423</v>
      </c>
      <c r="BD330" s="3"/>
    </row>
    <row r="331" spans="1:56" ht="15.75" hidden="1" customHeight="1" outlineLevel="1">
      <c r="A331" s="58">
        <v>321</v>
      </c>
      <c r="B331" s="11">
        <v>129321</v>
      </c>
      <c r="C331" s="89" t="s">
        <v>297</v>
      </c>
      <c r="D331" s="157">
        <v>136</v>
      </c>
      <c r="E331" s="12" t="s">
        <v>191</v>
      </c>
      <c r="F331" s="11" t="s">
        <v>246</v>
      </c>
      <c r="G331" s="18" t="s">
        <v>247</v>
      </c>
      <c r="H331" s="11" t="s">
        <v>248</v>
      </c>
      <c r="I331" s="87" t="s">
        <v>249</v>
      </c>
      <c r="J331" s="19" t="s">
        <v>139</v>
      </c>
      <c r="K331" s="17" t="s">
        <v>140</v>
      </c>
      <c r="L331" s="260">
        <v>1</v>
      </c>
      <c r="M331" s="70" t="s">
        <v>250</v>
      </c>
      <c r="N331" s="70">
        <v>100</v>
      </c>
      <c r="O331" s="258">
        <v>8</v>
      </c>
      <c r="P331" s="70" t="s">
        <v>251</v>
      </c>
      <c r="Q331" s="70" t="s">
        <v>233</v>
      </c>
      <c r="R331" s="70" t="s">
        <v>240</v>
      </c>
      <c r="S331" s="70" t="s">
        <v>233</v>
      </c>
      <c r="T331" s="70" t="s">
        <v>233</v>
      </c>
      <c r="U331" s="70" t="s">
        <v>1427</v>
      </c>
      <c r="V331" s="70" t="s">
        <v>240</v>
      </c>
      <c r="W331" s="12"/>
      <c r="X331" s="242">
        <v>423.72</v>
      </c>
      <c r="Y331" s="242">
        <v>440.53999999999996</v>
      </c>
      <c r="Z331" s="242">
        <v>71.14</v>
      </c>
      <c r="AA331" s="157" t="s">
        <v>252</v>
      </c>
      <c r="AB331" s="242">
        <v>44.75</v>
      </c>
      <c r="AC331" s="157" t="s">
        <v>252</v>
      </c>
      <c r="AD331" s="242">
        <v>65.069999999999993</v>
      </c>
      <c r="AE331" s="157" t="s">
        <v>252</v>
      </c>
      <c r="AF331" s="242">
        <v>39.340000000000003</v>
      </c>
      <c r="AG331" s="157" t="s">
        <v>252</v>
      </c>
      <c r="AH331" s="242">
        <v>19.34</v>
      </c>
      <c r="AI331" s="157" t="s">
        <v>252</v>
      </c>
      <c r="AJ331" s="242">
        <v>3.88</v>
      </c>
      <c r="AK331" s="242" t="s">
        <v>252</v>
      </c>
      <c r="AL331" s="242">
        <v>2.86</v>
      </c>
      <c r="AM331" s="242" t="s">
        <v>252</v>
      </c>
      <c r="AN331" s="242">
        <v>3.07</v>
      </c>
      <c r="AO331" s="242" t="s">
        <v>252</v>
      </c>
      <c r="AP331" s="242">
        <v>3.49</v>
      </c>
      <c r="AQ331" s="242" t="s">
        <v>252</v>
      </c>
      <c r="AR331" s="242">
        <v>39.630000000000003</v>
      </c>
      <c r="AS331" s="242" t="s">
        <v>252</v>
      </c>
      <c r="AT331" s="242">
        <v>33.24</v>
      </c>
      <c r="AU331" s="242" t="s">
        <v>252</v>
      </c>
      <c r="AV331" s="242">
        <v>53.91</v>
      </c>
      <c r="AW331" s="157" t="s">
        <v>252</v>
      </c>
      <c r="AX331" s="157">
        <v>1243.98</v>
      </c>
      <c r="AY331" s="240">
        <v>0.18</v>
      </c>
      <c r="AZ331" s="156" t="s">
        <v>253</v>
      </c>
      <c r="BA331" s="156" t="s">
        <v>254</v>
      </c>
      <c r="BB331" s="156">
        <v>1</v>
      </c>
      <c r="BC331" s="157" t="s">
        <v>255</v>
      </c>
      <c r="BD331" s="3"/>
    </row>
    <row r="332" spans="1:56" ht="15.75" hidden="1" customHeight="1" outlineLevel="1">
      <c r="A332" s="58">
        <v>322</v>
      </c>
      <c r="B332" s="11">
        <v>129322</v>
      </c>
      <c r="C332" s="89" t="s">
        <v>297</v>
      </c>
      <c r="D332" s="157">
        <v>138</v>
      </c>
      <c r="E332" s="12" t="s">
        <v>191</v>
      </c>
      <c r="F332" s="11" t="s">
        <v>246</v>
      </c>
      <c r="G332" s="18" t="s">
        <v>247</v>
      </c>
      <c r="H332" s="11" t="s">
        <v>248</v>
      </c>
      <c r="I332" s="87" t="s">
        <v>249</v>
      </c>
      <c r="J332" s="19" t="s">
        <v>139</v>
      </c>
      <c r="K332" s="17" t="s">
        <v>140</v>
      </c>
      <c r="L332" s="260">
        <v>1</v>
      </c>
      <c r="M332" s="70" t="s">
        <v>250</v>
      </c>
      <c r="N332" s="70">
        <v>100</v>
      </c>
      <c r="O332" s="258">
        <v>8</v>
      </c>
      <c r="P332" s="70" t="s">
        <v>251</v>
      </c>
      <c r="Q332" s="70" t="s">
        <v>233</v>
      </c>
      <c r="R332" s="70" t="s">
        <v>240</v>
      </c>
      <c r="S332" s="70" t="s">
        <v>233</v>
      </c>
      <c r="T332" s="70" t="s">
        <v>233</v>
      </c>
      <c r="U332" s="70" t="s">
        <v>1427</v>
      </c>
      <c r="V332" s="70" t="s">
        <v>240</v>
      </c>
      <c r="W332" s="12"/>
      <c r="X332" s="242">
        <v>397.48</v>
      </c>
      <c r="Y332" s="242">
        <v>338.23</v>
      </c>
      <c r="Z332" s="242">
        <v>52.74</v>
      </c>
      <c r="AA332" s="157" t="s">
        <v>252</v>
      </c>
      <c r="AB332" s="242">
        <v>23.94</v>
      </c>
      <c r="AC332" s="157" t="s">
        <v>252</v>
      </c>
      <c r="AD332" s="242">
        <v>63.18</v>
      </c>
      <c r="AE332" s="157" t="s">
        <v>252</v>
      </c>
      <c r="AF332" s="242">
        <v>37.020000000000003</v>
      </c>
      <c r="AG332" s="157" t="s">
        <v>252</v>
      </c>
      <c r="AH332" s="242">
        <v>11.79</v>
      </c>
      <c r="AI332" s="157" t="s">
        <v>252</v>
      </c>
      <c r="AJ332" s="242">
        <v>5.45</v>
      </c>
      <c r="AK332" s="242" t="s">
        <v>252</v>
      </c>
      <c r="AL332" s="242">
        <v>5.15</v>
      </c>
      <c r="AM332" s="242" t="s">
        <v>252</v>
      </c>
      <c r="AN332" s="242">
        <v>4.75</v>
      </c>
      <c r="AO332" s="242" t="s">
        <v>252</v>
      </c>
      <c r="AP332" s="242">
        <v>5.67</v>
      </c>
      <c r="AQ332" s="242" t="s">
        <v>252</v>
      </c>
      <c r="AR332" s="242">
        <v>31.85</v>
      </c>
      <c r="AS332" s="242" t="s">
        <v>252</v>
      </c>
      <c r="AT332" s="242">
        <v>28.55</v>
      </c>
      <c r="AU332" s="242" t="s">
        <v>252</v>
      </c>
      <c r="AV332" s="242">
        <v>50.28</v>
      </c>
      <c r="AW332" s="157" t="s">
        <v>252</v>
      </c>
      <c r="AX332" s="157">
        <v>1056.08</v>
      </c>
      <c r="AY332" s="240">
        <v>0.14000000000000001</v>
      </c>
      <c r="AZ332" s="156" t="s">
        <v>253</v>
      </c>
      <c r="BA332" s="156" t="s">
        <v>254</v>
      </c>
      <c r="BB332" s="156">
        <v>1</v>
      </c>
      <c r="BC332" s="156" t="s">
        <v>1423</v>
      </c>
      <c r="BD332" s="3"/>
    </row>
    <row r="333" spans="1:56" ht="15.75" hidden="1" customHeight="1" outlineLevel="1">
      <c r="A333" s="58">
        <v>323</v>
      </c>
      <c r="B333" s="11">
        <v>129323</v>
      </c>
      <c r="C333" s="89" t="s">
        <v>297</v>
      </c>
      <c r="D333" s="157">
        <v>140</v>
      </c>
      <c r="E333" s="12" t="s">
        <v>191</v>
      </c>
      <c r="F333" s="11" t="s">
        <v>246</v>
      </c>
      <c r="G333" s="18" t="s">
        <v>247</v>
      </c>
      <c r="H333" s="11" t="s">
        <v>248</v>
      </c>
      <c r="I333" s="87" t="s">
        <v>249</v>
      </c>
      <c r="J333" s="19" t="s">
        <v>139</v>
      </c>
      <c r="K333" s="17" t="s">
        <v>140</v>
      </c>
      <c r="L333" s="257">
        <v>0</v>
      </c>
      <c r="M333" s="70" t="s">
        <v>250</v>
      </c>
      <c r="N333" s="70">
        <v>100</v>
      </c>
      <c r="O333" s="258">
        <v>8</v>
      </c>
      <c r="P333" s="70" t="s">
        <v>251</v>
      </c>
      <c r="Q333" s="70" t="s">
        <v>233</v>
      </c>
      <c r="R333" s="70" t="s">
        <v>240</v>
      </c>
      <c r="S333" s="70" t="s">
        <v>233</v>
      </c>
      <c r="T333" s="70" t="s">
        <v>233</v>
      </c>
      <c r="U333" s="70" t="s">
        <v>1427</v>
      </c>
      <c r="V333" s="70" t="s">
        <v>240</v>
      </c>
      <c r="W333" s="12"/>
      <c r="X333" s="242">
        <v>285.69</v>
      </c>
      <c r="Y333" s="242">
        <v>251.88</v>
      </c>
      <c r="Z333" s="242">
        <v>41.07</v>
      </c>
      <c r="AA333" s="157" t="s">
        <v>252</v>
      </c>
      <c r="AB333" s="242">
        <v>18.68</v>
      </c>
      <c r="AC333" s="157" t="s">
        <v>252</v>
      </c>
      <c r="AD333" s="242">
        <v>49.16</v>
      </c>
      <c r="AE333" s="157" t="s">
        <v>252</v>
      </c>
      <c r="AF333" s="242">
        <v>28.66</v>
      </c>
      <c r="AG333" s="157" t="s">
        <v>252</v>
      </c>
      <c r="AH333" s="242">
        <v>9.44</v>
      </c>
      <c r="AI333" s="157" t="s">
        <v>252</v>
      </c>
      <c r="AJ333" s="242">
        <v>1.94</v>
      </c>
      <c r="AK333" s="242" t="s">
        <v>252</v>
      </c>
      <c r="AL333" s="242">
        <v>1.24</v>
      </c>
      <c r="AM333" s="242" t="s">
        <v>252</v>
      </c>
      <c r="AN333" s="242">
        <v>1.67</v>
      </c>
      <c r="AO333" s="242" t="s">
        <v>252</v>
      </c>
      <c r="AP333" s="242">
        <v>1.95</v>
      </c>
      <c r="AQ333" s="242" t="s">
        <v>252</v>
      </c>
      <c r="AR333" s="242">
        <v>26.21</v>
      </c>
      <c r="AS333" s="242" t="s">
        <v>252</v>
      </c>
      <c r="AT333" s="242">
        <v>23.04</v>
      </c>
      <c r="AU333" s="242" t="s">
        <v>252</v>
      </c>
      <c r="AV333" s="242">
        <v>39.33</v>
      </c>
      <c r="AW333" s="157" t="s">
        <v>252</v>
      </c>
      <c r="AX333" s="157">
        <v>779.96</v>
      </c>
      <c r="AY333" s="240">
        <v>4.3799999999999999E-2</v>
      </c>
      <c r="AZ333" s="156" t="s">
        <v>253</v>
      </c>
      <c r="BA333" s="156" t="s">
        <v>254</v>
      </c>
      <c r="BB333" s="156">
        <v>0</v>
      </c>
      <c r="BC333" s="156" t="s">
        <v>1423</v>
      </c>
      <c r="BD333" s="3"/>
    </row>
    <row r="334" spans="1:56" ht="15.75" hidden="1" customHeight="1" outlineLevel="1">
      <c r="A334" s="58">
        <v>324</v>
      </c>
      <c r="B334" s="11">
        <v>129324</v>
      </c>
      <c r="C334" s="89" t="s">
        <v>297</v>
      </c>
      <c r="D334" s="157">
        <v>142</v>
      </c>
      <c r="E334" s="12" t="s">
        <v>191</v>
      </c>
      <c r="F334" s="11" t="s">
        <v>246</v>
      </c>
      <c r="G334" s="18" t="s">
        <v>247</v>
      </c>
      <c r="H334" s="11" t="s">
        <v>248</v>
      </c>
      <c r="I334" s="87" t="s">
        <v>249</v>
      </c>
      <c r="J334" s="19" t="s">
        <v>139</v>
      </c>
      <c r="K334" s="17" t="s">
        <v>140</v>
      </c>
      <c r="L334" s="257">
        <v>0</v>
      </c>
      <c r="M334" s="70" t="s">
        <v>250</v>
      </c>
      <c r="N334" s="70">
        <v>100</v>
      </c>
      <c r="O334" s="258">
        <v>8</v>
      </c>
      <c r="P334" s="70" t="s">
        <v>251</v>
      </c>
      <c r="Q334" s="70" t="s">
        <v>233</v>
      </c>
      <c r="R334" s="70" t="s">
        <v>240</v>
      </c>
      <c r="S334" s="70" t="s">
        <v>233</v>
      </c>
      <c r="T334" s="70" t="s">
        <v>233</v>
      </c>
      <c r="U334" s="70" t="s">
        <v>1427</v>
      </c>
      <c r="V334" s="70" t="s">
        <v>240</v>
      </c>
      <c r="W334" s="12"/>
      <c r="X334" s="242">
        <v>184.99967337063364</v>
      </c>
      <c r="Y334" s="242">
        <v>182.83353092393773</v>
      </c>
      <c r="Z334" s="242">
        <v>22.255725086949948</v>
      </c>
      <c r="AA334" s="157" t="s">
        <v>259</v>
      </c>
      <c r="AB334" s="242">
        <v>21.911363980039319</v>
      </c>
      <c r="AC334" s="157" t="s">
        <v>252</v>
      </c>
      <c r="AD334" s="242">
        <v>26.293636776047183</v>
      </c>
      <c r="AE334" s="157" t="s">
        <v>252</v>
      </c>
      <c r="AF334" s="242">
        <v>17.784584908513537</v>
      </c>
      <c r="AG334" s="157" t="s">
        <v>252</v>
      </c>
      <c r="AH334" s="242">
        <v>7.3871011643732052</v>
      </c>
      <c r="AI334" s="157" t="s">
        <v>252</v>
      </c>
      <c r="AJ334" s="242">
        <v>2.7160093754725541</v>
      </c>
      <c r="AK334" s="242" t="s">
        <v>252</v>
      </c>
      <c r="AL334" s="242">
        <v>1.9273113564191746</v>
      </c>
      <c r="AM334" s="242" t="s">
        <v>252</v>
      </c>
      <c r="AN334" s="242">
        <v>2.0272871616512931</v>
      </c>
      <c r="AO334" s="242" t="s">
        <v>252</v>
      </c>
      <c r="AP334" s="242">
        <v>2.177250869499471</v>
      </c>
      <c r="AQ334" s="242" t="s">
        <v>252</v>
      </c>
      <c r="AR334" s="242">
        <v>29.781681536367763</v>
      </c>
      <c r="AS334" s="242" t="s">
        <v>252</v>
      </c>
      <c r="AT334" s="242">
        <v>12.824674126720097</v>
      </c>
      <c r="AU334" s="242" t="s">
        <v>259</v>
      </c>
      <c r="AV334" s="242">
        <v>19.227841187055802</v>
      </c>
      <c r="AW334" s="157" t="s">
        <v>259</v>
      </c>
      <c r="AX334" s="157">
        <v>534.14767182368075</v>
      </c>
      <c r="AY334" s="240">
        <v>8.5534855587479211E-2</v>
      </c>
      <c r="AZ334" s="156" t="s">
        <v>253</v>
      </c>
      <c r="BA334" s="156" t="s">
        <v>254</v>
      </c>
      <c r="BB334" s="156">
        <v>0</v>
      </c>
      <c r="BC334" s="156" t="s">
        <v>1423</v>
      </c>
      <c r="BD334" s="3"/>
    </row>
    <row r="335" spans="1:56" ht="15.75" hidden="1" customHeight="1" outlineLevel="1">
      <c r="A335" s="58">
        <v>325</v>
      </c>
      <c r="B335" s="11">
        <v>129325</v>
      </c>
      <c r="C335" s="89" t="s">
        <v>297</v>
      </c>
      <c r="D335" s="157">
        <v>142</v>
      </c>
      <c r="E335" s="12" t="s">
        <v>231</v>
      </c>
      <c r="F335" s="11" t="s">
        <v>246</v>
      </c>
      <c r="G335" s="18" t="s">
        <v>247</v>
      </c>
      <c r="H335" s="11" t="s">
        <v>248</v>
      </c>
      <c r="I335" s="87" t="s">
        <v>249</v>
      </c>
      <c r="J335" s="19" t="s">
        <v>139</v>
      </c>
      <c r="K335" s="17" t="s">
        <v>140</v>
      </c>
      <c r="L335" s="257">
        <v>0</v>
      </c>
      <c r="M335" s="70" t="s">
        <v>250</v>
      </c>
      <c r="N335" s="70">
        <v>100</v>
      </c>
      <c r="O335" s="258">
        <v>8</v>
      </c>
      <c r="P335" s="70" t="s">
        <v>251</v>
      </c>
      <c r="Q335" s="70" t="s">
        <v>233</v>
      </c>
      <c r="R335" s="70" t="s">
        <v>240</v>
      </c>
      <c r="S335" s="70" t="s">
        <v>233</v>
      </c>
      <c r="T335" s="70" t="s">
        <v>233</v>
      </c>
      <c r="U335" s="70" t="s">
        <v>1427</v>
      </c>
      <c r="V335" s="70" t="s">
        <v>240</v>
      </c>
      <c r="W335" s="12"/>
      <c r="X335" s="242">
        <v>148.08032662936643</v>
      </c>
      <c r="Y335" s="242">
        <v>146.34646907606233</v>
      </c>
      <c r="Z335" s="242">
        <v>17.814274913050056</v>
      </c>
      <c r="AA335" s="157" t="s">
        <v>259</v>
      </c>
      <c r="AB335" s="242">
        <v>17.538636019960688</v>
      </c>
      <c r="AC335" s="157" t="s">
        <v>252</v>
      </c>
      <c r="AD335" s="242">
        <v>21.046363223952824</v>
      </c>
      <c r="AE335" s="157" t="s">
        <v>252</v>
      </c>
      <c r="AF335" s="242">
        <v>14.23541509148647</v>
      </c>
      <c r="AG335" s="157" t="s">
        <v>252</v>
      </c>
      <c r="AH335" s="242">
        <v>5.9128988356267964</v>
      </c>
      <c r="AI335" s="157" t="s">
        <v>252</v>
      </c>
      <c r="AJ335" s="242">
        <v>2.1739906245274461</v>
      </c>
      <c r="AK335" s="242" t="s">
        <v>252</v>
      </c>
      <c r="AL335" s="242">
        <v>1.542688643580826</v>
      </c>
      <c r="AM335" s="242" t="s">
        <v>252</v>
      </c>
      <c r="AN335" s="242">
        <v>1.6227128383487073</v>
      </c>
      <c r="AO335" s="242" t="s">
        <v>252</v>
      </c>
      <c r="AP335" s="242">
        <v>1.7427491305005294</v>
      </c>
      <c r="AQ335" s="242" t="s">
        <v>252</v>
      </c>
      <c r="AR335" s="242">
        <v>23.838318463632241</v>
      </c>
      <c r="AS335" s="242" t="s">
        <v>252</v>
      </c>
      <c r="AT335" s="242">
        <v>10.265325873279904</v>
      </c>
      <c r="AU335" s="242" t="s">
        <v>259</v>
      </c>
      <c r="AV335" s="242">
        <v>15.390648812944203</v>
      </c>
      <c r="AW335" s="157" t="s">
        <v>259</v>
      </c>
      <c r="AX335" s="157">
        <v>427.55081817631941</v>
      </c>
      <c r="AY335" s="243">
        <v>6.8465144412520801E-2</v>
      </c>
      <c r="AZ335" s="156" t="s">
        <v>253</v>
      </c>
      <c r="BA335" s="156" t="s">
        <v>254</v>
      </c>
      <c r="BB335" s="156">
        <v>0</v>
      </c>
      <c r="BC335" s="156" t="s">
        <v>1423</v>
      </c>
      <c r="BD335" s="3"/>
    </row>
    <row r="336" spans="1:56" ht="15.75" hidden="1" customHeight="1" outlineLevel="1">
      <c r="A336" s="58">
        <v>326</v>
      </c>
      <c r="B336" s="11">
        <v>129326</v>
      </c>
      <c r="C336" s="89" t="s">
        <v>297</v>
      </c>
      <c r="D336" s="157">
        <v>152</v>
      </c>
      <c r="E336" s="12" t="s">
        <v>191</v>
      </c>
      <c r="F336" s="11" t="s">
        <v>246</v>
      </c>
      <c r="G336" s="18" t="s">
        <v>247</v>
      </c>
      <c r="H336" s="11" t="s">
        <v>248</v>
      </c>
      <c r="I336" s="87" t="s">
        <v>249</v>
      </c>
      <c r="J336" s="19" t="s">
        <v>139</v>
      </c>
      <c r="K336" s="17" t="s">
        <v>140</v>
      </c>
      <c r="L336" s="260">
        <v>1</v>
      </c>
      <c r="M336" s="70" t="s">
        <v>250</v>
      </c>
      <c r="N336" s="70">
        <v>100</v>
      </c>
      <c r="O336" s="258">
        <v>8</v>
      </c>
      <c r="P336" s="70" t="s">
        <v>251</v>
      </c>
      <c r="Q336" s="70" t="s">
        <v>233</v>
      </c>
      <c r="R336" s="70" t="s">
        <v>240</v>
      </c>
      <c r="S336" s="70" t="s">
        <v>233</v>
      </c>
      <c r="T336" s="70" t="s">
        <v>233</v>
      </c>
      <c r="U336" s="70" t="s">
        <v>1427</v>
      </c>
      <c r="V336" s="70" t="s">
        <v>240</v>
      </c>
      <c r="W336" s="12"/>
      <c r="X336" s="242">
        <v>949.43</v>
      </c>
      <c r="Y336" s="242">
        <v>963.61999999999989</v>
      </c>
      <c r="Z336" s="242">
        <v>129.77000000000001</v>
      </c>
      <c r="AA336" s="157" t="s">
        <v>252</v>
      </c>
      <c r="AB336" s="242">
        <v>100.19</v>
      </c>
      <c r="AC336" s="157" t="s">
        <v>252</v>
      </c>
      <c r="AD336" s="242">
        <v>100.35</v>
      </c>
      <c r="AE336" s="157" t="s">
        <v>252</v>
      </c>
      <c r="AF336" s="242">
        <v>100.12</v>
      </c>
      <c r="AG336" s="157" t="s">
        <v>252</v>
      </c>
      <c r="AH336" s="242">
        <v>100.53</v>
      </c>
      <c r="AI336" s="157" t="s">
        <v>252</v>
      </c>
      <c r="AJ336" s="242">
        <v>25.18</v>
      </c>
      <c r="AK336" s="242" t="s">
        <v>252</v>
      </c>
      <c r="AL336" s="242">
        <v>28.96</v>
      </c>
      <c r="AM336" s="242" t="s">
        <v>252</v>
      </c>
      <c r="AN336" s="242">
        <v>2.61</v>
      </c>
      <c r="AO336" s="242" t="s">
        <v>252</v>
      </c>
      <c r="AP336" s="242">
        <v>29.340599999999998</v>
      </c>
      <c r="AQ336" s="242" t="s">
        <v>252</v>
      </c>
      <c r="AR336" s="242">
        <v>74.55</v>
      </c>
      <c r="AS336" s="242" t="s">
        <v>252</v>
      </c>
      <c r="AT336" s="242">
        <v>65.62</v>
      </c>
      <c r="AU336" s="242" t="s">
        <v>252</v>
      </c>
      <c r="AV336" s="242">
        <v>101.76</v>
      </c>
      <c r="AW336" s="157" t="s">
        <v>252</v>
      </c>
      <c r="AX336" s="157">
        <v>2772.0306</v>
      </c>
      <c r="AY336" s="240">
        <v>0.35299999999999998</v>
      </c>
      <c r="AZ336" s="156" t="s">
        <v>253</v>
      </c>
      <c r="BA336" s="156" t="s">
        <v>254</v>
      </c>
      <c r="BB336" s="156">
        <v>2</v>
      </c>
      <c r="BC336" s="156" t="s">
        <v>1423</v>
      </c>
      <c r="BD336" s="3"/>
    </row>
    <row r="337" spans="1:56" ht="15.75" hidden="1" customHeight="1" outlineLevel="1">
      <c r="A337" s="58">
        <v>327</v>
      </c>
      <c r="B337" s="11">
        <v>129327</v>
      </c>
      <c r="C337" s="89" t="s">
        <v>297</v>
      </c>
      <c r="D337" s="157">
        <v>154</v>
      </c>
      <c r="E337" s="12" t="s">
        <v>191</v>
      </c>
      <c r="F337" s="11" t="s">
        <v>246</v>
      </c>
      <c r="G337" s="18" t="s">
        <v>247</v>
      </c>
      <c r="H337" s="11" t="s">
        <v>248</v>
      </c>
      <c r="I337" s="87" t="s">
        <v>249</v>
      </c>
      <c r="J337" s="19" t="s">
        <v>139</v>
      </c>
      <c r="K337" s="17" t="s">
        <v>140</v>
      </c>
      <c r="L337" s="260">
        <v>1</v>
      </c>
      <c r="M337" s="70" t="s">
        <v>250</v>
      </c>
      <c r="N337" s="70">
        <v>100</v>
      </c>
      <c r="O337" s="258">
        <v>8</v>
      </c>
      <c r="P337" s="70" t="s">
        <v>251</v>
      </c>
      <c r="Q337" s="70" t="s">
        <v>240</v>
      </c>
      <c r="R337" s="70" t="s">
        <v>240</v>
      </c>
      <c r="S337" s="70" t="s">
        <v>233</v>
      </c>
      <c r="T337" s="70" t="s">
        <v>233</v>
      </c>
      <c r="U337" s="70" t="s">
        <v>1427</v>
      </c>
      <c r="V337" s="70" t="s">
        <v>240</v>
      </c>
      <c r="W337" s="12"/>
      <c r="X337" s="242">
        <v>547.5200000000001</v>
      </c>
      <c r="Y337" s="242">
        <v>401.90999999999997</v>
      </c>
      <c r="Z337" s="242">
        <v>113.06</v>
      </c>
      <c r="AA337" s="157" t="s">
        <v>252</v>
      </c>
      <c r="AB337" s="242">
        <v>59.53</v>
      </c>
      <c r="AC337" s="157" t="s">
        <v>252</v>
      </c>
      <c r="AD337" s="242">
        <v>92.07</v>
      </c>
      <c r="AE337" s="157" t="s">
        <v>252</v>
      </c>
      <c r="AF337" s="242">
        <v>51.99</v>
      </c>
      <c r="AG337" s="157" t="s">
        <v>252</v>
      </c>
      <c r="AH337" s="242">
        <v>8.83</v>
      </c>
      <c r="AI337" s="157" t="s">
        <v>252</v>
      </c>
      <c r="AJ337" s="242">
        <v>3.76</v>
      </c>
      <c r="AK337" s="242" t="s">
        <v>252</v>
      </c>
      <c r="AL337" s="242">
        <v>0</v>
      </c>
      <c r="AM337" s="242" t="s">
        <v>252</v>
      </c>
      <c r="AN337" s="242">
        <v>0</v>
      </c>
      <c r="AO337" s="242" t="s">
        <v>252</v>
      </c>
      <c r="AP337" s="242">
        <v>0</v>
      </c>
      <c r="AQ337" s="242" t="s">
        <v>252</v>
      </c>
      <c r="AR337" s="242">
        <v>52.23</v>
      </c>
      <c r="AS337" s="242" t="s">
        <v>252</v>
      </c>
      <c r="AT337" s="242">
        <v>54</v>
      </c>
      <c r="AU337" s="242" t="s">
        <v>252</v>
      </c>
      <c r="AV337" s="242">
        <v>64.959999999999994</v>
      </c>
      <c r="AW337" s="157" t="s">
        <v>252</v>
      </c>
      <c r="AX337" s="157">
        <v>1449.86</v>
      </c>
      <c r="AY337" s="240">
        <v>0.19</v>
      </c>
      <c r="AZ337" s="156" t="s">
        <v>253</v>
      </c>
      <c r="BA337" s="156" t="s">
        <v>254</v>
      </c>
      <c r="BB337" s="156">
        <v>1</v>
      </c>
      <c r="BC337" s="156" t="s">
        <v>1423</v>
      </c>
      <c r="BD337" s="3"/>
    </row>
    <row r="338" spans="1:56" ht="15.75" hidden="1" customHeight="1" outlineLevel="1">
      <c r="A338" s="58">
        <v>328</v>
      </c>
      <c r="B338" s="11">
        <v>129328</v>
      </c>
      <c r="C338" s="89" t="s">
        <v>297</v>
      </c>
      <c r="D338" s="157">
        <v>156</v>
      </c>
      <c r="E338" s="12" t="s">
        <v>191</v>
      </c>
      <c r="F338" s="11" t="s">
        <v>246</v>
      </c>
      <c r="G338" s="18" t="s">
        <v>247</v>
      </c>
      <c r="H338" s="11" t="s">
        <v>248</v>
      </c>
      <c r="I338" s="87" t="s">
        <v>249</v>
      </c>
      <c r="J338" s="19" t="s">
        <v>139</v>
      </c>
      <c r="K338" s="17" t="s">
        <v>140</v>
      </c>
      <c r="L338" s="257">
        <v>0</v>
      </c>
      <c r="M338" s="70" t="s">
        <v>250</v>
      </c>
      <c r="N338" s="70">
        <v>100</v>
      </c>
      <c r="O338" s="258">
        <v>8</v>
      </c>
      <c r="P338" s="70" t="s">
        <v>251</v>
      </c>
      <c r="Q338" s="70" t="s">
        <v>233</v>
      </c>
      <c r="R338" s="70" t="s">
        <v>240</v>
      </c>
      <c r="S338" s="70" t="s">
        <v>233</v>
      </c>
      <c r="T338" s="70" t="s">
        <v>233</v>
      </c>
      <c r="U338" s="70" t="s">
        <v>1427</v>
      </c>
      <c r="V338" s="70" t="s">
        <v>240</v>
      </c>
      <c r="W338" s="12"/>
      <c r="X338" s="242">
        <v>0</v>
      </c>
      <c r="Y338" s="242">
        <v>0</v>
      </c>
      <c r="Z338" s="242">
        <v>27.15</v>
      </c>
      <c r="AA338" s="157" t="s">
        <v>252</v>
      </c>
      <c r="AB338" s="242">
        <v>24.64</v>
      </c>
      <c r="AC338" s="157" t="s">
        <v>252</v>
      </c>
      <c r="AD338" s="242">
        <v>26.69</v>
      </c>
      <c r="AE338" s="157" t="s">
        <v>252</v>
      </c>
      <c r="AF338" s="242">
        <v>20.079999999999998</v>
      </c>
      <c r="AG338" s="157" t="s">
        <v>252</v>
      </c>
      <c r="AH338" s="242">
        <v>9.27</v>
      </c>
      <c r="AI338" s="157" t="s">
        <v>252</v>
      </c>
      <c r="AJ338" s="242">
        <v>7.38</v>
      </c>
      <c r="AK338" s="242" t="s">
        <v>252</v>
      </c>
      <c r="AL338" s="242">
        <v>7.57</v>
      </c>
      <c r="AM338" s="242" t="s">
        <v>252</v>
      </c>
      <c r="AN338" s="242">
        <v>7.62</v>
      </c>
      <c r="AO338" s="242" t="s">
        <v>252</v>
      </c>
      <c r="AP338" s="242">
        <v>2.8933300000000002</v>
      </c>
      <c r="AQ338" s="242" t="s">
        <v>252</v>
      </c>
      <c r="AR338" s="242">
        <v>13.97</v>
      </c>
      <c r="AS338" s="242" t="s">
        <v>252</v>
      </c>
      <c r="AT338" s="242">
        <v>24.64</v>
      </c>
      <c r="AU338" s="242" t="s">
        <v>252</v>
      </c>
      <c r="AV338" s="242">
        <v>24.64</v>
      </c>
      <c r="AW338" s="157" t="s">
        <v>252</v>
      </c>
      <c r="AX338" s="157">
        <v>196.54332999999997</v>
      </c>
      <c r="AY338" s="243">
        <v>0.06</v>
      </c>
      <c r="AZ338" s="156" t="s">
        <v>253</v>
      </c>
      <c r="BA338" s="156" t="s">
        <v>254</v>
      </c>
      <c r="BB338" s="156">
        <v>0</v>
      </c>
      <c r="BC338" s="156" t="s">
        <v>1423</v>
      </c>
      <c r="BD338" s="3"/>
    </row>
    <row r="339" spans="1:56" ht="15.75" hidden="1" customHeight="1" outlineLevel="1">
      <c r="A339" s="58">
        <v>329</v>
      </c>
      <c r="B339" s="11">
        <v>129329</v>
      </c>
      <c r="C339" s="89" t="s">
        <v>297</v>
      </c>
      <c r="D339" s="157">
        <v>158</v>
      </c>
      <c r="E339" s="12" t="s">
        <v>191</v>
      </c>
      <c r="F339" s="11" t="s">
        <v>246</v>
      </c>
      <c r="G339" s="18" t="s">
        <v>247</v>
      </c>
      <c r="H339" s="11" t="s">
        <v>248</v>
      </c>
      <c r="I339" s="87" t="s">
        <v>249</v>
      </c>
      <c r="J339" s="19" t="s">
        <v>139</v>
      </c>
      <c r="K339" s="17" t="s">
        <v>140</v>
      </c>
      <c r="L339" s="257">
        <v>0</v>
      </c>
      <c r="M339" s="70" t="s">
        <v>250</v>
      </c>
      <c r="N339" s="70">
        <v>80</v>
      </c>
      <c r="O339" s="258">
        <v>8</v>
      </c>
      <c r="P339" s="70" t="s">
        <v>251</v>
      </c>
      <c r="Q339" s="70" t="s">
        <v>233</v>
      </c>
      <c r="R339" s="70" t="s">
        <v>240</v>
      </c>
      <c r="S339" s="70" t="s">
        <v>233</v>
      </c>
      <c r="T339" s="70" t="s">
        <v>233</v>
      </c>
      <c r="U339" s="70" t="s">
        <v>1427</v>
      </c>
      <c r="V339" s="70" t="s">
        <v>240</v>
      </c>
      <c r="W339" s="12"/>
      <c r="X339" s="242">
        <v>0</v>
      </c>
      <c r="Y339" s="242">
        <v>0</v>
      </c>
      <c r="Z339" s="242">
        <v>133.18</v>
      </c>
      <c r="AA339" s="157" t="s">
        <v>252</v>
      </c>
      <c r="AB339" s="242">
        <v>120.63</v>
      </c>
      <c r="AC339" s="157" t="s">
        <v>252</v>
      </c>
      <c r="AD339" s="242">
        <v>130.84</v>
      </c>
      <c r="AE339" s="157" t="s">
        <v>252</v>
      </c>
      <c r="AF339" s="242">
        <v>97.88</v>
      </c>
      <c r="AG339" s="157" t="s">
        <v>252</v>
      </c>
      <c r="AH339" s="242">
        <v>43.79</v>
      </c>
      <c r="AI339" s="157" t="s">
        <v>252</v>
      </c>
      <c r="AJ339" s="242">
        <v>34.380000000000003</v>
      </c>
      <c r="AK339" s="242" t="s">
        <v>252</v>
      </c>
      <c r="AL339" s="242">
        <v>35.29</v>
      </c>
      <c r="AM339" s="242" t="s">
        <v>252</v>
      </c>
      <c r="AN339" s="242">
        <v>35.53</v>
      </c>
      <c r="AO339" s="242" t="s">
        <v>252</v>
      </c>
      <c r="AP339" s="242">
        <v>14.279159999999999</v>
      </c>
      <c r="AQ339" s="242" t="s">
        <v>252</v>
      </c>
      <c r="AR339" s="242">
        <v>70.77</v>
      </c>
      <c r="AS339" s="242" t="s">
        <v>252</v>
      </c>
      <c r="AT339" s="242">
        <v>120.63</v>
      </c>
      <c r="AU339" s="242" t="s">
        <v>252</v>
      </c>
      <c r="AV339" s="242">
        <v>120.63</v>
      </c>
      <c r="AW339" s="157" t="s">
        <v>252</v>
      </c>
      <c r="AX339" s="157">
        <v>957.82915999999989</v>
      </c>
      <c r="AY339" s="243">
        <v>0.28000000000000003</v>
      </c>
      <c r="AZ339" s="156" t="s">
        <v>253</v>
      </c>
      <c r="BA339" s="156" t="s">
        <v>254</v>
      </c>
      <c r="BB339" s="156">
        <v>0</v>
      </c>
      <c r="BC339" s="156" t="s">
        <v>1423</v>
      </c>
      <c r="BD339" s="3"/>
    </row>
    <row r="340" spans="1:56" ht="15.75" hidden="1" customHeight="1" outlineLevel="1">
      <c r="A340" s="58">
        <v>330</v>
      </c>
      <c r="B340" s="11">
        <v>129330</v>
      </c>
      <c r="C340" s="89" t="s">
        <v>297</v>
      </c>
      <c r="D340" s="157">
        <v>162</v>
      </c>
      <c r="E340" s="12" t="s">
        <v>191</v>
      </c>
      <c r="F340" s="11" t="s">
        <v>246</v>
      </c>
      <c r="G340" s="18" t="s">
        <v>247</v>
      </c>
      <c r="H340" s="11" t="s">
        <v>248</v>
      </c>
      <c r="I340" s="87" t="s">
        <v>249</v>
      </c>
      <c r="J340" s="19" t="s">
        <v>139</v>
      </c>
      <c r="K340" s="17" t="s">
        <v>140</v>
      </c>
      <c r="L340" s="260">
        <v>1</v>
      </c>
      <c r="M340" s="70" t="s">
        <v>250</v>
      </c>
      <c r="N340" s="70">
        <v>100</v>
      </c>
      <c r="O340" s="258">
        <v>8</v>
      </c>
      <c r="P340" s="70" t="s">
        <v>251</v>
      </c>
      <c r="Q340" s="70" t="s">
        <v>240</v>
      </c>
      <c r="R340" s="70" t="s">
        <v>240</v>
      </c>
      <c r="S340" s="70" t="s">
        <v>233</v>
      </c>
      <c r="T340" s="70" t="s">
        <v>233</v>
      </c>
      <c r="U340" s="70" t="s">
        <v>1427</v>
      </c>
      <c r="V340" s="70" t="s">
        <v>240</v>
      </c>
      <c r="W340" s="12"/>
      <c r="X340" s="242">
        <v>301.07</v>
      </c>
      <c r="Y340" s="242">
        <v>308.58</v>
      </c>
      <c r="Z340" s="242">
        <v>62.57</v>
      </c>
      <c r="AA340" s="157" t="s">
        <v>252</v>
      </c>
      <c r="AB340" s="242">
        <v>69.5</v>
      </c>
      <c r="AC340" s="157" t="s">
        <v>252</v>
      </c>
      <c r="AD340" s="242">
        <v>67.099999999999994</v>
      </c>
      <c r="AE340" s="157" t="s">
        <v>252</v>
      </c>
      <c r="AF340" s="242">
        <v>33.6</v>
      </c>
      <c r="AG340" s="157" t="s">
        <v>252</v>
      </c>
      <c r="AH340" s="242">
        <v>6.1</v>
      </c>
      <c r="AI340" s="157" t="s">
        <v>252</v>
      </c>
      <c r="AJ340" s="242">
        <v>0</v>
      </c>
      <c r="AK340" s="242" t="s">
        <v>252</v>
      </c>
      <c r="AL340" s="242">
        <v>4.3099999999999996</v>
      </c>
      <c r="AM340" s="242" t="s">
        <v>252</v>
      </c>
      <c r="AN340" s="242">
        <v>0</v>
      </c>
      <c r="AO340" s="242" t="s">
        <v>252</v>
      </c>
      <c r="AP340" s="242">
        <v>0</v>
      </c>
      <c r="AQ340" s="242" t="s">
        <v>252</v>
      </c>
      <c r="AR340" s="242">
        <v>35.6</v>
      </c>
      <c r="AS340" s="242" t="s">
        <v>252</v>
      </c>
      <c r="AT340" s="242">
        <v>36.4</v>
      </c>
      <c r="AU340" s="242" t="s">
        <v>252</v>
      </c>
      <c r="AV340" s="242">
        <v>47.8</v>
      </c>
      <c r="AW340" s="157" t="s">
        <v>252</v>
      </c>
      <c r="AX340" s="157">
        <v>972.63</v>
      </c>
      <c r="AY340" s="240">
        <v>0.14000000000000001</v>
      </c>
      <c r="AZ340" s="156" t="s">
        <v>253</v>
      </c>
      <c r="BA340" s="156" t="s">
        <v>254</v>
      </c>
      <c r="BB340" s="156">
        <v>1</v>
      </c>
      <c r="BC340" s="156" t="s">
        <v>1423</v>
      </c>
      <c r="BD340" s="3"/>
    </row>
    <row r="341" spans="1:56" ht="15.75" hidden="1" customHeight="1" outlineLevel="1">
      <c r="A341" s="58">
        <v>331</v>
      </c>
      <c r="B341" s="11">
        <v>129331</v>
      </c>
      <c r="C341" s="89" t="s">
        <v>297</v>
      </c>
      <c r="D341" s="157">
        <v>164</v>
      </c>
      <c r="E341" s="12" t="s">
        <v>191</v>
      </c>
      <c r="F341" s="11" t="s">
        <v>246</v>
      </c>
      <c r="G341" s="18" t="s">
        <v>247</v>
      </c>
      <c r="H341" s="11" t="s">
        <v>248</v>
      </c>
      <c r="I341" s="87" t="s">
        <v>249</v>
      </c>
      <c r="J341" s="19" t="s">
        <v>139</v>
      </c>
      <c r="K341" s="17" t="s">
        <v>140</v>
      </c>
      <c r="L341" s="257">
        <v>0</v>
      </c>
      <c r="M341" s="70" t="s">
        <v>250</v>
      </c>
      <c r="N341" s="70">
        <v>100</v>
      </c>
      <c r="O341" s="258">
        <v>8</v>
      </c>
      <c r="P341" s="70" t="s">
        <v>251</v>
      </c>
      <c r="Q341" s="70" t="s">
        <v>240</v>
      </c>
      <c r="R341" s="70" t="s">
        <v>240</v>
      </c>
      <c r="S341" s="70" t="s">
        <v>233</v>
      </c>
      <c r="T341" s="70" t="s">
        <v>233</v>
      </c>
      <c r="U341" s="70" t="s">
        <v>1427</v>
      </c>
      <c r="V341" s="70" t="s">
        <v>240</v>
      </c>
      <c r="W341" s="12"/>
      <c r="X341" s="242">
        <v>515.36</v>
      </c>
      <c r="Y341" s="242">
        <v>562.52</v>
      </c>
      <c r="Z341" s="242">
        <v>114.58</v>
      </c>
      <c r="AA341" s="157" t="s">
        <v>252</v>
      </c>
      <c r="AB341" s="242">
        <v>126.8</v>
      </c>
      <c r="AC341" s="157" t="s">
        <v>252</v>
      </c>
      <c r="AD341" s="242">
        <v>122.42</v>
      </c>
      <c r="AE341" s="157" t="s">
        <v>252</v>
      </c>
      <c r="AF341" s="242">
        <v>61.43</v>
      </c>
      <c r="AG341" s="157" t="s">
        <v>252</v>
      </c>
      <c r="AH341" s="242">
        <v>11.14</v>
      </c>
      <c r="AI341" s="157" t="s">
        <v>252</v>
      </c>
      <c r="AJ341" s="242">
        <v>0</v>
      </c>
      <c r="AK341" s="242" t="s">
        <v>252</v>
      </c>
      <c r="AL341" s="242">
        <v>0</v>
      </c>
      <c r="AM341" s="242" t="s">
        <v>252</v>
      </c>
      <c r="AN341" s="242">
        <v>0</v>
      </c>
      <c r="AO341" s="242" t="s">
        <v>252</v>
      </c>
      <c r="AP341" s="242">
        <v>0</v>
      </c>
      <c r="AQ341" s="242" t="s">
        <v>252</v>
      </c>
      <c r="AR341" s="242">
        <v>64.8</v>
      </c>
      <c r="AS341" s="242" t="s">
        <v>252</v>
      </c>
      <c r="AT341" s="242">
        <v>66.36</v>
      </c>
      <c r="AU341" s="242" t="s">
        <v>252</v>
      </c>
      <c r="AV341" s="242">
        <v>87.14</v>
      </c>
      <c r="AW341" s="157" t="s">
        <v>252</v>
      </c>
      <c r="AX341" s="157">
        <v>1732.5500000000002</v>
      </c>
      <c r="AY341" s="240">
        <v>0.25</v>
      </c>
      <c r="AZ341" s="156" t="s">
        <v>253</v>
      </c>
      <c r="BA341" s="156" t="s">
        <v>254</v>
      </c>
      <c r="BB341" s="156">
        <v>0</v>
      </c>
      <c r="BC341" s="156" t="s">
        <v>1423</v>
      </c>
      <c r="BD341" s="3"/>
    </row>
    <row r="342" spans="1:56" ht="15.75" hidden="1" customHeight="1" outlineLevel="1">
      <c r="A342" s="58">
        <v>332</v>
      </c>
      <c r="B342" s="11">
        <v>129332</v>
      </c>
      <c r="C342" s="89" t="s">
        <v>297</v>
      </c>
      <c r="D342" s="157">
        <v>168</v>
      </c>
      <c r="E342" s="12" t="s">
        <v>191</v>
      </c>
      <c r="F342" s="11" t="s">
        <v>246</v>
      </c>
      <c r="G342" s="18" t="s">
        <v>247</v>
      </c>
      <c r="H342" s="11" t="s">
        <v>248</v>
      </c>
      <c r="I342" s="87" t="s">
        <v>249</v>
      </c>
      <c r="J342" s="19" t="s">
        <v>139</v>
      </c>
      <c r="K342" s="17" t="s">
        <v>140</v>
      </c>
      <c r="L342" s="260">
        <v>1</v>
      </c>
      <c r="M342" s="70" t="s">
        <v>250</v>
      </c>
      <c r="N342" s="70">
        <v>100</v>
      </c>
      <c r="O342" s="258">
        <v>8</v>
      </c>
      <c r="P342" s="70" t="s">
        <v>251</v>
      </c>
      <c r="Q342" s="70" t="s">
        <v>240</v>
      </c>
      <c r="R342" s="70" t="s">
        <v>240</v>
      </c>
      <c r="S342" s="70" t="s">
        <v>233</v>
      </c>
      <c r="T342" s="70" t="s">
        <v>233</v>
      </c>
      <c r="U342" s="70" t="s">
        <v>1427</v>
      </c>
      <c r="V342" s="70" t="s">
        <v>240</v>
      </c>
      <c r="W342" s="12"/>
      <c r="X342" s="242">
        <v>271.91000000000003</v>
      </c>
      <c r="Y342" s="242">
        <v>287.85000000000002</v>
      </c>
      <c r="Z342" s="242">
        <v>55.2</v>
      </c>
      <c r="AA342" s="157" t="s">
        <v>252</v>
      </c>
      <c r="AB342" s="242">
        <v>40.1</v>
      </c>
      <c r="AC342" s="157" t="s">
        <v>252</v>
      </c>
      <c r="AD342" s="242">
        <v>53.5</v>
      </c>
      <c r="AE342" s="157" t="s">
        <v>252</v>
      </c>
      <c r="AF342" s="242">
        <v>32.9</v>
      </c>
      <c r="AG342" s="157" t="s">
        <v>252</v>
      </c>
      <c r="AH342" s="242">
        <v>11.5</v>
      </c>
      <c r="AI342" s="157" t="s">
        <v>252</v>
      </c>
      <c r="AJ342" s="242">
        <v>0</v>
      </c>
      <c r="AK342" s="242" t="s">
        <v>252</v>
      </c>
      <c r="AL342" s="242">
        <v>5.84</v>
      </c>
      <c r="AM342" s="242" t="s">
        <v>252</v>
      </c>
      <c r="AN342" s="242">
        <v>0</v>
      </c>
      <c r="AO342" s="242" t="s">
        <v>252</v>
      </c>
      <c r="AP342" s="242">
        <v>0</v>
      </c>
      <c r="AQ342" s="242" t="s">
        <v>252</v>
      </c>
      <c r="AR342" s="242">
        <v>30.4</v>
      </c>
      <c r="AS342" s="242" t="s">
        <v>252</v>
      </c>
      <c r="AT342" s="242">
        <v>32.299999999999997</v>
      </c>
      <c r="AU342" s="242" t="s">
        <v>252</v>
      </c>
      <c r="AV342" s="242">
        <v>39.1</v>
      </c>
      <c r="AW342" s="157" t="s">
        <v>252</v>
      </c>
      <c r="AX342" s="157">
        <v>860.6</v>
      </c>
      <c r="AY342" s="240">
        <v>0.13</v>
      </c>
      <c r="AZ342" s="156" t="s">
        <v>253</v>
      </c>
      <c r="BA342" s="156" t="s">
        <v>254</v>
      </c>
      <c r="BB342" s="156">
        <v>1</v>
      </c>
      <c r="BC342" s="156" t="s">
        <v>1423</v>
      </c>
      <c r="BD342" s="3"/>
    </row>
    <row r="343" spans="1:56" ht="15.75" hidden="1" customHeight="1" outlineLevel="1">
      <c r="A343" s="58">
        <v>333</v>
      </c>
      <c r="B343" s="11">
        <v>129333</v>
      </c>
      <c r="C343" s="89" t="s">
        <v>297</v>
      </c>
      <c r="D343" s="157">
        <v>170</v>
      </c>
      <c r="E343" s="12" t="s">
        <v>191</v>
      </c>
      <c r="F343" s="11" t="s">
        <v>246</v>
      </c>
      <c r="G343" s="18" t="s">
        <v>247</v>
      </c>
      <c r="H343" s="11" t="s">
        <v>248</v>
      </c>
      <c r="I343" s="87" t="s">
        <v>249</v>
      </c>
      <c r="J343" s="19" t="s">
        <v>139</v>
      </c>
      <c r="K343" s="17" t="s">
        <v>140</v>
      </c>
      <c r="L343" s="257">
        <v>0</v>
      </c>
      <c r="M343" s="70" t="s">
        <v>250</v>
      </c>
      <c r="N343" s="70">
        <v>100</v>
      </c>
      <c r="O343" s="258">
        <v>8</v>
      </c>
      <c r="P343" s="70" t="s">
        <v>251</v>
      </c>
      <c r="Q343" s="70" t="s">
        <v>233</v>
      </c>
      <c r="R343" s="70" t="s">
        <v>240</v>
      </c>
      <c r="S343" s="70" t="s">
        <v>233</v>
      </c>
      <c r="T343" s="70" t="s">
        <v>233</v>
      </c>
      <c r="U343" s="70" t="s">
        <v>1427</v>
      </c>
      <c r="V343" s="70" t="s">
        <v>240</v>
      </c>
      <c r="W343" s="12"/>
      <c r="X343" s="242">
        <v>732.50612395754376</v>
      </c>
      <c r="Y343" s="242">
        <v>735.71856330553453</v>
      </c>
      <c r="Z343" s="242">
        <v>130.67148597422292</v>
      </c>
      <c r="AA343" s="157" t="s">
        <v>252</v>
      </c>
      <c r="AB343" s="242">
        <v>94.941842304776358</v>
      </c>
      <c r="AC343" s="157" t="s">
        <v>252</v>
      </c>
      <c r="AD343" s="242">
        <v>126.72723464746021</v>
      </c>
      <c r="AE343" s="157" t="s">
        <v>252</v>
      </c>
      <c r="AF343" s="242">
        <v>77.609736542835478</v>
      </c>
      <c r="AG343" s="157" t="s">
        <v>252</v>
      </c>
      <c r="AH343" s="242">
        <v>25.608038286580747</v>
      </c>
      <c r="AI343" s="157" t="s">
        <v>252</v>
      </c>
      <c r="AJ343" s="242">
        <v>13.506235784685369</v>
      </c>
      <c r="AK343" s="242" t="s">
        <v>252</v>
      </c>
      <c r="AL343" s="242">
        <v>10.019366944655044</v>
      </c>
      <c r="AM343" s="242" t="s">
        <v>252</v>
      </c>
      <c r="AN343" s="242">
        <v>11.34308567096285</v>
      </c>
      <c r="AO343" s="242" t="s">
        <v>252</v>
      </c>
      <c r="AP343" s="242">
        <v>13.479330932524642</v>
      </c>
      <c r="AQ343" s="242" t="s">
        <v>252</v>
      </c>
      <c r="AR343" s="242">
        <v>67.428940485216074</v>
      </c>
      <c r="AS343" s="242" t="s">
        <v>252</v>
      </c>
      <c r="AT343" s="242">
        <v>73.708532979529949</v>
      </c>
      <c r="AU343" s="242" t="s">
        <v>252</v>
      </c>
      <c r="AV343" s="242">
        <v>91.58411675511752</v>
      </c>
      <c r="AW343" s="157" t="s">
        <v>252</v>
      </c>
      <c r="AX343" s="157">
        <v>2204.852634571645</v>
      </c>
      <c r="AY343" s="240">
        <v>0.29057240333586054</v>
      </c>
      <c r="AZ343" s="156" t="s">
        <v>253</v>
      </c>
      <c r="BA343" s="156" t="s">
        <v>254</v>
      </c>
      <c r="BB343" s="156">
        <v>0</v>
      </c>
      <c r="BC343" s="156" t="s">
        <v>1423</v>
      </c>
      <c r="BD343" s="3"/>
    </row>
    <row r="344" spans="1:56" ht="15.75" hidden="1" customHeight="1" outlineLevel="1">
      <c r="A344" s="58">
        <v>334</v>
      </c>
      <c r="B344" s="11">
        <v>129334</v>
      </c>
      <c r="C344" s="89" t="s">
        <v>297</v>
      </c>
      <c r="D344" s="157">
        <v>170</v>
      </c>
      <c r="E344" s="12" t="s">
        <v>231</v>
      </c>
      <c r="F344" s="11" t="s">
        <v>246</v>
      </c>
      <c r="G344" s="18" t="s">
        <v>247</v>
      </c>
      <c r="H344" s="11" t="s">
        <v>248</v>
      </c>
      <c r="I344" s="87" t="s">
        <v>249</v>
      </c>
      <c r="J344" s="19" t="s">
        <v>139</v>
      </c>
      <c r="K344" s="17" t="s">
        <v>140</v>
      </c>
      <c r="L344" s="257">
        <v>0</v>
      </c>
      <c r="M344" s="70" t="s">
        <v>250</v>
      </c>
      <c r="N344" s="70">
        <v>80</v>
      </c>
      <c r="O344" s="258">
        <v>8</v>
      </c>
      <c r="P344" s="70" t="s">
        <v>251</v>
      </c>
      <c r="Q344" s="70" t="s">
        <v>233</v>
      </c>
      <c r="R344" s="70" t="s">
        <v>240</v>
      </c>
      <c r="S344" s="70" t="s">
        <v>233</v>
      </c>
      <c r="T344" s="70" t="s">
        <v>233</v>
      </c>
      <c r="U344" s="70" t="s">
        <v>1427</v>
      </c>
      <c r="V344" s="70" t="s">
        <v>240</v>
      </c>
      <c r="W344" s="12"/>
      <c r="X344" s="242">
        <v>496.42190295678552</v>
      </c>
      <c r="Y344" s="242">
        <v>498.59898407884759</v>
      </c>
      <c r="Z344" s="242">
        <v>88.556512509476875</v>
      </c>
      <c r="AA344" s="157" t="s">
        <v>252</v>
      </c>
      <c r="AB344" s="242">
        <v>64.342410917361633</v>
      </c>
      <c r="AC344" s="157" t="s">
        <v>252</v>
      </c>
      <c r="AD344" s="242">
        <v>85.883479909021972</v>
      </c>
      <c r="AE344" s="157" t="s">
        <v>252</v>
      </c>
      <c r="AF344" s="242">
        <v>52.596383623957536</v>
      </c>
      <c r="AG344" s="157" t="s">
        <v>252</v>
      </c>
      <c r="AH344" s="242">
        <v>17.354655041698258</v>
      </c>
      <c r="AI344" s="157" t="s">
        <v>252</v>
      </c>
      <c r="AJ344" s="242">
        <v>9.1532221379833203</v>
      </c>
      <c r="AK344" s="242" t="s">
        <v>252</v>
      </c>
      <c r="AL344" s="242">
        <v>6.790159211523882</v>
      </c>
      <c r="AM344" s="242" t="s">
        <v>252</v>
      </c>
      <c r="AN344" s="242">
        <v>7.6872479150871866</v>
      </c>
      <c r="AO344" s="242" t="s">
        <v>252</v>
      </c>
      <c r="AP344" s="242">
        <v>9.1349886277482941</v>
      </c>
      <c r="AQ344" s="242" t="s">
        <v>252</v>
      </c>
      <c r="AR344" s="242">
        <v>45.696823351023504</v>
      </c>
      <c r="AS344" s="242" t="s">
        <v>252</v>
      </c>
      <c r="AT344" s="242">
        <v>49.952524639878689</v>
      </c>
      <c r="AU344" s="242" t="s">
        <v>252</v>
      </c>
      <c r="AV344" s="242">
        <v>62.066868840030317</v>
      </c>
      <c r="AW344" s="157" t="s">
        <v>252</v>
      </c>
      <c r="AX344" s="157">
        <v>1494.2361637604245</v>
      </c>
      <c r="AY344" s="243">
        <v>0.19692191053828659</v>
      </c>
      <c r="AZ344" s="156" t="s">
        <v>253</v>
      </c>
      <c r="BA344" s="156" t="s">
        <v>254</v>
      </c>
      <c r="BB344" s="156">
        <v>0</v>
      </c>
      <c r="BC344" s="156" t="s">
        <v>1423</v>
      </c>
      <c r="BD344" s="3"/>
    </row>
    <row r="345" spans="1:56" ht="15.75" hidden="1" customHeight="1" outlineLevel="1">
      <c r="A345" s="58">
        <v>335</v>
      </c>
      <c r="B345" s="11">
        <v>129335</v>
      </c>
      <c r="C345" s="89" t="s">
        <v>297</v>
      </c>
      <c r="D345" s="157">
        <v>170</v>
      </c>
      <c r="E345" s="12" t="s">
        <v>260</v>
      </c>
      <c r="F345" s="11" t="s">
        <v>246</v>
      </c>
      <c r="G345" s="18" t="s">
        <v>247</v>
      </c>
      <c r="H345" s="11" t="s">
        <v>248</v>
      </c>
      <c r="I345" s="87" t="s">
        <v>249</v>
      </c>
      <c r="J345" s="19" t="s">
        <v>139</v>
      </c>
      <c r="K345" s="17" t="s">
        <v>140</v>
      </c>
      <c r="L345" s="257">
        <v>0</v>
      </c>
      <c r="M345" s="70" t="s">
        <v>250</v>
      </c>
      <c r="N345" s="70">
        <v>80</v>
      </c>
      <c r="O345" s="258">
        <v>8</v>
      </c>
      <c r="P345" s="70" t="s">
        <v>251</v>
      </c>
      <c r="Q345" s="70" t="s">
        <v>233</v>
      </c>
      <c r="R345" s="70" t="s">
        <v>240</v>
      </c>
      <c r="S345" s="70" t="s">
        <v>233</v>
      </c>
      <c r="T345" s="70" t="s">
        <v>233</v>
      </c>
      <c r="U345" s="70" t="s">
        <v>1427</v>
      </c>
      <c r="V345" s="70" t="s">
        <v>240</v>
      </c>
      <c r="W345" s="12"/>
      <c r="X345" s="242">
        <v>132.361973085671</v>
      </c>
      <c r="Y345" s="242">
        <v>132.9424526156179</v>
      </c>
      <c r="Z345" s="242">
        <v>23.612001516300229</v>
      </c>
      <c r="AA345" s="157" t="s">
        <v>252</v>
      </c>
      <c r="AB345" s="242">
        <v>17.155746777862017</v>
      </c>
      <c r="AC345" s="157" t="s">
        <v>252</v>
      </c>
      <c r="AD345" s="242">
        <v>22.899285443517815</v>
      </c>
      <c r="AE345" s="157" t="s">
        <v>252</v>
      </c>
      <c r="AF345" s="242">
        <v>14.023879833206975</v>
      </c>
      <c r="AG345" s="157" t="s">
        <v>252</v>
      </c>
      <c r="AH345" s="242">
        <v>4.6273066717210014</v>
      </c>
      <c r="AI345" s="157" t="s">
        <v>252</v>
      </c>
      <c r="AJ345" s="242">
        <v>2.4405420773313118</v>
      </c>
      <c r="AK345" s="242" t="s">
        <v>252</v>
      </c>
      <c r="AL345" s="242">
        <v>1.8104738438210768</v>
      </c>
      <c r="AM345" s="242" t="s">
        <v>252</v>
      </c>
      <c r="AN345" s="242">
        <v>2.0496664139499621</v>
      </c>
      <c r="AO345" s="242" t="s">
        <v>252</v>
      </c>
      <c r="AP345" s="242">
        <v>2.4356804397270664</v>
      </c>
      <c r="AQ345" s="242" t="s">
        <v>252</v>
      </c>
      <c r="AR345" s="242">
        <v>12.184236163760426</v>
      </c>
      <c r="AS345" s="242" t="s">
        <v>252</v>
      </c>
      <c r="AT345" s="242">
        <v>13.318942380591357</v>
      </c>
      <c r="AU345" s="242" t="s">
        <v>252</v>
      </c>
      <c r="AV345" s="242">
        <v>16.549014404852162</v>
      </c>
      <c r="AW345" s="157" t="s">
        <v>252</v>
      </c>
      <c r="AX345" s="157">
        <v>398.41120166793036</v>
      </c>
      <c r="AY345" s="243">
        <v>5.2505686125852928E-2</v>
      </c>
      <c r="AZ345" s="156" t="s">
        <v>253</v>
      </c>
      <c r="BA345" s="156" t="s">
        <v>254</v>
      </c>
      <c r="BB345" s="156">
        <v>0</v>
      </c>
      <c r="BC345" s="156" t="s">
        <v>1423</v>
      </c>
      <c r="BD345" s="3"/>
    </row>
    <row r="346" spans="1:56" ht="15.75" hidden="1" customHeight="1" outlineLevel="1">
      <c r="A346" s="58">
        <v>336</v>
      </c>
      <c r="B346" s="11">
        <v>129336</v>
      </c>
      <c r="C346" s="89" t="s">
        <v>297</v>
      </c>
      <c r="D346" s="157">
        <v>174</v>
      </c>
      <c r="E346" s="12" t="s">
        <v>211</v>
      </c>
      <c r="F346" s="11" t="s">
        <v>246</v>
      </c>
      <c r="G346" s="18" t="s">
        <v>247</v>
      </c>
      <c r="H346" s="11" t="s">
        <v>248</v>
      </c>
      <c r="I346" s="87" t="s">
        <v>249</v>
      </c>
      <c r="J346" s="19" t="s">
        <v>139</v>
      </c>
      <c r="K346" s="17" t="s">
        <v>140</v>
      </c>
      <c r="L346" s="257">
        <v>0</v>
      </c>
      <c r="M346" s="70" t="s">
        <v>250</v>
      </c>
      <c r="N346" s="70">
        <v>100</v>
      </c>
      <c r="O346" s="258">
        <v>8</v>
      </c>
      <c r="P346" s="70" t="s">
        <v>251</v>
      </c>
      <c r="Q346" s="70" t="s">
        <v>233</v>
      </c>
      <c r="R346" s="70" t="s">
        <v>240</v>
      </c>
      <c r="S346" s="70" t="s">
        <v>240</v>
      </c>
      <c r="T346" s="70" t="s">
        <v>240</v>
      </c>
      <c r="U346" s="70" t="s">
        <v>1427</v>
      </c>
      <c r="V346" s="70" t="s">
        <v>240</v>
      </c>
      <c r="W346" s="12"/>
      <c r="X346" s="242">
        <v>200.07</v>
      </c>
      <c r="Y346" s="242">
        <v>204.10999999999999</v>
      </c>
      <c r="Z346" s="242">
        <v>38.31</v>
      </c>
      <c r="AA346" s="157" t="s">
        <v>259</v>
      </c>
      <c r="AB346" s="242">
        <v>31.06</v>
      </c>
      <c r="AC346" s="157" t="s">
        <v>259</v>
      </c>
      <c r="AD346" s="242">
        <v>37.58</v>
      </c>
      <c r="AE346" s="157" t="s">
        <v>259</v>
      </c>
      <c r="AF346" s="242">
        <v>27.34</v>
      </c>
      <c r="AG346" s="157" t="s">
        <v>259</v>
      </c>
      <c r="AH346" s="242">
        <v>10.26</v>
      </c>
      <c r="AI346" s="157" t="s">
        <v>259</v>
      </c>
      <c r="AJ346" s="242">
        <v>7.38</v>
      </c>
      <c r="AK346" s="242" t="s">
        <v>259</v>
      </c>
      <c r="AL346" s="242">
        <v>7.57</v>
      </c>
      <c r="AM346" s="242" t="s">
        <v>259</v>
      </c>
      <c r="AN346" s="242">
        <v>7.62</v>
      </c>
      <c r="AO346" s="242" t="s">
        <v>259</v>
      </c>
      <c r="AP346" s="242">
        <v>10.98</v>
      </c>
      <c r="AQ346" s="242" t="s">
        <v>259</v>
      </c>
      <c r="AR346" s="242">
        <v>26.53</v>
      </c>
      <c r="AS346" s="242" t="s">
        <v>259</v>
      </c>
      <c r="AT346" s="242">
        <v>27.02</v>
      </c>
      <c r="AU346" s="242" t="s">
        <v>259</v>
      </c>
      <c r="AV346" s="242">
        <v>31.36</v>
      </c>
      <c r="AW346" s="157" t="s">
        <v>259</v>
      </c>
      <c r="AX346" s="157">
        <v>667.18999999999994</v>
      </c>
      <c r="AY346" s="243">
        <v>0.372</v>
      </c>
      <c r="AZ346" s="156" t="s">
        <v>253</v>
      </c>
      <c r="BA346" s="156" t="s">
        <v>254</v>
      </c>
      <c r="BB346" s="156">
        <v>0</v>
      </c>
      <c r="BC346" s="156" t="s">
        <v>1423</v>
      </c>
      <c r="BD346" s="3"/>
    </row>
    <row r="347" spans="1:56" ht="15.75" hidden="1" customHeight="1" outlineLevel="1">
      <c r="A347" s="58">
        <v>337</v>
      </c>
      <c r="B347" s="11">
        <v>129337</v>
      </c>
      <c r="C347" s="89" t="s">
        <v>298</v>
      </c>
      <c r="D347" s="157">
        <v>29</v>
      </c>
      <c r="E347" s="12" t="s">
        <v>191</v>
      </c>
      <c r="F347" s="11" t="s">
        <v>246</v>
      </c>
      <c r="G347" s="18" t="s">
        <v>247</v>
      </c>
      <c r="H347" s="11" t="s">
        <v>248</v>
      </c>
      <c r="I347" s="87" t="s">
        <v>249</v>
      </c>
      <c r="J347" s="19" t="s">
        <v>139</v>
      </c>
      <c r="K347" s="17" t="s">
        <v>140</v>
      </c>
      <c r="L347" s="260">
        <v>4</v>
      </c>
      <c r="M347" s="70" t="s">
        <v>250</v>
      </c>
      <c r="N347" s="70">
        <v>100</v>
      </c>
      <c r="O347" s="258">
        <v>8</v>
      </c>
      <c r="P347" s="70" t="s">
        <v>251</v>
      </c>
      <c r="Q347" s="70" t="s">
        <v>233</v>
      </c>
      <c r="R347" s="70" t="s">
        <v>240</v>
      </c>
      <c r="S347" s="70" t="s">
        <v>233</v>
      </c>
      <c r="T347" s="70" t="s">
        <v>233</v>
      </c>
      <c r="U347" s="70" t="s">
        <v>1427</v>
      </c>
      <c r="V347" s="70" t="s">
        <v>240</v>
      </c>
      <c r="W347" s="12"/>
      <c r="X347" s="242">
        <v>966.64127635866851</v>
      </c>
      <c r="Y347" s="242">
        <v>1045.1742217371727</v>
      </c>
      <c r="Z347" s="242">
        <v>165.29654389486294</v>
      </c>
      <c r="AA347" s="157" t="s">
        <v>252</v>
      </c>
      <c r="AB347" s="242">
        <v>124.75295621579953</v>
      </c>
      <c r="AC347" s="157" t="s">
        <v>252</v>
      </c>
      <c r="AD347" s="242">
        <v>151.01082546611818</v>
      </c>
      <c r="AE347" s="157" t="s">
        <v>252</v>
      </c>
      <c r="AF347" s="242">
        <v>95.103351929725463</v>
      </c>
      <c r="AG347" s="157" t="s">
        <v>252</v>
      </c>
      <c r="AH347" s="242">
        <v>32.73650031672377</v>
      </c>
      <c r="AI347" s="157" t="s">
        <v>252</v>
      </c>
      <c r="AJ347" s="242">
        <v>12.864206015462226</v>
      </c>
      <c r="AK347" s="242" t="s">
        <v>252</v>
      </c>
      <c r="AL347" s="242">
        <v>11.150689923604697</v>
      </c>
      <c r="AM347" s="242" t="s">
        <v>252</v>
      </c>
      <c r="AN347" s="242">
        <v>11.635223500141189</v>
      </c>
      <c r="AO347" s="242" t="s">
        <v>252</v>
      </c>
      <c r="AP347" s="242">
        <v>16.855992566531071</v>
      </c>
      <c r="AQ347" s="242" t="s">
        <v>252</v>
      </c>
      <c r="AR347" s="242">
        <v>100.95626082775567</v>
      </c>
      <c r="AS347" s="242" t="s">
        <v>252</v>
      </c>
      <c r="AT347" s="242">
        <v>95.979362965450392</v>
      </c>
      <c r="AU347" s="242" t="s">
        <v>252</v>
      </c>
      <c r="AV347" s="242">
        <v>134.33131863938516</v>
      </c>
      <c r="AW347" s="157" t="s">
        <v>252</v>
      </c>
      <c r="AX347" s="157">
        <v>2964.4887303574014</v>
      </c>
      <c r="AY347" s="240">
        <v>0.4960853704141831</v>
      </c>
      <c r="AZ347" s="156" t="s">
        <v>253</v>
      </c>
      <c r="BA347" s="156" t="s">
        <v>254</v>
      </c>
      <c r="BB347" s="156">
        <v>4</v>
      </c>
      <c r="BC347" s="157" t="s">
        <v>255</v>
      </c>
      <c r="BD347" s="3"/>
    </row>
    <row r="348" spans="1:56" ht="15.75" hidden="1" customHeight="1" outlineLevel="1">
      <c r="A348" s="58">
        <v>338</v>
      </c>
      <c r="B348" s="11">
        <v>129338</v>
      </c>
      <c r="C348" s="89" t="s">
        <v>298</v>
      </c>
      <c r="D348" s="157">
        <v>29</v>
      </c>
      <c r="E348" s="12" t="s">
        <v>231</v>
      </c>
      <c r="F348" s="11" t="s">
        <v>246</v>
      </c>
      <c r="G348" s="18" t="s">
        <v>247</v>
      </c>
      <c r="H348" s="11" t="s">
        <v>248</v>
      </c>
      <c r="I348" s="87" t="s">
        <v>249</v>
      </c>
      <c r="J348" s="19" t="s">
        <v>139</v>
      </c>
      <c r="K348" s="17" t="s">
        <v>140</v>
      </c>
      <c r="L348" s="257">
        <v>0</v>
      </c>
      <c r="M348" s="70" t="s">
        <v>250</v>
      </c>
      <c r="N348" s="70">
        <v>100</v>
      </c>
      <c r="O348" s="258">
        <v>8</v>
      </c>
      <c r="P348" s="70" t="s">
        <v>251</v>
      </c>
      <c r="Q348" s="70" t="s">
        <v>233</v>
      </c>
      <c r="R348" s="70" t="s">
        <v>240</v>
      </c>
      <c r="S348" s="70" t="s">
        <v>233</v>
      </c>
      <c r="T348" s="70" t="s">
        <v>233</v>
      </c>
      <c r="U348" s="70" t="s">
        <v>1427</v>
      </c>
      <c r="V348" s="70" t="s">
        <v>240</v>
      </c>
      <c r="W348" s="12"/>
      <c r="X348" s="242">
        <v>1258.8982368788586</v>
      </c>
      <c r="Y348" s="242">
        <v>1361.1750472032911</v>
      </c>
      <c r="Z348" s="242">
        <v>215.27275190988252</v>
      </c>
      <c r="AA348" s="157" t="s">
        <v>252</v>
      </c>
      <c r="AB348" s="242">
        <v>162.47110532782816</v>
      </c>
      <c r="AC348" s="157" t="s">
        <v>252</v>
      </c>
      <c r="AD348" s="242">
        <v>196.66785039952987</v>
      </c>
      <c r="AE348" s="157" t="s">
        <v>252</v>
      </c>
      <c r="AF348" s="242">
        <v>123.85715879690754</v>
      </c>
      <c r="AG348" s="157" t="s">
        <v>252</v>
      </c>
      <c r="AH348" s="242">
        <v>42.634143128620373</v>
      </c>
      <c r="AI348" s="157" t="s">
        <v>252</v>
      </c>
      <c r="AJ348" s="242">
        <v>16.753605156110478</v>
      </c>
      <c r="AK348" s="242" t="s">
        <v>252</v>
      </c>
      <c r="AL348" s="242">
        <v>14.522019934518312</v>
      </c>
      <c r="AM348" s="242" t="s">
        <v>252</v>
      </c>
      <c r="AN348" s="242">
        <v>15.153048714406733</v>
      </c>
      <c r="AO348" s="242" t="s">
        <v>252</v>
      </c>
      <c r="AP348" s="242">
        <v>21.952279342740919</v>
      </c>
      <c r="AQ348" s="242" t="s">
        <v>252</v>
      </c>
      <c r="AR348" s="242">
        <v>131.47965213807629</v>
      </c>
      <c r="AS348" s="242" t="s">
        <v>252</v>
      </c>
      <c r="AT348" s="242">
        <v>124.99802539895748</v>
      </c>
      <c r="AU348" s="242" t="s">
        <v>252</v>
      </c>
      <c r="AV348" s="242">
        <v>174.94541597661583</v>
      </c>
      <c r="AW348" s="157" t="s">
        <v>252</v>
      </c>
      <c r="AX348" s="157">
        <v>3860.7803403063449</v>
      </c>
      <c r="AY348" s="243">
        <v>0.64607317464072833</v>
      </c>
      <c r="AZ348" s="156" t="s">
        <v>253</v>
      </c>
      <c r="BA348" s="156" t="s">
        <v>254</v>
      </c>
      <c r="BB348" s="156">
        <v>0</v>
      </c>
      <c r="BC348" s="157" t="s">
        <v>255</v>
      </c>
      <c r="BD348" s="3"/>
    </row>
    <row r="349" spans="1:56" ht="15.75" hidden="1" customHeight="1" outlineLevel="1">
      <c r="A349" s="58">
        <v>339</v>
      </c>
      <c r="B349" s="11">
        <v>129339</v>
      </c>
      <c r="C349" s="89" t="s">
        <v>298</v>
      </c>
      <c r="D349" s="157">
        <v>29</v>
      </c>
      <c r="E349" s="12" t="s">
        <v>261</v>
      </c>
      <c r="F349" s="11" t="s">
        <v>246</v>
      </c>
      <c r="G349" s="18" t="s">
        <v>247</v>
      </c>
      <c r="H349" s="11" t="s">
        <v>248</v>
      </c>
      <c r="I349" s="87" t="s">
        <v>249</v>
      </c>
      <c r="J349" s="19" t="s">
        <v>139</v>
      </c>
      <c r="K349" s="17" t="s">
        <v>140</v>
      </c>
      <c r="L349" s="257">
        <v>0</v>
      </c>
      <c r="M349" s="70" t="s">
        <v>250</v>
      </c>
      <c r="N349" s="70">
        <v>80</v>
      </c>
      <c r="O349" s="258">
        <v>8</v>
      </c>
      <c r="P349" s="70" t="s">
        <v>251</v>
      </c>
      <c r="Q349" s="70" t="s">
        <v>233</v>
      </c>
      <c r="R349" s="70" t="s">
        <v>240</v>
      </c>
      <c r="S349" s="70" t="s">
        <v>233</v>
      </c>
      <c r="T349" s="70" t="s">
        <v>233</v>
      </c>
      <c r="U349" s="70" t="s">
        <v>1427</v>
      </c>
      <c r="V349" s="70" t="s">
        <v>240</v>
      </c>
      <c r="W349" s="12"/>
      <c r="X349" s="242">
        <v>786.90048676247227</v>
      </c>
      <c r="Y349" s="242">
        <v>850.83073105953656</v>
      </c>
      <c r="Z349" s="242">
        <v>134.56070419525446</v>
      </c>
      <c r="AA349" s="157" t="s">
        <v>252</v>
      </c>
      <c r="AB349" s="242">
        <v>101.55593845637223</v>
      </c>
      <c r="AC349" s="157" t="s">
        <v>252</v>
      </c>
      <c r="AD349" s="242">
        <v>122.93132413435193</v>
      </c>
      <c r="AE349" s="157" t="s">
        <v>252</v>
      </c>
      <c r="AF349" s="242">
        <v>77.419489273366949</v>
      </c>
      <c r="AG349" s="157" t="s">
        <v>252</v>
      </c>
      <c r="AH349" s="242">
        <v>26.649356554655835</v>
      </c>
      <c r="AI349" s="157" t="s">
        <v>252</v>
      </c>
      <c r="AJ349" s="242">
        <v>10.472188828427294</v>
      </c>
      <c r="AK349" s="242" t="s">
        <v>252</v>
      </c>
      <c r="AL349" s="242">
        <v>9.077290141876988</v>
      </c>
      <c r="AM349" s="242" t="s">
        <v>252</v>
      </c>
      <c r="AN349" s="242">
        <v>9.4717277854520745</v>
      </c>
      <c r="AO349" s="242" t="s">
        <v>252</v>
      </c>
      <c r="AP349" s="242">
        <v>13.721728090728005</v>
      </c>
      <c r="AQ349" s="242" t="s">
        <v>252</v>
      </c>
      <c r="AR349" s="242">
        <v>82.184087034168002</v>
      </c>
      <c r="AS349" s="242" t="s">
        <v>252</v>
      </c>
      <c r="AT349" s="242">
        <v>78.132611635592113</v>
      </c>
      <c r="AU349" s="242" t="s">
        <v>252</v>
      </c>
      <c r="AV349" s="242">
        <v>109.35326538399895</v>
      </c>
      <c r="AW349" s="157" t="s">
        <v>252</v>
      </c>
      <c r="AX349" s="157">
        <v>2413.260929336253</v>
      </c>
      <c r="AY349" s="243">
        <v>0.40384145494508844</v>
      </c>
      <c r="AZ349" s="156" t="s">
        <v>253</v>
      </c>
      <c r="BA349" s="156" t="s">
        <v>254</v>
      </c>
      <c r="BB349" s="156">
        <v>0</v>
      </c>
      <c r="BC349" s="157" t="s">
        <v>255</v>
      </c>
      <c r="BD349" s="3"/>
    </row>
    <row r="350" spans="1:56" ht="15.75" hidden="1" customHeight="1" outlineLevel="1">
      <c r="A350" s="58">
        <v>340</v>
      </c>
      <c r="B350" s="11">
        <v>129340</v>
      </c>
      <c r="C350" s="89" t="s">
        <v>298</v>
      </c>
      <c r="D350" s="157">
        <v>31</v>
      </c>
      <c r="E350" s="12" t="s">
        <v>191</v>
      </c>
      <c r="F350" s="11" t="s">
        <v>246</v>
      </c>
      <c r="G350" s="18" t="s">
        <v>247</v>
      </c>
      <c r="H350" s="11" t="s">
        <v>248</v>
      </c>
      <c r="I350" s="87" t="s">
        <v>249</v>
      </c>
      <c r="J350" s="19" t="s">
        <v>139</v>
      </c>
      <c r="K350" s="17" t="s">
        <v>140</v>
      </c>
      <c r="L350" s="260">
        <v>1</v>
      </c>
      <c r="M350" s="70" t="s">
        <v>250</v>
      </c>
      <c r="N350" s="70">
        <v>80</v>
      </c>
      <c r="O350" s="258">
        <v>8</v>
      </c>
      <c r="P350" s="70" t="s">
        <v>251</v>
      </c>
      <c r="Q350" s="70" t="s">
        <v>233</v>
      </c>
      <c r="R350" s="70" t="s">
        <v>240</v>
      </c>
      <c r="S350" s="70" t="s">
        <v>233</v>
      </c>
      <c r="T350" s="70" t="s">
        <v>233</v>
      </c>
      <c r="U350" s="70" t="s">
        <v>1427</v>
      </c>
      <c r="V350" s="70" t="s">
        <v>240</v>
      </c>
      <c r="W350" s="12"/>
      <c r="X350" s="242">
        <v>1253.43</v>
      </c>
      <c r="Y350" s="242">
        <v>1200.7299999999998</v>
      </c>
      <c r="Z350" s="242">
        <v>201.68</v>
      </c>
      <c r="AA350" s="157" t="s">
        <v>252</v>
      </c>
      <c r="AB350" s="242">
        <v>158.16999999999999</v>
      </c>
      <c r="AC350" s="157" t="s">
        <v>252</v>
      </c>
      <c r="AD350" s="242">
        <v>187.19</v>
      </c>
      <c r="AE350" s="157" t="s">
        <v>252</v>
      </c>
      <c r="AF350" s="242">
        <v>112.04</v>
      </c>
      <c r="AG350" s="157" t="s">
        <v>252</v>
      </c>
      <c r="AH350" s="242">
        <v>56.37</v>
      </c>
      <c r="AI350" s="157" t="s">
        <v>252</v>
      </c>
      <c r="AJ350" s="242">
        <v>24.1</v>
      </c>
      <c r="AK350" s="242" t="s">
        <v>252</v>
      </c>
      <c r="AL350" s="242">
        <v>22.04</v>
      </c>
      <c r="AM350" s="242" t="s">
        <v>252</v>
      </c>
      <c r="AN350" s="242">
        <v>19.62</v>
      </c>
      <c r="AO350" s="242" t="s">
        <v>252</v>
      </c>
      <c r="AP350" s="242">
        <v>25.13</v>
      </c>
      <c r="AQ350" s="242" t="s">
        <v>252</v>
      </c>
      <c r="AR350" s="242">
        <v>30.12</v>
      </c>
      <c r="AS350" s="242" t="s">
        <v>252</v>
      </c>
      <c r="AT350" s="242">
        <v>173.13</v>
      </c>
      <c r="AU350" s="242" t="s">
        <v>259</v>
      </c>
      <c r="AV350" s="242">
        <v>144.28215</v>
      </c>
      <c r="AW350" s="157" t="s">
        <v>259</v>
      </c>
      <c r="AX350" s="157">
        <v>3608.0321499999995</v>
      </c>
      <c r="AY350" s="240">
        <v>0.52100000000000002</v>
      </c>
      <c r="AZ350" s="156" t="s">
        <v>253</v>
      </c>
      <c r="BA350" s="156" t="s">
        <v>254</v>
      </c>
      <c r="BB350" s="156">
        <v>1</v>
      </c>
      <c r="BC350" s="157" t="s">
        <v>255</v>
      </c>
      <c r="BD350" s="3"/>
    </row>
    <row r="351" spans="1:56" ht="15.75" hidden="1" customHeight="1" outlineLevel="1">
      <c r="A351" s="58">
        <v>341</v>
      </c>
      <c r="B351" s="11">
        <v>129341</v>
      </c>
      <c r="C351" s="89" t="s">
        <v>298</v>
      </c>
      <c r="D351" s="157">
        <v>33</v>
      </c>
      <c r="E351" s="12" t="s">
        <v>191</v>
      </c>
      <c r="F351" s="11" t="s">
        <v>246</v>
      </c>
      <c r="G351" s="18" t="s">
        <v>247</v>
      </c>
      <c r="H351" s="11" t="s">
        <v>248</v>
      </c>
      <c r="I351" s="87" t="s">
        <v>249</v>
      </c>
      <c r="J351" s="19" t="s">
        <v>139</v>
      </c>
      <c r="K351" s="17" t="s">
        <v>140</v>
      </c>
      <c r="L351" s="260">
        <v>1</v>
      </c>
      <c r="M351" s="70" t="s">
        <v>250</v>
      </c>
      <c r="N351" s="70">
        <v>100</v>
      </c>
      <c r="O351" s="258">
        <v>8</v>
      </c>
      <c r="P351" s="70" t="s">
        <v>251</v>
      </c>
      <c r="Q351" s="70" t="s">
        <v>233</v>
      </c>
      <c r="R351" s="70" t="s">
        <v>240</v>
      </c>
      <c r="S351" s="70" t="s">
        <v>233</v>
      </c>
      <c r="T351" s="70" t="s">
        <v>233</v>
      </c>
      <c r="U351" s="70" t="s">
        <v>1427</v>
      </c>
      <c r="V351" s="70" t="s">
        <v>240</v>
      </c>
      <c r="W351" s="12"/>
      <c r="X351" s="242">
        <v>799.01485212100727</v>
      </c>
      <c r="Y351" s="242">
        <v>861.35493324319748</v>
      </c>
      <c r="Z351" s="242">
        <v>107.49205205340544</v>
      </c>
      <c r="AA351" s="157" t="s">
        <v>252</v>
      </c>
      <c r="AB351" s="242">
        <v>79.760463072502958</v>
      </c>
      <c r="AC351" s="157" t="s">
        <v>259</v>
      </c>
      <c r="AD351" s="242">
        <v>79.420350853473039</v>
      </c>
      <c r="AE351" s="157" t="s">
        <v>259</v>
      </c>
      <c r="AF351" s="242">
        <v>79.478418793307426</v>
      </c>
      <c r="AG351" s="157" t="s">
        <v>259</v>
      </c>
      <c r="AH351" s="242">
        <v>79.727281392597604</v>
      </c>
      <c r="AI351" s="157" t="s">
        <v>259</v>
      </c>
      <c r="AJ351" s="242">
        <v>26.105686665539967</v>
      </c>
      <c r="AK351" s="242" t="s">
        <v>259</v>
      </c>
      <c r="AL351" s="242">
        <v>26.055914145681932</v>
      </c>
      <c r="AM351" s="242" t="s">
        <v>259</v>
      </c>
      <c r="AN351" s="242">
        <v>5.5330451242183534</v>
      </c>
      <c r="AO351" s="242" t="s">
        <v>259</v>
      </c>
      <c r="AP351" s="242">
        <v>21.965359601149231</v>
      </c>
      <c r="AQ351" s="242" t="s">
        <v>259</v>
      </c>
      <c r="AR351" s="242">
        <v>102.44014128781477</v>
      </c>
      <c r="AS351" s="242" t="s">
        <v>259</v>
      </c>
      <c r="AT351" s="242">
        <v>73.686415543687687</v>
      </c>
      <c r="AU351" s="242" t="s">
        <v>259</v>
      </c>
      <c r="AV351" s="242">
        <v>74.816392766604693</v>
      </c>
      <c r="AW351" s="157" t="s">
        <v>259</v>
      </c>
      <c r="AX351" s="157">
        <v>2416.8513066641881</v>
      </c>
      <c r="AY351" s="240">
        <v>0.39569153287138753</v>
      </c>
      <c r="AZ351" s="156" t="s">
        <v>253</v>
      </c>
      <c r="BA351" s="156" t="s">
        <v>254</v>
      </c>
      <c r="BB351" s="156">
        <v>1</v>
      </c>
      <c r="BC351" s="157" t="s">
        <v>255</v>
      </c>
      <c r="BD351" s="3"/>
    </row>
    <row r="352" spans="1:56" ht="15.75" hidden="1" customHeight="1" outlineLevel="1">
      <c r="A352" s="58">
        <v>342</v>
      </c>
      <c r="B352" s="11">
        <v>129342</v>
      </c>
      <c r="C352" s="89" t="s">
        <v>298</v>
      </c>
      <c r="D352" s="157">
        <v>33</v>
      </c>
      <c r="E352" s="12" t="s">
        <v>231</v>
      </c>
      <c r="F352" s="11" t="s">
        <v>246</v>
      </c>
      <c r="G352" s="18" t="s">
        <v>247</v>
      </c>
      <c r="H352" s="11" t="s">
        <v>248</v>
      </c>
      <c r="I352" s="87" t="s">
        <v>249</v>
      </c>
      <c r="J352" s="19" t="s">
        <v>139</v>
      </c>
      <c r="K352" s="17" t="s">
        <v>140</v>
      </c>
      <c r="L352" s="257">
        <v>0</v>
      </c>
      <c r="M352" s="70" t="s">
        <v>250</v>
      </c>
      <c r="N352" s="70">
        <v>80</v>
      </c>
      <c r="O352" s="258">
        <v>8</v>
      </c>
      <c r="P352" s="70" t="s">
        <v>251</v>
      </c>
      <c r="Q352" s="70" t="s">
        <v>233</v>
      </c>
      <c r="R352" s="70" t="s">
        <v>240</v>
      </c>
      <c r="S352" s="70" t="s">
        <v>233</v>
      </c>
      <c r="T352" s="70" t="s">
        <v>233</v>
      </c>
      <c r="U352" s="70" t="s">
        <v>1427</v>
      </c>
      <c r="V352" s="70" t="s">
        <v>240</v>
      </c>
      <c r="W352" s="12"/>
      <c r="X352" s="242">
        <v>164.18514787899275</v>
      </c>
      <c r="Y352" s="242">
        <v>176.99506675680243</v>
      </c>
      <c r="Z352" s="242">
        <v>22.087947946594561</v>
      </c>
      <c r="AA352" s="157" t="s">
        <v>252</v>
      </c>
      <c r="AB352" s="242">
        <v>16.389536927497044</v>
      </c>
      <c r="AC352" s="157" t="s">
        <v>259</v>
      </c>
      <c r="AD352" s="242">
        <v>16.319649146526956</v>
      </c>
      <c r="AE352" s="157" t="s">
        <v>259</v>
      </c>
      <c r="AF352" s="242">
        <v>16.331581206692583</v>
      </c>
      <c r="AG352" s="157" t="s">
        <v>259</v>
      </c>
      <c r="AH352" s="242">
        <v>16.382718607402403</v>
      </c>
      <c r="AI352" s="157" t="s">
        <v>259</v>
      </c>
      <c r="AJ352" s="242">
        <v>5.3643133344600304</v>
      </c>
      <c r="AK352" s="242" t="s">
        <v>259</v>
      </c>
      <c r="AL352" s="242">
        <v>5.3540858543180674</v>
      </c>
      <c r="AM352" s="242" t="s">
        <v>259</v>
      </c>
      <c r="AN352" s="242">
        <v>1.1369548757816461</v>
      </c>
      <c r="AO352" s="242" t="s">
        <v>259</v>
      </c>
      <c r="AP352" s="242">
        <v>4.5135403988507692</v>
      </c>
      <c r="AQ352" s="242" t="s">
        <v>259</v>
      </c>
      <c r="AR352" s="242">
        <v>21.04985871218523</v>
      </c>
      <c r="AS352" s="242" t="s">
        <v>259</v>
      </c>
      <c r="AT352" s="242">
        <v>15.141414456312322</v>
      </c>
      <c r="AU352" s="242" t="s">
        <v>259</v>
      </c>
      <c r="AV352" s="242">
        <v>15.373607233395303</v>
      </c>
      <c r="AW352" s="157" t="s">
        <v>259</v>
      </c>
      <c r="AX352" s="157">
        <v>496.62542333581212</v>
      </c>
      <c r="AY352" s="243">
        <v>8.1308467128612477E-2</v>
      </c>
      <c r="AZ352" s="156" t="s">
        <v>253</v>
      </c>
      <c r="BA352" s="156" t="s">
        <v>254</v>
      </c>
      <c r="BB352" s="156">
        <v>0</v>
      </c>
      <c r="BC352" s="157" t="s">
        <v>255</v>
      </c>
      <c r="BD352" s="3"/>
    </row>
    <row r="353" spans="1:56" ht="15.75" hidden="1" customHeight="1" outlineLevel="1">
      <c r="A353" s="58">
        <v>343</v>
      </c>
      <c r="B353" s="11">
        <v>129343</v>
      </c>
      <c r="C353" s="89" t="s">
        <v>298</v>
      </c>
      <c r="D353" s="157" t="s">
        <v>299</v>
      </c>
      <c r="E353" s="12" t="s">
        <v>191</v>
      </c>
      <c r="F353" s="11" t="s">
        <v>246</v>
      </c>
      <c r="G353" s="18" t="s">
        <v>247</v>
      </c>
      <c r="H353" s="11" t="s">
        <v>248</v>
      </c>
      <c r="I353" s="87" t="s">
        <v>249</v>
      </c>
      <c r="J353" s="19" t="s">
        <v>139</v>
      </c>
      <c r="K353" s="17" t="s">
        <v>140</v>
      </c>
      <c r="L353" s="260">
        <v>1</v>
      </c>
      <c r="M353" s="70" t="s">
        <v>250</v>
      </c>
      <c r="N353" s="70">
        <v>80</v>
      </c>
      <c r="O353" s="258">
        <v>8</v>
      </c>
      <c r="P353" s="70" t="s">
        <v>251</v>
      </c>
      <c r="Q353" s="70" t="s">
        <v>240</v>
      </c>
      <c r="R353" s="70" t="s">
        <v>240</v>
      </c>
      <c r="S353" s="70" t="s">
        <v>233</v>
      </c>
      <c r="T353" s="70" t="s">
        <v>233</v>
      </c>
      <c r="U353" s="70" t="s">
        <v>1427</v>
      </c>
      <c r="V353" s="70" t="s">
        <v>240</v>
      </c>
      <c r="W353" s="12"/>
      <c r="X353" s="242">
        <v>894.83000000000015</v>
      </c>
      <c r="Y353" s="242">
        <v>822.06</v>
      </c>
      <c r="Z353" s="242">
        <v>212.48</v>
      </c>
      <c r="AA353" s="157" t="s">
        <v>252</v>
      </c>
      <c r="AB353" s="242">
        <v>146.32</v>
      </c>
      <c r="AC353" s="157" t="s">
        <v>252</v>
      </c>
      <c r="AD353" s="242">
        <v>188.43</v>
      </c>
      <c r="AE353" s="157" t="s">
        <v>252</v>
      </c>
      <c r="AF353" s="242">
        <v>100.2</v>
      </c>
      <c r="AG353" s="157" t="s">
        <v>252</v>
      </c>
      <c r="AH353" s="242">
        <v>23.62</v>
      </c>
      <c r="AI353" s="157" t="s">
        <v>252</v>
      </c>
      <c r="AJ353" s="242">
        <v>0</v>
      </c>
      <c r="AK353" s="242" t="s">
        <v>252</v>
      </c>
      <c r="AL353" s="242">
        <v>5</v>
      </c>
      <c r="AM353" s="242" t="s">
        <v>252</v>
      </c>
      <c r="AN353" s="242">
        <v>0</v>
      </c>
      <c r="AO353" s="242" t="s">
        <v>252</v>
      </c>
      <c r="AP353" s="242">
        <v>0</v>
      </c>
      <c r="AQ353" s="242" t="s">
        <v>252</v>
      </c>
      <c r="AR353" s="242">
        <v>90.78</v>
      </c>
      <c r="AS353" s="242" t="s">
        <v>252</v>
      </c>
      <c r="AT353" s="242">
        <v>116.87</v>
      </c>
      <c r="AU353" s="242" t="s">
        <v>252</v>
      </c>
      <c r="AV353" s="242">
        <v>120.6</v>
      </c>
      <c r="AW353" s="157" t="s">
        <v>252</v>
      </c>
      <c r="AX353" s="157">
        <v>2721.1899999999996</v>
      </c>
      <c r="AY353" s="240">
        <v>0.34</v>
      </c>
      <c r="AZ353" s="156" t="s">
        <v>253</v>
      </c>
      <c r="BA353" s="156" t="s">
        <v>254</v>
      </c>
      <c r="BB353" s="156">
        <v>1</v>
      </c>
      <c r="BC353" s="157" t="s">
        <v>255</v>
      </c>
      <c r="BD353" s="3"/>
    </row>
    <row r="354" spans="1:56" ht="15.75" hidden="1" customHeight="1" outlineLevel="1">
      <c r="A354" s="58">
        <v>344</v>
      </c>
      <c r="B354" s="11">
        <v>129344</v>
      </c>
      <c r="C354" s="89" t="s">
        <v>298</v>
      </c>
      <c r="D354" s="157">
        <v>37</v>
      </c>
      <c r="E354" s="12" t="s">
        <v>191</v>
      </c>
      <c r="F354" s="11" t="s">
        <v>246</v>
      </c>
      <c r="G354" s="18" t="s">
        <v>247</v>
      </c>
      <c r="H354" s="11" t="s">
        <v>248</v>
      </c>
      <c r="I354" s="87" t="s">
        <v>249</v>
      </c>
      <c r="J354" s="19" t="s">
        <v>139</v>
      </c>
      <c r="K354" s="17" t="s">
        <v>140</v>
      </c>
      <c r="L354" s="260">
        <v>1</v>
      </c>
      <c r="M354" s="70" t="s">
        <v>250</v>
      </c>
      <c r="N354" s="70">
        <v>80</v>
      </c>
      <c r="O354" s="258">
        <v>8</v>
      </c>
      <c r="P354" s="70" t="s">
        <v>251</v>
      </c>
      <c r="Q354" s="70" t="s">
        <v>233</v>
      </c>
      <c r="R354" s="70" t="s">
        <v>240</v>
      </c>
      <c r="S354" s="70" t="s">
        <v>233</v>
      </c>
      <c r="T354" s="70" t="s">
        <v>233</v>
      </c>
      <c r="U354" s="70" t="s">
        <v>1427</v>
      </c>
      <c r="V354" s="70" t="s">
        <v>240</v>
      </c>
      <c r="W354" s="12"/>
      <c r="X354" s="242">
        <v>908.7110965334864</v>
      </c>
      <c r="Y354" s="242">
        <v>859.15232057563389</v>
      </c>
      <c r="Z354" s="242">
        <v>111.65978659724072</v>
      </c>
      <c r="AA354" s="157" t="s">
        <v>252</v>
      </c>
      <c r="AB354" s="242">
        <v>97.163798405116751</v>
      </c>
      <c r="AC354" s="157" t="s">
        <v>252</v>
      </c>
      <c r="AD354" s="242">
        <v>88.190091429039995</v>
      </c>
      <c r="AE354" s="157" t="s">
        <v>252</v>
      </c>
      <c r="AF354" s="242">
        <v>99.844816629425395</v>
      </c>
      <c r="AG354" s="157" t="s">
        <v>252</v>
      </c>
      <c r="AH354" s="242">
        <v>103.15448740288227</v>
      </c>
      <c r="AI354" s="157" t="s">
        <v>259</v>
      </c>
      <c r="AJ354" s="242">
        <v>22.362342192656975</v>
      </c>
      <c r="AK354" s="242" t="s">
        <v>259</v>
      </c>
      <c r="AL354" s="242">
        <v>22.362342192656975</v>
      </c>
      <c r="AM354" s="242" t="s">
        <v>259</v>
      </c>
      <c r="AN354" s="242">
        <v>22.362342192656975</v>
      </c>
      <c r="AO354" s="242" t="s">
        <v>259</v>
      </c>
      <c r="AP354" s="242">
        <v>21.64959195690945</v>
      </c>
      <c r="AQ354" s="242" t="s">
        <v>259</v>
      </c>
      <c r="AR354" s="242">
        <v>84.972869559869622</v>
      </c>
      <c r="AS354" s="242" t="s">
        <v>259</v>
      </c>
      <c r="AT354" s="242">
        <v>97.494241605338146</v>
      </c>
      <c r="AU354" s="242" t="s">
        <v>259</v>
      </c>
      <c r="AV354" s="242">
        <v>95.70310571738996</v>
      </c>
      <c r="AW354" s="157" t="s">
        <v>259</v>
      </c>
      <c r="AX354" s="157">
        <v>2634.7832329903026</v>
      </c>
      <c r="AY354" s="240">
        <v>0.41108946106065886</v>
      </c>
      <c r="AZ354" s="156" t="s">
        <v>253</v>
      </c>
      <c r="BA354" s="156" t="s">
        <v>254</v>
      </c>
      <c r="BB354" s="156">
        <v>1</v>
      </c>
      <c r="BC354" s="157" t="s">
        <v>255</v>
      </c>
      <c r="BD354" s="3"/>
    </row>
    <row r="355" spans="1:56" ht="15.75" hidden="1" customHeight="1" outlineLevel="1">
      <c r="A355" s="58">
        <v>345</v>
      </c>
      <c r="B355" s="11">
        <v>129345</v>
      </c>
      <c r="C355" s="89" t="s">
        <v>298</v>
      </c>
      <c r="D355" s="157">
        <v>37</v>
      </c>
      <c r="E355" s="12" t="s">
        <v>231</v>
      </c>
      <c r="F355" s="11" t="s">
        <v>246</v>
      </c>
      <c r="G355" s="18" t="s">
        <v>247</v>
      </c>
      <c r="H355" s="11" t="s">
        <v>248</v>
      </c>
      <c r="I355" s="87" t="s">
        <v>249</v>
      </c>
      <c r="J355" s="19" t="s">
        <v>139</v>
      </c>
      <c r="K355" s="17" t="s">
        <v>140</v>
      </c>
      <c r="L355" s="257">
        <v>0</v>
      </c>
      <c r="M355" s="70" t="s">
        <v>250</v>
      </c>
      <c r="N355" s="70">
        <v>100</v>
      </c>
      <c r="O355" s="258">
        <v>8</v>
      </c>
      <c r="P355" s="70" t="s">
        <v>251</v>
      </c>
      <c r="Q355" s="70" t="s">
        <v>233</v>
      </c>
      <c r="R355" s="70" t="s">
        <v>240</v>
      </c>
      <c r="S355" s="70" t="s">
        <v>233</v>
      </c>
      <c r="T355" s="70" t="s">
        <v>233</v>
      </c>
      <c r="U355" s="70" t="s">
        <v>1427</v>
      </c>
      <c r="V355" s="70" t="s">
        <v>240</v>
      </c>
      <c r="W355" s="12"/>
      <c r="X355" s="242">
        <v>565.68890346651358</v>
      </c>
      <c r="Y355" s="242">
        <v>534.837679424366</v>
      </c>
      <c r="Z355" s="242">
        <v>69.510213402759263</v>
      </c>
      <c r="AA355" s="157" t="s">
        <v>252</v>
      </c>
      <c r="AB355" s="242">
        <v>60.486201594883248</v>
      </c>
      <c r="AC355" s="157" t="s">
        <v>252</v>
      </c>
      <c r="AD355" s="242">
        <v>54.899908570960001</v>
      </c>
      <c r="AE355" s="157" t="s">
        <v>252</v>
      </c>
      <c r="AF355" s="242">
        <v>62.155183370574605</v>
      </c>
      <c r="AG355" s="157" t="s">
        <v>252</v>
      </c>
      <c r="AH355" s="242">
        <v>64.215512597117723</v>
      </c>
      <c r="AI355" s="157" t="s">
        <v>259</v>
      </c>
      <c r="AJ355" s="242">
        <v>13.92095780734302</v>
      </c>
      <c r="AK355" s="242" t="s">
        <v>259</v>
      </c>
      <c r="AL355" s="242">
        <v>13.92095780734302</v>
      </c>
      <c r="AM355" s="242" t="s">
        <v>259</v>
      </c>
      <c r="AN355" s="242">
        <v>13.92095780734302</v>
      </c>
      <c r="AO355" s="242" t="s">
        <v>259</v>
      </c>
      <c r="AP355" s="242">
        <v>13.477258043090545</v>
      </c>
      <c r="AQ355" s="242" t="s">
        <v>259</v>
      </c>
      <c r="AR355" s="242">
        <v>52.897130440130375</v>
      </c>
      <c r="AS355" s="242" t="s">
        <v>259</v>
      </c>
      <c r="AT355" s="242">
        <v>60.691908394661844</v>
      </c>
      <c r="AU355" s="242" t="s">
        <v>259</v>
      </c>
      <c r="AV355" s="242">
        <v>59.576894282610027</v>
      </c>
      <c r="AW355" s="157" t="s">
        <v>259</v>
      </c>
      <c r="AX355" s="157">
        <v>1640.1996670096964</v>
      </c>
      <c r="AY355" s="243">
        <v>0.25591053893934113</v>
      </c>
      <c r="AZ355" s="156" t="s">
        <v>253</v>
      </c>
      <c r="BA355" s="156" t="s">
        <v>254</v>
      </c>
      <c r="BB355" s="156">
        <v>0</v>
      </c>
      <c r="BC355" s="157" t="s">
        <v>255</v>
      </c>
      <c r="BD355" s="3"/>
    </row>
    <row r="356" spans="1:56" ht="15.75" hidden="1" customHeight="1" outlineLevel="1">
      <c r="A356" s="58">
        <v>346</v>
      </c>
      <c r="B356" s="11">
        <v>129346</v>
      </c>
      <c r="C356" s="89" t="s">
        <v>298</v>
      </c>
      <c r="D356" s="157">
        <v>39</v>
      </c>
      <c r="E356" s="12" t="s">
        <v>191</v>
      </c>
      <c r="F356" s="11" t="s">
        <v>246</v>
      </c>
      <c r="G356" s="18" t="s">
        <v>247</v>
      </c>
      <c r="H356" s="11" t="s">
        <v>248</v>
      </c>
      <c r="I356" s="87" t="s">
        <v>249</v>
      </c>
      <c r="J356" s="19" t="s">
        <v>139</v>
      </c>
      <c r="K356" s="17" t="s">
        <v>140</v>
      </c>
      <c r="L356" s="257">
        <v>0</v>
      </c>
      <c r="M356" s="70" t="s">
        <v>250</v>
      </c>
      <c r="N356" s="70">
        <v>100</v>
      </c>
      <c r="O356" s="258">
        <v>8</v>
      </c>
      <c r="P356" s="70" t="s">
        <v>251</v>
      </c>
      <c r="Q356" s="70" t="s">
        <v>233</v>
      </c>
      <c r="R356" s="70" t="s">
        <v>240</v>
      </c>
      <c r="S356" s="70" t="s">
        <v>233</v>
      </c>
      <c r="T356" s="70" t="s">
        <v>233</v>
      </c>
      <c r="U356" s="70" t="s">
        <v>1427</v>
      </c>
      <c r="V356" s="70" t="s">
        <v>240</v>
      </c>
      <c r="W356" s="12"/>
      <c r="X356" s="242">
        <v>662.71</v>
      </c>
      <c r="Y356" s="242">
        <v>577.31999999999994</v>
      </c>
      <c r="Z356" s="242">
        <v>113.14</v>
      </c>
      <c r="AA356" s="157" t="s">
        <v>252</v>
      </c>
      <c r="AB356" s="242">
        <v>69.94</v>
      </c>
      <c r="AC356" s="157" t="s">
        <v>252</v>
      </c>
      <c r="AD356" s="242">
        <v>50.55</v>
      </c>
      <c r="AE356" s="157" t="s">
        <v>252</v>
      </c>
      <c r="AF356" s="242">
        <v>69.599999999999994</v>
      </c>
      <c r="AG356" s="157" t="s">
        <v>252</v>
      </c>
      <c r="AH356" s="242">
        <v>44.87</v>
      </c>
      <c r="AI356" s="157" t="s">
        <v>252</v>
      </c>
      <c r="AJ356" s="242">
        <v>7.1</v>
      </c>
      <c r="AK356" s="242" t="s">
        <v>252</v>
      </c>
      <c r="AL356" s="242">
        <v>7.02</v>
      </c>
      <c r="AM356" s="242" t="s">
        <v>252</v>
      </c>
      <c r="AN356" s="242">
        <v>6.37</v>
      </c>
      <c r="AO356" s="242" t="s">
        <v>252</v>
      </c>
      <c r="AP356" s="242">
        <v>9.5299999999999994</v>
      </c>
      <c r="AQ356" s="242" t="s">
        <v>252</v>
      </c>
      <c r="AR356" s="242">
        <v>12.22</v>
      </c>
      <c r="AS356" s="242" t="s">
        <v>252</v>
      </c>
      <c r="AT356" s="242">
        <v>78.89</v>
      </c>
      <c r="AU356" s="242" t="s">
        <v>252</v>
      </c>
      <c r="AV356" s="242">
        <v>62.94</v>
      </c>
      <c r="AW356" s="157" t="s">
        <v>252</v>
      </c>
      <c r="AX356" s="157">
        <v>1772.1999999999998</v>
      </c>
      <c r="AY356" s="240">
        <v>0.28000000000000003</v>
      </c>
      <c r="AZ356" s="156" t="s">
        <v>253</v>
      </c>
      <c r="BA356" s="156" t="s">
        <v>254</v>
      </c>
      <c r="BB356" s="156">
        <v>0</v>
      </c>
      <c r="BC356" s="156" t="s">
        <v>1423</v>
      </c>
      <c r="BD356" s="3"/>
    </row>
    <row r="357" spans="1:56" ht="15.75" hidden="1" customHeight="1" outlineLevel="1">
      <c r="A357" s="58">
        <v>347</v>
      </c>
      <c r="B357" s="11">
        <v>129347</v>
      </c>
      <c r="C357" s="89" t="s">
        <v>298</v>
      </c>
      <c r="D357" s="157">
        <v>41</v>
      </c>
      <c r="E357" s="12" t="s">
        <v>191</v>
      </c>
      <c r="F357" s="11" t="s">
        <v>246</v>
      </c>
      <c r="G357" s="18" t="s">
        <v>247</v>
      </c>
      <c r="H357" s="11" t="s">
        <v>248</v>
      </c>
      <c r="I357" s="87" t="s">
        <v>249</v>
      </c>
      <c r="J357" s="19" t="s">
        <v>139</v>
      </c>
      <c r="K357" s="17" t="s">
        <v>140</v>
      </c>
      <c r="L357" s="260">
        <v>1</v>
      </c>
      <c r="M357" s="70" t="s">
        <v>250</v>
      </c>
      <c r="N357" s="70">
        <v>80</v>
      </c>
      <c r="O357" s="258">
        <v>8</v>
      </c>
      <c r="P357" s="70" t="s">
        <v>251</v>
      </c>
      <c r="Q357" s="70" t="s">
        <v>233</v>
      </c>
      <c r="R357" s="70" t="s">
        <v>240</v>
      </c>
      <c r="S357" s="70" t="s">
        <v>233</v>
      </c>
      <c r="T357" s="70" t="s">
        <v>233</v>
      </c>
      <c r="U357" s="70" t="s">
        <v>1427</v>
      </c>
      <c r="V357" s="70" t="s">
        <v>240</v>
      </c>
      <c r="W357" s="12"/>
      <c r="X357" s="242">
        <v>429.90000000000003</v>
      </c>
      <c r="Y357" s="242">
        <v>408.19999999999993</v>
      </c>
      <c r="Z357" s="242">
        <v>78.709999999999994</v>
      </c>
      <c r="AA357" s="157" t="s">
        <v>252</v>
      </c>
      <c r="AB357" s="242">
        <v>48.47</v>
      </c>
      <c r="AC357" s="157" t="s">
        <v>252</v>
      </c>
      <c r="AD357" s="242">
        <v>35.17</v>
      </c>
      <c r="AE357" s="157" t="s">
        <v>252</v>
      </c>
      <c r="AF357" s="242">
        <v>48.32</v>
      </c>
      <c r="AG357" s="157" t="s">
        <v>252</v>
      </c>
      <c r="AH357" s="242">
        <v>68.900000000000006</v>
      </c>
      <c r="AI357" s="157" t="s">
        <v>252</v>
      </c>
      <c r="AJ357" s="242">
        <v>7.71</v>
      </c>
      <c r="AK357" s="242" t="s">
        <v>252</v>
      </c>
      <c r="AL357" s="242">
        <v>6.41</v>
      </c>
      <c r="AM357" s="242" t="s">
        <v>252</v>
      </c>
      <c r="AN357" s="242">
        <v>6.74</v>
      </c>
      <c r="AO357" s="242" t="s">
        <v>252</v>
      </c>
      <c r="AP357" s="242">
        <v>10.220000000000001</v>
      </c>
      <c r="AQ357" s="242" t="s">
        <v>252</v>
      </c>
      <c r="AR357" s="242">
        <v>7.7</v>
      </c>
      <c r="AS357" s="242" t="s">
        <v>252</v>
      </c>
      <c r="AT357" s="242">
        <v>54.36</v>
      </c>
      <c r="AU357" s="242" t="s">
        <v>252</v>
      </c>
      <c r="AV357" s="242">
        <v>43.5</v>
      </c>
      <c r="AW357" s="157" t="s">
        <v>252</v>
      </c>
      <c r="AX357" s="157">
        <v>1254.3100000000002</v>
      </c>
      <c r="AY357" s="240">
        <v>0.157</v>
      </c>
      <c r="AZ357" s="156" t="s">
        <v>253</v>
      </c>
      <c r="BA357" s="156" t="s">
        <v>254</v>
      </c>
      <c r="BB357" s="156">
        <v>1</v>
      </c>
      <c r="BC357" s="156" t="s">
        <v>1423</v>
      </c>
      <c r="BD357" s="3"/>
    </row>
    <row r="358" spans="1:56" ht="15.75" hidden="1" customHeight="1" outlineLevel="1">
      <c r="A358" s="58">
        <v>348</v>
      </c>
      <c r="B358" s="11">
        <v>129348</v>
      </c>
      <c r="C358" s="89" t="s">
        <v>298</v>
      </c>
      <c r="D358" s="157" t="s">
        <v>300</v>
      </c>
      <c r="E358" s="12" t="s">
        <v>191</v>
      </c>
      <c r="F358" s="11" t="s">
        <v>246</v>
      </c>
      <c r="G358" s="18" t="s">
        <v>247</v>
      </c>
      <c r="H358" s="11" t="s">
        <v>248</v>
      </c>
      <c r="I358" s="87" t="s">
        <v>249</v>
      </c>
      <c r="J358" s="19" t="s">
        <v>139</v>
      </c>
      <c r="K358" s="17" t="s">
        <v>140</v>
      </c>
      <c r="L358" s="260">
        <v>1</v>
      </c>
      <c r="M358" s="70" t="s">
        <v>250</v>
      </c>
      <c r="N358" s="70">
        <v>80</v>
      </c>
      <c r="O358" s="258">
        <v>8</v>
      </c>
      <c r="P358" s="70" t="s">
        <v>251</v>
      </c>
      <c r="Q358" s="70" t="s">
        <v>233</v>
      </c>
      <c r="R358" s="70" t="s">
        <v>240</v>
      </c>
      <c r="S358" s="70" t="s">
        <v>233</v>
      </c>
      <c r="T358" s="70" t="s">
        <v>233</v>
      </c>
      <c r="U358" s="70" t="s">
        <v>1427</v>
      </c>
      <c r="V358" s="70" t="s">
        <v>240</v>
      </c>
      <c r="W358" s="12"/>
      <c r="X358" s="242">
        <v>476.13877647058825</v>
      </c>
      <c r="Y358" s="242">
        <v>488.90514509803921</v>
      </c>
      <c r="Z358" s="242">
        <v>81.475019607843137</v>
      </c>
      <c r="AA358" s="157" t="s">
        <v>252</v>
      </c>
      <c r="AB358" s="242">
        <v>64.045074509803925</v>
      </c>
      <c r="AC358" s="157" t="s">
        <v>252</v>
      </c>
      <c r="AD358" s="242">
        <v>21.288745098039215</v>
      </c>
      <c r="AE358" s="157" t="s">
        <v>252</v>
      </c>
      <c r="AF358" s="242">
        <v>52.647513725490199</v>
      </c>
      <c r="AG358" s="157" t="s">
        <v>252</v>
      </c>
      <c r="AH358" s="242">
        <v>16.219341176470589</v>
      </c>
      <c r="AI358" s="157" t="s">
        <v>252</v>
      </c>
      <c r="AJ358" s="242">
        <v>12.958964705882353</v>
      </c>
      <c r="AK358" s="242" t="s">
        <v>252</v>
      </c>
      <c r="AL358" s="242">
        <v>9.3409098039215692</v>
      </c>
      <c r="AM358" s="242" t="s">
        <v>252</v>
      </c>
      <c r="AN358" s="242">
        <v>13.406062745098039</v>
      </c>
      <c r="AO358" s="242" t="s">
        <v>252</v>
      </c>
      <c r="AP358" s="242">
        <v>14.059513725490197</v>
      </c>
      <c r="AQ358" s="242" t="s">
        <v>252</v>
      </c>
      <c r="AR358" s="242">
        <v>45.69341960784314</v>
      </c>
      <c r="AS358" s="242" t="s">
        <v>252</v>
      </c>
      <c r="AT358" s="242">
        <v>50.377631372549018</v>
      </c>
      <c r="AU358" s="242" t="s">
        <v>252</v>
      </c>
      <c r="AV358" s="242">
        <v>61.293701960784318</v>
      </c>
      <c r="AW358" s="157" t="s">
        <v>252</v>
      </c>
      <c r="AX358" s="157">
        <v>1407.8498196078433</v>
      </c>
      <c r="AY358" s="240">
        <v>0.23386666666666669</v>
      </c>
      <c r="AZ358" s="156" t="s">
        <v>253</v>
      </c>
      <c r="BA358" s="156" t="s">
        <v>254</v>
      </c>
      <c r="BB358" s="156">
        <v>1</v>
      </c>
      <c r="BC358" s="156" t="s">
        <v>1423</v>
      </c>
      <c r="BD358" s="3"/>
    </row>
    <row r="359" spans="1:56" ht="15.75" hidden="1" customHeight="1" outlineLevel="1">
      <c r="A359" s="58">
        <v>349</v>
      </c>
      <c r="B359" s="11">
        <v>129349</v>
      </c>
      <c r="C359" s="89" t="s">
        <v>298</v>
      </c>
      <c r="D359" s="157" t="s">
        <v>300</v>
      </c>
      <c r="E359" s="12" t="s">
        <v>231</v>
      </c>
      <c r="F359" s="11" t="s">
        <v>246</v>
      </c>
      <c r="G359" s="18" t="s">
        <v>247</v>
      </c>
      <c r="H359" s="11" t="s">
        <v>248</v>
      </c>
      <c r="I359" s="87" t="s">
        <v>249</v>
      </c>
      <c r="J359" s="19" t="s">
        <v>139</v>
      </c>
      <c r="K359" s="17" t="s">
        <v>140</v>
      </c>
      <c r="L359" s="257">
        <v>0</v>
      </c>
      <c r="M359" s="70" t="s">
        <v>250</v>
      </c>
      <c r="N359" s="70">
        <v>100</v>
      </c>
      <c r="O359" s="258">
        <v>8</v>
      </c>
      <c r="P359" s="70" t="s">
        <v>251</v>
      </c>
      <c r="Q359" s="70" t="s">
        <v>233</v>
      </c>
      <c r="R359" s="70" t="s">
        <v>240</v>
      </c>
      <c r="S359" s="70" t="s">
        <v>233</v>
      </c>
      <c r="T359" s="70" t="s">
        <v>233</v>
      </c>
      <c r="U359" s="70" t="s">
        <v>1427</v>
      </c>
      <c r="V359" s="70" t="s">
        <v>240</v>
      </c>
      <c r="W359" s="12"/>
      <c r="X359" s="242">
        <v>216.08122352941177</v>
      </c>
      <c r="Y359" s="242">
        <v>221.87485490196076</v>
      </c>
      <c r="Z359" s="242">
        <v>36.974980392156858</v>
      </c>
      <c r="AA359" s="157" t="s">
        <v>252</v>
      </c>
      <c r="AB359" s="242">
        <v>29.064925490196078</v>
      </c>
      <c r="AC359" s="157" t="s">
        <v>252</v>
      </c>
      <c r="AD359" s="242">
        <v>9.661254901960783</v>
      </c>
      <c r="AE359" s="157" t="s">
        <v>252</v>
      </c>
      <c r="AF359" s="242">
        <v>23.892486274509803</v>
      </c>
      <c r="AG359" s="157" t="s">
        <v>252</v>
      </c>
      <c r="AH359" s="242">
        <v>7.3606588235294108</v>
      </c>
      <c r="AI359" s="157" t="s">
        <v>252</v>
      </c>
      <c r="AJ359" s="242">
        <v>5.8810352941176465</v>
      </c>
      <c r="AK359" s="242" t="s">
        <v>252</v>
      </c>
      <c r="AL359" s="242">
        <v>4.2390901960784308</v>
      </c>
      <c r="AM359" s="242" t="s">
        <v>252</v>
      </c>
      <c r="AN359" s="242">
        <v>6.0839372549019597</v>
      </c>
      <c r="AO359" s="242" t="s">
        <v>252</v>
      </c>
      <c r="AP359" s="242">
        <v>6.3804862745098037</v>
      </c>
      <c r="AQ359" s="242" t="s">
        <v>252</v>
      </c>
      <c r="AR359" s="242">
        <v>20.736580392156863</v>
      </c>
      <c r="AS359" s="242" t="s">
        <v>252</v>
      </c>
      <c r="AT359" s="242">
        <v>22.862368627450977</v>
      </c>
      <c r="AU359" s="242" t="s">
        <v>252</v>
      </c>
      <c r="AV359" s="242">
        <v>27.816298039215685</v>
      </c>
      <c r="AW359" s="157" t="s">
        <v>252</v>
      </c>
      <c r="AX359" s="157">
        <v>638.9101803921568</v>
      </c>
      <c r="AY359" s="243">
        <v>0.10613333333333333</v>
      </c>
      <c r="AZ359" s="156" t="s">
        <v>253</v>
      </c>
      <c r="BA359" s="156" t="s">
        <v>254</v>
      </c>
      <c r="BB359" s="156">
        <v>0</v>
      </c>
      <c r="BC359" s="156" t="s">
        <v>1423</v>
      </c>
      <c r="BD359" s="3"/>
    </row>
    <row r="360" spans="1:56" ht="15.75" hidden="1" customHeight="1" outlineLevel="1">
      <c r="A360" s="58">
        <v>350</v>
      </c>
      <c r="B360" s="11">
        <v>129350</v>
      </c>
      <c r="C360" s="89" t="s">
        <v>298</v>
      </c>
      <c r="D360" s="157">
        <v>46</v>
      </c>
      <c r="E360" s="12" t="s">
        <v>191</v>
      </c>
      <c r="F360" s="11" t="s">
        <v>246</v>
      </c>
      <c r="G360" s="18" t="s">
        <v>247</v>
      </c>
      <c r="H360" s="11" t="s">
        <v>248</v>
      </c>
      <c r="I360" s="87" t="s">
        <v>249</v>
      </c>
      <c r="J360" s="19" t="s">
        <v>139</v>
      </c>
      <c r="K360" s="17" t="s">
        <v>140</v>
      </c>
      <c r="L360" s="260">
        <v>1</v>
      </c>
      <c r="M360" s="70" t="s">
        <v>250</v>
      </c>
      <c r="N360" s="70">
        <v>100</v>
      </c>
      <c r="O360" s="258">
        <v>8</v>
      </c>
      <c r="P360" s="70" t="s">
        <v>251</v>
      </c>
      <c r="Q360" s="70" t="s">
        <v>233</v>
      </c>
      <c r="R360" s="70" t="s">
        <v>240</v>
      </c>
      <c r="S360" s="70" t="s">
        <v>233</v>
      </c>
      <c r="T360" s="70" t="s">
        <v>233</v>
      </c>
      <c r="U360" s="70" t="s">
        <v>1427</v>
      </c>
      <c r="V360" s="70" t="s">
        <v>240</v>
      </c>
      <c r="W360" s="12"/>
      <c r="X360" s="242">
        <v>1197.44</v>
      </c>
      <c r="Y360" s="242">
        <v>1167.0999999999999</v>
      </c>
      <c r="Z360" s="242">
        <v>185.69</v>
      </c>
      <c r="AA360" s="157" t="s">
        <v>252</v>
      </c>
      <c r="AB360" s="242">
        <v>148.19</v>
      </c>
      <c r="AC360" s="157" t="s">
        <v>252</v>
      </c>
      <c r="AD360" s="242">
        <v>113.08</v>
      </c>
      <c r="AE360" s="157" t="s">
        <v>252</v>
      </c>
      <c r="AF360" s="242">
        <v>126.46</v>
      </c>
      <c r="AG360" s="157" t="s">
        <v>252</v>
      </c>
      <c r="AH360" s="242">
        <v>44.31</v>
      </c>
      <c r="AI360" s="157" t="s">
        <v>252</v>
      </c>
      <c r="AJ360" s="242">
        <v>20.2</v>
      </c>
      <c r="AK360" s="242" t="s">
        <v>252</v>
      </c>
      <c r="AL360" s="242">
        <v>15.2</v>
      </c>
      <c r="AM360" s="242" t="s">
        <v>252</v>
      </c>
      <c r="AN360" s="242">
        <v>16.190000000000001</v>
      </c>
      <c r="AO360" s="242" t="s">
        <v>252</v>
      </c>
      <c r="AP360" s="242">
        <v>19.48</v>
      </c>
      <c r="AQ360" s="242" t="s">
        <v>252</v>
      </c>
      <c r="AR360" s="242">
        <v>68.069999999999993</v>
      </c>
      <c r="AS360" s="242" t="s">
        <v>252</v>
      </c>
      <c r="AT360" s="242">
        <v>129.88</v>
      </c>
      <c r="AU360" s="242" t="s">
        <v>252</v>
      </c>
      <c r="AV360" s="242">
        <v>141.74</v>
      </c>
      <c r="AW360" s="157" t="s">
        <v>252</v>
      </c>
      <c r="AX360" s="157">
        <v>3393.0299999999997</v>
      </c>
      <c r="AY360" s="240">
        <v>0.47</v>
      </c>
      <c r="AZ360" s="156" t="s">
        <v>253</v>
      </c>
      <c r="BA360" s="156" t="s">
        <v>254</v>
      </c>
      <c r="BB360" s="156">
        <v>1</v>
      </c>
      <c r="BC360" s="156" t="s">
        <v>1423</v>
      </c>
      <c r="BD360" s="3"/>
    </row>
    <row r="361" spans="1:56" ht="15.75" hidden="1" customHeight="1" outlineLevel="1">
      <c r="A361" s="58">
        <v>351</v>
      </c>
      <c r="B361" s="11">
        <v>129351</v>
      </c>
      <c r="C361" s="89" t="s">
        <v>298</v>
      </c>
      <c r="D361" s="157">
        <v>48</v>
      </c>
      <c r="E361" s="12" t="s">
        <v>191</v>
      </c>
      <c r="F361" s="11" t="s">
        <v>246</v>
      </c>
      <c r="G361" s="18" t="s">
        <v>247</v>
      </c>
      <c r="H361" s="11" t="s">
        <v>248</v>
      </c>
      <c r="I361" s="87" t="s">
        <v>249</v>
      </c>
      <c r="J361" s="19" t="s">
        <v>139</v>
      </c>
      <c r="K361" s="17" t="s">
        <v>140</v>
      </c>
      <c r="L361" s="260">
        <v>1</v>
      </c>
      <c r="M361" s="70" t="s">
        <v>250</v>
      </c>
      <c r="N361" s="70">
        <v>80</v>
      </c>
      <c r="O361" s="258">
        <v>8</v>
      </c>
      <c r="P361" s="70" t="s">
        <v>251</v>
      </c>
      <c r="Q361" s="70" t="s">
        <v>233</v>
      </c>
      <c r="R361" s="70" t="s">
        <v>240</v>
      </c>
      <c r="S361" s="70" t="s">
        <v>233</v>
      </c>
      <c r="T361" s="70" t="s">
        <v>233</v>
      </c>
      <c r="U361" s="70" t="s">
        <v>1427</v>
      </c>
      <c r="V361" s="70" t="s">
        <v>240</v>
      </c>
      <c r="W361" s="12"/>
      <c r="X361" s="242">
        <v>1131.25</v>
      </c>
      <c r="Y361" s="242">
        <v>1084.0999999999999</v>
      </c>
      <c r="Z361" s="242">
        <v>164.77</v>
      </c>
      <c r="AA361" s="157" t="s">
        <v>252</v>
      </c>
      <c r="AB361" s="242">
        <v>133.09</v>
      </c>
      <c r="AC361" s="157" t="s">
        <v>252</v>
      </c>
      <c r="AD361" s="242">
        <v>206.55</v>
      </c>
      <c r="AE361" s="157" t="s">
        <v>252</v>
      </c>
      <c r="AF361" s="242">
        <v>95.52</v>
      </c>
      <c r="AG361" s="157" t="s">
        <v>252</v>
      </c>
      <c r="AH361" s="242">
        <v>37.5</v>
      </c>
      <c r="AI361" s="157" t="s">
        <v>252</v>
      </c>
      <c r="AJ361" s="242">
        <v>25.82</v>
      </c>
      <c r="AK361" s="242" t="s">
        <v>252</v>
      </c>
      <c r="AL361" s="242">
        <v>15.54</v>
      </c>
      <c r="AM361" s="242" t="s">
        <v>252</v>
      </c>
      <c r="AN361" s="242">
        <v>13.25</v>
      </c>
      <c r="AO361" s="242" t="s">
        <v>252</v>
      </c>
      <c r="AP361" s="242">
        <v>18.8</v>
      </c>
      <c r="AQ361" s="242" t="s">
        <v>252</v>
      </c>
      <c r="AR361" s="242">
        <v>83.77</v>
      </c>
      <c r="AS361" s="242" t="s">
        <v>252</v>
      </c>
      <c r="AT361" s="242">
        <v>69.739999999999995</v>
      </c>
      <c r="AU361" s="242" t="s">
        <v>252</v>
      </c>
      <c r="AV361" s="242">
        <v>114.04</v>
      </c>
      <c r="AW361" s="157" t="s">
        <v>252</v>
      </c>
      <c r="AX361" s="157">
        <v>3193.7400000000002</v>
      </c>
      <c r="AY361" s="240">
        <v>0.30199999999999999</v>
      </c>
      <c r="AZ361" s="156" t="s">
        <v>253</v>
      </c>
      <c r="BA361" s="156" t="s">
        <v>254</v>
      </c>
      <c r="BB361" s="156">
        <v>1</v>
      </c>
      <c r="BC361" s="157" t="s">
        <v>255</v>
      </c>
      <c r="BD361" s="3"/>
    </row>
    <row r="362" spans="1:56" ht="15.75" hidden="1" customHeight="1" outlineLevel="1">
      <c r="A362" s="58">
        <v>352</v>
      </c>
      <c r="B362" s="11">
        <v>129352</v>
      </c>
      <c r="C362" s="89" t="s">
        <v>298</v>
      </c>
      <c r="D362" s="157">
        <v>50</v>
      </c>
      <c r="E362" s="12" t="s">
        <v>191</v>
      </c>
      <c r="F362" s="11" t="s">
        <v>246</v>
      </c>
      <c r="G362" s="18" t="s">
        <v>247</v>
      </c>
      <c r="H362" s="11" t="s">
        <v>248</v>
      </c>
      <c r="I362" s="87" t="s">
        <v>249</v>
      </c>
      <c r="J362" s="19" t="s">
        <v>139</v>
      </c>
      <c r="K362" s="17" t="s">
        <v>140</v>
      </c>
      <c r="L362" s="257">
        <v>0</v>
      </c>
      <c r="M362" s="70" t="s">
        <v>250</v>
      </c>
      <c r="N362" s="70">
        <v>100</v>
      </c>
      <c r="O362" s="258">
        <v>8</v>
      </c>
      <c r="P362" s="70" t="s">
        <v>251</v>
      </c>
      <c r="Q362" s="70" t="s">
        <v>233</v>
      </c>
      <c r="R362" s="70" t="s">
        <v>240</v>
      </c>
      <c r="S362" s="70" t="s">
        <v>233</v>
      </c>
      <c r="T362" s="70" t="s">
        <v>233</v>
      </c>
      <c r="U362" s="70" t="s">
        <v>1427</v>
      </c>
      <c r="V362" s="70" t="s">
        <v>240</v>
      </c>
      <c r="W362" s="12"/>
      <c r="X362" s="242">
        <v>1006.4399999999999</v>
      </c>
      <c r="Y362" s="242">
        <v>1060.2100000000003</v>
      </c>
      <c r="Z362" s="242">
        <v>170.33</v>
      </c>
      <c r="AA362" s="157" t="s">
        <v>252</v>
      </c>
      <c r="AB362" s="242">
        <v>127.57</v>
      </c>
      <c r="AC362" s="157" t="s">
        <v>252</v>
      </c>
      <c r="AD362" s="242">
        <v>126.9</v>
      </c>
      <c r="AE362" s="157" t="s">
        <v>252</v>
      </c>
      <c r="AF362" s="242">
        <v>113.88</v>
      </c>
      <c r="AG362" s="157" t="s">
        <v>252</v>
      </c>
      <c r="AH362" s="242">
        <v>45.07</v>
      </c>
      <c r="AI362" s="157" t="s">
        <v>252</v>
      </c>
      <c r="AJ362" s="242">
        <v>21.04</v>
      </c>
      <c r="AK362" s="242" t="s">
        <v>252</v>
      </c>
      <c r="AL362" s="242">
        <v>14.96</v>
      </c>
      <c r="AM362" s="242" t="s">
        <v>252</v>
      </c>
      <c r="AN362" s="242">
        <v>16.649999999999999</v>
      </c>
      <c r="AO362" s="242" t="s">
        <v>252</v>
      </c>
      <c r="AP362" s="242">
        <v>27.92</v>
      </c>
      <c r="AQ362" s="242" t="s">
        <v>252</v>
      </c>
      <c r="AR362" s="242">
        <v>94.43</v>
      </c>
      <c r="AS362" s="242" t="s">
        <v>252</v>
      </c>
      <c r="AT362" s="242">
        <v>100.18</v>
      </c>
      <c r="AU362" s="242" t="s">
        <v>259</v>
      </c>
      <c r="AV362" s="242">
        <v>122.01089</v>
      </c>
      <c r="AW362" s="157" t="s">
        <v>259</v>
      </c>
      <c r="AX362" s="157">
        <v>3047.5908900000004</v>
      </c>
      <c r="AY362" s="240">
        <v>0.44169999999999998</v>
      </c>
      <c r="AZ362" s="156" t="s">
        <v>253</v>
      </c>
      <c r="BA362" s="156" t="s">
        <v>254</v>
      </c>
      <c r="BB362" s="156">
        <v>0</v>
      </c>
      <c r="BC362" s="156" t="s">
        <v>1423</v>
      </c>
      <c r="BD362" s="3"/>
    </row>
    <row r="363" spans="1:56" ht="15.75" hidden="1" customHeight="1" outlineLevel="1">
      <c r="A363" s="58">
        <v>353</v>
      </c>
      <c r="B363" s="11">
        <v>129353</v>
      </c>
      <c r="C363" s="89" t="s">
        <v>298</v>
      </c>
      <c r="D363" s="157">
        <v>51</v>
      </c>
      <c r="E363" s="12" t="s">
        <v>191</v>
      </c>
      <c r="F363" s="11" t="s">
        <v>246</v>
      </c>
      <c r="G363" s="18" t="s">
        <v>247</v>
      </c>
      <c r="H363" s="11" t="s">
        <v>248</v>
      </c>
      <c r="I363" s="87" t="s">
        <v>249</v>
      </c>
      <c r="J363" s="19" t="s">
        <v>139</v>
      </c>
      <c r="K363" s="17" t="s">
        <v>140</v>
      </c>
      <c r="L363" s="260">
        <v>1</v>
      </c>
      <c r="M363" s="70" t="s">
        <v>250</v>
      </c>
      <c r="N363" s="70">
        <v>100</v>
      </c>
      <c r="O363" s="258">
        <v>8</v>
      </c>
      <c r="P363" s="70" t="s">
        <v>251</v>
      </c>
      <c r="Q363" s="70" t="s">
        <v>233</v>
      </c>
      <c r="R363" s="70" t="s">
        <v>240</v>
      </c>
      <c r="S363" s="70" t="s">
        <v>233</v>
      </c>
      <c r="T363" s="70" t="s">
        <v>233</v>
      </c>
      <c r="U363" s="70" t="s">
        <v>1427</v>
      </c>
      <c r="V363" s="70" t="s">
        <v>240</v>
      </c>
      <c r="W363" s="12"/>
      <c r="X363" s="242">
        <v>428.88362541575867</v>
      </c>
      <c r="Y363" s="242">
        <v>324.60436288565199</v>
      </c>
      <c r="Z363" s="242">
        <v>33.857335703635741</v>
      </c>
      <c r="AA363" s="157" t="s">
        <v>252</v>
      </c>
      <c r="AB363" s="242">
        <v>56.341979584814773</v>
      </c>
      <c r="AC363" s="157" t="s">
        <v>252</v>
      </c>
      <c r="AD363" s="242">
        <v>70.516236953779099</v>
      </c>
      <c r="AE363" s="157" t="s">
        <v>252</v>
      </c>
      <c r="AF363" s="242">
        <v>42.30641357953894</v>
      </c>
      <c r="AG363" s="157" t="s">
        <v>252</v>
      </c>
      <c r="AH363" s="242">
        <v>17.014656497304738</v>
      </c>
      <c r="AI363" s="157" t="s">
        <v>252</v>
      </c>
      <c r="AJ363" s="242">
        <v>14.645808005505216</v>
      </c>
      <c r="AK363" s="242" t="s">
        <v>252</v>
      </c>
      <c r="AL363" s="242">
        <v>11.039832549604311</v>
      </c>
      <c r="AM363" s="242" t="s">
        <v>252</v>
      </c>
      <c r="AN363" s="242">
        <v>13.680516114233283</v>
      </c>
      <c r="AO363" s="242" t="s">
        <v>252</v>
      </c>
      <c r="AP363" s="242">
        <v>13.441966968689069</v>
      </c>
      <c r="AQ363" s="242" t="s">
        <v>252</v>
      </c>
      <c r="AR363" s="242">
        <v>44.164877852964786</v>
      </c>
      <c r="AS363" s="242" t="s">
        <v>252</v>
      </c>
      <c r="AT363" s="242">
        <v>44.797310471384328</v>
      </c>
      <c r="AU363" s="242" t="s">
        <v>252</v>
      </c>
      <c r="AV363" s="242">
        <v>64.153077187750881</v>
      </c>
      <c r="AW363" s="157" t="s">
        <v>252</v>
      </c>
      <c r="AX363" s="157">
        <v>1179.4479997706158</v>
      </c>
      <c r="AY363" s="240">
        <v>0.11012094276866613</v>
      </c>
      <c r="AZ363" s="156" t="s">
        <v>253</v>
      </c>
      <c r="BA363" s="156" t="s">
        <v>254</v>
      </c>
      <c r="BB363" s="156">
        <v>0</v>
      </c>
      <c r="BC363" s="156" t="s">
        <v>1423</v>
      </c>
      <c r="BD363" s="3"/>
    </row>
    <row r="364" spans="1:56" ht="15.75" hidden="1" customHeight="1" outlineLevel="1">
      <c r="A364" s="58">
        <v>354</v>
      </c>
      <c r="B364" s="11">
        <v>129354</v>
      </c>
      <c r="C364" s="89" t="s">
        <v>298</v>
      </c>
      <c r="D364" s="157">
        <v>51</v>
      </c>
      <c r="E364" s="12" t="s">
        <v>260</v>
      </c>
      <c r="F364" s="11" t="s">
        <v>246</v>
      </c>
      <c r="G364" s="18" t="s">
        <v>247</v>
      </c>
      <c r="H364" s="11" t="s">
        <v>248</v>
      </c>
      <c r="I364" s="87" t="s">
        <v>249</v>
      </c>
      <c r="J364" s="19" t="s">
        <v>139</v>
      </c>
      <c r="K364" s="17" t="s">
        <v>140</v>
      </c>
      <c r="L364" s="257">
        <v>0</v>
      </c>
      <c r="M364" s="70" t="s">
        <v>250</v>
      </c>
      <c r="N364" s="70">
        <v>100</v>
      </c>
      <c r="O364" s="258">
        <v>8</v>
      </c>
      <c r="P364" s="70" t="s">
        <v>251</v>
      </c>
      <c r="Q364" s="70" t="s">
        <v>233</v>
      </c>
      <c r="R364" s="70" t="s">
        <v>240</v>
      </c>
      <c r="S364" s="70" t="s">
        <v>233</v>
      </c>
      <c r="T364" s="70" t="s">
        <v>233</v>
      </c>
      <c r="U364" s="70" t="s">
        <v>1427</v>
      </c>
      <c r="V364" s="70" t="s">
        <v>240</v>
      </c>
      <c r="W364" s="12"/>
      <c r="X364" s="242">
        <v>344.2063745842413</v>
      </c>
      <c r="Y364" s="242">
        <v>260.51563711434795</v>
      </c>
      <c r="Z364" s="242">
        <v>27.17266429636426</v>
      </c>
      <c r="AA364" s="157" t="s">
        <v>252</v>
      </c>
      <c r="AB364" s="242">
        <v>45.218020415185222</v>
      </c>
      <c r="AC364" s="157" t="s">
        <v>252</v>
      </c>
      <c r="AD364" s="242">
        <v>56.593763046220893</v>
      </c>
      <c r="AE364" s="157" t="s">
        <v>252</v>
      </c>
      <c r="AF364" s="242">
        <v>33.953586420461065</v>
      </c>
      <c r="AG364" s="157" t="s">
        <v>252</v>
      </c>
      <c r="AH364" s="242">
        <v>13.655343502695263</v>
      </c>
      <c r="AI364" s="157" t="s">
        <v>252</v>
      </c>
      <c r="AJ364" s="242">
        <v>11.75419199449478</v>
      </c>
      <c r="AK364" s="242" t="s">
        <v>252</v>
      </c>
      <c r="AL364" s="242">
        <v>8.8601674503956858</v>
      </c>
      <c r="AM364" s="242" t="s">
        <v>252</v>
      </c>
      <c r="AN364" s="242">
        <v>10.979483885766715</v>
      </c>
      <c r="AO364" s="242" t="s">
        <v>252</v>
      </c>
      <c r="AP364" s="242">
        <v>10.788033031310929</v>
      </c>
      <c r="AQ364" s="242" t="s">
        <v>252</v>
      </c>
      <c r="AR364" s="242">
        <v>35.445122147035207</v>
      </c>
      <c r="AS364" s="242" t="s">
        <v>252</v>
      </c>
      <c r="AT364" s="242">
        <v>35.952689528615664</v>
      </c>
      <c r="AU364" s="242" t="s">
        <v>252</v>
      </c>
      <c r="AV364" s="242">
        <v>51.486922812249105</v>
      </c>
      <c r="AW364" s="157" t="s">
        <v>252</v>
      </c>
      <c r="AX364" s="157">
        <v>946.58200022938422</v>
      </c>
      <c r="AY364" s="243">
        <v>8.8379057231333866E-2</v>
      </c>
      <c r="AZ364" s="156" t="s">
        <v>253</v>
      </c>
      <c r="BA364" s="156" t="s">
        <v>254</v>
      </c>
      <c r="BB364" s="156">
        <v>0</v>
      </c>
      <c r="BC364" s="156" t="s">
        <v>1423</v>
      </c>
      <c r="BD364" s="3"/>
    </row>
    <row r="365" spans="1:56" ht="15.75" hidden="1" customHeight="1" outlineLevel="1">
      <c r="A365" s="58">
        <v>355</v>
      </c>
      <c r="B365" s="11">
        <v>129355</v>
      </c>
      <c r="C365" s="89" t="s">
        <v>298</v>
      </c>
      <c r="D365" s="157">
        <v>52</v>
      </c>
      <c r="E365" s="12" t="s">
        <v>191</v>
      </c>
      <c r="F365" s="11" t="s">
        <v>246</v>
      </c>
      <c r="G365" s="18" t="s">
        <v>247</v>
      </c>
      <c r="H365" s="11" t="s">
        <v>248</v>
      </c>
      <c r="I365" s="87" t="s">
        <v>249</v>
      </c>
      <c r="J365" s="19" t="s">
        <v>139</v>
      </c>
      <c r="K365" s="17" t="s">
        <v>140</v>
      </c>
      <c r="L365" s="260">
        <v>1</v>
      </c>
      <c r="M365" s="70" t="s">
        <v>250</v>
      </c>
      <c r="N365" s="70">
        <v>100</v>
      </c>
      <c r="O365" s="258">
        <v>8</v>
      </c>
      <c r="P365" s="70" t="s">
        <v>251</v>
      </c>
      <c r="Q365" s="70" t="s">
        <v>233</v>
      </c>
      <c r="R365" s="70" t="s">
        <v>240</v>
      </c>
      <c r="S365" s="70" t="s">
        <v>233</v>
      </c>
      <c r="T365" s="70" t="s">
        <v>233</v>
      </c>
      <c r="U365" s="70" t="s">
        <v>1427</v>
      </c>
      <c r="V365" s="70" t="s">
        <v>240</v>
      </c>
      <c r="W365" s="12"/>
      <c r="X365" s="242">
        <v>723.95999999999992</v>
      </c>
      <c r="Y365" s="242">
        <v>762.87000000000012</v>
      </c>
      <c r="Z365" s="242">
        <v>123.01</v>
      </c>
      <c r="AA365" s="157" t="s">
        <v>252</v>
      </c>
      <c r="AB365" s="242">
        <v>91.81</v>
      </c>
      <c r="AC365" s="157" t="s">
        <v>252</v>
      </c>
      <c r="AD365" s="242">
        <v>91.49</v>
      </c>
      <c r="AE365" s="157" t="s">
        <v>252</v>
      </c>
      <c r="AF365" s="242">
        <v>82.19</v>
      </c>
      <c r="AG365" s="157" t="s">
        <v>252</v>
      </c>
      <c r="AH365" s="242">
        <v>32.67</v>
      </c>
      <c r="AI365" s="157" t="s">
        <v>252</v>
      </c>
      <c r="AJ365" s="242">
        <v>14.77</v>
      </c>
      <c r="AK365" s="242" t="s">
        <v>252</v>
      </c>
      <c r="AL365" s="242">
        <v>10.39</v>
      </c>
      <c r="AM365" s="242" t="s">
        <v>252</v>
      </c>
      <c r="AN365" s="242">
        <v>11.64</v>
      </c>
      <c r="AO365" s="242" t="s">
        <v>252</v>
      </c>
      <c r="AP365" s="242">
        <v>19.649999999999999</v>
      </c>
      <c r="AQ365" s="242" t="s">
        <v>252</v>
      </c>
      <c r="AR365" s="242">
        <v>68.45</v>
      </c>
      <c r="AS365" s="242" t="s">
        <v>252</v>
      </c>
      <c r="AT365" s="242">
        <v>72.39</v>
      </c>
      <c r="AU365" s="242" t="s">
        <v>259</v>
      </c>
      <c r="AV365" s="242">
        <v>88.093450000000004</v>
      </c>
      <c r="AW365" s="157" t="s">
        <v>259</v>
      </c>
      <c r="AX365" s="157">
        <v>2193.3834500000003</v>
      </c>
      <c r="AY365" s="240">
        <v>0.32</v>
      </c>
      <c r="AZ365" s="156" t="s">
        <v>253</v>
      </c>
      <c r="BA365" s="156" t="s">
        <v>254</v>
      </c>
      <c r="BB365" s="156">
        <v>1</v>
      </c>
      <c r="BC365" s="156" t="s">
        <v>1423</v>
      </c>
      <c r="BD365" s="3"/>
    </row>
    <row r="366" spans="1:56" ht="15.75" hidden="1" customHeight="1" outlineLevel="1">
      <c r="A366" s="58">
        <v>356</v>
      </c>
      <c r="B366" s="11">
        <v>129356</v>
      </c>
      <c r="C366" s="89" t="s">
        <v>298</v>
      </c>
      <c r="D366" s="157">
        <v>54</v>
      </c>
      <c r="E366" s="12" t="s">
        <v>231</v>
      </c>
      <c r="F366" s="11" t="s">
        <v>246</v>
      </c>
      <c r="G366" s="18" t="s">
        <v>247</v>
      </c>
      <c r="H366" s="11" t="s">
        <v>248</v>
      </c>
      <c r="I366" s="87" t="s">
        <v>249</v>
      </c>
      <c r="J366" s="19" t="s">
        <v>139</v>
      </c>
      <c r="K366" s="17" t="s">
        <v>140</v>
      </c>
      <c r="L366" s="260">
        <v>1</v>
      </c>
      <c r="M366" s="70" t="s">
        <v>250</v>
      </c>
      <c r="N366" s="70">
        <v>100</v>
      </c>
      <c r="O366" s="258">
        <v>8</v>
      </c>
      <c r="P366" s="70" t="s">
        <v>251</v>
      </c>
      <c r="Q366" s="70" t="s">
        <v>233</v>
      </c>
      <c r="R366" s="70" t="s">
        <v>240</v>
      </c>
      <c r="S366" s="70" t="s">
        <v>233</v>
      </c>
      <c r="T366" s="70" t="s">
        <v>233</v>
      </c>
      <c r="U366" s="70" t="s">
        <v>1427</v>
      </c>
      <c r="V366" s="70" t="s">
        <v>240</v>
      </c>
      <c r="W366" s="12"/>
      <c r="X366" s="242">
        <v>1694.3712570836014</v>
      </c>
      <c r="Y366" s="242">
        <v>1681.2871653911316</v>
      </c>
      <c r="Z366" s="242">
        <v>247.53284454051527</v>
      </c>
      <c r="AA366" s="157" t="s">
        <v>252</v>
      </c>
      <c r="AB366" s="242">
        <v>185.58261187708129</v>
      </c>
      <c r="AC366" s="157" t="s">
        <v>252</v>
      </c>
      <c r="AD366" s="242">
        <v>240.65196763451542</v>
      </c>
      <c r="AE366" s="157" t="s">
        <v>259</v>
      </c>
      <c r="AF366" s="242">
        <v>181.2411062102004</v>
      </c>
      <c r="AG366" s="157" t="s">
        <v>259</v>
      </c>
      <c r="AH366" s="242">
        <v>156.03356473096923</v>
      </c>
      <c r="AI366" s="157" t="s">
        <v>259</v>
      </c>
      <c r="AJ366" s="242">
        <v>50.065081643979674</v>
      </c>
      <c r="AK366" s="242" t="s">
        <v>259</v>
      </c>
      <c r="AL366" s="242">
        <v>48.858694134486186</v>
      </c>
      <c r="AM366" s="242" t="s">
        <v>259</v>
      </c>
      <c r="AN366" s="242">
        <v>13.493667698778994</v>
      </c>
      <c r="AO366" s="242" t="s">
        <v>259</v>
      </c>
      <c r="AP366" s="242">
        <v>47.399426951860725</v>
      </c>
      <c r="AQ366" s="242" t="s">
        <v>259</v>
      </c>
      <c r="AR366" s="242">
        <v>220.56784965239237</v>
      </c>
      <c r="AS366" s="242" t="s">
        <v>259</v>
      </c>
      <c r="AT366" s="242">
        <v>213.45306761260736</v>
      </c>
      <c r="AU366" s="242" t="s">
        <v>259</v>
      </c>
      <c r="AV366" s="242">
        <v>141.13989177425952</v>
      </c>
      <c r="AW366" s="157" t="s">
        <v>259</v>
      </c>
      <c r="AX366" s="157">
        <v>5121.678196936381</v>
      </c>
      <c r="AY366" s="240">
        <v>0.61064059122509784</v>
      </c>
      <c r="AZ366" s="156" t="s">
        <v>253</v>
      </c>
      <c r="BA366" s="156" t="s">
        <v>254</v>
      </c>
      <c r="BB366" s="156">
        <v>1</v>
      </c>
      <c r="BC366" s="157" t="s">
        <v>255</v>
      </c>
      <c r="BD366" s="3"/>
    </row>
    <row r="367" spans="1:56" ht="15.75" hidden="1" customHeight="1" outlineLevel="1">
      <c r="A367" s="58">
        <v>357</v>
      </c>
      <c r="B367" s="11">
        <v>129357</v>
      </c>
      <c r="C367" s="89" t="s">
        <v>298</v>
      </c>
      <c r="D367" s="157">
        <v>54</v>
      </c>
      <c r="E367" s="12" t="s">
        <v>260</v>
      </c>
      <c r="F367" s="11" t="s">
        <v>246</v>
      </c>
      <c r="G367" s="18" t="s">
        <v>247</v>
      </c>
      <c r="H367" s="11" t="s">
        <v>248</v>
      </c>
      <c r="I367" s="87" t="s">
        <v>249</v>
      </c>
      <c r="J367" s="19" t="s">
        <v>139</v>
      </c>
      <c r="K367" s="17" t="s">
        <v>140</v>
      </c>
      <c r="L367" s="257">
        <v>0</v>
      </c>
      <c r="M367" s="70" t="s">
        <v>250</v>
      </c>
      <c r="N367" s="70">
        <v>100</v>
      </c>
      <c r="O367" s="258">
        <v>8</v>
      </c>
      <c r="P367" s="70" t="s">
        <v>251</v>
      </c>
      <c r="Q367" s="70" t="s">
        <v>233</v>
      </c>
      <c r="R367" s="70" t="s">
        <v>240</v>
      </c>
      <c r="S367" s="70" t="s">
        <v>233</v>
      </c>
      <c r="T367" s="70" t="s">
        <v>233</v>
      </c>
      <c r="U367" s="70" t="s">
        <v>1427</v>
      </c>
      <c r="V367" s="70" t="s">
        <v>240</v>
      </c>
      <c r="W367" s="12"/>
      <c r="X367" s="242">
        <v>580.91874291639897</v>
      </c>
      <c r="Y367" s="242">
        <v>576.43283460886835</v>
      </c>
      <c r="Z367" s="242">
        <v>84.867155459484721</v>
      </c>
      <c r="AA367" s="157" t="s">
        <v>252</v>
      </c>
      <c r="AB367" s="242">
        <v>63.627388122918738</v>
      </c>
      <c r="AC367" s="157" t="s">
        <v>252</v>
      </c>
      <c r="AD367" s="242">
        <v>82.50803236548461</v>
      </c>
      <c r="AE367" s="157" t="s">
        <v>259</v>
      </c>
      <c r="AF367" s="242">
        <v>62.138893789799617</v>
      </c>
      <c r="AG367" s="157" t="s">
        <v>259</v>
      </c>
      <c r="AH367" s="242">
        <v>53.49643526903079</v>
      </c>
      <c r="AI367" s="157" t="s">
        <v>259</v>
      </c>
      <c r="AJ367" s="242">
        <v>17.164918356020333</v>
      </c>
      <c r="AK367" s="242" t="s">
        <v>259</v>
      </c>
      <c r="AL367" s="242">
        <v>16.751305865513817</v>
      </c>
      <c r="AM367" s="242" t="s">
        <v>259</v>
      </c>
      <c r="AN367" s="242">
        <v>4.6263323012210087</v>
      </c>
      <c r="AO367" s="242" t="s">
        <v>259</v>
      </c>
      <c r="AP367" s="242">
        <v>16.250993048139275</v>
      </c>
      <c r="AQ367" s="242" t="s">
        <v>259</v>
      </c>
      <c r="AR367" s="242">
        <v>75.622150347607644</v>
      </c>
      <c r="AS367" s="242" t="s">
        <v>259</v>
      </c>
      <c r="AT367" s="242">
        <v>73.182832387392651</v>
      </c>
      <c r="AU367" s="242" t="s">
        <v>259</v>
      </c>
      <c r="AV367" s="242">
        <v>48.390108225740491</v>
      </c>
      <c r="AW367" s="157" t="s">
        <v>259</v>
      </c>
      <c r="AX367" s="157">
        <v>1755.9781230636208</v>
      </c>
      <c r="AY367" s="243">
        <v>0.20935940877490214</v>
      </c>
      <c r="AZ367" s="156" t="s">
        <v>253</v>
      </c>
      <c r="BA367" s="156" t="s">
        <v>254</v>
      </c>
      <c r="BB367" s="156">
        <v>0</v>
      </c>
      <c r="BC367" s="157" t="s">
        <v>255</v>
      </c>
      <c r="BD367" s="3"/>
    </row>
    <row r="368" spans="1:56" ht="15.75" hidden="1" customHeight="1" outlineLevel="1">
      <c r="A368" s="58">
        <v>358</v>
      </c>
      <c r="B368" s="11">
        <v>129358</v>
      </c>
      <c r="C368" s="89" t="s">
        <v>298</v>
      </c>
      <c r="D368" s="157">
        <v>56</v>
      </c>
      <c r="E368" s="12" t="s">
        <v>191</v>
      </c>
      <c r="F368" s="11" t="s">
        <v>246</v>
      </c>
      <c r="G368" s="18" t="s">
        <v>247</v>
      </c>
      <c r="H368" s="11" t="s">
        <v>248</v>
      </c>
      <c r="I368" s="87" t="s">
        <v>249</v>
      </c>
      <c r="J368" s="19" t="s">
        <v>139</v>
      </c>
      <c r="K368" s="17" t="s">
        <v>140</v>
      </c>
      <c r="L368" s="260">
        <v>1</v>
      </c>
      <c r="M368" s="70" t="s">
        <v>250</v>
      </c>
      <c r="N368" s="70">
        <v>100</v>
      </c>
      <c r="O368" s="258">
        <v>8</v>
      </c>
      <c r="P368" s="70" t="s">
        <v>251</v>
      </c>
      <c r="Q368" s="70" t="s">
        <v>233</v>
      </c>
      <c r="R368" s="70" t="s">
        <v>240</v>
      </c>
      <c r="S368" s="70" t="s">
        <v>233</v>
      </c>
      <c r="T368" s="70" t="s">
        <v>233</v>
      </c>
      <c r="U368" s="70" t="s">
        <v>1427</v>
      </c>
      <c r="V368" s="70" t="s">
        <v>240</v>
      </c>
      <c r="W368" s="12"/>
      <c r="X368" s="242">
        <v>848.81771975834772</v>
      </c>
      <c r="Y368" s="242">
        <v>813.32200440219174</v>
      </c>
      <c r="Z368" s="242">
        <v>147.8714625579544</v>
      </c>
      <c r="AA368" s="157" t="s">
        <v>252</v>
      </c>
      <c r="AB368" s="242">
        <v>91.128515899405244</v>
      </c>
      <c r="AC368" s="157" t="s">
        <v>252</v>
      </c>
      <c r="AD368" s="242">
        <v>141.53880297850421</v>
      </c>
      <c r="AE368" s="157" t="s">
        <v>252</v>
      </c>
      <c r="AF368" s="242">
        <v>51.974145084999769</v>
      </c>
      <c r="AG368" s="157" t="s">
        <v>252</v>
      </c>
      <c r="AH368" s="242">
        <v>128.08190137217252</v>
      </c>
      <c r="AI368" s="157" t="s">
        <v>252</v>
      </c>
      <c r="AJ368" s="242">
        <v>18.032634290263662</v>
      </c>
      <c r="AK368" s="242" t="s">
        <v>252</v>
      </c>
      <c r="AL368" s="242">
        <v>18.032634290263662</v>
      </c>
      <c r="AM368" s="242" t="s">
        <v>252</v>
      </c>
      <c r="AN368" s="242">
        <v>18.032634290263662</v>
      </c>
      <c r="AO368" s="242" t="s">
        <v>252</v>
      </c>
      <c r="AP368" s="242">
        <v>10.029928815623098</v>
      </c>
      <c r="AQ368" s="242" t="s">
        <v>252</v>
      </c>
      <c r="AR368" s="242">
        <v>105.4928412869386</v>
      </c>
      <c r="AS368" s="242" t="s">
        <v>252</v>
      </c>
      <c r="AT368" s="242">
        <v>18.457385847421911</v>
      </c>
      <c r="AU368" s="242" t="s">
        <v>252</v>
      </c>
      <c r="AV368" s="242">
        <v>91.553267456563489</v>
      </c>
      <c r="AW368" s="157" t="s">
        <v>252</v>
      </c>
      <c r="AX368" s="157">
        <v>2502.3658783309133</v>
      </c>
      <c r="AY368" s="240">
        <v>0.43440500163911394</v>
      </c>
      <c r="AZ368" s="156" t="s">
        <v>253</v>
      </c>
      <c r="BA368" s="156" t="s">
        <v>254</v>
      </c>
      <c r="BB368" s="156">
        <v>1</v>
      </c>
      <c r="BC368" s="156" t="s">
        <v>1423</v>
      </c>
      <c r="BD368" s="3"/>
    </row>
    <row r="369" spans="1:56" ht="15.75" hidden="1" customHeight="1" outlineLevel="1">
      <c r="A369" s="58">
        <v>359</v>
      </c>
      <c r="B369" s="11">
        <v>129359</v>
      </c>
      <c r="C369" s="89" t="s">
        <v>298</v>
      </c>
      <c r="D369" s="157">
        <v>56</v>
      </c>
      <c r="E369" s="12" t="s">
        <v>260</v>
      </c>
      <c r="F369" s="11" t="s">
        <v>246</v>
      </c>
      <c r="G369" s="18" t="s">
        <v>247</v>
      </c>
      <c r="H369" s="11" t="s">
        <v>248</v>
      </c>
      <c r="I369" s="87" t="s">
        <v>249</v>
      </c>
      <c r="J369" s="19" t="s">
        <v>139</v>
      </c>
      <c r="K369" s="17" t="s">
        <v>140</v>
      </c>
      <c r="L369" s="257">
        <v>0</v>
      </c>
      <c r="M369" s="70" t="s">
        <v>250</v>
      </c>
      <c r="N369" s="70">
        <v>80</v>
      </c>
      <c r="O369" s="258">
        <v>8</v>
      </c>
      <c r="P369" s="70" t="s">
        <v>251</v>
      </c>
      <c r="Q369" s="70" t="s">
        <v>233</v>
      </c>
      <c r="R369" s="70" t="s">
        <v>240</v>
      </c>
      <c r="S369" s="70" t="s">
        <v>233</v>
      </c>
      <c r="T369" s="70" t="s">
        <v>233</v>
      </c>
      <c r="U369" s="70" t="s">
        <v>1427</v>
      </c>
      <c r="V369" s="70" t="s">
        <v>240</v>
      </c>
      <c r="W369" s="12"/>
      <c r="X369" s="242">
        <v>30.472280241652228</v>
      </c>
      <c r="Y369" s="242">
        <v>29.197995597808273</v>
      </c>
      <c r="Z369" s="242">
        <v>5.3085374420456146</v>
      </c>
      <c r="AA369" s="157" t="s">
        <v>252</v>
      </c>
      <c r="AB369" s="242">
        <v>3.2714841005947646</v>
      </c>
      <c r="AC369" s="157" t="s">
        <v>252</v>
      </c>
      <c r="AD369" s="242">
        <v>5.0811970214958091</v>
      </c>
      <c r="AE369" s="157" t="s">
        <v>252</v>
      </c>
      <c r="AF369" s="242">
        <v>1.8658549150002344</v>
      </c>
      <c r="AG369" s="157" t="s">
        <v>252</v>
      </c>
      <c r="AH369" s="242">
        <v>4.598098627827472</v>
      </c>
      <c r="AI369" s="157" t="s">
        <v>252</v>
      </c>
      <c r="AJ369" s="242">
        <v>0.64736570973633689</v>
      </c>
      <c r="AK369" s="242" t="s">
        <v>252</v>
      </c>
      <c r="AL369" s="242">
        <v>0.64736570973633689</v>
      </c>
      <c r="AM369" s="242" t="s">
        <v>252</v>
      </c>
      <c r="AN369" s="242">
        <v>0.64736570973633689</v>
      </c>
      <c r="AO369" s="242" t="s">
        <v>252</v>
      </c>
      <c r="AP369" s="242">
        <v>0.36007118437690261</v>
      </c>
      <c r="AQ369" s="242" t="s">
        <v>252</v>
      </c>
      <c r="AR369" s="242">
        <v>3.7871587130613968</v>
      </c>
      <c r="AS369" s="242" t="s">
        <v>252</v>
      </c>
      <c r="AT369" s="242">
        <v>0.6626141525780922</v>
      </c>
      <c r="AU369" s="242" t="s">
        <v>252</v>
      </c>
      <c r="AV369" s="242">
        <v>3.28673254343652</v>
      </c>
      <c r="AW369" s="157" t="s">
        <v>252</v>
      </c>
      <c r="AX369" s="157">
        <v>89.834121669086315</v>
      </c>
      <c r="AY369" s="243">
        <v>1.5594998360886059E-2</v>
      </c>
      <c r="AZ369" s="156" t="s">
        <v>253</v>
      </c>
      <c r="BA369" s="156" t="s">
        <v>254</v>
      </c>
      <c r="BB369" s="156">
        <v>0</v>
      </c>
      <c r="BC369" s="156" t="s">
        <v>1423</v>
      </c>
      <c r="BD369" s="3"/>
    </row>
    <row r="370" spans="1:56" ht="15.75" hidden="1" customHeight="1" outlineLevel="1">
      <c r="A370" s="58">
        <v>360</v>
      </c>
      <c r="B370" s="11">
        <v>129360</v>
      </c>
      <c r="C370" s="89" t="s">
        <v>298</v>
      </c>
      <c r="D370" s="157">
        <v>57</v>
      </c>
      <c r="E370" s="12" t="s">
        <v>191</v>
      </c>
      <c r="F370" s="11" t="s">
        <v>246</v>
      </c>
      <c r="G370" s="18" t="s">
        <v>247</v>
      </c>
      <c r="H370" s="11" t="s">
        <v>248</v>
      </c>
      <c r="I370" s="87" t="s">
        <v>249</v>
      </c>
      <c r="J370" s="19" t="s">
        <v>139</v>
      </c>
      <c r="K370" s="17" t="s">
        <v>140</v>
      </c>
      <c r="L370" s="260">
        <v>1</v>
      </c>
      <c r="M370" s="70" t="s">
        <v>250</v>
      </c>
      <c r="N370" s="70">
        <v>100</v>
      </c>
      <c r="O370" s="258">
        <v>8</v>
      </c>
      <c r="P370" s="70" t="s">
        <v>251</v>
      </c>
      <c r="Q370" s="70" t="s">
        <v>233</v>
      </c>
      <c r="R370" s="70" t="s">
        <v>240</v>
      </c>
      <c r="S370" s="70" t="s">
        <v>233</v>
      </c>
      <c r="T370" s="70" t="s">
        <v>233</v>
      </c>
      <c r="U370" s="70" t="s">
        <v>1427</v>
      </c>
      <c r="V370" s="70" t="s">
        <v>240</v>
      </c>
      <c r="W370" s="12"/>
      <c r="X370" s="242">
        <v>2806.38</v>
      </c>
      <c r="Y370" s="242">
        <v>2469.2799999999997</v>
      </c>
      <c r="Z370" s="242">
        <v>424.06</v>
      </c>
      <c r="AA370" s="157" t="s">
        <v>252</v>
      </c>
      <c r="AB370" s="242">
        <v>317.27999999999997</v>
      </c>
      <c r="AC370" s="157" t="s">
        <v>252</v>
      </c>
      <c r="AD370" s="242">
        <v>521.82000000000005</v>
      </c>
      <c r="AE370" s="157" t="s">
        <v>252</v>
      </c>
      <c r="AF370" s="242">
        <v>260.61</v>
      </c>
      <c r="AG370" s="157" t="s">
        <v>252</v>
      </c>
      <c r="AH370" s="242">
        <v>104.85</v>
      </c>
      <c r="AI370" s="157" t="s">
        <v>252</v>
      </c>
      <c r="AJ370" s="242">
        <v>48.86</v>
      </c>
      <c r="AK370" s="242" t="s">
        <v>252</v>
      </c>
      <c r="AL370" s="242">
        <v>35.71</v>
      </c>
      <c r="AM370" s="242" t="s">
        <v>252</v>
      </c>
      <c r="AN370" s="242">
        <v>37.909999999999997</v>
      </c>
      <c r="AO370" s="242" t="s">
        <v>252</v>
      </c>
      <c r="AP370" s="242">
        <v>48.22</v>
      </c>
      <c r="AQ370" s="242" t="s">
        <v>252</v>
      </c>
      <c r="AR370" s="242">
        <v>238.71</v>
      </c>
      <c r="AS370" s="242" t="s">
        <v>252</v>
      </c>
      <c r="AT370" s="242">
        <v>252.54</v>
      </c>
      <c r="AU370" s="242" t="s">
        <v>252</v>
      </c>
      <c r="AV370" s="242">
        <v>306.39999999999998</v>
      </c>
      <c r="AW370" s="157" t="s">
        <v>252</v>
      </c>
      <c r="AX370" s="157">
        <v>7872.6299999999992</v>
      </c>
      <c r="AY370" s="240">
        <v>1.2</v>
      </c>
      <c r="AZ370" s="156" t="s">
        <v>253</v>
      </c>
      <c r="BA370" s="156" t="s">
        <v>254</v>
      </c>
      <c r="BB370" s="156">
        <v>1</v>
      </c>
      <c r="BC370" s="157" t="s">
        <v>255</v>
      </c>
      <c r="BD370" s="3"/>
    </row>
    <row r="371" spans="1:56" ht="15.75" hidden="1" customHeight="1" outlineLevel="1">
      <c r="A371" s="58">
        <v>361</v>
      </c>
      <c r="B371" s="11">
        <v>129361</v>
      </c>
      <c r="C371" s="89" t="s">
        <v>298</v>
      </c>
      <c r="D371" s="157">
        <v>58</v>
      </c>
      <c r="E371" s="12" t="s">
        <v>191</v>
      </c>
      <c r="F371" s="11" t="s">
        <v>246</v>
      </c>
      <c r="G371" s="18" t="s">
        <v>247</v>
      </c>
      <c r="H371" s="11" t="s">
        <v>248</v>
      </c>
      <c r="I371" s="87" t="s">
        <v>249</v>
      </c>
      <c r="J371" s="19" t="s">
        <v>139</v>
      </c>
      <c r="K371" s="17" t="s">
        <v>140</v>
      </c>
      <c r="L371" s="257">
        <v>0</v>
      </c>
      <c r="M371" s="70" t="s">
        <v>250</v>
      </c>
      <c r="N371" s="70">
        <v>100</v>
      </c>
      <c r="O371" s="258">
        <v>8</v>
      </c>
      <c r="P371" s="70" t="s">
        <v>251</v>
      </c>
      <c r="Q371" s="70" t="s">
        <v>233</v>
      </c>
      <c r="R371" s="70" t="s">
        <v>240</v>
      </c>
      <c r="S371" s="70" t="s">
        <v>233</v>
      </c>
      <c r="T371" s="70" t="s">
        <v>233</v>
      </c>
      <c r="U371" s="70" t="s">
        <v>1427</v>
      </c>
      <c r="V371" s="70" t="s">
        <v>240</v>
      </c>
      <c r="W371" s="12"/>
      <c r="X371" s="242">
        <v>558.92999999999995</v>
      </c>
      <c r="Y371" s="242">
        <v>535.29000000000008</v>
      </c>
      <c r="Z371" s="242">
        <v>97.26</v>
      </c>
      <c r="AA371" s="157" t="s">
        <v>252</v>
      </c>
      <c r="AB371" s="242">
        <v>60.01</v>
      </c>
      <c r="AC371" s="157" t="s">
        <v>252</v>
      </c>
      <c r="AD371" s="242">
        <v>93.08</v>
      </c>
      <c r="AE371" s="157" t="s">
        <v>252</v>
      </c>
      <c r="AF371" s="242">
        <v>34.17</v>
      </c>
      <c r="AG371" s="157" t="s">
        <v>252</v>
      </c>
      <c r="AH371" s="242">
        <v>78.09</v>
      </c>
      <c r="AI371" s="157" t="s">
        <v>252</v>
      </c>
      <c r="AJ371" s="242">
        <v>12.6366</v>
      </c>
      <c r="AK371" s="242" t="s">
        <v>252</v>
      </c>
      <c r="AL371" s="242">
        <v>12.6366</v>
      </c>
      <c r="AM371" s="242" t="s">
        <v>252</v>
      </c>
      <c r="AN371" s="242">
        <v>12.6366</v>
      </c>
      <c r="AO371" s="242" t="s">
        <v>252</v>
      </c>
      <c r="AP371" s="242">
        <v>6.67</v>
      </c>
      <c r="AQ371" s="242" t="s">
        <v>252</v>
      </c>
      <c r="AR371" s="242">
        <v>69.41</v>
      </c>
      <c r="AS371" s="242" t="s">
        <v>252</v>
      </c>
      <c r="AT371" s="242">
        <v>12.12</v>
      </c>
      <c r="AU371" s="242" t="s">
        <v>252</v>
      </c>
      <c r="AV371" s="242">
        <v>60.31</v>
      </c>
      <c r="AW371" s="157" t="s">
        <v>252</v>
      </c>
      <c r="AX371" s="157">
        <v>1643.2498000000001</v>
      </c>
      <c r="AY371" s="240">
        <v>0.28999999999999998</v>
      </c>
      <c r="AZ371" s="156" t="s">
        <v>253</v>
      </c>
      <c r="BA371" s="156" t="s">
        <v>254</v>
      </c>
      <c r="BB371" s="156">
        <v>0</v>
      </c>
      <c r="BC371" s="156" t="s">
        <v>1423</v>
      </c>
      <c r="BD371" s="3"/>
    </row>
    <row r="372" spans="1:56" ht="15.75" hidden="1" customHeight="1" outlineLevel="1">
      <c r="A372" s="58">
        <v>362</v>
      </c>
      <c r="B372" s="11">
        <v>129362</v>
      </c>
      <c r="C372" s="89" t="s">
        <v>298</v>
      </c>
      <c r="D372" s="157" t="s">
        <v>301</v>
      </c>
      <c r="E372" s="12" t="s">
        <v>191</v>
      </c>
      <c r="F372" s="11" t="s">
        <v>246</v>
      </c>
      <c r="G372" s="18" t="s">
        <v>247</v>
      </c>
      <c r="H372" s="11" t="s">
        <v>248</v>
      </c>
      <c r="I372" s="87" t="s">
        <v>249</v>
      </c>
      <c r="J372" s="19" t="s">
        <v>139</v>
      </c>
      <c r="K372" s="17" t="s">
        <v>140</v>
      </c>
      <c r="L372" s="257">
        <v>0</v>
      </c>
      <c r="M372" s="70" t="s">
        <v>250</v>
      </c>
      <c r="N372" s="70">
        <v>80</v>
      </c>
      <c r="O372" s="258">
        <v>8</v>
      </c>
      <c r="P372" s="70" t="s">
        <v>251</v>
      </c>
      <c r="Q372" s="70" t="s">
        <v>240</v>
      </c>
      <c r="R372" s="70" t="s">
        <v>240</v>
      </c>
      <c r="S372" s="70" t="s">
        <v>233</v>
      </c>
      <c r="T372" s="70" t="s">
        <v>233</v>
      </c>
      <c r="U372" s="70" t="s">
        <v>1427</v>
      </c>
      <c r="V372" s="70" t="s">
        <v>240</v>
      </c>
      <c r="W372" s="12"/>
      <c r="X372" s="242">
        <v>2051.8200000000002</v>
      </c>
      <c r="Y372" s="242">
        <v>1611.09</v>
      </c>
      <c r="Z372" s="242">
        <v>271.25</v>
      </c>
      <c r="AA372" s="157" t="s">
        <v>252</v>
      </c>
      <c r="AB372" s="242">
        <v>226.04</v>
      </c>
      <c r="AC372" s="157" t="s">
        <v>252</v>
      </c>
      <c r="AD372" s="242">
        <v>301.29000000000002</v>
      </c>
      <c r="AE372" s="157" t="s">
        <v>252</v>
      </c>
      <c r="AF372" s="242">
        <v>165.27</v>
      </c>
      <c r="AG372" s="157" t="s">
        <v>252</v>
      </c>
      <c r="AH372" s="242">
        <v>38.909999999999997</v>
      </c>
      <c r="AI372" s="157" t="s">
        <v>252</v>
      </c>
      <c r="AJ372" s="242">
        <v>3.75</v>
      </c>
      <c r="AK372" s="242" t="s">
        <v>252</v>
      </c>
      <c r="AL372" s="242">
        <v>0</v>
      </c>
      <c r="AM372" s="242" t="s">
        <v>252</v>
      </c>
      <c r="AN372" s="242">
        <v>0</v>
      </c>
      <c r="AO372" s="242" t="s">
        <v>252</v>
      </c>
      <c r="AP372" s="242">
        <v>0</v>
      </c>
      <c r="AQ372" s="242" t="s">
        <v>252</v>
      </c>
      <c r="AR372" s="242">
        <v>170.34</v>
      </c>
      <c r="AS372" s="242" t="s">
        <v>252</v>
      </c>
      <c r="AT372" s="242">
        <v>171.55</v>
      </c>
      <c r="AU372" s="242" t="s">
        <v>252</v>
      </c>
      <c r="AV372" s="242">
        <v>210.9</v>
      </c>
      <c r="AW372" s="157" t="s">
        <v>252</v>
      </c>
      <c r="AX372" s="157">
        <v>5222.21</v>
      </c>
      <c r="AY372" s="240">
        <v>0.73</v>
      </c>
      <c r="AZ372" s="156" t="s">
        <v>253</v>
      </c>
      <c r="BA372" s="156" t="s">
        <v>254</v>
      </c>
      <c r="BB372" s="156">
        <v>0</v>
      </c>
      <c r="BC372" s="156" t="s">
        <v>1423</v>
      </c>
      <c r="BD372" s="3"/>
    </row>
    <row r="373" spans="1:56" ht="15.75" hidden="1" customHeight="1" outlineLevel="1">
      <c r="A373" s="58">
        <v>363</v>
      </c>
      <c r="B373" s="11">
        <v>129363</v>
      </c>
      <c r="C373" s="89" t="s">
        <v>302</v>
      </c>
      <c r="D373" s="157">
        <v>10</v>
      </c>
      <c r="E373" s="12" t="s">
        <v>191</v>
      </c>
      <c r="F373" s="11" t="s">
        <v>246</v>
      </c>
      <c r="G373" s="18" t="s">
        <v>247</v>
      </c>
      <c r="H373" s="11" t="s">
        <v>248</v>
      </c>
      <c r="I373" s="87" t="s">
        <v>249</v>
      </c>
      <c r="J373" s="19" t="s">
        <v>139</v>
      </c>
      <c r="K373" s="17" t="s">
        <v>140</v>
      </c>
      <c r="L373" s="257">
        <v>0</v>
      </c>
      <c r="M373" s="70" t="s">
        <v>250</v>
      </c>
      <c r="N373" s="70">
        <v>80</v>
      </c>
      <c r="O373" s="258">
        <v>8</v>
      </c>
      <c r="P373" s="70" t="s">
        <v>251</v>
      </c>
      <c r="Q373" s="70" t="s">
        <v>233</v>
      </c>
      <c r="R373" s="70" t="s">
        <v>240</v>
      </c>
      <c r="S373" s="70" t="s">
        <v>240</v>
      </c>
      <c r="T373" s="70" t="s">
        <v>240</v>
      </c>
      <c r="U373" s="70" t="s">
        <v>1427</v>
      </c>
      <c r="V373" s="70" t="s">
        <v>240</v>
      </c>
      <c r="W373" s="12"/>
      <c r="X373" s="242">
        <v>358.89000000000004</v>
      </c>
      <c r="Y373" s="242">
        <v>380.45</v>
      </c>
      <c r="Z373" s="242">
        <v>50.67</v>
      </c>
      <c r="AA373" s="157" t="s">
        <v>259</v>
      </c>
      <c r="AB373" s="242">
        <v>39.79</v>
      </c>
      <c r="AC373" s="157" t="s">
        <v>259</v>
      </c>
      <c r="AD373" s="242">
        <v>50.18</v>
      </c>
      <c r="AE373" s="157" t="s">
        <v>259</v>
      </c>
      <c r="AF373" s="242">
        <v>38.06</v>
      </c>
      <c r="AG373" s="157" t="s">
        <v>259</v>
      </c>
      <c r="AH373" s="242">
        <v>12.14</v>
      </c>
      <c r="AI373" s="157" t="s">
        <v>259</v>
      </c>
      <c r="AJ373" s="242">
        <v>16.36</v>
      </c>
      <c r="AK373" s="242" t="s">
        <v>259</v>
      </c>
      <c r="AL373" s="242">
        <v>5.26</v>
      </c>
      <c r="AM373" s="242" t="s">
        <v>259</v>
      </c>
      <c r="AN373" s="242">
        <v>6.66</v>
      </c>
      <c r="AO373" s="242" t="s">
        <v>259</v>
      </c>
      <c r="AP373" s="242">
        <v>6.94</v>
      </c>
      <c r="AQ373" s="242" t="s">
        <v>259</v>
      </c>
      <c r="AR373" s="242">
        <v>22.72</v>
      </c>
      <c r="AS373" s="242" t="s">
        <v>259</v>
      </c>
      <c r="AT373" s="242">
        <v>36.119999999999997</v>
      </c>
      <c r="AU373" s="242" t="s">
        <v>259</v>
      </c>
      <c r="AV373" s="242">
        <v>44.7</v>
      </c>
      <c r="AW373" s="157" t="s">
        <v>259</v>
      </c>
      <c r="AX373" s="157">
        <v>1068.94</v>
      </c>
      <c r="AY373" s="240">
        <v>0.1525</v>
      </c>
      <c r="AZ373" s="156" t="s">
        <v>253</v>
      </c>
      <c r="BA373" s="156" t="s">
        <v>254</v>
      </c>
      <c r="BB373" s="157">
        <v>1</v>
      </c>
      <c r="BC373" s="156" t="s">
        <v>1423</v>
      </c>
      <c r="BD373" s="3"/>
    </row>
    <row r="374" spans="1:56" ht="15.75" hidden="1" customHeight="1" outlineLevel="1">
      <c r="A374" s="58">
        <v>364</v>
      </c>
      <c r="B374" s="11">
        <v>129364</v>
      </c>
      <c r="C374" s="89" t="s">
        <v>302</v>
      </c>
      <c r="D374" s="157">
        <v>14</v>
      </c>
      <c r="E374" s="12" t="s">
        <v>191</v>
      </c>
      <c r="F374" s="11" t="s">
        <v>246</v>
      </c>
      <c r="G374" s="18" t="s">
        <v>247</v>
      </c>
      <c r="H374" s="11" t="s">
        <v>248</v>
      </c>
      <c r="I374" s="87" t="s">
        <v>249</v>
      </c>
      <c r="J374" s="19" t="s">
        <v>139</v>
      </c>
      <c r="K374" s="17" t="s">
        <v>140</v>
      </c>
      <c r="L374" s="260">
        <v>1</v>
      </c>
      <c r="M374" s="70" t="s">
        <v>250</v>
      </c>
      <c r="N374" s="70">
        <v>80</v>
      </c>
      <c r="O374" s="258">
        <v>8</v>
      </c>
      <c r="P374" s="70" t="s">
        <v>251</v>
      </c>
      <c r="Q374" s="70" t="s">
        <v>233</v>
      </c>
      <c r="R374" s="70" t="s">
        <v>240</v>
      </c>
      <c r="S374" s="70" t="s">
        <v>233</v>
      </c>
      <c r="T374" s="70" t="s">
        <v>233</v>
      </c>
      <c r="U374" s="70" t="s">
        <v>1427</v>
      </c>
      <c r="V374" s="70" t="s">
        <v>240</v>
      </c>
      <c r="W374" s="12"/>
      <c r="X374" s="242">
        <v>876.70000000000016</v>
      </c>
      <c r="Y374" s="242">
        <v>862.78</v>
      </c>
      <c r="Z374" s="242">
        <v>148.44999999999999</v>
      </c>
      <c r="AA374" s="157" t="s">
        <v>252</v>
      </c>
      <c r="AB374" s="242">
        <v>106.24</v>
      </c>
      <c r="AC374" s="157" t="s">
        <v>252</v>
      </c>
      <c r="AD374" s="242">
        <v>139.88999999999999</v>
      </c>
      <c r="AE374" s="157" t="s">
        <v>252</v>
      </c>
      <c r="AF374" s="242">
        <v>93.21</v>
      </c>
      <c r="AG374" s="157" t="s">
        <v>252</v>
      </c>
      <c r="AH374" s="242">
        <v>39.909999999999997</v>
      </c>
      <c r="AI374" s="157" t="s">
        <v>252</v>
      </c>
      <c r="AJ374" s="242">
        <v>15.79</v>
      </c>
      <c r="AK374" s="242" t="s">
        <v>252</v>
      </c>
      <c r="AL374" s="242">
        <v>14.05</v>
      </c>
      <c r="AM374" s="242" t="s">
        <v>252</v>
      </c>
      <c r="AN374" s="242">
        <v>24.25</v>
      </c>
      <c r="AO374" s="242" t="s">
        <v>252</v>
      </c>
      <c r="AP374" s="242">
        <v>17.82</v>
      </c>
      <c r="AQ374" s="242" t="s">
        <v>252</v>
      </c>
      <c r="AR374" s="242">
        <v>89.26</v>
      </c>
      <c r="AS374" s="242" t="s">
        <v>252</v>
      </c>
      <c r="AT374" s="242">
        <v>101.2</v>
      </c>
      <c r="AU374" s="242" t="s">
        <v>252</v>
      </c>
      <c r="AV374" s="242">
        <v>117.16</v>
      </c>
      <c r="AW374" s="157" t="s">
        <v>252</v>
      </c>
      <c r="AX374" s="157">
        <v>2646.71</v>
      </c>
      <c r="AY374" s="240">
        <v>0.35</v>
      </c>
      <c r="AZ374" s="156" t="s">
        <v>253</v>
      </c>
      <c r="BA374" s="156" t="s">
        <v>254</v>
      </c>
      <c r="BB374" s="156">
        <v>1</v>
      </c>
      <c r="BC374" s="156" t="s">
        <v>1423</v>
      </c>
      <c r="BD374" s="3"/>
    </row>
    <row r="375" spans="1:56" ht="15.75" hidden="1" customHeight="1" outlineLevel="1">
      <c r="A375" s="58">
        <v>365</v>
      </c>
      <c r="B375" s="11">
        <v>129365</v>
      </c>
      <c r="C375" s="89" t="s">
        <v>302</v>
      </c>
      <c r="D375" s="157">
        <v>15</v>
      </c>
      <c r="E375" s="12" t="s">
        <v>191</v>
      </c>
      <c r="F375" s="11" t="s">
        <v>246</v>
      </c>
      <c r="G375" s="18" t="s">
        <v>247</v>
      </c>
      <c r="H375" s="11" t="s">
        <v>248</v>
      </c>
      <c r="I375" s="87" t="s">
        <v>249</v>
      </c>
      <c r="J375" s="19" t="s">
        <v>139</v>
      </c>
      <c r="K375" s="17" t="s">
        <v>140</v>
      </c>
      <c r="L375" s="260">
        <v>1</v>
      </c>
      <c r="M375" s="70" t="s">
        <v>250</v>
      </c>
      <c r="N375" s="70">
        <v>80</v>
      </c>
      <c r="O375" s="258">
        <v>8</v>
      </c>
      <c r="P375" s="70" t="s">
        <v>251</v>
      </c>
      <c r="Q375" s="70" t="s">
        <v>233</v>
      </c>
      <c r="R375" s="70" t="s">
        <v>240</v>
      </c>
      <c r="S375" s="70" t="s">
        <v>233</v>
      </c>
      <c r="T375" s="70" t="s">
        <v>233</v>
      </c>
      <c r="U375" s="70" t="s">
        <v>1427</v>
      </c>
      <c r="V375" s="70" t="s">
        <v>240</v>
      </c>
      <c r="W375" s="12"/>
      <c r="X375" s="242">
        <v>1198.3000000000002</v>
      </c>
      <c r="Y375" s="242">
        <v>1093.9999999999998</v>
      </c>
      <c r="Z375" s="242">
        <v>172.47</v>
      </c>
      <c r="AA375" s="157" t="s">
        <v>252</v>
      </c>
      <c r="AB375" s="242">
        <v>129.62</v>
      </c>
      <c r="AC375" s="157" t="s">
        <v>252</v>
      </c>
      <c r="AD375" s="242">
        <v>170.19</v>
      </c>
      <c r="AE375" s="157" t="s">
        <v>252</v>
      </c>
      <c r="AF375" s="242">
        <v>104.34</v>
      </c>
      <c r="AG375" s="157" t="s">
        <v>252</v>
      </c>
      <c r="AH375" s="242">
        <v>47.64</v>
      </c>
      <c r="AI375" s="157" t="s">
        <v>252</v>
      </c>
      <c r="AJ375" s="242">
        <v>15.41</v>
      </c>
      <c r="AK375" s="242" t="s">
        <v>252</v>
      </c>
      <c r="AL375" s="242">
        <v>14.04</v>
      </c>
      <c r="AM375" s="242" t="s">
        <v>252</v>
      </c>
      <c r="AN375" s="242">
        <v>15.95</v>
      </c>
      <c r="AO375" s="242" t="s">
        <v>252</v>
      </c>
      <c r="AP375" s="242">
        <v>20.28</v>
      </c>
      <c r="AQ375" s="242" t="s">
        <v>252</v>
      </c>
      <c r="AR375" s="242">
        <v>94.48</v>
      </c>
      <c r="AS375" s="242" t="s">
        <v>252</v>
      </c>
      <c r="AT375" s="242">
        <v>113.94</v>
      </c>
      <c r="AU375" s="242" t="s">
        <v>252</v>
      </c>
      <c r="AV375" s="242">
        <v>134.24</v>
      </c>
      <c r="AW375" s="157" t="s">
        <v>252</v>
      </c>
      <c r="AX375" s="157">
        <v>3324.8999999999996</v>
      </c>
      <c r="AY375" s="240">
        <v>0.36</v>
      </c>
      <c r="AZ375" s="156" t="s">
        <v>253</v>
      </c>
      <c r="BA375" s="156" t="s">
        <v>254</v>
      </c>
      <c r="BB375" s="156">
        <v>1</v>
      </c>
      <c r="BC375" s="156" t="s">
        <v>1423</v>
      </c>
      <c r="BD375" s="3"/>
    </row>
    <row r="376" spans="1:56" ht="15.75" hidden="1" customHeight="1" outlineLevel="1">
      <c r="A376" s="58">
        <v>366</v>
      </c>
      <c r="B376" s="11">
        <v>129366</v>
      </c>
      <c r="C376" s="89" t="s">
        <v>303</v>
      </c>
      <c r="D376" s="157">
        <v>6</v>
      </c>
      <c r="E376" s="12" t="s">
        <v>191</v>
      </c>
      <c r="F376" s="11" t="s">
        <v>246</v>
      </c>
      <c r="G376" s="18" t="s">
        <v>247</v>
      </c>
      <c r="H376" s="11" t="s">
        <v>248</v>
      </c>
      <c r="I376" s="87" t="s">
        <v>249</v>
      </c>
      <c r="J376" s="19" t="s">
        <v>139</v>
      </c>
      <c r="K376" s="17" t="s">
        <v>140</v>
      </c>
      <c r="L376" s="260">
        <v>1</v>
      </c>
      <c r="M376" s="70" t="s">
        <v>250</v>
      </c>
      <c r="N376" s="70">
        <v>100</v>
      </c>
      <c r="O376" s="258">
        <v>8</v>
      </c>
      <c r="P376" s="70" t="s">
        <v>251</v>
      </c>
      <c r="Q376" s="70" t="s">
        <v>233</v>
      </c>
      <c r="R376" s="70" t="s">
        <v>240</v>
      </c>
      <c r="S376" s="70" t="s">
        <v>233</v>
      </c>
      <c r="T376" s="70" t="s">
        <v>233</v>
      </c>
      <c r="U376" s="70" t="s">
        <v>1427</v>
      </c>
      <c r="V376" s="70" t="s">
        <v>240</v>
      </c>
      <c r="W376" s="12"/>
      <c r="X376" s="242">
        <v>1051.4500000000003</v>
      </c>
      <c r="Y376" s="242">
        <v>948.21</v>
      </c>
      <c r="Z376" s="242">
        <v>122.08</v>
      </c>
      <c r="AA376" s="157" t="s">
        <v>252</v>
      </c>
      <c r="AB376" s="242">
        <v>99.93</v>
      </c>
      <c r="AC376" s="157" t="s">
        <v>252</v>
      </c>
      <c r="AD376" s="242">
        <v>136.08000000000001</v>
      </c>
      <c r="AE376" s="157" t="s">
        <v>252</v>
      </c>
      <c r="AF376" s="242">
        <v>90.99</v>
      </c>
      <c r="AG376" s="157" t="s">
        <v>252</v>
      </c>
      <c r="AH376" s="242">
        <v>39.840000000000003</v>
      </c>
      <c r="AI376" s="157" t="s">
        <v>252</v>
      </c>
      <c r="AJ376" s="242">
        <v>13.38</v>
      </c>
      <c r="AK376" s="242" t="s">
        <v>252</v>
      </c>
      <c r="AL376" s="242">
        <v>12.44</v>
      </c>
      <c r="AM376" s="242" t="s">
        <v>252</v>
      </c>
      <c r="AN376" s="242">
        <v>11.51</v>
      </c>
      <c r="AO376" s="242" t="s">
        <v>252</v>
      </c>
      <c r="AP376" s="242">
        <v>16.38</v>
      </c>
      <c r="AQ376" s="242" t="s">
        <v>252</v>
      </c>
      <c r="AR376" s="242">
        <v>76.209999999999994</v>
      </c>
      <c r="AS376" s="242" t="s">
        <v>252</v>
      </c>
      <c r="AT376" s="242">
        <v>89.6</v>
      </c>
      <c r="AU376" s="242" t="s">
        <v>252</v>
      </c>
      <c r="AV376" s="242">
        <v>109.24</v>
      </c>
      <c r="AW376" s="157" t="s">
        <v>252</v>
      </c>
      <c r="AX376" s="157">
        <v>2817.34</v>
      </c>
      <c r="AY376" s="240">
        <v>0.42</v>
      </c>
      <c r="AZ376" s="156" t="s">
        <v>253</v>
      </c>
      <c r="BA376" s="156" t="s">
        <v>254</v>
      </c>
      <c r="BB376" s="156">
        <v>1</v>
      </c>
      <c r="BC376" s="156" t="s">
        <v>1423</v>
      </c>
      <c r="BD376" s="3"/>
    </row>
    <row r="377" spans="1:56" ht="15.75" hidden="1" customHeight="1" outlineLevel="1">
      <c r="A377" s="58">
        <v>367</v>
      </c>
      <c r="B377" s="11">
        <v>129367</v>
      </c>
      <c r="C377" s="89" t="s">
        <v>303</v>
      </c>
      <c r="D377" s="157">
        <v>8</v>
      </c>
      <c r="E377" s="12" t="s">
        <v>191</v>
      </c>
      <c r="F377" s="11" t="s">
        <v>246</v>
      </c>
      <c r="G377" s="18" t="s">
        <v>247</v>
      </c>
      <c r="H377" s="11" t="s">
        <v>248</v>
      </c>
      <c r="I377" s="87" t="s">
        <v>249</v>
      </c>
      <c r="J377" s="19" t="s">
        <v>139</v>
      </c>
      <c r="K377" s="17" t="s">
        <v>140</v>
      </c>
      <c r="L377" s="257">
        <v>0</v>
      </c>
      <c r="M377" s="70" t="s">
        <v>250</v>
      </c>
      <c r="N377" s="70">
        <v>100</v>
      </c>
      <c r="O377" s="258">
        <v>8</v>
      </c>
      <c r="P377" s="70" t="s">
        <v>251</v>
      </c>
      <c r="Q377" s="70" t="s">
        <v>233</v>
      </c>
      <c r="R377" s="70" t="s">
        <v>240</v>
      </c>
      <c r="S377" s="70" t="s">
        <v>233</v>
      </c>
      <c r="T377" s="70" t="s">
        <v>233</v>
      </c>
      <c r="U377" s="70" t="s">
        <v>1427</v>
      </c>
      <c r="V377" s="70" t="s">
        <v>240</v>
      </c>
      <c r="W377" s="12"/>
      <c r="X377" s="242">
        <v>925.61000000000013</v>
      </c>
      <c r="Y377" s="242">
        <v>805.33999999999992</v>
      </c>
      <c r="Z377" s="242">
        <v>101.19</v>
      </c>
      <c r="AA377" s="157" t="s">
        <v>252</v>
      </c>
      <c r="AB377" s="242">
        <v>82.98</v>
      </c>
      <c r="AC377" s="157" t="s">
        <v>252</v>
      </c>
      <c r="AD377" s="242">
        <v>113.06</v>
      </c>
      <c r="AE377" s="157" t="s">
        <v>252</v>
      </c>
      <c r="AF377" s="242">
        <v>75.540000000000006</v>
      </c>
      <c r="AG377" s="157" t="s">
        <v>252</v>
      </c>
      <c r="AH377" s="242">
        <v>32.299999999999997</v>
      </c>
      <c r="AI377" s="157" t="s">
        <v>252</v>
      </c>
      <c r="AJ377" s="242">
        <v>16.79</v>
      </c>
      <c r="AK377" s="242" t="s">
        <v>252</v>
      </c>
      <c r="AL377" s="242">
        <v>15.63</v>
      </c>
      <c r="AM377" s="242" t="s">
        <v>252</v>
      </c>
      <c r="AN377" s="242">
        <v>14.34</v>
      </c>
      <c r="AO377" s="242" t="s">
        <v>252</v>
      </c>
      <c r="AP377" s="242">
        <v>20.41</v>
      </c>
      <c r="AQ377" s="242" t="s">
        <v>252</v>
      </c>
      <c r="AR377" s="242">
        <v>61.91</v>
      </c>
      <c r="AS377" s="242" t="s">
        <v>252</v>
      </c>
      <c r="AT377" s="242">
        <v>73.040000000000006</v>
      </c>
      <c r="AU377" s="242" t="s">
        <v>252</v>
      </c>
      <c r="AV377" s="242">
        <v>90.2</v>
      </c>
      <c r="AW377" s="157" t="s">
        <v>252</v>
      </c>
      <c r="AX377" s="157">
        <v>2428.34</v>
      </c>
      <c r="AY377" s="240">
        <v>0.33</v>
      </c>
      <c r="AZ377" s="156" t="s">
        <v>253</v>
      </c>
      <c r="BA377" s="156" t="s">
        <v>254</v>
      </c>
      <c r="BB377" s="156">
        <v>0</v>
      </c>
      <c r="BC377" s="156" t="s">
        <v>1423</v>
      </c>
      <c r="BD377" s="3"/>
    </row>
    <row r="378" spans="1:56" ht="15.75" hidden="1" customHeight="1" outlineLevel="1">
      <c r="A378" s="58">
        <v>368</v>
      </c>
      <c r="B378" s="11">
        <v>129368</v>
      </c>
      <c r="C378" s="89" t="s">
        <v>304</v>
      </c>
      <c r="D378" s="157">
        <v>10</v>
      </c>
      <c r="E378" s="12" t="s">
        <v>191</v>
      </c>
      <c r="F378" s="11" t="s">
        <v>246</v>
      </c>
      <c r="G378" s="18" t="s">
        <v>247</v>
      </c>
      <c r="H378" s="11" t="s">
        <v>248</v>
      </c>
      <c r="I378" s="87" t="s">
        <v>249</v>
      </c>
      <c r="J378" s="19" t="s">
        <v>139</v>
      </c>
      <c r="K378" s="17" t="s">
        <v>140</v>
      </c>
      <c r="L378" s="260">
        <v>1</v>
      </c>
      <c r="M378" s="70" t="s">
        <v>250</v>
      </c>
      <c r="N378" s="70">
        <v>100</v>
      </c>
      <c r="O378" s="258">
        <v>8</v>
      </c>
      <c r="P378" s="70" t="s">
        <v>251</v>
      </c>
      <c r="Q378" s="70" t="s">
        <v>233</v>
      </c>
      <c r="R378" s="70" t="s">
        <v>240</v>
      </c>
      <c r="S378" s="70" t="s">
        <v>233</v>
      </c>
      <c r="T378" s="70" t="s">
        <v>233</v>
      </c>
      <c r="U378" s="70" t="s">
        <v>1427</v>
      </c>
      <c r="V378" s="70" t="s">
        <v>240</v>
      </c>
      <c r="W378" s="12"/>
      <c r="X378" s="242">
        <v>513.93999999999994</v>
      </c>
      <c r="Y378" s="242">
        <v>482.64</v>
      </c>
      <c r="Z378" s="242">
        <v>86.59</v>
      </c>
      <c r="AA378" s="157" t="s">
        <v>252</v>
      </c>
      <c r="AB378" s="242">
        <v>66.099999999999994</v>
      </c>
      <c r="AC378" s="157" t="s">
        <v>252</v>
      </c>
      <c r="AD378" s="242">
        <v>90.66</v>
      </c>
      <c r="AE378" s="157" t="s">
        <v>252</v>
      </c>
      <c r="AF378" s="242">
        <v>63.81</v>
      </c>
      <c r="AG378" s="157" t="s">
        <v>252</v>
      </c>
      <c r="AH378" s="242">
        <v>26.21</v>
      </c>
      <c r="AI378" s="157" t="s">
        <v>252</v>
      </c>
      <c r="AJ378" s="242">
        <v>10.210000000000001</v>
      </c>
      <c r="AK378" s="242" t="s">
        <v>252</v>
      </c>
      <c r="AL378" s="242">
        <v>6.71</v>
      </c>
      <c r="AM378" s="242" t="s">
        <v>252</v>
      </c>
      <c r="AN378" s="242">
        <v>7.69</v>
      </c>
      <c r="AO378" s="242" t="s">
        <v>252</v>
      </c>
      <c r="AP378" s="242">
        <v>9.86</v>
      </c>
      <c r="AQ378" s="242" t="s">
        <v>252</v>
      </c>
      <c r="AR378" s="242">
        <v>50.69</v>
      </c>
      <c r="AS378" s="242" t="s">
        <v>252</v>
      </c>
      <c r="AT378" s="242">
        <v>51.07</v>
      </c>
      <c r="AU378" s="242" t="s">
        <v>252</v>
      </c>
      <c r="AV378" s="242">
        <v>54.03</v>
      </c>
      <c r="AW378" s="157" t="s">
        <v>252</v>
      </c>
      <c r="AX378" s="157">
        <v>1520.2099999999998</v>
      </c>
      <c r="AY378" s="240">
        <v>0.2</v>
      </c>
      <c r="AZ378" s="156" t="s">
        <v>253</v>
      </c>
      <c r="BA378" s="156" t="s">
        <v>254</v>
      </c>
      <c r="BB378" s="156">
        <v>1</v>
      </c>
      <c r="BC378" s="156" t="s">
        <v>1423</v>
      </c>
      <c r="BD378" s="3"/>
    </row>
    <row r="379" spans="1:56" ht="15.75" hidden="1" customHeight="1" outlineLevel="1">
      <c r="A379" s="58">
        <v>369</v>
      </c>
      <c r="B379" s="11">
        <v>129369</v>
      </c>
      <c r="C379" s="89" t="s">
        <v>304</v>
      </c>
      <c r="D379" s="157">
        <v>12</v>
      </c>
      <c r="E379" s="12" t="s">
        <v>191</v>
      </c>
      <c r="F379" s="11" t="s">
        <v>246</v>
      </c>
      <c r="G379" s="18" t="s">
        <v>247</v>
      </c>
      <c r="H379" s="11" t="s">
        <v>248</v>
      </c>
      <c r="I379" s="87" t="s">
        <v>249</v>
      </c>
      <c r="J379" s="19" t="s">
        <v>139</v>
      </c>
      <c r="K379" s="17" t="s">
        <v>140</v>
      </c>
      <c r="L379" s="257">
        <v>0</v>
      </c>
      <c r="M379" s="70" t="s">
        <v>250</v>
      </c>
      <c r="N379" s="70">
        <v>80</v>
      </c>
      <c r="O379" s="258">
        <v>8</v>
      </c>
      <c r="P379" s="70" t="s">
        <v>251</v>
      </c>
      <c r="Q379" s="70" t="s">
        <v>233</v>
      </c>
      <c r="R379" s="70" t="s">
        <v>240</v>
      </c>
      <c r="S379" s="70" t="s">
        <v>233</v>
      </c>
      <c r="T379" s="70" t="s">
        <v>233</v>
      </c>
      <c r="U379" s="70" t="s">
        <v>1427</v>
      </c>
      <c r="V379" s="70" t="s">
        <v>240</v>
      </c>
      <c r="W379" s="12"/>
      <c r="X379" s="242">
        <v>280.99</v>
      </c>
      <c r="Y379" s="242">
        <v>271.2</v>
      </c>
      <c r="Z379" s="242">
        <v>48.06</v>
      </c>
      <c r="AA379" s="157" t="s">
        <v>252</v>
      </c>
      <c r="AB379" s="242">
        <v>36.770000000000003</v>
      </c>
      <c r="AC379" s="157" t="s">
        <v>252</v>
      </c>
      <c r="AD379" s="242">
        <v>50.35</v>
      </c>
      <c r="AE379" s="157" t="s">
        <v>252</v>
      </c>
      <c r="AF379" s="242">
        <v>35.4</v>
      </c>
      <c r="AG379" s="157" t="s">
        <v>252</v>
      </c>
      <c r="AH379" s="242">
        <v>14.41</v>
      </c>
      <c r="AI379" s="157" t="s">
        <v>252</v>
      </c>
      <c r="AJ379" s="242">
        <v>6.5</v>
      </c>
      <c r="AK379" s="242" t="s">
        <v>252</v>
      </c>
      <c r="AL379" s="242">
        <v>4.47</v>
      </c>
      <c r="AM379" s="242" t="s">
        <v>252</v>
      </c>
      <c r="AN379" s="242">
        <v>5.16</v>
      </c>
      <c r="AO379" s="242" t="s">
        <v>252</v>
      </c>
      <c r="AP379" s="242">
        <v>6.47</v>
      </c>
      <c r="AQ379" s="242" t="s">
        <v>252</v>
      </c>
      <c r="AR379" s="242">
        <v>27.89</v>
      </c>
      <c r="AS379" s="242" t="s">
        <v>252</v>
      </c>
      <c r="AT379" s="242">
        <v>28.21</v>
      </c>
      <c r="AU379" s="242" t="s">
        <v>252</v>
      </c>
      <c r="AV379" s="242">
        <v>29.92</v>
      </c>
      <c r="AW379" s="157" t="s">
        <v>252</v>
      </c>
      <c r="AX379" s="157">
        <v>845.8</v>
      </c>
      <c r="AY379" s="240">
        <v>0.11</v>
      </c>
      <c r="AZ379" s="156" t="s">
        <v>253</v>
      </c>
      <c r="BA379" s="156" t="s">
        <v>254</v>
      </c>
      <c r="BB379" s="156">
        <v>0</v>
      </c>
      <c r="BC379" s="156" t="s">
        <v>1423</v>
      </c>
      <c r="BD379" s="3"/>
    </row>
    <row r="380" spans="1:56" ht="15.75" hidden="1" customHeight="1" outlineLevel="1">
      <c r="A380" s="58">
        <v>370</v>
      </c>
      <c r="B380" s="11">
        <v>129370</v>
      </c>
      <c r="C380" s="89" t="s">
        <v>304</v>
      </c>
      <c r="D380" s="157">
        <v>14</v>
      </c>
      <c r="E380" s="12" t="s">
        <v>191</v>
      </c>
      <c r="F380" s="11" t="s">
        <v>246</v>
      </c>
      <c r="G380" s="18" t="s">
        <v>247</v>
      </c>
      <c r="H380" s="11" t="s">
        <v>248</v>
      </c>
      <c r="I380" s="87" t="s">
        <v>249</v>
      </c>
      <c r="J380" s="19" t="s">
        <v>139</v>
      </c>
      <c r="K380" s="17" t="s">
        <v>140</v>
      </c>
      <c r="L380" s="257">
        <v>0</v>
      </c>
      <c r="M380" s="70" t="s">
        <v>250</v>
      </c>
      <c r="N380" s="70">
        <v>100</v>
      </c>
      <c r="O380" s="258">
        <v>8</v>
      </c>
      <c r="P380" s="70" t="s">
        <v>251</v>
      </c>
      <c r="Q380" s="70" t="s">
        <v>233</v>
      </c>
      <c r="R380" s="70" t="s">
        <v>240</v>
      </c>
      <c r="S380" s="70" t="s">
        <v>233</v>
      </c>
      <c r="T380" s="70" t="s">
        <v>233</v>
      </c>
      <c r="U380" s="70" t="s">
        <v>1427</v>
      </c>
      <c r="V380" s="70" t="s">
        <v>240</v>
      </c>
      <c r="W380" s="12"/>
      <c r="X380" s="242">
        <v>500.71588403343549</v>
      </c>
      <c r="Y380" s="242">
        <v>485.71178711247489</v>
      </c>
      <c r="Z380" s="242">
        <v>86.85433287482806</v>
      </c>
      <c r="AA380" s="157" t="s">
        <v>252</v>
      </c>
      <c r="AB380" s="242">
        <v>66.339418050999882</v>
      </c>
      <c r="AC380" s="157" t="s">
        <v>252</v>
      </c>
      <c r="AD380" s="242">
        <v>90.836793990053962</v>
      </c>
      <c r="AE380" s="157" t="s">
        <v>252</v>
      </c>
      <c r="AF380" s="242">
        <v>63.963914929637063</v>
      </c>
      <c r="AG380" s="157" t="s">
        <v>252</v>
      </c>
      <c r="AH380" s="242">
        <v>26.209135541212568</v>
      </c>
      <c r="AI380" s="157" t="s">
        <v>252</v>
      </c>
      <c r="AJ380" s="242">
        <v>10.742164850280393</v>
      </c>
      <c r="AK380" s="242" t="s">
        <v>252</v>
      </c>
      <c r="AL380" s="242">
        <v>7.1614432335202611</v>
      </c>
      <c r="AM380" s="242" t="s">
        <v>252</v>
      </c>
      <c r="AN380" s="242">
        <v>8.2181927838323983</v>
      </c>
      <c r="AO380" s="242" t="s">
        <v>252</v>
      </c>
      <c r="AP380" s="242">
        <v>10.471427362183896</v>
      </c>
      <c r="AQ380" s="242" t="s">
        <v>252</v>
      </c>
      <c r="AR380" s="242">
        <v>50.732711882340489</v>
      </c>
      <c r="AS380" s="242" t="s">
        <v>252</v>
      </c>
      <c r="AT380" s="242">
        <v>51.090784044016502</v>
      </c>
      <c r="AU380" s="242" t="s">
        <v>252</v>
      </c>
      <c r="AV380" s="242">
        <v>54.234832292879055</v>
      </c>
      <c r="AW380" s="157" t="s">
        <v>252</v>
      </c>
      <c r="AX380" s="157">
        <v>1513.2828229816951</v>
      </c>
      <c r="AY380" s="240">
        <v>0.20086974923288539</v>
      </c>
      <c r="AZ380" s="156" t="s">
        <v>253</v>
      </c>
      <c r="BA380" s="156" t="s">
        <v>254</v>
      </c>
      <c r="BB380" s="156">
        <v>0</v>
      </c>
      <c r="BC380" s="156" t="s">
        <v>1423</v>
      </c>
      <c r="BD380" s="3"/>
    </row>
    <row r="381" spans="1:56" ht="15.75" hidden="1" customHeight="1" outlineLevel="1">
      <c r="A381" s="58">
        <v>371</v>
      </c>
      <c r="B381" s="11">
        <v>129371</v>
      </c>
      <c r="C381" s="89" t="s">
        <v>304</v>
      </c>
      <c r="D381" s="157">
        <v>14</v>
      </c>
      <c r="E381" s="12" t="s">
        <v>231</v>
      </c>
      <c r="F381" s="11" t="s">
        <v>246</v>
      </c>
      <c r="G381" s="18" t="s">
        <v>247</v>
      </c>
      <c r="H381" s="11" t="s">
        <v>248</v>
      </c>
      <c r="I381" s="87" t="s">
        <v>249</v>
      </c>
      <c r="J381" s="19" t="s">
        <v>139</v>
      </c>
      <c r="K381" s="17" t="s">
        <v>140</v>
      </c>
      <c r="L381" s="257">
        <v>0</v>
      </c>
      <c r="M381" s="70" t="s">
        <v>250</v>
      </c>
      <c r="N381" s="70">
        <v>100</v>
      </c>
      <c r="O381" s="258">
        <v>8</v>
      </c>
      <c r="P381" s="70" t="s">
        <v>251</v>
      </c>
      <c r="Q381" s="70" t="s">
        <v>233</v>
      </c>
      <c r="R381" s="70" t="s">
        <v>240</v>
      </c>
      <c r="S381" s="70" t="s">
        <v>233</v>
      </c>
      <c r="T381" s="70" t="s">
        <v>233</v>
      </c>
      <c r="U381" s="70" t="s">
        <v>1427</v>
      </c>
      <c r="V381" s="70" t="s">
        <v>240</v>
      </c>
      <c r="W381" s="12"/>
      <c r="X381" s="242">
        <v>72.61411596656437</v>
      </c>
      <c r="Y381" s="242">
        <v>70.43821288752514</v>
      </c>
      <c r="Z381" s="242">
        <v>12.595667125171939</v>
      </c>
      <c r="AA381" s="157" t="s">
        <v>252</v>
      </c>
      <c r="AB381" s="242">
        <v>9.6205819490001048</v>
      </c>
      <c r="AC381" s="157" t="s">
        <v>252</v>
      </c>
      <c r="AD381" s="242">
        <v>13.173206009946037</v>
      </c>
      <c r="AE381" s="157" t="s">
        <v>252</v>
      </c>
      <c r="AF381" s="242">
        <v>9.2760850703629245</v>
      </c>
      <c r="AG381" s="157" t="s">
        <v>252</v>
      </c>
      <c r="AH381" s="242">
        <v>3.8008644587874301</v>
      </c>
      <c r="AI381" s="157" t="s">
        <v>252</v>
      </c>
      <c r="AJ381" s="242">
        <v>1.5578351497196063</v>
      </c>
      <c r="AK381" s="242" t="s">
        <v>252</v>
      </c>
      <c r="AL381" s="242">
        <v>1.0385567664797375</v>
      </c>
      <c r="AM381" s="242" t="s">
        <v>252</v>
      </c>
      <c r="AN381" s="242">
        <v>1.1918072161676012</v>
      </c>
      <c r="AO381" s="242" t="s">
        <v>252</v>
      </c>
      <c r="AP381" s="242">
        <v>1.5185726378161042</v>
      </c>
      <c r="AQ381" s="242" t="s">
        <v>252</v>
      </c>
      <c r="AR381" s="242">
        <v>7.3572881176595075</v>
      </c>
      <c r="AS381" s="242" t="s">
        <v>252</v>
      </c>
      <c r="AT381" s="242">
        <v>7.4092159559834938</v>
      </c>
      <c r="AU381" s="242" t="s">
        <v>252</v>
      </c>
      <c r="AV381" s="242">
        <v>7.8651677071209392</v>
      </c>
      <c r="AW381" s="157" t="s">
        <v>252</v>
      </c>
      <c r="AX381" s="157">
        <v>219.45717701830492</v>
      </c>
      <c r="AY381" s="243">
        <v>2.913025076711459E-2</v>
      </c>
      <c r="AZ381" s="156" t="s">
        <v>253</v>
      </c>
      <c r="BA381" s="156" t="s">
        <v>254</v>
      </c>
      <c r="BB381" s="156">
        <v>0</v>
      </c>
      <c r="BC381" s="156" t="s">
        <v>1423</v>
      </c>
      <c r="BD381" s="3"/>
    </row>
    <row r="382" spans="1:56" ht="15.75" hidden="1" customHeight="1" outlineLevel="1">
      <c r="A382" s="58">
        <v>372</v>
      </c>
      <c r="B382" s="11">
        <v>129372</v>
      </c>
      <c r="C382" s="89" t="s">
        <v>304</v>
      </c>
      <c r="D382" s="157">
        <v>20</v>
      </c>
      <c r="E382" s="12" t="s">
        <v>191</v>
      </c>
      <c r="F382" s="11" t="s">
        <v>246</v>
      </c>
      <c r="G382" s="18" t="s">
        <v>247</v>
      </c>
      <c r="H382" s="11" t="s">
        <v>248</v>
      </c>
      <c r="I382" s="87" t="s">
        <v>249</v>
      </c>
      <c r="J382" s="19" t="s">
        <v>139</v>
      </c>
      <c r="K382" s="17" t="s">
        <v>140</v>
      </c>
      <c r="L382" s="257">
        <v>0</v>
      </c>
      <c r="M382" s="70" t="s">
        <v>250</v>
      </c>
      <c r="N382" s="70">
        <v>100</v>
      </c>
      <c r="O382" s="258">
        <v>8</v>
      </c>
      <c r="P382" s="70" t="s">
        <v>251</v>
      </c>
      <c r="Q382" s="70" t="s">
        <v>233</v>
      </c>
      <c r="R382" s="70" t="s">
        <v>240</v>
      </c>
      <c r="S382" s="70" t="s">
        <v>233</v>
      </c>
      <c r="T382" s="70" t="s">
        <v>233</v>
      </c>
      <c r="U382" s="70" t="s">
        <v>1427</v>
      </c>
      <c r="V382" s="70" t="s">
        <v>240</v>
      </c>
      <c r="W382" s="12"/>
      <c r="X382" s="242">
        <v>390.18915571665912</v>
      </c>
      <c r="Y382" s="242">
        <v>360.48318985047581</v>
      </c>
      <c r="Z382" s="242">
        <v>32.732638574233498</v>
      </c>
      <c r="AA382" s="157" t="s">
        <v>259</v>
      </c>
      <c r="AB382" s="242">
        <v>32.452257967074459</v>
      </c>
      <c r="AC382" s="157" t="s">
        <v>259</v>
      </c>
      <c r="AD382" s="242">
        <v>32.193445098927654</v>
      </c>
      <c r="AE382" s="157" t="s">
        <v>259</v>
      </c>
      <c r="AF382" s="242">
        <v>32.006524694154962</v>
      </c>
      <c r="AG382" s="157" t="s">
        <v>259</v>
      </c>
      <c r="AH382" s="242">
        <v>32.200634345265065</v>
      </c>
      <c r="AI382" s="157" t="s">
        <v>259</v>
      </c>
      <c r="AJ382" s="242">
        <v>9.4466696873584048</v>
      </c>
      <c r="AK382" s="242" t="s">
        <v>259</v>
      </c>
      <c r="AL382" s="242">
        <v>10.719166289080199</v>
      </c>
      <c r="AM382" s="242" t="s">
        <v>259</v>
      </c>
      <c r="AN382" s="242">
        <v>4.2991693097719379</v>
      </c>
      <c r="AO382" s="242" t="s">
        <v>259</v>
      </c>
      <c r="AP382" s="242">
        <v>9.4757861350249204</v>
      </c>
      <c r="AQ382" s="242" t="s">
        <v>259</v>
      </c>
      <c r="AR382" s="242">
        <v>30.726838846095756</v>
      </c>
      <c r="AS382" s="242" t="s">
        <v>259</v>
      </c>
      <c r="AT382" s="242">
        <v>30.76997432412022</v>
      </c>
      <c r="AU382" s="242" t="s">
        <v>259</v>
      </c>
      <c r="AV382" s="242">
        <v>39.174203292553997</v>
      </c>
      <c r="AW382" s="157" t="s">
        <v>252</v>
      </c>
      <c r="AX382" s="157">
        <v>1046.8696541307961</v>
      </c>
      <c r="AY382" s="240">
        <v>0.15672557015556562</v>
      </c>
      <c r="AZ382" s="156" t="s">
        <v>253</v>
      </c>
      <c r="BA382" s="156" t="s">
        <v>254</v>
      </c>
      <c r="BB382" s="156">
        <v>0</v>
      </c>
      <c r="BC382" s="156" t="s">
        <v>1423</v>
      </c>
      <c r="BD382" s="3"/>
    </row>
    <row r="383" spans="1:56" ht="15.75" hidden="1" customHeight="1" outlineLevel="1">
      <c r="A383" s="58">
        <v>373</v>
      </c>
      <c r="B383" s="11">
        <v>129373</v>
      </c>
      <c r="C383" s="89" t="s">
        <v>304</v>
      </c>
      <c r="D383" s="157">
        <v>20</v>
      </c>
      <c r="E383" s="12" t="s">
        <v>231</v>
      </c>
      <c r="F383" s="11" t="s">
        <v>246</v>
      </c>
      <c r="G383" s="18" t="s">
        <v>247</v>
      </c>
      <c r="H383" s="11" t="s">
        <v>248</v>
      </c>
      <c r="I383" s="87" t="s">
        <v>249</v>
      </c>
      <c r="J383" s="19" t="s">
        <v>139</v>
      </c>
      <c r="K383" s="17" t="s">
        <v>140</v>
      </c>
      <c r="L383" s="257">
        <v>0</v>
      </c>
      <c r="M383" s="70" t="s">
        <v>250</v>
      </c>
      <c r="N383" s="70">
        <v>100</v>
      </c>
      <c r="O383" s="258">
        <v>8</v>
      </c>
      <c r="P383" s="70" t="s">
        <v>251</v>
      </c>
      <c r="Q383" s="70" t="s">
        <v>233</v>
      </c>
      <c r="R383" s="70" t="s">
        <v>240</v>
      </c>
      <c r="S383" s="70" t="s">
        <v>233</v>
      </c>
      <c r="T383" s="70" t="s">
        <v>233</v>
      </c>
      <c r="U383" s="70" t="s">
        <v>1427</v>
      </c>
      <c r="V383" s="70" t="s">
        <v>240</v>
      </c>
      <c r="W383" s="12"/>
      <c r="X383" s="242">
        <v>152.55084428334087</v>
      </c>
      <c r="Y383" s="242">
        <v>140.93681014952423</v>
      </c>
      <c r="Z383" s="242">
        <v>12.7973614257665</v>
      </c>
      <c r="AA383" s="157" t="s">
        <v>259</v>
      </c>
      <c r="AB383" s="242">
        <v>12.687742032925538</v>
      </c>
      <c r="AC383" s="157" t="s">
        <v>259</v>
      </c>
      <c r="AD383" s="242">
        <v>12.586554901072345</v>
      </c>
      <c r="AE383" s="157" t="s">
        <v>259</v>
      </c>
      <c r="AF383" s="242">
        <v>12.513475305845038</v>
      </c>
      <c r="AG383" s="157" t="s">
        <v>259</v>
      </c>
      <c r="AH383" s="242">
        <v>12.589365654734932</v>
      </c>
      <c r="AI383" s="157" t="s">
        <v>259</v>
      </c>
      <c r="AJ383" s="242">
        <v>3.6933303126415948</v>
      </c>
      <c r="AK383" s="242" t="s">
        <v>259</v>
      </c>
      <c r="AL383" s="242">
        <v>4.1908337109197999</v>
      </c>
      <c r="AM383" s="242" t="s">
        <v>259</v>
      </c>
      <c r="AN383" s="242">
        <v>1.6808306902280621</v>
      </c>
      <c r="AO383" s="242" t="s">
        <v>259</v>
      </c>
      <c r="AP383" s="242">
        <v>3.704713864975079</v>
      </c>
      <c r="AQ383" s="242" t="s">
        <v>259</v>
      </c>
      <c r="AR383" s="242">
        <v>12.013161153904242</v>
      </c>
      <c r="AS383" s="242" t="s">
        <v>259</v>
      </c>
      <c r="AT383" s="242">
        <v>12.030025675879774</v>
      </c>
      <c r="AU383" s="242" t="s">
        <v>259</v>
      </c>
      <c r="AV383" s="242">
        <v>15.315796707446005</v>
      </c>
      <c r="AW383" s="157" t="s">
        <v>252</v>
      </c>
      <c r="AX383" s="157">
        <v>409.29084586920396</v>
      </c>
      <c r="AY383" s="243">
        <v>6.1274429844434368E-2</v>
      </c>
      <c r="AZ383" s="156" t="s">
        <v>253</v>
      </c>
      <c r="BA383" s="156" t="s">
        <v>254</v>
      </c>
      <c r="BB383" s="156">
        <v>0</v>
      </c>
      <c r="BC383" s="156" t="s">
        <v>1423</v>
      </c>
      <c r="BD383" s="3"/>
    </row>
    <row r="384" spans="1:56" ht="15.75" hidden="1" customHeight="1" outlineLevel="1">
      <c r="A384" s="58">
        <v>374</v>
      </c>
      <c r="B384" s="11">
        <v>129374</v>
      </c>
      <c r="C384" s="89" t="s">
        <v>304</v>
      </c>
      <c r="D384" s="157">
        <v>22</v>
      </c>
      <c r="E384" s="12" t="s">
        <v>191</v>
      </c>
      <c r="F384" s="11" t="s">
        <v>246</v>
      </c>
      <c r="G384" s="18" t="s">
        <v>247</v>
      </c>
      <c r="H384" s="11" t="s">
        <v>248</v>
      </c>
      <c r="I384" s="87" t="s">
        <v>249</v>
      </c>
      <c r="J384" s="19" t="s">
        <v>139</v>
      </c>
      <c r="K384" s="17" t="s">
        <v>140</v>
      </c>
      <c r="L384" s="257">
        <v>0</v>
      </c>
      <c r="M384" s="70" t="s">
        <v>250</v>
      </c>
      <c r="N384" s="70">
        <v>100</v>
      </c>
      <c r="O384" s="258">
        <v>8</v>
      </c>
      <c r="P384" s="70" t="s">
        <v>251</v>
      </c>
      <c r="Q384" s="70" t="s">
        <v>233</v>
      </c>
      <c r="R384" s="70" t="s">
        <v>240</v>
      </c>
      <c r="S384" s="70" t="s">
        <v>233</v>
      </c>
      <c r="T384" s="70" t="s">
        <v>233</v>
      </c>
      <c r="U384" s="70" t="s">
        <v>1427</v>
      </c>
      <c r="V384" s="70" t="s">
        <v>240</v>
      </c>
      <c r="W384" s="12"/>
      <c r="X384" s="242">
        <v>913.00000000000011</v>
      </c>
      <c r="Y384" s="242">
        <v>837.97999999999979</v>
      </c>
      <c r="Z384" s="242">
        <v>99.51</v>
      </c>
      <c r="AA384" s="157" t="s">
        <v>259</v>
      </c>
      <c r="AB384" s="242">
        <v>101.09</v>
      </c>
      <c r="AC384" s="157" t="s">
        <v>259</v>
      </c>
      <c r="AD384" s="242">
        <v>92.06</v>
      </c>
      <c r="AE384" s="157" t="s">
        <v>259</v>
      </c>
      <c r="AF384" s="242">
        <v>59.2</v>
      </c>
      <c r="AG384" s="157" t="s">
        <v>259</v>
      </c>
      <c r="AH384" s="242">
        <v>35.56</v>
      </c>
      <c r="AI384" s="157" t="s">
        <v>259</v>
      </c>
      <c r="AJ384" s="242">
        <v>10.49</v>
      </c>
      <c r="AK384" s="242" t="s">
        <v>259</v>
      </c>
      <c r="AL384" s="242">
        <v>12.28</v>
      </c>
      <c r="AM384" s="242" t="s">
        <v>259</v>
      </c>
      <c r="AN384" s="242">
        <v>5.03</v>
      </c>
      <c r="AO384" s="242" t="s">
        <v>259</v>
      </c>
      <c r="AP384" s="242">
        <v>10.679130000000001</v>
      </c>
      <c r="AQ384" s="242" t="s">
        <v>259</v>
      </c>
      <c r="AR384" s="242">
        <v>57.04</v>
      </c>
      <c r="AS384" s="242" t="s">
        <v>259</v>
      </c>
      <c r="AT384" s="242">
        <v>60.3</v>
      </c>
      <c r="AU384" s="242" t="s">
        <v>259</v>
      </c>
      <c r="AV384" s="242">
        <v>92.27</v>
      </c>
      <c r="AW384" s="157" t="s">
        <v>252</v>
      </c>
      <c r="AX384" s="157">
        <v>2386.4891299999999</v>
      </c>
      <c r="AY384" s="240">
        <v>0.372</v>
      </c>
      <c r="AZ384" s="156" t="s">
        <v>253</v>
      </c>
      <c r="BA384" s="156" t="s">
        <v>254</v>
      </c>
      <c r="BB384" s="156">
        <v>0</v>
      </c>
      <c r="BC384" s="156" t="s">
        <v>1423</v>
      </c>
      <c r="BD384" s="3"/>
    </row>
    <row r="385" spans="1:56" ht="15.75" hidden="1" customHeight="1" outlineLevel="1">
      <c r="A385" s="58">
        <v>375</v>
      </c>
      <c r="B385" s="11">
        <v>129375</v>
      </c>
      <c r="C385" s="89" t="s">
        <v>304</v>
      </c>
      <c r="D385" s="157">
        <v>3</v>
      </c>
      <c r="E385" s="12" t="s">
        <v>191</v>
      </c>
      <c r="F385" s="11" t="s">
        <v>246</v>
      </c>
      <c r="G385" s="18" t="s">
        <v>247</v>
      </c>
      <c r="H385" s="11" t="s">
        <v>248</v>
      </c>
      <c r="I385" s="87" t="s">
        <v>249</v>
      </c>
      <c r="J385" s="19" t="s">
        <v>139</v>
      </c>
      <c r="K385" s="17" t="s">
        <v>140</v>
      </c>
      <c r="L385" s="257">
        <v>0</v>
      </c>
      <c r="M385" s="70" t="s">
        <v>250</v>
      </c>
      <c r="N385" s="70">
        <v>100</v>
      </c>
      <c r="O385" s="258">
        <v>8</v>
      </c>
      <c r="P385" s="70" t="s">
        <v>251</v>
      </c>
      <c r="Q385" s="70" t="s">
        <v>240</v>
      </c>
      <c r="R385" s="70" t="s">
        <v>240</v>
      </c>
      <c r="S385" s="70" t="s">
        <v>240</v>
      </c>
      <c r="T385" s="70" t="s">
        <v>240</v>
      </c>
      <c r="U385" s="70" t="s">
        <v>1427</v>
      </c>
      <c r="V385" s="70" t="s">
        <v>240</v>
      </c>
      <c r="W385" s="12"/>
      <c r="X385" s="242">
        <v>187.69058192149851</v>
      </c>
      <c r="Y385" s="242">
        <v>198.6468041671051</v>
      </c>
      <c r="Z385" s="242">
        <v>23.119099231821533</v>
      </c>
      <c r="AA385" s="157" t="s">
        <v>259</v>
      </c>
      <c r="AB385" s="242">
        <v>23.119099231821533</v>
      </c>
      <c r="AC385" s="157" t="s">
        <v>259</v>
      </c>
      <c r="AD385" s="242">
        <v>23.119099231821533</v>
      </c>
      <c r="AE385" s="157" t="s">
        <v>259</v>
      </c>
      <c r="AF385" s="242">
        <v>23.119099231821533</v>
      </c>
      <c r="AG385" s="157" t="s">
        <v>259</v>
      </c>
      <c r="AH385" s="242">
        <v>23.119099231821533</v>
      </c>
      <c r="AI385" s="157" t="s">
        <v>259</v>
      </c>
      <c r="AJ385" s="242">
        <v>0</v>
      </c>
      <c r="AK385" s="242" t="s">
        <v>259</v>
      </c>
      <c r="AL385" s="242">
        <v>0</v>
      </c>
      <c r="AM385" s="242" t="s">
        <v>259</v>
      </c>
      <c r="AN385" s="242">
        <v>0.85682626538987683</v>
      </c>
      <c r="AO385" s="242" t="s">
        <v>259</v>
      </c>
      <c r="AP385" s="242">
        <v>2.8239776912553931</v>
      </c>
      <c r="AQ385" s="242" t="s">
        <v>259</v>
      </c>
      <c r="AR385" s="242">
        <v>20.55876039145533</v>
      </c>
      <c r="AS385" s="242" t="s">
        <v>259</v>
      </c>
      <c r="AT385" s="242">
        <v>23.382738082710723</v>
      </c>
      <c r="AU385" s="242" t="s">
        <v>259</v>
      </c>
      <c r="AV385" s="242">
        <v>22.318042723350523</v>
      </c>
      <c r="AW385" s="157" t="s">
        <v>259</v>
      </c>
      <c r="AX385" s="157">
        <v>571.87322740187301</v>
      </c>
      <c r="AY385" s="240">
        <v>7.0979690624013478E-2</v>
      </c>
      <c r="AZ385" s="156" t="s">
        <v>253</v>
      </c>
      <c r="BA385" s="156" t="s">
        <v>254</v>
      </c>
      <c r="BB385" s="157">
        <v>1</v>
      </c>
      <c r="BC385" s="156" t="s">
        <v>1423</v>
      </c>
      <c r="BD385" s="3"/>
    </row>
    <row r="386" spans="1:56" ht="15.75" hidden="1" customHeight="1" outlineLevel="1">
      <c r="A386" s="58">
        <v>376</v>
      </c>
      <c r="B386" s="11">
        <v>129376</v>
      </c>
      <c r="C386" s="89" t="s">
        <v>304</v>
      </c>
      <c r="D386" s="157">
        <v>3</v>
      </c>
      <c r="E386" s="12" t="s">
        <v>231</v>
      </c>
      <c r="F386" s="11" t="s">
        <v>246</v>
      </c>
      <c r="G386" s="18" t="s">
        <v>247</v>
      </c>
      <c r="H386" s="11" t="s">
        <v>248</v>
      </c>
      <c r="I386" s="87" t="s">
        <v>249</v>
      </c>
      <c r="J386" s="19" t="s">
        <v>139</v>
      </c>
      <c r="K386" s="17" t="s">
        <v>140</v>
      </c>
      <c r="L386" s="257">
        <v>0</v>
      </c>
      <c r="M386" s="70" t="s">
        <v>250</v>
      </c>
      <c r="N386" s="70">
        <v>100</v>
      </c>
      <c r="O386" s="258">
        <v>8</v>
      </c>
      <c r="P386" s="70" t="s">
        <v>251</v>
      </c>
      <c r="Q386" s="70" t="s">
        <v>240</v>
      </c>
      <c r="R386" s="70" t="s">
        <v>240</v>
      </c>
      <c r="S386" s="70" t="s">
        <v>240</v>
      </c>
      <c r="T386" s="70" t="s">
        <v>240</v>
      </c>
      <c r="U386" s="70" t="s">
        <v>1427</v>
      </c>
      <c r="V386" s="70" t="s">
        <v>240</v>
      </c>
      <c r="W386" s="12"/>
      <c r="X386" s="242">
        <v>182.50941807850157</v>
      </c>
      <c r="Y386" s="242">
        <v>193.16319583289487</v>
      </c>
      <c r="Z386" s="242">
        <v>22.480900768178472</v>
      </c>
      <c r="AA386" s="157" t="s">
        <v>259</v>
      </c>
      <c r="AB386" s="242">
        <v>22.480900768178472</v>
      </c>
      <c r="AC386" s="157" t="s">
        <v>259</v>
      </c>
      <c r="AD386" s="242">
        <v>22.480900768178472</v>
      </c>
      <c r="AE386" s="157" t="s">
        <v>259</v>
      </c>
      <c r="AF386" s="242">
        <v>22.480900768178472</v>
      </c>
      <c r="AG386" s="157" t="s">
        <v>259</v>
      </c>
      <c r="AH386" s="242">
        <v>22.480900768178472</v>
      </c>
      <c r="AI386" s="157" t="s">
        <v>259</v>
      </c>
      <c r="AJ386" s="242">
        <v>0</v>
      </c>
      <c r="AK386" s="242" t="s">
        <v>259</v>
      </c>
      <c r="AL386" s="242">
        <v>0</v>
      </c>
      <c r="AM386" s="242" t="s">
        <v>259</v>
      </c>
      <c r="AN386" s="242">
        <v>0.83317373461012312</v>
      </c>
      <c r="AO386" s="242" t="s">
        <v>259</v>
      </c>
      <c r="AP386" s="242">
        <v>2.7460223087446072</v>
      </c>
      <c r="AQ386" s="242" t="s">
        <v>259</v>
      </c>
      <c r="AR386" s="242">
        <v>19.991239608544671</v>
      </c>
      <c r="AS386" s="242" t="s">
        <v>259</v>
      </c>
      <c r="AT386" s="242">
        <v>22.737261917289278</v>
      </c>
      <c r="AU386" s="242" t="s">
        <v>259</v>
      </c>
      <c r="AV386" s="242">
        <v>21.701957276649484</v>
      </c>
      <c r="AW386" s="157" t="s">
        <v>259</v>
      </c>
      <c r="AX386" s="157">
        <v>556.08677259812691</v>
      </c>
      <c r="AY386" s="243">
        <v>6.9020309375986549E-2</v>
      </c>
      <c r="AZ386" s="156" t="s">
        <v>253</v>
      </c>
      <c r="BA386" s="156" t="s">
        <v>254</v>
      </c>
      <c r="BB386" s="156">
        <v>0</v>
      </c>
      <c r="BC386" s="156" t="s">
        <v>1423</v>
      </c>
      <c r="BD386" s="3"/>
    </row>
    <row r="387" spans="1:56" ht="15.75" hidden="1" customHeight="1" outlineLevel="1">
      <c r="A387" s="58">
        <v>377</v>
      </c>
      <c r="B387" s="11">
        <v>129377</v>
      </c>
      <c r="C387" s="89" t="s">
        <v>304</v>
      </c>
      <c r="D387" s="157">
        <v>4</v>
      </c>
      <c r="E387" s="12" t="s">
        <v>191</v>
      </c>
      <c r="F387" s="11" t="s">
        <v>246</v>
      </c>
      <c r="G387" s="18" t="s">
        <v>247</v>
      </c>
      <c r="H387" s="11" t="s">
        <v>248</v>
      </c>
      <c r="I387" s="87" t="s">
        <v>249</v>
      </c>
      <c r="J387" s="19" t="s">
        <v>139</v>
      </c>
      <c r="K387" s="17" t="s">
        <v>140</v>
      </c>
      <c r="L387" s="257">
        <v>0</v>
      </c>
      <c r="M387" s="70" t="s">
        <v>250</v>
      </c>
      <c r="N387" s="70">
        <v>80</v>
      </c>
      <c r="O387" s="258">
        <v>8</v>
      </c>
      <c r="P387" s="70" t="s">
        <v>251</v>
      </c>
      <c r="Q387" s="70" t="s">
        <v>240</v>
      </c>
      <c r="R387" s="70" t="s">
        <v>240</v>
      </c>
      <c r="S387" s="70" t="s">
        <v>233</v>
      </c>
      <c r="T387" s="70" t="s">
        <v>233</v>
      </c>
      <c r="U387" s="70" t="s">
        <v>1427</v>
      </c>
      <c r="V387" s="70" t="s">
        <v>240</v>
      </c>
      <c r="W387" s="12"/>
      <c r="X387" s="242">
        <v>327.3</v>
      </c>
      <c r="Y387" s="242">
        <v>341.68999999999994</v>
      </c>
      <c r="Z387" s="242">
        <v>47.3</v>
      </c>
      <c r="AA387" s="157" t="s">
        <v>252</v>
      </c>
      <c r="AB387" s="242">
        <v>39.299999999999997</v>
      </c>
      <c r="AC387" s="157" t="s">
        <v>252</v>
      </c>
      <c r="AD387" s="242">
        <v>52.4</v>
      </c>
      <c r="AE387" s="157" t="s">
        <v>252</v>
      </c>
      <c r="AF387" s="242">
        <v>28.8</v>
      </c>
      <c r="AG387" s="157" t="s">
        <v>252</v>
      </c>
      <c r="AH387" s="242">
        <v>6.7</v>
      </c>
      <c r="AI387" s="157" t="s">
        <v>252</v>
      </c>
      <c r="AJ387" s="242">
        <v>0.66</v>
      </c>
      <c r="AK387" s="242" t="s">
        <v>252</v>
      </c>
      <c r="AL387" s="242">
        <v>0</v>
      </c>
      <c r="AM387" s="242" t="s">
        <v>252</v>
      </c>
      <c r="AN387" s="242">
        <v>0</v>
      </c>
      <c r="AO387" s="242" t="s">
        <v>252</v>
      </c>
      <c r="AP387" s="242">
        <v>0</v>
      </c>
      <c r="AQ387" s="242" t="s">
        <v>252</v>
      </c>
      <c r="AR387" s="242">
        <v>29.7</v>
      </c>
      <c r="AS387" s="242" t="s">
        <v>252</v>
      </c>
      <c r="AT387" s="242">
        <v>29.9</v>
      </c>
      <c r="AU387" s="242" t="s">
        <v>252</v>
      </c>
      <c r="AV387" s="242">
        <v>36.700000000000003</v>
      </c>
      <c r="AW387" s="157" t="s">
        <v>252</v>
      </c>
      <c r="AX387" s="157">
        <v>940.44999999999993</v>
      </c>
      <c r="AY387" s="240">
        <v>0.16869999999999999</v>
      </c>
      <c r="AZ387" s="156" t="s">
        <v>253</v>
      </c>
      <c r="BA387" s="156" t="s">
        <v>254</v>
      </c>
      <c r="BB387" s="156">
        <v>0</v>
      </c>
      <c r="BC387" s="156" t="s">
        <v>1423</v>
      </c>
      <c r="BD387" s="3"/>
    </row>
    <row r="388" spans="1:56" ht="15.75" hidden="1" customHeight="1" outlineLevel="1">
      <c r="A388" s="58">
        <v>378</v>
      </c>
      <c r="B388" s="11">
        <v>129378</v>
      </c>
      <c r="C388" s="89" t="s">
        <v>304</v>
      </c>
      <c r="D388" s="157">
        <v>7</v>
      </c>
      <c r="E388" s="12" t="s">
        <v>191</v>
      </c>
      <c r="F388" s="11" t="s">
        <v>246</v>
      </c>
      <c r="G388" s="18" t="s">
        <v>247</v>
      </c>
      <c r="H388" s="11" t="s">
        <v>248</v>
      </c>
      <c r="I388" s="87" t="s">
        <v>249</v>
      </c>
      <c r="J388" s="19" t="s">
        <v>139</v>
      </c>
      <c r="K388" s="17" t="s">
        <v>140</v>
      </c>
      <c r="L388" s="260">
        <v>1</v>
      </c>
      <c r="M388" s="70" t="s">
        <v>250</v>
      </c>
      <c r="N388" s="70">
        <v>80</v>
      </c>
      <c r="O388" s="258">
        <v>8</v>
      </c>
      <c r="P388" s="70" t="s">
        <v>251</v>
      </c>
      <c r="Q388" s="70" t="s">
        <v>233</v>
      </c>
      <c r="R388" s="70" t="s">
        <v>240</v>
      </c>
      <c r="S388" s="70" t="s">
        <v>233</v>
      </c>
      <c r="T388" s="70" t="s">
        <v>233</v>
      </c>
      <c r="U388" s="70" t="s">
        <v>1427</v>
      </c>
      <c r="V388" s="70" t="s">
        <v>240</v>
      </c>
      <c r="W388" s="12"/>
      <c r="X388" s="242">
        <v>758.8</v>
      </c>
      <c r="Y388" s="242">
        <v>718.21000000000015</v>
      </c>
      <c r="Z388" s="242">
        <v>119.36</v>
      </c>
      <c r="AA388" s="157" t="s">
        <v>252</v>
      </c>
      <c r="AB388" s="242">
        <v>95.42</v>
      </c>
      <c r="AC388" s="157" t="s">
        <v>252</v>
      </c>
      <c r="AD388" s="242">
        <v>124</v>
      </c>
      <c r="AE388" s="157" t="s">
        <v>252</v>
      </c>
      <c r="AF388" s="242">
        <v>61.82</v>
      </c>
      <c r="AG388" s="157" t="s">
        <v>252</v>
      </c>
      <c r="AH388" s="242">
        <v>22.73</v>
      </c>
      <c r="AI388" s="157" t="s">
        <v>252</v>
      </c>
      <c r="AJ388" s="242">
        <v>7.27</v>
      </c>
      <c r="AK388" s="242" t="s">
        <v>252</v>
      </c>
      <c r="AL388" s="242">
        <v>5.78</v>
      </c>
      <c r="AM388" s="242" t="s">
        <v>252</v>
      </c>
      <c r="AN388" s="242">
        <v>7.15</v>
      </c>
      <c r="AO388" s="242" t="s">
        <v>252</v>
      </c>
      <c r="AP388" s="242">
        <v>8.44</v>
      </c>
      <c r="AQ388" s="242" t="s">
        <v>252</v>
      </c>
      <c r="AR388" s="242">
        <v>60.31</v>
      </c>
      <c r="AS388" s="242" t="s">
        <v>252</v>
      </c>
      <c r="AT388" s="242">
        <v>71.16</v>
      </c>
      <c r="AU388" s="242" t="s">
        <v>252</v>
      </c>
      <c r="AV388" s="242">
        <v>77.5</v>
      </c>
      <c r="AW388" s="157" t="s">
        <v>252</v>
      </c>
      <c r="AX388" s="157">
        <v>2137.9500000000003</v>
      </c>
      <c r="AY388" s="240">
        <v>0.34</v>
      </c>
      <c r="AZ388" s="156" t="s">
        <v>253</v>
      </c>
      <c r="BA388" s="156" t="s">
        <v>254</v>
      </c>
      <c r="BB388" s="156">
        <v>1</v>
      </c>
      <c r="BC388" s="156" t="s">
        <v>1423</v>
      </c>
      <c r="BD388" s="3"/>
    </row>
    <row r="389" spans="1:56" ht="15.75" hidden="1" customHeight="1" outlineLevel="1">
      <c r="A389" s="58">
        <v>379</v>
      </c>
      <c r="B389" s="11">
        <v>129379</v>
      </c>
      <c r="C389" s="89" t="s">
        <v>304</v>
      </c>
      <c r="D389" s="157">
        <v>8</v>
      </c>
      <c r="E389" s="12" t="s">
        <v>191</v>
      </c>
      <c r="F389" s="11" t="s">
        <v>246</v>
      </c>
      <c r="G389" s="18" t="s">
        <v>247</v>
      </c>
      <c r="H389" s="11" t="s">
        <v>248</v>
      </c>
      <c r="I389" s="87" t="s">
        <v>249</v>
      </c>
      <c r="J389" s="19" t="s">
        <v>139</v>
      </c>
      <c r="K389" s="17" t="s">
        <v>140</v>
      </c>
      <c r="L389" s="257">
        <v>0</v>
      </c>
      <c r="M389" s="70" t="s">
        <v>250</v>
      </c>
      <c r="N389" s="70">
        <v>100</v>
      </c>
      <c r="O389" s="258">
        <v>8</v>
      </c>
      <c r="P389" s="70" t="s">
        <v>251</v>
      </c>
      <c r="Q389" s="70" t="s">
        <v>233</v>
      </c>
      <c r="R389" s="70" t="s">
        <v>240</v>
      </c>
      <c r="S389" s="70" t="s">
        <v>233</v>
      </c>
      <c r="T389" s="70" t="s">
        <v>233</v>
      </c>
      <c r="U389" s="70" t="s">
        <v>1427</v>
      </c>
      <c r="V389" s="70" t="s">
        <v>240</v>
      </c>
      <c r="W389" s="12"/>
      <c r="X389" s="242">
        <v>365.67455027730898</v>
      </c>
      <c r="Y389" s="242">
        <v>358.7500120569087</v>
      </c>
      <c r="Z389" s="242">
        <v>65.61122739329636</v>
      </c>
      <c r="AA389" s="157" t="s">
        <v>252</v>
      </c>
      <c r="AB389" s="242">
        <v>50.149699381078698</v>
      </c>
      <c r="AC389" s="157" t="s">
        <v>252</v>
      </c>
      <c r="AD389" s="242">
        <v>68.795205369343307</v>
      </c>
      <c r="AE389" s="157" t="s">
        <v>252</v>
      </c>
      <c r="AF389" s="242">
        <v>48.455397476087136</v>
      </c>
      <c r="AG389" s="157" t="s">
        <v>252</v>
      </c>
      <c r="AH389" s="242">
        <v>20.225217426251913</v>
      </c>
      <c r="AI389" s="157" t="s">
        <v>252</v>
      </c>
      <c r="AJ389" s="242">
        <v>5.9832593842938673</v>
      </c>
      <c r="AK389" s="242" t="s">
        <v>252</v>
      </c>
      <c r="AL389" s="242">
        <v>3.6587099107788763</v>
      </c>
      <c r="AM389" s="242" t="s">
        <v>252</v>
      </c>
      <c r="AN389" s="242">
        <v>4.22347721244273</v>
      </c>
      <c r="AO389" s="242" t="s">
        <v>252</v>
      </c>
      <c r="AP389" s="242">
        <v>5.295716582268307</v>
      </c>
      <c r="AQ389" s="242" t="s">
        <v>252</v>
      </c>
      <c r="AR389" s="242">
        <v>39.034424081665463</v>
      </c>
      <c r="AS389" s="242" t="s">
        <v>252</v>
      </c>
      <c r="AT389" s="242">
        <v>39.050794148380362</v>
      </c>
      <c r="AU389" s="242" t="s">
        <v>252</v>
      </c>
      <c r="AV389" s="242">
        <v>41.105237521099589</v>
      </c>
      <c r="AW389" s="157" t="s">
        <v>252</v>
      </c>
      <c r="AX389" s="157">
        <v>1116.012928221204</v>
      </c>
      <c r="AY389" s="240">
        <v>0.14733060043404872</v>
      </c>
      <c r="AZ389" s="156" t="s">
        <v>253</v>
      </c>
      <c r="BA389" s="156" t="s">
        <v>254</v>
      </c>
      <c r="BB389" s="156">
        <v>0</v>
      </c>
      <c r="BC389" s="156" t="s">
        <v>1423</v>
      </c>
      <c r="BD389" s="3"/>
    </row>
    <row r="390" spans="1:56" ht="15.75" hidden="1" customHeight="1" outlineLevel="1">
      <c r="A390" s="58">
        <v>380</v>
      </c>
      <c r="B390" s="11">
        <v>129380</v>
      </c>
      <c r="C390" s="89" t="s">
        <v>304</v>
      </c>
      <c r="D390" s="157">
        <v>8</v>
      </c>
      <c r="E390" s="12" t="s">
        <v>260</v>
      </c>
      <c r="F390" s="11" t="s">
        <v>246</v>
      </c>
      <c r="G390" s="18" t="s">
        <v>247</v>
      </c>
      <c r="H390" s="11" t="s">
        <v>248</v>
      </c>
      <c r="I390" s="87" t="s">
        <v>249</v>
      </c>
      <c r="J390" s="19" t="s">
        <v>139</v>
      </c>
      <c r="K390" s="17" t="s">
        <v>140</v>
      </c>
      <c r="L390" s="257">
        <v>0</v>
      </c>
      <c r="M390" s="70" t="s">
        <v>250</v>
      </c>
      <c r="N390" s="70">
        <v>100</v>
      </c>
      <c r="O390" s="258">
        <v>8</v>
      </c>
      <c r="P390" s="70" t="s">
        <v>251</v>
      </c>
      <c r="Q390" s="70" t="s">
        <v>233</v>
      </c>
      <c r="R390" s="70" t="s">
        <v>240</v>
      </c>
      <c r="S390" s="70" t="s">
        <v>233</v>
      </c>
      <c r="T390" s="70" t="s">
        <v>233</v>
      </c>
      <c r="U390" s="70" t="s">
        <v>1427</v>
      </c>
      <c r="V390" s="70" t="s">
        <v>240</v>
      </c>
      <c r="W390" s="12"/>
      <c r="X390" s="242">
        <v>81.085449722691123</v>
      </c>
      <c r="Y390" s="242">
        <v>79.549987943091409</v>
      </c>
      <c r="Z390" s="242">
        <v>14.548772606703642</v>
      </c>
      <c r="AA390" s="157" t="s">
        <v>252</v>
      </c>
      <c r="AB390" s="242">
        <v>11.120300618921311</v>
      </c>
      <c r="AC390" s="157" t="s">
        <v>252</v>
      </c>
      <c r="AD390" s="242">
        <v>15.254794630656701</v>
      </c>
      <c r="AE390" s="157" t="s">
        <v>252</v>
      </c>
      <c r="AF390" s="242">
        <v>10.744602523912871</v>
      </c>
      <c r="AG390" s="157" t="s">
        <v>252</v>
      </c>
      <c r="AH390" s="242">
        <v>4.4847825737480917</v>
      </c>
      <c r="AI390" s="157" t="s">
        <v>252</v>
      </c>
      <c r="AJ390" s="242">
        <v>1.326740615706133</v>
      </c>
      <c r="AK390" s="242" t="s">
        <v>252</v>
      </c>
      <c r="AL390" s="242">
        <v>0.81129008922112378</v>
      </c>
      <c r="AM390" s="242" t="s">
        <v>252</v>
      </c>
      <c r="AN390" s="242">
        <v>0.93652278755727048</v>
      </c>
      <c r="AO390" s="242" t="s">
        <v>252</v>
      </c>
      <c r="AP390" s="242">
        <v>1.1742834177316936</v>
      </c>
      <c r="AQ390" s="242" t="s">
        <v>252</v>
      </c>
      <c r="AR390" s="242">
        <v>8.6555759183345398</v>
      </c>
      <c r="AS390" s="242" t="s">
        <v>252</v>
      </c>
      <c r="AT390" s="242">
        <v>8.659205851619646</v>
      </c>
      <c r="AU390" s="242" t="s">
        <v>252</v>
      </c>
      <c r="AV390" s="242">
        <v>9.1147624789004098</v>
      </c>
      <c r="AW390" s="157" t="s">
        <v>252</v>
      </c>
      <c r="AX390" s="157">
        <v>247.467071778796</v>
      </c>
      <c r="AY390" s="243">
        <v>3.2669399565951295E-2</v>
      </c>
      <c r="AZ390" s="156" t="s">
        <v>253</v>
      </c>
      <c r="BA390" s="156" t="s">
        <v>254</v>
      </c>
      <c r="BB390" s="156">
        <v>0</v>
      </c>
      <c r="BC390" s="156" t="s">
        <v>1423</v>
      </c>
      <c r="BD390" s="3"/>
    </row>
    <row r="391" spans="1:56" ht="15.75" hidden="1" customHeight="1" outlineLevel="1">
      <c r="A391" s="58">
        <v>381</v>
      </c>
      <c r="B391" s="11">
        <v>129381</v>
      </c>
      <c r="C391" s="89" t="s">
        <v>304</v>
      </c>
      <c r="D391" s="157" t="s">
        <v>212</v>
      </c>
      <c r="E391" s="12" t="s">
        <v>191</v>
      </c>
      <c r="F391" s="11" t="s">
        <v>246</v>
      </c>
      <c r="G391" s="18" t="s">
        <v>247</v>
      </c>
      <c r="H391" s="11" t="s">
        <v>248</v>
      </c>
      <c r="I391" s="87" t="s">
        <v>249</v>
      </c>
      <c r="J391" s="19" t="s">
        <v>139</v>
      </c>
      <c r="K391" s="17" t="s">
        <v>140</v>
      </c>
      <c r="L391" s="257">
        <v>0</v>
      </c>
      <c r="M391" s="70" t="s">
        <v>250</v>
      </c>
      <c r="N391" s="70">
        <v>100</v>
      </c>
      <c r="O391" s="258">
        <v>8</v>
      </c>
      <c r="P391" s="70" t="s">
        <v>251</v>
      </c>
      <c r="Q391" s="70" t="s">
        <v>233</v>
      </c>
      <c r="R391" s="70" t="s">
        <v>240</v>
      </c>
      <c r="S391" s="70" t="s">
        <v>240</v>
      </c>
      <c r="T391" s="70" t="s">
        <v>240</v>
      </c>
      <c r="U391" s="70" t="s">
        <v>1427</v>
      </c>
      <c r="V391" s="70" t="s">
        <v>240</v>
      </c>
      <c r="W391" s="12"/>
      <c r="X391" s="242">
        <v>728.32918000000006</v>
      </c>
      <c r="Y391" s="242">
        <v>701.49459000000013</v>
      </c>
      <c r="Z391" s="242">
        <v>114.53623</v>
      </c>
      <c r="AA391" s="157" t="s">
        <v>252</v>
      </c>
      <c r="AB391" s="242">
        <v>91.623059999999995</v>
      </c>
      <c r="AC391" s="157" t="s">
        <v>252</v>
      </c>
      <c r="AD391" s="242">
        <v>119.04325</v>
      </c>
      <c r="AE391" s="157" t="s">
        <v>252</v>
      </c>
      <c r="AF391" s="242">
        <v>59.466030000000003</v>
      </c>
      <c r="AG391" s="157" t="s">
        <v>252</v>
      </c>
      <c r="AH391" s="242">
        <v>21.645579999999999</v>
      </c>
      <c r="AI391" s="157" t="s">
        <v>252</v>
      </c>
      <c r="AJ391" s="242">
        <v>8.8286999999999995</v>
      </c>
      <c r="AK391" s="242" t="s">
        <v>252</v>
      </c>
      <c r="AL391" s="242">
        <v>7.0941099999999997</v>
      </c>
      <c r="AM391" s="242" t="s">
        <v>252</v>
      </c>
      <c r="AN391" s="242">
        <v>8.7767999999999997</v>
      </c>
      <c r="AO391" s="242" t="s">
        <v>252</v>
      </c>
      <c r="AP391" s="242">
        <v>10.274240000000001</v>
      </c>
      <c r="AQ391" s="242" t="s">
        <v>252</v>
      </c>
      <c r="AR391" s="242">
        <v>57.294060000000002</v>
      </c>
      <c r="AS391" s="242" t="s">
        <v>252</v>
      </c>
      <c r="AT391" s="242">
        <v>68.087199999999996</v>
      </c>
      <c r="AU391" s="242" t="s">
        <v>252</v>
      </c>
      <c r="AV391" s="242">
        <v>74.284360000000007</v>
      </c>
      <c r="AW391" s="157" t="s">
        <v>252</v>
      </c>
      <c r="AX391" s="157">
        <v>2070.7773900000002</v>
      </c>
      <c r="AY391" s="243">
        <v>0.372</v>
      </c>
      <c r="AZ391" s="156" t="s">
        <v>253</v>
      </c>
      <c r="BA391" s="156" t="s">
        <v>254</v>
      </c>
      <c r="BB391" s="156">
        <v>0</v>
      </c>
      <c r="BC391" s="156" t="s">
        <v>1423</v>
      </c>
      <c r="BD391" s="3"/>
    </row>
    <row r="392" spans="1:56" ht="15.75" hidden="1" customHeight="1" outlineLevel="1">
      <c r="A392" s="58">
        <v>382</v>
      </c>
      <c r="B392" s="11">
        <v>129382</v>
      </c>
      <c r="C392" s="89" t="s">
        <v>305</v>
      </c>
      <c r="D392" s="157" t="s">
        <v>171</v>
      </c>
      <c r="E392" s="12" t="s">
        <v>191</v>
      </c>
      <c r="F392" s="11" t="s">
        <v>246</v>
      </c>
      <c r="G392" s="18" t="s">
        <v>247</v>
      </c>
      <c r="H392" s="11" t="s">
        <v>248</v>
      </c>
      <c r="I392" s="87" t="s">
        <v>249</v>
      </c>
      <c r="J392" s="19" t="s">
        <v>139</v>
      </c>
      <c r="K392" s="17" t="s">
        <v>140</v>
      </c>
      <c r="L392" s="260">
        <v>1</v>
      </c>
      <c r="M392" s="70" t="s">
        <v>250</v>
      </c>
      <c r="N392" s="70">
        <v>80</v>
      </c>
      <c r="O392" s="258">
        <v>8</v>
      </c>
      <c r="P392" s="70" t="s">
        <v>251</v>
      </c>
      <c r="Q392" s="70" t="s">
        <v>233</v>
      </c>
      <c r="R392" s="70" t="s">
        <v>240</v>
      </c>
      <c r="S392" s="70" t="s">
        <v>233</v>
      </c>
      <c r="T392" s="70" t="s">
        <v>233</v>
      </c>
      <c r="U392" s="70" t="s">
        <v>1427</v>
      </c>
      <c r="V392" s="70" t="s">
        <v>240</v>
      </c>
      <c r="W392" s="12"/>
      <c r="X392" s="242">
        <v>2191.8900000000003</v>
      </c>
      <c r="Y392" s="242">
        <v>2142.0099999999998</v>
      </c>
      <c r="Z392" s="242">
        <v>350.8</v>
      </c>
      <c r="AA392" s="157" t="s">
        <v>252</v>
      </c>
      <c r="AB392" s="242">
        <v>272.47000000000003</v>
      </c>
      <c r="AC392" s="157" t="s">
        <v>252</v>
      </c>
      <c r="AD392" s="242">
        <v>310.23</v>
      </c>
      <c r="AE392" s="157" t="s">
        <v>252</v>
      </c>
      <c r="AF392" s="242">
        <v>189</v>
      </c>
      <c r="AG392" s="157" t="s">
        <v>252</v>
      </c>
      <c r="AH392" s="242">
        <v>113.19</v>
      </c>
      <c r="AI392" s="157" t="s">
        <v>252</v>
      </c>
      <c r="AJ392" s="242">
        <v>33.06</v>
      </c>
      <c r="AK392" s="242" t="s">
        <v>252</v>
      </c>
      <c r="AL392" s="242">
        <v>35.03</v>
      </c>
      <c r="AM392" s="242" t="s">
        <v>252</v>
      </c>
      <c r="AN392" s="242">
        <v>28.6</v>
      </c>
      <c r="AO392" s="242" t="s">
        <v>252</v>
      </c>
      <c r="AP392" s="242">
        <v>36.28</v>
      </c>
      <c r="AQ392" s="242" t="s">
        <v>252</v>
      </c>
      <c r="AR392" s="242">
        <v>197.03</v>
      </c>
      <c r="AS392" s="242" t="s">
        <v>252</v>
      </c>
      <c r="AT392" s="242">
        <v>179.15</v>
      </c>
      <c r="AU392" s="242" t="s">
        <v>252</v>
      </c>
      <c r="AV392" s="242">
        <v>248.95</v>
      </c>
      <c r="AW392" s="157" t="s">
        <v>252</v>
      </c>
      <c r="AX392" s="157">
        <v>6327.6899999999987</v>
      </c>
      <c r="AY392" s="240">
        <v>0.92</v>
      </c>
      <c r="AZ392" s="156" t="s">
        <v>253</v>
      </c>
      <c r="BA392" s="156" t="s">
        <v>254</v>
      </c>
      <c r="BB392" s="156">
        <v>1</v>
      </c>
      <c r="BC392" s="157" t="s">
        <v>255</v>
      </c>
      <c r="BD392" s="3"/>
    </row>
    <row r="393" spans="1:56" ht="15.75" hidden="1" customHeight="1" outlineLevel="1">
      <c r="A393" s="58">
        <v>383</v>
      </c>
      <c r="B393" s="11">
        <v>129383</v>
      </c>
      <c r="C393" s="89" t="s">
        <v>305</v>
      </c>
      <c r="D393" s="157">
        <v>28</v>
      </c>
      <c r="E393" s="12" t="s">
        <v>191</v>
      </c>
      <c r="F393" s="11" t="s">
        <v>246</v>
      </c>
      <c r="G393" s="18" t="s">
        <v>247</v>
      </c>
      <c r="H393" s="11" t="s">
        <v>248</v>
      </c>
      <c r="I393" s="87" t="s">
        <v>249</v>
      </c>
      <c r="J393" s="19" t="s">
        <v>139</v>
      </c>
      <c r="K393" s="17" t="s">
        <v>140</v>
      </c>
      <c r="L393" s="260">
        <v>1</v>
      </c>
      <c r="M393" s="70" t="s">
        <v>250</v>
      </c>
      <c r="N393" s="70">
        <v>80</v>
      </c>
      <c r="O393" s="258">
        <v>8</v>
      </c>
      <c r="P393" s="70" t="s">
        <v>251</v>
      </c>
      <c r="Q393" s="70" t="s">
        <v>233</v>
      </c>
      <c r="R393" s="70" t="s">
        <v>240</v>
      </c>
      <c r="S393" s="70" t="s">
        <v>233</v>
      </c>
      <c r="T393" s="70" t="s">
        <v>233</v>
      </c>
      <c r="U393" s="70" t="s">
        <v>1427</v>
      </c>
      <c r="V393" s="70" t="s">
        <v>240</v>
      </c>
      <c r="W393" s="12"/>
      <c r="X393" s="242">
        <v>838.64259009532657</v>
      </c>
      <c r="Y393" s="242">
        <v>822.02830272029757</v>
      </c>
      <c r="Z393" s="242">
        <v>116.9776996628691</v>
      </c>
      <c r="AA393" s="157" t="s">
        <v>252</v>
      </c>
      <c r="AB393" s="242">
        <v>92.857835096489197</v>
      </c>
      <c r="AC393" s="157" t="s">
        <v>252</v>
      </c>
      <c r="AD393" s="242">
        <v>115.8117847593583</v>
      </c>
      <c r="AE393" s="157" t="s">
        <v>252</v>
      </c>
      <c r="AF393" s="242">
        <v>68.978440478958376</v>
      </c>
      <c r="AG393" s="157" t="s">
        <v>252</v>
      </c>
      <c r="AH393" s="242">
        <v>29.453925249941875</v>
      </c>
      <c r="AI393" s="157" t="s">
        <v>252</v>
      </c>
      <c r="AJ393" s="242">
        <v>18.450603348058593</v>
      </c>
      <c r="AK393" s="242" t="s">
        <v>252</v>
      </c>
      <c r="AL393" s="242">
        <v>17.88221983259707</v>
      </c>
      <c r="AM393" s="242" t="s">
        <v>252</v>
      </c>
      <c r="AN393" s="242">
        <v>23.427602592420367</v>
      </c>
      <c r="AO393" s="242" t="s">
        <v>252</v>
      </c>
      <c r="AP393" s="242">
        <v>25.103605266217162</v>
      </c>
      <c r="AQ393" s="242" t="s">
        <v>252</v>
      </c>
      <c r="AR393" s="242">
        <v>77.657219541966981</v>
      </c>
      <c r="AS393" s="242" t="s">
        <v>252</v>
      </c>
      <c r="AT393" s="242">
        <v>63.491353464310627</v>
      </c>
      <c r="AU393" s="242" t="s">
        <v>252</v>
      </c>
      <c r="AV393" s="242">
        <v>90.904927633108585</v>
      </c>
      <c r="AW393" s="157" t="s">
        <v>252</v>
      </c>
      <c r="AX393" s="157">
        <v>2401.6681097419196</v>
      </c>
      <c r="AY393" s="240">
        <v>0.26816042780748661</v>
      </c>
      <c r="AZ393" s="156" t="s">
        <v>253</v>
      </c>
      <c r="BA393" s="156" t="s">
        <v>254</v>
      </c>
      <c r="BB393" s="156">
        <v>1</v>
      </c>
      <c r="BC393" s="156" t="s">
        <v>1423</v>
      </c>
      <c r="BD393" s="3"/>
    </row>
    <row r="394" spans="1:56" ht="15.75" hidden="1" customHeight="1" outlineLevel="1">
      <c r="A394" s="58">
        <v>384</v>
      </c>
      <c r="B394" s="11">
        <v>129384</v>
      </c>
      <c r="C394" s="89" t="s">
        <v>305</v>
      </c>
      <c r="D394" s="157">
        <v>28</v>
      </c>
      <c r="E394" s="12" t="s">
        <v>261</v>
      </c>
      <c r="F394" s="11" t="s">
        <v>246</v>
      </c>
      <c r="G394" s="18" t="s">
        <v>247</v>
      </c>
      <c r="H394" s="11" t="s">
        <v>248</v>
      </c>
      <c r="I394" s="87" t="s">
        <v>249</v>
      </c>
      <c r="J394" s="19" t="s">
        <v>139</v>
      </c>
      <c r="K394" s="17" t="s">
        <v>140</v>
      </c>
      <c r="L394" s="257">
        <v>0</v>
      </c>
      <c r="M394" s="70" t="s">
        <v>250</v>
      </c>
      <c r="N394" s="70">
        <v>80</v>
      </c>
      <c r="O394" s="258">
        <v>8</v>
      </c>
      <c r="P394" s="70" t="s">
        <v>251</v>
      </c>
      <c r="Q394" s="70" t="s">
        <v>233</v>
      </c>
      <c r="R394" s="70" t="s">
        <v>240</v>
      </c>
      <c r="S394" s="70" t="s">
        <v>233</v>
      </c>
      <c r="T394" s="70" t="s">
        <v>233</v>
      </c>
      <c r="U394" s="70" t="s">
        <v>1427</v>
      </c>
      <c r="V394" s="70" t="s">
        <v>240</v>
      </c>
      <c r="W394" s="12"/>
      <c r="X394" s="242">
        <v>312.23740990467326</v>
      </c>
      <c r="Y394" s="242">
        <v>306.05169727970235</v>
      </c>
      <c r="Z394" s="242">
        <v>43.552300337130895</v>
      </c>
      <c r="AA394" s="157" t="s">
        <v>252</v>
      </c>
      <c r="AB394" s="242">
        <v>34.57216490351081</v>
      </c>
      <c r="AC394" s="157" t="s">
        <v>252</v>
      </c>
      <c r="AD394" s="242">
        <v>43.11821524064171</v>
      </c>
      <c r="AE394" s="157" t="s">
        <v>252</v>
      </c>
      <c r="AF394" s="242">
        <v>25.681559521041613</v>
      </c>
      <c r="AG394" s="157" t="s">
        <v>252</v>
      </c>
      <c r="AH394" s="242">
        <v>10.966074750058125</v>
      </c>
      <c r="AI394" s="157" t="s">
        <v>252</v>
      </c>
      <c r="AJ394" s="242">
        <v>6.8693966519414085</v>
      </c>
      <c r="AK394" s="242" t="s">
        <v>252</v>
      </c>
      <c r="AL394" s="242">
        <v>6.6577801674029287</v>
      </c>
      <c r="AM394" s="242" t="s">
        <v>252</v>
      </c>
      <c r="AN394" s="242">
        <v>8.7223974075796313</v>
      </c>
      <c r="AO394" s="242" t="s">
        <v>252</v>
      </c>
      <c r="AP394" s="242">
        <v>9.3463947337828408</v>
      </c>
      <c r="AQ394" s="242" t="s">
        <v>252</v>
      </c>
      <c r="AR394" s="242">
        <v>28.912780458033012</v>
      </c>
      <c r="AS394" s="242" t="s">
        <v>252</v>
      </c>
      <c r="AT394" s="242">
        <v>23.638646535689372</v>
      </c>
      <c r="AU394" s="242" t="s">
        <v>252</v>
      </c>
      <c r="AV394" s="242">
        <v>33.845072366891415</v>
      </c>
      <c r="AW394" s="157" t="s">
        <v>252</v>
      </c>
      <c r="AX394" s="157">
        <v>894.17189025807943</v>
      </c>
      <c r="AY394" s="243">
        <v>9.9839572192513354E-2</v>
      </c>
      <c r="AZ394" s="156" t="s">
        <v>253</v>
      </c>
      <c r="BA394" s="156" t="s">
        <v>254</v>
      </c>
      <c r="BB394" s="156">
        <v>0</v>
      </c>
      <c r="BC394" s="156" t="s">
        <v>1423</v>
      </c>
      <c r="BD394" s="3"/>
    </row>
    <row r="395" spans="1:56" ht="15.75" hidden="1" customHeight="1" outlineLevel="1">
      <c r="A395" s="58">
        <v>385</v>
      </c>
      <c r="B395" s="11">
        <v>129385</v>
      </c>
      <c r="C395" s="89" t="s">
        <v>306</v>
      </c>
      <c r="D395" s="157">
        <v>1</v>
      </c>
      <c r="E395" s="12" t="s">
        <v>191</v>
      </c>
      <c r="F395" s="11" t="s">
        <v>246</v>
      </c>
      <c r="G395" s="18" t="s">
        <v>247</v>
      </c>
      <c r="H395" s="11" t="s">
        <v>248</v>
      </c>
      <c r="I395" s="87" t="s">
        <v>249</v>
      </c>
      <c r="J395" s="19" t="s">
        <v>139</v>
      </c>
      <c r="K395" s="17" t="s">
        <v>140</v>
      </c>
      <c r="L395" s="260">
        <v>1</v>
      </c>
      <c r="M395" s="70" t="s">
        <v>250</v>
      </c>
      <c r="N395" s="70">
        <v>100</v>
      </c>
      <c r="O395" s="258">
        <v>8</v>
      </c>
      <c r="P395" s="70" t="s">
        <v>251</v>
      </c>
      <c r="Q395" s="70" t="s">
        <v>233</v>
      </c>
      <c r="R395" s="70" t="s">
        <v>240</v>
      </c>
      <c r="S395" s="70" t="s">
        <v>233</v>
      </c>
      <c r="T395" s="70" t="s">
        <v>233</v>
      </c>
      <c r="U395" s="70" t="s">
        <v>1427</v>
      </c>
      <c r="V395" s="70" t="s">
        <v>240</v>
      </c>
      <c r="W395" s="12"/>
      <c r="X395" s="242">
        <v>858.14999999999986</v>
      </c>
      <c r="Y395" s="242">
        <v>725.88</v>
      </c>
      <c r="Z395" s="242">
        <v>147.37</v>
      </c>
      <c r="AA395" s="157" t="s">
        <v>252</v>
      </c>
      <c r="AB395" s="242">
        <v>61</v>
      </c>
      <c r="AC395" s="157" t="s">
        <v>252</v>
      </c>
      <c r="AD395" s="242">
        <v>126</v>
      </c>
      <c r="AE395" s="157" t="s">
        <v>252</v>
      </c>
      <c r="AF395" s="242">
        <v>75.75</v>
      </c>
      <c r="AG395" s="157" t="s">
        <v>252</v>
      </c>
      <c r="AH395" s="242">
        <v>30.27</v>
      </c>
      <c r="AI395" s="157" t="s">
        <v>252</v>
      </c>
      <c r="AJ395" s="242">
        <v>10.08</v>
      </c>
      <c r="AK395" s="242" t="s">
        <v>252</v>
      </c>
      <c r="AL395" s="242">
        <v>6.14</v>
      </c>
      <c r="AM395" s="242" t="s">
        <v>252</v>
      </c>
      <c r="AN395" s="242">
        <v>7.31</v>
      </c>
      <c r="AO395" s="242" t="s">
        <v>252</v>
      </c>
      <c r="AP395" s="242">
        <v>9.7799999999999994</v>
      </c>
      <c r="AQ395" s="242" t="s">
        <v>252</v>
      </c>
      <c r="AR395" s="242">
        <v>84.82</v>
      </c>
      <c r="AS395" s="242" t="s">
        <v>252</v>
      </c>
      <c r="AT395" s="242">
        <v>69</v>
      </c>
      <c r="AU395" s="242" t="s">
        <v>252</v>
      </c>
      <c r="AV395" s="242">
        <v>90</v>
      </c>
      <c r="AW395" s="157" t="s">
        <v>252</v>
      </c>
      <c r="AX395" s="157">
        <v>2301.5499999999997</v>
      </c>
      <c r="AY395" s="240">
        <v>0.432</v>
      </c>
      <c r="AZ395" s="156" t="s">
        <v>253</v>
      </c>
      <c r="BA395" s="156" t="s">
        <v>254</v>
      </c>
      <c r="BB395" s="156">
        <v>0</v>
      </c>
      <c r="BC395" s="156" t="s">
        <v>1423</v>
      </c>
      <c r="BD395" s="3"/>
    </row>
    <row r="396" spans="1:56" ht="15.75" hidden="1" customHeight="1" outlineLevel="1">
      <c r="A396" s="58">
        <v>386</v>
      </c>
      <c r="B396" s="11">
        <v>129386</v>
      </c>
      <c r="C396" s="89" t="s">
        <v>306</v>
      </c>
      <c r="D396" s="157">
        <v>11</v>
      </c>
      <c r="E396" s="12" t="s">
        <v>191</v>
      </c>
      <c r="F396" s="11" t="s">
        <v>246</v>
      </c>
      <c r="G396" s="18" t="s">
        <v>247</v>
      </c>
      <c r="H396" s="11" t="s">
        <v>248</v>
      </c>
      <c r="I396" s="87" t="s">
        <v>249</v>
      </c>
      <c r="J396" s="19" t="s">
        <v>139</v>
      </c>
      <c r="K396" s="17" t="s">
        <v>140</v>
      </c>
      <c r="L396" s="260">
        <v>1</v>
      </c>
      <c r="M396" s="70" t="s">
        <v>250</v>
      </c>
      <c r="N396" s="70">
        <v>100</v>
      </c>
      <c r="O396" s="258">
        <v>8</v>
      </c>
      <c r="P396" s="70" t="s">
        <v>251</v>
      </c>
      <c r="Q396" s="70" t="s">
        <v>233</v>
      </c>
      <c r="R396" s="70" t="s">
        <v>240</v>
      </c>
      <c r="S396" s="70" t="s">
        <v>233</v>
      </c>
      <c r="T396" s="70" t="s">
        <v>233</v>
      </c>
      <c r="U396" s="70" t="s">
        <v>1427</v>
      </c>
      <c r="V396" s="70" t="s">
        <v>240</v>
      </c>
      <c r="W396" s="12"/>
      <c r="X396" s="242">
        <v>1489.4</v>
      </c>
      <c r="Y396" s="242">
        <v>1548.8600000000001</v>
      </c>
      <c r="Z396" s="242">
        <v>229.09</v>
      </c>
      <c r="AA396" s="157" t="s">
        <v>252</v>
      </c>
      <c r="AB396" s="242">
        <v>175.76</v>
      </c>
      <c r="AC396" s="157" t="s">
        <v>252</v>
      </c>
      <c r="AD396" s="242">
        <v>223.06</v>
      </c>
      <c r="AE396" s="157" t="s">
        <v>252</v>
      </c>
      <c r="AF396" s="242">
        <v>141.59</v>
      </c>
      <c r="AG396" s="157" t="s">
        <v>252</v>
      </c>
      <c r="AH396" s="242">
        <v>61.16</v>
      </c>
      <c r="AI396" s="157" t="s">
        <v>252</v>
      </c>
      <c r="AJ396" s="242">
        <v>14.89</v>
      </c>
      <c r="AK396" s="242" t="s">
        <v>252</v>
      </c>
      <c r="AL396" s="242">
        <v>14.37</v>
      </c>
      <c r="AM396" s="242" t="s">
        <v>252</v>
      </c>
      <c r="AN396" s="242">
        <v>12.32</v>
      </c>
      <c r="AO396" s="242" t="s">
        <v>252</v>
      </c>
      <c r="AP396" s="242">
        <v>18.440000000000001</v>
      </c>
      <c r="AQ396" s="242" t="s">
        <v>252</v>
      </c>
      <c r="AR396" s="242">
        <v>159.75</v>
      </c>
      <c r="AS396" s="242" t="s">
        <v>252</v>
      </c>
      <c r="AT396" s="242">
        <v>150.26</v>
      </c>
      <c r="AU396" s="242" t="s">
        <v>252</v>
      </c>
      <c r="AV396" s="242">
        <v>187.18</v>
      </c>
      <c r="AW396" s="157" t="s">
        <v>252</v>
      </c>
      <c r="AX396" s="157">
        <v>4426.130000000001</v>
      </c>
      <c r="AY396" s="240">
        <v>0.68</v>
      </c>
      <c r="AZ396" s="156" t="s">
        <v>253</v>
      </c>
      <c r="BA396" s="156" t="s">
        <v>254</v>
      </c>
      <c r="BB396" s="156">
        <v>1</v>
      </c>
      <c r="BC396" s="157" t="s">
        <v>255</v>
      </c>
      <c r="BD396" s="3"/>
    </row>
    <row r="397" spans="1:56" ht="15.75" hidden="1" customHeight="1" outlineLevel="1">
      <c r="A397" s="58">
        <v>387</v>
      </c>
      <c r="B397" s="11">
        <v>129387</v>
      </c>
      <c r="C397" s="89" t="s">
        <v>306</v>
      </c>
      <c r="D397" s="157">
        <v>18</v>
      </c>
      <c r="E397" s="12" t="s">
        <v>191</v>
      </c>
      <c r="F397" s="11" t="s">
        <v>246</v>
      </c>
      <c r="G397" s="18" t="s">
        <v>247</v>
      </c>
      <c r="H397" s="11" t="s">
        <v>248</v>
      </c>
      <c r="I397" s="87" t="s">
        <v>249</v>
      </c>
      <c r="J397" s="19" t="s">
        <v>139</v>
      </c>
      <c r="K397" s="17" t="s">
        <v>140</v>
      </c>
      <c r="L397" s="260">
        <v>1</v>
      </c>
      <c r="M397" s="70" t="s">
        <v>250</v>
      </c>
      <c r="N397" s="70">
        <v>100</v>
      </c>
      <c r="O397" s="258">
        <v>8</v>
      </c>
      <c r="P397" s="70" t="s">
        <v>251</v>
      </c>
      <c r="Q397" s="70" t="s">
        <v>233</v>
      </c>
      <c r="R397" s="70" t="s">
        <v>240</v>
      </c>
      <c r="S397" s="70" t="s">
        <v>233</v>
      </c>
      <c r="T397" s="70" t="s">
        <v>233</v>
      </c>
      <c r="U397" s="70" t="s">
        <v>1427</v>
      </c>
      <c r="V397" s="70" t="s">
        <v>240</v>
      </c>
      <c r="W397" s="12"/>
      <c r="X397" s="242">
        <v>2257.1912887650956</v>
      </c>
      <c r="Y397" s="242">
        <v>2430.0939645789554</v>
      </c>
      <c r="Z397" s="242">
        <v>350.43768827427715</v>
      </c>
      <c r="AA397" s="157" t="s">
        <v>252</v>
      </c>
      <c r="AB397" s="242">
        <v>289.50683078826216</v>
      </c>
      <c r="AC397" s="157" t="s">
        <v>252</v>
      </c>
      <c r="AD397" s="242">
        <v>351.38262811168852</v>
      </c>
      <c r="AE397" s="157" t="s">
        <v>252</v>
      </c>
      <c r="AF397" s="242">
        <v>246.6932408616384</v>
      </c>
      <c r="AG397" s="157" t="s">
        <v>252</v>
      </c>
      <c r="AH397" s="242">
        <v>97.087239685913502</v>
      </c>
      <c r="AI397" s="157" t="s">
        <v>252</v>
      </c>
      <c r="AJ397" s="242">
        <v>41.577352846100673</v>
      </c>
      <c r="AK397" s="242" t="s">
        <v>252</v>
      </c>
      <c r="AL397" s="242">
        <v>34.707000795147266</v>
      </c>
      <c r="AM397" s="242" t="s">
        <v>252</v>
      </c>
      <c r="AN397" s="242">
        <v>31.381949337188431</v>
      </c>
      <c r="AO397" s="242" t="s">
        <v>252</v>
      </c>
      <c r="AP397" s="242">
        <v>51.38199176059468</v>
      </c>
      <c r="AQ397" s="242" t="s">
        <v>252</v>
      </c>
      <c r="AR397" s="242">
        <v>247.01295734798057</v>
      </c>
      <c r="AS397" s="242" t="s">
        <v>252</v>
      </c>
      <c r="AT397" s="242">
        <v>230.67899730129815</v>
      </c>
      <c r="AU397" s="242" t="s">
        <v>252</v>
      </c>
      <c r="AV397" s="242">
        <v>291.98358204541472</v>
      </c>
      <c r="AW397" s="157" t="s">
        <v>252</v>
      </c>
      <c r="AX397" s="157">
        <v>6951.1167124995545</v>
      </c>
      <c r="AY397" s="240">
        <v>0.95488657254202503</v>
      </c>
      <c r="AZ397" s="156" t="s">
        <v>253</v>
      </c>
      <c r="BA397" s="156" t="s">
        <v>254</v>
      </c>
      <c r="BB397" s="156">
        <v>4</v>
      </c>
      <c r="BC397" s="156" t="s">
        <v>1423</v>
      </c>
      <c r="BD397" s="3"/>
    </row>
    <row r="398" spans="1:56" ht="15.75" hidden="1" customHeight="1" outlineLevel="1">
      <c r="A398" s="58">
        <v>388</v>
      </c>
      <c r="B398" s="11">
        <v>129388</v>
      </c>
      <c r="C398" s="89" t="s">
        <v>306</v>
      </c>
      <c r="D398" s="157">
        <v>18</v>
      </c>
      <c r="E398" s="12" t="s">
        <v>307</v>
      </c>
      <c r="F398" s="11" t="s">
        <v>246</v>
      </c>
      <c r="G398" s="18" t="s">
        <v>247</v>
      </c>
      <c r="H398" s="11" t="s">
        <v>248</v>
      </c>
      <c r="I398" s="87" t="s">
        <v>249</v>
      </c>
      <c r="J398" s="19" t="s">
        <v>139</v>
      </c>
      <c r="K398" s="17" t="s">
        <v>140</v>
      </c>
      <c r="L398" s="257">
        <v>0</v>
      </c>
      <c r="M398" s="70" t="s">
        <v>250</v>
      </c>
      <c r="N398" s="70">
        <v>100</v>
      </c>
      <c r="O398" s="258">
        <v>8</v>
      </c>
      <c r="P398" s="70" t="s">
        <v>251</v>
      </c>
      <c r="Q398" s="70" t="s">
        <v>233</v>
      </c>
      <c r="R398" s="70" t="s">
        <v>240</v>
      </c>
      <c r="S398" s="70" t="s">
        <v>233</v>
      </c>
      <c r="T398" s="70" t="s">
        <v>233</v>
      </c>
      <c r="U398" s="70" t="s">
        <v>1427</v>
      </c>
      <c r="V398" s="70" t="s">
        <v>240</v>
      </c>
      <c r="W398" s="12"/>
      <c r="X398" s="242">
        <v>0</v>
      </c>
      <c r="Y398" s="242">
        <v>0</v>
      </c>
      <c r="Z398" s="242">
        <v>0</v>
      </c>
      <c r="AA398" s="157" t="s">
        <v>252</v>
      </c>
      <c r="AB398" s="242">
        <v>0</v>
      </c>
      <c r="AC398" s="157" t="s">
        <v>252</v>
      </c>
      <c r="AD398" s="242">
        <v>0</v>
      </c>
      <c r="AE398" s="157" t="s">
        <v>252</v>
      </c>
      <c r="AF398" s="242">
        <v>0</v>
      </c>
      <c r="AG398" s="157" t="s">
        <v>252</v>
      </c>
      <c r="AH398" s="242">
        <v>0</v>
      </c>
      <c r="AI398" s="157" t="s">
        <v>252</v>
      </c>
      <c r="AJ398" s="242">
        <v>0</v>
      </c>
      <c r="AK398" s="242" t="s">
        <v>252</v>
      </c>
      <c r="AL398" s="242">
        <v>0</v>
      </c>
      <c r="AM398" s="242" t="s">
        <v>252</v>
      </c>
      <c r="AN398" s="242">
        <v>0</v>
      </c>
      <c r="AO398" s="242" t="s">
        <v>252</v>
      </c>
      <c r="AP398" s="242">
        <v>0</v>
      </c>
      <c r="AQ398" s="242" t="s">
        <v>252</v>
      </c>
      <c r="AR398" s="242">
        <v>0</v>
      </c>
      <c r="AS398" s="242" t="s">
        <v>252</v>
      </c>
      <c r="AT398" s="242">
        <v>0</v>
      </c>
      <c r="AU398" s="242" t="s">
        <v>252</v>
      </c>
      <c r="AV398" s="242">
        <v>0</v>
      </c>
      <c r="AW398" s="157" t="s">
        <v>252</v>
      </c>
      <c r="AX398" s="157">
        <v>0</v>
      </c>
      <c r="AY398" s="243">
        <v>1.1539999999999999</v>
      </c>
      <c r="AZ398" s="156" t="s">
        <v>253</v>
      </c>
      <c r="BA398" s="156" t="s">
        <v>254</v>
      </c>
      <c r="BB398" s="156">
        <v>0</v>
      </c>
      <c r="BC398" s="156" t="s">
        <v>1423</v>
      </c>
      <c r="BD398" s="3"/>
    </row>
    <row r="399" spans="1:56" ht="15.75" hidden="1" customHeight="1" outlineLevel="1">
      <c r="A399" s="58">
        <v>389</v>
      </c>
      <c r="B399" s="11">
        <v>129389</v>
      </c>
      <c r="C399" s="89" t="s">
        <v>306</v>
      </c>
      <c r="D399" s="157">
        <v>18</v>
      </c>
      <c r="E399" s="12" t="s">
        <v>231</v>
      </c>
      <c r="F399" s="11" t="s">
        <v>246</v>
      </c>
      <c r="G399" s="18" t="s">
        <v>247</v>
      </c>
      <c r="H399" s="11" t="s">
        <v>248</v>
      </c>
      <c r="I399" s="87" t="s">
        <v>249</v>
      </c>
      <c r="J399" s="19" t="s">
        <v>139</v>
      </c>
      <c r="K399" s="17" t="s">
        <v>140</v>
      </c>
      <c r="L399" s="257">
        <v>0</v>
      </c>
      <c r="M399" s="70" t="s">
        <v>250</v>
      </c>
      <c r="N399" s="70">
        <v>100</v>
      </c>
      <c r="O399" s="258">
        <v>8</v>
      </c>
      <c r="P399" s="70" t="s">
        <v>251</v>
      </c>
      <c r="Q399" s="70" t="s">
        <v>233</v>
      </c>
      <c r="R399" s="70" t="s">
        <v>240</v>
      </c>
      <c r="S399" s="70" t="s">
        <v>233</v>
      </c>
      <c r="T399" s="70" t="s">
        <v>233</v>
      </c>
      <c r="U399" s="70" t="s">
        <v>1427</v>
      </c>
      <c r="V399" s="70" t="s">
        <v>240</v>
      </c>
      <c r="W399" s="12"/>
      <c r="X399" s="242">
        <v>159.25701245908459</v>
      </c>
      <c r="Y399" s="242">
        <v>171.45622824259127</v>
      </c>
      <c r="Z399" s="242">
        <v>24.72526788731437</v>
      </c>
      <c r="AA399" s="157" t="s">
        <v>252</v>
      </c>
      <c r="AB399" s="242">
        <v>20.4262674534159</v>
      </c>
      <c r="AC399" s="157" t="s">
        <v>252</v>
      </c>
      <c r="AD399" s="242">
        <v>24.791938486394184</v>
      </c>
      <c r="AE399" s="157" t="s">
        <v>252</v>
      </c>
      <c r="AF399" s="242">
        <v>17.405537904130433</v>
      </c>
      <c r="AG399" s="157" t="s">
        <v>252</v>
      </c>
      <c r="AH399" s="242">
        <v>6.8500280934261388</v>
      </c>
      <c r="AI399" s="157" t="s">
        <v>252</v>
      </c>
      <c r="AJ399" s="242">
        <v>2.933506359511874</v>
      </c>
      <c r="AK399" s="242" t="s">
        <v>252</v>
      </c>
      <c r="AL399" s="242">
        <v>2.4487659887586304</v>
      </c>
      <c r="AM399" s="242" t="s">
        <v>252</v>
      </c>
      <c r="AN399" s="242">
        <v>2.2141656852296565</v>
      </c>
      <c r="AO399" s="242" t="s">
        <v>252</v>
      </c>
      <c r="AP399" s="242">
        <v>3.6252764853024391</v>
      </c>
      <c r="AQ399" s="242" t="s">
        <v>252</v>
      </c>
      <c r="AR399" s="242">
        <v>17.428095625623605</v>
      </c>
      <c r="AS399" s="242" t="s">
        <v>252</v>
      </c>
      <c r="AT399" s="242">
        <v>16.27564669867251</v>
      </c>
      <c r="AU399" s="242" t="s">
        <v>252</v>
      </c>
      <c r="AV399" s="242">
        <v>20.601015605148397</v>
      </c>
      <c r="AW399" s="157" t="s">
        <v>252</v>
      </c>
      <c r="AX399" s="157">
        <v>490.43875297460403</v>
      </c>
      <c r="AY399" s="243">
        <v>6.7372394859602849E-2</v>
      </c>
      <c r="AZ399" s="156" t="s">
        <v>253</v>
      </c>
      <c r="BA399" s="156" t="s">
        <v>254</v>
      </c>
      <c r="BB399" s="156">
        <v>0</v>
      </c>
      <c r="BC399" s="156" t="s">
        <v>1423</v>
      </c>
      <c r="BD399" s="3"/>
    </row>
    <row r="400" spans="1:56" ht="15.75" hidden="1" customHeight="1" outlineLevel="1">
      <c r="A400" s="58">
        <v>390</v>
      </c>
      <c r="B400" s="11">
        <v>129390</v>
      </c>
      <c r="C400" s="89" t="s">
        <v>306</v>
      </c>
      <c r="D400" s="157">
        <v>18</v>
      </c>
      <c r="E400" s="12" t="s">
        <v>252</v>
      </c>
      <c r="F400" s="11" t="s">
        <v>246</v>
      </c>
      <c r="G400" s="18" t="s">
        <v>247</v>
      </c>
      <c r="H400" s="11" t="s">
        <v>248</v>
      </c>
      <c r="I400" s="87" t="s">
        <v>249</v>
      </c>
      <c r="J400" s="19" t="s">
        <v>139</v>
      </c>
      <c r="K400" s="17" t="s">
        <v>140</v>
      </c>
      <c r="L400" s="257">
        <v>0</v>
      </c>
      <c r="M400" s="70" t="s">
        <v>250</v>
      </c>
      <c r="N400" s="70">
        <v>80</v>
      </c>
      <c r="O400" s="258">
        <v>8</v>
      </c>
      <c r="P400" s="70" t="s">
        <v>251</v>
      </c>
      <c r="Q400" s="70" t="s">
        <v>233</v>
      </c>
      <c r="R400" s="70" t="s">
        <v>240</v>
      </c>
      <c r="S400" s="70" t="s">
        <v>233</v>
      </c>
      <c r="T400" s="70" t="s">
        <v>233</v>
      </c>
      <c r="U400" s="70" t="s">
        <v>1427</v>
      </c>
      <c r="V400" s="70" t="s">
        <v>240</v>
      </c>
      <c r="W400" s="12"/>
      <c r="X400" s="242">
        <v>452.50928815990392</v>
      </c>
      <c r="Y400" s="242">
        <v>487.17186511689602</v>
      </c>
      <c r="Z400" s="242">
        <v>70.25381927295679</v>
      </c>
      <c r="AA400" s="157" t="s">
        <v>252</v>
      </c>
      <c r="AB400" s="242">
        <v>58.038736269046368</v>
      </c>
      <c r="AC400" s="157" t="s">
        <v>252</v>
      </c>
      <c r="AD400" s="242">
        <v>70.443255611520229</v>
      </c>
      <c r="AE400" s="157" t="s">
        <v>252</v>
      </c>
      <c r="AF400" s="242">
        <v>49.455703365412496</v>
      </c>
      <c r="AG400" s="157" t="s">
        <v>252</v>
      </c>
      <c r="AH400" s="242">
        <v>19.463515537364255</v>
      </c>
      <c r="AI400" s="157" t="s">
        <v>252</v>
      </c>
      <c r="AJ400" s="242">
        <v>8.3351988967914838</v>
      </c>
      <c r="AK400" s="242" t="s">
        <v>252</v>
      </c>
      <c r="AL400" s="242">
        <v>6.9578685254317154</v>
      </c>
      <c r="AM400" s="242" t="s">
        <v>252</v>
      </c>
      <c r="AN400" s="242">
        <v>6.2912805070280218</v>
      </c>
      <c r="AO400" s="242" t="s">
        <v>252</v>
      </c>
      <c r="AP400" s="242">
        <v>10.300778951058785</v>
      </c>
      <c r="AQ400" s="242" t="s">
        <v>252</v>
      </c>
      <c r="AR400" s="242">
        <v>49.519798367182077</v>
      </c>
      <c r="AS400" s="242" t="s">
        <v>252</v>
      </c>
      <c r="AT400" s="242">
        <v>46.245255943442565</v>
      </c>
      <c r="AU400" s="242" t="s">
        <v>252</v>
      </c>
      <c r="AV400" s="242">
        <v>58.535261731421514</v>
      </c>
      <c r="AW400" s="157" t="s">
        <v>252</v>
      </c>
      <c r="AX400" s="157">
        <v>1393.5216262554563</v>
      </c>
      <c r="AY400" s="240">
        <v>0.19143040528516325</v>
      </c>
      <c r="AZ400" s="156" t="s">
        <v>253</v>
      </c>
      <c r="BA400" s="156" t="s">
        <v>254</v>
      </c>
      <c r="BB400" s="156">
        <v>0</v>
      </c>
      <c r="BC400" s="156" t="s">
        <v>1423</v>
      </c>
      <c r="BD400" s="3"/>
    </row>
    <row r="401" spans="1:56" ht="15.75" hidden="1" customHeight="1" outlineLevel="1">
      <c r="A401" s="58">
        <v>391</v>
      </c>
      <c r="B401" s="11">
        <v>129391</v>
      </c>
      <c r="C401" s="89" t="s">
        <v>306</v>
      </c>
      <c r="D401" s="157">
        <v>18</v>
      </c>
      <c r="E401" s="12" t="s">
        <v>308</v>
      </c>
      <c r="F401" s="11" t="s">
        <v>246</v>
      </c>
      <c r="G401" s="18" t="s">
        <v>247</v>
      </c>
      <c r="H401" s="11" t="s">
        <v>248</v>
      </c>
      <c r="I401" s="87" t="s">
        <v>249</v>
      </c>
      <c r="J401" s="19" t="s">
        <v>139</v>
      </c>
      <c r="K401" s="17" t="s">
        <v>140</v>
      </c>
      <c r="L401" s="257">
        <v>0</v>
      </c>
      <c r="M401" s="70" t="s">
        <v>250</v>
      </c>
      <c r="N401" s="70">
        <v>80</v>
      </c>
      <c r="O401" s="258">
        <v>8</v>
      </c>
      <c r="P401" s="70" t="s">
        <v>251</v>
      </c>
      <c r="Q401" s="70" t="s">
        <v>233</v>
      </c>
      <c r="R401" s="70" t="s">
        <v>240</v>
      </c>
      <c r="S401" s="70" t="s">
        <v>233</v>
      </c>
      <c r="T401" s="70" t="s">
        <v>233</v>
      </c>
      <c r="U401" s="70" t="s">
        <v>1427</v>
      </c>
      <c r="V401" s="70" t="s">
        <v>240</v>
      </c>
      <c r="W401" s="12"/>
      <c r="X401" s="242">
        <v>249.65299519912341</v>
      </c>
      <c r="Y401" s="242">
        <v>268.77661627179242</v>
      </c>
      <c r="Z401" s="242">
        <v>38.759594254944339</v>
      </c>
      <c r="AA401" s="157" t="s">
        <v>252</v>
      </c>
      <c r="AB401" s="242">
        <v>32.020435218158944</v>
      </c>
      <c r="AC401" s="157" t="s">
        <v>252</v>
      </c>
      <c r="AD401" s="242">
        <v>38.86410779877508</v>
      </c>
      <c r="AE401" s="157" t="s">
        <v>252</v>
      </c>
      <c r="AF401" s="242">
        <v>27.285107284895336</v>
      </c>
      <c r="AG401" s="157" t="s">
        <v>252</v>
      </c>
      <c r="AH401" s="242">
        <v>10.738177266519633</v>
      </c>
      <c r="AI401" s="157" t="s">
        <v>252</v>
      </c>
      <c r="AJ401" s="242">
        <v>4.5985959285527178</v>
      </c>
      <c r="AK401" s="242" t="s">
        <v>252</v>
      </c>
      <c r="AL401" s="242">
        <v>3.8387117414524998</v>
      </c>
      <c r="AM401" s="242" t="s">
        <v>252</v>
      </c>
      <c r="AN401" s="242">
        <v>3.4709497977473269</v>
      </c>
      <c r="AO401" s="242" t="s">
        <v>252</v>
      </c>
      <c r="AP401" s="242">
        <v>5.6830221728115609</v>
      </c>
      <c r="AQ401" s="242" t="s">
        <v>252</v>
      </c>
      <c r="AR401" s="242">
        <v>27.3204690102516</v>
      </c>
      <c r="AS401" s="242" t="s">
        <v>252</v>
      </c>
      <c r="AT401" s="242">
        <v>25.51387775260589</v>
      </c>
      <c r="AU401" s="242" t="s">
        <v>252</v>
      </c>
      <c r="AV401" s="242">
        <v>32.294372288884396</v>
      </c>
      <c r="AW401" s="157" t="s">
        <v>252</v>
      </c>
      <c r="AX401" s="157">
        <v>768.81703198651519</v>
      </c>
      <c r="AY401" s="243">
        <v>0.105613686397383</v>
      </c>
      <c r="AZ401" s="156" t="s">
        <v>253</v>
      </c>
      <c r="BA401" s="156" t="s">
        <v>254</v>
      </c>
      <c r="BB401" s="156">
        <v>0</v>
      </c>
      <c r="BC401" s="156" t="s">
        <v>1423</v>
      </c>
      <c r="BD401" s="3"/>
    </row>
    <row r="402" spans="1:56" ht="15.75" hidden="1" customHeight="1" outlineLevel="1">
      <c r="A402" s="58">
        <v>392</v>
      </c>
      <c r="B402" s="11">
        <v>129392</v>
      </c>
      <c r="C402" s="89" t="s">
        <v>306</v>
      </c>
      <c r="D402" s="157">
        <v>18</v>
      </c>
      <c r="E402" s="12" t="s">
        <v>309</v>
      </c>
      <c r="F402" s="11" t="s">
        <v>246</v>
      </c>
      <c r="G402" s="18" t="s">
        <v>247</v>
      </c>
      <c r="H402" s="11" t="s">
        <v>248</v>
      </c>
      <c r="I402" s="87" t="s">
        <v>249</v>
      </c>
      <c r="J402" s="19" t="s">
        <v>139</v>
      </c>
      <c r="K402" s="17" t="s">
        <v>140</v>
      </c>
      <c r="L402" s="257">
        <v>0</v>
      </c>
      <c r="M402" s="70" t="s">
        <v>250</v>
      </c>
      <c r="N402" s="70">
        <v>100</v>
      </c>
      <c r="O402" s="258">
        <v>8</v>
      </c>
      <c r="P402" s="70" t="s">
        <v>251</v>
      </c>
      <c r="Q402" s="70" t="s">
        <v>233</v>
      </c>
      <c r="R402" s="70" t="s">
        <v>240</v>
      </c>
      <c r="S402" s="70" t="s">
        <v>233</v>
      </c>
      <c r="T402" s="70" t="s">
        <v>233</v>
      </c>
      <c r="U402" s="70" t="s">
        <v>1427</v>
      </c>
      <c r="V402" s="70" t="s">
        <v>240</v>
      </c>
      <c r="W402" s="12"/>
      <c r="X402" s="242">
        <v>58.379415416792469</v>
      </c>
      <c r="Y402" s="242">
        <v>62.851325789765198</v>
      </c>
      <c r="Z402" s="242">
        <v>9.0636303105073406</v>
      </c>
      <c r="AA402" s="157" t="s">
        <v>252</v>
      </c>
      <c r="AB402" s="242">
        <v>7.4877302711165576</v>
      </c>
      <c r="AC402" s="157" t="s">
        <v>252</v>
      </c>
      <c r="AD402" s="242">
        <v>9.0880699916219587</v>
      </c>
      <c r="AE402" s="157" t="s">
        <v>252</v>
      </c>
      <c r="AF402" s="242">
        <v>6.3804105839233616</v>
      </c>
      <c r="AG402" s="157" t="s">
        <v>252</v>
      </c>
      <c r="AH402" s="242">
        <v>2.511039416776474</v>
      </c>
      <c r="AI402" s="157" t="s">
        <v>252</v>
      </c>
      <c r="AJ402" s="242">
        <v>1.0753459690432436</v>
      </c>
      <c r="AK402" s="242" t="s">
        <v>252</v>
      </c>
      <c r="AL402" s="242">
        <v>0.89765294920988481</v>
      </c>
      <c r="AM402" s="242" t="s">
        <v>252</v>
      </c>
      <c r="AN402" s="242">
        <v>0.81165467280656323</v>
      </c>
      <c r="AO402" s="242" t="s">
        <v>252</v>
      </c>
      <c r="AP402" s="242">
        <v>1.3289306302325254</v>
      </c>
      <c r="AQ402" s="242" t="s">
        <v>252</v>
      </c>
      <c r="AR402" s="242">
        <v>6.3886796489621425</v>
      </c>
      <c r="AS402" s="242" t="s">
        <v>252</v>
      </c>
      <c r="AT402" s="242">
        <v>5.9662223039808682</v>
      </c>
      <c r="AU402" s="242" t="s">
        <v>252</v>
      </c>
      <c r="AV402" s="242">
        <v>7.5517883291309831</v>
      </c>
      <c r="AW402" s="157" t="s">
        <v>252</v>
      </c>
      <c r="AX402" s="157">
        <v>179.78189628386951</v>
      </c>
      <c r="AY402" s="243">
        <v>2.4696940915825694E-2</v>
      </c>
      <c r="AZ402" s="156" t="s">
        <v>253</v>
      </c>
      <c r="BA402" s="156" t="s">
        <v>254</v>
      </c>
      <c r="BB402" s="156">
        <v>0</v>
      </c>
      <c r="BC402" s="156" t="s">
        <v>1423</v>
      </c>
      <c r="BD402" s="3"/>
    </row>
    <row r="403" spans="1:56" ht="15.75" hidden="1" customHeight="1" outlineLevel="1">
      <c r="A403" s="58">
        <v>393</v>
      </c>
      <c r="B403" s="11">
        <v>129393</v>
      </c>
      <c r="C403" s="89" t="s">
        <v>306</v>
      </c>
      <c r="D403" s="157">
        <v>19</v>
      </c>
      <c r="E403" s="12" t="s">
        <v>191</v>
      </c>
      <c r="F403" s="11" t="s">
        <v>246</v>
      </c>
      <c r="G403" s="18" t="s">
        <v>247</v>
      </c>
      <c r="H403" s="11" t="s">
        <v>248</v>
      </c>
      <c r="I403" s="87" t="s">
        <v>249</v>
      </c>
      <c r="J403" s="19" t="s">
        <v>139</v>
      </c>
      <c r="K403" s="17" t="s">
        <v>140</v>
      </c>
      <c r="L403" s="257">
        <v>0</v>
      </c>
      <c r="M403" s="70" t="s">
        <v>250</v>
      </c>
      <c r="N403" s="70">
        <v>100</v>
      </c>
      <c r="O403" s="258">
        <v>8</v>
      </c>
      <c r="P403" s="70" t="s">
        <v>251</v>
      </c>
      <c r="Q403" s="70" t="s">
        <v>233</v>
      </c>
      <c r="R403" s="70" t="s">
        <v>240</v>
      </c>
      <c r="S403" s="70" t="s">
        <v>233</v>
      </c>
      <c r="T403" s="70" t="s">
        <v>233</v>
      </c>
      <c r="U403" s="70" t="s">
        <v>1427</v>
      </c>
      <c r="V403" s="70" t="s">
        <v>240</v>
      </c>
      <c r="W403" s="12"/>
      <c r="X403" s="242">
        <v>632.66999999999996</v>
      </c>
      <c r="Y403" s="242">
        <v>560.74</v>
      </c>
      <c r="Z403" s="242">
        <v>107.67</v>
      </c>
      <c r="AA403" s="157" t="s">
        <v>252</v>
      </c>
      <c r="AB403" s="242">
        <v>68.67</v>
      </c>
      <c r="AC403" s="157" t="s">
        <v>252</v>
      </c>
      <c r="AD403" s="242">
        <v>94.07</v>
      </c>
      <c r="AE403" s="157" t="s">
        <v>252</v>
      </c>
      <c r="AF403" s="242">
        <v>55.54</v>
      </c>
      <c r="AG403" s="157" t="s">
        <v>252</v>
      </c>
      <c r="AH403" s="242">
        <v>30.22</v>
      </c>
      <c r="AI403" s="157" t="s">
        <v>252</v>
      </c>
      <c r="AJ403" s="242">
        <v>17.57</v>
      </c>
      <c r="AK403" s="242" t="s">
        <v>252</v>
      </c>
      <c r="AL403" s="242">
        <v>9.51</v>
      </c>
      <c r="AM403" s="242" t="s">
        <v>252</v>
      </c>
      <c r="AN403" s="242">
        <v>11.75</v>
      </c>
      <c r="AO403" s="242" t="s">
        <v>252</v>
      </c>
      <c r="AP403" s="242">
        <v>12.52</v>
      </c>
      <c r="AQ403" s="242" t="s">
        <v>252</v>
      </c>
      <c r="AR403" s="242">
        <v>44.69</v>
      </c>
      <c r="AS403" s="242" t="s">
        <v>252</v>
      </c>
      <c r="AT403" s="242">
        <v>65.930000000000007</v>
      </c>
      <c r="AU403" s="242" t="s">
        <v>252</v>
      </c>
      <c r="AV403" s="242">
        <v>78.22</v>
      </c>
      <c r="AW403" s="157" t="s">
        <v>252</v>
      </c>
      <c r="AX403" s="157">
        <v>1789.77</v>
      </c>
      <c r="AY403" s="240">
        <v>0.32</v>
      </c>
      <c r="AZ403" s="156" t="s">
        <v>253</v>
      </c>
      <c r="BA403" s="156" t="s">
        <v>254</v>
      </c>
      <c r="BB403" s="156">
        <v>0</v>
      </c>
      <c r="BC403" s="156" t="s">
        <v>1423</v>
      </c>
      <c r="BD403" s="3"/>
    </row>
    <row r="404" spans="1:56" ht="15.75" hidden="1" customHeight="1" outlineLevel="1">
      <c r="A404" s="58">
        <v>394</v>
      </c>
      <c r="B404" s="11">
        <v>129394</v>
      </c>
      <c r="C404" s="89" t="s">
        <v>306</v>
      </c>
      <c r="D404" s="157">
        <v>2</v>
      </c>
      <c r="E404" s="12" t="s">
        <v>191</v>
      </c>
      <c r="F404" s="11" t="s">
        <v>246</v>
      </c>
      <c r="G404" s="18" t="s">
        <v>247</v>
      </c>
      <c r="H404" s="11" t="s">
        <v>248</v>
      </c>
      <c r="I404" s="87" t="s">
        <v>249</v>
      </c>
      <c r="J404" s="19" t="s">
        <v>139</v>
      </c>
      <c r="K404" s="17" t="s">
        <v>140</v>
      </c>
      <c r="L404" s="257">
        <v>0</v>
      </c>
      <c r="M404" s="70" t="s">
        <v>250</v>
      </c>
      <c r="N404" s="70">
        <v>100</v>
      </c>
      <c r="O404" s="258">
        <v>8</v>
      </c>
      <c r="P404" s="70" t="s">
        <v>251</v>
      </c>
      <c r="Q404" s="70" t="s">
        <v>233</v>
      </c>
      <c r="R404" s="70" t="s">
        <v>240</v>
      </c>
      <c r="S404" s="70" t="s">
        <v>240</v>
      </c>
      <c r="T404" s="70" t="s">
        <v>240</v>
      </c>
      <c r="U404" s="70" t="s">
        <v>1427</v>
      </c>
      <c r="V404" s="70" t="s">
        <v>240</v>
      </c>
      <c r="W404" s="12"/>
      <c r="X404" s="242">
        <v>0</v>
      </c>
      <c r="Y404" s="242">
        <v>0</v>
      </c>
      <c r="Z404" s="242">
        <v>0</v>
      </c>
      <c r="AA404" s="157"/>
      <c r="AB404" s="242">
        <v>0</v>
      </c>
      <c r="AC404" s="157"/>
      <c r="AD404" s="242">
        <v>0</v>
      </c>
      <c r="AE404" s="157"/>
      <c r="AF404" s="242">
        <v>0</v>
      </c>
      <c r="AG404" s="157"/>
      <c r="AH404" s="242">
        <v>0</v>
      </c>
      <c r="AI404" s="157"/>
      <c r="AJ404" s="242">
        <v>0</v>
      </c>
      <c r="AK404" s="242"/>
      <c r="AL404" s="242">
        <v>0</v>
      </c>
      <c r="AM404" s="242"/>
      <c r="AN404" s="242">
        <v>0</v>
      </c>
      <c r="AO404" s="242"/>
      <c r="AP404" s="242">
        <v>0</v>
      </c>
      <c r="AQ404" s="242"/>
      <c r="AR404" s="242">
        <v>0</v>
      </c>
      <c r="AS404" s="242"/>
      <c r="AT404" s="242">
        <v>0</v>
      </c>
      <c r="AU404" s="242"/>
      <c r="AV404" s="242">
        <v>0</v>
      </c>
      <c r="AW404" s="157"/>
      <c r="AX404" s="157">
        <v>0</v>
      </c>
      <c r="AY404" s="243">
        <v>0.372</v>
      </c>
      <c r="AZ404" s="156" t="s">
        <v>253</v>
      </c>
      <c r="BA404" s="156" t="s">
        <v>254</v>
      </c>
      <c r="BB404" s="156">
        <v>0</v>
      </c>
      <c r="BC404" s="156" t="s">
        <v>1423</v>
      </c>
      <c r="BD404" s="3"/>
    </row>
    <row r="405" spans="1:56" ht="15.75" hidden="1" customHeight="1" outlineLevel="1">
      <c r="A405" s="58">
        <v>395</v>
      </c>
      <c r="B405" s="11">
        <v>129395</v>
      </c>
      <c r="C405" s="89" t="s">
        <v>306</v>
      </c>
      <c r="D405" s="157">
        <v>20</v>
      </c>
      <c r="E405" s="12" t="s">
        <v>191</v>
      </c>
      <c r="F405" s="11" t="s">
        <v>246</v>
      </c>
      <c r="G405" s="18" t="s">
        <v>247</v>
      </c>
      <c r="H405" s="11" t="s">
        <v>248</v>
      </c>
      <c r="I405" s="87" t="s">
        <v>249</v>
      </c>
      <c r="J405" s="19" t="s">
        <v>139</v>
      </c>
      <c r="K405" s="17" t="s">
        <v>140</v>
      </c>
      <c r="L405" s="257">
        <v>0</v>
      </c>
      <c r="M405" s="70" t="s">
        <v>250</v>
      </c>
      <c r="N405" s="70">
        <v>100</v>
      </c>
      <c r="O405" s="258">
        <v>8</v>
      </c>
      <c r="P405" s="70" t="s">
        <v>251</v>
      </c>
      <c r="Q405" s="70" t="s">
        <v>233</v>
      </c>
      <c r="R405" s="70" t="s">
        <v>240</v>
      </c>
      <c r="S405" s="70" t="s">
        <v>233</v>
      </c>
      <c r="T405" s="70" t="s">
        <v>233</v>
      </c>
      <c r="U405" s="70" t="s">
        <v>1427</v>
      </c>
      <c r="V405" s="70" t="s">
        <v>240</v>
      </c>
      <c r="W405" s="12"/>
      <c r="X405" s="242">
        <v>581.35083192329375</v>
      </c>
      <c r="Y405" s="242">
        <v>633.04096164692623</v>
      </c>
      <c r="Z405" s="242">
        <v>65.584334461364918</v>
      </c>
      <c r="AA405" s="157" t="s">
        <v>252</v>
      </c>
      <c r="AB405" s="242">
        <v>75.861364918217703</v>
      </c>
      <c r="AC405" s="157" t="s">
        <v>252</v>
      </c>
      <c r="AD405" s="242">
        <v>92.188296672306819</v>
      </c>
      <c r="AE405" s="157" t="s">
        <v>252</v>
      </c>
      <c r="AF405" s="242">
        <v>61.158615341229556</v>
      </c>
      <c r="AG405" s="157" t="s">
        <v>252</v>
      </c>
      <c r="AH405" s="242">
        <v>21.46899323181049</v>
      </c>
      <c r="AI405" s="157" t="s">
        <v>252</v>
      </c>
      <c r="AJ405" s="242">
        <v>9.3691906373378462</v>
      </c>
      <c r="AK405" s="242" t="s">
        <v>252</v>
      </c>
      <c r="AL405" s="242">
        <v>7.5109560067681889</v>
      </c>
      <c r="AM405" s="242" t="s">
        <v>252</v>
      </c>
      <c r="AN405" s="242">
        <v>16.021954314720812</v>
      </c>
      <c r="AO405" s="242" t="s">
        <v>252</v>
      </c>
      <c r="AP405" s="242">
        <v>11.433107727016356</v>
      </c>
      <c r="AQ405" s="242" t="s">
        <v>252</v>
      </c>
      <c r="AR405" s="242">
        <v>64.782882120699384</v>
      </c>
      <c r="AS405" s="242" t="s">
        <v>252</v>
      </c>
      <c r="AT405" s="242">
        <v>59.683375634517766</v>
      </c>
      <c r="AU405" s="242" t="s">
        <v>252</v>
      </c>
      <c r="AV405" s="242">
        <v>77.159292160180485</v>
      </c>
      <c r="AW405" s="157" t="s">
        <v>252</v>
      </c>
      <c r="AX405" s="157">
        <v>1776.6141567963905</v>
      </c>
      <c r="AY405" s="240">
        <v>0.24823745064861813</v>
      </c>
      <c r="AZ405" s="156" t="s">
        <v>253</v>
      </c>
      <c r="BA405" s="156" t="s">
        <v>254</v>
      </c>
      <c r="BB405" s="156">
        <v>0</v>
      </c>
      <c r="BC405" s="156" t="s">
        <v>1423</v>
      </c>
      <c r="BD405" s="3"/>
    </row>
    <row r="406" spans="1:56" ht="15.75" hidden="1" customHeight="1" outlineLevel="1">
      <c r="A406" s="58">
        <v>396</v>
      </c>
      <c r="B406" s="11">
        <v>129396</v>
      </c>
      <c r="C406" s="89" t="s">
        <v>306</v>
      </c>
      <c r="D406" s="157">
        <v>20</v>
      </c>
      <c r="E406" s="12" t="s">
        <v>310</v>
      </c>
      <c r="F406" s="11" t="s">
        <v>246</v>
      </c>
      <c r="G406" s="18" t="s">
        <v>247</v>
      </c>
      <c r="H406" s="11" t="s">
        <v>248</v>
      </c>
      <c r="I406" s="87" t="s">
        <v>249</v>
      </c>
      <c r="J406" s="19" t="s">
        <v>139</v>
      </c>
      <c r="K406" s="17" t="s">
        <v>140</v>
      </c>
      <c r="L406" s="257">
        <v>0</v>
      </c>
      <c r="M406" s="70" t="s">
        <v>250</v>
      </c>
      <c r="N406" s="70">
        <v>80</v>
      </c>
      <c r="O406" s="258">
        <v>8</v>
      </c>
      <c r="P406" s="70" t="s">
        <v>251</v>
      </c>
      <c r="Q406" s="70" t="s">
        <v>233</v>
      </c>
      <c r="R406" s="70" t="s">
        <v>240</v>
      </c>
      <c r="S406" s="70" t="s">
        <v>233</v>
      </c>
      <c r="T406" s="70" t="s">
        <v>233</v>
      </c>
      <c r="U406" s="70" t="s">
        <v>1427</v>
      </c>
      <c r="V406" s="70" t="s">
        <v>240</v>
      </c>
      <c r="W406" s="12"/>
      <c r="X406" s="242">
        <v>95.235205865764229</v>
      </c>
      <c r="Y406" s="242">
        <v>103.70293288212072</v>
      </c>
      <c r="Z406" s="242">
        <v>10.743835307388606</v>
      </c>
      <c r="AA406" s="157" t="s">
        <v>252</v>
      </c>
      <c r="AB406" s="242">
        <v>12.427388606880992</v>
      </c>
      <c r="AC406" s="157" t="s">
        <v>252</v>
      </c>
      <c r="AD406" s="242">
        <v>15.102019176536942</v>
      </c>
      <c r="AE406" s="157" t="s">
        <v>252</v>
      </c>
      <c r="AF406" s="242">
        <v>10.01882684715172</v>
      </c>
      <c r="AG406" s="157" t="s">
        <v>252</v>
      </c>
      <c r="AH406" s="242">
        <v>3.5169881556683587</v>
      </c>
      <c r="AI406" s="157" t="s">
        <v>252</v>
      </c>
      <c r="AJ406" s="242">
        <v>1.5348336153412296</v>
      </c>
      <c r="AK406" s="242" t="s">
        <v>252</v>
      </c>
      <c r="AL406" s="242">
        <v>1.2304230118443316</v>
      </c>
      <c r="AM406" s="242" t="s">
        <v>252</v>
      </c>
      <c r="AN406" s="242">
        <v>2.6246700507614213</v>
      </c>
      <c r="AO406" s="242" t="s">
        <v>252</v>
      </c>
      <c r="AP406" s="242">
        <v>1.8729385222786239</v>
      </c>
      <c r="AQ406" s="242" t="s">
        <v>252</v>
      </c>
      <c r="AR406" s="242">
        <v>10.612543711223914</v>
      </c>
      <c r="AS406" s="242" t="s">
        <v>252</v>
      </c>
      <c r="AT406" s="242">
        <v>9.7771573604060915</v>
      </c>
      <c r="AU406" s="242" t="s">
        <v>252</v>
      </c>
      <c r="AV406" s="242">
        <v>12.640011280315848</v>
      </c>
      <c r="AW406" s="157" t="s">
        <v>252</v>
      </c>
      <c r="AX406" s="157">
        <v>291.03977439368299</v>
      </c>
      <c r="AY406" s="243">
        <v>4.066553863508178E-2</v>
      </c>
      <c r="AZ406" s="156" t="s">
        <v>253</v>
      </c>
      <c r="BA406" s="156" t="s">
        <v>254</v>
      </c>
      <c r="BB406" s="156">
        <v>0</v>
      </c>
      <c r="BC406" s="156" t="s">
        <v>1423</v>
      </c>
      <c r="BD406" s="3"/>
    </row>
    <row r="407" spans="1:56" ht="15.75" hidden="1" customHeight="1" outlineLevel="1">
      <c r="A407" s="58">
        <v>397</v>
      </c>
      <c r="B407" s="11">
        <v>129397</v>
      </c>
      <c r="C407" s="89" t="s">
        <v>306</v>
      </c>
      <c r="D407" s="157">
        <v>20</v>
      </c>
      <c r="E407" s="12" t="s">
        <v>311</v>
      </c>
      <c r="F407" s="11" t="s">
        <v>246</v>
      </c>
      <c r="G407" s="18" t="s">
        <v>247</v>
      </c>
      <c r="H407" s="11" t="s">
        <v>248</v>
      </c>
      <c r="I407" s="87" t="s">
        <v>249</v>
      </c>
      <c r="J407" s="19" t="s">
        <v>139</v>
      </c>
      <c r="K407" s="17" t="s">
        <v>140</v>
      </c>
      <c r="L407" s="257">
        <v>0</v>
      </c>
      <c r="M407" s="70" t="s">
        <v>250</v>
      </c>
      <c r="N407" s="70">
        <v>80</v>
      </c>
      <c r="O407" s="258">
        <v>8</v>
      </c>
      <c r="P407" s="70" t="s">
        <v>251</v>
      </c>
      <c r="Q407" s="70" t="s">
        <v>233</v>
      </c>
      <c r="R407" s="70" t="s">
        <v>240</v>
      </c>
      <c r="S407" s="70" t="s">
        <v>233</v>
      </c>
      <c r="T407" s="70" t="s">
        <v>233</v>
      </c>
      <c r="U407" s="70" t="s">
        <v>1427</v>
      </c>
      <c r="V407" s="70" t="s">
        <v>240</v>
      </c>
      <c r="W407" s="12"/>
      <c r="X407" s="242">
        <v>143.08396221094188</v>
      </c>
      <c r="Y407" s="242">
        <v>155.80610547095321</v>
      </c>
      <c r="Z407" s="242">
        <v>16.141830231246473</v>
      </c>
      <c r="AA407" s="157" t="s">
        <v>252</v>
      </c>
      <c r="AB407" s="242">
        <v>18.671246474901295</v>
      </c>
      <c r="AC407" s="157" t="s">
        <v>252</v>
      </c>
      <c r="AD407" s="242">
        <v>22.689684151156229</v>
      </c>
      <c r="AE407" s="157" t="s">
        <v>252</v>
      </c>
      <c r="AF407" s="242">
        <v>15.052557811618724</v>
      </c>
      <c r="AG407" s="157" t="s">
        <v>252</v>
      </c>
      <c r="AH407" s="242">
        <v>5.2840186125211499</v>
      </c>
      <c r="AI407" s="157" t="s">
        <v>252</v>
      </c>
      <c r="AJ407" s="242">
        <v>2.3059757473209248</v>
      </c>
      <c r="AK407" s="242" t="s">
        <v>252</v>
      </c>
      <c r="AL407" s="242">
        <v>1.8486209813874788</v>
      </c>
      <c r="AM407" s="242" t="s">
        <v>252</v>
      </c>
      <c r="AN407" s="242">
        <v>3.9433756345177664</v>
      </c>
      <c r="AO407" s="242" t="s">
        <v>252</v>
      </c>
      <c r="AP407" s="242">
        <v>2.8139537507050196</v>
      </c>
      <c r="AQ407" s="242" t="s">
        <v>252</v>
      </c>
      <c r="AR407" s="242">
        <v>15.944574168076706</v>
      </c>
      <c r="AS407" s="242" t="s">
        <v>252</v>
      </c>
      <c r="AT407" s="242">
        <v>14.689467005076143</v>
      </c>
      <c r="AU407" s="242" t="s">
        <v>252</v>
      </c>
      <c r="AV407" s="242">
        <v>18.990696559503665</v>
      </c>
      <c r="AW407" s="157" t="s">
        <v>252</v>
      </c>
      <c r="AX407" s="157">
        <v>437.26606880992665</v>
      </c>
      <c r="AY407" s="243">
        <v>6.1097010716300047E-2</v>
      </c>
      <c r="AZ407" s="156" t="s">
        <v>253</v>
      </c>
      <c r="BA407" s="156" t="s">
        <v>254</v>
      </c>
      <c r="BB407" s="156">
        <v>0</v>
      </c>
      <c r="BC407" s="156" t="s">
        <v>1423</v>
      </c>
      <c r="BD407" s="3"/>
    </row>
    <row r="408" spans="1:56" ht="15.75" hidden="1" customHeight="1" outlineLevel="1">
      <c r="A408" s="58">
        <v>398</v>
      </c>
      <c r="B408" s="11">
        <v>129398</v>
      </c>
      <c r="C408" s="89" t="s">
        <v>306</v>
      </c>
      <c r="D408" s="157">
        <v>22</v>
      </c>
      <c r="E408" s="12" t="s">
        <v>309</v>
      </c>
      <c r="F408" s="11" t="s">
        <v>246</v>
      </c>
      <c r="G408" s="18" t="s">
        <v>247</v>
      </c>
      <c r="H408" s="11" t="s">
        <v>248</v>
      </c>
      <c r="I408" s="87" t="s">
        <v>249</v>
      </c>
      <c r="J408" s="19" t="s">
        <v>139</v>
      </c>
      <c r="K408" s="17" t="s">
        <v>140</v>
      </c>
      <c r="L408" s="257">
        <v>0</v>
      </c>
      <c r="M408" s="70" t="s">
        <v>250</v>
      </c>
      <c r="N408" s="70">
        <v>80</v>
      </c>
      <c r="O408" s="258">
        <v>8</v>
      </c>
      <c r="P408" s="70" t="s">
        <v>251</v>
      </c>
      <c r="Q408" s="70" t="s">
        <v>233</v>
      </c>
      <c r="R408" s="70" t="s">
        <v>240</v>
      </c>
      <c r="S408" s="70" t="s">
        <v>233</v>
      </c>
      <c r="T408" s="70" t="s">
        <v>233</v>
      </c>
      <c r="U408" s="70" t="s">
        <v>1427</v>
      </c>
      <c r="V408" s="70" t="s">
        <v>240</v>
      </c>
      <c r="W408" s="12"/>
      <c r="X408" s="242">
        <v>736.59410029029311</v>
      </c>
      <c r="Y408" s="242">
        <v>736.03750109356974</v>
      </c>
      <c r="Z408" s="242">
        <v>121.00466536763828</v>
      </c>
      <c r="AA408" s="157" t="s">
        <v>252</v>
      </c>
      <c r="AB408" s="242">
        <v>97.757372251163162</v>
      </c>
      <c r="AC408" s="157" t="s">
        <v>252</v>
      </c>
      <c r="AD408" s="242">
        <v>118.81537519386012</v>
      </c>
      <c r="AE408" s="157" t="s">
        <v>252</v>
      </c>
      <c r="AF408" s="242">
        <v>78.888659482244407</v>
      </c>
      <c r="AG408" s="157" t="s">
        <v>252</v>
      </c>
      <c r="AH408" s="242">
        <v>27.92272636895057</v>
      </c>
      <c r="AI408" s="157" t="s">
        <v>252</v>
      </c>
      <c r="AJ408" s="242">
        <v>9.7683159024933381</v>
      </c>
      <c r="AK408" s="242" t="s">
        <v>252</v>
      </c>
      <c r="AL408" s="242">
        <v>7.7738354475682989</v>
      </c>
      <c r="AM408" s="242" t="s">
        <v>252</v>
      </c>
      <c r="AN408" s="242">
        <v>7.9871984729788839</v>
      </c>
      <c r="AO408" s="242" t="s">
        <v>252</v>
      </c>
      <c r="AP408" s="242">
        <v>11.84628623692687</v>
      </c>
      <c r="AQ408" s="242" t="s">
        <v>252</v>
      </c>
      <c r="AR408" s="242">
        <v>84.176351851115442</v>
      </c>
      <c r="AS408" s="242" t="s">
        <v>252</v>
      </c>
      <c r="AT408" s="242">
        <v>77.385841651091582</v>
      </c>
      <c r="AU408" s="242" t="s">
        <v>252</v>
      </c>
      <c r="AV408" s="242">
        <v>99.584872947071219</v>
      </c>
      <c r="AW408" s="157" t="s">
        <v>252</v>
      </c>
      <c r="AX408" s="157">
        <v>2215.5431025569651</v>
      </c>
      <c r="AY408" s="240">
        <v>0.31726154213226232</v>
      </c>
      <c r="AZ408" s="156" t="s">
        <v>253</v>
      </c>
      <c r="BA408" s="156" t="s">
        <v>254</v>
      </c>
      <c r="BB408" s="156">
        <v>0</v>
      </c>
      <c r="BC408" s="156" t="s">
        <v>1423</v>
      </c>
      <c r="BD408" s="3"/>
    </row>
    <row r="409" spans="1:56" ht="15.75" hidden="1" customHeight="1" outlineLevel="1">
      <c r="A409" s="58">
        <v>399</v>
      </c>
      <c r="B409" s="11">
        <v>129399</v>
      </c>
      <c r="C409" s="89" t="s">
        <v>306</v>
      </c>
      <c r="D409" s="157">
        <v>22</v>
      </c>
      <c r="E409" s="12" t="s">
        <v>262</v>
      </c>
      <c r="F409" s="11" t="s">
        <v>246</v>
      </c>
      <c r="G409" s="18" t="s">
        <v>247</v>
      </c>
      <c r="H409" s="11" t="s">
        <v>248</v>
      </c>
      <c r="I409" s="87" t="s">
        <v>249</v>
      </c>
      <c r="J409" s="19" t="s">
        <v>139</v>
      </c>
      <c r="K409" s="17" t="s">
        <v>140</v>
      </c>
      <c r="L409" s="257">
        <v>0</v>
      </c>
      <c r="M409" s="70" t="s">
        <v>250</v>
      </c>
      <c r="N409" s="70">
        <v>100</v>
      </c>
      <c r="O409" s="258">
        <v>8</v>
      </c>
      <c r="P409" s="70" t="s">
        <v>251</v>
      </c>
      <c r="Q409" s="70" t="s">
        <v>233</v>
      </c>
      <c r="R409" s="70" t="s">
        <v>240</v>
      </c>
      <c r="S409" s="70" t="s">
        <v>233</v>
      </c>
      <c r="T409" s="70" t="s">
        <v>233</v>
      </c>
      <c r="U409" s="70" t="s">
        <v>1427</v>
      </c>
      <c r="V409" s="70" t="s">
        <v>240</v>
      </c>
      <c r="W409" s="12"/>
      <c r="X409" s="242">
        <v>57.435899709706923</v>
      </c>
      <c r="Y409" s="242">
        <v>57.392498906430177</v>
      </c>
      <c r="Z409" s="242">
        <v>9.4353346323617124</v>
      </c>
      <c r="AA409" s="157" t="s">
        <v>252</v>
      </c>
      <c r="AB409" s="242">
        <v>7.6226277488368384</v>
      </c>
      <c r="AC409" s="157" t="s">
        <v>252</v>
      </c>
      <c r="AD409" s="242">
        <v>9.2646248061398975</v>
      </c>
      <c r="AE409" s="157" t="s">
        <v>252</v>
      </c>
      <c r="AF409" s="242">
        <v>6.1513405177555969</v>
      </c>
      <c r="AG409" s="157" t="s">
        <v>252</v>
      </c>
      <c r="AH409" s="242">
        <v>2.1772736310494292</v>
      </c>
      <c r="AI409" s="157" t="s">
        <v>252</v>
      </c>
      <c r="AJ409" s="242">
        <v>0.76168409750666066</v>
      </c>
      <c r="AK409" s="242" t="s">
        <v>252</v>
      </c>
      <c r="AL409" s="242">
        <v>0.60616455243170153</v>
      </c>
      <c r="AM409" s="242" t="s">
        <v>252</v>
      </c>
      <c r="AN409" s="242">
        <v>0.62280152702111569</v>
      </c>
      <c r="AO409" s="242" t="s">
        <v>252</v>
      </c>
      <c r="AP409" s="242">
        <v>0.9237137630731298</v>
      </c>
      <c r="AQ409" s="242" t="s">
        <v>252</v>
      </c>
      <c r="AR409" s="242">
        <v>6.5636481488845577</v>
      </c>
      <c r="AS409" s="242" t="s">
        <v>252</v>
      </c>
      <c r="AT409" s="242">
        <v>6.0341583489084174</v>
      </c>
      <c r="AU409" s="242" t="s">
        <v>252</v>
      </c>
      <c r="AV409" s="242">
        <v>7.7651270529287775</v>
      </c>
      <c r="AW409" s="157" t="s">
        <v>252</v>
      </c>
      <c r="AX409" s="157">
        <v>172.75689744303494</v>
      </c>
      <c r="AY409" s="243">
        <v>2.47384578677377E-2</v>
      </c>
      <c r="AZ409" s="156" t="s">
        <v>253</v>
      </c>
      <c r="BA409" s="156" t="s">
        <v>254</v>
      </c>
      <c r="BB409" s="156">
        <v>0</v>
      </c>
      <c r="BC409" s="156" t="s">
        <v>1423</v>
      </c>
      <c r="BD409" s="3"/>
    </row>
    <row r="410" spans="1:56" ht="15.75" hidden="1" customHeight="1" outlineLevel="1">
      <c r="A410" s="58">
        <v>400</v>
      </c>
      <c r="B410" s="11">
        <v>129400</v>
      </c>
      <c r="C410" s="89" t="s">
        <v>306</v>
      </c>
      <c r="D410" s="157">
        <v>23</v>
      </c>
      <c r="E410" s="12" t="s">
        <v>191</v>
      </c>
      <c r="F410" s="11" t="s">
        <v>246</v>
      </c>
      <c r="G410" s="18" t="s">
        <v>247</v>
      </c>
      <c r="H410" s="11" t="s">
        <v>248</v>
      </c>
      <c r="I410" s="87" t="s">
        <v>249</v>
      </c>
      <c r="J410" s="19" t="s">
        <v>139</v>
      </c>
      <c r="K410" s="17" t="s">
        <v>140</v>
      </c>
      <c r="L410" s="260">
        <v>1</v>
      </c>
      <c r="M410" s="70" t="s">
        <v>250</v>
      </c>
      <c r="N410" s="70">
        <v>100</v>
      </c>
      <c r="O410" s="258">
        <v>8</v>
      </c>
      <c r="P410" s="70" t="s">
        <v>251</v>
      </c>
      <c r="Q410" s="70" t="s">
        <v>233</v>
      </c>
      <c r="R410" s="70" t="s">
        <v>240</v>
      </c>
      <c r="S410" s="70" t="s">
        <v>233</v>
      </c>
      <c r="T410" s="70" t="s">
        <v>233</v>
      </c>
      <c r="U410" s="70" t="s">
        <v>1427</v>
      </c>
      <c r="V410" s="70" t="s">
        <v>240</v>
      </c>
      <c r="W410" s="12"/>
      <c r="X410" s="242">
        <v>492.83999999999992</v>
      </c>
      <c r="Y410" s="242">
        <v>419.23</v>
      </c>
      <c r="Z410" s="242">
        <v>75.08</v>
      </c>
      <c r="AA410" s="157" t="s">
        <v>252</v>
      </c>
      <c r="AB410" s="242">
        <v>54.28</v>
      </c>
      <c r="AC410" s="157" t="s">
        <v>252</v>
      </c>
      <c r="AD410" s="242">
        <v>67.680000000000007</v>
      </c>
      <c r="AE410" s="157" t="s">
        <v>252</v>
      </c>
      <c r="AF410" s="242">
        <v>37.96</v>
      </c>
      <c r="AG410" s="157" t="s">
        <v>252</v>
      </c>
      <c r="AH410" s="242">
        <v>13.88</v>
      </c>
      <c r="AI410" s="157" t="s">
        <v>252</v>
      </c>
      <c r="AJ410" s="242">
        <v>8.52</v>
      </c>
      <c r="AK410" s="242" t="s">
        <v>252</v>
      </c>
      <c r="AL410" s="242">
        <v>9.25</v>
      </c>
      <c r="AM410" s="242" t="s">
        <v>252</v>
      </c>
      <c r="AN410" s="242">
        <v>7.9</v>
      </c>
      <c r="AO410" s="242" t="s">
        <v>252</v>
      </c>
      <c r="AP410" s="242">
        <v>10.01</v>
      </c>
      <c r="AQ410" s="242" t="s">
        <v>252</v>
      </c>
      <c r="AR410" s="242">
        <v>38.630000000000003</v>
      </c>
      <c r="AS410" s="242" t="s">
        <v>252</v>
      </c>
      <c r="AT410" s="242">
        <v>35.85</v>
      </c>
      <c r="AU410" s="242" t="s">
        <v>252</v>
      </c>
      <c r="AV410" s="242">
        <v>50.69</v>
      </c>
      <c r="AW410" s="157" t="s">
        <v>252</v>
      </c>
      <c r="AX410" s="157">
        <v>1321.8000000000004</v>
      </c>
      <c r="AY410" s="240">
        <v>0.18</v>
      </c>
      <c r="AZ410" s="156" t="s">
        <v>253</v>
      </c>
      <c r="BA410" s="156" t="s">
        <v>254</v>
      </c>
      <c r="BB410" s="156">
        <v>1</v>
      </c>
      <c r="BC410" s="156" t="s">
        <v>1423</v>
      </c>
      <c r="BD410" s="3"/>
    </row>
    <row r="411" spans="1:56" ht="15.75" hidden="1" customHeight="1" outlineLevel="1">
      <c r="A411" s="58">
        <v>401</v>
      </c>
      <c r="B411" s="11">
        <v>129401</v>
      </c>
      <c r="C411" s="89" t="s">
        <v>306</v>
      </c>
      <c r="D411" s="157">
        <v>25</v>
      </c>
      <c r="E411" s="12" t="s">
        <v>191</v>
      </c>
      <c r="F411" s="11" t="s">
        <v>246</v>
      </c>
      <c r="G411" s="18" t="s">
        <v>247</v>
      </c>
      <c r="H411" s="11" t="s">
        <v>248</v>
      </c>
      <c r="I411" s="87" t="s">
        <v>249</v>
      </c>
      <c r="J411" s="19" t="s">
        <v>139</v>
      </c>
      <c r="K411" s="17" t="s">
        <v>140</v>
      </c>
      <c r="L411" s="257">
        <v>0</v>
      </c>
      <c r="M411" s="70" t="s">
        <v>250</v>
      </c>
      <c r="N411" s="70">
        <v>80</v>
      </c>
      <c r="O411" s="258">
        <v>8</v>
      </c>
      <c r="P411" s="70" t="s">
        <v>251</v>
      </c>
      <c r="Q411" s="70" t="s">
        <v>233</v>
      </c>
      <c r="R411" s="70" t="s">
        <v>240</v>
      </c>
      <c r="S411" s="70" t="s">
        <v>233</v>
      </c>
      <c r="T411" s="70" t="s">
        <v>233</v>
      </c>
      <c r="U411" s="70" t="s">
        <v>1427</v>
      </c>
      <c r="V411" s="70" t="s">
        <v>240</v>
      </c>
      <c r="W411" s="12"/>
      <c r="X411" s="242">
        <v>667.82999999999993</v>
      </c>
      <c r="Y411" s="242">
        <v>638.33999999999992</v>
      </c>
      <c r="Z411" s="242">
        <v>115.44</v>
      </c>
      <c r="AA411" s="157" t="s">
        <v>252</v>
      </c>
      <c r="AB411" s="242">
        <v>83.45</v>
      </c>
      <c r="AC411" s="157" t="s">
        <v>252</v>
      </c>
      <c r="AD411" s="242">
        <v>104.34</v>
      </c>
      <c r="AE411" s="157" t="s">
        <v>252</v>
      </c>
      <c r="AF411" s="242">
        <v>58.51</v>
      </c>
      <c r="AG411" s="157" t="s">
        <v>252</v>
      </c>
      <c r="AH411" s="242">
        <v>21.76</v>
      </c>
      <c r="AI411" s="157" t="s">
        <v>252</v>
      </c>
      <c r="AJ411" s="242">
        <v>10.42</v>
      </c>
      <c r="AK411" s="242" t="s">
        <v>252</v>
      </c>
      <c r="AL411" s="242">
        <v>8.31</v>
      </c>
      <c r="AM411" s="242" t="s">
        <v>252</v>
      </c>
      <c r="AN411" s="242">
        <v>9.77</v>
      </c>
      <c r="AO411" s="242" t="s">
        <v>252</v>
      </c>
      <c r="AP411" s="242">
        <v>12.33</v>
      </c>
      <c r="AQ411" s="242" t="s">
        <v>252</v>
      </c>
      <c r="AR411" s="242">
        <v>60.16</v>
      </c>
      <c r="AS411" s="242" t="s">
        <v>252</v>
      </c>
      <c r="AT411" s="242">
        <v>55.59</v>
      </c>
      <c r="AU411" s="242" t="s">
        <v>252</v>
      </c>
      <c r="AV411" s="242">
        <v>78.13</v>
      </c>
      <c r="AW411" s="157" t="s">
        <v>252</v>
      </c>
      <c r="AX411" s="157">
        <v>1924.3799999999997</v>
      </c>
      <c r="AY411" s="240">
        <v>0.28999999999999998</v>
      </c>
      <c r="AZ411" s="156" t="s">
        <v>253</v>
      </c>
      <c r="BA411" s="156" t="s">
        <v>254</v>
      </c>
      <c r="BB411" s="156">
        <v>0</v>
      </c>
      <c r="BC411" s="156" t="s">
        <v>1423</v>
      </c>
      <c r="BD411" s="3"/>
    </row>
    <row r="412" spans="1:56" ht="15.75" hidden="1" customHeight="1" outlineLevel="1">
      <c r="A412" s="58">
        <v>402</v>
      </c>
      <c r="B412" s="11">
        <v>129402</v>
      </c>
      <c r="C412" s="89" t="s">
        <v>306</v>
      </c>
      <c r="D412" s="157">
        <v>3</v>
      </c>
      <c r="E412" s="12" t="s">
        <v>191</v>
      </c>
      <c r="F412" s="11" t="s">
        <v>246</v>
      </c>
      <c r="G412" s="18" t="s">
        <v>247</v>
      </c>
      <c r="H412" s="11" t="s">
        <v>248</v>
      </c>
      <c r="I412" s="87" t="s">
        <v>249</v>
      </c>
      <c r="J412" s="19" t="s">
        <v>139</v>
      </c>
      <c r="K412" s="17" t="s">
        <v>140</v>
      </c>
      <c r="L412" s="257">
        <v>0</v>
      </c>
      <c r="M412" s="70" t="s">
        <v>250</v>
      </c>
      <c r="N412" s="70">
        <v>80</v>
      </c>
      <c r="O412" s="258">
        <v>8</v>
      </c>
      <c r="P412" s="70" t="s">
        <v>251</v>
      </c>
      <c r="Q412" s="70" t="s">
        <v>233</v>
      </c>
      <c r="R412" s="70" t="s">
        <v>240</v>
      </c>
      <c r="S412" s="70" t="s">
        <v>233</v>
      </c>
      <c r="T412" s="70" t="s">
        <v>233</v>
      </c>
      <c r="U412" s="70" t="s">
        <v>1427</v>
      </c>
      <c r="V412" s="70" t="s">
        <v>240</v>
      </c>
      <c r="W412" s="12"/>
      <c r="X412" s="242">
        <v>824.32</v>
      </c>
      <c r="Y412" s="242">
        <v>695.22</v>
      </c>
      <c r="Z412" s="242">
        <v>140.36000000000001</v>
      </c>
      <c r="AA412" s="157" t="s">
        <v>252</v>
      </c>
      <c r="AB412" s="242">
        <v>58.28</v>
      </c>
      <c r="AC412" s="157" t="s">
        <v>252</v>
      </c>
      <c r="AD412" s="242">
        <v>120.18</v>
      </c>
      <c r="AE412" s="157" t="s">
        <v>252</v>
      </c>
      <c r="AF412" s="242">
        <v>72.150000000000006</v>
      </c>
      <c r="AG412" s="157" t="s">
        <v>252</v>
      </c>
      <c r="AH412" s="242">
        <v>28.82</v>
      </c>
      <c r="AI412" s="157" t="s">
        <v>252</v>
      </c>
      <c r="AJ412" s="242">
        <v>11.02</v>
      </c>
      <c r="AK412" s="242" t="s">
        <v>252</v>
      </c>
      <c r="AL412" s="242">
        <v>6.73</v>
      </c>
      <c r="AM412" s="242" t="s">
        <v>252</v>
      </c>
      <c r="AN412" s="242">
        <v>7.95</v>
      </c>
      <c r="AO412" s="242" t="s">
        <v>252</v>
      </c>
      <c r="AP412" s="242">
        <v>10.85</v>
      </c>
      <c r="AQ412" s="242" t="s">
        <v>252</v>
      </c>
      <c r="AR412" s="242">
        <v>80.55</v>
      </c>
      <c r="AS412" s="242" t="s">
        <v>252</v>
      </c>
      <c r="AT412" s="242">
        <v>65.47</v>
      </c>
      <c r="AU412" s="242" t="s">
        <v>252</v>
      </c>
      <c r="AV412" s="242">
        <v>85.66</v>
      </c>
      <c r="AW412" s="157" t="s">
        <v>252</v>
      </c>
      <c r="AX412" s="157">
        <v>2207.56</v>
      </c>
      <c r="AY412" s="240">
        <v>0.41</v>
      </c>
      <c r="AZ412" s="156" t="s">
        <v>253</v>
      </c>
      <c r="BA412" s="156" t="s">
        <v>254</v>
      </c>
      <c r="BB412" s="157">
        <v>1</v>
      </c>
      <c r="BC412" s="156" t="s">
        <v>1423</v>
      </c>
      <c r="BD412" s="3"/>
    </row>
    <row r="413" spans="1:56" ht="15.75" hidden="1" customHeight="1" outlineLevel="1">
      <c r="A413" s="58">
        <v>403</v>
      </c>
      <c r="B413" s="11">
        <v>129403</v>
      </c>
      <c r="C413" s="89" t="s">
        <v>306</v>
      </c>
      <c r="D413" s="157">
        <v>31</v>
      </c>
      <c r="E413" s="12" t="s">
        <v>191</v>
      </c>
      <c r="F413" s="11" t="s">
        <v>246</v>
      </c>
      <c r="G413" s="18" t="s">
        <v>247</v>
      </c>
      <c r="H413" s="11" t="s">
        <v>248</v>
      </c>
      <c r="I413" s="87" t="s">
        <v>249</v>
      </c>
      <c r="J413" s="19" t="s">
        <v>139</v>
      </c>
      <c r="K413" s="17" t="s">
        <v>140</v>
      </c>
      <c r="L413" s="260">
        <v>1</v>
      </c>
      <c r="M413" s="70" t="s">
        <v>250</v>
      </c>
      <c r="N413" s="70">
        <v>80</v>
      </c>
      <c r="O413" s="258">
        <v>8</v>
      </c>
      <c r="P413" s="70" t="s">
        <v>251</v>
      </c>
      <c r="Q413" s="70" t="s">
        <v>233</v>
      </c>
      <c r="R413" s="70" t="s">
        <v>240</v>
      </c>
      <c r="S413" s="70" t="s">
        <v>233</v>
      </c>
      <c r="T413" s="70" t="s">
        <v>233</v>
      </c>
      <c r="U413" s="70" t="s">
        <v>1427</v>
      </c>
      <c r="V413" s="70" t="s">
        <v>240</v>
      </c>
      <c r="W413" s="12"/>
      <c r="X413" s="242">
        <v>1835.3926567455478</v>
      </c>
      <c r="Y413" s="242">
        <v>1624.4609138117312</v>
      </c>
      <c r="Z413" s="242">
        <v>238.21512215522949</v>
      </c>
      <c r="AA413" s="157" t="s">
        <v>252</v>
      </c>
      <c r="AB413" s="242">
        <v>184.47325131565191</v>
      </c>
      <c r="AC413" s="157" t="s">
        <v>252</v>
      </c>
      <c r="AD413" s="242">
        <v>233.5496288293312</v>
      </c>
      <c r="AE413" s="157" t="s">
        <v>252</v>
      </c>
      <c r="AF413" s="242">
        <v>148.6926428048653</v>
      </c>
      <c r="AG413" s="157" t="s">
        <v>252</v>
      </c>
      <c r="AH413" s="242">
        <v>52.987941309727113</v>
      </c>
      <c r="AI413" s="157" t="s">
        <v>252</v>
      </c>
      <c r="AJ413" s="242">
        <v>22.209876973477851</v>
      </c>
      <c r="AK413" s="242" t="s">
        <v>252</v>
      </c>
      <c r="AL413" s="242">
        <v>21.872826124838813</v>
      </c>
      <c r="AM413" s="242" t="s">
        <v>252</v>
      </c>
      <c r="AN413" s="242">
        <v>16.311487122294636</v>
      </c>
      <c r="AO413" s="242" t="s">
        <v>252</v>
      </c>
      <c r="AP413" s="242">
        <v>21.491426480326211</v>
      </c>
      <c r="AQ413" s="242" t="s">
        <v>252</v>
      </c>
      <c r="AR413" s="242">
        <v>124.63785592304744</v>
      </c>
      <c r="AS413" s="242" t="s">
        <v>252</v>
      </c>
      <c r="AT413" s="242">
        <v>137.7562297424459</v>
      </c>
      <c r="AU413" s="242" t="s">
        <v>252</v>
      </c>
      <c r="AV413" s="242">
        <v>143.54818248353257</v>
      </c>
      <c r="AW413" s="157" t="s">
        <v>252</v>
      </c>
      <c r="AX413" s="157">
        <v>4805.6000418220465</v>
      </c>
      <c r="AY413" s="243">
        <v>0.92263234935350091</v>
      </c>
      <c r="AZ413" s="156" t="s">
        <v>253</v>
      </c>
      <c r="BA413" s="156" t="s">
        <v>254</v>
      </c>
      <c r="BB413" s="156">
        <v>1</v>
      </c>
      <c r="BC413" s="157" t="s">
        <v>255</v>
      </c>
      <c r="BD413" s="3"/>
    </row>
    <row r="414" spans="1:56" ht="15.75" hidden="1" customHeight="1" outlineLevel="1">
      <c r="A414" s="58">
        <v>404</v>
      </c>
      <c r="B414" s="11">
        <v>129404</v>
      </c>
      <c r="C414" s="89" t="s">
        <v>306</v>
      </c>
      <c r="D414" s="157">
        <v>31</v>
      </c>
      <c r="E414" s="12" t="s">
        <v>252</v>
      </c>
      <c r="F414" s="11" t="s">
        <v>246</v>
      </c>
      <c r="G414" s="18" t="s">
        <v>247</v>
      </c>
      <c r="H414" s="11" t="s">
        <v>248</v>
      </c>
      <c r="I414" s="87" t="s">
        <v>249</v>
      </c>
      <c r="J414" s="19" t="s">
        <v>139</v>
      </c>
      <c r="K414" s="17" t="s">
        <v>140</v>
      </c>
      <c r="L414" s="257">
        <v>0</v>
      </c>
      <c r="M414" s="70" t="s">
        <v>250</v>
      </c>
      <c r="N414" s="70">
        <v>100</v>
      </c>
      <c r="O414" s="258">
        <v>8</v>
      </c>
      <c r="P414" s="70" t="s">
        <v>251</v>
      </c>
      <c r="Q414" s="70" t="s">
        <v>233</v>
      </c>
      <c r="R414" s="70" t="s">
        <v>240</v>
      </c>
      <c r="S414" s="70" t="s">
        <v>233</v>
      </c>
      <c r="T414" s="70" t="s">
        <v>233</v>
      </c>
      <c r="U414" s="70" t="s">
        <v>1427</v>
      </c>
      <c r="V414" s="70" t="s">
        <v>240</v>
      </c>
      <c r="W414" s="12"/>
      <c r="X414" s="242">
        <v>233.87734325445231</v>
      </c>
      <c r="Y414" s="242">
        <v>206.99908618826893</v>
      </c>
      <c r="Z414" s="242">
        <v>30.354877844770503</v>
      </c>
      <c r="AA414" s="157" t="s">
        <v>252</v>
      </c>
      <c r="AB414" s="242">
        <v>23.5067486843481</v>
      </c>
      <c r="AC414" s="157" t="s">
        <v>252</v>
      </c>
      <c r="AD414" s="242">
        <v>29.760371170668805</v>
      </c>
      <c r="AE414" s="157" t="s">
        <v>252</v>
      </c>
      <c r="AF414" s="242">
        <v>18.9473571951347</v>
      </c>
      <c r="AG414" s="157" t="s">
        <v>252</v>
      </c>
      <c r="AH414" s="242">
        <v>6.7520586902728894</v>
      </c>
      <c r="AI414" s="157" t="s">
        <v>252</v>
      </c>
      <c r="AJ414" s="242">
        <v>2.8301230265221484</v>
      </c>
      <c r="AK414" s="242" t="s">
        <v>252</v>
      </c>
      <c r="AL414" s="242">
        <v>2.7871738751611894</v>
      </c>
      <c r="AM414" s="242" t="s">
        <v>252</v>
      </c>
      <c r="AN414" s="242">
        <v>2.0785128777053639</v>
      </c>
      <c r="AO414" s="242" t="s">
        <v>252</v>
      </c>
      <c r="AP414" s="242">
        <v>2.7385735196737881</v>
      </c>
      <c r="AQ414" s="242" t="s">
        <v>252</v>
      </c>
      <c r="AR414" s="242">
        <v>15.882144076952569</v>
      </c>
      <c r="AS414" s="242" t="s">
        <v>252</v>
      </c>
      <c r="AT414" s="242">
        <v>17.55377025755411</v>
      </c>
      <c r="AU414" s="242" t="s">
        <v>252</v>
      </c>
      <c r="AV414" s="242">
        <v>18.291817516467432</v>
      </c>
      <c r="AW414" s="157" t="s">
        <v>252</v>
      </c>
      <c r="AX414" s="157">
        <v>612.35995817795299</v>
      </c>
      <c r="AY414" s="243">
        <v>0.11756765064649916</v>
      </c>
      <c r="AZ414" s="156" t="s">
        <v>253</v>
      </c>
      <c r="BA414" s="156" t="s">
        <v>254</v>
      </c>
      <c r="BB414" s="156">
        <v>0</v>
      </c>
      <c r="BC414" s="157" t="s">
        <v>255</v>
      </c>
      <c r="BD414" s="3"/>
    </row>
    <row r="415" spans="1:56" ht="15.75" hidden="1" customHeight="1" outlineLevel="1">
      <c r="A415" s="58">
        <v>405</v>
      </c>
      <c r="B415" s="11">
        <v>129405</v>
      </c>
      <c r="C415" s="89" t="s">
        <v>306</v>
      </c>
      <c r="D415" s="157">
        <v>5</v>
      </c>
      <c r="E415" s="12" t="s">
        <v>191</v>
      </c>
      <c r="F415" s="11" t="s">
        <v>246</v>
      </c>
      <c r="G415" s="18" t="s">
        <v>247</v>
      </c>
      <c r="H415" s="11" t="s">
        <v>248</v>
      </c>
      <c r="I415" s="87" t="s">
        <v>249</v>
      </c>
      <c r="J415" s="19" t="s">
        <v>139</v>
      </c>
      <c r="K415" s="17" t="s">
        <v>140</v>
      </c>
      <c r="L415" s="260">
        <v>1</v>
      </c>
      <c r="M415" s="70" t="s">
        <v>250</v>
      </c>
      <c r="N415" s="70">
        <v>100</v>
      </c>
      <c r="O415" s="258">
        <v>8</v>
      </c>
      <c r="P415" s="70" t="s">
        <v>251</v>
      </c>
      <c r="Q415" s="70" t="s">
        <v>233</v>
      </c>
      <c r="R415" s="70" t="s">
        <v>240</v>
      </c>
      <c r="S415" s="70" t="s">
        <v>233</v>
      </c>
      <c r="T415" s="70" t="s">
        <v>233</v>
      </c>
      <c r="U415" s="70" t="s">
        <v>1427</v>
      </c>
      <c r="V415" s="70" t="s">
        <v>240</v>
      </c>
      <c r="W415" s="12"/>
      <c r="X415" s="242">
        <v>856.73000000000013</v>
      </c>
      <c r="Y415" s="242">
        <v>768.93000000000006</v>
      </c>
      <c r="Z415" s="242">
        <v>119.23</v>
      </c>
      <c r="AA415" s="157" t="s">
        <v>252</v>
      </c>
      <c r="AB415" s="242">
        <v>89.75</v>
      </c>
      <c r="AC415" s="157" t="s">
        <v>252</v>
      </c>
      <c r="AD415" s="242">
        <v>119.54</v>
      </c>
      <c r="AE415" s="157" t="s">
        <v>252</v>
      </c>
      <c r="AF415" s="242">
        <v>85.27</v>
      </c>
      <c r="AG415" s="157" t="s">
        <v>252</v>
      </c>
      <c r="AH415" s="242">
        <v>31.7</v>
      </c>
      <c r="AI415" s="157" t="s">
        <v>252</v>
      </c>
      <c r="AJ415" s="242">
        <v>10.95</v>
      </c>
      <c r="AK415" s="242" t="s">
        <v>252</v>
      </c>
      <c r="AL415" s="242">
        <v>12.19</v>
      </c>
      <c r="AM415" s="242" t="s">
        <v>252</v>
      </c>
      <c r="AN415" s="242">
        <v>8.74</v>
      </c>
      <c r="AO415" s="242" t="s">
        <v>252</v>
      </c>
      <c r="AP415" s="242">
        <v>14.68</v>
      </c>
      <c r="AQ415" s="242" t="s">
        <v>252</v>
      </c>
      <c r="AR415" s="242">
        <v>77.040000000000006</v>
      </c>
      <c r="AS415" s="242" t="s">
        <v>252</v>
      </c>
      <c r="AT415" s="242">
        <v>71.19</v>
      </c>
      <c r="AU415" s="242" t="s">
        <v>252</v>
      </c>
      <c r="AV415" s="242">
        <v>101.41</v>
      </c>
      <c r="AW415" s="157" t="s">
        <v>252</v>
      </c>
      <c r="AX415" s="157">
        <v>2367.3499999999995</v>
      </c>
      <c r="AY415" s="240">
        <v>0.32</v>
      </c>
      <c r="AZ415" s="156" t="s">
        <v>253</v>
      </c>
      <c r="BA415" s="156" t="s">
        <v>254</v>
      </c>
      <c r="BB415" s="156">
        <v>1</v>
      </c>
      <c r="BC415" s="157" t="s">
        <v>255</v>
      </c>
      <c r="BD415" s="3"/>
    </row>
    <row r="416" spans="1:56" ht="15.75" hidden="1" customHeight="1" outlineLevel="1">
      <c r="A416" s="58">
        <v>406</v>
      </c>
      <c r="B416" s="11">
        <v>129406</v>
      </c>
      <c r="C416" s="89" t="s">
        <v>306</v>
      </c>
      <c r="D416" s="157">
        <v>7</v>
      </c>
      <c r="E416" s="12" t="s">
        <v>191</v>
      </c>
      <c r="F416" s="11" t="s">
        <v>246</v>
      </c>
      <c r="G416" s="18" t="s">
        <v>247</v>
      </c>
      <c r="H416" s="11" t="s">
        <v>248</v>
      </c>
      <c r="I416" s="87" t="s">
        <v>249</v>
      </c>
      <c r="J416" s="19" t="s">
        <v>139</v>
      </c>
      <c r="K416" s="17" t="s">
        <v>140</v>
      </c>
      <c r="L416" s="260">
        <v>1</v>
      </c>
      <c r="M416" s="70" t="s">
        <v>250</v>
      </c>
      <c r="N416" s="70">
        <v>100</v>
      </c>
      <c r="O416" s="258">
        <v>8</v>
      </c>
      <c r="P416" s="70" t="s">
        <v>251</v>
      </c>
      <c r="Q416" s="70" t="s">
        <v>233</v>
      </c>
      <c r="R416" s="70" t="s">
        <v>240</v>
      </c>
      <c r="S416" s="70" t="s">
        <v>233</v>
      </c>
      <c r="T416" s="70" t="s">
        <v>233</v>
      </c>
      <c r="U416" s="70" t="s">
        <v>1427</v>
      </c>
      <c r="V416" s="70" t="s">
        <v>240</v>
      </c>
      <c r="W416" s="12"/>
      <c r="X416" s="242">
        <v>2772.0707624322526</v>
      </c>
      <c r="Y416" s="242">
        <v>2891.0692488630398</v>
      </c>
      <c r="Z416" s="242">
        <v>319.32399932624571</v>
      </c>
      <c r="AA416" s="157" t="s">
        <v>312</v>
      </c>
      <c r="AB416" s="242">
        <v>303.08522952232801</v>
      </c>
      <c r="AC416" s="157" t="s">
        <v>312</v>
      </c>
      <c r="AD416" s="242">
        <v>310.22354057883422</v>
      </c>
      <c r="AE416" s="157" t="s">
        <v>252</v>
      </c>
      <c r="AF416" s="242">
        <v>235.32454546355288</v>
      </c>
      <c r="AG416" s="157" t="s">
        <v>252</v>
      </c>
      <c r="AH416" s="242">
        <v>63.649940253846836</v>
      </c>
      <c r="AI416" s="157" t="s">
        <v>252</v>
      </c>
      <c r="AJ416" s="242">
        <v>31.598568470280505</v>
      </c>
      <c r="AK416" s="242" t="s">
        <v>252</v>
      </c>
      <c r="AL416" s="242">
        <v>25.179415617228294</v>
      </c>
      <c r="AM416" s="242" t="s">
        <v>252</v>
      </c>
      <c r="AN416" s="242">
        <v>27.993898956671654</v>
      </c>
      <c r="AO416" s="242" t="s">
        <v>252</v>
      </c>
      <c r="AP416" s="242">
        <v>35.735947764225628</v>
      </c>
      <c r="AQ416" s="242" t="s">
        <v>252</v>
      </c>
      <c r="AR416" s="242">
        <v>239.0712709185847</v>
      </c>
      <c r="AS416" s="242" t="s">
        <v>252</v>
      </c>
      <c r="AT416" s="242">
        <v>280.14319498251211</v>
      </c>
      <c r="AU416" s="242" t="s">
        <v>252</v>
      </c>
      <c r="AV416" s="242">
        <v>276.88478682612185</v>
      </c>
      <c r="AW416" s="157" t="s">
        <v>252</v>
      </c>
      <c r="AX416" s="157">
        <v>7811.3543499757243</v>
      </c>
      <c r="AY416" s="240">
        <v>1.1897185094176981</v>
      </c>
      <c r="AZ416" s="156" t="s">
        <v>253</v>
      </c>
      <c r="BA416" s="156" t="s">
        <v>254</v>
      </c>
      <c r="BB416" s="156">
        <v>1</v>
      </c>
      <c r="BC416" s="156" t="s">
        <v>1423</v>
      </c>
      <c r="BD416" s="3"/>
    </row>
    <row r="417" spans="1:56" ht="15.75" hidden="1" customHeight="1" outlineLevel="1">
      <c r="A417" s="58">
        <v>407</v>
      </c>
      <c r="B417" s="11">
        <v>129407</v>
      </c>
      <c r="C417" s="89" t="s">
        <v>306</v>
      </c>
      <c r="D417" s="157">
        <v>7</v>
      </c>
      <c r="E417" s="12" t="s">
        <v>313</v>
      </c>
      <c r="F417" s="11" t="s">
        <v>246</v>
      </c>
      <c r="G417" s="18" t="s">
        <v>247</v>
      </c>
      <c r="H417" s="11" t="s">
        <v>248</v>
      </c>
      <c r="I417" s="87" t="s">
        <v>249</v>
      </c>
      <c r="J417" s="19" t="s">
        <v>139</v>
      </c>
      <c r="K417" s="17" t="s">
        <v>140</v>
      </c>
      <c r="L417" s="257">
        <v>0</v>
      </c>
      <c r="M417" s="70" t="s">
        <v>250</v>
      </c>
      <c r="N417" s="70">
        <v>80</v>
      </c>
      <c r="O417" s="258">
        <v>8</v>
      </c>
      <c r="P417" s="70" t="s">
        <v>251</v>
      </c>
      <c r="Q417" s="70" t="s">
        <v>233</v>
      </c>
      <c r="R417" s="70" t="s">
        <v>240</v>
      </c>
      <c r="S417" s="70" t="s">
        <v>233</v>
      </c>
      <c r="T417" s="70" t="s">
        <v>233</v>
      </c>
      <c r="U417" s="70" t="s">
        <v>1427</v>
      </c>
      <c r="V417" s="70" t="s">
        <v>240</v>
      </c>
      <c r="W417" s="12"/>
      <c r="X417" s="242">
        <v>350.15923756774697</v>
      </c>
      <c r="Y417" s="242">
        <v>365.19075113696044</v>
      </c>
      <c r="Z417" s="242">
        <v>40.336000673754306</v>
      </c>
      <c r="AA417" s="157" t="s">
        <v>312</v>
      </c>
      <c r="AB417" s="242">
        <v>38.284770477671984</v>
      </c>
      <c r="AC417" s="157" t="s">
        <v>312</v>
      </c>
      <c r="AD417" s="242">
        <v>39.1864594211658</v>
      </c>
      <c r="AE417" s="157" t="s">
        <v>252</v>
      </c>
      <c r="AF417" s="242">
        <v>29.725454536447142</v>
      </c>
      <c r="AG417" s="157" t="s">
        <v>252</v>
      </c>
      <c r="AH417" s="242">
        <v>8.0400597461531618</v>
      </c>
      <c r="AI417" s="157" t="s">
        <v>252</v>
      </c>
      <c r="AJ417" s="242">
        <v>3.9914315297195011</v>
      </c>
      <c r="AK417" s="242" t="s">
        <v>252</v>
      </c>
      <c r="AL417" s="242">
        <v>3.1805843827717064</v>
      </c>
      <c r="AM417" s="242" t="s">
        <v>252</v>
      </c>
      <c r="AN417" s="242">
        <v>3.5361010433283466</v>
      </c>
      <c r="AO417" s="242" t="s">
        <v>252</v>
      </c>
      <c r="AP417" s="242">
        <v>4.514052235774372</v>
      </c>
      <c r="AQ417" s="242" t="s">
        <v>252</v>
      </c>
      <c r="AR417" s="242">
        <v>30.198729081415284</v>
      </c>
      <c r="AS417" s="242" t="s">
        <v>252</v>
      </c>
      <c r="AT417" s="242">
        <v>35.386805017487887</v>
      </c>
      <c r="AU417" s="242" t="s">
        <v>252</v>
      </c>
      <c r="AV417" s="242">
        <v>34.975213173878153</v>
      </c>
      <c r="AW417" s="157" t="s">
        <v>252</v>
      </c>
      <c r="AX417" s="157">
        <v>986.70565002427486</v>
      </c>
      <c r="AY417" s="243">
        <v>0.15028149058230209</v>
      </c>
      <c r="AZ417" s="156" t="s">
        <v>253</v>
      </c>
      <c r="BA417" s="156" t="s">
        <v>254</v>
      </c>
      <c r="BB417" s="156">
        <v>0</v>
      </c>
      <c r="BC417" s="156" t="s">
        <v>1423</v>
      </c>
      <c r="BD417" s="3"/>
    </row>
    <row r="418" spans="1:56" ht="15.75" hidden="1" customHeight="1" outlineLevel="1">
      <c r="A418" s="58">
        <v>408</v>
      </c>
      <c r="B418" s="11">
        <v>129408</v>
      </c>
      <c r="C418" s="89" t="s">
        <v>314</v>
      </c>
      <c r="D418" s="157">
        <v>4</v>
      </c>
      <c r="E418" s="12" t="s">
        <v>191</v>
      </c>
      <c r="F418" s="11" t="s">
        <v>246</v>
      </c>
      <c r="G418" s="18" t="s">
        <v>247</v>
      </c>
      <c r="H418" s="11" t="s">
        <v>248</v>
      </c>
      <c r="I418" s="87" t="s">
        <v>249</v>
      </c>
      <c r="J418" s="19" t="s">
        <v>139</v>
      </c>
      <c r="K418" s="17" t="s">
        <v>140</v>
      </c>
      <c r="L418" s="257">
        <v>0</v>
      </c>
      <c r="M418" s="70" t="s">
        <v>250</v>
      </c>
      <c r="N418" s="70">
        <v>80</v>
      </c>
      <c r="O418" s="258">
        <v>8</v>
      </c>
      <c r="P418" s="70" t="s">
        <v>251</v>
      </c>
      <c r="Q418" s="70" t="s">
        <v>233</v>
      </c>
      <c r="R418" s="70" t="s">
        <v>240</v>
      </c>
      <c r="S418" s="70" t="s">
        <v>233</v>
      </c>
      <c r="T418" s="70" t="s">
        <v>233</v>
      </c>
      <c r="U418" s="70" t="s">
        <v>1427</v>
      </c>
      <c r="V418" s="70" t="s">
        <v>240</v>
      </c>
      <c r="W418" s="12"/>
      <c r="X418" s="242">
        <v>202.05</v>
      </c>
      <c r="Y418" s="242">
        <v>237.09</v>
      </c>
      <c r="Z418" s="242">
        <v>46.31</v>
      </c>
      <c r="AA418" s="157" t="s">
        <v>252</v>
      </c>
      <c r="AB418" s="242">
        <v>26.9</v>
      </c>
      <c r="AC418" s="157" t="s">
        <v>252</v>
      </c>
      <c r="AD418" s="242">
        <v>48.61</v>
      </c>
      <c r="AE418" s="157" t="s">
        <v>252</v>
      </c>
      <c r="AF418" s="242">
        <v>30</v>
      </c>
      <c r="AG418" s="157" t="s">
        <v>252</v>
      </c>
      <c r="AH418" s="242">
        <v>11.16</v>
      </c>
      <c r="AI418" s="157" t="s">
        <v>252</v>
      </c>
      <c r="AJ418" s="242">
        <v>5.52</v>
      </c>
      <c r="AK418" s="242" t="s">
        <v>252</v>
      </c>
      <c r="AL418" s="242">
        <v>4.4000000000000004</v>
      </c>
      <c r="AM418" s="242" t="s">
        <v>252</v>
      </c>
      <c r="AN418" s="242">
        <v>4.45</v>
      </c>
      <c r="AO418" s="242" t="s">
        <v>252</v>
      </c>
      <c r="AP418" s="242">
        <v>6.45</v>
      </c>
      <c r="AQ418" s="242" t="s">
        <v>252</v>
      </c>
      <c r="AR418" s="242">
        <v>23.05</v>
      </c>
      <c r="AS418" s="242" t="s">
        <v>252</v>
      </c>
      <c r="AT418" s="242">
        <v>24.15</v>
      </c>
      <c r="AU418" s="242" t="s">
        <v>252</v>
      </c>
      <c r="AV418" s="242">
        <v>31.2</v>
      </c>
      <c r="AW418" s="157" t="s">
        <v>252</v>
      </c>
      <c r="AX418" s="157">
        <v>701.34</v>
      </c>
      <c r="AY418" s="240">
        <v>0.11</v>
      </c>
      <c r="AZ418" s="156" t="s">
        <v>253</v>
      </c>
      <c r="BA418" s="156" t="s">
        <v>254</v>
      </c>
      <c r="BB418" s="156">
        <v>0</v>
      </c>
      <c r="BC418" s="156" t="s">
        <v>1423</v>
      </c>
      <c r="BD418" s="3"/>
    </row>
    <row r="419" spans="1:56" ht="15.75" hidden="1" customHeight="1" outlineLevel="1">
      <c r="A419" s="58">
        <v>409</v>
      </c>
      <c r="B419" s="11">
        <v>129409</v>
      </c>
      <c r="C419" s="89" t="s">
        <v>315</v>
      </c>
      <c r="D419" s="157" t="s">
        <v>213</v>
      </c>
      <c r="E419" s="12" t="s">
        <v>191</v>
      </c>
      <c r="F419" s="11" t="s">
        <v>246</v>
      </c>
      <c r="G419" s="18" t="s">
        <v>247</v>
      </c>
      <c r="H419" s="11" t="s">
        <v>248</v>
      </c>
      <c r="I419" s="87" t="s">
        <v>249</v>
      </c>
      <c r="J419" s="19" t="s">
        <v>139</v>
      </c>
      <c r="K419" s="17" t="s">
        <v>140</v>
      </c>
      <c r="L419" s="260">
        <v>1</v>
      </c>
      <c r="M419" s="70" t="s">
        <v>250</v>
      </c>
      <c r="N419" s="70">
        <v>100</v>
      </c>
      <c r="O419" s="258">
        <v>8</v>
      </c>
      <c r="P419" s="70" t="s">
        <v>251</v>
      </c>
      <c r="Q419" s="70" t="s">
        <v>240</v>
      </c>
      <c r="R419" s="70" t="s">
        <v>240</v>
      </c>
      <c r="S419" s="70" t="s">
        <v>233</v>
      </c>
      <c r="T419" s="70" t="s">
        <v>233</v>
      </c>
      <c r="U419" s="70" t="s">
        <v>1427</v>
      </c>
      <c r="V419" s="70" t="s">
        <v>240</v>
      </c>
      <c r="W419" s="12"/>
      <c r="X419" s="242">
        <v>279.7</v>
      </c>
      <c r="Y419" s="242">
        <v>274.75</v>
      </c>
      <c r="Z419" s="242">
        <v>39.57</v>
      </c>
      <c r="AA419" s="157" t="s">
        <v>252</v>
      </c>
      <c r="AB419" s="242">
        <v>34.450000000000003</v>
      </c>
      <c r="AC419" s="157" t="s">
        <v>252</v>
      </c>
      <c r="AD419" s="242">
        <v>68.069999999999993</v>
      </c>
      <c r="AE419" s="157" t="s">
        <v>252</v>
      </c>
      <c r="AF419" s="242">
        <v>39.76</v>
      </c>
      <c r="AG419" s="157" t="s">
        <v>252</v>
      </c>
      <c r="AH419" s="242">
        <v>0.91</v>
      </c>
      <c r="AI419" s="157" t="s">
        <v>252</v>
      </c>
      <c r="AJ419" s="242">
        <v>0</v>
      </c>
      <c r="AK419" s="242" t="s">
        <v>252</v>
      </c>
      <c r="AL419" s="242">
        <v>0</v>
      </c>
      <c r="AM419" s="242" t="s">
        <v>252</v>
      </c>
      <c r="AN419" s="242">
        <v>0</v>
      </c>
      <c r="AO419" s="242" t="s">
        <v>252</v>
      </c>
      <c r="AP419" s="242">
        <v>6.49</v>
      </c>
      <c r="AQ419" s="242" t="s">
        <v>252</v>
      </c>
      <c r="AR419" s="242">
        <v>26.06</v>
      </c>
      <c r="AS419" s="242" t="s">
        <v>252</v>
      </c>
      <c r="AT419" s="242">
        <v>31.69</v>
      </c>
      <c r="AU419" s="242" t="s">
        <v>252</v>
      </c>
      <c r="AV419" s="242">
        <v>39.340000000000003</v>
      </c>
      <c r="AW419" s="157" t="s">
        <v>252</v>
      </c>
      <c r="AX419" s="157">
        <v>840.79000000000019</v>
      </c>
      <c r="AY419" s="240">
        <v>0.12</v>
      </c>
      <c r="AZ419" s="156" t="s">
        <v>253</v>
      </c>
      <c r="BA419" s="156" t="s">
        <v>254</v>
      </c>
      <c r="BB419" s="156">
        <v>1</v>
      </c>
      <c r="BC419" s="156" t="s">
        <v>1423</v>
      </c>
      <c r="BD419" s="3"/>
    </row>
    <row r="420" spans="1:56" ht="15.75" hidden="1" customHeight="1" outlineLevel="1">
      <c r="A420" s="58">
        <v>410</v>
      </c>
      <c r="B420" s="11">
        <v>129410</v>
      </c>
      <c r="C420" s="89" t="s">
        <v>315</v>
      </c>
      <c r="D420" s="157">
        <v>14</v>
      </c>
      <c r="E420" s="12" t="s">
        <v>191</v>
      </c>
      <c r="F420" s="11" t="s">
        <v>246</v>
      </c>
      <c r="G420" s="18" t="s">
        <v>247</v>
      </c>
      <c r="H420" s="11" t="s">
        <v>248</v>
      </c>
      <c r="I420" s="87" t="s">
        <v>249</v>
      </c>
      <c r="J420" s="19" t="s">
        <v>139</v>
      </c>
      <c r="K420" s="17" t="s">
        <v>140</v>
      </c>
      <c r="L420" s="260">
        <v>1</v>
      </c>
      <c r="M420" s="70" t="s">
        <v>250</v>
      </c>
      <c r="N420" s="70">
        <v>100</v>
      </c>
      <c r="O420" s="258">
        <v>8</v>
      </c>
      <c r="P420" s="70" t="s">
        <v>251</v>
      </c>
      <c r="Q420" s="70" t="s">
        <v>233</v>
      </c>
      <c r="R420" s="70" t="s">
        <v>240</v>
      </c>
      <c r="S420" s="70" t="s">
        <v>233</v>
      </c>
      <c r="T420" s="70" t="s">
        <v>233</v>
      </c>
      <c r="U420" s="70" t="s">
        <v>1427</v>
      </c>
      <c r="V420" s="70" t="s">
        <v>240</v>
      </c>
      <c r="W420" s="12"/>
      <c r="X420" s="242">
        <v>727.31</v>
      </c>
      <c r="Y420" s="242">
        <v>883.91000000000008</v>
      </c>
      <c r="Z420" s="242">
        <v>114.11</v>
      </c>
      <c r="AA420" s="157" t="s">
        <v>252</v>
      </c>
      <c r="AB420" s="242">
        <v>87.98</v>
      </c>
      <c r="AC420" s="157" t="s">
        <v>252</v>
      </c>
      <c r="AD420" s="242">
        <v>96.13</v>
      </c>
      <c r="AE420" s="157" t="s">
        <v>252</v>
      </c>
      <c r="AF420" s="242">
        <v>63.14</v>
      </c>
      <c r="AG420" s="157" t="s">
        <v>252</v>
      </c>
      <c r="AH420" s="242">
        <v>35.11</v>
      </c>
      <c r="AI420" s="157" t="s">
        <v>252</v>
      </c>
      <c r="AJ420" s="242">
        <v>15</v>
      </c>
      <c r="AK420" s="242" t="s">
        <v>252</v>
      </c>
      <c r="AL420" s="242">
        <v>10.38</v>
      </c>
      <c r="AM420" s="242" t="s">
        <v>252</v>
      </c>
      <c r="AN420" s="242">
        <v>10.87</v>
      </c>
      <c r="AO420" s="242" t="s">
        <v>252</v>
      </c>
      <c r="AP420" s="242">
        <v>14.52</v>
      </c>
      <c r="AQ420" s="242" t="s">
        <v>252</v>
      </c>
      <c r="AR420" s="242">
        <v>87.63</v>
      </c>
      <c r="AS420" s="242" t="s">
        <v>252</v>
      </c>
      <c r="AT420" s="242">
        <v>65.52</v>
      </c>
      <c r="AU420" s="242" t="s">
        <v>252</v>
      </c>
      <c r="AV420" s="242">
        <v>88.25</v>
      </c>
      <c r="AW420" s="157" t="s">
        <v>252</v>
      </c>
      <c r="AX420" s="157">
        <v>2299.86</v>
      </c>
      <c r="AY420" s="240">
        <v>0.28000000000000003</v>
      </c>
      <c r="AZ420" s="156" t="s">
        <v>253</v>
      </c>
      <c r="BA420" s="156" t="s">
        <v>254</v>
      </c>
      <c r="BB420" s="156">
        <v>1</v>
      </c>
      <c r="BC420" s="157" t="s">
        <v>255</v>
      </c>
      <c r="BD420" s="3"/>
    </row>
    <row r="421" spans="1:56" ht="15.75" hidden="1" customHeight="1" outlineLevel="1">
      <c r="A421" s="58">
        <v>411</v>
      </c>
      <c r="B421" s="11">
        <v>129411</v>
      </c>
      <c r="C421" s="89" t="s">
        <v>315</v>
      </c>
      <c r="D421" s="157">
        <v>17</v>
      </c>
      <c r="E421" s="12" t="s">
        <v>191</v>
      </c>
      <c r="F421" s="11" t="s">
        <v>246</v>
      </c>
      <c r="G421" s="18" t="s">
        <v>247</v>
      </c>
      <c r="H421" s="11" t="s">
        <v>248</v>
      </c>
      <c r="I421" s="87" t="s">
        <v>249</v>
      </c>
      <c r="J421" s="19" t="s">
        <v>139</v>
      </c>
      <c r="K421" s="17" t="s">
        <v>140</v>
      </c>
      <c r="L421" s="260">
        <v>1</v>
      </c>
      <c r="M421" s="70" t="s">
        <v>250</v>
      </c>
      <c r="N421" s="70">
        <v>100</v>
      </c>
      <c r="O421" s="258">
        <v>8</v>
      </c>
      <c r="P421" s="70" t="s">
        <v>251</v>
      </c>
      <c r="Q421" s="70" t="s">
        <v>233</v>
      </c>
      <c r="R421" s="70" t="s">
        <v>240</v>
      </c>
      <c r="S421" s="70" t="s">
        <v>233</v>
      </c>
      <c r="T421" s="70" t="s">
        <v>233</v>
      </c>
      <c r="U421" s="70" t="s">
        <v>1427</v>
      </c>
      <c r="V421" s="70" t="s">
        <v>240</v>
      </c>
      <c r="W421" s="12"/>
      <c r="X421" s="242">
        <v>786.56999999999994</v>
      </c>
      <c r="Y421" s="242">
        <v>740.77</v>
      </c>
      <c r="Z421" s="242">
        <v>123.18</v>
      </c>
      <c r="AA421" s="157" t="s">
        <v>252</v>
      </c>
      <c r="AB421" s="242">
        <v>93.9</v>
      </c>
      <c r="AC421" s="157" t="s">
        <v>252</v>
      </c>
      <c r="AD421" s="242">
        <v>122.99</v>
      </c>
      <c r="AE421" s="157" t="s">
        <v>252</v>
      </c>
      <c r="AF421" s="242">
        <v>78.13</v>
      </c>
      <c r="AG421" s="157" t="s">
        <v>252</v>
      </c>
      <c r="AH421" s="242">
        <v>29.57</v>
      </c>
      <c r="AI421" s="157" t="s">
        <v>252</v>
      </c>
      <c r="AJ421" s="242">
        <v>17.399999999999999</v>
      </c>
      <c r="AK421" s="242" t="s">
        <v>252</v>
      </c>
      <c r="AL421" s="242">
        <v>19.88</v>
      </c>
      <c r="AM421" s="242" t="s">
        <v>252</v>
      </c>
      <c r="AN421" s="242">
        <v>13.3</v>
      </c>
      <c r="AO421" s="242" t="s">
        <v>252</v>
      </c>
      <c r="AP421" s="242">
        <v>1.97</v>
      </c>
      <c r="AQ421" s="242" t="s">
        <v>252</v>
      </c>
      <c r="AR421" s="242">
        <v>72.53</v>
      </c>
      <c r="AS421" s="242" t="s">
        <v>252</v>
      </c>
      <c r="AT421" s="242">
        <v>78.91</v>
      </c>
      <c r="AU421" s="242" t="s">
        <v>252</v>
      </c>
      <c r="AV421" s="242">
        <v>90.837270000000004</v>
      </c>
      <c r="AW421" s="157" t="s">
        <v>259</v>
      </c>
      <c r="AX421" s="157">
        <v>2269.9372699999999</v>
      </c>
      <c r="AY421" s="240">
        <v>0.32</v>
      </c>
      <c r="AZ421" s="156" t="s">
        <v>253</v>
      </c>
      <c r="BA421" s="156" t="s">
        <v>254</v>
      </c>
      <c r="BB421" s="156">
        <v>1</v>
      </c>
      <c r="BC421" s="156" t="s">
        <v>1423</v>
      </c>
      <c r="BD421" s="3"/>
    </row>
    <row r="422" spans="1:56" ht="15.75" hidden="1" customHeight="1" outlineLevel="1">
      <c r="A422" s="58">
        <v>412</v>
      </c>
      <c r="B422" s="11">
        <v>129412</v>
      </c>
      <c r="C422" s="89" t="s">
        <v>315</v>
      </c>
      <c r="D422" s="157" t="s">
        <v>316</v>
      </c>
      <c r="E422" s="12" t="s">
        <v>191</v>
      </c>
      <c r="F422" s="11" t="s">
        <v>246</v>
      </c>
      <c r="G422" s="18" t="s">
        <v>247</v>
      </c>
      <c r="H422" s="11" t="s">
        <v>248</v>
      </c>
      <c r="I422" s="87" t="s">
        <v>249</v>
      </c>
      <c r="J422" s="19" t="s">
        <v>139</v>
      </c>
      <c r="K422" s="17" t="s">
        <v>140</v>
      </c>
      <c r="L422" s="257">
        <v>0</v>
      </c>
      <c r="M422" s="70" t="s">
        <v>250</v>
      </c>
      <c r="N422" s="70">
        <v>100</v>
      </c>
      <c r="O422" s="258">
        <v>8</v>
      </c>
      <c r="P422" s="70" t="s">
        <v>251</v>
      </c>
      <c r="Q422" s="70" t="s">
        <v>233</v>
      </c>
      <c r="R422" s="70" t="s">
        <v>240</v>
      </c>
      <c r="S422" s="70" t="s">
        <v>233</v>
      </c>
      <c r="T422" s="70" t="s">
        <v>233</v>
      </c>
      <c r="U422" s="70" t="s">
        <v>1427</v>
      </c>
      <c r="V422" s="70" t="s">
        <v>240</v>
      </c>
      <c r="W422" s="12"/>
      <c r="X422" s="242">
        <v>1580.3699999999997</v>
      </c>
      <c r="Y422" s="242">
        <v>1519.65</v>
      </c>
      <c r="Z422" s="242">
        <v>251.65</v>
      </c>
      <c r="AA422" s="157" t="s">
        <v>252</v>
      </c>
      <c r="AB422" s="242">
        <v>191.81</v>
      </c>
      <c r="AC422" s="157" t="s">
        <v>252</v>
      </c>
      <c r="AD422" s="242">
        <v>251.3</v>
      </c>
      <c r="AE422" s="157" t="s">
        <v>252</v>
      </c>
      <c r="AF422" s="242">
        <v>159.65</v>
      </c>
      <c r="AG422" s="157" t="s">
        <v>252</v>
      </c>
      <c r="AH422" s="242">
        <v>60.09</v>
      </c>
      <c r="AI422" s="157" t="s">
        <v>252</v>
      </c>
      <c r="AJ422" s="242">
        <v>37.409999999999997</v>
      </c>
      <c r="AK422" s="242" t="s">
        <v>252</v>
      </c>
      <c r="AL422" s="242">
        <v>28.51</v>
      </c>
      <c r="AM422" s="242" t="s">
        <v>252</v>
      </c>
      <c r="AN422" s="242">
        <v>28.36</v>
      </c>
      <c r="AO422" s="242" t="s">
        <v>252</v>
      </c>
      <c r="AP422" s="242">
        <v>4.09</v>
      </c>
      <c r="AQ422" s="242" t="s">
        <v>252</v>
      </c>
      <c r="AR422" s="242">
        <v>147.69</v>
      </c>
      <c r="AS422" s="242" t="s">
        <v>252</v>
      </c>
      <c r="AT422" s="242">
        <v>160.93</v>
      </c>
      <c r="AU422" s="242" t="s">
        <v>252</v>
      </c>
      <c r="AV422" s="242">
        <v>185.42534000000001</v>
      </c>
      <c r="AW422" s="157" t="s">
        <v>259</v>
      </c>
      <c r="AX422" s="157">
        <v>4606.93534</v>
      </c>
      <c r="AY422" s="240">
        <v>0.64700000000000002</v>
      </c>
      <c r="AZ422" s="156" t="s">
        <v>253</v>
      </c>
      <c r="BA422" s="156" t="s">
        <v>254</v>
      </c>
      <c r="BB422" s="156">
        <v>0</v>
      </c>
      <c r="BC422" s="156" t="s">
        <v>1423</v>
      </c>
      <c r="BD422" s="3"/>
    </row>
    <row r="423" spans="1:56" ht="15.75" hidden="1" customHeight="1" outlineLevel="1">
      <c r="A423" s="58">
        <v>413</v>
      </c>
      <c r="B423" s="11">
        <v>129413</v>
      </c>
      <c r="C423" s="89" t="s">
        <v>315</v>
      </c>
      <c r="D423" s="157">
        <v>27</v>
      </c>
      <c r="E423" s="12" t="s">
        <v>191</v>
      </c>
      <c r="F423" s="11" t="s">
        <v>246</v>
      </c>
      <c r="G423" s="18" t="s">
        <v>247</v>
      </c>
      <c r="H423" s="11" t="s">
        <v>248</v>
      </c>
      <c r="I423" s="87" t="s">
        <v>249</v>
      </c>
      <c r="J423" s="19" t="s">
        <v>139</v>
      </c>
      <c r="K423" s="17" t="s">
        <v>140</v>
      </c>
      <c r="L423" s="257">
        <v>0</v>
      </c>
      <c r="M423" s="70" t="s">
        <v>250</v>
      </c>
      <c r="N423" s="70">
        <v>100</v>
      </c>
      <c r="O423" s="258">
        <v>8</v>
      </c>
      <c r="P423" s="70" t="s">
        <v>251</v>
      </c>
      <c r="Q423" s="70" t="s">
        <v>233</v>
      </c>
      <c r="R423" s="70" t="s">
        <v>240</v>
      </c>
      <c r="S423" s="70" t="s">
        <v>233</v>
      </c>
      <c r="T423" s="70" t="s">
        <v>233</v>
      </c>
      <c r="U423" s="70" t="s">
        <v>1427</v>
      </c>
      <c r="V423" s="70" t="s">
        <v>240</v>
      </c>
      <c r="W423" s="12"/>
      <c r="X423" s="242">
        <v>667.19920000000002</v>
      </c>
      <c r="Y423" s="242">
        <v>667.19920000000002</v>
      </c>
      <c r="Z423" s="242">
        <v>93.19</v>
      </c>
      <c r="AA423" s="157" t="s">
        <v>252</v>
      </c>
      <c r="AB423" s="242">
        <v>76.75</v>
      </c>
      <c r="AC423" s="157" t="s">
        <v>252</v>
      </c>
      <c r="AD423" s="242">
        <v>91.65</v>
      </c>
      <c r="AE423" s="157" t="s">
        <v>252</v>
      </c>
      <c r="AF423" s="242">
        <v>69.81</v>
      </c>
      <c r="AG423" s="157" t="s">
        <v>259</v>
      </c>
      <c r="AH423" s="242">
        <v>34.380000000000003</v>
      </c>
      <c r="AI423" s="157" t="s">
        <v>259</v>
      </c>
      <c r="AJ423" s="242">
        <v>28.08</v>
      </c>
      <c r="AK423" s="242" t="s">
        <v>259</v>
      </c>
      <c r="AL423" s="242">
        <v>28.83</v>
      </c>
      <c r="AM423" s="242" t="s">
        <v>259</v>
      </c>
      <c r="AN423" s="242">
        <v>29.01</v>
      </c>
      <c r="AO423" s="242" t="s">
        <v>259</v>
      </c>
      <c r="AP423" s="242">
        <v>29.72</v>
      </c>
      <c r="AQ423" s="242" t="s">
        <v>259</v>
      </c>
      <c r="AR423" s="242">
        <v>68.540000000000006</v>
      </c>
      <c r="AS423" s="242" t="s">
        <v>259</v>
      </c>
      <c r="AT423" s="242">
        <v>69.150000000000006</v>
      </c>
      <c r="AU423" s="242" t="s">
        <v>259</v>
      </c>
      <c r="AV423" s="242">
        <v>78.64</v>
      </c>
      <c r="AW423" s="157" t="s">
        <v>259</v>
      </c>
      <c r="AX423" s="157">
        <v>2032.1484000000003</v>
      </c>
      <c r="AY423" s="243">
        <f>2.3+0.14</f>
        <v>2.44</v>
      </c>
      <c r="AZ423" s="156" t="s">
        <v>253</v>
      </c>
      <c r="BA423" s="156" t="s">
        <v>254</v>
      </c>
      <c r="BB423" s="156">
        <v>0</v>
      </c>
      <c r="BC423" s="156" t="s">
        <v>1423</v>
      </c>
      <c r="BD423" s="3"/>
    </row>
    <row r="424" spans="1:56" ht="15.75" hidden="1" customHeight="1" outlineLevel="1">
      <c r="A424" s="58">
        <v>414</v>
      </c>
      <c r="B424" s="11">
        <v>129414</v>
      </c>
      <c r="C424" s="89" t="s">
        <v>315</v>
      </c>
      <c r="D424" s="157">
        <v>29</v>
      </c>
      <c r="E424" s="12" t="s">
        <v>191</v>
      </c>
      <c r="F424" s="11" t="s">
        <v>246</v>
      </c>
      <c r="G424" s="18" t="s">
        <v>247</v>
      </c>
      <c r="H424" s="11" t="s">
        <v>248</v>
      </c>
      <c r="I424" s="87" t="s">
        <v>249</v>
      </c>
      <c r="J424" s="19" t="s">
        <v>139</v>
      </c>
      <c r="K424" s="17" t="s">
        <v>140</v>
      </c>
      <c r="L424" s="257">
        <v>0</v>
      </c>
      <c r="M424" s="70" t="s">
        <v>250</v>
      </c>
      <c r="N424" s="70">
        <v>100</v>
      </c>
      <c r="O424" s="258">
        <v>8</v>
      </c>
      <c r="P424" s="70" t="s">
        <v>251</v>
      </c>
      <c r="Q424" s="70" t="s">
        <v>233</v>
      </c>
      <c r="R424" s="70" t="s">
        <v>240</v>
      </c>
      <c r="S424" s="70" t="s">
        <v>233</v>
      </c>
      <c r="T424" s="70" t="s">
        <v>233</v>
      </c>
      <c r="U424" s="70" t="s">
        <v>1427</v>
      </c>
      <c r="V424" s="70" t="s">
        <v>240</v>
      </c>
      <c r="W424" s="12"/>
      <c r="X424" s="242">
        <v>475.20840000000004</v>
      </c>
      <c r="Y424" s="242">
        <v>475.20840000000004</v>
      </c>
      <c r="Z424" s="242">
        <v>56.914999999999999</v>
      </c>
      <c r="AA424" s="157" t="s">
        <v>252</v>
      </c>
      <c r="AB424" s="242">
        <v>46.41</v>
      </c>
      <c r="AC424" s="157" t="s">
        <v>252</v>
      </c>
      <c r="AD424" s="242">
        <v>55.875</v>
      </c>
      <c r="AE424" s="157" t="s">
        <v>252</v>
      </c>
      <c r="AF424" s="242">
        <v>41.35</v>
      </c>
      <c r="AG424" s="157" t="s">
        <v>259</v>
      </c>
      <c r="AH424" s="242">
        <v>17.355</v>
      </c>
      <c r="AI424" s="157" t="s">
        <v>259</v>
      </c>
      <c r="AJ424" s="242">
        <v>13.23</v>
      </c>
      <c r="AK424" s="242" t="s">
        <v>259</v>
      </c>
      <c r="AL424" s="242">
        <v>13.58</v>
      </c>
      <c r="AM424" s="242" t="s">
        <v>259</v>
      </c>
      <c r="AN424" s="242">
        <v>13.675000000000001</v>
      </c>
      <c r="AO424" s="242" t="s">
        <v>259</v>
      </c>
      <c r="AP424" s="242">
        <v>14.365</v>
      </c>
      <c r="AQ424" s="242" t="s">
        <v>259</v>
      </c>
      <c r="AR424" s="242">
        <v>40.31</v>
      </c>
      <c r="AS424" s="242" t="s">
        <v>259</v>
      </c>
      <c r="AT424" s="242">
        <v>40.909999999999997</v>
      </c>
      <c r="AU424" s="242" t="s">
        <v>259</v>
      </c>
      <c r="AV424" s="242">
        <v>47.115000000000002</v>
      </c>
      <c r="AW424" s="157" t="s">
        <v>259</v>
      </c>
      <c r="AX424" s="157">
        <v>1351.5067999999999</v>
      </c>
      <c r="AY424" s="243">
        <v>1.6</v>
      </c>
      <c r="AZ424" s="156" t="s">
        <v>253</v>
      </c>
      <c r="BA424" s="156" t="s">
        <v>254</v>
      </c>
      <c r="BB424" s="156">
        <v>0</v>
      </c>
      <c r="BC424" s="156" t="s">
        <v>1423</v>
      </c>
      <c r="BD424" s="3"/>
    </row>
    <row r="425" spans="1:56" ht="15.75" hidden="1" customHeight="1" outlineLevel="1">
      <c r="A425" s="58">
        <v>415</v>
      </c>
      <c r="B425" s="11">
        <v>129415</v>
      </c>
      <c r="C425" s="89" t="s">
        <v>315</v>
      </c>
      <c r="D425" s="157">
        <v>29</v>
      </c>
      <c r="E425" s="12" t="s">
        <v>260</v>
      </c>
      <c r="F425" s="11" t="s">
        <v>246</v>
      </c>
      <c r="G425" s="18" t="s">
        <v>247</v>
      </c>
      <c r="H425" s="11" t="s">
        <v>248</v>
      </c>
      <c r="I425" s="87" t="s">
        <v>249</v>
      </c>
      <c r="J425" s="19" t="s">
        <v>139</v>
      </c>
      <c r="K425" s="17" t="s">
        <v>140</v>
      </c>
      <c r="L425" s="257">
        <v>0</v>
      </c>
      <c r="M425" s="70" t="s">
        <v>250</v>
      </c>
      <c r="N425" s="70">
        <v>80</v>
      </c>
      <c r="O425" s="258">
        <v>8</v>
      </c>
      <c r="P425" s="70" t="s">
        <v>251</v>
      </c>
      <c r="Q425" s="70" t="s">
        <v>233</v>
      </c>
      <c r="R425" s="70" t="s">
        <v>240</v>
      </c>
      <c r="S425" s="70" t="s">
        <v>233</v>
      </c>
      <c r="T425" s="70" t="s">
        <v>233</v>
      </c>
      <c r="U425" s="70" t="s">
        <v>1427</v>
      </c>
      <c r="V425" s="70" t="s">
        <v>240</v>
      </c>
      <c r="W425" s="12"/>
      <c r="X425" s="242">
        <v>475.20840000000004</v>
      </c>
      <c r="Y425" s="242">
        <v>475.20840000000004</v>
      </c>
      <c r="Z425" s="242">
        <v>56.914999999999999</v>
      </c>
      <c r="AA425" s="157" t="s">
        <v>252</v>
      </c>
      <c r="AB425" s="242">
        <v>46.41</v>
      </c>
      <c r="AC425" s="157" t="s">
        <v>252</v>
      </c>
      <c r="AD425" s="242">
        <v>55.875</v>
      </c>
      <c r="AE425" s="157" t="s">
        <v>252</v>
      </c>
      <c r="AF425" s="242">
        <v>41.35</v>
      </c>
      <c r="AG425" s="157" t="s">
        <v>259</v>
      </c>
      <c r="AH425" s="242">
        <v>17.355</v>
      </c>
      <c r="AI425" s="157" t="s">
        <v>259</v>
      </c>
      <c r="AJ425" s="242">
        <v>13.23</v>
      </c>
      <c r="AK425" s="242" t="s">
        <v>259</v>
      </c>
      <c r="AL425" s="242">
        <v>13.58</v>
      </c>
      <c r="AM425" s="242" t="s">
        <v>259</v>
      </c>
      <c r="AN425" s="242">
        <v>13.675000000000001</v>
      </c>
      <c r="AO425" s="242" t="s">
        <v>259</v>
      </c>
      <c r="AP425" s="242">
        <v>14.365</v>
      </c>
      <c r="AQ425" s="242" t="s">
        <v>259</v>
      </c>
      <c r="AR425" s="242">
        <v>40.31</v>
      </c>
      <c r="AS425" s="242" t="s">
        <v>259</v>
      </c>
      <c r="AT425" s="242">
        <v>40.909999999999997</v>
      </c>
      <c r="AU425" s="242" t="s">
        <v>259</v>
      </c>
      <c r="AV425" s="242">
        <v>47.115000000000002</v>
      </c>
      <c r="AW425" s="157" t="s">
        <v>259</v>
      </c>
      <c r="AX425" s="157">
        <v>1351.5067999999999</v>
      </c>
      <c r="AY425" s="243">
        <v>1.6</v>
      </c>
      <c r="AZ425" s="156" t="s">
        <v>253</v>
      </c>
      <c r="BA425" s="156" t="s">
        <v>254</v>
      </c>
      <c r="BB425" s="156">
        <v>0</v>
      </c>
      <c r="BC425" s="156" t="s">
        <v>1423</v>
      </c>
      <c r="BD425" s="3"/>
    </row>
    <row r="426" spans="1:56" ht="15.75" hidden="1" customHeight="1" outlineLevel="1">
      <c r="A426" s="58">
        <v>416</v>
      </c>
      <c r="B426" s="11">
        <v>129416</v>
      </c>
      <c r="C426" s="89" t="s">
        <v>315</v>
      </c>
      <c r="D426" s="157">
        <v>3</v>
      </c>
      <c r="E426" s="12" t="s">
        <v>191</v>
      </c>
      <c r="F426" s="11" t="s">
        <v>246</v>
      </c>
      <c r="G426" s="18" t="s">
        <v>247</v>
      </c>
      <c r="H426" s="11" t="s">
        <v>248</v>
      </c>
      <c r="I426" s="87" t="s">
        <v>249</v>
      </c>
      <c r="J426" s="19" t="s">
        <v>139</v>
      </c>
      <c r="K426" s="17" t="s">
        <v>140</v>
      </c>
      <c r="L426" s="260">
        <v>1</v>
      </c>
      <c r="M426" s="70" t="s">
        <v>250</v>
      </c>
      <c r="N426" s="70">
        <v>100</v>
      </c>
      <c r="O426" s="258">
        <v>8</v>
      </c>
      <c r="P426" s="70" t="s">
        <v>251</v>
      </c>
      <c r="Q426" s="70" t="s">
        <v>233</v>
      </c>
      <c r="R426" s="70" t="s">
        <v>240</v>
      </c>
      <c r="S426" s="70" t="s">
        <v>233</v>
      </c>
      <c r="T426" s="70" t="s">
        <v>233</v>
      </c>
      <c r="U426" s="70" t="s">
        <v>1427</v>
      </c>
      <c r="V426" s="70" t="s">
        <v>240</v>
      </c>
      <c r="W426" s="12"/>
      <c r="X426" s="242">
        <v>1046.27</v>
      </c>
      <c r="Y426" s="242">
        <v>1002.2199999999999</v>
      </c>
      <c r="Z426" s="242">
        <v>192.13</v>
      </c>
      <c r="AA426" s="157" t="s">
        <v>252</v>
      </c>
      <c r="AB426" s="242">
        <v>130.34</v>
      </c>
      <c r="AC426" s="157" t="s">
        <v>252</v>
      </c>
      <c r="AD426" s="242">
        <v>162.38</v>
      </c>
      <c r="AE426" s="157" t="s">
        <v>252</v>
      </c>
      <c r="AF426" s="242">
        <v>112.63</v>
      </c>
      <c r="AG426" s="157" t="s">
        <v>259</v>
      </c>
      <c r="AH426" s="242">
        <v>38.11</v>
      </c>
      <c r="AI426" s="157" t="s">
        <v>259</v>
      </c>
      <c r="AJ426" s="242">
        <v>16.059999999999999</v>
      </c>
      <c r="AK426" s="242" t="s">
        <v>259</v>
      </c>
      <c r="AL426" s="242">
        <v>17.489999999999998</v>
      </c>
      <c r="AM426" s="242" t="s">
        <v>259</v>
      </c>
      <c r="AN426" s="242">
        <v>15</v>
      </c>
      <c r="AO426" s="242" t="s">
        <v>259</v>
      </c>
      <c r="AP426" s="242">
        <v>17.48</v>
      </c>
      <c r="AQ426" s="242" t="s">
        <v>259</v>
      </c>
      <c r="AR426" s="242">
        <v>85.35</v>
      </c>
      <c r="AS426" s="242" t="s">
        <v>259</v>
      </c>
      <c r="AT426" s="242">
        <v>94.37</v>
      </c>
      <c r="AU426" s="242" t="s">
        <v>259</v>
      </c>
      <c r="AV426" s="242">
        <v>126.79174999999999</v>
      </c>
      <c r="AW426" s="157" t="s">
        <v>259</v>
      </c>
      <c r="AX426" s="157">
        <v>3056.6217499999998</v>
      </c>
      <c r="AY426" s="240">
        <v>0.47</v>
      </c>
      <c r="AZ426" s="156" t="s">
        <v>253</v>
      </c>
      <c r="BA426" s="156" t="s">
        <v>254</v>
      </c>
      <c r="BB426" s="156">
        <v>0</v>
      </c>
      <c r="BC426" s="156" t="s">
        <v>1423</v>
      </c>
      <c r="BD426" s="3"/>
    </row>
    <row r="427" spans="1:56" ht="15.75" hidden="1" customHeight="1" outlineLevel="1">
      <c r="A427" s="58">
        <v>417</v>
      </c>
      <c r="B427" s="11">
        <v>129417</v>
      </c>
      <c r="C427" s="89" t="s">
        <v>315</v>
      </c>
      <c r="D427" s="157">
        <v>31</v>
      </c>
      <c r="E427" s="12" t="s">
        <v>191</v>
      </c>
      <c r="F427" s="11" t="s">
        <v>246</v>
      </c>
      <c r="G427" s="18" t="s">
        <v>247</v>
      </c>
      <c r="H427" s="11" t="s">
        <v>248</v>
      </c>
      <c r="I427" s="87" t="s">
        <v>249</v>
      </c>
      <c r="J427" s="19" t="s">
        <v>139</v>
      </c>
      <c r="K427" s="17" t="s">
        <v>140</v>
      </c>
      <c r="L427" s="260">
        <v>1</v>
      </c>
      <c r="M427" s="70" t="s">
        <v>250</v>
      </c>
      <c r="N427" s="70">
        <v>100</v>
      </c>
      <c r="O427" s="258">
        <v>8</v>
      </c>
      <c r="P427" s="70" t="s">
        <v>251</v>
      </c>
      <c r="Q427" s="70" t="s">
        <v>240</v>
      </c>
      <c r="R427" s="70" t="s">
        <v>240</v>
      </c>
      <c r="S427" s="70" t="s">
        <v>233</v>
      </c>
      <c r="T427" s="70" t="s">
        <v>233</v>
      </c>
      <c r="U427" s="70" t="s">
        <v>1427</v>
      </c>
      <c r="V427" s="70" t="s">
        <v>240</v>
      </c>
      <c r="W427" s="12"/>
      <c r="X427" s="242">
        <v>0</v>
      </c>
      <c r="Y427" s="242">
        <v>0</v>
      </c>
      <c r="Z427" s="242">
        <v>22.42</v>
      </c>
      <c r="AA427" s="157" t="s">
        <v>252</v>
      </c>
      <c r="AB427" s="242">
        <v>22.42</v>
      </c>
      <c r="AC427" s="157" t="s">
        <v>252</v>
      </c>
      <c r="AD427" s="242">
        <v>22.42</v>
      </c>
      <c r="AE427" s="157" t="s">
        <v>252</v>
      </c>
      <c r="AF427" s="242">
        <v>22.42</v>
      </c>
      <c r="AG427" s="157" t="s">
        <v>259</v>
      </c>
      <c r="AH427" s="242">
        <v>22.42</v>
      </c>
      <c r="AI427" s="157" t="s">
        <v>259</v>
      </c>
      <c r="AJ427" s="242">
        <v>0</v>
      </c>
      <c r="AK427" s="242" t="s">
        <v>259</v>
      </c>
      <c r="AL427" s="242">
        <v>0</v>
      </c>
      <c r="AM427" s="242" t="s">
        <v>259</v>
      </c>
      <c r="AN427" s="242">
        <v>0</v>
      </c>
      <c r="AO427" s="242" t="s">
        <v>259</v>
      </c>
      <c r="AP427" s="242">
        <v>1.0900000000000001</v>
      </c>
      <c r="AQ427" s="242" t="s">
        <v>259</v>
      </c>
      <c r="AR427" s="242">
        <v>24.52</v>
      </c>
      <c r="AS427" s="242" t="s">
        <v>259</v>
      </c>
      <c r="AT427" s="242">
        <v>24.52</v>
      </c>
      <c r="AU427" s="242" t="s">
        <v>259</v>
      </c>
      <c r="AV427" s="242">
        <v>26.85</v>
      </c>
      <c r="AW427" s="157" t="s">
        <v>259</v>
      </c>
      <c r="AX427" s="157">
        <v>189.08</v>
      </c>
      <c r="AY427" s="243">
        <v>0.12</v>
      </c>
      <c r="AZ427" s="156" t="s">
        <v>253</v>
      </c>
      <c r="BA427" s="156" t="s">
        <v>254</v>
      </c>
      <c r="BB427" s="156">
        <v>1</v>
      </c>
      <c r="BC427" s="156" t="s">
        <v>1423</v>
      </c>
      <c r="BD427" s="3"/>
    </row>
    <row r="428" spans="1:56" ht="15.75" hidden="1" customHeight="1" outlineLevel="1">
      <c r="A428" s="58">
        <v>418</v>
      </c>
      <c r="B428" s="11">
        <v>129418</v>
      </c>
      <c r="C428" s="89" t="s">
        <v>315</v>
      </c>
      <c r="D428" s="157">
        <v>4</v>
      </c>
      <c r="E428" s="12" t="s">
        <v>191</v>
      </c>
      <c r="F428" s="11" t="s">
        <v>246</v>
      </c>
      <c r="G428" s="18" t="s">
        <v>247</v>
      </c>
      <c r="H428" s="11" t="s">
        <v>248</v>
      </c>
      <c r="I428" s="87" t="s">
        <v>249</v>
      </c>
      <c r="J428" s="19" t="s">
        <v>139</v>
      </c>
      <c r="K428" s="17" t="s">
        <v>140</v>
      </c>
      <c r="L428" s="257">
        <v>0</v>
      </c>
      <c r="M428" s="70" t="s">
        <v>250</v>
      </c>
      <c r="N428" s="70">
        <v>100</v>
      </c>
      <c r="O428" s="258">
        <v>8</v>
      </c>
      <c r="P428" s="70" t="s">
        <v>251</v>
      </c>
      <c r="Q428" s="70" t="s">
        <v>233</v>
      </c>
      <c r="R428" s="70" t="s">
        <v>240</v>
      </c>
      <c r="S428" s="70" t="s">
        <v>233</v>
      </c>
      <c r="T428" s="70" t="s">
        <v>233</v>
      </c>
      <c r="U428" s="70" t="s">
        <v>1427</v>
      </c>
      <c r="V428" s="70" t="s">
        <v>240</v>
      </c>
      <c r="W428" s="12"/>
      <c r="X428" s="242">
        <v>159.63540051679587</v>
      </c>
      <c r="Y428" s="242">
        <v>147.28656330749357</v>
      </c>
      <c r="Z428" s="242">
        <v>20.10878552971576</v>
      </c>
      <c r="AA428" s="157" t="s">
        <v>252</v>
      </c>
      <c r="AB428" s="242">
        <v>19.430361757105942</v>
      </c>
      <c r="AC428" s="157" t="s">
        <v>252</v>
      </c>
      <c r="AD428" s="242">
        <v>19.384625322997415</v>
      </c>
      <c r="AE428" s="157" t="s">
        <v>252</v>
      </c>
      <c r="AF428" s="242">
        <v>20.406072351421187</v>
      </c>
      <c r="AG428" s="157" t="s">
        <v>259</v>
      </c>
      <c r="AH428" s="242">
        <v>19.430361757105942</v>
      </c>
      <c r="AI428" s="157" t="s">
        <v>259</v>
      </c>
      <c r="AJ428" s="242">
        <v>4.3373385012919901</v>
      </c>
      <c r="AK428" s="242" t="s">
        <v>259</v>
      </c>
      <c r="AL428" s="242">
        <v>4.3373385012919901</v>
      </c>
      <c r="AM428" s="242" t="s">
        <v>259</v>
      </c>
      <c r="AN428" s="242">
        <v>4.3373385012919901</v>
      </c>
      <c r="AO428" s="242" t="s">
        <v>259</v>
      </c>
      <c r="AP428" s="242">
        <v>3.9421833333333334</v>
      </c>
      <c r="AQ428" s="242" t="s">
        <v>259</v>
      </c>
      <c r="AR428" s="242">
        <v>18.782428940568476</v>
      </c>
      <c r="AS428" s="242" t="s">
        <v>259</v>
      </c>
      <c r="AT428" s="242">
        <v>17.203195607235141</v>
      </c>
      <c r="AU428" s="242" t="s">
        <v>259</v>
      </c>
      <c r="AV428" s="242">
        <v>17.997286821705426</v>
      </c>
      <c r="AW428" s="157" t="s">
        <v>252</v>
      </c>
      <c r="AX428" s="157">
        <v>476.61928074935395</v>
      </c>
      <c r="AY428" s="240">
        <v>7.4702842377260978E-2</v>
      </c>
      <c r="AZ428" s="156" t="s">
        <v>253</v>
      </c>
      <c r="BA428" s="156" t="s">
        <v>254</v>
      </c>
      <c r="BB428" s="156">
        <v>0</v>
      </c>
      <c r="BC428" s="156" t="s">
        <v>1423</v>
      </c>
      <c r="BD428" s="3"/>
    </row>
    <row r="429" spans="1:56" ht="15.75" hidden="1" customHeight="1" outlineLevel="1">
      <c r="A429" s="58">
        <v>419</v>
      </c>
      <c r="B429" s="11">
        <v>129419</v>
      </c>
      <c r="C429" s="89" t="s">
        <v>315</v>
      </c>
      <c r="D429" s="157">
        <v>4</v>
      </c>
      <c r="E429" s="12" t="s">
        <v>231</v>
      </c>
      <c r="F429" s="11" t="s">
        <v>246</v>
      </c>
      <c r="G429" s="18" t="s">
        <v>247</v>
      </c>
      <c r="H429" s="11" t="s">
        <v>248</v>
      </c>
      <c r="I429" s="87" t="s">
        <v>249</v>
      </c>
      <c r="J429" s="19" t="s">
        <v>139</v>
      </c>
      <c r="K429" s="17" t="s">
        <v>140</v>
      </c>
      <c r="L429" s="257">
        <v>0</v>
      </c>
      <c r="M429" s="70" t="s">
        <v>250</v>
      </c>
      <c r="N429" s="70">
        <v>100</v>
      </c>
      <c r="O429" s="258">
        <v>8</v>
      </c>
      <c r="P429" s="70" t="s">
        <v>251</v>
      </c>
      <c r="Q429" s="70" t="s">
        <v>233</v>
      </c>
      <c r="R429" s="70" t="s">
        <v>240</v>
      </c>
      <c r="S429" s="70" t="s">
        <v>233</v>
      </c>
      <c r="T429" s="70" t="s">
        <v>233</v>
      </c>
      <c r="U429" s="70" t="s">
        <v>1427</v>
      </c>
      <c r="V429" s="70" t="s">
        <v>240</v>
      </c>
      <c r="W429" s="12"/>
      <c r="X429" s="242">
        <v>49.784599483204133</v>
      </c>
      <c r="Y429" s="242">
        <v>45.933436692506461</v>
      </c>
      <c r="Z429" s="242">
        <v>6.271214470284237</v>
      </c>
      <c r="AA429" s="157" t="s">
        <v>252</v>
      </c>
      <c r="AB429" s="242">
        <v>6.0596382428940565</v>
      </c>
      <c r="AC429" s="157" t="s">
        <v>252</v>
      </c>
      <c r="AD429" s="242">
        <v>6.0453746770025836</v>
      </c>
      <c r="AE429" s="157" t="s">
        <v>252</v>
      </c>
      <c r="AF429" s="242">
        <v>6.3639276485788105</v>
      </c>
      <c r="AG429" s="157" t="s">
        <v>259</v>
      </c>
      <c r="AH429" s="242">
        <v>6.0596382428940565</v>
      </c>
      <c r="AI429" s="157" t="s">
        <v>259</v>
      </c>
      <c r="AJ429" s="242">
        <v>1.3526614987080103</v>
      </c>
      <c r="AK429" s="242" t="s">
        <v>259</v>
      </c>
      <c r="AL429" s="242">
        <v>1.3526614987080103</v>
      </c>
      <c r="AM429" s="242" t="s">
        <v>259</v>
      </c>
      <c r="AN429" s="242">
        <v>1.3526614987080103</v>
      </c>
      <c r="AO429" s="242" t="s">
        <v>259</v>
      </c>
      <c r="AP429" s="242">
        <v>1.2294266666666667</v>
      </c>
      <c r="AQ429" s="242" t="s">
        <v>259</v>
      </c>
      <c r="AR429" s="242">
        <v>5.8575710594315247</v>
      </c>
      <c r="AS429" s="242" t="s">
        <v>259</v>
      </c>
      <c r="AT429" s="242">
        <v>5.3650643927648574</v>
      </c>
      <c r="AU429" s="242" t="s">
        <v>259</v>
      </c>
      <c r="AV429" s="242">
        <v>5.6127131782945732</v>
      </c>
      <c r="AW429" s="157" t="s">
        <v>252</v>
      </c>
      <c r="AX429" s="157">
        <v>148.64058925064597</v>
      </c>
      <c r="AY429" s="243">
        <v>2.3297157622739019E-2</v>
      </c>
      <c r="AZ429" s="156" t="s">
        <v>253</v>
      </c>
      <c r="BA429" s="156" t="s">
        <v>254</v>
      </c>
      <c r="BB429" s="156">
        <v>0</v>
      </c>
      <c r="BC429" s="156" t="s">
        <v>1423</v>
      </c>
      <c r="BD429" s="3"/>
    </row>
    <row r="430" spans="1:56" ht="15.75" hidden="1" customHeight="1" outlineLevel="1">
      <c r="A430" s="58">
        <v>420</v>
      </c>
      <c r="B430" s="11">
        <v>129420</v>
      </c>
      <c r="C430" s="89" t="s">
        <v>315</v>
      </c>
      <c r="D430" s="157">
        <v>5</v>
      </c>
      <c r="E430" s="12" t="s">
        <v>191</v>
      </c>
      <c r="F430" s="11" t="s">
        <v>246</v>
      </c>
      <c r="G430" s="18" t="s">
        <v>247</v>
      </c>
      <c r="H430" s="11" t="s">
        <v>248</v>
      </c>
      <c r="I430" s="87" t="s">
        <v>249</v>
      </c>
      <c r="J430" s="19" t="s">
        <v>139</v>
      </c>
      <c r="K430" s="17" t="s">
        <v>140</v>
      </c>
      <c r="L430" s="257">
        <v>0</v>
      </c>
      <c r="M430" s="70" t="s">
        <v>250</v>
      </c>
      <c r="N430" s="70">
        <v>100</v>
      </c>
      <c r="O430" s="258">
        <v>8</v>
      </c>
      <c r="P430" s="70" t="s">
        <v>251</v>
      </c>
      <c r="Q430" s="70" t="s">
        <v>233</v>
      </c>
      <c r="R430" s="70" t="s">
        <v>240</v>
      </c>
      <c r="S430" s="70" t="s">
        <v>233</v>
      </c>
      <c r="T430" s="70" t="s">
        <v>233</v>
      </c>
      <c r="U430" s="70" t="s">
        <v>1427</v>
      </c>
      <c r="V430" s="70" t="s">
        <v>240</v>
      </c>
      <c r="W430" s="12"/>
      <c r="X430" s="242">
        <v>1117.8400000000001</v>
      </c>
      <c r="Y430" s="242">
        <v>1072.3599999999999</v>
      </c>
      <c r="Z430" s="242">
        <v>205.15</v>
      </c>
      <c r="AA430" s="157" t="s">
        <v>252</v>
      </c>
      <c r="AB430" s="242">
        <v>139.1</v>
      </c>
      <c r="AC430" s="157" t="s">
        <v>252</v>
      </c>
      <c r="AD430" s="242">
        <v>173.57</v>
      </c>
      <c r="AE430" s="157" t="s">
        <v>252</v>
      </c>
      <c r="AF430" s="242">
        <v>120.32</v>
      </c>
      <c r="AG430" s="157" t="s">
        <v>259</v>
      </c>
      <c r="AH430" s="242">
        <v>40.520000000000003</v>
      </c>
      <c r="AI430" s="157" t="s">
        <v>259</v>
      </c>
      <c r="AJ430" s="242">
        <v>16.95</v>
      </c>
      <c r="AK430" s="242" t="s">
        <v>259</v>
      </c>
      <c r="AL430" s="242">
        <v>18.48</v>
      </c>
      <c r="AM430" s="242" t="s">
        <v>259</v>
      </c>
      <c r="AN430" s="242">
        <v>15.77</v>
      </c>
      <c r="AO430" s="242" t="s">
        <v>259</v>
      </c>
      <c r="AP430" s="242">
        <v>18.62</v>
      </c>
      <c r="AQ430" s="242" t="s">
        <v>259</v>
      </c>
      <c r="AR430" s="242">
        <v>91.03</v>
      </c>
      <c r="AS430" s="242" t="s">
        <v>259</v>
      </c>
      <c r="AT430" s="242">
        <v>100.67</v>
      </c>
      <c r="AU430" s="242" t="s">
        <v>259</v>
      </c>
      <c r="AV430" s="242">
        <v>135.36052000000001</v>
      </c>
      <c r="AW430" s="157" t="s">
        <v>259</v>
      </c>
      <c r="AX430" s="157">
        <v>3265.7405200000003</v>
      </c>
      <c r="AY430" s="240">
        <v>0.502</v>
      </c>
      <c r="AZ430" s="156" t="s">
        <v>253</v>
      </c>
      <c r="BA430" s="156" t="s">
        <v>254</v>
      </c>
      <c r="BB430" s="157">
        <v>1</v>
      </c>
      <c r="BC430" s="156" t="s">
        <v>1423</v>
      </c>
      <c r="BD430" s="3"/>
    </row>
    <row r="431" spans="1:56" ht="15.75" hidden="1" customHeight="1" outlineLevel="1">
      <c r="A431" s="58">
        <v>421</v>
      </c>
      <c r="B431" s="11">
        <v>129421</v>
      </c>
      <c r="C431" s="89" t="s">
        <v>315</v>
      </c>
      <c r="D431" s="157" t="s">
        <v>214</v>
      </c>
      <c r="E431" s="12" t="s">
        <v>191</v>
      </c>
      <c r="F431" s="11" t="s">
        <v>246</v>
      </c>
      <c r="G431" s="18" t="s">
        <v>247</v>
      </c>
      <c r="H431" s="11" t="s">
        <v>248</v>
      </c>
      <c r="I431" s="87" t="s">
        <v>249</v>
      </c>
      <c r="J431" s="19" t="s">
        <v>139</v>
      </c>
      <c r="K431" s="17" t="s">
        <v>140</v>
      </c>
      <c r="L431" s="257">
        <v>0</v>
      </c>
      <c r="M431" s="70" t="s">
        <v>250</v>
      </c>
      <c r="N431" s="70">
        <v>100</v>
      </c>
      <c r="O431" s="258">
        <v>8</v>
      </c>
      <c r="P431" s="70" t="s">
        <v>251</v>
      </c>
      <c r="Q431" s="70" t="s">
        <v>233</v>
      </c>
      <c r="R431" s="70" t="s">
        <v>240</v>
      </c>
      <c r="S431" s="70" t="s">
        <v>233</v>
      </c>
      <c r="T431" s="70" t="s">
        <v>233</v>
      </c>
      <c r="U431" s="70" t="s">
        <v>1427</v>
      </c>
      <c r="V431" s="70" t="s">
        <v>240</v>
      </c>
      <c r="W431" s="12"/>
      <c r="X431" s="242">
        <v>785.77677185346397</v>
      </c>
      <c r="Y431" s="242">
        <v>752.35644541167926</v>
      </c>
      <c r="Z431" s="242">
        <v>144.81273848385928</v>
      </c>
      <c r="AA431" s="157" t="s">
        <v>252</v>
      </c>
      <c r="AB431" s="242">
        <v>98.230772578890097</v>
      </c>
      <c r="AC431" s="157" t="s">
        <v>252</v>
      </c>
      <c r="AD431" s="242">
        <v>122.40237939789628</v>
      </c>
      <c r="AE431" s="157" t="s">
        <v>252</v>
      </c>
      <c r="AF431" s="242">
        <v>84.869582879941959</v>
      </c>
      <c r="AG431" s="157" t="s">
        <v>259</v>
      </c>
      <c r="AH431" s="242">
        <v>28.865375408052234</v>
      </c>
      <c r="AI431" s="157" t="s">
        <v>259</v>
      </c>
      <c r="AJ431" s="242">
        <v>11.192165397170838</v>
      </c>
      <c r="AK431" s="242" t="s">
        <v>259</v>
      </c>
      <c r="AL431" s="242">
        <v>12.467551686615886</v>
      </c>
      <c r="AM431" s="242" t="s">
        <v>259</v>
      </c>
      <c r="AN431" s="242">
        <v>10.376612259702576</v>
      </c>
      <c r="AO431" s="242" t="s">
        <v>259</v>
      </c>
      <c r="AP431" s="242">
        <v>12.189916575988395</v>
      </c>
      <c r="AQ431" s="242" t="s">
        <v>259</v>
      </c>
      <c r="AR431" s="242">
        <v>64.498106637649627</v>
      </c>
      <c r="AS431" s="242" t="s">
        <v>259</v>
      </c>
      <c r="AT431" s="242">
        <v>71.239434167573449</v>
      </c>
      <c r="AU431" s="242" t="s">
        <v>259</v>
      </c>
      <c r="AV431" s="242">
        <v>95.606574189336229</v>
      </c>
      <c r="AW431" s="157" t="s">
        <v>259</v>
      </c>
      <c r="AX431" s="157">
        <v>2294.8844269278197</v>
      </c>
      <c r="AY431" s="240">
        <v>0.35919042437431992</v>
      </c>
      <c r="AZ431" s="156" t="s">
        <v>253</v>
      </c>
      <c r="BA431" s="156" t="s">
        <v>254</v>
      </c>
      <c r="BB431" s="156">
        <v>0</v>
      </c>
      <c r="BC431" s="156" t="s">
        <v>1423</v>
      </c>
      <c r="BD431" s="3"/>
    </row>
    <row r="432" spans="1:56" ht="15.75" hidden="1" customHeight="1" outlineLevel="1">
      <c r="A432" s="58">
        <v>422</v>
      </c>
      <c r="B432" s="11">
        <v>129422</v>
      </c>
      <c r="C432" s="89" t="s">
        <v>315</v>
      </c>
      <c r="D432" s="157" t="s">
        <v>214</v>
      </c>
      <c r="E432" s="12" t="s">
        <v>231</v>
      </c>
      <c r="F432" s="11" t="s">
        <v>246</v>
      </c>
      <c r="G432" s="18" t="s">
        <v>247</v>
      </c>
      <c r="H432" s="11" t="s">
        <v>248</v>
      </c>
      <c r="I432" s="87" t="s">
        <v>249</v>
      </c>
      <c r="J432" s="19" t="s">
        <v>139</v>
      </c>
      <c r="K432" s="17" t="s">
        <v>140</v>
      </c>
      <c r="L432" s="257">
        <v>0</v>
      </c>
      <c r="M432" s="70" t="s">
        <v>250</v>
      </c>
      <c r="N432" s="70">
        <v>100</v>
      </c>
      <c r="O432" s="258">
        <v>8</v>
      </c>
      <c r="P432" s="70" t="s">
        <v>251</v>
      </c>
      <c r="Q432" s="70" t="s">
        <v>233</v>
      </c>
      <c r="R432" s="70" t="s">
        <v>240</v>
      </c>
      <c r="S432" s="70" t="s">
        <v>233</v>
      </c>
      <c r="T432" s="70" t="s">
        <v>233</v>
      </c>
      <c r="U432" s="70" t="s">
        <v>1427</v>
      </c>
      <c r="V432" s="70" t="s">
        <v>240</v>
      </c>
      <c r="W432" s="12"/>
      <c r="X432" s="242">
        <v>119.90322814653611</v>
      </c>
      <c r="Y432" s="242">
        <v>114.80355458832062</v>
      </c>
      <c r="Z432" s="242">
        <v>22.097261516140733</v>
      </c>
      <c r="AA432" s="157" t="s">
        <v>252</v>
      </c>
      <c r="AB432" s="242">
        <v>14.989227421109902</v>
      </c>
      <c r="AC432" s="157" t="s">
        <v>252</v>
      </c>
      <c r="AD432" s="242">
        <v>18.677620602103737</v>
      </c>
      <c r="AE432" s="157" t="s">
        <v>252</v>
      </c>
      <c r="AF432" s="242">
        <v>12.950417120058034</v>
      </c>
      <c r="AG432" s="157" t="s">
        <v>259</v>
      </c>
      <c r="AH432" s="242">
        <v>4.40462459194777</v>
      </c>
      <c r="AI432" s="157" t="s">
        <v>259</v>
      </c>
      <c r="AJ432" s="242">
        <v>1.7078346028291622</v>
      </c>
      <c r="AK432" s="242" t="s">
        <v>259</v>
      </c>
      <c r="AL432" s="242">
        <v>1.9024483133841132</v>
      </c>
      <c r="AM432" s="242" t="s">
        <v>259</v>
      </c>
      <c r="AN432" s="242">
        <v>1.583387740297425</v>
      </c>
      <c r="AO432" s="242" t="s">
        <v>259</v>
      </c>
      <c r="AP432" s="242">
        <v>1.8600834240116071</v>
      </c>
      <c r="AQ432" s="242" t="s">
        <v>259</v>
      </c>
      <c r="AR432" s="242">
        <v>9.8418933623503815</v>
      </c>
      <c r="AS432" s="242" t="s">
        <v>259</v>
      </c>
      <c r="AT432" s="242">
        <v>10.870565832426552</v>
      </c>
      <c r="AU432" s="242" t="s">
        <v>259</v>
      </c>
      <c r="AV432" s="242">
        <v>14.588795810663765</v>
      </c>
      <c r="AW432" s="157" t="s">
        <v>259</v>
      </c>
      <c r="AX432" s="157">
        <v>350.18094307218001</v>
      </c>
      <c r="AY432" s="243">
        <v>5.4809575625680083E-2</v>
      </c>
      <c r="AZ432" s="156" t="s">
        <v>253</v>
      </c>
      <c r="BA432" s="156" t="s">
        <v>254</v>
      </c>
      <c r="BB432" s="156">
        <v>0</v>
      </c>
      <c r="BC432" s="156" t="s">
        <v>1423</v>
      </c>
      <c r="BD432" s="3"/>
    </row>
    <row r="433" spans="1:56" ht="15.75" hidden="1" customHeight="1" outlineLevel="1">
      <c r="A433" s="58">
        <v>423</v>
      </c>
      <c r="B433" s="11">
        <v>129423</v>
      </c>
      <c r="C433" s="89" t="s">
        <v>317</v>
      </c>
      <c r="D433" s="157" t="s">
        <v>215</v>
      </c>
      <c r="E433" s="12" t="s">
        <v>191</v>
      </c>
      <c r="F433" s="11" t="s">
        <v>246</v>
      </c>
      <c r="G433" s="18" t="s">
        <v>247</v>
      </c>
      <c r="H433" s="11" t="s">
        <v>248</v>
      </c>
      <c r="I433" s="87" t="s">
        <v>249</v>
      </c>
      <c r="J433" s="19" t="s">
        <v>139</v>
      </c>
      <c r="K433" s="17" t="s">
        <v>140</v>
      </c>
      <c r="L433" s="257">
        <v>0</v>
      </c>
      <c r="M433" s="70" t="s">
        <v>250</v>
      </c>
      <c r="N433" s="70">
        <v>100</v>
      </c>
      <c r="O433" s="258">
        <v>8</v>
      </c>
      <c r="P433" s="70" t="s">
        <v>251</v>
      </c>
      <c r="Q433" s="70" t="s">
        <v>240</v>
      </c>
      <c r="R433" s="70" t="s">
        <v>240</v>
      </c>
      <c r="S433" s="70" t="s">
        <v>233</v>
      </c>
      <c r="T433" s="70" t="s">
        <v>233</v>
      </c>
      <c r="U433" s="70" t="s">
        <v>1427</v>
      </c>
      <c r="V433" s="70" t="s">
        <v>240</v>
      </c>
      <c r="W433" s="12"/>
      <c r="X433" s="242">
        <v>228</v>
      </c>
      <c r="Y433" s="242">
        <v>239.34000000000003</v>
      </c>
      <c r="Z433" s="242">
        <v>39.4</v>
      </c>
      <c r="AA433" s="157" t="s">
        <v>252</v>
      </c>
      <c r="AB433" s="242">
        <v>28.8</v>
      </c>
      <c r="AC433" s="157" t="s">
        <v>252</v>
      </c>
      <c r="AD433" s="242">
        <v>17.8</v>
      </c>
      <c r="AE433" s="157" t="s">
        <v>252</v>
      </c>
      <c r="AF433" s="242">
        <v>32.82</v>
      </c>
      <c r="AG433" s="157" t="s">
        <v>252</v>
      </c>
      <c r="AH433" s="242">
        <v>33.47</v>
      </c>
      <c r="AI433" s="157" t="s">
        <v>252</v>
      </c>
      <c r="AJ433" s="242">
        <v>0</v>
      </c>
      <c r="AK433" s="242" t="s">
        <v>252</v>
      </c>
      <c r="AL433" s="242">
        <v>3.03</v>
      </c>
      <c r="AM433" s="242" t="s">
        <v>252</v>
      </c>
      <c r="AN433" s="242">
        <v>0</v>
      </c>
      <c r="AO433" s="242" t="s">
        <v>252</v>
      </c>
      <c r="AP433" s="242">
        <v>4.66</v>
      </c>
      <c r="AQ433" s="242" t="s">
        <v>252</v>
      </c>
      <c r="AR433" s="242">
        <v>26.17</v>
      </c>
      <c r="AS433" s="242" t="s">
        <v>252</v>
      </c>
      <c r="AT433" s="242">
        <v>24.8</v>
      </c>
      <c r="AU433" s="242" t="s">
        <v>252</v>
      </c>
      <c r="AV433" s="242">
        <v>30.3</v>
      </c>
      <c r="AW433" s="157" t="s">
        <v>252</v>
      </c>
      <c r="AX433" s="157">
        <v>708.5899999999998</v>
      </c>
      <c r="AY433" s="240">
        <v>0.13</v>
      </c>
      <c r="AZ433" s="156" t="s">
        <v>253</v>
      </c>
      <c r="BA433" s="156" t="s">
        <v>254</v>
      </c>
      <c r="BB433" s="156">
        <v>0</v>
      </c>
      <c r="BC433" s="156" t="s">
        <v>1423</v>
      </c>
      <c r="BD433" s="3"/>
    </row>
    <row r="434" spans="1:56" ht="15.75" hidden="1" customHeight="1" outlineLevel="1">
      <c r="A434" s="58">
        <v>424</v>
      </c>
      <c r="B434" s="11">
        <v>129424</v>
      </c>
      <c r="C434" s="89" t="s">
        <v>317</v>
      </c>
      <c r="D434" s="157">
        <v>3</v>
      </c>
      <c r="E434" s="12" t="s">
        <v>191</v>
      </c>
      <c r="F434" s="11" t="s">
        <v>246</v>
      </c>
      <c r="G434" s="18" t="s">
        <v>247</v>
      </c>
      <c r="H434" s="11" t="s">
        <v>248</v>
      </c>
      <c r="I434" s="87" t="s">
        <v>249</v>
      </c>
      <c r="J434" s="19" t="s">
        <v>139</v>
      </c>
      <c r="K434" s="17" t="s">
        <v>140</v>
      </c>
      <c r="L434" s="260">
        <v>1</v>
      </c>
      <c r="M434" s="70" t="s">
        <v>250</v>
      </c>
      <c r="N434" s="70">
        <v>80</v>
      </c>
      <c r="O434" s="258">
        <v>8</v>
      </c>
      <c r="P434" s="70" t="s">
        <v>251</v>
      </c>
      <c r="Q434" s="70" t="s">
        <v>233</v>
      </c>
      <c r="R434" s="70" t="s">
        <v>240</v>
      </c>
      <c r="S434" s="70" t="s">
        <v>233</v>
      </c>
      <c r="T434" s="70" t="s">
        <v>233</v>
      </c>
      <c r="U434" s="70" t="s">
        <v>1427</v>
      </c>
      <c r="V434" s="70" t="s">
        <v>240</v>
      </c>
      <c r="W434" s="12"/>
      <c r="X434" s="242">
        <v>481.80000000000007</v>
      </c>
      <c r="Y434" s="242">
        <v>464.3599999999999</v>
      </c>
      <c r="Z434" s="242">
        <v>71.77</v>
      </c>
      <c r="AA434" s="157" t="s">
        <v>252</v>
      </c>
      <c r="AB434" s="242">
        <v>52.47</v>
      </c>
      <c r="AC434" s="157" t="s">
        <v>252</v>
      </c>
      <c r="AD434" s="242">
        <v>32.19</v>
      </c>
      <c r="AE434" s="157" t="s">
        <v>252</v>
      </c>
      <c r="AF434" s="242">
        <v>40.369999999999997</v>
      </c>
      <c r="AG434" s="157" t="s">
        <v>252</v>
      </c>
      <c r="AH434" s="242">
        <v>40.65</v>
      </c>
      <c r="AI434" s="157" t="s">
        <v>252</v>
      </c>
      <c r="AJ434" s="242">
        <v>5.31</v>
      </c>
      <c r="AK434" s="242" t="s">
        <v>252</v>
      </c>
      <c r="AL434" s="242">
        <v>5.31</v>
      </c>
      <c r="AM434" s="242" t="s">
        <v>252</v>
      </c>
      <c r="AN434" s="242">
        <v>5.31</v>
      </c>
      <c r="AO434" s="242" t="s">
        <v>252</v>
      </c>
      <c r="AP434" s="242">
        <v>12.198399999999999</v>
      </c>
      <c r="AQ434" s="242" t="s">
        <v>252</v>
      </c>
      <c r="AR434" s="242">
        <v>55.93</v>
      </c>
      <c r="AS434" s="242" t="s">
        <v>252</v>
      </c>
      <c r="AT434" s="242">
        <v>44.07</v>
      </c>
      <c r="AU434" s="242" t="s">
        <v>252</v>
      </c>
      <c r="AV434" s="242">
        <v>54.86</v>
      </c>
      <c r="AW434" s="157" t="s">
        <v>252</v>
      </c>
      <c r="AX434" s="157">
        <v>1366.5983999999996</v>
      </c>
      <c r="AY434" s="240">
        <v>0.20799999999999999</v>
      </c>
      <c r="AZ434" s="156" t="s">
        <v>253</v>
      </c>
      <c r="BA434" s="156" t="s">
        <v>254</v>
      </c>
      <c r="BB434" s="156">
        <v>1</v>
      </c>
      <c r="BC434" s="156" t="s">
        <v>1423</v>
      </c>
      <c r="BD434" s="3"/>
    </row>
    <row r="435" spans="1:56" ht="15.75" hidden="1" customHeight="1" outlineLevel="1">
      <c r="A435" s="58">
        <v>425</v>
      </c>
      <c r="B435" s="11">
        <v>129425</v>
      </c>
      <c r="C435" s="89" t="s">
        <v>317</v>
      </c>
      <c r="D435" s="157">
        <v>4</v>
      </c>
      <c r="E435" s="12" t="s">
        <v>191</v>
      </c>
      <c r="F435" s="11" t="s">
        <v>246</v>
      </c>
      <c r="G435" s="18" t="s">
        <v>247</v>
      </c>
      <c r="H435" s="11" t="s">
        <v>248</v>
      </c>
      <c r="I435" s="87" t="s">
        <v>249</v>
      </c>
      <c r="J435" s="19" t="s">
        <v>139</v>
      </c>
      <c r="K435" s="17" t="s">
        <v>140</v>
      </c>
      <c r="L435" s="260">
        <v>1</v>
      </c>
      <c r="M435" s="70" t="s">
        <v>250</v>
      </c>
      <c r="N435" s="70">
        <v>80</v>
      </c>
      <c r="O435" s="258">
        <v>8</v>
      </c>
      <c r="P435" s="70" t="s">
        <v>251</v>
      </c>
      <c r="Q435" s="70" t="s">
        <v>233</v>
      </c>
      <c r="R435" s="70" t="s">
        <v>240</v>
      </c>
      <c r="S435" s="70" t="s">
        <v>233</v>
      </c>
      <c r="T435" s="70" t="s">
        <v>233</v>
      </c>
      <c r="U435" s="70" t="s">
        <v>1427</v>
      </c>
      <c r="V435" s="70" t="s">
        <v>240</v>
      </c>
      <c r="W435" s="12"/>
      <c r="X435" s="242">
        <v>266.94</v>
      </c>
      <c r="Y435" s="242">
        <v>262.76</v>
      </c>
      <c r="Z435" s="242">
        <v>36.49</v>
      </c>
      <c r="AA435" s="157" t="s">
        <v>252</v>
      </c>
      <c r="AB435" s="242">
        <v>29.08</v>
      </c>
      <c r="AC435" s="157" t="s">
        <v>252</v>
      </c>
      <c r="AD435" s="242">
        <v>33.82</v>
      </c>
      <c r="AE435" s="157" t="s">
        <v>252</v>
      </c>
      <c r="AF435" s="242">
        <v>22.5</v>
      </c>
      <c r="AG435" s="157" t="s">
        <v>252</v>
      </c>
      <c r="AH435" s="242">
        <v>8.36</v>
      </c>
      <c r="AI435" s="157" t="s">
        <v>252</v>
      </c>
      <c r="AJ435" s="242">
        <v>7.52</v>
      </c>
      <c r="AK435" s="242" t="s">
        <v>252</v>
      </c>
      <c r="AL435" s="242">
        <v>2.85</v>
      </c>
      <c r="AM435" s="242" t="s">
        <v>252</v>
      </c>
      <c r="AN435" s="242">
        <v>3.34</v>
      </c>
      <c r="AO435" s="242" t="s">
        <v>252</v>
      </c>
      <c r="AP435" s="242">
        <v>4.4000000000000004</v>
      </c>
      <c r="AQ435" s="242" t="s">
        <v>252</v>
      </c>
      <c r="AR435" s="242">
        <v>22.3</v>
      </c>
      <c r="AS435" s="242" t="s">
        <v>252</v>
      </c>
      <c r="AT435" s="242">
        <v>23.71</v>
      </c>
      <c r="AU435" s="242" t="s">
        <v>252</v>
      </c>
      <c r="AV435" s="242">
        <v>31.26</v>
      </c>
      <c r="AW435" s="157" t="s">
        <v>252</v>
      </c>
      <c r="AX435" s="157">
        <v>755.33000000000015</v>
      </c>
      <c r="AY435" s="240">
        <v>0.1</v>
      </c>
      <c r="AZ435" s="156" t="s">
        <v>253</v>
      </c>
      <c r="BA435" s="156" t="s">
        <v>254</v>
      </c>
      <c r="BB435" s="156">
        <v>1</v>
      </c>
      <c r="BC435" s="157" t="s">
        <v>255</v>
      </c>
      <c r="BD435" s="3"/>
    </row>
    <row r="436" spans="1:56" ht="15.75" hidden="1" customHeight="1" outlineLevel="1">
      <c r="A436" s="58">
        <v>426</v>
      </c>
      <c r="B436" s="11">
        <v>129426</v>
      </c>
      <c r="C436" s="89" t="s">
        <v>317</v>
      </c>
      <c r="D436" s="157">
        <v>5</v>
      </c>
      <c r="E436" s="12" t="s">
        <v>191</v>
      </c>
      <c r="F436" s="11" t="s">
        <v>246</v>
      </c>
      <c r="G436" s="18" t="s">
        <v>247</v>
      </c>
      <c r="H436" s="11" t="s">
        <v>248</v>
      </c>
      <c r="I436" s="87" t="s">
        <v>249</v>
      </c>
      <c r="J436" s="19" t="s">
        <v>139</v>
      </c>
      <c r="K436" s="17" t="s">
        <v>140</v>
      </c>
      <c r="L436" s="257">
        <v>0</v>
      </c>
      <c r="M436" s="70" t="s">
        <v>250</v>
      </c>
      <c r="N436" s="70">
        <v>100</v>
      </c>
      <c r="O436" s="258">
        <v>8</v>
      </c>
      <c r="P436" s="70" t="s">
        <v>251</v>
      </c>
      <c r="Q436" s="70" t="s">
        <v>233</v>
      </c>
      <c r="R436" s="70" t="s">
        <v>240</v>
      </c>
      <c r="S436" s="70" t="s">
        <v>233</v>
      </c>
      <c r="T436" s="70" t="s">
        <v>233</v>
      </c>
      <c r="U436" s="70" t="s">
        <v>1427</v>
      </c>
      <c r="V436" s="70" t="s">
        <v>240</v>
      </c>
      <c r="W436" s="12"/>
      <c r="X436" s="242">
        <v>748.16000000000008</v>
      </c>
      <c r="Y436" s="242">
        <v>746.87000000000012</v>
      </c>
      <c r="Z436" s="242">
        <v>117.32</v>
      </c>
      <c r="AA436" s="157" t="s">
        <v>252</v>
      </c>
      <c r="AB436" s="242">
        <v>96.44</v>
      </c>
      <c r="AC436" s="157" t="s">
        <v>252</v>
      </c>
      <c r="AD436" s="242">
        <v>112.64</v>
      </c>
      <c r="AE436" s="157" t="s">
        <v>252</v>
      </c>
      <c r="AF436" s="242">
        <v>93.44</v>
      </c>
      <c r="AG436" s="157" t="s">
        <v>252</v>
      </c>
      <c r="AH436" s="242">
        <v>19.53</v>
      </c>
      <c r="AI436" s="157" t="s">
        <v>252</v>
      </c>
      <c r="AJ436" s="242">
        <v>8.99</v>
      </c>
      <c r="AK436" s="242" t="s">
        <v>252</v>
      </c>
      <c r="AL436" s="242">
        <v>8.1300000000000008</v>
      </c>
      <c r="AM436" s="242" t="s">
        <v>252</v>
      </c>
      <c r="AN436" s="242">
        <v>8.5500000000000007</v>
      </c>
      <c r="AO436" s="242" t="s">
        <v>252</v>
      </c>
      <c r="AP436" s="242">
        <v>11.36</v>
      </c>
      <c r="AQ436" s="242" t="s">
        <v>252</v>
      </c>
      <c r="AR436" s="242">
        <v>85.96</v>
      </c>
      <c r="AS436" s="242" t="s">
        <v>252</v>
      </c>
      <c r="AT436" s="242">
        <v>91.53</v>
      </c>
      <c r="AU436" s="242" t="s">
        <v>259</v>
      </c>
      <c r="AV436" s="242">
        <v>94.319950000000006</v>
      </c>
      <c r="AW436" s="157" t="s">
        <v>259</v>
      </c>
      <c r="AX436" s="157">
        <v>2243.2399500000006</v>
      </c>
      <c r="AY436" s="240">
        <v>0.36299999999999999</v>
      </c>
      <c r="AZ436" s="156" t="s">
        <v>253</v>
      </c>
      <c r="BA436" s="156" t="s">
        <v>254</v>
      </c>
      <c r="BB436" s="156">
        <v>0</v>
      </c>
      <c r="BC436" s="156" t="s">
        <v>1423</v>
      </c>
      <c r="BD436" s="3"/>
    </row>
    <row r="437" spans="1:56" ht="15.75" hidden="1" customHeight="1" outlineLevel="1">
      <c r="A437" s="58">
        <v>427</v>
      </c>
      <c r="B437" s="11">
        <v>129427</v>
      </c>
      <c r="C437" s="89" t="s">
        <v>317</v>
      </c>
      <c r="D437" s="157">
        <v>7</v>
      </c>
      <c r="E437" s="12" t="s">
        <v>191</v>
      </c>
      <c r="F437" s="11" t="s">
        <v>246</v>
      </c>
      <c r="G437" s="18" t="s">
        <v>247</v>
      </c>
      <c r="H437" s="11" t="s">
        <v>248</v>
      </c>
      <c r="I437" s="87" t="s">
        <v>249</v>
      </c>
      <c r="J437" s="19" t="s">
        <v>139</v>
      </c>
      <c r="K437" s="17" t="s">
        <v>140</v>
      </c>
      <c r="L437" s="260">
        <v>1</v>
      </c>
      <c r="M437" s="70" t="s">
        <v>250</v>
      </c>
      <c r="N437" s="70">
        <v>100</v>
      </c>
      <c r="O437" s="258">
        <v>8</v>
      </c>
      <c r="P437" s="70" t="s">
        <v>251</v>
      </c>
      <c r="Q437" s="70" t="s">
        <v>233</v>
      </c>
      <c r="R437" s="70" t="s">
        <v>240</v>
      </c>
      <c r="S437" s="70" t="s">
        <v>233</v>
      </c>
      <c r="T437" s="70" t="s">
        <v>233</v>
      </c>
      <c r="U437" s="70" t="s">
        <v>1427</v>
      </c>
      <c r="V437" s="70" t="s">
        <v>240</v>
      </c>
      <c r="W437" s="12"/>
      <c r="X437" s="242">
        <v>406.82209128761099</v>
      </c>
      <c r="Y437" s="242">
        <v>394.30155393196634</v>
      </c>
      <c r="Z437" s="242">
        <v>60.786789221462797</v>
      </c>
      <c r="AA437" s="157" t="s">
        <v>252</v>
      </c>
      <c r="AB437" s="242">
        <v>50.013481027574819</v>
      </c>
      <c r="AC437" s="157" t="s">
        <v>252</v>
      </c>
      <c r="AD437" s="242">
        <v>58.337616466336705</v>
      </c>
      <c r="AE437" s="157" t="s">
        <v>252</v>
      </c>
      <c r="AF437" s="242">
        <v>48.418848299159393</v>
      </c>
      <c r="AG437" s="157" t="s">
        <v>252</v>
      </c>
      <c r="AH437" s="242">
        <v>9.8958787021761321</v>
      </c>
      <c r="AI437" s="157" t="s">
        <v>252</v>
      </c>
      <c r="AJ437" s="242">
        <v>9.0260790321313529</v>
      </c>
      <c r="AK437" s="242" t="s">
        <v>252</v>
      </c>
      <c r="AL437" s="242">
        <v>6.348011626993479</v>
      </c>
      <c r="AM437" s="242" t="s">
        <v>252</v>
      </c>
      <c r="AN437" s="242">
        <v>6.7066132453452729</v>
      </c>
      <c r="AO437" s="242" t="s">
        <v>252</v>
      </c>
      <c r="AP437" s="242">
        <v>8.7361458087830925</v>
      </c>
      <c r="AQ437" s="242" t="s">
        <v>252</v>
      </c>
      <c r="AR437" s="242">
        <v>42.612554010527141</v>
      </c>
      <c r="AS437" s="242" t="s">
        <v>252</v>
      </c>
      <c r="AT437" s="242">
        <v>45.786559824023875</v>
      </c>
      <c r="AU437" s="242" t="s">
        <v>259</v>
      </c>
      <c r="AV437" s="242">
        <v>48.387031942807759</v>
      </c>
      <c r="AW437" s="157" t="s">
        <v>259</v>
      </c>
      <c r="AX437" s="157">
        <v>1196.1792544268992</v>
      </c>
      <c r="AY437" s="240">
        <v>0.1754858983423678</v>
      </c>
      <c r="AZ437" s="156" t="s">
        <v>253</v>
      </c>
      <c r="BA437" s="156" t="s">
        <v>254</v>
      </c>
      <c r="BB437" s="156">
        <v>1</v>
      </c>
      <c r="BC437" s="156" t="s">
        <v>1423</v>
      </c>
      <c r="BD437" s="3"/>
    </row>
    <row r="438" spans="1:56" ht="15.75" hidden="1" customHeight="1" outlineLevel="1">
      <c r="A438" s="58">
        <v>428</v>
      </c>
      <c r="B438" s="11">
        <v>129428</v>
      </c>
      <c r="C438" s="89" t="s">
        <v>317</v>
      </c>
      <c r="D438" s="157">
        <v>7</v>
      </c>
      <c r="E438" s="12" t="s">
        <v>231</v>
      </c>
      <c r="F438" s="11" t="s">
        <v>246</v>
      </c>
      <c r="G438" s="18" t="s">
        <v>247</v>
      </c>
      <c r="H438" s="11" t="s">
        <v>248</v>
      </c>
      <c r="I438" s="87" t="s">
        <v>249</v>
      </c>
      <c r="J438" s="19" t="s">
        <v>139</v>
      </c>
      <c r="K438" s="17" t="s">
        <v>140</v>
      </c>
      <c r="L438" s="257">
        <v>0</v>
      </c>
      <c r="M438" s="70" t="s">
        <v>250</v>
      </c>
      <c r="N438" s="70">
        <v>100</v>
      </c>
      <c r="O438" s="258">
        <v>8</v>
      </c>
      <c r="P438" s="70" t="s">
        <v>251</v>
      </c>
      <c r="Q438" s="70" t="s">
        <v>233</v>
      </c>
      <c r="R438" s="70" t="s">
        <v>240</v>
      </c>
      <c r="S438" s="70" t="s">
        <v>233</v>
      </c>
      <c r="T438" s="70" t="s">
        <v>233</v>
      </c>
      <c r="U438" s="70" t="s">
        <v>1427</v>
      </c>
      <c r="V438" s="70" t="s">
        <v>240</v>
      </c>
      <c r="W438" s="12"/>
      <c r="X438" s="242">
        <v>126.37790871238903</v>
      </c>
      <c r="Y438" s="242">
        <v>122.48844606803361</v>
      </c>
      <c r="Z438" s="242">
        <v>18.883210778537197</v>
      </c>
      <c r="AA438" s="157" t="s">
        <v>252</v>
      </c>
      <c r="AB438" s="242">
        <v>15.536518972425169</v>
      </c>
      <c r="AC438" s="157" t="s">
        <v>252</v>
      </c>
      <c r="AD438" s="242">
        <v>18.122383533663285</v>
      </c>
      <c r="AE438" s="157" t="s">
        <v>252</v>
      </c>
      <c r="AF438" s="242">
        <v>15.041151700840599</v>
      </c>
      <c r="AG438" s="157" t="s">
        <v>252</v>
      </c>
      <c r="AH438" s="242">
        <v>3.0741212978238668</v>
      </c>
      <c r="AI438" s="157" t="s">
        <v>252</v>
      </c>
      <c r="AJ438" s="242">
        <v>2.8039209678686463</v>
      </c>
      <c r="AK438" s="242" t="s">
        <v>252</v>
      </c>
      <c r="AL438" s="242">
        <v>1.9719883730065204</v>
      </c>
      <c r="AM438" s="242" t="s">
        <v>252</v>
      </c>
      <c r="AN438" s="242">
        <v>2.0833867546547249</v>
      </c>
      <c r="AO438" s="242" t="s">
        <v>252</v>
      </c>
      <c r="AP438" s="242">
        <v>2.7138541912169059</v>
      </c>
      <c r="AQ438" s="242" t="s">
        <v>252</v>
      </c>
      <c r="AR438" s="242">
        <v>13.237445989472857</v>
      </c>
      <c r="AS438" s="242" t="s">
        <v>252</v>
      </c>
      <c r="AT438" s="242">
        <v>14.223440175976116</v>
      </c>
      <c r="AU438" s="242" t="s">
        <v>259</v>
      </c>
      <c r="AV438" s="242">
        <v>15.031268057192237</v>
      </c>
      <c r="AW438" s="157" t="s">
        <v>259</v>
      </c>
      <c r="AX438" s="157">
        <v>371.58904557310075</v>
      </c>
      <c r="AY438" s="243">
        <v>5.451410165763218E-2</v>
      </c>
      <c r="AZ438" s="156" t="s">
        <v>253</v>
      </c>
      <c r="BA438" s="156" t="s">
        <v>254</v>
      </c>
      <c r="BB438" s="157">
        <v>1</v>
      </c>
      <c r="BC438" s="156" t="s">
        <v>1423</v>
      </c>
      <c r="BD438" s="3"/>
    </row>
    <row r="439" spans="1:56" ht="15.75" hidden="1" customHeight="1" outlineLevel="1">
      <c r="A439" s="58">
        <v>429</v>
      </c>
      <c r="B439" s="11">
        <v>129429</v>
      </c>
      <c r="C439" s="89" t="s">
        <v>317</v>
      </c>
      <c r="D439" s="157">
        <v>8</v>
      </c>
      <c r="E439" s="12" t="s">
        <v>191</v>
      </c>
      <c r="F439" s="11" t="s">
        <v>246</v>
      </c>
      <c r="G439" s="18" t="s">
        <v>247</v>
      </c>
      <c r="H439" s="11" t="s">
        <v>248</v>
      </c>
      <c r="I439" s="87" t="s">
        <v>249</v>
      </c>
      <c r="J439" s="19" t="s">
        <v>139</v>
      </c>
      <c r="K439" s="17" t="s">
        <v>140</v>
      </c>
      <c r="L439" s="260">
        <v>1</v>
      </c>
      <c r="M439" s="70" t="s">
        <v>250</v>
      </c>
      <c r="N439" s="70">
        <v>80</v>
      </c>
      <c r="O439" s="258">
        <v>8</v>
      </c>
      <c r="P439" s="70" t="s">
        <v>251</v>
      </c>
      <c r="Q439" s="70" t="s">
        <v>233</v>
      </c>
      <c r="R439" s="70" t="s">
        <v>240</v>
      </c>
      <c r="S439" s="70" t="s">
        <v>233</v>
      </c>
      <c r="T439" s="70" t="s">
        <v>233</v>
      </c>
      <c r="U439" s="70" t="s">
        <v>1427</v>
      </c>
      <c r="V439" s="70" t="s">
        <v>240</v>
      </c>
      <c r="W439" s="12"/>
      <c r="X439" s="242">
        <v>776.9899999999999</v>
      </c>
      <c r="Y439" s="242">
        <v>746.42999999999984</v>
      </c>
      <c r="Z439" s="242">
        <v>111.32</v>
      </c>
      <c r="AA439" s="157" t="s">
        <v>252</v>
      </c>
      <c r="AB439" s="242">
        <v>87.63</v>
      </c>
      <c r="AC439" s="157" t="s">
        <v>252</v>
      </c>
      <c r="AD439" s="242">
        <v>113.09</v>
      </c>
      <c r="AE439" s="157" t="s">
        <v>252</v>
      </c>
      <c r="AF439" s="242">
        <v>75.040000000000006</v>
      </c>
      <c r="AG439" s="157" t="s">
        <v>252</v>
      </c>
      <c r="AH439" s="242">
        <v>23.13</v>
      </c>
      <c r="AI439" s="157" t="s">
        <v>252</v>
      </c>
      <c r="AJ439" s="242">
        <v>6.02</v>
      </c>
      <c r="AK439" s="242" t="s">
        <v>252</v>
      </c>
      <c r="AL439" s="242">
        <v>6.5</v>
      </c>
      <c r="AM439" s="242" t="s">
        <v>252</v>
      </c>
      <c r="AN439" s="242">
        <v>6.1</v>
      </c>
      <c r="AO439" s="242" t="s">
        <v>252</v>
      </c>
      <c r="AP439" s="242">
        <v>2.42</v>
      </c>
      <c r="AQ439" s="242" t="s">
        <v>252</v>
      </c>
      <c r="AR439" s="242">
        <v>96.84</v>
      </c>
      <c r="AS439" s="242" t="s">
        <v>252</v>
      </c>
      <c r="AT439" s="242">
        <v>84.913290000000003</v>
      </c>
      <c r="AU439" s="242" t="s">
        <v>259</v>
      </c>
      <c r="AV439" s="242">
        <v>89.851380000000006</v>
      </c>
      <c r="AW439" s="157" t="s">
        <v>259</v>
      </c>
      <c r="AX439" s="157">
        <v>2226.2746699999993</v>
      </c>
      <c r="AY439" s="240">
        <v>0.36</v>
      </c>
      <c r="AZ439" s="156" t="s">
        <v>253</v>
      </c>
      <c r="BA439" s="156" t="s">
        <v>254</v>
      </c>
      <c r="BB439" s="156">
        <v>1</v>
      </c>
      <c r="BC439" s="157" t="s">
        <v>255</v>
      </c>
      <c r="BD439" s="3"/>
    </row>
    <row r="440" spans="1:56" ht="15.75" hidden="1" customHeight="1" outlineLevel="1">
      <c r="A440" s="58">
        <v>430</v>
      </c>
      <c r="B440" s="11">
        <v>129430</v>
      </c>
      <c r="C440" s="89" t="s">
        <v>317</v>
      </c>
      <c r="D440" s="157">
        <v>9</v>
      </c>
      <c r="E440" s="12" t="s">
        <v>191</v>
      </c>
      <c r="F440" s="11" t="s">
        <v>246</v>
      </c>
      <c r="G440" s="18" t="s">
        <v>247</v>
      </c>
      <c r="H440" s="11" t="s">
        <v>248</v>
      </c>
      <c r="I440" s="87" t="s">
        <v>249</v>
      </c>
      <c r="J440" s="19" t="s">
        <v>139</v>
      </c>
      <c r="K440" s="17" t="s">
        <v>140</v>
      </c>
      <c r="L440" s="260">
        <v>1</v>
      </c>
      <c r="M440" s="70" t="s">
        <v>250</v>
      </c>
      <c r="N440" s="70">
        <v>80</v>
      </c>
      <c r="O440" s="258">
        <v>8</v>
      </c>
      <c r="P440" s="70" t="s">
        <v>251</v>
      </c>
      <c r="Q440" s="70" t="s">
        <v>233</v>
      </c>
      <c r="R440" s="70" t="s">
        <v>240</v>
      </c>
      <c r="S440" s="70" t="s">
        <v>233</v>
      </c>
      <c r="T440" s="70" t="s">
        <v>233</v>
      </c>
      <c r="U440" s="70" t="s">
        <v>1427</v>
      </c>
      <c r="V440" s="70" t="s">
        <v>240</v>
      </c>
      <c r="W440" s="12"/>
      <c r="X440" s="242">
        <v>1550.4199999999998</v>
      </c>
      <c r="Y440" s="242">
        <v>1757.82</v>
      </c>
      <c r="Z440" s="242">
        <v>304.93</v>
      </c>
      <c r="AA440" s="157" t="s">
        <v>252</v>
      </c>
      <c r="AB440" s="242">
        <v>342.01</v>
      </c>
      <c r="AC440" s="157" t="s">
        <v>252</v>
      </c>
      <c r="AD440" s="242">
        <v>236.13</v>
      </c>
      <c r="AE440" s="157" t="s">
        <v>252</v>
      </c>
      <c r="AF440" s="242">
        <v>153.82</v>
      </c>
      <c r="AG440" s="157" t="s">
        <v>252</v>
      </c>
      <c r="AH440" s="242">
        <v>55.87</v>
      </c>
      <c r="AI440" s="157" t="s">
        <v>252</v>
      </c>
      <c r="AJ440" s="242">
        <v>33.76</v>
      </c>
      <c r="AK440" s="242" t="s">
        <v>252</v>
      </c>
      <c r="AL440" s="242">
        <v>19.37</v>
      </c>
      <c r="AM440" s="242" t="s">
        <v>252</v>
      </c>
      <c r="AN440" s="242">
        <v>20.67</v>
      </c>
      <c r="AO440" s="242" t="s">
        <v>252</v>
      </c>
      <c r="AP440" s="242">
        <v>28.71</v>
      </c>
      <c r="AQ440" s="242" t="s">
        <v>252</v>
      </c>
      <c r="AR440" s="242">
        <v>147.29</v>
      </c>
      <c r="AS440" s="242" t="s">
        <v>252</v>
      </c>
      <c r="AT440" s="242">
        <v>159.53</v>
      </c>
      <c r="AU440" s="242" t="s">
        <v>252</v>
      </c>
      <c r="AV440" s="242">
        <v>185.99</v>
      </c>
      <c r="AW440" s="157" t="s">
        <v>252</v>
      </c>
      <c r="AX440" s="157">
        <v>4996.3199999999988</v>
      </c>
      <c r="AY440" s="240">
        <v>0.74</v>
      </c>
      <c r="AZ440" s="156" t="s">
        <v>253</v>
      </c>
      <c r="BA440" s="156" t="s">
        <v>254</v>
      </c>
      <c r="BB440" s="156">
        <v>1</v>
      </c>
      <c r="BC440" s="156" t="s">
        <v>1423</v>
      </c>
      <c r="BD440" s="3"/>
    </row>
    <row r="441" spans="1:56" ht="15.75" hidden="1" customHeight="1" outlineLevel="1">
      <c r="A441" s="58">
        <v>431</v>
      </c>
      <c r="B441" s="11">
        <v>129431</v>
      </c>
      <c r="C441" s="89" t="s">
        <v>318</v>
      </c>
      <c r="D441" s="157">
        <v>11</v>
      </c>
      <c r="E441" s="12" t="s">
        <v>191</v>
      </c>
      <c r="F441" s="11" t="s">
        <v>246</v>
      </c>
      <c r="G441" s="18" t="s">
        <v>247</v>
      </c>
      <c r="H441" s="11" t="s">
        <v>248</v>
      </c>
      <c r="I441" s="87" t="s">
        <v>249</v>
      </c>
      <c r="J441" s="19" t="s">
        <v>139</v>
      </c>
      <c r="K441" s="17" t="s">
        <v>140</v>
      </c>
      <c r="L441" s="257">
        <v>0</v>
      </c>
      <c r="M441" s="70" t="s">
        <v>250</v>
      </c>
      <c r="N441" s="70">
        <v>100</v>
      </c>
      <c r="O441" s="258">
        <v>8</v>
      </c>
      <c r="P441" s="70" t="s">
        <v>251</v>
      </c>
      <c r="Q441" s="70" t="s">
        <v>233</v>
      </c>
      <c r="R441" s="70" t="s">
        <v>240</v>
      </c>
      <c r="S441" s="70" t="s">
        <v>233</v>
      </c>
      <c r="T441" s="70" t="s">
        <v>233</v>
      </c>
      <c r="U441" s="70" t="s">
        <v>1427</v>
      </c>
      <c r="V441" s="70" t="s">
        <v>240</v>
      </c>
      <c r="W441" s="12"/>
      <c r="X441" s="242">
        <v>795.63</v>
      </c>
      <c r="Y441" s="242">
        <v>802.61000000000013</v>
      </c>
      <c r="Z441" s="242">
        <v>116.74</v>
      </c>
      <c r="AA441" s="157" t="s">
        <v>252</v>
      </c>
      <c r="AB441" s="242">
        <v>81.64</v>
      </c>
      <c r="AC441" s="157" t="s">
        <v>252</v>
      </c>
      <c r="AD441" s="242">
        <v>135.1</v>
      </c>
      <c r="AE441" s="157" t="s">
        <v>259</v>
      </c>
      <c r="AF441" s="242">
        <v>97.11</v>
      </c>
      <c r="AG441" s="157" t="s">
        <v>259</v>
      </c>
      <c r="AH441" s="242">
        <v>96.23</v>
      </c>
      <c r="AI441" s="157" t="s">
        <v>259</v>
      </c>
      <c r="AJ441" s="242">
        <v>17.423300000000001</v>
      </c>
      <c r="AK441" s="242" t="s">
        <v>259</v>
      </c>
      <c r="AL441" s="242">
        <v>17.423300000000001</v>
      </c>
      <c r="AM441" s="242" t="s">
        <v>259</v>
      </c>
      <c r="AN441" s="242">
        <v>17.423300000000001</v>
      </c>
      <c r="AO441" s="242" t="s">
        <v>259</v>
      </c>
      <c r="AP441" s="242">
        <v>9.1308000000000007</v>
      </c>
      <c r="AQ441" s="242" t="s">
        <v>259</v>
      </c>
      <c r="AR441" s="242">
        <v>107.11629000000001</v>
      </c>
      <c r="AS441" s="242" t="s">
        <v>259</v>
      </c>
      <c r="AT441" s="242">
        <v>89.01</v>
      </c>
      <c r="AU441" s="242" t="s">
        <v>259</v>
      </c>
      <c r="AV441" s="242">
        <v>104.57</v>
      </c>
      <c r="AW441" s="157" t="s">
        <v>259</v>
      </c>
      <c r="AX441" s="157">
        <v>2487.15699</v>
      </c>
      <c r="AY441" s="240">
        <v>0.36</v>
      </c>
      <c r="AZ441" s="156" t="s">
        <v>253</v>
      </c>
      <c r="BA441" s="156" t="s">
        <v>254</v>
      </c>
      <c r="BB441" s="156">
        <v>0</v>
      </c>
      <c r="BC441" s="156" t="s">
        <v>1423</v>
      </c>
      <c r="BD441" s="3"/>
    </row>
    <row r="442" spans="1:56" ht="15.75" hidden="1" customHeight="1" outlineLevel="1">
      <c r="A442" s="58">
        <v>432</v>
      </c>
      <c r="B442" s="11">
        <v>129432</v>
      </c>
      <c r="C442" s="89" t="s">
        <v>318</v>
      </c>
      <c r="D442" s="157">
        <v>9</v>
      </c>
      <c r="E442" s="12" t="s">
        <v>191</v>
      </c>
      <c r="F442" s="11" t="s">
        <v>246</v>
      </c>
      <c r="G442" s="18" t="s">
        <v>247</v>
      </c>
      <c r="H442" s="11" t="s">
        <v>248</v>
      </c>
      <c r="I442" s="87" t="s">
        <v>249</v>
      </c>
      <c r="J442" s="19" t="s">
        <v>139</v>
      </c>
      <c r="K442" s="17" t="s">
        <v>140</v>
      </c>
      <c r="L442" s="260">
        <v>1</v>
      </c>
      <c r="M442" s="70" t="s">
        <v>250</v>
      </c>
      <c r="N442" s="70">
        <v>80</v>
      </c>
      <c r="O442" s="258">
        <v>8</v>
      </c>
      <c r="P442" s="70" t="s">
        <v>251</v>
      </c>
      <c r="Q442" s="70" t="s">
        <v>233</v>
      </c>
      <c r="R442" s="70" t="s">
        <v>240</v>
      </c>
      <c r="S442" s="70" t="s">
        <v>233</v>
      </c>
      <c r="T442" s="70" t="s">
        <v>233</v>
      </c>
      <c r="U442" s="70" t="s">
        <v>1427</v>
      </c>
      <c r="V442" s="70" t="s">
        <v>240</v>
      </c>
      <c r="W442" s="12"/>
      <c r="X442" s="242">
        <v>777.1191698678457</v>
      </c>
      <c r="Y442" s="242">
        <v>781.83750187238775</v>
      </c>
      <c r="Z442" s="242">
        <v>111.46706192167379</v>
      </c>
      <c r="AA442" s="157" t="s">
        <v>252</v>
      </c>
      <c r="AB442" s="242">
        <v>78.029062356550938</v>
      </c>
      <c r="AC442" s="157" t="s">
        <v>252</v>
      </c>
      <c r="AD442" s="242">
        <v>128.99128602836365</v>
      </c>
      <c r="AE442" s="157" t="s">
        <v>259</v>
      </c>
      <c r="AF442" s="242">
        <v>90.55948297939166</v>
      </c>
      <c r="AG442" s="157" t="s">
        <v>259</v>
      </c>
      <c r="AH442" s="242">
        <v>89.634181343770379</v>
      </c>
      <c r="AI442" s="157" t="s">
        <v>259</v>
      </c>
      <c r="AJ442" s="242">
        <v>14.392798533980816</v>
      </c>
      <c r="AK442" s="242" t="s">
        <v>259</v>
      </c>
      <c r="AL442" s="242">
        <v>14.392798533980816</v>
      </c>
      <c r="AM442" s="242" t="s">
        <v>259</v>
      </c>
      <c r="AN442" s="242">
        <v>14.392798533980816</v>
      </c>
      <c r="AO442" s="242" t="s">
        <v>259</v>
      </c>
      <c r="AP442" s="242">
        <v>8.716044745959266</v>
      </c>
      <c r="AQ442" s="242" t="s">
        <v>259</v>
      </c>
      <c r="AR442" s="242">
        <v>102.25065501872388</v>
      </c>
      <c r="AS442" s="242" t="s">
        <v>259</v>
      </c>
      <c r="AT442" s="242">
        <v>84.64037785992123</v>
      </c>
      <c r="AU442" s="242" t="s">
        <v>259</v>
      </c>
      <c r="AV442" s="242">
        <v>99.763055736754367</v>
      </c>
      <c r="AW442" s="157" t="s">
        <v>259</v>
      </c>
      <c r="AX442" s="157">
        <v>2396.1862753332857</v>
      </c>
      <c r="AY442" s="240">
        <v>0.34610519194994077</v>
      </c>
      <c r="AZ442" s="156" t="s">
        <v>253</v>
      </c>
      <c r="BA442" s="156" t="s">
        <v>254</v>
      </c>
      <c r="BB442" s="156">
        <v>1</v>
      </c>
      <c r="BC442" s="156" t="s">
        <v>1423</v>
      </c>
      <c r="BD442" s="3"/>
    </row>
    <row r="443" spans="1:56" ht="15.75" hidden="1" customHeight="1" outlineLevel="1">
      <c r="A443" s="58">
        <v>433</v>
      </c>
      <c r="B443" s="11">
        <v>129433</v>
      </c>
      <c r="C443" s="89" t="s">
        <v>318</v>
      </c>
      <c r="D443" s="157">
        <v>9</v>
      </c>
      <c r="E443" s="12" t="s">
        <v>231</v>
      </c>
      <c r="F443" s="11" t="s">
        <v>246</v>
      </c>
      <c r="G443" s="18" t="s">
        <v>247</v>
      </c>
      <c r="H443" s="11" t="s">
        <v>248</v>
      </c>
      <c r="I443" s="87" t="s">
        <v>249</v>
      </c>
      <c r="J443" s="19" t="s">
        <v>139</v>
      </c>
      <c r="K443" s="17" t="s">
        <v>140</v>
      </c>
      <c r="L443" s="257">
        <v>0</v>
      </c>
      <c r="M443" s="70" t="s">
        <v>250</v>
      </c>
      <c r="N443" s="70">
        <v>80</v>
      </c>
      <c r="O443" s="258">
        <v>8</v>
      </c>
      <c r="P443" s="70" t="s">
        <v>251</v>
      </c>
      <c r="Q443" s="70" t="s">
        <v>233</v>
      </c>
      <c r="R443" s="70" t="s">
        <v>240</v>
      </c>
      <c r="S443" s="70" t="s">
        <v>233</v>
      </c>
      <c r="T443" s="70" t="s">
        <v>233</v>
      </c>
      <c r="U443" s="70" t="s">
        <v>1427</v>
      </c>
      <c r="V443" s="70" t="s">
        <v>240</v>
      </c>
      <c r="W443" s="12"/>
      <c r="X443" s="242">
        <v>323.09083013215434</v>
      </c>
      <c r="Y443" s="242">
        <v>325.0524981276123</v>
      </c>
      <c r="Z443" s="242">
        <v>46.342938078326206</v>
      </c>
      <c r="AA443" s="157" t="s">
        <v>252</v>
      </c>
      <c r="AB443" s="242">
        <v>32.440937643449054</v>
      </c>
      <c r="AC443" s="157" t="s">
        <v>252</v>
      </c>
      <c r="AD443" s="242">
        <v>53.628713971636344</v>
      </c>
      <c r="AE443" s="157" t="s">
        <v>259</v>
      </c>
      <c r="AF443" s="242">
        <v>37.650517020608348</v>
      </c>
      <c r="AG443" s="157" t="s">
        <v>259</v>
      </c>
      <c r="AH443" s="242">
        <v>37.265818656229612</v>
      </c>
      <c r="AI443" s="157" t="s">
        <v>259</v>
      </c>
      <c r="AJ443" s="242">
        <v>5.983871466019183</v>
      </c>
      <c r="AK443" s="242" t="s">
        <v>259</v>
      </c>
      <c r="AL443" s="242">
        <v>5.983871466019183</v>
      </c>
      <c r="AM443" s="242" t="s">
        <v>259</v>
      </c>
      <c r="AN443" s="242">
        <v>5.983871466019183</v>
      </c>
      <c r="AO443" s="242" t="s">
        <v>259</v>
      </c>
      <c r="AP443" s="242">
        <v>3.6237352540407333</v>
      </c>
      <c r="AQ443" s="242" t="s">
        <v>259</v>
      </c>
      <c r="AR443" s="242">
        <v>42.51117498127612</v>
      </c>
      <c r="AS443" s="242" t="s">
        <v>259</v>
      </c>
      <c r="AT443" s="242">
        <v>35.189622140078761</v>
      </c>
      <c r="AU443" s="242" t="s">
        <v>259</v>
      </c>
      <c r="AV443" s="242">
        <v>41.476944263245635</v>
      </c>
      <c r="AW443" s="157" t="s">
        <v>259</v>
      </c>
      <c r="AX443" s="157">
        <v>996.22534466671505</v>
      </c>
      <c r="AY443" s="243">
        <v>0.14389480805005919</v>
      </c>
      <c r="AZ443" s="156" t="s">
        <v>253</v>
      </c>
      <c r="BA443" s="156" t="s">
        <v>254</v>
      </c>
      <c r="BB443" s="156">
        <v>0</v>
      </c>
      <c r="BC443" s="156" t="s">
        <v>1423</v>
      </c>
      <c r="BD443" s="3"/>
    </row>
    <row r="444" spans="1:56" ht="15.75" hidden="1" customHeight="1" outlineLevel="1">
      <c r="A444" s="58">
        <v>434</v>
      </c>
      <c r="B444" s="11">
        <v>129434</v>
      </c>
      <c r="C444" s="89" t="s">
        <v>319</v>
      </c>
      <c r="D444" s="157">
        <v>6</v>
      </c>
      <c r="E444" s="12" t="s">
        <v>191</v>
      </c>
      <c r="F444" s="11" t="s">
        <v>246</v>
      </c>
      <c r="G444" s="18" t="s">
        <v>247</v>
      </c>
      <c r="H444" s="11" t="s">
        <v>248</v>
      </c>
      <c r="I444" s="87" t="s">
        <v>249</v>
      </c>
      <c r="J444" s="19" t="s">
        <v>139</v>
      </c>
      <c r="K444" s="17" t="s">
        <v>140</v>
      </c>
      <c r="L444" s="260">
        <v>1</v>
      </c>
      <c r="M444" s="70" t="s">
        <v>250</v>
      </c>
      <c r="N444" s="70">
        <v>100</v>
      </c>
      <c r="O444" s="258">
        <v>8</v>
      </c>
      <c r="P444" s="70" t="s">
        <v>251</v>
      </c>
      <c r="Q444" s="70" t="s">
        <v>233</v>
      </c>
      <c r="R444" s="70" t="s">
        <v>240</v>
      </c>
      <c r="S444" s="70" t="s">
        <v>233</v>
      </c>
      <c r="T444" s="70" t="s">
        <v>233</v>
      </c>
      <c r="U444" s="70" t="s">
        <v>1427</v>
      </c>
      <c r="V444" s="70" t="s">
        <v>240</v>
      </c>
      <c r="W444" s="12"/>
      <c r="X444" s="242">
        <v>291.06999999999994</v>
      </c>
      <c r="Y444" s="242">
        <v>317.47000000000003</v>
      </c>
      <c r="Z444" s="242">
        <v>46.3</v>
      </c>
      <c r="AA444" s="157" t="s">
        <v>252</v>
      </c>
      <c r="AB444" s="242">
        <v>35.49</v>
      </c>
      <c r="AC444" s="157" t="s">
        <v>252</v>
      </c>
      <c r="AD444" s="242">
        <v>44.19</v>
      </c>
      <c r="AE444" s="157" t="s">
        <v>252</v>
      </c>
      <c r="AF444" s="242">
        <v>90.22</v>
      </c>
      <c r="AG444" s="157" t="s">
        <v>252</v>
      </c>
      <c r="AH444" s="242">
        <v>24.29</v>
      </c>
      <c r="AI444" s="157" t="s">
        <v>252</v>
      </c>
      <c r="AJ444" s="242">
        <v>2.68</v>
      </c>
      <c r="AK444" s="242" t="s">
        <v>252</v>
      </c>
      <c r="AL444" s="242">
        <v>4.42</v>
      </c>
      <c r="AM444" s="242" t="s">
        <v>252</v>
      </c>
      <c r="AN444" s="242">
        <v>2.12</v>
      </c>
      <c r="AO444" s="242" t="s">
        <v>252</v>
      </c>
      <c r="AP444" s="242">
        <v>18.12</v>
      </c>
      <c r="AQ444" s="242" t="s">
        <v>252</v>
      </c>
      <c r="AR444" s="242">
        <v>95.62</v>
      </c>
      <c r="AS444" s="242" t="s">
        <v>252</v>
      </c>
      <c r="AT444" s="242">
        <v>69.010000000000005</v>
      </c>
      <c r="AU444" s="242" t="s">
        <v>252</v>
      </c>
      <c r="AV444" s="242">
        <v>109.21</v>
      </c>
      <c r="AW444" s="157" t="s">
        <v>252</v>
      </c>
      <c r="AX444" s="157">
        <v>1150.21</v>
      </c>
      <c r="AY444" s="240">
        <v>0.19</v>
      </c>
      <c r="AZ444" s="156" t="s">
        <v>253</v>
      </c>
      <c r="BA444" s="156" t="s">
        <v>254</v>
      </c>
      <c r="BB444" s="156">
        <v>1</v>
      </c>
      <c r="BC444" s="156" t="s">
        <v>1423</v>
      </c>
      <c r="BD444" s="3"/>
    </row>
    <row r="445" spans="1:56" ht="15.75" hidden="1" customHeight="1" outlineLevel="1">
      <c r="A445" s="58">
        <v>435</v>
      </c>
      <c r="B445" s="11">
        <v>129435</v>
      </c>
      <c r="C445" s="89" t="s">
        <v>320</v>
      </c>
      <c r="D445" s="157">
        <v>2</v>
      </c>
      <c r="E445" s="12" t="s">
        <v>191</v>
      </c>
      <c r="F445" s="11" t="s">
        <v>246</v>
      </c>
      <c r="G445" s="18" t="s">
        <v>247</v>
      </c>
      <c r="H445" s="11" t="s">
        <v>248</v>
      </c>
      <c r="I445" s="87" t="s">
        <v>249</v>
      </c>
      <c r="J445" s="19" t="s">
        <v>139</v>
      </c>
      <c r="K445" s="17" t="s">
        <v>140</v>
      </c>
      <c r="L445" s="260">
        <v>1</v>
      </c>
      <c r="M445" s="70" t="s">
        <v>250</v>
      </c>
      <c r="N445" s="70">
        <v>100</v>
      </c>
      <c r="O445" s="258">
        <v>8</v>
      </c>
      <c r="P445" s="70" t="s">
        <v>251</v>
      </c>
      <c r="Q445" s="70" t="s">
        <v>240</v>
      </c>
      <c r="R445" s="70" t="s">
        <v>240</v>
      </c>
      <c r="S445" s="70" t="s">
        <v>233</v>
      </c>
      <c r="T445" s="70" t="s">
        <v>233</v>
      </c>
      <c r="U445" s="70" t="s">
        <v>1427</v>
      </c>
      <c r="V445" s="70" t="s">
        <v>240</v>
      </c>
      <c r="W445" s="12"/>
      <c r="X445" s="242">
        <v>1021.624</v>
      </c>
      <c r="Y445" s="242">
        <v>1021.624</v>
      </c>
      <c r="Z445" s="242">
        <v>151.19999999999999</v>
      </c>
      <c r="AA445" s="157" t="s">
        <v>252</v>
      </c>
      <c r="AB445" s="242">
        <v>123.5</v>
      </c>
      <c r="AC445" s="157" t="s">
        <v>252</v>
      </c>
      <c r="AD445" s="242">
        <v>170.1</v>
      </c>
      <c r="AE445" s="157" t="s">
        <v>252</v>
      </c>
      <c r="AF445" s="242">
        <v>81.63</v>
      </c>
      <c r="AG445" s="157" t="s">
        <v>252</v>
      </c>
      <c r="AH445" s="242">
        <v>20.99</v>
      </c>
      <c r="AI445" s="157" t="s">
        <v>252</v>
      </c>
      <c r="AJ445" s="242">
        <v>0</v>
      </c>
      <c r="AK445" s="242" t="s">
        <v>252</v>
      </c>
      <c r="AL445" s="242">
        <v>0</v>
      </c>
      <c r="AM445" s="242" t="s">
        <v>252</v>
      </c>
      <c r="AN445" s="242">
        <v>0</v>
      </c>
      <c r="AO445" s="242" t="s">
        <v>252</v>
      </c>
      <c r="AP445" s="242">
        <v>0</v>
      </c>
      <c r="AQ445" s="242" t="s">
        <v>252</v>
      </c>
      <c r="AR445" s="242">
        <v>75.73</v>
      </c>
      <c r="AS445" s="242" t="s">
        <v>252</v>
      </c>
      <c r="AT445" s="242">
        <v>72.47</v>
      </c>
      <c r="AU445" s="242" t="s">
        <v>252</v>
      </c>
      <c r="AV445" s="242">
        <v>100.91</v>
      </c>
      <c r="AW445" s="157" t="s">
        <v>252</v>
      </c>
      <c r="AX445" s="157">
        <v>2839.7779999999993</v>
      </c>
      <c r="AY445" s="243">
        <v>0.317</v>
      </c>
      <c r="AZ445" s="156" t="s">
        <v>253</v>
      </c>
      <c r="BA445" s="156" t="s">
        <v>254</v>
      </c>
      <c r="BB445" s="156">
        <v>0</v>
      </c>
      <c r="BC445" s="156" t="s">
        <v>1423</v>
      </c>
      <c r="BD445" s="3"/>
    </row>
    <row r="446" spans="1:56" ht="15.75" hidden="1" customHeight="1" outlineLevel="1">
      <c r="A446" s="58">
        <v>436</v>
      </c>
      <c r="B446" s="11">
        <v>129436</v>
      </c>
      <c r="C446" s="89" t="s">
        <v>321</v>
      </c>
      <c r="D446" s="157">
        <v>15</v>
      </c>
      <c r="E446" s="12" t="s">
        <v>191</v>
      </c>
      <c r="F446" s="11" t="s">
        <v>246</v>
      </c>
      <c r="G446" s="18" t="s">
        <v>247</v>
      </c>
      <c r="H446" s="11" t="s">
        <v>248</v>
      </c>
      <c r="I446" s="87" t="s">
        <v>249</v>
      </c>
      <c r="J446" s="19" t="s">
        <v>139</v>
      </c>
      <c r="K446" s="17" t="s">
        <v>140</v>
      </c>
      <c r="L446" s="260">
        <v>1</v>
      </c>
      <c r="M446" s="70" t="s">
        <v>250</v>
      </c>
      <c r="N446" s="70">
        <v>80</v>
      </c>
      <c r="O446" s="258">
        <v>8</v>
      </c>
      <c r="P446" s="70" t="s">
        <v>251</v>
      </c>
      <c r="Q446" s="70" t="s">
        <v>240</v>
      </c>
      <c r="R446" s="70" t="s">
        <v>240</v>
      </c>
      <c r="S446" s="70" t="s">
        <v>233</v>
      </c>
      <c r="T446" s="70" t="s">
        <v>233</v>
      </c>
      <c r="U446" s="70" t="s">
        <v>1427</v>
      </c>
      <c r="V446" s="70" t="s">
        <v>240</v>
      </c>
      <c r="W446" s="12"/>
      <c r="X446" s="242">
        <v>228.86</v>
      </c>
      <c r="Y446" s="242">
        <v>225.34000000000003</v>
      </c>
      <c r="Z446" s="242">
        <v>48.29</v>
      </c>
      <c r="AA446" s="157" t="s">
        <v>252</v>
      </c>
      <c r="AB446" s="242">
        <v>30.09</v>
      </c>
      <c r="AC446" s="157" t="s">
        <v>252</v>
      </c>
      <c r="AD446" s="242">
        <v>40.71</v>
      </c>
      <c r="AE446" s="157" t="s">
        <v>252</v>
      </c>
      <c r="AF446" s="242">
        <v>20.190000000000001</v>
      </c>
      <c r="AG446" s="157" t="s">
        <v>252</v>
      </c>
      <c r="AH446" s="242">
        <v>2.59</v>
      </c>
      <c r="AI446" s="157" t="s">
        <v>252</v>
      </c>
      <c r="AJ446" s="242">
        <v>0</v>
      </c>
      <c r="AK446" s="242" t="s">
        <v>252</v>
      </c>
      <c r="AL446" s="242">
        <v>0</v>
      </c>
      <c r="AM446" s="242" t="s">
        <v>252</v>
      </c>
      <c r="AN446" s="242">
        <v>6.34</v>
      </c>
      <c r="AO446" s="242" t="s">
        <v>252</v>
      </c>
      <c r="AP446" s="242">
        <v>0</v>
      </c>
      <c r="AQ446" s="242" t="s">
        <v>252</v>
      </c>
      <c r="AR446" s="242">
        <v>23.64</v>
      </c>
      <c r="AS446" s="242" t="s">
        <v>252</v>
      </c>
      <c r="AT446" s="242">
        <v>25.21</v>
      </c>
      <c r="AU446" s="242" t="s">
        <v>252</v>
      </c>
      <c r="AV446" s="242">
        <v>30.41</v>
      </c>
      <c r="AW446" s="157" t="s">
        <v>252</v>
      </c>
      <c r="AX446" s="157">
        <v>681.67000000000019</v>
      </c>
      <c r="AY446" s="240">
        <v>0.12</v>
      </c>
      <c r="AZ446" s="156" t="s">
        <v>253</v>
      </c>
      <c r="BA446" s="156" t="s">
        <v>254</v>
      </c>
      <c r="BB446" s="156">
        <v>0</v>
      </c>
      <c r="BC446" s="157" t="s">
        <v>255</v>
      </c>
      <c r="BD446" s="3"/>
    </row>
    <row r="447" spans="1:56" ht="15.75" hidden="1" customHeight="1" outlineLevel="1">
      <c r="A447" s="58">
        <v>437</v>
      </c>
      <c r="B447" s="11">
        <v>129437</v>
      </c>
      <c r="C447" s="89" t="s">
        <v>321</v>
      </c>
      <c r="D447" s="157">
        <v>17</v>
      </c>
      <c r="E447" s="12" t="s">
        <v>191</v>
      </c>
      <c r="F447" s="11" t="s">
        <v>246</v>
      </c>
      <c r="G447" s="18" t="s">
        <v>247</v>
      </c>
      <c r="H447" s="11" t="s">
        <v>248</v>
      </c>
      <c r="I447" s="87" t="s">
        <v>249</v>
      </c>
      <c r="J447" s="19" t="s">
        <v>139</v>
      </c>
      <c r="K447" s="17" t="s">
        <v>140</v>
      </c>
      <c r="L447" s="257">
        <v>0</v>
      </c>
      <c r="M447" s="70" t="s">
        <v>250</v>
      </c>
      <c r="N447" s="70">
        <v>100</v>
      </c>
      <c r="O447" s="258">
        <v>8</v>
      </c>
      <c r="P447" s="70" t="s">
        <v>251</v>
      </c>
      <c r="Q447" s="70" t="s">
        <v>240</v>
      </c>
      <c r="R447" s="70" t="s">
        <v>240</v>
      </c>
      <c r="S447" s="70" t="s">
        <v>240</v>
      </c>
      <c r="T447" s="70" t="s">
        <v>240</v>
      </c>
      <c r="U447" s="70" t="s">
        <v>1427</v>
      </c>
      <c r="V447" s="70" t="s">
        <v>240</v>
      </c>
      <c r="W447" s="12"/>
      <c r="X447" s="242">
        <v>267.14000000000004</v>
      </c>
      <c r="Y447" s="242">
        <v>294.81000000000006</v>
      </c>
      <c r="Z447" s="242">
        <v>34.83</v>
      </c>
      <c r="AA447" s="157" t="s">
        <v>259</v>
      </c>
      <c r="AB447" s="242">
        <v>34.83</v>
      </c>
      <c r="AC447" s="157" t="s">
        <v>259</v>
      </c>
      <c r="AD447" s="242">
        <v>34.83</v>
      </c>
      <c r="AE447" s="157" t="s">
        <v>259</v>
      </c>
      <c r="AF447" s="242">
        <v>34.83</v>
      </c>
      <c r="AG447" s="157" t="s">
        <v>259</v>
      </c>
      <c r="AH447" s="242">
        <v>34.83</v>
      </c>
      <c r="AI447" s="157" t="s">
        <v>259</v>
      </c>
      <c r="AJ447" s="242">
        <v>0</v>
      </c>
      <c r="AK447" s="242" t="s">
        <v>259</v>
      </c>
      <c r="AL447" s="242">
        <v>0</v>
      </c>
      <c r="AM447" s="242" t="s">
        <v>259</v>
      </c>
      <c r="AN447" s="242">
        <v>2.0099999999999998</v>
      </c>
      <c r="AO447" s="242" t="s">
        <v>259</v>
      </c>
      <c r="AP447" s="242">
        <v>4.91</v>
      </c>
      <c r="AQ447" s="242" t="s">
        <v>259</v>
      </c>
      <c r="AR447" s="242">
        <v>29.41</v>
      </c>
      <c r="AS447" s="242" t="s">
        <v>259</v>
      </c>
      <c r="AT447" s="242">
        <v>34.32</v>
      </c>
      <c r="AU447" s="242" t="s">
        <v>259</v>
      </c>
      <c r="AV447" s="242">
        <v>34.32</v>
      </c>
      <c r="AW447" s="157" t="s">
        <v>259</v>
      </c>
      <c r="AX447" s="157">
        <v>841.07000000000028</v>
      </c>
      <c r="AY447" s="240">
        <v>0.12</v>
      </c>
      <c r="AZ447" s="156" t="s">
        <v>253</v>
      </c>
      <c r="BA447" s="156" t="s">
        <v>254</v>
      </c>
      <c r="BB447" s="156">
        <v>0</v>
      </c>
      <c r="BC447" s="156" t="s">
        <v>1423</v>
      </c>
      <c r="BD447" s="3"/>
    </row>
    <row r="448" spans="1:56" ht="15.75" hidden="1" customHeight="1" outlineLevel="1">
      <c r="A448" s="58">
        <v>438</v>
      </c>
      <c r="B448" s="11">
        <v>129438</v>
      </c>
      <c r="C448" s="89" t="s">
        <v>321</v>
      </c>
      <c r="D448" s="157">
        <v>19</v>
      </c>
      <c r="E448" s="12" t="s">
        <v>191</v>
      </c>
      <c r="F448" s="11" t="s">
        <v>246</v>
      </c>
      <c r="G448" s="18" t="s">
        <v>247</v>
      </c>
      <c r="H448" s="11" t="s">
        <v>248</v>
      </c>
      <c r="I448" s="87" t="s">
        <v>249</v>
      </c>
      <c r="J448" s="19" t="s">
        <v>139</v>
      </c>
      <c r="K448" s="17" t="s">
        <v>140</v>
      </c>
      <c r="L448" s="257">
        <v>0</v>
      </c>
      <c r="M448" s="70" t="s">
        <v>250</v>
      </c>
      <c r="N448" s="70">
        <v>100</v>
      </c>
      <c r="O448" s="258">
        <v>8</v>
      </c>
      <c r="P448" s="70" t="s">
        <v>251</v>
      </c>
      <c r="Q448" s="70" t="s">
        <v>240</v>
      </c>
      <c r="R448" s="70" t="s">
        <v>240</v>
      </c>
      <c r="S448" s="70" t="s">
        <v>240</v>
      </c>
      <c r="T448" s="70" t="s">
        <v>240</v>
      </c>
      <c r="U448" s="70" t="s">
        <v>1427</v>
      </c>
      <c r="V448" s="70" t="s">
        <v>240</v>
      </c>
      <c r="W448" s="12"/>
      <c r="X448" s="242">
        <v>603.73</v>
      </c>
      <c r="Y448" s="242">
        <v>685.91</v>
      </c>
      <c r="Z448" s="242">
        <v>85.68</v>
      </c>
      <c r="AA448" s="157" t="s">
        <v>259</v>
      </c>
      <c r="AB448" s="242">
        <v>85.68</v>
      </c>
      <c r="AC448" s="157" t="s">
        <v>259</v>
      </c>
      <c r="AD448" s="242">
        <v>85.68</v>
      </c>
      <c r="AE448" s="157" t="s">
        <v>259</v>
      </c>
      <c r="AF448" s="242">
        <v>85.68</v>
      </c>
      <c r="AG448" s="157" t="s">
        <v>259</v>
      </c>
      <c r="AH448" s="242">
        <v>85.68</v>
      </c>
      <c r="AI448" s="157" t="s">
        <v>259</v>
      </c>
      <c r="AJ448" s="242">
        <v>0</v>
      </c>
      <c r="AK448" s="242" t="s">
        <v>259</v>
      </c>
      <c r="AL448" s="242">
        <v>0</v>
      </c>
      <c r="AM448" s="242" t="s">
        <v>259</v>
      </c>
      <c r="AN448" s="242">
        <v>4.0199999999999996</v>
      </c>
      <c r="AO448" s="242" t="s">
        <v>259</v>
      </c>
      <c r="AP448" s="242">
        <v>9.83</v>
      </c>
      <c r="AQ448" s="242" t="s">
        <v>259</v>
      </c>
      <c r="AR448" s="242">
        <v>73.88</v>
      </c>
      <c r="AS448" s="242" t="s">
        <v>259</v>
      </c>
      <c r="AT448" s="242">
        <v>83.71</v>
      </c>
      <c r="AU448" s="242" t="s">
        <v>259</v>
      </c>
      <c r="AV448" s="242">
        <v>83.71</v>
      </c>
      <c r="AW448" s="157" t="s">
        <v>259</v>
      </c>
      <c r="AX448" s="157">
        <v>1973.19</v>
      </c>
      <c r="AY448" s="240">
        <v>0.24</v>
      </c>
      <c r="AZ448" s="156" t="s">
        <v>253</v>
      </c>
      <c r="BA448" s="156" t="s">
        <v>254</v>
      </c>
      <c r="BB448" s="156">
        <v>0</v>
      </c>
      <c r="BC448" s="156" t="s">
        <v>1423</v>
      </c>
      <c r="BD448" s="3"/>
    </row>
    <row r="449" spans="1:56" ht="15.75" hidden="1" customHeight="1" outlineLevel="1">
      <c r="A449" s="58">
        <v>439</v>
      </c>
      <c r="B449" s="11">
        <v>129439</v>
      </c>
      <c r="C449" s="89" t="s">
        <v>321</v>
      </c>
      <c r="D449" s="157">
        <v>23</v>
      </c>
      <c r="E449" s="12" t="s">
        <v>191</v>
      </c>
      <c r="F449" s="11" t="s">
        <v>246</v>
      </c>
      <c r="G449" s="18" t="s">
        <v>247</v>
      </c>
      <c r="H449" s="11" t="s">
        <v>248</v>
      </c>
      <c r="I449" s="87" t="s">
        <v>249</v>
      </c>
      <c r="J449" s="19" t="s">
        <v>139</v>
      </c>
      <c r="K449" s="17" t="s">
        <v>140</v>
      </c>
      <c r="L449" s="257">
        <v>0</v>
      </c>
      <c r="M449" s="70" t="s">
        <v>250</v>
      </c>
      <c r="N449" s="70">
        <v>80</v>
      </c>
      <c r="O449" s="258">
        <v>8</v>
      </c>
      <c r="P449" s="70" t="s">
        <v>251</v>
      </c>
      <c r="Q449" s="70" t="s">
        <v>233</v>
      </c>
      <c r="R449" s="70" t="s">
        <v>240</v>
      </c>
      <c r="S449" s="70" t="s">
        <v>233</v>
      </c>
      <c r="T449" s="70" t="s">
        <v>233</v>
      </c>
      <c r="U449" s="70" t="s">
        <v>1427</v>
      </c>
      <c r="V449" s="70" t="s">
        <v>240</v>
      </c>
      <c r="W449" s="12"/>
      <c r="X449" s="242">
        <v>866.56445255474455</v>
      </c>
      <c r="Y449" s="242">
        <v>791.89801592568017</v>
      </c>
      <c r="Z449" s="242">
        <v>119.62528865295289</v>
      </c>
      <c r="AA449" s="157" t="s">
        <v>252</v>
      </c>
      <c r="AB449" s="242">
        <v>96.257677504976783</v>
      </c>
      <c r="AC449" s="157" t="s">
        <v>252</v>
      </c>
      <c r="AD449" s="242">
        <v>125.78860650298606</v>
      </c>
      <c r="AE449" s="157" t="s">
        <v>252</v>
      </c>
      <c r="AF449" s="242">
        <v>100.92923689449238</v>
      </c>
      <c r="AG449" s="157" t="s">
        <v>252</v>
      </c>
      <c r="AH449" s="242">
        <v>90.761725282017267</v>
      </c>
      <c r="AI449" s="157" t="s">
        <v>259</v>
      </c>
      <c r="AJ449" s="242">
        <v>25.54636363636364</v>
      </c>
      <c r="AK449" s="242" t="s">
        <v>259</v>
      </c>
      <c r="AL449" s="242">
        <v>24.162561380225615</v>
      </c>
      <c r="AM449" s="242" t="s">
        <v>259</v>
      </c>
      <c r="AN449" s="242">
        <v>13.337498341074983</v>
      </c>
      <c r="AO449" s="242" t="s">
        <v>259</v>
      </c>
      <c r="AP449" s="242">
        <v>26.755885321831453</v>
      </c>
      <c r="AQ449" s="242" t="s">
        <v>259</v>
      </c>
      <c r="AR449" s="242">
        <v>110.39012607830126</v>
      </c>
      <c r="AS449" s="242" t="s">
        <v>259</v>
      </c>
      <c r="AT449" s="242">
        <v>96.689502322495031</v>
      </c>
      <c r="AU449" s="242" t="s">
        <v>259</v>
      </c>
      <c r="AV449" s="242">
        <v>115.73219163901791</v>
      </c>
      <c r="AW449" s="157" t="s">
        <v>259</v>
      </c>
      <c r="AX449" s="157">
        <v>2604.4391320371606</v>
      </c>
      <c r="AY449" s="240">
        <v>0.39256801592568019</v>
      </c>
      <c r="AZ449" s="156" t="s">
        <v>253</v>
      </c>
      <c r="BA449" s="156" t="s">
        <v>254</v>
      </c>
      <c r="BB449" s="156">
        <v>0</v>
      </c>
      <c r="BC449" s="156" t="s">
        <v>1423</v>
      </c>
      <c r="BD449" s="3"/>
    </row>
    <row r="450" spans="1:56" ht="15.75" hidden="1" customHeight="1" outlineLevel="1">
      <c r="A450" s="58">
        <v>440</v>
      </c>
      <c r="B450" s="11">
        <v>129440</v>
      </c>
      <c r="C450" s="89" t="s">
        <v>321</v>
      </c>
      <c r="D450" s="157">
        <v>23</v>
      </c>
      <c r="E450" s="12" t="s">
        <v>262</v>
      </c>
      <c r="F450" s="11" t="s">
        <v>246</v>
      </c>
      <c r="G450" s="18" t="s">
        <v>247</v>
      </c>
      <c r="H450" s="11" t="s">
        <v>248</v>
      </c>
      <c r="I450" s="87" t="s">
        <v>249</v>
      </c>
      <c r="J450" s="19" t="s">
        <v>139</v>
      </c>
      <c r="K450" s="17" t="s">
        <v>140</v>
      </c>
      <c r="L450" s="257">
        <v>0</v>
      </c>
      <c r="M450" s="70" t="s">
        <v>250</v>
      </c>
      <c r="N450" s="70">
        <v>80</v>
      </c>
      <c r="O450" s="258">
        <v>8</v>
      </c>
      <c r="P450" s="70" t="s">
        <v>251</v>
      </c>
      <c r="Q450" s="70" t="s">
        <v>233</v>
      </c>
      <c r="R450" s="70" t="s">
        <v>240</v>
      </c>
      <c r="S450" s="70" t="s">
        <v>233</v>
      </c>
      <c r="T450" s="70" t="s">
        <v>233</v>
      </c>
      <c r="U450" s="70" t="s">
        <v>1427</v>
      </c>
      <c r="V450" s="70" t="s">
        <v>240</v>
      </c>
      <c r="W450" s="12"/>
      <c r="X450" s="242">
        <v>16.405547445255475</v>
      </c>
      <c r="Y450" s="242">
        <v>14.99198407431984</v>
      </c>
      <c r="Z450" s="242">
        <v>2.2647113470471134</v>
      </c>
      <c r="AA450" s="157" t="s">
        <v>252</v>
      </c>
      <c r="AB450" s="242">
        <v>1.8223224950232249</v>
      </c>
      <c r="AC450" s="157" t="s">
        <v>252</v>
      </c>
      <c r="AD450" s="242">
        <v>2.3813934970139345</v>
      </c>
      <c r="AE450" s="157" t="s">
        <v>252</v>
      </c>
      <c r="AF450" s="242">
        <v>1.9107631055076311</v>
      </c>
      <c r="AG450" s="157" t="s">
        <v>252</v>
      </c>
      <c r="AH450" s="242">
        <v>1.7182747179827471</v>
      </c>
      <c r="AI450" s="157" t="s">
        <v>259</v>
      </c>
      <c r="AJ450" s="242">
        <v>0.48363636363636364</v>
      </c>
      <c r="AK450" s="242" t="s">
        <v>259</v>
      </c>
      <c r="AL450" s="242">
        <v>0.45743861977438621</v>
      </c>
      <c r="AM450" s="242" t="s">
        <v>259</v>
      </c>
      <c r="AN450" s="242">
        <v>0.25250165892501658</v>
      </c>
      <c r="AO450" s="242" t="s">
        <v>259</v>
      </c>
      <c r="AP450" s="242">
        <v>0.50653467816854669</v>
      </c>
      <c r="AQ450" s="242" t="s">
        <v>259</v>
      </c>
      <c r="AR450" s="242">
        <v>2.089873921698739</v>
      </c>
      <c r="AS450" s="242" t="s">
        <v>259</v>
      </c>
      <c r="AT450" s="242">
        <v>1.8304976775049766</v>
      </c>
      <c r="AU450" s="242" t="s">
        <v>259</v>
      </c>
      <c r="AV450" s="242">
        <v>2.1910083609820834</v>
      </c>
      <c r="AW450" s="157" t="s">
        <v>259</v>
      </c>
      <c r="AX450" s="157">
        <v>49.30648796284008</v>
      </c>
      <c r="AY450" s="243">
        <v>7.4319840743198411E-3</v>
      </c>
      <c r="AZ450" s="156" t="s">
        <v>253</v>
      </c>
      <c r="BA450" s="156" t="s">
        <v>254</v>
      </c>
      <c r="BB450" s="156">
        <v>0</v>
      </c>
      <c r="BC450" s="156" t="s">
        <v>1423</v>
      </c>
      <c r="BD450" s="3"/>
    </row>
    <row r="451" spans="1:56" ht="15.75" hidden="1" customHeight="1" outlineLevel="1">
      <c r="A451" s="58">
        <v>441</v>
      </c>
      <c r="B451" s="11">
        <v>129441</v>
      </c>
      <c r="C451" s="89" t="s">
        <v>321</v>
      </c>
      <c r="D451" s="157">
        <v>31</v>
      </c>
      <c r="E451" s="12" t="s">
        <v>191</v>
      </c>
      <c r="F451" s="11" t="s">
        <v>246</v>
      </c>
      <c r="G451" s="18" t="s">
        <v>247</v>
      </c>
      <c r="H451" s="11" t="s">
        <v>248</v>
      </c>
      <c r="I451" s="87" t="s">
        <v>249</v>
      </c>
      <c r="J451" s="19" t="s">
        <v>139</v>
      </c>
      <c r="K451" s="17" t="s">
        <v>140</v>
      </c>
      <c r="L451" s="260">
        <v>1</v>
      </c>
      <c r="M451" s="70" t="s">
        <v>250</v>
      </c>
      <c r="N451" s="70">
        <v>100</v>
      </c>
      <c r="O451" s="258">
        <v>8</v>
      </c>
      <c r="P451" s="70" t="s">
        <v>251</v>
      </c>
      <c r="Q451" s="70" t="s">
        <v>240</v>
      </c>
      <c r="R451" s="70" t="s">
        <v>240</v>
      </c>
      <c r="S451" s="70" t="s">
        <v>233</v>
      </c>
      <c r="T451" s="70" t="s">
        <v>233</v>
      </c>
      <c r="U451" s="70" t="s">
        <v>1427</v>
      </c>
      <c r="V451" s="70" t="s">
        <v>240</v>
      </c>
      <c r="W451" s="12"/>
      <c r="X451" s="242">
        <v>323.92</v>
      </c>
      <c r="Y451" s="242">
        <v>374.96000000000004</v>
      </c>
      <c r="Z451" s="242">
        <v>56.29</v>
      </c>
      <c r="AA451" s="157" t="s">
        <v>259</v>
      </c>
      <c r="AB451" s="242">
        <v>56.29</v>
      </c>
      <c r="AC451" s="157" t="s">
        <v>259</v>
      </c>
      <c r="AD451" s="242">
        <v>56.29</v>
      </c>
      <c r="AE451" s="157" t="s">
        <v>259</v>
      </c>
      <c r="AF451" s="242">
        <v>56.29</v>
      </c>
      <c r="AG451" s="157" t="s">
        <v>259</v>
      </c>
      <c r="AH451" s="242">
        <v>56.29</v>
      </c>
      <c r="AI451" s="157" t="s">
        <v>259</v>
      </c>
      <c r="AJ451" s="242">
        <v>0</v>
      </c>
      <c r="AK451" s="242" t="s">
        <v>259</v>
      </c>
      <c r="AL451" s="242">
        <v>6.58</v>
      </c>
      <c r="AM451" s="242" t="s">
        <v>259</v>
      </c>
      <c r="AN451" s="242">
        <v>0</v>
      </c>
      <c r="AO451" s="242" t="s">
        <v>259</v>
      </c>
      <c r="AP451" s="242">
        <v>0</v>
      </c>
      <c r="AQ451" s="242" t="s">
        <v>259</v>
      </c>
      <c r="AR451" s="242">
        <v>52.97</v>
      </c>
      <c r="AS451" s="242" t="s">
        <v>259</v>
      </c>
      <c r="AT451" s="242">
        <v>52.97</v>
      </c>
      <c r="AU451" s="242" t="s">
        <v>259</v>
      </c>
      <c r="AV451" s="242">
        <v>52.97</v>
      </c>
      <c r="AW451" s="157" t="s">
        <v>259</v>
      </c>
      <c r="AX451" s="157">
        <v>1145.82</v>
      </c>
      <c r="AY451" s="240">
        <v>0.17</v>
      </c>
      <c r="AZ451" s="156" t="s">
        <v>253</v>
      </c>
      <c r="BA451" s="156" t="s">
        <v>254</v>
      </c>
      <c r="BB451" s="156">
        <v>1</v>
      </c>
      <c r="BC451" s="157" t="s">
        <v>255</v>
      </c>
      <c r="BD451" s="3"/>
    </row>
    <row r="452" spans="1:56" ht="15.75" hidden="1" customHeight="1" outlineLevel="1">
      <c r="A452" s="58">
        <v>442</v>
      </c>
      <c r="B452" s="11">
        <v>129442</v>
      </c>
      <c r="C452" s="89" t="s">
        <v>321</v>
      </c>
      <c r="D452" s="157" t="s">
        <v>208</v>
      </c>
      <c r="E452" s="12" t="s">
        <v>191</v>
      </c>
      <c r="F452" s="11" t="s">
        <v>246</v>
      </c>
      <c r="G452" s="18" t="s">
        <v>247</v>
      </c>
      <c r="H452" s="11" t="s">
        <v>248</v>
      </c>
      <c r="I452" s="87" t="s">
        <v>249</v>
      </c>
      <c r="J452" s="19" t="s">
        <v>139</v>
      </c>
      <c r="K452" s="17" t="s">
        <v>140</v>
      </c>
      <c r="L452" s="260">
        <v>1</v>
      </c>
      <c r="M452" s="70" t="s">
        <v>250</v>
      </c>
      <c r="N452" s="70">
        <v>80</v>
      </c>
      <c r="O452" s="258">
        <v>8</v>
      </c>
      <c r="P452" s="70" t="s">
        <v>251</v>
      </c>
      <c r="Q452" s="70" t="s">
        <v>240</v>
      </c>
      <c r="R452" s="70" t="s">
        <v>240</v>
      </c>
      <c r="S452" s="70" t="s">
        <v>233</v>
      </c>
      <c r="T452" s="70" t="s">
        <v>233</v>
      </c>
      <c r="U452" s="70" t="s">
        <v>1427</v>
      </c>
      <c r="V452" s="70" t="s">
        <v>240</v>
      </c>
      <c r="W452" s="12"/>
      <c r="X452" s="242">
        <v>818.70999999999981</v>
      </c>
      <c r="Y452" s="242">
        <v>743.22000000000014</v>
      </c>
      <c r="Z452" s="242">
        <v>177.87</v>
      </c>
      <c r="AA452" s="157" t="s">
        <v>252</v>
      </c>
      <c r="AB452" s="242">
        <v>89.19</v>
      </c>
      <c r="AC452" s="157" t="s">
        <v>252</v>
      </c>
      <c r="AD452" s="242">
        <v>153.31</v>
      </c>
      <c r="AE452" s="157" t="s">
        <v>252</v>
      </c>
      <c r="AF452" s="242">
        <v>67.14</v>
      </c>
      <c r="AG452" s="157" t="s">
        <v>252</v>
      </c>
      <c r="AH452" s="242">
        <v>24.57</v>
      </c>
      <c r="AI452" s="157" t="s">
        <v>252</v>
      </c>
      <c r="AJ452" s="242">
        <v>0</v>
      </c>
      <c r="AK452" s="242" t="s">
        <v>252</v>
      </c>
      <c r="AL452" s="242">
        <v>1.02</v>
      </c>
      <c r="AM452" s="242" t="s">
        <v>252</v>
      </c>
      <c r="AN452" s="242">
        <v>0</v>
      </c>
      <c r="AO452" s="242" t="s">
        <v>252</v>
      </c>
      <c r="AP452" s="242">
        <v>0</v>
      </c>
      <c r="AQ452" s="242" t="s">
        <v>252</v>
      </c>
      <c r="AR452" s="242">
        <v>87.45</v>
      </c>
      <c r="AS452" s="242" t="s">
        <v>252</v>
      </c>
      <c r="AT452" s="242">
        <v>72.45</v>
      </c>
      <c r="AU452" s="242" t="s">
        <v>252</v>
      </c>
      <c r="AV452" s="242">
        <v>80.86</v>
      </c>
      <c r="AW452" s="157" t="s">
        <v>252</v>
      </c>
      <c r="AX452" s="157">
        <v>2315.7899999999995</v>
      </c>
      <c r="AY452" s="240">
        <v>0.32</v>
      </c>
      <c r="AZ452" s="156" t="s">
        <v>253</v>
      </c>
      <c r="BA452" s="156" t="s">
        <v>254</v>
      </c>
      <c r="BB452" s="156">
        <v>1</v>
      </c>
      <c r="BC452" s="157" t="s">
        <v>255</v>
      </c>
      <c r="BD452" s="3"/>
    </row>
    <row r="453" spans="1:56" ht="15.75" hidden="1" customHeight="1" outlineLevel="1">
      <c r="A453" s="58">
        <v>443</v>
      </c>
      <c r="B453" s="11">
        <v>129443</v>
      </c>
      <c r="C453" s="89" t="s">
        <v>321</v>
      </c>
      <c r="D453" s="157">
        <v>9</v>
      </c>
      <c r="E453" s="12" t="s">
        <v>191</v>
      </c>
      <c r="F453" s="11" t="s">
        <v>246</v>
      </c>
      <c r="G453" s="18" t="s">
        <v>247</v>
      </c>
      <c r="H453" s="11" t="s">
        <v>248</v>
      </c>
      <c r="I453" s="87" t="s">
        <v>249</v>
      </c>
      <c r="J453" s="19" t="s">
        <v>139</v>
      </c>
      <c r="K453" s="17" t="s">
        <v>140</v>
      </c>
      <c r="L453" s="260">
        <v>1</v>
      </c>
      <c r="M453" s="70" t="s">
        <v>250</v>
      </c>
      <c r="N453" s="70">
        <v>80</v>
      </c>
      <c r="O453" s="258">
        <v>8</v>
      </c>
      <c r="P453" s="70" t="s">
        <v>251</v>
      </c>
      <c r="Q453" s="70" t="s">
        <v>240</v>
      </c>
      <c r="R453" s="70" t="s">
        <v>240</v>
      </c>
      <c r="S453" s="70" t="s">
        <v>233</v>
      </c>
      <c r="T453" s="70" t="s">
        <v>233</v>
      </c>
      <c r="U453" s="70" t="s">
        <v>1427</v>
      </c>
      <c r="V453" s="70" t="s">
        <v>240</v>
      </c>
      <c r="W453" s="12"/>
      <c r="X453" s="242">
        <v>425.2</v>
      </c>
      <c r="Y453" s="242">
        <v>313.61</v>
      </c>
      <c r="Z453" s="242">
        <v>114.91</v>
      </c>
      <c r="AA453" s="157" t="s">
        <v>252</v>
      </c>
      <c r="AB453" s="242">
        <v>61.2</v>
      </c>
      <c r="AC453" s="157" t="s">
        <v>252</v>
      </c>
      <c r="AD453" s="242">
        <v>73.099999999999994</v>
      </c>
      <c r="AE453" s="157" t="s">
        <v>252</v>
      </c>
      <c r="AF453" s="242">
        <v>50.2</v>
      </c>
      <c r="AG453" s="157" t="s">
        <v>252</v>
      </c>
      <c r="AH453" s="242">
        <v>11.1</v>
      </c>
      <c r="AI453" s="157" t="s">
        <v>252</v>
      </c>
      <c r="AJ453" s="242">
        <v>0</v>
      </c>
      <c r="AK453" s="242" t="s">
        <v>252</v>
      </c>
      <c r="AL453" s="242">
        <v>2.1</v>
      </c>
      <c r="AM453" s="242" t="s">
        <v>252</v>
      </c>
      <c r="AN453" s="242">
        <v>0</v>
      </c>
      <c r="AO453" s="242" t="s">
        <v>252</v>
      </c>
      <c r="AP453" s="242">
        <v>0</v>
      </c>
      <c r="AQ453" s="242" t="s">
        <v>252</v>
      </c>
      <c r="AR453" s="242">
        <v>39</v>
      </c>
      <c r="AS453" s="242" t="s">
        <v>252</v>
      </c>
      <c r="AT453" s="242">
        <v>46.3</v>
      </c>
      <c r="AU453" s="242" t="s">
        <v>252</v>
      </c>
      <c r="AV453" s="242">
        <v>57.7</v>
      </c>
      <c r="AW453" s="157" t="s">
        <v>252</v>
      </c>
      <c r="AX453" s="157">
        <v>1194.4199999999998</v>
      </c>
      <c r="AY453" s="240">
        <v>0.15</v>
      </c>
      <c r="AZ453" s="156" t="s">
        <v>253</v>
      </c>
      <c r="BA453" s="156" t="s">
        <v>254</v>
      </c>
      <c r="BB453" s="156">
        <v>1</v>
      </c>
      <c r="BC453" s="156" t="s">
        <v>1423</v>
      </c>
      <c r="BD453" s="3"/>
    </row>
    <row r="454" spans="1:56" ht="15.75" hidden="1" customHeight="1" outlineLevel="1">
      <c r="A454" s="58">
        <v>444</v>
      </c>
      <c r="B454" s="11">
        <v>129444</v>
      </c>
      <c r="C454" s="89" t="s">
        <v>322</v>
      </c>
      <c r="D454" s="157">
        <v>4</v>
      </c>
      <c r="E454" s="12" t="s">
        <v>231</v>
      </c>
      <c r="F454" s="11" t="s">
        <v>246</v>
      </c>
      <c r="G454" s="18" t="s">
        <v>247</v>
      </c>
      <c r="H454" s="11" t="s">
        <v>248</v>
      </c>
      <c r="I454" s="87" t="s">
        <v>249</v>
      </c>
      <c r="J454" s="19" t="s">
        <v>139</v>
      </c>
      <c r="K454" s="17" t="s">
        <v>140</v>
      </c>
      <c r="L454" s="257">
        <v>0</v>
      </c>
      <c r="M454" s="70" t="s">
        <v>250</v>
      </c>
      <c r="N454" s="70">
        <v>80</v>
      </c>
      <c r="O454" s="258">
        <v>8</v>
      </c>
      <c r="P454" s="70" t="s">
        <v>251</v>
      </c>
      <c r="Q454" s="70" t="s">
        <v>233</v>
      </c>
      <c r="R454" s="70" t="s">
        <v>240</v>
      </c>
      <c r="S454" s="70" t="s">
        <v>233</v>
      </c>
      <c r="T454" s="70" t="s">
        <v>233</v>
      </c>
      <c r="U454" s="70" t="s">
        <v>1427</v>
      </c>
      <c r="V454" s="70" t="s">
        <v>240</v>
      </c>
      <c r="W454" s="12"/>
      <c r="X454" s="242">
        <v>474.35000000000008</v>
      </c>
      <c r="Y454" s="242">
        <v>453.05000000000007</v>
      </c>
      <c r="Z454" s="242">
        <v>67.39</v>
      </c>
      <c r="AA454" s="157" t="s">
        <v>252</v>
      </c>
      <c r="AB454" s="242">
        <v>52.37</v>
      </c>
      <c r="AC454" s="157" t="s">
        <v>252</v>
      </c>
      <c r="AD454" s="242">
        <v>60.25</v>
      </c>
      <c r="AE454" s="157" t="s">
        <v>252</v>
      </c>
      <c r="AF454" s="242">
        <v>42.49</v>
      </c>
      <c r="AG454" s="157" t="s">
        <v>252</v>
      </c>
      <c r="AH454" s="242">
        <v>21.85</v>
      </c>
      <c r="AI454" s="157" t="s">
        <v>252</v>
      </c>
      <c r="AJ454" s="242">
        <v>10.66</v>
      </c>
      <c r="AK454" s="242" t="s">
        <v>252</v>
      </c>
      <c r="AL454" s="242">
        <v>6.03</v>
      </c>
      <c r="AM454" s="242" t="s">
        <v>252</v>
      </c>
      <c r="AN454" s="242">
        <v>6.28</v>
      </c>
      <c r="AO454" s="242" t="s">
        <v>252</v>
      </c>
      <c r="AP454" s="242">
        <v>7.84</v>
      </c>
      <c r="AQ454" s="242" t="s">
        <v>252</v>
      </c>
      <c r="AR454" s="242">
        <v>34.31</v>
      </c>
      <c r="AS454" s="242" t="s">
        <v>252</v>
      </c>
      <c r="AT454" s="242">
        <v>39.83</v>
      </c>
      <c r="AU454" s="242" t="s">
        <v>252</v>
      </c>
      <c r="AV454" s="242">
        <v>52.5</v>
      </c>
      <c r="AW454" s="157" t="s">
        <v>252</v>
      </c>
      <c r="AX454" s="157">
        <v>1329.1999999999998</v>
      </c>
      <c r="AY454" s="240">
        <v>0.22</v>
      </c>
      <c r="AZ454" s="156" t="s">
        <v>253</v>
      </c>
      <c r="BA454" s="156" t="s">
        <v>254</v>
      </c>
      <c r="BB454" s="156">
        <v>0</v>
      </c>
      <c r="BC454" s="156" t="s">
        <v>1423</v>
      </c>
      <c r="BD454" s="3"/>
    </row>
    <row r="455" spans="1:56" ht="15.75" hidden="1" customHeight="1" outlineLevel="1">
      <c r="A455" s="58">
        <v>445</v>
      </c>
      <c r="B455" s="11">
        <v>129445</v>
      </c>
      <c r="C455" s="89" t="s">
        <v>322</v>
      </c>
      <c r="D455" s="157">
        <v>8</v>
      </c>
      <c r="E455" s="12" t="s">
        <v>191</v>
      </c>
      <c r="F455" s="11" t="s">
        <v>246</v>
      </c>
      <c r="G455" s="18" t="s">
        <v>247</v>
      </c>
      <c r="H455" s="11" t="s">
        <v>248</v>
      </c>
      <c r="I455" s="87" t="s">
        <v>249</v>
      </c>
      <c r="J455" s="19" t="s">
        <v>139</v>
      </c>
      <c r="K455" s="17" t="s">
        <v>140</v>
      </c>
      <c r="L455" s="260">
        <v>1</v>
      </c>
      <c r="M455" s="70" t="s">
        <v>250</v>
      </c>
      <c r="N455" s="70">
        <v>100</v>
      </c>
      <c r="O455" s="258">
        <v>8</v>
      </c>
      <c r="P455" s="70" t="s">
        <v>251</v>
      </c>
      <c r="Q455" s="70" t="s">
        <v>233</v>
      </c>
      <c r="R455" s="70" t="s">
        <v>240</v>
      </c>
      <c r="S455" s="70" t="s">
        <v>233</v>
      </c>
      <c r="T455" s="70" t="s">
        <v>233</v>
      </c>
      <c r="U455" s="70" t="s">
        <v>1427</v>
      </c>
      <c r="V455" s="70" t="s">
        <v>240</v>
      </c>
      <c r="W455" s="12"/>
      <c r="X455" s="242">
        <v>692.91255384615397</v>
      </c>
      <c r="Y455" s="242">
        <v>664.19063846153847</v>
      </c>
      <c r="Z455" s="242">
        <v>98.436153846153857</v>
      </c>
      <c r="AA455" s="157" t="s">
        <v>252</v>
      </c>
      <c r="AB455" s="242">
        <v>76.682738461538477</v>
      </c>
      <c r="AC455" s="157" t="s">
        <v>252</v>
      </c>
      <c r="AD455" s="242">
        <v>88.110103846153848</v>
      </c>
      <c r="AE455" s="157" t="s">
        <v>252</v>
      </c>
      <c r="AF455" s="242">
        <v>62.190207692307695</v>
      </c>
      <c r="AG455" s="157" t="s">
        <v>252</v>
      </c>
      <c r="AH455" s="242">
        <v>31.962511538461541</v>
      </c>
      <c r="AI455" s="157" t="s">
        <v>252</v>
      </c>
      <c r="AJ455" s="242">
        <v>15.472019230769231</v>
      </c>
      <c r="AK455" s="242" t="s">
        <v>252</v>
      </c>
      <c r="AL455" s="242">
        <v>8.80565</v>
      </c>
      <c r="AM455" s="242" t="s">
        <v>252</v>
      </c>
      <c r="AN455" s="242">
        <v>9.1857500000000005</v>
      </c>
      <c r="AO455" s="242" t="s">
        <v>252</v>
      </c>
      <c r="AP455" s="242">
        <v>11.46635</v>
      </c>
      <c r="AQ455" s="242" t="s">
        <v>252</v>
      </c>
      <c r="AR455" s="242">
        <v>50.178073076923077</v>
      </c>
      <c r="AS455" s="242" t="s">
        <v>252</v>
      </c>
      <c r="AT455" s="242">
        <v>60.236103846153846</v>
      </c>
      <c r="AU455" s="242" t="s">
        <v>252</v>
      </c>
      <c r="AV455" s="242">
        <v>76.833803846153842</v>
      </c>
      <c r="AW455" s="157" t="s">
        <v>252</v>
      </c>
      <c r="AX455" s="157">
        <v>1946.6626576923081</v>
      </c>
      <c r="AY455" s="240">
        <v>0.30700384615384618</v>
      </c>
      <c r="AZ455" s="156" t="s">
        <v>253</v>
      </c>
      <c r="BA455" s="156" t="s">
        <v>254</v>
      </c>
      <c r="BB455" s="156">
        <v>1</v>
      </c>
      <c r="BC455" s="156" t="s">
        <v>1423</v>
      </c>
      <c r="BD455" s="3"/>
    </row>
    <row r="456" spans="1:56" ht="15.75" hidden="1" customHeight="1" outlineLevel="1">
      <c r="A456" s="58">
        <v>446</v>
      </c>
      <c r="B456" s="11">
        <v>129446</v>
      </c>
      <c r="C456" s="89" t="s">
        <v>322</v>
      </c>
      <c r="D456" s="157">
        <v>8</v>
      </c>
      <c r="E456" s="12" t="s">
        <v>309</v>
      </c>
      <c r="F456" s="11" t="s">
        <v>246</v>
      </c>
      <c r="G456" s="18" t="s">
        <v>247</v>
      </c>
      <c r="H456" s="11" t="s">
        <v>248</v>
      </c>
      <c r="I456" s="87" t="s">
        <v>249</v>
      </c>
      <c r="J456" s="19" t="s">
        <v>139</v>
      </c>
      <c r="K456" s="17" t="s">
        <v>140</v>
      </c>
      <c r="L456" s="257">
        <v>0</v>
      </c>
      <c r="M456" s="70" t="s">
        <v>250</v>
      </c>
      <c r="N456" s="70">
        <v>100</v>
      </c>
      <c r="O456" s="258">
        <v>8</v>
      </c>
      <c r="P456" s="70" t="s">
        <v>251</v>
      </c>
      <c r="Q456" s="70" t="s">
        <v>233</v>
      </c>
      <c r="R456" s="70" t="s">
        <v>240</v>
      </c>
      <c r="S456" s="70" t="s">
        <v>233</v>
      </c>
      <c r="T456" s="70" t="s">
        <v>233</v>
      </c>
      <c r="U456" s="70" t="s">
        <v>1427</v>
      </c>
      <c r="V456" s="70" t="s">
        <v>240</v>
      </c>
      <c r="W456" s="12"/>
      <c r="X456" s="242">
        <v>729.0074461538461</v>
      </c>
      <c r="Y456" s="242">
        <v>698.78936153846155</v>
      </c>
      <c r="Z456" s="242">
        <v>103.56384615384614</v>
      </c>
      <c r="AA456" s="157" t="s">
        <v>252</v>
      </c>
      <c r="AB456" s="242">
        <v>80.677261538461536</v>
      </c>
      <c r="AC456" s="157" t="s">
        <v>252</v>
      </c>
      <c r="AD456" s="242">
        <v>92.699896153846154</v>
      </c>
      <c r="AE456" s="157" t="s">
        <v>252</v>
      </c>
      <c r="AF456" s="242">
        <v>65.42979230769231</v>
      </c>
      <c r="AG456" s="157" t="s">
        <v>252</v>
      </c>
      <c r="AH456" s="242">
        <v>33.627488461538462</v>
      </c>
      <c r="AI456" s="157" t="s">
        <v>252</v>
      </c>
      <c r="AJ456" s="242">
        <v>16.277980769230769</v>
      </c>
      <c r="AK456" s="242" t="s">
        <v>252</v>
      </c>
      <c r="AL456" s="242">
        <v>9.2643500000000003</v>
      </c>
      <c r="AM456" s="242" t="s">
        <v>252</v>
      </c>
      <c r="AN456" s="242">
        <v>9.6642500000000009</v>
      </c>
      <c r="AO456" s="242" t="s">
        <v>252</v>
      </c>
      <c r="AP456" s="242">
        <v>12.063650000000001</v>
      </c>
      <c r="AQ456" s="242" t="s">
        <v>252</v>
      </c>
      <c r="AR456" s="242">
        <v>52.791926923076922</v>
      </c>
      <c r="AS456" s="242" t="s">
        <v>252</v>
      </c>
      <c r="AT456" s="242">
        <v>63.373896153846154</v>
      </c>
      <c r="AU456" s="242" t="s">
        <v>252</v>
      </c>
      <c r="AV456" s="242">
        <v>80.836196153846146</v>
      </c>
      <c r="AW456" s="157" t="s">
        <v>252</v>
      </c>
      <c r="AX456" s="157">
        <v>2048.0673423076919</v>
      </c>
      <c r="AY456" s="243">
        <v>0.32299615384615382</v>
      </c>
      <c r="AZ456" s="156" t="s">
        <v>253</v>
      </c>
      <c r="BA456" s="156" t="s">
        <v>254</v>
      </c>
      <c r="BB456" s="156">
        <v>0</v>
      </c>
      <c r="BC456" s="156" t="s">
        <v>1423</v>
      </c>
      <c r="BD456" s="3"/>
    </row>
    <row r="457" spans="1:56" ht="15.75" hidden="1" customHeight="1" outlineLevel="1">
      <c r="A457" s="58">
        <v>447</v>
      </c>
      <c r="B457" s="11">
        <v>129447</v>
      </c>
      <c r="C457" s="89" t="s">
        <v>323</v>
      </c>
      <c r="D457" s="157">
        <v>10</v>
      </c>
      <c r="E457" s="12" t="s">
        <v>191</v>
      </c>
      <c r="F457" s="11" t="s">
        <v>246</v>
      </c>
      <c r="G457" s="18" t="s">
        <v>247</v>
      </c>
      <c r="H457" s="11" t="s">
        <v>248</v>
      </c>
      <c r="I457" s="87" t="s">
        <v>249</v>
      </c>
      <c r="J457" s="19" t="s">
        <v>139</v>
      </c>
      <c r="K457" s="17" t="s">
        <v>140</v>
      </c>
      <c r="L457" s="257">
        <v>0</v>
      </c>
      <c r="M457" s="70" t="s">
        <v>250</v>
      </c>
      <c r="N457" s="70">
        <v>80</v>
      </c>
      <c r="O457" s="258">
        <v>8</v>
      </c>
      <c r="P457" s="70" t="s">
        <v>251</v>
      </c>
      <c r="Q457" s="70" t="s">
        <v>233</v>
      </c>
      <c r="R457" s="70" t="s">
        <v>240</v>
      </c>
      <c r="S457" s="70" t="s">
        <v>233</v>
      </c>
      <c r="T457" s="70" t="s">
        <v>233</v>
      </c>
      <c r="U457" s="70" t="s">
        <v>1427</v>
      </c>
      <c r="V457" s="70" t="s">
        <v>240</v>
      </c>
      <c r="W457" s="12"/>
      <c r="X457" s="242">
        <v>322.6832648175664</v>
      </c>
      <c r="Y457" s="242">
        <v>327.61129024269439</v>
      </c>
      <c r="Z457" s="242">
        <v>50.272259369324743</v>
      </c>
      <c r="AA457" s="157" t="s">
        <v>252</v>
      </c>
      <c r="AB457" s="242">
        <v>36.761789664850582</v>
      </c>
      <c r="AC457" s="157" t="s">
        <v>252</v>
      </c>
      <c r="AD457" s="242">
        <v>22.54091629519564</v>
      </c>
      <c r="AE457" s="157" t="s">
        <v>252</v>
      </c>
      <c r="AF457" s="242">
        <v>22.016113587584609</v>
      </c>
      <c r="AG457" s="157" t="s">
        <v>252</v>
      </c>
      <c r="AH457" s="242">
        <v>22.995318639590554</v>
      </c>
      <c r="AI457" s="157" t="s">
        <v>252</v>
      </c>
      <c r="AJ457" s="242">
        <v>5.8048299488195472</v>
      </c>
      <c r="AK457" s="242" t="s">
        <v>252</v>
      </c>
      <c r="AL457" s="242">
        <v>6.4704333828628027</v>
      </c>
      <c r="AM457" s="242" t="s">
        <v>252</v>
      </c>
      <c r="AN457" s="242">
        <v>4.236821859006108</v>
      </c>
      <c r="AO457" s="242" t="s">
        <v>252</v>
      </c>
      <c r="AP457" s="242">
        <v>8.549580109790325</v>
      </c>
      <c r="AQ457" s="242" t="s">
        <v>252</v>
      </c>
      <c r="AR457" s="242">
        <v>39.206602278355618</v>
      </c>
      <c r="AS457" s="242" t="s">
        <v>252</v>
      </c>
      <c r="AT457" s="242">
        <v>30.924959550932801</v>
      </c>
      <c r="AU457" s="242" t="s">
        <v>252</v>
      </c>
      <c r="AV457" s="242">
        <v>38.37459798580155</v>
      </c>
      <c r="AW457" s="157" t="s">
        <v>252</v>
      </c>
      <c r="AX457" s="157">
        <v>938.44877773237567</v>
      </c>
      <c r="AY457" s="240">
        <v>0.14464074624401518</v>
      </c>
      <c r="AZ457" s="156" t="s">
        <v>253</v>
      </c>
      <c r="BA457" s="156" t="s">
        <v>254</v>
      </c>
      <c r="BB457" s="156">
        <v>0</v>
      </c>
      <c r="BC457" s="156" t="s">
        <v>1423</v>
      </c>
      <c r="BD457" s="3"/>
    </row>
    <row r="458" spans="1:56" ht="15.75" hidden="1" customHeight="1" outlineLevel="1">
      <c r="A458" s="58">
        <v>448</v>
      </c>
      <c r="B458" s="11">
        <v>129448</v>
      </c>
      <c r="C458" s="89" t="s">
        <v>323</v>
      </c>
      <c r="D458" s="157">
        <v>10</v>
      </c>
      <c r="E458" s="12" t="s">
        <v>231</v>
      </c>
      <c r="F458" s="11" t="s">
        <v>246</v>
      </c>
      <c r="G458" s="18" t="s">
        <v>247</v>
      </c>
      <c r="H458" s="11" t="s">
        <v>248</v>
      </c>
      <c r="I458" s="87" t="s">
        <v>249</v>
      </c>
      <c r="J458" s="19" t="s">
        <v>139</v>
      </c>
      <c r="K458" s="17" t="s">
        <v>140</v>
      </c>
      <c r="L458" s="257">
        <v>0</v>
      </c>
      <c r="M458" s="70" t="s">
        <v>250</v>
      </c>
      <c r="N458" s="70">
        <v>80</v>
      </c>
      <c r="O458" s="258">
        <v>8</v>
      </c>
      <c r="P458" s="70" t="s">
        <v>251</v>
      </c>
      <c r="Q458" s="70" t="s">
        <v>233</v>
      </c>
      <c r="R458" s="70" t="s">
        <v>240</v>
      </c>
      <c r="S458" s="70" t="s">
        <v>233</v>
      </c>
      <c r="T458" s="70" t="s">
        <v>233</v>
      </c>
      <c r="U458" s="70" t="s">
        <v>1427</v>
      </c>
      <c r="V458" s="70" t="s">
        <v>240</v>
      </c>
      <c r="W458" s="12"/>
      <c r="X458" s="242">
        <v>181.50673518243354</v>
      </c>
      <c r="Y458" s="242">
        <v>184.27870975730559</v>
      </c>
      <c r="Z458" s="242">
        <v>28.27774063067525</v>
      </c>
      <c r="AA458" s="157" t="s">
        <v>252</v>
      </c>
      <c r="AB458" s="242">
        <v>20.678210335149412</v>
      </c>
      <c r="AC458" s="157" t="s">
        <v>252</v>
      </c>
      <c r="AD458" s="242">
        <v>12.679083704804357</v>
      </c>
      <c r="AE458" s="157" t="s">
        <v>252</v>
      </c>
      <c r="AF458" s="242">
        <v>12.383886412415386</v>
      </c>
      <c r="AG458" s="157" t="s">
        <v>252</v>
      </c>
      <c r="AH458" s="242">
        <v>12.934681360409444</v>
      </c>
      <c r="AI458" s="157" t="s">
        <v>252</v>
      </c>
      <c r="AJ458" s="242">
        <v>3.2651700511804527</v>
      </c>
      <c r="AK458" s="242" t="s">
        <v>252</v>
      </c>
      <c r="AL458" s="242">
        <v>3.6395666171371963</v>
      </c>
      <c r="AM458" s="242" t="s">
        <v>252</v>
      </c>
      <c r="AN458" s="242">
        <v>2.3831781409938912</v>
      </c>
      <c r="AO458" s="242" t="s">
        <v>252</v>
      </c>
      <c r="AP458" s="242">
        <v>4.8090698902096749</v>
      </c>
      <c r="AQ458" s="242" t="s">
        <v>252</v>
      </c>
      <c r="AR458" s="242">
        <v>22.053397721644377</v>
      </c>
      <c r="AS458" s="242" t="s">
        <v>252</v>
      </c>
      <c r="AT458" s="242">
        <v>17.395040449067196</v>
      </c>
      <c r="AU458" s="242" t="s">
        <v>252</v>
      </c>
      <c r="AV458" s="242">
        <v>21.585402014198447</v>
      </c>
      <c r="AW458" s="157" t="s">
        <v>252</v>
      </c>
      <c r="AX458" s="157">
        <v>527.86987226762426</v>
      </c>
      <c r="AY458" s="243">
        <v>8.1359253755984809E-2</v>
      </c>
      <c r="AZ458" s="156" t="s">
        <v>253</v>
      </c>
      <c r="BA458" s="156" t="s">
        <v>254</v>
      </c>
      <c r="BB458" s="156">
        <v>0</v>
      </c>
      <c r="BC458" s="156" t="s">
        <v>1423</v>
      </c>
      <c r="BD458" s="3"/>
    </row>
    <row r="459" spans="1:56" ht="15.75" hidden="1" customHeight="1" outlineLevel="1">
      <c r="A459" s="58">
        <v>449</v>
      </c>
      <c r="B459" s="11">
        <v>129449</v>
      </c>
      <c r="C459" s="89" t="s">
        <v>323</v>
      </c>
      <c r="D459" s="157">
        <v>12</v>
      </c>
      <c r="E459" s="12" t="s">
        <v>191</v>
      </c>
      <c r="F459" s="11" t="s">
        <v>246</v>
      </c>
      <c r="G459" s="18" t="s">
        <v>247</v>
      </c>
      <c r="H459" s="11" t="s">
        <v>248</v>
      </c>
      <c r="I459" s="87" t="s">
        <v>249</v>
      </c>
      <c r="J459" s="19" t="s">
        <v>139</v>
      </c>
      <c r="K459" s="17" t="s">
        <v>140</v>
      </c>
      <c r="L459" s="257">
        <v>0</v>
      </c>
      <c r="M459" s="70" t="s">
        <v>250</v>
      </c>
      <c r="N459" s="70">
        <v>100</v>
      </c>
      <c r="O459" s="258">
        <v>8</v>
      </c>
      <c r="P459" s="70" t="s">
        <v>251</v>
      </c>
      <c r="Q459" s="70" t="s">
        <v>240</v>
      </c>
      <c r="R459" s="70" t="s">
        <v>240</v>
      </c>
      <c r="S459" s="70" t="s">
        <v>233</v>
      </c>
      <c r="T459" s="70" t="s">
        <v>233</v>
      </c>
      <c r="U459" s="70" t="s">
        <v>1427</v>
      </c>
      <c r="V459" s="70" t="s">
        <v>240</v>
      </c>
      <c r="W459" s="12"/>
      <c r="X459" s="242">
        <v>270.69</v>
      </c>
      <c r="Y459" s="242">
        <v>283.98999999999995</v>
      </c>
      <c r="Z459" s="242">
        <v>46.7</v>
      </c>
      <c r="AA459" s="157" t="s">
        <v>252</v>
      </c>
      <c r="AB459" s="242">
        <v>34.200000000000003</v>
      </c>
      <c r="AC459" s="157" t="s">
        <v>252</v>
      </c>
      <c r="AD459" s="242">
        <v>21.2</v>
      </c>
      <c r="AE459" s="157" t="s">
        <v>252</v>
      </c>
      <c r="AF459" s="242">
        <v>43.19</v>
      </c>
      <c r="AG459" s="157" t="s">
        <v>252</v>
      </c>
      <c r="AH459" s="242">
        <v>44.05</v>
      </c>
      <c r="AI459" s="157" t="s">
        <v>252</v>
      </c>
      <c r="AJ459" s="242">
        <v>0</v>
      </c>
      <c r="AK459" s="242" t="s">
        <v>252</v>
      </c>
      <c r="AL459" s="242">
        <v>2.99</v>
      </c>
      <c r="AM459" s="242" t="s">
        <v>252</v>
      </c>
      <c r="AN459" s="242">
        <v>0</v>
      </c>
      <c r="AO459" s="242" t="s">
        <v>252</v>
      </c>
      <c r="AP459" s="242">
        <v>5.53</v>
      </c>
      <c r="AQ459" s="242" t="s">
        <v>252</v>
      </c>
      <c r="AR459" s="242">
        <v>31.07</v>
      </c>
      <c r="AS459" s="242" t="s">
        <v>252</v>
      </c>
      <c r="AT459" s="242">
        <v>29.5</v>
      </c>
      <c r="AU459" s="242" t="s">
        <v>252</v>
      </c>
      <c r="AV459" s="242">
        <v>35.9</v>
      </c>
      <c r="AW459" s="157" t="s">
        <v>252</v>
      </c>
      <c r="AX459" s="157">
        <v>849.01</v>
      </c>
      <c r="AY459" s="240">
        <v>0.15</v>
      </c>
      <c r="AZ459" s="156" t="s">
        <v>253</v>
      </c>
      <c r="BA459" s="156" t="s">
        <v>254</v>
      </c>
      <c r="BB459" s="156">
        <v>0</v>
      </c>
      <c r="BC459" s="156" t="s">
        <v>1423</v>
      </c>
      <c r="BD459" s="3"/>
    </row>
    <row r="460" spans="1:56" ht="15.75" hidden="1" customHeight="1" outlineLevel="1">
      <c r="A460" s="58">
        <v>450</v>
      </c>
      <c r="B460" s="11">
        <v>129450</v>
      </c>
      <c r="C460" s="89" t="s">
        <v>323</v>
      </c>
      <c r="D460" s="157">
        <v>13</v>
      </c>
      <c r="E460" s="12" t="s">
        <v>191</v>
      </c>
      <c r="F460" s="11" t="s">
        <v>246</v>
      </c>
      <c r="G460" s="18" t="s">
        <v>247</v>
      </c>
      <c r="H460" s="11" t="s">
        <v>248</v>
      </c>
      <c r="I460" s="87" t="s">
        <v>249</v>
      </c>
      <c r="J460" s="19" t="s">
        <v>139</v>
      </c>
      <c r="K460" s="17" t="s">
        <v>140</v>
      </c>
      <c r="L460" s="257">
        <v>0</v>
      </c>
      <c r="M460" s="70" t="s">
        <v>250</v>
      </c>
      <c r="N460" s="70">
        <v>100</v>
      </c>
      <c r="O460" s="258">
        <v>8</v>
      </c>
      <c r="P460" s="70" t="s">
        <v>251</v>
      </c>
      <c r="Q460" s="70" t="s">
        <v>233</v>
      </c>
      <c r="R460" s="70" t="s">
        <v>240</v>
      </c>
      <c r="S460" s="70" t="s">
        <v>233</v>
      </c>
      <c r="T460" s="70" t="s">
        <v>233</v>
      </c>
      <c r="U460" s="70" t="s">
        <v>1427</v>
      </c>
      <c r="V460" s="70" t="s">
        <v>240</v>
      </c>
      <c r="W460" s="12"/>
      <c r="X460" s="242">
        <v>271.86320326150263</v>
      </c>
      <c r="Y460" s="242">
        <v>274.59019219569018</v>
      </c>
      <c r="Z460" s="242">
        <v>42.49557755775578</v>
      </c>
      <c r="AA460" s="157" t="s">
        <v>252</v>
      </c>
      <c r="AB460" s="242">
        <v>34.211982139390415</v>
      </c>
      <c r="AC460" s="157" t="s">
        <v>252</v>
      </c>
      <c r="AD460" s="242">
        <v>44.320900795961954</v>
      </c>
      <c r="AE460" s="157" t="s">
        <v>252</v>
      </c>
      <c r="AF460" s="242">
        <v>29.197841195884294</v>
      </c>
      <c r="AG460" s="157" t="s">
        <v>252</v>
      </c>
      <c r="AH460" s="242">
        <v>10.563416812269462</v>
      </c>
      <c r="AI460" s="157" t="s">
        <v>252</v>
      </c>
      <c r="AJ460" s="242">
        <v>7.0960357212191809</v>
      </c>
      <c r="AK460" s="242" t="s">
        <v>259</v>
      </c>
      <c r="AL460" s="242">
        <v>11.083890506697729</v>
      </c>
      <c r="AM460" s="242" t="s">
        <v>259</v>
      </c>
      <c r="AN460" s="242">
        <v>5.175414482624733</v>
      </c>
      <c r="AO460" s="242" t="s">
        <v>259</v>
      </c>
      <c r="AP460" s="242">
        <v>8.4104370568821594</v>
      </c>
      <c r="AQ460" s="242" t="s">
        <v>259</v>
      </c>
      <c r="AR460" s="242">
        <v>38.610351388079991</v>
      </c>
      <c r="AS460" s="242" t="s">
        <v>259</v>
      </c>
      <c r="AT460" s="242">
        <v>27.636420112599499</v>
      </c>
      <c r="AU460" s="242" t="s">
        <v>259</v>
      </c>
      <c r="AV460" s="242">
        <v>34.925082415065035</v>
      </c>
      <c r="AW460" s="157" t="s">
        <v>259</v>
      </c>
      <c r="AX460" s="157">
        <v>840.18074564162293</v>
      </c>
      <c r="AY460" s="240">
        <v>0.10409473888565327</v>
      </c>
      <c r="AZ460" s="156" t="s">
        <v>253</v>
      </c>
      <c r="BA460" s="156" t="s">
        <v>254</v>
      </c>
      <c r="BB460" s="156">
        <v>0</v>
      </c>
      <c r="BC460" s="156" t="s">
        <v>1423</v>
      </c>
      <c r="BD460" s="3"/>
    </row>
    <row r="461" spans="1:56" ht="15.75" hidden="1" customHeight="1" outlineLevel="1">
      <c r="A461" s="58">
        <v>451</v>
      </c>
      <c r="B461" s="11">
        <v>129451</v>
      </c>
      <c r="C461" s="89" t="s">
        <v>323</v>
      </c>
      <c r="D461" s="157">
        <v>13</v>
      </c>
      <c r="E461" s="12" t="s">
        <v>231</v>
      </c>
      <c r="F461" s="11" t="s">
        <v>246</v>
      </c>
      <c r="G461" s="18" t="s">
        <v>247</v>
      </c>
      <c r="H461" s="11" t="s">
        <v>248</v>
      </c>
      <c r="I461" s="87" t="s">
        <v>249</v>
      </c>
      <c r="J461" s="19" t="s">
        <v>139</v>
      </c>
      <c r="K461" s="17" t="s">
        <v>140</v>
      </c>
      <c r="L461" s="257">
        <v>0</v>
      </c>
      <c r="M461" s="70" t="s">
        <v>250</v>
      </c>
      <c r="N461" s="70">
        <v>80</v>
      </c>
      <c r="O461" s="258">
        <v>8</v>
      </c>
      <c r="P461" s="70" t="s">
        <v>251</v>
      </c>
      <c r="Q461" s="70" t="s">
        <v>233</v>
      </c>
      <c r="R461" s="70" t="s">
        <v>240</v>
      </c>
      <c r="S461" s="70" t="s">
        <v>233</v>
      </c>
      <c r="T461" s="70" t="s">
        <v>233</v>
      </c>
      <c r="U461" s="70" t="s">
        <v>1427</v>
      </c>
      <c r="V461" s="70" t="s">
        <v>240</v>
      </c>
      <c r="W461" s="12"/>
      <c r="X461" s="242">
        <v>98.99679673849738</v>
      </c>
      <c r="Y461" s="242">
        <v>99.989807804309848</v>
      </c>
      <c r="Z461" s="242">
        <v>15.474422442244224</v>
      </c>
      <c r="AA461" s="157" t="s">
        <v>252</v>
      </c>
      <c r="AB461" s="242">
        <v>12.458017860609591</v>
      </c>
      <c r="AC461" s="157" t="s">
        <v>252</v>
      </c>
      <c r="AD461" s="242">
        <v>16.13909920403805</v>
      </c>
      <c r="AE461" s="157" t="s">
        <v>252</v>
      </c>
      <c r="AF461" s="242">
        <v>10.632158804115706</v>
      </c>
      <c r="AG461" s="157" t="s">
        <v>252</v>
      </c>
      <c r="AH461" s="242">
        <v>3.8465831877305381</v>
      </c>
      <c r="AI461" s="157" t="s">
        <v>252</v>
      </c>
      <c r="AJ461" s="242">
        <v>2.5839642787808192</v>
      </c>
      <c r="AK461" s="242" t="s">
        <v>259</v>
      </c>
      <c r="AL461" s="242">
        <v>4.0361094933022716</v>
      </c>
      <c r="AM461" s="242" t="s">
        <v>259</v>
      </c>
      <c r="AN461" s="242">
        <v>1.8845855173752668</v>
      </c>
      <c r="AO461" s="242" t="s">
        <v>259</v>
      </c>
      <c r="AP461" s="242">
        <v>3.0625929431178411</v>
      </c>
      <c r="AQ461" s="242" t="s">
        <v>259</v>
      </c>
      <c r="AR461" s="242">
        <v>14.059648611920016</v>
      </c>
      <c r="AS461" s="242" t="s">
        <v>259</v>
      </c>
      <c r="AT461" s="242">
        <v>10.063579887400506</v>
      </c>
      <c r="AU461" s="242" t="s">
        <v>259</v>
      </c>
      <c r="AV461" s="242">
        <v>12.717687584934964</v>
      </c>
      <c r="AW461" s="157" t="s">
        <v>259</v>
      </c>
      <c r="AX461" s="157">
        <v>305.94505435837709</v>
      </c>
      <c r="AY461" s="243">
        <v>3.7905261114346729E-2</v>
      </c>
      <c r="AZ461" s="156" t="s">
        <v>253</v>
      </c>
      <c r="BA461" s="156" t="s">
        <v>254</v>
      </c>
      <c r="BB461" s="156">
        <v>0</v>
      </c>
      <c r="BC461" s="156" t="s">
        <v>1423</v>
      </c>
      <c r="BD461" s="3"/>
    </row>
    <row r="462" spans="1:56" ht="15.75" hidden="1" customHeight="1" outlineLevel="1">
      <c r="A462" s="58">
        <v>452</v>
      </c>
      <c r="B462" s="11">
        <v>129452</v>
      </c>
      <c r="C462" s="89" t="s">
        <v>323</v>
      </c>
      <c r="D462" s="157">
        <v>15</v>
      </c>
      <c r="E462" s="12" t="s">
        <v>191</v>
      </c>
      <c r="F462" s="11" t="s">
        <v>246</v>
      </c>
      <c r="G462" s="18" t="s">
        <v>247</v>
      </c>
      <c r="H462" s="11" t="s">
        <v>248</v>
      </c>
      <c r="I462" s="87" t="s">
        <v>249</v>
      </c>
      <c r="J462" s="19" t="s">
        <v>139</v>
      </c>
      <c r="K462" s="17" t="s">
        <v>140</v>
      </c>
      <c r="L462" s="257">
        <v>0</v>
      </c>
      <c r="M462" s="70" t="s">
        <v>250</v>
      </c>
      <c r="N462" s="70">
        <v>80</v>
      </c>
      <c r="O462" s="258">
        <v>8</v>
      </c>
      <c r="P462" s="70" t="s">
        <v>251</v>
      </c>
      <c r="Q462" s="70" t="s">
        <v>233</v>
      </c>
      <c r="R462" s="70" t="s">
        <v>240</v>
      </c>
      <c r="S462" s="70" t="s">
        <v>233</v>
      </c>
      <c r="T462" s="70" t="s">
        <v>233</v>
      </c>
      <c r="U462" s="70" t="s">
        <v>1427</v>
      </c>
      <c r="V462" s="70" t="s">
        <v>240</v>
      </c>
      <c r="W462" s="12"/>
      <c r="X462" s="242">
        <v>217.07801183431957</v>
      </c>
      <c r="Y462" s="242">
        <v>202.29439053254438</v>
      </c>
      <c r="Z462" s="242">
        <v>20.186414201183432</v>
      </c>
      <c r="AA462" s="157" t="s">
        <v>259</v>
      </c>
      <c r="AB462" s="242">
        <v>20.60960946745562</v>
      </c>
      <c r="AC462" s="157" t="s">
        <v>259</v>
      </c>
      <c r="AD462" s="242">
        <v>20.764781065088759</v>
      </c>
      <c r="AE462" s="157" t="s">
        <v>259</v>
      </c>
      <c r="AF462" s="242">
        <v>20.362745562130179</v>
      </c>
      <c r="AG462" s="157" t="s">
        <v>259</v>
      </c>
      <c r="AH462" s="242">
        <v>20.694248520710058</v>
      </c>
      <c r="AI462" s="157" t="s">
        <v>259</v>
      </c>
      <c r="AJ462" s="242">
        <v>5.9388402366863904</v>
      </c>
      <c r="AK462" s="242" t="s">
        <v>259</v>
      </c>
      <c r="AL462" s="242">
        <v>5.8189349112426036</v>
      </c>
      <c r="AM462" s="242" t="s">
        <v>259</v>
      </c>
      <c r="AN462" s="242">
        <v>1.7562603550295859</v>
      </c>
      <c r="AO462" s="242" t="s">
        <v>259</v>
      </c>
      <c r="AP462" s="242">
        <v>7.9077844260355024</v>
      </c>
      <c r="AQ462" s="242" t="s">
        <v>259</v>
      </c>
      <c r="AR462" s="242">
        <v>21.618224852071005</v>
      </c>
      <c r="AS462" s="242" t="s">
        <v>259</v>
      </c>
      <c r="AT462" s="242">
        <v>21.759289940828403</v>
      </c>
      <c r="AU462" s="242" t="s">
        <v>259</v>
      </c>
      <c r="AV462" s="242">
        <v>21.716970414201182</v>
      </c>
      <c r="AW462" s="157" t="s">
        <v>259</v>
      </c>
      <c r="AX462" s="157">
        <v>608.50650631952658</v>
      </c>
      <c r="AY462" s="240">
        <v>8.7460355029585796E-2</v>
      </c>
      <c r="AZ462" s="156" t="s">
        <v>253</v>
      </c>
      <c r="BA462" s="156" t="s">
        <v>254</v>
      </c>
      <c r="BB462" s="157">
        <v>1</v>
      </c>
      <c r="BC462" s="156" t="s">
        <v>1423</v>
      </c>
      <c r="BD462" s="3"/>
    </row>
    <row r="463" spans="1:56" ht="15.75" hidden="1" customHeight="1" outlineLevel="1">
      <c r="A463" s="58">
        <v>453</v>
      </c>
      <c r="B463" s="11">
        <v>129453</v>
      </c>
      <c r="C463" s="89" t="s">
        <v>323</v>
      </c>
      <c r="D463" s="157">
        <v>15</v>
      </c>
      <c r="E463" s="12" t="s">
        <v>231</v>
      </c>
      <c r="F463" s="11" t="s">
        <v>246</v>
      </c>
      <c r="G463" s="18" t="s">
        <v>247</v>
      </c>
      <c r="H463" s="11" t="s">
        <v>248</v>
      </c>
      <c r="I463" s="87" t="s">
        <v>249</v>
      </c>
      <c r="J463" s="19" t="s">
        <v>139</v>
      </c>
      <c r="K463" s="17" t="s">
        <v>140</v>
      </c>
      <c r="L463" s="257">
        <v>0</v>
      </c>
      <c r="M463" s="70" t="s">
        <v>250</v>
      </c>
      <c r="N463" s="70">
        <v>100</v>
      </c>
      <c r="O463" s="258">
        <v>8</v>
      </c>
      <c r="P463" s="70" t="s">
        <v>251</v>
      </c>
      <c r="Q463" s="70" t="s">
        <v>233</v>
      </c>
      <c r="R463" s="70" t="s">
        <v>240</v>
      </c>
      <c r="S463" s="70" t="s">
        <v>233</v>
      </c>
      <c r="T463" s="70" t="s">
        <v>233</v>
      </c>
      <c r="U463" s="70" t="s">
        <v>1427</v>
      </c>
      <c r="V463" s="70" t="s">
        <v>240</v>
      </c>
      <c r="W463" s="12"/>
      <c r="X463" s="242">
        <v>90.691988165680485</v>
      </c>
      <c r="Y463" s="242">
        <v>84.515609467455619</v>
      </c>
      <c r="Z463" s="242">
        <v>8.4335857988165674</v>
      </c>
      <c r="AA463" s="157" t="s">
        <v>259</v>
      </c>
      <c r="AB463" s="242">
        <v>8.610390532544379</v>
      </c>
      <c r="AC463" s="157" t="s">
        <v>259</v>
      </c>
      <c r="AD463" s="242">
        <v>8.6752189349112427</v>
      </c>
      <c r="AE463" s="157" t="s">
        <v>259</v>
      </c>
      <c r="AF463" s="242">
        <v>8.5072544378698218</v>
      </c>
      <c r="AG463" s="157" t="s">
        <v>259</v>
      </c>
      <c r="AH463" s="242">
        <v>8.6457514792899399</v>
      </c>
      <c r="AI463" s="157" t="s">
        <v>259</v>
      </c>
      <c r="AJ463" s="242">
        <v>2.4811597633136095</v>
      </c>
      <c r="AK463" s="242" t="s">
        <v>259</v>
      </c>
      <c r="AL463" s="242">
        <v>2.4310650887573964</v>
      </c>
      <c r="AM463" s="242" t="s">
        <v>259</v>
      </c>
      <c r="AN463" s="242">
        <v>0.73373964497041422</v>
      </c>
      <c r="AO463" s="242" t="s">
        <v>259</v>
      </c>
      <c r="AP463" s="242">
        <v>3.3037555739644966</v>
      </c>
      <c r="AQ463" s="242" t="s">
        <v>259</v>
      </c>
      <c r="AR463" s="242">
        <v>9.0317751479289932</v>
      </c>
      <c r="AS463" s="242" t="s">
        <v>259</v>
      </c>
      <c r="AT463" s="242">
        <v>9.090710059171597</v>
      </c>
      <c r="AU463" s="242" t="s">
        <v>259</v>
      </c>
      <c r="AV463" s="242">
        <v>9.0730295857988157</v>
      </c>
      <c r="AW463" s="157" t="s">
        <v>259</v>
      </c>
      <c r="AX463" s="157">
        <v>254.22503368047342</v>
      </c>
      <c r="AY463" s="243">
        <v>3.6539644970414203E-2</v>
      </c>
      <c r="AZ463" s="156" t="s">
        <v>253</v>
      </c>
      <c r="BA463" s="156" t="s">
        <v>254</v>
      </c>
      <c r="BB463" s="156">
        <v>0</v>
      </c>
      <c r="BC463" s="156" t="s">
        <v>1423</v>
      </c>
      <c r="BD463" s="3"/>
    </row>
    <row r="464" spans="1:56" ht="15.75" hidden="1" customHeight="1" outlineLevel="1">
      <c r="A464" s="58">
        <v>454</v>
      </c>
      <c r="B464" s="11">
        <v>129454</v>
      </c>
      <c r="C464" s="89" t="s">
        <v>323</v>
      </c>
      <c r="D464" s="157">
        <v>16</v>
      </c>
      <c r="E464" s="12" t="s">
        <v>191</v>
      </c>
      <c r="F464" s="11" t="s">
        <v>246</v>
      </c>
      <c r="G464" s="18" t="s">
        <v>247</v>
      </c>
      <c r="H464" s="11" t="s">
        <v>248</v>
      </c>
      <c r="I464" s="87" t="s">
        <v>249</v>
      </c>
      <c r="J464" s="19" t="s">
        <v>139</v>
      </c>
      <c r="K464" s="17" t="s">
        <v>140</v>
      </c>
      <c r="L464" s="257">
        <v>0</v>
      </c>
      <c r="M464" s="70" t="s">
        <v>250</v>
      </c>
      <c r="N464" s="70">
        <v>80</v>
      </c>
      <c r="O464" s="258">
        <v>8</v>
      </c>
      <c r="P464" s="70" t="s">
        <v>251</v>
      </c>
      <c r="Q464" s="70" t="s">
        <v>240</v>
      </c>
      <c r="R464" s="70" t="s">
        <v>240</v>
      </c>
      <c r="S464" s="70" t="s">
        <v>233</v>
      </c>
      <c r="T464" s="70" t="s">
        <v>233</v>
      </c>
      <c r="U464" s="70" t="s">
        <v>1427</v>
      </c>
      <c r="V464" s="70" t="s">
        <v>240</v>
      </c>
      <c r="W464" s="12"/>
      <c r="X464" s="242">
        <v>179.64713953349641</v>
      </c>
      <c r="Y464" s="242">
        <v>203.31206824554076</v>
      </c>
      <c r="Z464" s="242">
        <v>43.52089721410249</v>
      </c>
      <c r="AA464" s="157" t="s">
        <v>252</v>
      </c>
      <c r="AB464" s="242">
        <v>24.731790252341469</v>
      </c>
      <c r="AC464" s="157" t="s">
        <v>252</v>
      </c>
      <c r="AD464" s="242">
        <v>32.667124023146215</v>
      </c>
      <c r="AE464" s="157" t="s">
        <v>252</v>
      </c>
      <c r="AF464" s="242">
        <v>17.797190240410426</v>
      </c>
      <c r="AG464" s="157" t="s">
        <v>252</v>
      </c>
      <c r="AH464" s="242">
        <v>18.405565829505459</v>
      </c>
      <c r="AI464" s="157" t="s">
        <v>252</v>
      </c>
      <c r="AJ464" s="242">
        <v>2.0587782616476766</v>
      </c>
      <c r="AK464" s="242" t="s">
        <v>252</v>
      </c>
      <c r="AL464" s="242">
        <v>0</v>
      </c>
      <c r="AM464" s="242" t="s">
        <v>252</v>
      </c>
      <c r="AN464" s="242">
        <v>0</v>
      </c>
      <c r="AO464" s="242" t="s">
        <v>252</v>
      </c>
      <c r="AP464" s="242">
        <v>0</v>
      </c>
      <c r="AQ464" s="242" t="s">
        <v>252</v>
      </c>
      <c r="AR464" s="242">
        <v>20.014675177474199</v>
      </c>
      <c r="AS464" s="242" t="s">
        <v>252</v>
      </c>
      <c r="AT464" s="242">
        <v>22.174849370637713</v>
      </c>
      <c r="AU464" s="242" t="s">
        <v>252</v>
      </c>
      <c r="AV464" s="242">
        <v>21.469486368788406</v>
      </c>
      <c r="AW464" s="157" t="s">
        <v>252</v>
      </c>
      <c r="AX464" s="157">
        <v>585.79956451709108</v>
      </c>
      <c r="AY464" s="240">
        <v>6.6127781423372903E-2</v>
      </c>
      <c r="AZ464" s="156" t="s">
        <v>253</v>
      </c>
      <c r="BA464" s="156" t="s">
        <v>254</v>
      </c>
      <c r="BB464" s="156">
        <v>0</v>
      </c>
      <c r="BC464" s="156" t="s">
        <v>1423</v>
      </c>
      <c r="BD464" s="3"/>
    </row>
    <row r="465" spans="1:56" ht="15.75" hidden="1" customHeight="1" outlineLevel="1">
      <c r="A465" s="58">
        <v>455</v>
      </c>
      <c r="B465" s="11">
        <v>129455</v>
      </c>
      <c r="C465" s="89" t="s">
        <v>323</v>
      </c>
      <c r="D465" s="157">
        <v>16</v>
      </c>
      <c r="E465" s="12" t="s">
        <v>231</v>
      </c>
      <c r="F465" s="11" t="s">
        <v>246</v>
      </c>
      <c r="G465" s="18" t="s">
        <v>247</v>
      </c>
      <c r="H465" s="11" t="s">
        <v>248</v>
      </c>
      <c r="I465" s="87" t="s">
        <v>249</v>
      </c>
      <c r="J465" s="19" t="s">
        <v>139</v>
      </c>
      <c r="K465" s="17" t="s">
        <v>140</v>
      </c>
      <c r="L465" s="257">
        <v>0</v>
      </c>
      <c r="M465" s="70" t="s">
        <v>250</v>
      </c>
      <c r="N465" s="70">
        <v>100</v>
      </c>
      <c r="O465" s="258">
        <v>8</v>
      </c>
      <c r="P465" s="70" t="s">
        <v>251</v>
      </c>
      <c r="Q465" s="70" t="s">
        <v>240</v>
      </c>
      <c r="R465" s="70" t="s">
        <v>240</v>
      </c>
      <c r="S465" s="70" t="s">
        <v>233</v>
      </c>
      <c r="T465" s="70" t="s">
        <v>233</v>
      </c>
      <c r="U465" s="70" t="s">
        <v>1427</v>
      </c>
      <c r="V465" s="70" t="s">
        <v>240</v>
      </c>
      <c r="W465" s="12"/>
      <c r="X465" s="242">
        <v>227.85286046650361</v>
      </c>
      <c r="Y465" s="242">
        <v>257.86793175445922</v>
      </c>
      <c r="Z465" s="242">
        <v>55.199102785897516</v>
      </c>
      <c r="AA465" s="157" t="s">
        <v>252</v>
      </c>
      <c r="AB465" s="242">
        <v>31.368209747658536</v>
      </c>
      <c r="AC465" s="157" t="s">
        <v>252</v>
      </c>
      <c r="AD465" s="242">
        <v>41.432875976853786</v>
      </c>
      <c r="AE465" s="157" t="s">
        <v>252</v>
      </c>
      <c r="AF465" s="242">
        <v>22.572809759589571</v>
      </c>
      <c r="AG465" s="157" t="s">
        <v>252</v>
      </c>
      <c r="AH465" s="242">
        <v>23.344434170494544</v>
      </c>
      <c r="AI465" s="157" t="s">
        <v>252</v>
      </c>
      <c r="AJ465" s="242">
        <v>2.6112217383523237</v>
      </c>
      <c r="AK465" s="242" t="s">
        <v>252</v>
      </c>
      <c r="AL465" s="242">
        <v>0</v>
      </c>
      <c r="AM465" s="242" t="s">
        <v>252</v>
      </c>
      <c r="AN465" s="242">
        <v>0</v>
      </c>
      <c r="AO465" s="242" t="s">
        <v>252</v>
      </c>
      <c r="AP465" s="242">
        <v>0</v>
      </c>
      <c r="AQ465" s="242" t="s">
        <v>252</v>
      </c>
      <c r="AR465" s="242">
        <v>25.385324822525803</v>
      </c>
      <c r="AS465" s="242" t="s">
        <v>252</v>
      </c>
      <c r="AT465" s="242">
        <v>28.125150629362285</v>
      </c>
      <c r="AU465" s="242" t="s">
        <v>252</v>
      </c>
      <c r="AV465" s="242">
        <v>27.230513631211601</v>
      </c>
      <c r="AW465" s="157" t="s">
        <v>252</v>
      </c>
      <c r="AX465" s="157">
        <v>742.99043548290877</v>
      </c>
      <c r="AY465" s="243">
        <v>8.3872218576627092E-2</v>
      </c>
      <c r="AZ465" s="156" t="s">
        <v>253</v>
      </c>
      <c r="BA465" s="156" t="s">
        <v>254</v>
      </c>
      <c r="BB465" s="156">
        <v>0</v>
      </c>
      <c r="BC465" s="156" t="s">
        <v>1423</v>
      </c>
      <c r="BD465" s="3"/>
    </row>
    <row r="466" spans="1:56" ht="15.75" hidden="1" customHeight="1" outlineLevel="1">
      <c r="A466" s="58">
        <v>456</v>
      </c>
      <c r="B466" s="11">
        <v>129456</v>
      </c>
      <c r="C466" s="89" t="s">
        <v>323</v>
      </c>
      <c r="D466" s="157">
        <v>17</v>
      </c>
      <c r="E466" s="12" t="s">
        <v>191</v>
      </c>
      <c r="F466" s="11" t="s">
        <v>246</v>
      </c>
      <c r="G466" s="18" t="s">
        <v>247</v>
      </c>
      <c r="H466" s="11" t="s">
        <v>248</v>
      </c>
      <c r="I466" s="87" t="s">
        <v>249</v>
      </c>
      <c r="J466" s="19" t="s">
        <v>139</v>
      </c>
      <c r="K466" s="17" t="s">
        <v>140</v>
      </c>
      <c r="L466" s="260">
        <v>1</v>
      </c>
      <c r="M466" s="70" t="s">
        <v>250</v>
      </c>
      <c r="N466" s="70">
        <v>100</v>
      </c>
      <c r="O466" s="258">
        <v>8</v>
      </c>
      <c r="P466" s="70" t="s">
        <v>251</v>
      </c>
      <c r="Q466" s="70" t="s">
        <v>233</v>
      </c>
      <c r="R466" s="70" t="s">
        <v>240</v>
      </c>
      <c r="S466" s="70" t="s">
        <v>233</v>
      </c>
      <c r="T466" s="70" t="s">
        <v>233</v>
      </c>
      <c r="U466" s="70" t="s">
        <v>1427</v>
      </c>
      <c r="V466" s="70" t="s">
        <v>240</v>
      </c>
      <c r="W466" s="12"/>
      <c r="X466" s="242">
        <v>215.62999999999997</v>
      </c>
      <c r="Y466" s="242">
        <v>199.80999999999997</v>
      </c>
      <c r="Z466" s="242">
        <v>21.84</v>
      </c>
      <c r="AA466" s="157" t="s">
        <v>259</v>
      </c>
      <c r="AB466" s="242">
        <v>21.57</v>
      </c>
      <c r="AC466" s="157" t="s">
        <v>259</v>
      </c>
      <c r="AD466" s="242">
        <v>21.72</v>
      </c>
      <c r="AE466" s="157" t="s">
        <v>259</v>
      </c>
      <c r="AF466" s="242">
        <v>21.79</v>
      </c>
      <c r="AG466" s="157" t="s">
        <v>259</v>
      </c>
      <c r="AH466" s="242">
        <v>21.49</v>
      </c>
      <c r="AI466" s="157" t="s">
        <v>259</v>
      </c>
      <c r="AJ466" s="242">
        <v>3.8933</v>
      </c>
      <c r="AK466" s="242" t="s">
        <v>259</v>
      </c>
      <c r="AL466" s="242">
        <v>3.8933</v>
      </c>
      <c r="AM466" s="242" t="s">
        <v>259</v>
      </c>
      <c r="AN466" s="242">
        <v>3.8933</v>
      </c>
      <c r="AO466" s="242" t="s">
        <v>259</v>
      </c>
      <c r="AP466" s="242">
        <v>7.5888999999999998</v>
      </c>
      <c r="AQ466" s="242" t="s">
        <v>259</v>
      </c>
      <c r="AR466" s="242">
        <v>20.49</v>
      </c>
      <c r="AS466" s="242" t="s">
        <v>259</v>
      </c>
      <c r="AT466" s="242">
        <v>20.41</v>
      </c>
      <c r="AU466" s="242" t="s">
        <v>259</v>
      </c>
      <c r="AV466" s="242">
        <v>20.260000000000002</v>
      </c>
      <c r="AW466" s="157" t="s">
        <v>259</v>
      </c>
      <c r="AX466" s="157">
        <v>604.27879999999971</v>
      </c>
      <c r="AY466" s="240">
        <v>8.5000000000000006E-2</v>
      </c>
      <c r="AZ466" s="156" t="s">
        <v>253</v>
      </c>
      <c r="BA466" s="156" t="s">
        <v>254</v>
      </c>
      <c r="BB466" s="156">
        <v>1</v>
      </c>
      <c r="BC466" s="156" t="s">
        <v>1423</v>
      </c>
      <c r="BD466" s="3"/>
    </row>
    <row r="467" spans="1:56" ht="15.75" hidden="1" customHeight="1" outlineLevel="1">
      <c r="A467" s="58">
        <v>457</v>
      </c>
      <c r="B467" s="11">
        <v>129457</v>
      </c>
      <c r="C467" s="89" t="s">
        <v>323</v>
      </c>
      <c r="D467" s="157" t="s">
        <v>324</v>
      </c>
      <c r="E467" s="12" t="s">
        <v>191</v>
      </c>
      <c r="F467" s="11" t="s">
        <v>246</v>
      </c>
      <c r="G467" s="18" t="s">
        <v>247</v>
      </c>
      <c r="H467" s="11" t="s">
        <v>248</v>
      </c>
      <c r="I467" s="87" t="s">
        <v>249</v>
      </c>
      <c r="J467" s="19" t="s">
        <v>139</v>
      </c>
      <c r="K467" s="17" t="s">
        <v>140</v>
      </c>
      <c r="L467" s="260">
        <v>1</v>
      </c>
      <c r="M467" s="70" t="s">
        <v>250</v>
      </c>
      <c r="N467" s="70">
        <v>100</v>
      </c>
      <c r="O467" s="258">
        <v>8</v>
      </c>
      <c r="P467" s="70" t="s">
        <v>251</v>
      </c>
      <c r="Q467" s="70" t="s">
        <v>233</v>
      </c>
      <c r="R467" s="70" t="s">
        <v>240</v>
      </c>
      <c r="S467" s="70" t="s">
        <v>233</v>
      </c>
      <c r="T467" s="70" t="s">
        <v>233</v>
      </c>
      <c r="U467" s="70" t="s">
        <v>1427</v>
      </c>
      <c r="V467" s="70" t="s">
        <v>240</v>
      </c>
      <c r="W467" s="12"/>
      <c r="X467" s="242">
        <v>483.49413015184388</v>
      </c>
      <c r="Y467" s="242">
        <v>462.34470281995658</v>
      </c>
      <c r="Z467" s="242">
        <v>67.813609544468548</v>
      </c>
      <c r="AA467" s="157" t="s">
        <v>252</v>
      </c>
      <c r="AB467" s="242">
        <v>53.743223427331884</v>
      </c>
      <c r="AC467" s="157" t="s">
        <v>252</v>
      </c>
      <c r="AD467" s="242">
        <v>44.803071583514097</v>
      </c>
      <c r="AE467" s="157" t="s">
        <v>252</v>
      </c>
      <c r="AF467" s="242">
        <v>72.027904555314535</v>
      </c>
      <c r="AG467" s="157" t="s">
        <v>252</v>
      </c>
      <c r="AH467" s="242">
        <v>56.861314533622554</v>
      </c>
      <c r="AI467" s="157" t="s">
        <v>259</v>
      </c>
      <c r="AJ467" s="242">
        <v>14.00217787418655</v>
      </c>
      <c r="AK467" s="242" t="s">
        <v>259</v>
      </c>
      <c r="AL467" s="242">
        <v>15.015557483731019</v>
      </c>
      <c r="AM467" s="242" t="s">
        <v>259</v>
      </c>
      <c r="AN467" s="242">
        <v>5.2276746203904558</v>
      </c>
      <c r="AO467" s="242" t="s">
        <v>259</v>
      </c>
      <c r="AP467" s="242">
        <v>13.187172195227765</v>
      </c>
      <c r="AQ467" s="242" t="s">
        <v>259</v>
      </c>
      <c r="AR467" s="242">
        <v>60.539687635574836</v>
      </c>
      <c r="AS467" s="242" t="s">
        <v>259</v>
      </c>
      <c r="AT467" s="242">
        <v>61.236386117136654</v>
      </c>
      <c r="AU467" s="242" t="s">
        <v>259</v>
      </c>
      <c r="AV467" s="242">
        <v>63.073575140997832</v>
      </c>
      <c r="AW467" s="157" t="s">
        <v>259</v>
      </c>
      <c r="AX467" s="157">
        <v>1473.3701876832974</v>
      </c>
      <c r="AY467" s="240">
        <v>0.19488069414316703</v>
      </c>
      <c r="AZ467" s="156" t="s">
        <v>253</v>
      </c>
      <c r="BA467" s="156" t="s">
        <v>254</v>
      </c>
      <c r="BB467" s="156">
        <v>1</v>
      </c>
      <c r="BC467" s="156" t="s">
        <v>1423</v>
      </c>
      <c r="BD467" s="3"/>
    </row>
    <row r="468" spans="1:56" ht="15.75" hidden="1" customHeight="1" outlineLevel="1">
      <c r="A468" s="58">
        <v>458</v>
      </c>
      <c r="B468" s="11">
        <v>129458</v>
      </c>
      <c r="C468" s="89" t="s">
        <v>323</v>
      </c>
      <c r="D468" s="157" t="s">
        <v>324</v>
      </c>
      <c r="E468" s="12" t="s">
        <v>231</v>
      </c>
      <c r="F468" s="11" t="s">
        <v>246</v>
      </c>
      <c r="G468" s="18" t="s">
        <v>247</v>
      </c>
      <c r="H468" s="11" t="s">
        <v>248</v>
      </c>
      <c r="I468" s="87" t="s">
        <v>249</v>
      </c>
      <c r="J468" s="19" t="s">
        <v>139</v>
      </c>
      <c r="K468" s="17" t="s">
        <v>140</v>
      </c>
      <c r="L468" s="257">
        <v>0</v>
      </c>
      <c r="M468" s="70" t="s">
        <v>250</v>
      </c>
      <c r="N468" s="70">
        <v>100</v>
      </c>
      <c r="O468" s="258">
        <v>8</v>
      </c>
      <c r="P468" s="70" t="s">
        <v>251</v>
      </c>
      <c r="Q468" s="70" t="s">
        <v>233</v>
      </c>
      <c r="R468" s="70" t="s">
        <v>240</v>
      </c>
      <c r="S468" s="70" t="s">
        <v>233</v>
      </c>
      <c r="T468" s="70" t="s">
        <v>233</v>
      </c>
      <c r="U468" s="70" t="s">
        <v>1427</v>
      </c>
      <c r="V468" s="70" t="s">
        <v>240</v>
      </c>
      <c r="W468" s="12"/>
      <c r="X468" s="242">
        <v>508.89586984815622</v>
      </c>
      <c r="Y468" s="242">
        <v>486.63529718004344</v>
      </c>
      <c r="Z468" s="242">
        <v>71.37639045553145</v>
      </c>
      <c r="AA468" s="157" t="s">
        <v>252</v>
      </c>
      <c r="AB468" s="242">
        <v>56.566776572668118</v>
      </c>
      <c r="AC468" s="157" t="s">
        <v>252</v>
      </c>
      <c r="AD468" s="242">
        <v>47.156928416485897</v>
      </c>
      <c r="AE468" s="157" t="s">
        <v>252</v>
      </c>
      <c r="AF468" s="242">
        <v>75.812095444685468</v>
      </c>
      <c r="AG468" s="157" t="s">
        <v>252</v>
      </c>
      <c r="AH468" s="242">
        <v>59.848685466377439</v>
      </c>
      <c r="AI468" s="157" t="s">
        <v>259</v>
      </c>
      <c r="AJ468" s="242">
        <v>14.737822125813448</v>
      </c>
      <c r="AK468" s="242" t="s">
        <v>259</v>
      </c>
      <c r="AL468" s="242">
        <v>15.804442516268981</v>
      </c>
      <c r="AM468" s="242" t="s">
        <v>259</v>
      </c>
      <c r="AN468" s="242">
        <v>5.5023253796095446</v>
      </c>
      <c r="AO468" s="242" t="s">
        <v>259</v>
      </c>
      <c r="AP468" s="242">
        <v>13.879997804772236</v>
      </c>
      <c r="AQ468" s="242" t="s">
        <v>259</v>
      </c>
      <c r="AR468" s="242">
        <v>63.720312364425169</v>
      </c>
      <c r="AS468" s="242" t="s">
        <v>259</v>
      </c>
      <c r="AT468" s="242">
        <v>64.453613882863337</v>
      </c>
      <c r="AU468" s="242" t="s">
        <v>259</v>
      </c>
      <c r="AV468" s="242">
        <v>66.387324859002177</v>
      </c>
      <c r="AW468" s="157" t="s">
        <v>259</v>
      </c>
      <c r="AX468" s="157">
        <v>1550.7778823167027</v>
      </c>
      <c r="AY468" s="243">
        <v>0.205119305856833</v>
      </c>
      <c r="AZ468" s="156" t="s">
        <v>253</v>
      </c>
      <c r="BA468" s="156" t="s">
        <v>254</v>
      </c>
      <c r="BB468" s="156">
        <v>0</v>
      </c>
      <c r="BC468" s="156" t="s">
        <v>1423</v>
      </c>
      <c r="BD468" s="3"/>
    </row>
    <row r="469" spans="1:56" ht="15.75" hidden="1" customHeight="1" outlineLevel="1">
      <c r="A469" s="58">
        <v>459</v>
      </c>
      <c r="B469" s="11">
        <v>129459</v>
      </c>
      <c r="C469" s="89" t="s">
        <v>323</v>
      </c>
      <c r="D469" s="157">
        <v>3</v>
      </c>
      <c r="E469" s="12" t="s">
        <v>261</v>
      </c>
      <c r="F469" s="11" t="s">
        <v>246</v>
      </c>
      <c r="G469" s="18" t="s">
        <v>247</v>
      </c>
      <c r="H469" s="11" t="s">
        <v>248</v>
      </c>
      <c r="I469" s="87" t="s">
        <v>249</v>
      </c>
      <c r="J469" s="19" t="s">
        <v>139</v>
      </c>
      <c r="K469" s="17" t="s">
        <v>140</v>
      </c>
      <c r="L469" s="257">
        <v>0</v>
      </c>
      <c r="M469" s="70" t="s">
        <v>250</v>
      </c>
      <c r="N469" s="70">
        <v>100</v>
      </c>
      <c r="O469" s="258">
        <v>8</v>
      </c>
      <c r="P469" s="70" t="s">
        <v>251</v>
      </c>
      <c r="Q469" s="70" t="s">
        <v>233</v>
      </c>
      <c r="R469" s="70" t="s">
        <v>240</v>
      </c>
      <c r="S469" s="70" t="s">
        <v>233</v>
      </c>
      <c r="T469" s="70" t="s">
        <v>233</v>
      </c>
      <c r="U469" s="70" t="s">
        <v>1427</v>
      </c>
      <c r="V469" s="70" t="s">
        <v>240</v>
      </c>
      <c r="W469" s="12"/>
      <c r="X469" s="242">
        <v>302.43</v>
      </c>
      <c r="Y469" s="242">
        <v>248.57</v>
      </c>
      <c r="Z469" s="242">
        <v>40.15</v>
      </c>
      <c r="AA469" s="157" t="s">
        <v>252</v>
      </c>
      <c r="AB469" s="242">
        <v>28.25</v>
      </c>
      <c r="AC469" s="157" t="s">
        <v>252</v>
      </c>
      <c r="AD469" s="242">
        <v>42.06</v>
      </c>
      <c r="AE469" s="157" t="s">
        <v>252</v>
      </c>
      <c r="AF469" s="242">
        <v>21.83</v>
      </c>
      <c r="AG469" s="157" t="s">
        <v>252</v>
      </c>
      <c r="AH469" s="242">
        <v>9.14</v>
      </c>
      <c r="AI469" s="157" t="s">
        <v>252</v>
      </c>
      <c r="AJ469" s="242">
        <v>4.88</v>
      </c>
      <c r="AK469" s="242" t="s">
        <v>252</v>
      </c>
      <c r="AL469" s="242">
        <v>1.96</v>
      </c>
      <c r="AM469" s="242" t="s">
        <v>259</v>
      </c>
      <c r="AN469" s="242">
        <v>3.01</v>
      </c>
      <c r="AO469" s="242" t="s">
        <v>259</v>
      </c>
      <c r="AP469" s="242">
        <v>9.7619900000000008</v>
      </c>
      <c r="AQ469" s="242" t="s">
        <v>259</v>
      </c>
      <c r="AR469" s="242">
        <v>33.83</v>
      </c>
      <c r="AS469" s="242" t="s">
        <v>259</v>
      </c>
      <c r="AT469" s="242">
        <v>19.02</v>
      </c>
      <c r="AU469" s="242" t="s">
        <v>259</v>
      </c>
      <c r="AV469" s="242">
        <v>31.273399999999999</v>
      </c>
      <c r="AW469" s="157" t="s">
        <v>259</v>
      </c>
      <c r="AX469" s="157">
        <v>796.16539000000012</v>
      </c>
      <c r="AY469" s="240">
        <v>0.13</v>
      </c>
      <c r="AZ469" s="156" t="s">
        <v>253</v>
      </c>
      <c r="BA469" s="156" t="s">
        <v>254</v>
      </c>
      <c r="BB469" s="156">
        <v>0</v>
      </c>
      <c r="BC469" s="156" t="s">
        <v>1423</v>
      </c>
      <c r="BD469" s="3"/>
    </row>
    <row r="470" spans="1:56" ht="15.75" hidden="1" customHeight="1" outlineLevel="1">
      <c r="A470" s="58">
        <v>460</v>
      </c>
      <c r="B470" s="11">
        <v>129460</v>
      </c>
      <c r="C470" s="89" t="s">
        <v>323</v>
      </c>
      <c r="D470" s="157">
        <v>30</v>
      </c>
      <c r="E470" s="12" t="s">
        <v>191</v>
      </c>
      <c r="F470" s="11" t="s">
        <v>246</v>
      </c>
      <c r="G470" s="18" t="s">
        <v>247</v>
      </c>
      <c r="H470" s="11" t="s">
        <v>248</v>
      </c>
      <c r="I470" s="87" t="s">
        <v>249</v>
      </c>
      <c r="J470" s="19" t="s">
        <v>139</v>
      </c>
      <c r="K470" s="17" t="s">
        <v>140</v>
      </c>
      <c r="L470" s="257">
        <v>0</v>
      </c>
      <c r="M470" s="70" t="s">
        <v>250</v>
      </c>
      <c r="N470" s="70">
        <v>100</v>
      </c>
      <c r="O470" s="258">
        <v>8</v>
      </c>
      <c r="P470" s="70" t="s">
        <v>251</v>
      </c>
      <c r="Q470" s="70" t="s">
        <v>233</v>
      </c>
      <c r="R470" s="70" t="s">
        <v>240</v>
      </c>
      <c r="S470" s="70" t="s">
        <v>233</v>
      </c>
      <c r="T470" s="70" t="s">
        <v>233</v>
      </c>
      <c r="U470" s="70" t="s">
        <v>1427</v>
      </c>
      <c r="V470" s="70" t="s">
        <v>240</v>
      </c>
      <c r="W470" s="12"/>
      <c r="X470" s="242">
        <v>390.94342645573875</v>
      </c>
      <c r="Y470" s="242">
        <v>422.23354426119158</v>
      </c>
      <c r="Z470" s="242">
        <v>75.336037248962199</v>
      </c>
      <c r="AA470" s="157" t="s">
        <v>252</v>
      </c>
      <c r="AB470" s="242">
        <v>43.665470660832497</v>
      </c>
      <c r="AC470" s="157" t="s">
        <v>252</v>
      </c>
      <c r="AD470" s="242">
        <v>79.147703354650517</v>
      </c>
      <c r="AE470" s="157" t="s">
        <v>252</v>
      </c>
      <c r="AF470" s="242">
        <v>48.984575339391903</v>
      </c>
      <c r="AG470" s="157" t="s">
        <v>252</v>
      </c>
      <c r="AH470" s="242">
        <v>18.512781330640639</v>
      </c>
      <c r="AI470" s="157" t="s">
        <v>252</v>
      </c>
      <c r="AJ470" s="242">
        <v>7.0634264557388091</v>
      </c>
      <c r="AK470" s="242" t="s">
        <v>252</v>
      </c>
      <c r="AL470" s="242">
        <v>5.7139100190732641</v>
      </c>
      <c r="AM470" s="242" t="s">
        <v>252</v>
      </c>
      <c r="AN470" s="242">
        <v>5.678018624481096</v>
      </c>
      <c r="AO470" s="242" t="s">
        <v>252</v>
      </c>
      <c r="AP470" s="242">
        <v>8.7718568383260411</v>
      </c>
      <c r="AQ470" s="242" t="s">
        <v>252</v>
      </c>
      <c r="AR470" s="242">
        <v>38.016165152025138</v>
      </c>
      <c r="AS470" s="242" t="s">
        <v>252</v>
      </c>
      <c r="AT470" s="242">
        <v>39.516425445977788</v>
      </c>
      <c r="AU470" s="242" t="s">
        <v>252</v>
      </c>
      <c r="AV470" s="242">
        <v>50.929888926287454</v>
      </c>
      <c r="AW470" s="157" t="s">
        <v>252</v>
      </c>
      <c r="AX470" s="157">
        <v>1234.5132301133178</v>
      </c>
      <c r="AY470" s="245">
        <v>0.17945697296084373</v>
      </c>
      <c r="AZ470" s="156" t="s">
        <v>253</v>
      </c>
      <c r="BA470" s="156" t="s">
        <v>254</v>
      </c>
      <c r="BB470" s="156">
        <v>0</v>
      </c>
      <c r="BC470" s="156" t="s">
        <v>1423</v>
      </c>
      <c r="BD470" s="3"/>
    </row>
    <row r="471" spans="1:56" ht="15.75" hidden="1" customHeight="1" outlineLevel="1">
      <c r="A471" s="58">
        <v>461</v>
      </c>
      <c r="B471" s="11">
        <v>129461</v>
      </c>
      <c r="C471" s="89" t="s">
        <v>323</v>
      </c>
      <c r="D471" s="157">
        <v>30</v>
      </c>
      <c r="E471" s="12" t="s">
        <v>231</v>
      </c>
      <c r="F471" s="11" t="s">
        <v>246</v>
      </c>
      <c r="G471" s="18" t="s">
        <v>247</v>
      </c>
      <c r="H471" s="11" t="s">
        <v>248</v>
      </c>
      <c r="I471" s="87" t="s">
        <v>249</v>
      </c>
      <c r="J471" s="19" t="s">
        <v>139</v>
      </c>
      <c r="K471" s="17" t="s">
        <v>140</v>
      </c>
      <c r="L471" s="257">
        <v>0</v>
      </c>
      <c r="M471" s="70" t="s">
        <v>250</v>
      </c>
      <c r="N471" s="70">
        <v>80</v>
      </c>
      <c r="O471" s="258">
        <v>8</v>
      </c>
      <c r="P471" s="70" t="s">
        <v>251</v>
      </c>
      <c r="Q471" s="70" t="s">
        <v>233</v>
      </c>
      <c r="R471" s="70" t="s">
        <v>240</v>
      </c>
      <c r="S471" s="70" t="s">
        <v>233</v>
      </c>
      <c r="T471" s="70" t="s">
        <v>233</v>
      </c>
      <c r="U471" s="70" t="s">
        <v>1427</v>
      </c>
      <c r="V471" s="70" t="s">
        <v>240</v>
      </c>
      <c r="W471" s="12"/>
      <c r="X471" s="242">
        <v>153.67657354426117</v>
      </c>
      <c r="Y471" s="242">
        <v>165.97645573880851</v>
      </c>
      <c r="Z471" s="242">
        <v>29.613962751037814</v>
      </c>
      <c r="AA471" s="157" t="s">
        <v>252</v>
      </c>
      <c r="AB471" s="242">
        <v>17.164529339167508</v>
      </c>
      <c r="AC471" s="157" t="s">
        <v>252</v>
      </c>
      <c r="AD471" s="242">
        <v>31.112296645349495</v>
      </c>
      <c r="AE471" s="157" t="s">
        <v>252</v>
      </c>
      <c r="AF471" s="242">
        <v>19.255424660608103</v>
      </c>
      <c r="AG471" s="157" t="s">
        <v>252</v>
      </c>
      <c r="AH471" s="242">
        <v>7.277218669359363</v>
      </c>
      <c r="AI471" s="157" t="s">
        <v>252</v>
      </c>
      <c r="AJ471" s="242">
        <v>2.7765735442611916</v>
      </c>
      <c r="AK471" s="242" t="s">
        <v>252</v>
      </c>
      <c r="AL471" s="242">
        <v>2.2460899809267363</v>
      </c>
      <c r="AM471" s="242" t="s">
        <v>252</v>
      </c>
      <c r="AN471" s="242">
        <v>2.2319813755189051</v>
      </c>
      <c r="AO471" s="242" t="s">
        <v>252</v>
      </c>
      <c r="AP471" s="242">
        <v>3.44814316167396</v>
      </c>
      <c r="AQ471" s="242" t="s">
        <v>252</v>
      </c>
      <c r="AR471" s="242">
        <v>14.94383484797487</v>
      </c>
      <c r="AS471" s="242" t="s">
        <v>252</v>
      </c>
      <c r="AT471" s="242">
        <v>15.533574554022216</v>
      </c>
      <c r="AU471" s="242" t="s">
        <v>252</v>
      </c>
      <c r="AV471" s="242">
        <v>20.02011107371256</v>
      </c>
      <c r="AW471" s="157" t="s">
        <v>252</v>
      </c>
      <c r="AX471" s="157">
        <v>485.27676988668242</v>
      </c>
      <c r="AY471" s="245">
        <v>7.0543027039156297E-2</v>
      </c>
      <c r="AZ471" s="156" t="s">
        <v>253</v>
      </c>
      <c r="BA471" s="156" t="s">
        <v>254</v>
      </c>
      <c r="BB471" s="156">
        <v>0</v>
      </c>
      <c r="BC471" s="156" t="s">
        <v>1423</v>
      </c>
      <c r="BD471" s="3"/>
    </row>
    <row r="472" spans="1:56" ht="15.75" hidden="1" customHeight="1" outlineLevel="1">
      <c r="A472" s="58">
        <v>462</v>
      </c>
      <c r="B472" s="11">
        <v>129462</v>
      </c>
      <c r="C472" s="89" t="s">
        <v>323</v>
      </c>
      <c r="D472" s="157">
        <v>36</v>
      </c>
      <c r="E472" s="12" t="s">
        <v>191</v>
      </c>
      <c r="F472" s="11" t="s">
        <v>246</v>
      </c>
      <c r="G472" s="18" t="s">
        <v>247</v>
      </c>
      <c r="H472" s="11" t="s">
        <v>248</v>
      </c>
      <c r="I472" s="87" t="s">
        <v>249</v>
      </c>
      <c r="J472" s="19" t="s">
        <v>139</v>
      </c>
      <c r="K472" s="17" t="s">
        <v>140</v>
      </c>
      <c r="L472" s="260">
        <v>1</v>
      </c>
      <c r="M472" s="70" t="s">
        <v>250</v>
      </c>
      <c r="N472" s="70">
        <v>80</v>
      </c>
      <c r="O472" s="258">
        <v>8</v>
      </c>
      <c r="P472" s="70" t="s">
        <v>251</v>
      </c>
      <c r="Q472" s="70" t="s">
        <v>233</v>
      </c>
      <c r="R472" s="70" t="s">
        <v>240</v>
      </c>
      <c r="S472" s="70" t="s">
        <v>233</v>
      </c>
      <c r="T472" s="70" t="s">
        <v>233</v>
      </c>
      <c r="U472" s="70" t="s">
        <v>1427</v>
      </c>
      <c r="V472" s="70" t="s">
        <v>240</v>
      </c>
      <c r="W472" s="12"/>
      <c r="X472" s="242">
        <v>1527.7310234649526</v>
      </c>
      <c r="Y472" s="242">
        <v>1554.8682707317191</v>
      </c>
      <c r="Z472" s="242">
        <v>269.25192747469782</v>
      </c>
      <c r="AA472" s="157" t="s">
        <v>252</v>
      </c>
      <c r="AB472" s="242">
        <v>198.55037169969268</v>
      </c>
      <c r="AC472" s="157" t="s">
        <v>252</v>
      </c>
      <c r="AD472" s="242">
        <v>253.13291840652866</v>
      </c>
      <c r="AE472" s="157" t="s">
        <v>252</v>
      </c>
      <c r="AF472" s="242">
        <v>194.33077332584753</v>
      </c>
      <c r="AG472" s="157" t="s">
        <v>252</v>
      </c>
      <c r="AH472" s="242">
        <v>63.63068379710159</v>
      </c>
      <c r="AI472" s="157" t="s">
        <v>252</v>
      </c>
      <c r="AJ472" s="242">
        <v>40.089766553544301</v>
      </c>
      <c r="AK472" s="242" t="s">
        <v>252</v>
      </c>
      <c r="AL472" s="242">
        <v>26.757555053160825</v>
      </c>
      <c r="AM472" s="242" t="s">
        <v>252</v>
      </c>
      <c r="AN472" s="242">
        <v>28.011255758462873</v>
      </c>
      <c r="AO472" s="242" t="s">
        <v>252</v>
      </c>
      <c r="AP472" s="242">
        <v>34.530499426033515</v>
      </c>
      <c r="AQ472" s="242" t="s">
        <v>252</v>
      </c>
      <c r="AR472" s="242">
        <v>233.38175929499869</v>
      </c>
      <c r="AS472" s="242" t="s">
        <v>259</v>
      </c>
      <c r="AT472" s="242">
        <v>203.11382077498007</v>
      </c>
      <c r="AU472" s="242" t="s">
        <v>259</v>
      </c>
      <c r="AV472" s="242">
        <v>212.51240661439977</v>
      </c>
      <c r="AW472" s="157" t="s">
        <v>259</v>
      </c>
      <c r="AX472" s="157">
        <v>4839.8930323761197</v>
      </c>
      <c r="AY472" s="240">
        <v>0.57312032242379274</v>
      </c>
      <c r="AZ472" s="156" t="s">
        <v>253</v>
      </c>
      <c r="BA472" s="156" t="s">
        <v>254</v>
      </c>
      <c r="BB472" s="156">
        <v>1</v>
      </c>
      <c r="BC472" s="156" t="s">
        <v>1423</v>
      </c>
      <c r="BD472" s="3"/>
    </row>
    <row r="473" spans="1:56" ht="15.75" hidden="1" customHeight="1" outlineLevel="1">
      <c r="A473" s="58">
        <v>463</v>
      </c>
      <c r="B473" s="11">
        <v>129463</v>
      </c>
      <c r="C473" s="89" t="s">
        <v>323</v>
      </c>
      <c r="D473" s="157">
        <v>36</v>
      </c>
      <c r="E473" s="12" t="s">
        <v>231</v>
      </c>
      <c r="F473" s="11" t="s">
        <v>246</v>
      </c>
      <c r="G473" s="18" t="s">
        <v>247</v>
      </c>
      <c r="H473" s="11" t="s">
        <v>248</v>
      </c>
      <c r="I473" s="87" t="s">
        <v>249</v>
      </c>
      <c r="J473" s="19" t="s">
        <v>139</v>
      </c>
      <c r="K473" s="17" t="s">
        <v>140</v>
      </c>
      <c r="L473" s="257">
        <v>0</v>
      </c>
      <c r="M473" s="70" t="s">
        <v>250</v>
      </c>
      <c r="N473" s="70">
        <v>100</v>
      </c>
      <c r="O473" s="258">
        <v>8</v>
      </c>
      <c r="P473" s="70" t="s">
        <v>251</v>
      </c>
      <c r="Q473" s="70" t="s">
        <v>233</v>
      </c>
      <c r="R473" s="70" t="s">
        <v>240</v>
      </c>
      <c r="S473" s="70" t="s">
        <v>233</v>
      </c>
      <c r="T473" s="70" t="s">
        <v>233</v>
      </c>
      <c r="U473" s="70" t="s">
        <v>1427</v>
      </c>
      <c r="V473" s="70" t="s">
        <v>240</v>
      </c>
      <c r="W473" s="12"/>
      <c r="X473" s="242">
        <v>604.77897653504704</v>
      </c>
      <c r="Y473" s="242">
        <v>615.52172926828041</v>
      </c>
      <c r="Z473" s="242">
        <v>106.58807252530215</v>
      </c>
      <c r="AA473" s="157" t="s">
        <v>252</v>
      </c>
      <c r="AB473" s="242">
        <v>78.599628300307288</v>
      </c>
      <c r="AC473" s="157" t="s">
        <v>252</v>
      </c>
      <c r="AD473" s="242">
        <v>100.20708159347133</v>
      </c>
      <c r="AE473" s="157" t="s">
        <v>252</v>
      </c>
      <c r="AF473" s="242">
        <v>76.929226674152474</v>
      </c>
      <c r="AG473" s="157" t="s">
        <v>252</v>
      </c>
      <c r="AH473" s="242">
        <v>25.189316202898407</v>
      </c>
      <c r="AI473" s="157" t="s">
        <v>252</v>
      </c>
      <c r="AJ473" s="242">
        <v>15.870233446455696</v>
      </c>
      <c r="AK473" s="242" t="s">
        <v>252</v>
      </c>
      <c r="AL473" s="242">
        <v>10.592444946839176</v>
      </c>
      <c r="AM473" s="242" t="s">
        <v>252</v>
      </c>
      <c r="AN473" s="242">
        <v>11.08874424153713</v>
      </c>
      <c r="AO473" s="242" t="s">
        <v>252</v>
      </c>
      <c r="AP473" s="242">
        <v>13.669500573966486</v>
      </c>
      <c r="AQ473" s="242" t="s">
        <v>252</v>
      </c>
      <c r="AR473" s="242">
        <v>92.38824070500128</v>
      </c>
      <c r="AS473" s="242" t="s">
        <v>259</v>
      </c>
      <c r="AT473" s="242">
        <v>80.406149225019931</v>
      </c>
      <c r="AU473" s="242" t="s">
        <v>259</v>
      </c>
      <c r="AV473" s="242">
        <v>84.126743385600207</v>
      </c>
      <c r="AW473" s="157" t="s">
        <v>259</v>
      </c>
      <c r="AX473" s="157">
        <v>1915.9560876238784</v>
      </c>
      <c r="AY473" s="243">
        <v>0.22687967757620725</v>
      </c>
      <c r="AZ473" s="156" t="s">
        <v>253</v>
      </c>
      <c r="BA473" s="156" t="s">
        <v>254</v>
      </c>
      <c r="BB473" s="156">
        <v>0</v>
      </c>
      <c r="BC473" s="156" t="s">
        <v>1423</v>
      </c>
      <c r="BD473" s="3"/>
    </row>
    <row r="474" spans="1:56" ht="15.75" hidden="1" customHeight="1" outlineLevel="1">
      <c r="A474" s="58">
        <v>464</v>
      </c>
      <c r="B474" s="11">
        <v>129464</v>
      </c>
      <c r="C474" s="89" t="s">
        <v>323</v>
      </c>
      <c r="D474" s="157" t="s">
        <v>216</v>
      </c>
      <c r="E474" s="12" t="s">
        <v>191</v>
      </c>
      <c r="F474" s="11" t="s">
        <v>246</v>
      </c>
      <c r="G474" s="18" t="s">
        <v>247</v>
      </c>
      <c r="H474" s="11" t="s">
        <v>248</v>
      </c>
      <c r="I474" s="87" t="s">
        <v>249</v>
      </c>
      <c r="J474" s="19" t="s">
        <v>139</v>
      </c>
      <c r="K474" s="17" t="s">
        <v>140</v>
      </c>
      <c r="L474" s="257">
        <v>0</v>
      </c>
      <c r="M474" s="70" t="s">
        <v>250</v>
      </c>
      <c r="N474" s="70">
        <v>100</v>
      </c>
      <c r="O474" s="258">
        <v>8</v>
      </c>
      <c r="P474" s="70" t="s">
        <v>251</v>
      </c>
      <c r="Q474" s="70" t="s">
        <v>233</v>
      </c>
      <c r="R474" s="70" t="s">
        <v>240</v>
      </c>
      <c r="S474" s="70" t="s">
        <v>233</v>
      </c>
      <c r="T474" s="70" t="s">
        <v>233</v>
      </c>
      <c r="U474" s="70" t="s">
        <v>1427</v>
      </c>
      <c r="V474" s="70" t="s">
        <v>240</v>
      </c>
      <c r="W474" s="12"/>
      <c r="X474" s="242">
        <v>441.28</v>
      </c>
      <c r="Y474" s="242">
        <v>470.11000000000013</v>
      </c>
      <c r="Z474" s="242">
        <v>68.77</v>
      </c>
      <c r="AA474" s="157" t="s">
        <v>252</v>
      </c>
      <c r="AB474" s="242">
        <v>51.96</v>
      </c>
      <c r="AC474" s="157" t="s">
        <v>252</v>
      </c>
      <c r="AD474" s="242">
        <v>52.65</v>
      </c>
      <c r="AE474" s="157" t="s">
        <v>252</v>
      </c>
      <c r="AF474" s="242">
        <v>50.99</v>
      </c>
      <c r="AG474" s="157" t="s">
        <v>252</v>
      </c>
      <c r="AH474" s="242">
        <v>31.15</v>
      </c>
      <c r="AI474" s="157" t="s">
        <v>252</v>
      </c>
      <c r="AJ474" s="242">
        <v>0.64</v>
      </c>
      <c r="AK474" s="242" t="s">
        <v>252</v>
      </c>
      <c r="AL474" s="242">
        <v>7.44</v>
      </c>
      <c r="AM474" s="242" t="s">
        <v>252</v>
      </c>
      <c r="AN474" s="242">
        <v>7.67</v>
      </c>
      <c r="AO474" s="242" t="s">
        <v>252</v>
      </c>
      <c r="AP474" s="242">
        <v>8.83</v>
      </c>
      <c r="AQ474" s="242" t="s">
        <v>252</v>
      </c>
      <c r="AR474" s="242">
        <v>43.2</v>
      </c>
      <c r="AS474" s="242" t="s">
        <v>252</v>
      </c>
      <c r="AT474" s="242">
        <v>41.37</v>
      </c>
      <c r="AU474" s="242" t="s">
        <v>259</v>
      </c>
      <c r="AV474" s="242">
        <v>52.44173</v>
      </c>
      <c r="AW474" s="157" t="s">
        <v>259</v>
      </c>
      <c r="AX474" s="157">
        <v>1328.5017300000004</v>
      </c>
      <c r="AY474" s="240">
        <v>0.214</v>
      </c>
      <c r="AZ474" s="156" t="s">
        <v>253</v>
      </c>
      <c r="BA474" s="156" t="s">
        <v>254</v>
      </c>
      <c r="BB474" s="156">
        <v>0</v>
      </c>
      <c r="BC474" s="156" t="s">
        <v>1423</v>
      </c>
      <c r="BD474" s="3"/>
    </row>
    <row r="475" spans="1:56" ht="15.75" hidden="1" customHeight="1" outlineLevel="1">
      <c r="A475" s="58">
        <v>465</v>
      </c>
      <c r="B475" s="11">
        <v>129465</v>
      </c>
      <c r="C475" s="89" t="s">
        <v>323</v>
      </c>
      <c r="D475" s="157">
        <v>7</v>
      </c>
      <c r="E475" s="12" t="s">
        <v>191</v>
      </c>
      <c r="F475" s="11" t="s">
        <v>246</v>
      </c>
      <c r="G475" s="18" t="s">
        <v>247</v>
      </c>
      <c r="H475" s="11" t="s">
        <v>248</v>
      </c>
      <c r="I475" s="87" t="s">
        <v>249</v>
      </c>
      <c r="J475" s="19" t="s">
        <v>139</v>
      </c>
      <c r="K475" s="17" t="s">
        <v>140</v>
      </c>
      <c r="L475" s="260">
        <v>1</v>
      </c>
      <c r="M475" s="70" t="s">
        <v>250</v>
      </c>
      <c r="N475" s="70">
        <v>80</v>
      </c>
      <c r="O475" s="258">
        <v>8</v>
      </c>
      <c r="P475" s="70" t="s">
        <v>251</v>
      </c>
      <c r="Q475" s="70" t="s">
        <v>233</v>
      </c>
      <c r="R475" s="70" t="s">
        <v>240</v>
      </c>
      <c r="S475" s="70" t="s">
        <v>233</v>
      </c>
      <c r="T475" s="70" t="s">
        <v>233</v>
      </c>
      <c r="U475" s="70" t="s">
        <v>1427</v>
      </c>
      <c r="V475" s="70" t="s">
        <v>240</v>
      </c>
      <c r="W475" s="12"/>
      <c r="X475" s="242">
        <v>205.48</v>
      </c>
      <c r="Y475" s="242">
        <v>201.69</v>
      </c>
      <c r="Z475" s="242">
        <v>32.78</v>
      </c>
      <c r="AA475" s="157" t="s">
        <v>252</v>
      </c>
      <c r="AB475" s="242">
        <v>26.27</v>
      </c>
      <c r="AC475" s="157" t="s">
        <v>252</v>
      </c>
      <c r="AD475" s="242">
        <v>43.76</v>
      </c>
      <c r="AE475" s="157" t="s">
        <v>252</v>
      </c>
      <c r="AF475" s="242">
        <v>11.9</v>
      </c>
      <c r="AG475" s="157" t="s">
        <v>252</v>
      </c>
      <c r="AH475" s="242">
        <v>7.33</v>
      </c>
      <c r="AI475" s="157" t="s">
        <v>252</v>
      </c>
      <c r="AJ475" s="242">
        <v>3.7932999999999999</v>
      </c>
      <c r="AK475" s="242" t="s">
        <v>252</v>
      </c>
      <c r="AL475" s="242">
        <v>3.7932999999999999</v>
      </c>
      <c r="AM475" s="242" t="s">
        <v>259</v>
      </c>
      <c r="AN475" s="242">
        <v>3.7932999999999999</v>
      </c>
      <c r="AO475" s="242" t="s">
        <v>259</v>
      </c>
      <c r="AP475" s="242">
        <v>7.2284699999999997</v>
      </c>
      <c r="AQ475" s="242" t="s">
        <v>259</v>
      </c>
      <c r="AR475" s="242">
        <v>27.19</v>
      </c>
      <c r="AS475" s="242" t="s">
        <v>259</v>
      </c>
      <c r="AT475" s="242">
        <v>24.66</v>
      </c>
      <c r="AU475" s="242" t="s">
        <v>259</v>
      </c>
      <c r="AV475" s="242">
        <v>29.241810000000001</v>
      </c>
      <c r="AW475" s="157" t="s">
        <v>259</v>
      </c>
      <c r="AX475" s="157">
        <v>628.91018000000008</v>
      </c>
      <c r="AY475" s="240">
        <v>8.7999999999999995E-2</v>
      </c>
      <c r="AZ475" s="156" t="s">
        <v>253</v>
      </c>
      <c r="BA475" s="156" t="s">
        <v>254</v>
      </c>
      <c r="BB475" s="156">
        <v>1</v>
      </c>
      <c r="BC475" s="156" t="s">
        <v>1423</v>
      </c>
      <c r="BD475" s="3"/>
    </row>
    <row r="476" spans="1:56" ht="15.75" hidden="1" customHeight="1" outlineLevel="1">
      <c r="A476" s="58">
        <v>466</v>
      </c>
      <c r="B476" s="11">
        <v>129466</v>
      </c>
      <c r="C476" s="89" t="s">
        <v>323</v>
      </c>
      <c r="D476" s="157">
        <v>8</v>
      </c>
      <c r="E476" s="12" t="s">
        <v>191</v>
      </c>
      <c r="F476" s="11" t="s">
        <v>246</v>
      </c>
      <c r="G476" s="18" t="s">
        <v>247</v>
      </c>
      <c r="H476" s="11" t="s">
        <v>248</v>
      </c>
      <c r="I476" s="87" t="s">
        <v>249</v>
      </c>
      <c r="J476" s="19" t="s">
        <v>139</v>
      </c>
      <c r="K476" s="17" t="s">
        <v>140</v>
      </c>
      <c r="L476" s="257">
        <v>0</v>
      </c>
      <c r="M476" s="70" t="s">
        <v>250</v>
      </c>
      <c r="N476" s="70">
        <v>80</v>
      </c>
      <c r="O476" s="258">
        <v>8</v>
      </c>
      <c r="P476" s="70" t="s">
        <v>251</v>
      </c>
      <c r="Q476" s="70" t="s">
        <v>240</v>
      </c>
      <c r="R476" s="70" t="s">
        <v>240</v>
      </c>
      <c r="S476" s="70" t="s">
        <v>233</v>
      </c>
      <c r="T476" s="70" t="s">
        <v>233</v>
      </c>
      <c r="U476" s="70" t="s">
        <v>1427</v>
      </c>
      <c r="V476" s="70" t="s">
        <v>240</v>
      </c>
      <c r="W476" s="12"/>
      <c r="X476" s="242">
        <v>288.45999999999998</v>
      </c>
      <c r="Y476" s="242">
        <v>295.72000000000003</v>
      </c>
      <c r="Z476" s="242">
        <v>46.44</v>
      </c>
      <c r="AA476" s="157" t="s">
        <v>252</v>
      </c>
      <c r="AB476" s="242">
        <v>34.04</v>
      </c>
      <c r="AC476" s="157" t="s">
        <v>252</v>
      </c>
      <c r="AD476" s="242">
        <v>20.85</v>
      </c>
      <c r="AE476" s="157" t="s">
        <v>252</v>
      </c>
      <c r="AF476" s="242">
        <v>31.47</v>
      </c>
      <c r="AG476" s="157" t="s">
        <v>252</v>
      </c>
      <c r="AH476" s="242">
        <v>32.130000000000003</v>
      </c>
      <c r="AI476" s="157" t="s">
        <v>252</v>
      </c>
      <c r="AJ476" s="242">
        <v>1.98</v>
      </c>
      <c r="AK476" s="242" t="s">
        <v>252</v>
      </c>
      <c r="AL476" s="242">
        <v>4.37</v>
      </c>
      <c r="AM476" s="242" t="s">
        <v>252</v>
      </c>
      <c r="AN476" s="242">
        <v>2.56</v>
      </c>
      <c r="AO476" s="242" t="s">
        <v>252</v>
      </c>
      <c r="AP476" s="242">
        <v>6.71699</v>
      </c>
      <c r="AQ476" s="242" t="s">
        <v>252</v>
      </c>
      <c r="AR476" s="242">
        <v>33.590000000000003</v>
      </c>
      <c r="AS476" s="242" t="s">
        <v>252</v>
      </c>
      <c r="AT476" s="242">
        <v>28.75</v>
      </c>
      <c r="AU476" s="242" t="s">
        <v>252</v>
      </c>
      <c r="AV476" s="242">
        <v>35.590000000000003</v>
      </c>
      <c r="AW476" s="157" t="s">
        <v>252</v>
      </c>
      <c r="AX476" s="157">
        <v>862.66699000000017</v>
      </c>
      <c r="AY476" s="240">
        <v>0.13800000000000001</v>
      </c>
      <c r="AZ476" s="156" t="s">
        <v>253</v>
      </c>
      <c r="BA476" s="156" t="s">
        <v>254</v>
      </c>
      <c r="BB476" s="156">
        <v>0</v>
      </c>
      <c r="BC476" s="156" t="s">
        <v>1423</v>
      </c>
      <c r="BD476" s="3"/>
    </row>
    <row r="477" spans="1:56" ht="15.75" hidden="1" customHeight="1" outlineLevel="1">
      <c r="A477" s="58">
        <v>467</v>
      </c>
      <c r="B477" s="11">
        <v>129467</v>
      </c>
      <c r="C477" s="89" t="s">
        <v>325</v>
      </c>
      <c r="D477" s="157" t="s">
        <v>217</v>
      </c>
      <c r="E477" s="12" t="s">
        <v>191</v>
      </c>
      <c r="F477" s="11" t="s">
        <v>246</v>
      </c>
      <c r="G477" s="18" t="s">
        <v>247</v>
      </c>
      <c r="H477" s="11" t="s">
        <v>248</v>
      </c>
      <c r="I477" s="87" t="s">
        <v>249</v>
      </c>
      <c r="J477" s="19" t="s">
        <v>139</v>
      </c>
      <c r="K477" s="17" t="s">
        <v>140</v>
      </c>
      <c r="L477" s="257">
        <v>0</v>
      </c>
      <c r="M477" s="70" t="s">
        <v>250</v>
      </c>
      <c r="N477" s="70">
        <v>80</v>
      </c>
      <c r="O477" s="258">
        <v>8</v>
      </c>
      <c r="P477" s="70" t="s">
        <v>251</v>
      </c>
      <c r="Q477" s="70" t="s">
        <v>233</v>
      </c>
      <c r="R477" s="70" t="s">
        <v>240</v>
      </c>
      <c r="S477" s="70" t="s">
        <v>233</v>
      </c>
      <c r="T477" s="70" t="s">
        <v>233</v>
      </c>
      <c r="U477" s="70" t="s">
        <v>1427</v>
      </c>
      <c r="V477" s="70" t="s">
        <v>240</v>
      </c>
      <c r="W477" s="12"/>
      <c r="X477" s="242">
        <v>1349.4699999999998</v>
      </c>
      <c r="Y477" s="242">
        <v>1297.49</v>
      </c>
      <c r="Z477" s="242">
        <v>233.95</v>
      </c>
      <c r="AA477" s="157" t="s">
        <v>252</v>
      </c>
      <c r="AB477" s="242">
        <v>138.94</v>
      </c>
      <c r="AC477" s="157" t="s">
        <v>252</v>
      </c>
      <c r="AD477" s="242">
        <v>239.83</v>
      </c>
      <c r="AE477" s="157" t="s">
        <v>252</v>
      </c>
      <c r="AF477" s="242">
        <v>134.05000000000001</v>
      </c>
      <c r="AG477" s="157" t="s">
        <v>252</v>
      </c>
      <c r="AH477" s="242">
        <v>63.18</v>
      </c>
      <c r="AI477" s="157" t="s">
        <v>252</v>
      </c>
      <c r="AJ477" s="242">
        <v>25.32</v>
      </c>
      <c r="AK477" s="242" t="s">
        <v>252</v>
      </c>
      <c r="AL477" s="242">
        <v>18.47</v>
      </c>
      <c r="AM477" s="242" t="s">
        <v>252</v>
      </c>
      <c r="AN477" s="242">
        <v>20.23</v>
      </c>
      <c r="AO477" s="242" t="s">
        <v>252</v>
      </c>
      <c r="AP477" s="242">
        <v>30.26</v>
      </c>
      <c r="AQ477" s="242" t="s">
        <v>252</v>
      </c>
      <c r="AR477" s="242">
        <v>122.7</v>
      </c>
      <c r="AS477" s="242" t="s">
        <v>252</v>
      </c>
      <c r="AT477" s="242">
        <v>124.78</v>
      </c>
      <c r="AU477" s="242" t="s">
        <v>252</v>
      </c>
      <c r="AV477" s="242">
        <v>161.35303999999999</v>
      </c>
      <c r="AW477" s="157" t="s">
        <v>259</v>
      </c>
      <c r="AX477" s="157">
        <v>3960.02304</v>
      </c>
      <c r="AY477" s="240">
        <v>0.56899999999999995</v>
      </c>
      <c r="AZ477" s="156" t="s">
        <v>253</v>
      </c>
      <c r="BA477" s="156" t="s">
        <v>254</v>
      </c>
      <c r="BB477" s="156">
        <v>0</v>
      </c>
      <c r="BC477" s="156" t="s">
        <v>1423</v>
      </c>
      <c r="BD477" s="3"/>
    </row>
    <row r="478" spans="1:56" ht="15.75" hidden="1" customHeight="1" outlineLevel="1">
      <c r="A478" s="58">
        <v>468</v>
      </c>
      <c r="B478" s="11">
        <v>129468</v>
      </c>
      <c r="C478" s="89" t="s">
        <v>325</v>
      </c>
      <c r="D478" s="157">
        <v>12</v>
      </c>
      <c r="E478" s="12" t="s">
        <v>191</v>
      </c>
      <c r="F478" s="11" t="s">
        <v>246</v>
      </c>
      <c r="G478" s="18" t="s">
        <v>247</v>
      </c>
      <c r="H478" s="11" t="s">
        <v>248</v>
      </c>
      <c r="I478" s="87" t="s">
        <v>249</v>
      </c>
      <c r="J478" s="19" t="s">
        <v>139</v>
      </c>
      <c r="K478" s="17" t="s">
        <v>140</v>
      </c>
      <c r="L478" s="260">
        <v>1</v>
      </c>
      <c r="M478" s="70" t="s">
        <v>250</v>
      </c>
      <c r="N478" s="70">
        <v>100</v>
      </c>
      <c r="O478" s="258">
        <v>8</v>
      </c>
      <c r="P478" s="70" t="s">
        <v>251</v>
      </c>
      <c r="Q478" s="70" t="s">
        <v>240</v>
      </c>
      <c r="R478" s="70" t="s">
        <v>240</v>
      </c>
      <c r="S478" s="70" t="s">
        <v>233</v>
      </c>
      <c r="T478" s="70" t="s">
        <v>233</v>
      </c>
      <c r="U478" s="70" t="s">
        <v>1427</v>
      </c>
      <c r="V478" s="70" t="s">
        <v>240</v>
      </c>
      <c r="W478" s="12"/>
      <c r="X478" s="242">
        <v>323.50000000000006</v>
      </c>
      <c r="Y478" s="242">
        <v>282.64999999999998</v>
      </c>
      <c r="Z478" s="242">
        <v>65.66</v>
      </c>
      <c r="AA478" s="157" t="s">
        <v>252</v>
      </c>
      <c r="AB478" s="242">
        <v>38.26</v>
      </c>
      <c r="AC478" s="157" t="s">
        <v>252</v>
      </c>
      <c r="AD478" s="242">
        <v>57.33</v>
      </c>
      <c r="AE478" s="157" t="s">
        <v>252</v>
      </c>
      <c r="AF478" s="242">
        <v>34.299999999999997</v>
      </c>
      <c r="AG478" s="157" t="s">
        <v>252</v>
      </c>
      <c r="AH478" s="242">
        <v>6.99</v>
      </c>
      <c r="AI478" s="157" t="s">
        <v>252</v>
      </c>
      <c r="AJ478" s="242">
        <v>0</v>
      </c>
      <c r="AK478" s="242" t="s">
        <v>252</v>
      </c>
      <c r="AL478" s="242">
        <v>1.84</v>
      </c>
      <c r="AM478" s="242" t="s">
        <v>252</v>
      </c>
      <c r="AN478" s="242">
        <v>0</v>
      </c>
      <c r="AO478" s="242" t="s">
        <v>252</v>
      </c>
      <c r="AP478" s="242">
        <v>0</v>
      </c>
      <c r="AQ478" s="242" t="s">
        <v>252</v>
      </c>
      <c r="AR478" s="242">
        <v>30.66</v>
      </c>
      <c r="AS478" s="242" t="s">
        <v>252</v>
      </c>
      <c r="AT478" s="242">
        <v>33.549999999999997</v>
      </c>
      <c r="AU478" s="242" t="s">
        <v>252</v>
      </c>
      <c r="AV478" s="242">
        <v>41.56</v>
      </c>
      <c r="AW478" s="157" t="s">
        <v>252</v>
      </c>
      <c r="AX478" s="157">
        <v>916.3</v>
      </c>
      <c r="AY478" s="240">
        <v>0.15</v>
      </c>
      <c r="AZ478" s="156" t="s">
        <v>253</v>
      </c>
      <c r="BA478" s="156" t="s">
        <v>254</v>
      </c>
      <c r="BB478" s="156">
        <v>1</v>
      </c>
      <c r="BC478" s="157" t="s">
        <v>255</v>
      </c>
      <c r="BD478" s="3"/>
    </row>
    <row r="479" spans="1:56" ht="15.75" hidden="1" customHeight="1" outlineLevel="1">
      <c r="A479" s="58">
        <v>469</v>
      </c>
      <c r="B479" s="11">
        <v>129469</v>
      </c>
      <c r="C479" s="89" t="s">
        <v>325</v>
      </c>
      <c r="D479" s="157">
        <v>14</v>
      </c>
      <c r="E479" s="12" t="s">
        <v>191</v>
      </c>
      <c r="F479" s="11" t="s">
        <v>246</v>
      </c>
      <c r="G479" s="18" t="s">
        <v>247</v>
      </c>
      <c r="H479" s="11" t="s">
        <v>248</v>
      </c>
      <c r="I479" s="87" t="s">
        <v>249</v>
      </c>
      <c r="J479" s="19" t="s">
        <v>139</v>
      </c>
      <c r="K479" s="17" t="s">
        <v>140</v>
      </c>
      <c r="L479" s="257">
        <v>0</v>
      </c>
      <c r="M479" s="70" t="s">
        <v>250</v>
      </c>
      <c r="N479" s="70">
        <v>100</v>
      </c>
      <c r="O479" s="258">
        <v>8</v>
      </c>
      <c r="P479" s="70" t="s">
        <v>251</v>
      </c>
      <c r="Q479" s="70" t="s">
        <v>233</v>
      </c>
      <c r="R479" s="70" t="s">
        <v>240</v>
      </c>
      <c r="S479" s="70" t="s">
        <v>240</v>
      </c>
      <c r="T479" s="70" t="s">
        <v>240</v>
      </c>
      <c r="U479" s="70" t="s">
        <v>1427</v>
      </c>
      <c r="V479" s="70" t="s">
        <v>240</v>
      </c>
      <c r="W479" s="12"/>
      <c r="X479" s="242">
        <v>67.839999999999861</v>
      </c>
      <c r="Y479" s="242">
        <v>14.17</v>
      </c>
      <c r="Z479" s="242">
        <v>0</v>
      </c>
      <c r="AA479" s="157" t="s">
        <v>252</v>
      </c>
      <c r="AB479" s="242">
        <v>0</v>
      </c>
      <c r="AC479" s="157" t="s">
        <v>252</v>
      </c>
      <c r="AD479" s="242">
        <v>0</v>
      </c>
      <c r="AE479" s="157" t="s">
        <v>252</v>
      </c>
      <c r="AF479" s="242">
        <v>0</v>
      </c>
      <c r="AG479" s="157" t="s">
        <v>252</v>
      </c>
      <c r="AH479" s="242">
        <v>0</v>
      </c>
      <c r="AI479" s="157" t="s">
        <v>252</v>
      </c>
      <c r="AJ479" s="242">
        <v>0</v>
      </c>
      <c r="AK479" s="242" t="s">
        <v>252</v>
      </c>
      <c r="AL479" s="242">
        <v>0</v>
      </c>
      <c r="AM479" s="242" t="s">
        <v>252</v>
      </c>
      <c r="AN479" s="242">
        <v>0</v>
      </c>
      <c r="AO479" s="242" t="s">
        <v>252</v>
      </c>
      <c r="AP479" s="242">
        <v>0</v>
      </c>
      <c r="AQ479" s="242" t="s">
        <v>252</v>
      </c>
      <c r="AR479" s="242">
        <v>0</v>
      </c>
      <c r="AS479" s="242" t="s">
        <v>252</v>
      </c>
      <c r="AT479" s="242">
        <v>0</v>
      </c>
      <c r="AU479" s="242" t="s">
        <v>252</v>
      </c>
      <c r="AV479" s="242">
        <v>0</v>
      </c>
      <c r="AW479" s="157" t="s">
        <v>252</v>
      </c>
      <c r="AX479" s="157">
        <v>82.009999999999863</v>
      </c>
      <c r="AY479" s="240">
        <v>0.312</v>
      </c>
      <c r="AZ479" s="156" t="s">
        <v>253</v>
      </c>
      <c r="BA479" s="156" t="s">
        <v>254</v>
      </c>
      <c r="BB479" s="157">
        <v>1</v>
      </c>
      <c r="BC479" s="156" t="s">
        <v>1423</v>
      </c>
      <c r="BD479" s="3"/>
    </row>
    <row r="480" spans="1:56" ht="15.75" hidden="1" customHeight="1" outlineLevel="1">
      <c r="A480" s="58">
        <v>470</v>
      </c>
      <c r="B480" s="11">
        <v>129470</v>
      </c>
      <c r="C480" s="89" t="s">
        <v>325</v>
      </c>
      <c r="D480" s="157">
        <v>15</v>
      </c>
      <c r="E480" s="12" t="s">
        <v>191</v>
      </c>
      <c r="F480" s="11" t="s">
        <v>246</v>
      </c>
      <c r="G480" s="18" t="s">
        <v>247</v>
      </c>
      <c r="H480" s="11" t="s">
        <v>248</v>
      </c>
      <c r="I480" s="87" t="s">
        <v>249</v>
      </c>
      <c r="J480" s="19" t="s">
        <v>139</v>
      </c>
      <c r="K480" s="17" t="s">
        <v>140</v>
      </c>
      <c r="L480" s="257">
        <v>0</v>
      </c>
      <c r="M480" s="70" t="s">
        <v>250</v>
      </c>
      <c r="N480" s="70">
        <v>100</v>
      </c>
      <c r="O480" s="258">
        <v>8</v>
      </c>
      <c r="P480" s="70" t="s">
        <v>251</v>
      </c>
      <c r="Q480" s="70" t="s">
        <v>233</v>
      </c>
      <c r="R480" s="70" t="s">
        <v>240</v>
      </c>
      <c r="S480" s="70" t="s">
        <v>240</v>
      </c>
      <c r="T480" s="70" t="s">
        <v>240</v>
      </c>
      <c r="U480" s="70" t="s">
        <v>1427</v>
      </c>
      <c r="V480" s="70" t="s">
        <v>240</v>
      </c>
      <c r="W480" s="12"/>
      <c r="X480" s="242">
        <v>387.80999999999989</v>
      </c>
      <c r="Y480" s="242">
        <v>361.34</v>
      </c>
      <c r="Z480" s="242">
        <v>23.45</v>
      </c>
      <c r="AA480" s="157" t="s">
        <v>259</v>
      </c>
      <c r="AB480" s="242">
        <v>23.93</v>
      </c>
      <c r="AC480" s="157" t="s">
        <v>259</v>
      </c>
      <c r="AD480" s="242">
        <v>23.39</v>
      </c>
      <c r="AE480" s="157" t="s">
        <v>259</v>
      </c>
      <c r="AF480" s="242">
        <v>23.99</v>
      </c>
      <c r="AG480" s="157" t="s">
        <v>259</v>
      </c>
      <c r="AH480" s="242">
        <v>23.38</v>
      </c>
      <c r="AI480" s="157" t="s">
        <v>259</v>
      </c>
      <c r="AJ480" s="242">
        <v>1.18</v>
      </c>
      <c r="AK480" s="242" t="s">
        <v>259</v>
      </c>
      <c r="AL480" s="242">
        <v>0.64</v>
      </c>
      <c r="AM480" s="242" t="s">
        <v>259</v>
      </c>
      <c r="AN480" s="242">
        <v>0.7</v>
      </c>
      <c r="AO480" s="242" t="s">
        <v>259</v>
      </c>
      <c r="AP480" s="242">
        <v>12.56978</v>
      </c>
      <c r="AQ480" s="242" t="s">
        <v>259</v>
      </c>
      <c r="AR480" s="242">
        <v>25.71</v>
      </c>
      <c r="AS480" s="242" t="s">
        <v>259</v>
      </c>
      <c r="AT480" s="242">
        <v>25.65</v>
      </c>
      <c r="AU480" s="242" t="s">
        <v>259</v>
      </c>
      <c r="AV480" s="242">
        <v>25.59</v>
      </c>
      <c r="AW480" s="157" t="s">
        <v>259</v>
      </c>
      <c r="AX480" s="157">
        <v>959.32977999999991</v>
      </c>
      <c r="AY480" s="240">
        <v>0.16600000000000001</v>
      </c>
      <c r="AZ480" s="156" t="s">
        <v>253</v>
      </c>
      <c r="BA480" s="156" t="s">
        <v>254</v>
      </c>
      <c r="BB480" s="156">
        <v>0</v>
      </c>
      <c r="BC480" s="156" t="s">
        <v>1423</v>
      </c>
      <c r="BD480" s="3"/>
    </row>
    <row r="481" spans="1:56" ht="15.75" hidden="1" customHeight="1" outlineLevel="1">
      <c r="A481" s="58">
        <v>471</v>
      </c>
      <c r="B481" s="11">
        <v>129471</v>
      </c>
      <c r="C481" s="89" t="s">
        <v>325</v>
      </c>
      <c r="D481" s="157">
        <v>17</v>
      </c>
      <c r="E481" s="12" t="s">
        <v>191</v>
      </c>
      <c r="F481" s="11" t="s">
        <v>246</v>
      </c>
      <c r="G481" s="18" t="s">
        <v>247</v>
      </c>
      <c r="H481" s="11" t="s">
        <v>248</v>
      </c>
      <c r="I481" s="87" t="s">
        <v>249</v>
      </c>
      <c r="J481" s="19" t="s">
        <v>139</v>
      </c>
      <c r="K481" s="17" t="s">
        <v>140</v>
      </c>
      <c r="L481" s="260">
        <v>1</v>
      </c>
      <c r="M481" s="70" t="s">
        <v>250</v>
      </c>
      <c r="N481" s="70">
        <v>80</v>
      </c>
      <c r="O481" s="258">
        <v>8</v>
      </c>
      <c r="P481" s="70" t="s">
        <v>251</v>
      </c>
      <c r="Q481" s="70" t="s">
        <v>233</v>
      </c>
      <c r="R481" s="70" t="s">
        <v>240</v>
      </c>
      <c r="S481" s="70" t="s">
        <v>233</v>
      </c>
      <c r="T481" s="70" t="s">
        <v>233</v>
      </c>
      <c r="U481" s="70" t="s">
        <v>1427</v>
      </c>
      <c r="V481" s="70" t="s">
        <v>240</v>
      </c>
      <c r="W481" s="12"/>
      <c r="X481" s="242">
        <v>1044.52</v>
      </c>
      <c r="Y481" s="242">
        <v>994.95</v>
      </c>
      <c r="Z481" s="242">
        <v>172.03</v>
      </c>
      <c r="AA481" s="157" t="s">
        <v>252</v>
      </c>
      <c r="AB481" s="242">
        <v>130.4</v>
      </c>
      <c r="AC481" s="157" t="s">
        <v>252</v>
      </c>
      <c r="AD481" s="242">
        <v>178.16</v>
      </c>
      <c r="AE481" s="157" t="s">
        <v>252</v>
      </c>
      <c r="AF481" s="242">
        <v>93.47</v>
      </c>
      <c r="AG481" s="157" t="s">
        <v>252</v>
      </c>
      <c r="AH481" s="242">
        <v>37.32</v>
      </c>
      <c r="AI481" s="157" t="s">
        <v>252</v>
      </c>
      <c r="AJ481" s="242">
        <v>19.989999999999998</v>
      </c>
      <c r="AK481" s="242" t="s">
        <v>252</v>
      </c>
      <c r="AL481" s="242">
        <v>14.28</v>
      </c>
      <c r="AM481" s="242" t="s">
        <v>252</v>
      </c>
      <c r="AN481" s="242">
        <v>15.7</v>
      </c>
      <c r="AO481" s="242" t="s">
        <v>252</v>
      </c>
      <c r="AP481" s="242">
        <v>21.37</v>
      </c>
      <c r="AQ481" s="242" t="s">
        <v>252</v>
      </c>
      <c r="AR481" s="242">
        <v>106.78</v>
      </c>
      <c r="AS481" s="242" t="s">
        <v>252</v>
      </c>
      <c r="AT481" s="242">
        <v>103.09</v>
      </c>
      <c r="AU481" s="242" t="s">
        <v>259</v>
      </c>
      <c r="AV481" s="242">
        <v>127.46769</v>
      </c>
      <c r="AW481" s="157" t="s">
        <v>259</v>
      </c>
      <c r="AX481" s="157">
        <v>3059.5276899999999</v>
      </c>
      <c r="AY481" s="240">
        <v>0.37</v>
      </c>
      <c r="AZ481" s="156" t="s">
        <v>253</v>
      </c>
      <c r="BA481" s="156" t="s">
        <v>254</v>
      </c>
      <c r="BB481" s="156">
        <v>1</v>
      </c>
      <c r="BC481" s="157" t="s">
        <v>255</v>
      </c>
      <c r="BD481" s="3"/>
    </row>
    <row r="482" spans="1:56" ht="15.75" hidden="1" customHeight="1" outlineLevel="1">
      <c r="A482" s="58">
        <v>472</v>
      </c>
      <c r="B482" s="11">
        <v>129472</v>
      </c>
      <c r="C482" s="89" t="s">
        <v>325</v>
      </c>
      <c r="D482" s="157">
        <v>18</v>
      </c>
      <c r="E482" s="12" t="s">
        <v>191</v>
      </c>
      <c r="F482" s="11" t="s">
        <v>246</v>
      </c>
      <c r="G482" s="18" t="s">
        <v>247</v>
      </c>
      <c r="H482" s="11" t="s">
        <v>248</v>
      </c>
      <c r="I482" s="87" t="s">
        <v>249</v>
      </c>
      <c r="J482" s="19" t="s">
        <v>139</v>
      </c>
      <c r="K482" s="17" t="s">
        <v>140</v>
      </c>
      <c r="L482" s="257">
        <v>0</v>
      </c>
      <c r="M482" s="70" t="s">
        <v>250</v>
      </c>
      <c r="N482" s="70">
        <v>80</v>
      </c>
      <c r="O482" s="258">
        <v>8</v>
      </c>
      <c r="P482" s="70" t="s">
        <v>251</v>
      </c>
      <c r="Q482" s="70" t="s">
        <v>233</v>
      </c>
      <c r="R482" s="70" t="s">
        <v>240</v>
      </c>
      <c r="S482" s="70" t="s">
        <v>233</v>
      </c>
      <c r="T482" s="70" t="s">
        <v>233</v>
      </c>
      <c r="U482" s="70" t="s">
        <v>1427</v>
      </c>
      <c r="V482" s="70" t="s">
        <v>240</v>
      </c>
      <c r="W482" s="12"/>
      <c r="X482" s="242">
        <v>183.95999999999998</v>
      </c>
      <c r="Y482" s="242">
        <v>260.49</v>
      </c>
      <c r="Z482" s="242">
        <v>31.98</v>
      </c>
      <c r="AA482" s="157" t="s">
        <v>252</v>
      </c>
      <c r="AB482" s="242">
        <v>21.87</v>
      </c>
      <c r="AC482" s="157" t="s">
        <v>252</v>
      </c>
      <c r="AD482" s="242">
        <v>23.58</v>
      </c>
      <c r="AE482" s="157" t="s">
        <v>252</v>
      </c>
      <c r="AF482" s="242">
        <v>18.940000000000001</v>
      </c>
      <c r="AG482" s="157" t="s">
        <v>252</v>
      </c>
      <c r="AH482" s="242">
        <v>6.59</v>
      </c>
      <c r="AI482" s="157" t="s">
        <v>252</v>
      </c>
      <c r="AJ482" s="242">
        <v>0.13</v>
      </c>
      <c r="AK482" s="242" t="s">
        <v>252</v>
      </c>
      <c r="AL482" s="242">
        <v>2.93</v>
      </c>
      <c r="AM482" s="242" t="s">
        <v>252</v>
      </c>
      <c r="AN482" s="242">
        <v>0.5</v>
      </c>
      <c r="AO482" s="242" t="s">
        <v>252</v>
      </c>
      <c r="AP482" s="242">
        <v>2.0099999999999998</v>
      </c>
      <c r="AQ482" s="242" t="s">
        <v>252</v>
      </c>
      <c r="AR482" s="242">
        <v>19.04</v>
      </c>
      <c r="AS482" s="242" t="s">
        <v>252</v>
      </c>
      <c r="AT482" s="242">
        <v>18.43</v>
      </c>
      <c r="AU482" s="242" t="s">
        <v>252</v>
      </c>
      <c r="AV482" s="242">
        <v>22.54</v>
      </c>
      <c r="AW482" s="157" t="s">
        <v>252</v>
      </c>
      <c r="AX482" s="157">
        <v>612.9899999999999</v>
      </c>
      <c r="AY482" s="240">
        <v>9.0999999999999998E-2</v>
      </c>
      <c r="AZ482" s="156" t="s">
        <v>253</v>
      </c>
      <c r="BA482" s="156" t="s">
        <v>254</v>
      </c>
      <c r="BB482" s="156">
        <v>0</v>
      </c>
      <c r="BC482" s="156" t="s">
        <v>1423</v>
      </c>
      <c r="BD482" s="3"/>
    </row>
    <row r="483" spans="1:56" ht="15.75" hidden="1" customHeight="1" outlineLevel="1">
      <c r="A483" s="58">
        <v>473</v>
      </c>
      <c r="B483" s="11">
        <v>129473</v>
      </c>
      <c r="C483" s="89" t="s">
        <v>325</v>
      </c>
      <c r="D483" s="157">
        <v>20</v>
      </c>
      <c r="E483" s="12" t="s">
        <v>191</v>
      </c>
      <c r="F483" s="11" t="s">
        <v>246</v>
      </c>
      <c r="G483" s="18" t="s">
        <v>247</v>
      </c>
      <c r="H483" s="11" t="s">
        <v>248</v>
      </c>
      <c r="I483" s="87" t="s">
        <v>249</v>
      </c>
      <c r="J483" s="19" t="s">
        <v>139</v>
      </c>
      <c r="K483" s="17" t="s">
        <v>140</v>
      </c>
      <c r="L483" s="260">
        <v>1</v>
      </c>
      <c r="M483" s="70" t="s">
        <v>250</v>
      </c>
      <c r="N483" s="70">
        <v>100</v>
      </c>
      <c r="O483" s="258">
        <v>8</v>
      </c>
      <c r="P483" s="70" t="s">
        <v>251</v>
      </c>
      <c r="Q483" s="70" t="s">
        <v>233</v>
      </c>
      <c r="R483" s="70" t="s">
        <v>240</v>
      </c>
      <c r="S483" s="70" t="s">
        <v>233</v>
      </c>
      <c r="T483" s="70" t="s">
        <v>233</v>
      </c>
      <c r="U483" s="70" t="s">
        <v>1427</v>
      </c>
      <c r="V483" s="70" t="s">
        <v>240</v>
      </c>
      <c r="W483" s="12"/>
      <c r="X483" s="242">
        <v>419.07000000000005</v>
      </c>
      <c r="Y483" s="242">
        <v>497.36</v>
      </c>
      <c r="Z483" s="242">
        <v>72.02</v>
      </c>
      <c r="AA483" s="157" t="s">
        <v>252</v>
      </c>
      <c r="AB483" s="242">
        <v>49.24</v>
      </c>
      <c r="AC483" s="157" t="s">
        <v>252</v>
      </c>
      <c r="AD483" s="242">
        <v>52.89</v>
      </c>
      <c r="AE483" s="157" t="s">
        <v>252</v>
      </c>
      <c r="AF483" s="242">
        <v>42.76</v>
      </c>
      <c r="AG483" s="157" t="s">
        <v>252</v>
      </c>
      <c r="AH483" s="242">
        <v>14.73</v>
      </c>
      <c r="AI483" s="157" t="s">
        <v>252</v>
      </c>
      <c r="AJ483" s="242">
        <v>0.28000000000000003</v>
      </c>
      <c r="AK483" s="242" t="s">
        <v>252</v>
      </c>
      <c r="AL483" s="242">
        <v>6.49</v>
      </c>
      <c r="AM483" s="242" t="s">
        <v>252</v>
      </c>
      <c r="AN483" s="242">
        <v>1.65</v>
      </c>
      <c r="AO483" s="242" t="s">
        <v>252</v>
      </c>
      <c r="AP483" s="242">
        <v>5.74</v>
      </c>
      <c r="AQ483" s="242" t="s">
        <v>252</v>
      </c>
      <c r="AR483" s="242">
        <v>42.32</v>
      </c>
      <c r="AS483" s="242" t="s">
        <v>252</v>
      </c>
      <c r="AT483" s="242">
        <v>41.05</v>
      </c>
      <c r="AU483" s="242" t="s">
        <v>252</v>
      </c>
      <c r="AV483" s="242">
        <v>50.63</v>
      </c>
      <c r="AW483" s="157" t="s">
        <v>252</v>
      </c>
      <c r="AX483" s="157">
        <v>1296.2300000000002</v>
      </c>
      <c r="AY483" s="240">
        <v>0.21199999999999999</v>
      </c>
      <c r="AZ483" s="156" t="s">
        <v>253</v>
      </c>
      <c r="BA483" s="156" t="s">
        <v>254</v>
      </c>
      <c r="BB483" s="156">
        <v>1</v>
      </c>
      <c r="BC483" s="156" t="s">
        <v>1423</v>
      </c>
      <c r="BD483" s="3"/>
    </row>
    <row r="484" spans="1:56" ht="15.75" hidden="1" customHeight="1" outlineLevel="1">
      <c r="A484" s="58">
        <v>474</v>
      </c>
      <c r="B484" s="11">
        <v>129474</v>
      </c>
      <c r="C484" s="89" t="s">
        <v>325</v>
      </c>
      <c r="D484" s="157">
        <v>22</v>
      </c>
      <c r="E484" s="12" t="s">
        <v>191</v>
      </c>
      <c r="F484" s="11" t="s">
        <v>246</v>
      </c>
      <c r="G484" s="18" t="s">
        <v>247</v>
      </c>
      <c r="H484" s="11" t="s">
        <v>248</v>
      </c>
      <c r="I484" s="87" t="s">
        <v>249</v>
      </c>
      <c r="J484" s="19" t="s">
        <v>139</v>
      </c>
      <c r="K484" s="17" t="s">
        <v>140</v>
      </c>
      <c r="L484" s="260">
        <v>1</v>
      </c>
      <c r="M484" s="70" t="s">
        <v>250</v>
      </c>
      <c r="N484" s="70">
        <v>100</v>
      </c>
      <c r="O484" s="258">
        <v>8</v>
      </c>
      <c r="P484" s="70" t="s">
        <v>251</v>
      </c>
      <c r="Q484" s="70" t="s">
        <v>233</v>
      </c>
      <c r="R484" s="70" t="s">
        <v>240</v>
      </c>
      <c r="S484" s="70" t="s">
        <v>233</v>
      </c>
      <c r="T484" s="70" t="s">
        <v>233</v>
      </c>
      <c r="U484" s="70" t="s">
        <v>1427</v>
      </c>
      <c r="V484" s="70" t="s">
        <v>240</v>
      </c>
      <c r="W484" s="12"/>
      <c r="X484" s="242">
        <v>421.22991999999999</v>
      </c>
      <c r="Y484" s="242">
        <v>471.06525999999997</v>
      </c>
      <c r="Z484" s="242">
        <v>63.982399999999998</v>
      </c>
      <c r="AA484" s="157" t="s">
        <v>252</v>
      </c>
      <c r="AB484" s="242">
        <v>43.268149999999999</v>
      </c>
      <c r="AC484" s="157" t="s">
        <v>252</v>
      </c>
      <c r="AD484" s="242">
        <v>58.192390000000003</v>
      </c>
      <c r="AE484" s="157" t="s">
        <v>252</v>
      </c>
      <c r="AF484" s="242">
        <v>42.448149999999998</v>
      </c>
      <c r="AG484" s="157" t="s">
        <v>252</v>
      </c>
      <c r="AH484" s="242">
        <v>16.80669</v>
      </c>
      <c r="AI484" s="157" t="s">
        <v>252</v>
      </c>
      <c r="AJ484" s="242">
        <v>6.218</v>
      </c>
      <c r="AK484" s="242" t="s">
        <v>252</v>
      </c>
      <c r="AL484" s="242">
        <v>4.79887</v>
      </c>
      <c r="AM484" s="242" t="s">
        <v>252</v>
      </c>
      <c r="AN484" s="242">
        <v>5.4047999999999998</v>
      </c>
      <c r="AO484" s="242" t="s">
        <v>252</v>
      </c>
      <c r="AP484" s="242">
        <v>6.1536799999999996</v>
      </c>
      <c r="AQ484" s="242" t="s">
        <v>252</v>
      </c>
      <c r="AR484" s="242">
        <v>39.631570000000004</v>
      </c>
      <c r="AS484" s="242" t="s">
        <v>252</v>
      </c>
      <c r="AT484" s="242">
        <v>38.155549999999998</v>
      </c>
      <c r="AU484" s="242" t="s">
        <v>252</v>
      </c>
      <c r="AV484" s="242">
        <v>38.775919999999999</v>
      </c>
      <c r="AW484" s="157" t="s">
        <v>252</v>
      </c>
      <c r="AX484" s="157">
        <v>1256.1313499999999</v>
      </c>
      <c r="AY484" s="243">
        <v>1.2800000000000001E-2</v>
      </c>
      <c r="AZ484" s="156" t="s">
        <v>253</v>
      </c>
      <c r="BA484" s="156" t="s">
        <v>254</v>
      </c>
      <c r="BB484" s="156">
        <v>1</v>
      </c>
      <c r="BC484" s="156" t="s">
        <v>1423</v>
      </c>
      <c r="BD484" s="3"/>
    </row>
    <row r="485" spans="1:56" ht="15.75" hidden="1" customHeight="1" outlineLevel="1">
      <c r="A485" s="58">
        <v>475</v>
      </c>
      <c r="B485" s="11">
        <v>129475</v>
      </c>
      <c r="C485" s="89" t="s">
        <v>325</v>
      </c>
      <c r="D485" s="157">
        <v>23</v>
      </c>
      <c r="E485" s="12" t="s">
        <v>191</v>
      </c>
      <c r="F485" s="11" t="s">
        <v>246</v>
      </c>
      <c r="G485" s="18" t="s">
        <v>247</v>
      </c>
      <c r="H485" s="11" t="s">
        <v>248</v>
      </c>
      <c r="I485" s="87" t="s">
        <v>249</v>
      </c>
      <c r="J485" s="19" t="s">
        <v>139</v>
      </c>
      <c r="K485" s="17" t="s">
        <v>140</v>
      </c>
      <c r="L485" s="260">
        <v>1</v>
      </c>
      <c r="M485" s="70" t="s">
        <v>250</v>
      </c>
      <c r="N485" s="70">
        <v>80</v>
      </c>
      <c r="O485" s="258">
        <v>8</v>
      </c>
      <c r="P485" s="70" t="s">
        <v>251</v>
      </c>
      <c r="Q485" s="70" t="s">
        <v>233</v>
      </c>
      <c r="R485" s="70" t="s">
        <v>240</v>
      </c>
      <c r="S485" s="70" t="s">
        <v>233</v>
      </c>
      <c r="T485" s="70" t="s">
        <v>233</v>
      </c>
      <c r="U485" s="70" t="s">
        <v>1427</v>
      </c>
      <c r="V485" s="70" t="s">
        <v>240</v>
      </c>
      <c r="W485" s="12"/>
      <c r="X485" s="242">
        <v>360.3932862346395</v>
      </c>
      <c r="Y485" s="242">
        <v>289.42142416843456</v>
      </c>
      <c r="Z485" s="242">
        <v>45.499026137773683</v>
      </c>
      <c r="AA485" s="157" t="s">
        <v>252</v>
      </c>
      <c r="AB485" s="242">
        <v>32.077755673858228</v>
      </c>
      <c r="AC485" s="157" t="s">
        <v>252</v>
      </c>
      <c r="AD485" s="242">
        <v>47.728244005924026</v>
      </c>
      <c r="AE485" s="157" t="s">
        <v>252</v>
      </c>
      <c r="AF485" s="242">
        <v>24.737423848216785</v>
      </c>
      <c r="AG485" s="157" t="s">
        <v>252</v>
      </c>
      <c r="AH485" s="242">
        <v>10.162475683464756</v>
      </c>
      <c r="AI485" s="157" t="s">
        <v>252</v>
      </c>
      <c r="AJ485" s="242">
        <v>7.4552399631749582</v>
      </c>
      <c r="AK485" s="242" t="s">
        <v>252</v>
      </c>
      <c r="AL485" s="242">
        <v>7.0185890405475719</v>
      </c>
      <c r="AM485" s="242" t="s">
        <v>259</v>
      </c>
      <c r="AN485" s="242">
        <v>5.621306088139935</v>
      </c>
      <c r="AO485" s="242" t="s">
        <v>259</v>
      </c>
      <c r="AP485" s="242">
        <v>12.863846492414842</v>
      </c>
      <c r="AQ485" s="242" t="s">
        <v>259</v>
      </c>
      <c r="AR485" s="242">
        <v>38.356336308689912</v>
      </c>
      <c r="AS485" s="242" t="s">
        <v>259</v>
      </c>
      <c r="AT485" s="242">
        <v>29.407290557579152</v>
      </c>
      <c r="AU485" s="242" t="s">
        <v>259</v>
      </c>
      <c r="AV485" s="242">
        <v>35.448277934595524</v>
      </c>
      <c r="AW485" s="157" t="s">
        <v>259</v>
      </c>
      <c r="AX485" s="157">
        <v>946.19052213745317</v>
      </c>
      <c r="AY485" s="240">
        <v>0.14248609054156824</v>
      </c>
      <c r="AZ485" s="156" t="s">
        <v>253</v>
      </c>
      <c r="BA485" s="156" t="s">
        <v>254</v>
      </c>
      <c r="BB485" s="156">
        <v>1</v>
      </c>
      <c r="BC485" s="156" t="s">
        <v>1423</v>
      </c>
      <c r="BD485" s="3"/>
    </row>
    <row r="486" spans="1:56" ht="15.75" hidden="1" customHeight="1" outlineLevel="1">
      <c r="A486" s="58">
        <v>476</v>
      </c>
      <c r="B486" s="11">
        <v>129476</v>
      </c>
      <c r="C486" s="89" t="s">
        <v>325</v>
      </c>
      <c r="D486" s="157">
        <v>23</v>
      </c>
      <c r="E486" s="12" t="s">
        <v>231</v>
      </c>
      <c r="F486" s="11" t="s">
        <v>246</v>
      </c>
      <c r="G486" s="18" t="s">
        <v>247</v>
      </c>
      <c r="H486" s="11" t="s">
        <v>248</v>
      </c>
      <c r="I486" s="87" t="s">
        <v>249</v>
      </c>
      <c r="J486" s="19" t="s">
        <v>139</v>
      </c>
      <c r="K486" s="17" t="s">
        <v>140</v>
      </c>
      <c r="L486" s="257">
        <v>0</v>
      </c>
      <c r="M486" s="70" t="s">
        <v>250</v>
      </c>
      <c r="N486" s="70">
        <v>80</v>
      </c>
      <c r="O486" s="258">
        <v>8</v>
      </c>
      <c r="P486" s="70" t="s">
        <v>251</v>
      </c>
      <c r="Q486" s="70" t="s">
        <v>233</v>
      </c>
      <c r="R486" s="70" t="s">
        <v>240</v>
      </c>
      <c r="S486" s="70" t="s">
        <v>233</v>
      </c>
      <c r="T486" s="70" t="s">
        <v>233</v>
      </c>
      <c r="U486" s="70" t="s">
        <v>1427</v>
      </c>
      <c r="V486" s="70" t="s">
        <v>240</v>
      </c>
      <c r="W486" s="12"/>
      <c r="X486" s="242">
        <v>423.69671376536036</v>
      </c>
      <c r="Y486" s="242">
        <v>340.25857583156551</v>
      </c>
      <c r="Z486" s="242">
        <v>53.490973862226305</v>
      </c>
      <c r="AA486" s="157" t="s">
        <v>252</v>
      </c>
      <c r="AB486" s="242">
        <v>37.712244326141779</v>
      </c>
      <c r="AC486" s="157" t="s">
        <v>252</v>
      </c>
      <c r="AD486" s="242">
        <v>56.11175599407597</v>
      </c>
      <c r="AE486" s="157" t="s">
        <v>252</v>
      </c>
      <c r="AF486" s="242">
        <v>29.082576151783211</v>
      </c>
      <c r="AG486" s="157" t="s">
        <v>252</v>
      </c>
      <c r="AH486" s="242">
        <v>11.947524316535244</v>
      </c>
      <c r="AI486" s="157" t="s">
        <v>252</v>
      </c>
      <c r="AJ486" s="242">
        <v>8.7647600368250398</v>
      </c>
      <c r="AK486" s="242" t="s">
        <v>252</v>
      </c>
      <c r="AL486" s="242">
        <v>8.2514109594524268</v>
      </c>
      <c r="AM486" s="242" t="s">
        <v>259</v>
      </c>
      <c r="AN486" s="242">
        <v>6.6086939118600645</v>
      </c>
      <c r="AO486" s="242" t="s">
        <v>259</v>
      </c>
      <c r="AP486" s="242">
        <v>15.123393507585156</v>
      </c>
      <c r="AQ486" s="242" t="s">
        <v>259</v>
      </c>
      <c r="AR486" s="242">
        <v>45.093663691310091</v>
      </c>
      <c r="AS486" s="242" t="s">
        <v>259</v>
      </c>
      <c r="AT486" s="242">
        <v>34.572709442420845</v>
      </c>
      <c r="AU486" s="242" t="s">
        <v>259</v>
      </c>
      <c r="AV486" s="242">
        <v>41.674802065404471</v>
      </c>
      <c r="AW486" s="157" t="s">
        <v>259</v>
      </c>
      <c r="AX486" s="157">
        <v>1112.3897978625464</v>
      </c>
      <c r="AY486" s="243">
        <v>0.16751390945843173</v>
      </c>
      <c r="AZ486" s="156" t="s">
        <v>253</v>
      </c>
      <c r="BA486" s="156" t="s">
        <v>254</v>
      </c>
      <c r="BB486" s="156">
        <v>0</v>
      </c>
      <c r="BC486" s="156" t="s">
        <v>1423</v>
      </c>
      <c r="BD486" s="3"/>
    </row>
    <row r="487" spans="1:56" ht="15.75" hidden="1" customHeight="1" outlineLevel="1">
      <c r="A487" s="58">
        <v>477</v>
      </c>
      <c r="B487" s="11">
        <v>129477</v>
      </c>
      <c r="C487" s="89" t="s">
        <v>325</v>
      </c>
      <c r="D487" s="157">
        <v>24</v>
      </c>
      <c r="E487" s="12" t="s">
        <v>191</v>
      </c>
      <c r="F487" s="11" t="s">
        <v>246</v>
      </c>
      <c r="G487" s="18" t="s">
        <v>247</v>
      </c>
      <c r="H487" s="11" t="s">
        <v>248</v>
      </c>
      <c r="I487" s="87" t="s">
        <v>249</v>
      </c>
      <c r="J487" s="19" t="s">
        <v>139</v>
      </c>
      <c r="K487" s="17" t="s">
        <v>140</v>
      </c>
      <c r="L487" s="257">
        <v>0</v>
      </c>
      <c r="M487" s="70" t="s">
        <v>250</v>
      </c>
      <c r="N487" s="70">
        <v>100</v>
      </c>
      <c r="O487" s="258">
        <v>8</v>
      </c>
      <c r="P487" s="70" t="s">
        <v>251</v>
      </c>
      <c r="Q487" s="70" t="s">
        <v>233</v>
      </c>
      <c r="R487" s="70" t="s">
        <v>240</v>
      </c>
      <c r="S487" s="70" t="s">
        <v>233</v>
      </c>
      <c r="T487" s="70" t="s">
        <v>233</v>
      </c>
      <c r="U487" s="70" t="s">
        <v>1427</v>
      </c>
      <c r="V487" s="70" t="s">
        <v>240</v>
      </c>
      <c r="W487" s="12"/>
      <c r="X487" s="242">
        <v>169.51007999999999</v>
      </c>
      <c r="Y487" s="242">
        <v>189.56474000000003</v>
      </c>
      <c r="Z487" s="242">
        <v>25.747599999999998</v>
      </c>
      <c r="AA487" s="157" t="s">
        <v>252</v>
      </c>
      <c r="AB487" s="242">
        <v>17.411850000000001</v>
      </c>
      <c r="AC487" s="157" t="s">
        <v>252</v>
      </c>
      <c r="AD487" s="242">
        <v>23.41761</v>
      </c>
      <c r="AE487" s="157" t="s">
        <v>252</v>
      </c>
      <c r="AF487" s="242">
        <v>17.081849999999999</v>
      </c>
      <c r="AG487" s="157" t="s">
        <v>252</v>
      </c>
      <c r="AH487" s="242">
        <v>6.7633099999999997</v>
      </c>
      <c r="AI487" s="157" t="s">
        <v>252</v>
      </c>
      <c r="AJ487" s="242">
        <v>2.5019999999999998</v>
      </c>
      <c r="AK487" s="242" t="s">
        <v>252</v>
      </c>
      <c r="AL487" s="242">
        <v>1.93113</v>
      </c>
      <c r="AM487" s="242" t="s">
        <v>252</v>
      </c>
      <c r="AN487" s="242">
        <v>2.1751999999999998</v>
      </c>
      <c r="AO487" s="242" t="s">
        <v>252</v>
      </c>
      <c r="AP487" s="242">
        <v>2.4763199999999999</v>
      </c>
      <c r="AQ487" s="242" t="s">
        <v>252</v>
      </c>
      <c r="AR487" s="242">
        <v>15.94843</v>
      </c>
      <c r="AS487" s="242" t="s">
        <v>252</v>
      </c>
      <c r="AT487" s="242">
        <v>15.35445</v>
      </c>
      <c r="AU487" s="242" t="s">
        <v>252</v>
      </c>
      <c r="AV487" s="242">
        <v>15.60408</v>
      </c>
      <c r="AW487" s="157" t="s">
        <v>252</v>
      </c>
      <c r="AX487" s="157">
        <v>505.48865000000001</v>
      </c>
      <c r="AY487" s="243">
        <v>0.18</v>
      </c>
      <c r="AZ487" s="156" t="s">
        <v>253</v>
      </c>
      <c r="BA487" s="156" t="s">
        <v>254</v>
      </c>
      <c r="BB487" s="156">
        <v>0</v>
      </c>
      <c r="BC487" s="156" t="s">
        <v>1423</v>
      </c>
      <c r="BD487" s="3"/>
    </row>
    <row r="488" spans="1:56" ht="15.75" hidden="1" customHeight="1" outlineLevel="1">
      <c r="A488" s="58">
        <v>478</v>
      </c>
      <c r="B488" s="11">
        <v>129478</v>
      </c>
      <c r="C488" s="89" t="s">
        <v>325</v>
      </c>
      <c r="D488" s="157">
        <v>26</v>
      </c>
      <c r="E488" s="12" t="s">
        <v>191</v>
      </c>
      <c r="F488" s="11" t="s">
        <v>246</v>
      </c>
      <c r="G488" s="18" t="s">
        <v>247</v>
      </c>
      <c r="H488" s="11" t="s">
        <v>248</v>
      </c>
      <c r="I488" s="87" t="s">
        <v>249</v>
      </c>
      <c r="J488" s="19" t="s">
        <v>139</v>
      </c>
      <c r="K488" s="17" t="s">
        <v>140</v>
      </c>
      <c r="L488" s="257">
        <v>0</v>
      </c>
      <c r="M488" s="70" t="s">
        <v>250</v>
      </c>
      <c r="N488" s="70">
        <v>100</v>
      </c>
      <c r="O488" s="258">
        <v>8</v>
      </c>
      <c r="P488" s="70" t="s">
        <v>251</v>
      </c>
      <c r="Q488" s="70" t="s">
        <v>233</v>
      </c>
      <c r="R488" s="70" t="s">
        <v>240</v>
      </c>
      <c r="S488" s="70" t="s">
        <v>233</v>
      </c>
      <c r="T488" s="70" t="s">
        <v>233</v>
      </c>
      <c r="U488" s="70" t="s">
        <v>1427</v>
      </c>
      <c r="V488" s="70" t="s">
        <v>240</v>
      </c>
      <c r="W488" s="12"/>
      <c r="X488" s="242">
        <v>247.62</v>
      </c>
      <c r="Y488" s="242">
        <v>214.57999999999998</v>
      </c>
      <c r="Z488" s="242">
        <v>30.35</v>
      </c>
      <c r="AA488" s="157" t="s">
        <v>252</v>
      </c>
      <c r="AB488" s="242">
        <v>32.799999999999997</v>
      </c>
      <c r="AC488" s="157" t="s">
        <v>252</v>
      </c>
      <c r="AD488" s="242">
        <v>32.61</v>
      </c>
      <c r="AE488" s="157" t="s">
        <v>252</v>
      </c>
      <c r="AF488" s="242">
        <v>21.76</v>
      </c>
      <c r="AG488" s="157" t="s">
        <v>252</v>
      </c>
      <c r="AH488" s="242">
        <v>17.149999999999999</v>
      </c>
      <c r="AI488" s="157" t="s">
        <v>252</v>
      </c>
      <c r="AJ488" s="242">
        <v>4.7699999999999996</v>
      </c>
      <c r="AK488" s="242" t="s">
        <v>252</v>
      </c>
      <c r="AL488" s="242">
        <v>2.4700000000000002</v>
      </c>
      <c r="AM488" s="242" t="s">
        <v>252</v>
      </c>
      <c r="AN488" s="242">
        <v>1.95</v>
      </c>
      <c r="AO488" s="242" t="s">
        <v>252</v>
      </c>
      <c r="AP488" s="242">
        <v>1.51</v>
      </c>
      <c r="AQ488" s="242" t="s">
        <v>252</v>
      </c>
      <c r="AR488" s="242">
        <v>13.94</v>
      </c>
      <c r="AS488" s="242" t="s">
        <v>252</v>
      </c>
      <c r="AT488" s="242">
        <v>13.03</v>
      </c>
      <c r="AU488" s="242" t="s">
        <v>259</v>
      </c>
      <c r="AV488" s="242">
        <v>24.57638</v>
      </c>
      <c r="AW488" s="157" t="s">
        <v>259</v>
      </c>
      <c r="AX488" s="157">
        <v>659.11638000000005</v>
      </c>
      <c r="AY488" s="240">
        <v>9.2999999999999999E-2</v>
      </c>
      <c r="AZ488" s="156" t="s">
        <v>253</v>
      </c>
      <c r="BA488" s="156" t="s">
        <v>254</v>
      </c>
      <c r="BB488" s="156">
        <v>0</v>
      </c>
      <c r="BC488" s="156" t="s">
        <v>1423</v>
      </c>
      <c r="BD488" s="3"/>
    </row>
    <row r="489" spans="1:56" ht="15.75" hidden="1" customHeight="1" outlineLevel="1">
      <c r="A489" s="58">
        <v>479</v>
      </c>
      <c r="B489" s="11">
        <v>129479</v>
      </c>
      <c r="C489" s="89" t="s">
        <v>325</v>
      </c>
      <c r="D489" s="157">
        <v>27</v>
      </c>
      <c r="E489" s="12" t="s">
        <v>191</v>
      </c>
      <c r="F489" s="11" t="s">
        <v>246</v>
      </c>
      <c r="G489" s="18" t="s">
        <v>247</v>
      </c>
      <c r="H489" s="11" t="s">
        <v>248</v>
      </c>
      <c r="I489" s="87" t="s">
        <v>249</v>
      </c>
      <c r="J489" s="19" t="s">
        <v>139</v>
      </c>
      <c r="K489" s="17" t="s">
        <v>140</v>
      </c>
      <c r="L489" s="257">
        <v>0</v>
      </c>
      <c r="M489" s="70" t="s">
        <v>250</v>
      </c>
      <c r="N489" s="70">
        <v>100</v>
      </c>
      <c r="O489" s="258">
        <v>8</v>
      </c>
      <c r="P489" s="70" t="s">
        <v>251</v>
      </c>
      <c r="Q489" s="70" t="s">
        <v>233</v>
      </c>
      <c r="R489" s="70" t="s">
        <v>240</v>
      </c>
      <c r="S489" s="70" t="s">
        <v>233</v>
      </c>
      <c r="T489" s="70" t="s">
        <v>233</v>
      </c>
      <c r="U489" s="70" t="s">
        <v>1427</v>
      </c>
      <c r="V489" s="70" t="s">
        <v>240</v>
      </c>
      <c r="W489" s="12"/>
      <c r="X489" s="242">
        <v>156.57999999999998</v>
      </c>
      <c r="Y489" s="242">
        <v>167.69</v>
      </c>
      <c r="Z489" s="242">
        <v>23.94</v>
      </c>
      <c r="AA489" s="157" t="s">
        <v>252</v>
      </c>
      <c r="AB489" s="242">
        <v>18.13</v>
      </c>
      <c r="AC489" s="157" t="s">
        <v>252</v>
      </c>
      <c r="AD489" s="242">
        <v>18.43</v>
      </c>
      <c r="AE489" s="157" t="s">
        <v>252</v>
      </c>
      <c r="AF489" s="242">
        <v>17.809999999999999</v>
      </c>
      <c r="AG489" s="157" t="s">
        <v>252</v>
      </c>
      <c r="AH489" s="242">
        <v>10.77</v>
      </c>
      <c r="AI489" s="157" t="s">
        <v>252</v>
      </c>
      <c r="AJ489" s="242">
        <v>0.19</v>
      </c>
      <c r="AK489" s="242" t="s">
        <v>252</v>
      </c>
      <c r="AL489" s="242">
        <v>3.31</v>
      </c>
      <c r="AM489" s="242" t="s">
        <v>252</v>
      </c>
      <c r="AN489" s="242">
        <v>3.41</v>
      </c>
      <c r="AO489" s="242" t="s">
        <v>252</v>
      </c>
      <c r="AP489" s="242">
        <v>4</v>
      </c>
      <c r="AQ489" s="242" t="s">
        <v>252</v>
      </c>
      <c r="AR489" s="242">
        <v>14.82</v>
      </c>
      <c r="AS489" s="242" t="s">
        <v>252</v>
      </c>
      <c r="AT489" s="242">
        <v>14.29</v>
      </c>
      <c r="AU489" s="242" t="s">
        <v>259</v>
      </c>
      <c r="AV489" s="242">
        <v>18.22927</v>
      </c>
      <c r="AW489" s="157" t="s">
        <v>259</v>
      </c>
      <c r="AX489" s="157">
        <v>471.59926999999999</v>
      </c>
      <c r="AY489" s="240">
        <v>7.1400000000000005E-2</v>
      </c>
      <c r="AZ489" s="156" t="s">
        <v>253</v>
      </c>
      <c r="BA489" s="156" t="s">
        <v>254</v>
      </c>
      <c r="BB489" s="156">
        <v>0</v>
      </c>
      <c r="BC489" s="156" t="s">
        <v>1423</v>
      </c>
      <c r="BD489" s="3"/>
    </row>
    <row r="490" spans="1:56" ht="15.75" hidden="1" customHeight="1" outlineLevel="1">
      <c r="A490" s="58">
        <v>480</v>
      </c>
      <c r="B490" s="11">
        <v>129480</v>
      </c>
      <c r="C490" s="89" t="s">
        <v>325</v>
      </c>
      <c r="D490" s="157">
        <v>28</v>
      </c>
      <c r="E490" s="12" t="s">
        <v>191</v>
      </c>
      <c r="F490" s="11" t="s">
        <v>246</v>
      </c>
      <c r="G490" s="18" t="s">
        <v>247</v>
      </c>
      <c r="H490" s="11" t="s">
        <v>248</v>
      </c>
      <c r="I490" s="87" t="s">
        <v>249</v>
      </c>
      <c r="J490" s="19" t="s">
        <v>139</v>
      </c>
      <c r="K490" s="17" t="s">
        <v>140</v>
      </c>
      <c r="L490" s="257">
        <v>0</v>
      </c>
      <c r="M490" s="70" t="s">
        <v>250</v>
      </c>
      <c r="N490" s="70">
        <v>80</v>
      </c>
      <c r="O490" s="258">
        <v>8</v>
      </c>
      <c r="P490" s="70" t="s">
        <v>251</v>
      </c>
      <c r="Q490" s="70" t="s">
        <v>233</v>
      </c>
      <c r="R490" s="70" t="s">
        <v>240</v>
      </c>
      <c r="S490" s="70" t="s">
        <v>233</v>
      </c>
      <c r="T490" s="70" t="s">
        <v>233</v>
      </c>
      <c r="U490" s="70" t="s">
        <v>1427</v>
      </c>
      <c r="V490" s="70" t="s">
        <v>240</v>
      </c>
      <c r="W490" s="12"/>
      <c r="X490" s="242">
        <v>216.73</v>
      </c>
      <c r="Y490" s="242">
        <v>197.56</v>
      </c>
      <c r="Z490" s="242">
        <v>29.26</v>
      </c>
      <c r="AA490" s="157" t="s">
        <v>252</v>
      </c>
      <c r="AB490" s="242">
        <v>31.41</v>
      </c>
      <c r="AC490" s="157" t="s">
        <v>252</v>
      </c>
      <c r="AD490" s="242">
        <v>31.31</v>
      </c>
      <c r="AE490" s="157" t="s">
        <v>252</v>
      </c>
      <c r="AF490" s="242">
        <v>20.87</v>
      </c>
      <c r="AG490" s="157" t="s">
        <v>252</v>
      </c>
      <c r="AH490" s="242">
        <v>16.68</v>
      </c>
      <c r="AI490" s="157" t="s">
        <v>252</v>
      </c>
      <c r="AJ490" s="242">
        <v>4.29</v>
      </c>
      <c r="AK490" s="242" t="s">
        <v>252</v>
      </c>
      <c r="AL490" s="242">
        <v>2.2799999999999998</v>
      </c>
      <c r="AM490" s="242" t="s">
        <v>252</v>
      </c>
      <c r="AN490" s="242">
        <v>1.82</v>
      </c>
      <c r="AO490" s="242" t="s">
        <v>252</v>
      </c>
      <c r="AP490" s="242">
        <v>10.85</v>
      </c>
      <c r="AQ490" s="242" t="s">
        <v>252</v>
      </c>
      <c r="AR490" s="242">
        <v>13.4</v>
      </c>
      <c r="AS490" s="242" t="s">
        <v>252</v>
      </c>
      <c r="AT490" s="242">
        <v>12.46</v>
      </c>
      <c r="AU490" s="242" t="s">
        <v>259</v>
      </c>
      <c r="AV490" s="242">
        <v>23.63354</v>
      </c>
      <c r="AW490" s="157" t="s">
        <v>259</v>
      </c>
      <c r="AX490" s="157">
        <v>612.55354</v>
      </c>
      <c r="AY490" s="240">
        <v>0.09</v>
      </c>
      <c r="AZ490" s="156" t="s">
        <v>253</v>
      </c>
      <c r="BA490" s="156" t="s">
        <v>254</v>
      </c>
      <c r="BB490" s="156">
        <v>0</v>
      </c>
      <c r="BC490" s="156" t="s">
        <v>1423</v>
      </c>
      <c r="BD490" s="3"/>
    </row>
    <row r="491" spans="1:56" ht="15.75" hidden="1" customHeight="1" outlineLevel="1">
      <c r="A491" s="58">
        <v>481</v>
      </c>
      <c r="B491" s="11">
        <v>129481</v>
      </c>
      <c r="C491" s="89" t="s">
        <v>325</v>
      </c>
      <c r="D491" s="157">
        <v>29</v>
      </c>
      <c r="E491" s="12" t="s">
        <v>191</v>
      </c>
      <c r="F491" s="11" t="s">
        <v>246</v>
      </c>
      <c r="G491" s="18" t="s">
        <v>247</v>
      </c>
      <c r="H491" s="11" t="s">
        <v>248</v>
      </c>
      <c r="I491" s="87" t="s">
        <v>249</v>
      </c>
      <c r="J491" s="19" t="s">
        <v>139</v>
      </c>
      <c r="K491" s="17" t="s">
        <v>140</v>
      </c>
      <c r="L491" s="257">
        <v>0</v>
      </c>
      <c r="M491" s="70" t="s">
        <v>250</v>
      </c>
      <c r="N491" s="70">
        <v>80</v>
      </c>
      <c r="O491" s="258">
        <v>8</v>
      </c>
      <c r="P491" s="70" t="s">
        <v>251</v>
      </c>
      <c r="Q491" s="70" t="s">
        <v>233</v>
      </c>
      <c r="R491" s="70" t="s">
        <v>240</v>
      </c>
      <c r="S491" s="70" t="s">
        <v>233</v>
      </c>
      <c r="T491" s="70" t="s">
        <v>233</v>
      </c>
      <c r="U491" s="70" t="s">
        <v>1427</v>
      </c>
      <c r="V491" s="70" t="s">
        <v>240</v>
      </c>
      <c r="W491" s="12"/>
      <c r="X491" s="242">
        <v>550.69000000000005</v>
      </c>
      <c r="Y491" s="242">
        <v>586.42999999999995</v>
      </c>
      <c r="Z491" s="242">
        <v>85.85</v>
      </c>
      <c r="AA491" s="157" t="s">
        <v>252</v>
      </c>
      <c r="AB491" s="242">
        <v>64.69</v>
      </c>
      <c r="AC491" s="157" t="s">
        <v>252</v>
      </c>
      <c r="AD491" s="242">
        <v>65.599999999999994</v>
      </c>
      <c r="AE491" s="157" t="s">
        <v>252</v>
      </c>
      <c r="AF491" s="242">
        <v>63.52</v>
      </c>
      <c r="AG491" s="157" t="s">
        <v>252</v>
      </c>
      <c r="AH491" s="242">
        <v>38.44</v>
      </c>
      <c r="AI491" s="157" t="s">
        <v>252</v>
      </c>
      <c r="AJ491" s="242">
        <v>0.73</v>
      </c>
      <c r="AK491" s="242" t="s">
        <v>252</v>
      </c>
      <c r="AL491" s="242">
        <v>9.34</v>
      </c>
      <c r="AM491" s="242" t="s">
        <v>252</v>
      </c>
      <c r="AN491" s="242">
        <v>9.52</v>
      </c>
      <c r="AO491" s="242" t="s">
        <v>252</v>
      </c>
      <c r="AP491" s="242">
        <v>10.97</v>
      </c>
      <c r="AQ491" s="242" t="s">
        <v>252</v>
      </c>
      <c r="AR491" s="242">
        <v>54.13</v>
      </c>
      <c r="AS491" s="242" t="s">
        <v>252</v>
      </c>
      <c r="AT491" s="242">
        <v>51.55</v>
      </c>
      <c r="AU491" s="242" t="s">
        <v>259</v>
      </c>
      <c r="AV491" s="242">
        <v>65.388620000000003</v>
      </c>
      <c r="AW491" s="157" t="s">
        <v>259</v>
      </c>
      <c r="AX491" s="157">
        <v>1656.8486199999998</v>
      </c>
      <c r="AY491" s="240">
        <v>0.27100000000000002</v>
      </c>
      <c r="AZ491" s="156" t="s">
        <v>253</v>
      </c>
      <c r="BA491" s="156" t="s">
        <v>254</v>
      </c>
      <c r="BB491" s="156">
        <v>0</v>
      </c>
      <c r="BC491" s="156" t="s">
        <v>1423</v>
      </c>
      <c r="BD491" s="3"/>
    </row>
    <row r="492" spans="1:56" ht="15.75" hidden="1" customHeight="1" outlineLevel="1">
      <c r="A492" s="58">
        <v>482</v>
      </c>
      <c r="B492" s="11">
        <v>129482</v>
      </c>
      <c r="C492" s="89" t="s">
        <v>325</v>
      </c>
      <c r="D492" s="157">
        <v>3</v>
      </c>
      <c r="E492" s="12" t="s">
        <v>191</v>
      </c>
      <c r="F492" s="11" t="s">
        <v>246</v>
      </c>
      <c r="G492" s="18" t="s">
        <v>247</v>
      </c>
      <c r="H492" s="11" t="s">
        <v>248</v>
      </c>
      <c r="I492" s="87" t="s">
        <v>249</v>
      </c>
      <c r="J492" s="19" t="s">
        <v>139</v>
      </c>
      <c r="K492" s="17" t="s">
        <v>140</v>
      </c>
      <c r="L492" s="260">
        <v>2</v>
      </c>
      <c r="M492" s="70" t="s">
        <v>250</v>
      </c>
      <c r="N492" s="70">
        <v>100</v>
      </c>
      <c r="O492" s="258">
        <v>8</v>
      </c>
      <c r="P492" s="70" t="s">
        <v>251</v>
      </c>
      <c r="Q492" s="70" t="s">
        <v>233</v>
      </c>
      <c r="R492" s="70" t="s">
        <v>240</v>
      </c>
      <c r="S492" s="70" t="s">
        <v>233</v>
      </c>
      <c r="T492" s="70" t="s">
        <v>233</v>
      </c>
      <c r="U492" s="70" t="s">
        <v>1427</v>
      </c>
      <c r="V492" s="70" t="s">
        <v>240</v>
      </c>
      <c r="W492" s="12"/>
      <c r="X492" s="242">
        <v>181.69896454345781</v>
      </c>
      <c r="Y492" s="242">
        <v>154.33793536240978</v>
      </c>
      <c r="Z492" s="242">
        <v>24.807662378412296</v>
      </c>
      <c r="AA492" s="157" t="s">
        <v>252</v>
      </c>
      <c r="AB492" s="242">
        <v>19.300884844681516</v>
      </c>
      <c r="AC492" s="157" t="s">
        <v>252</v>
      </c>
      <c r="AD492" s="242">
        <v>20.002196422968307</v>
      </c>
      <c r="AE492" s="157" t="s">
        <v>252</v>
      </c>
      <c r="AF492" s="242">
        <v>21.82708817069344</v>
      </c>
      <c r="AG492" s="157" t="s">
        <v>252</v>
      </c>
      <c r="AH492" s="242">
        <v>5.9315155318481327</v>
      </c>
      <c r="AI492" s="157" t="s">
        <v>252</v>
      </c>
      <c r="AJ492" s="242">
        <v>2.0841794791339816</v>
      </c>
      <c r="AK492" s="242" t="s">
        <v>252</v>
      </c>
      <c r="AL492" s="242">
        <v>1.6569720740508314</v>
      </c>
      <c r="AM492" s="242" t="s">
        <v>252</v>
      </c>
      <c r="AN492" s="242">
        <v>2.108873548791967</v>
      </c>
      <c r="AO492" s="242" t="s">
        <v>252</v>
      </c>
      <c r="AP492" s="242">
        <v>2.506448070285535</v>
      </c>
      <c r="AQ492" s="242" t="s">
        <v>252</v>
      </c>
      <c r="AR492" s="242">
        <v>16.135105114527768</v>
      </c>
      <c r="AS492" s="242" t="s">
        <v>252</v>
      </c>
      <c r="AT492" s="242">
        <v>15.530100407907122</v>
      </c>
      <c r="AU492" s="242" t="s">
        <v>259</v>
      </c>
      <c r="AV492" s="242">
        <v>19.052166175086288</v>
      </c>
      <c r="AW492" s="157" t="s">
        <v>259</v>
      </c>
      <c r="AX492" s="157">
        <v>486.98009212425484</v>
      </c>
      <c r="AY492" s="240">
        <v>8.2280640100407906E-2</v>
      </c>
      <c r="AZ492" s="156" t="s">
        <v>253</v>
      </c>
      <c r="BA492" s="156" t="s">
        <v>254</v>
      </c>
      <c r="BB492" s="156">
        <v>2</v>
      </c>
      <c r="BC492" s="156" t="s">
        <v>1423</v>
      </c>
      <c r="BD492" s="3"/>
    </row>
    <row r="493" spans="1:56" ht="15.75" hidden="1" customHeight="1" outlineLevel="1">
      <c r="A493" s="58">
        <v>483</v>
      </c>
      <c r="B493" s="11">
        <v>129483</v>
      </c>
      <c r="C493" s="89" t="s">
        <v>325</v>
      </c>
      <c r="D493" s="157">
        <v>3</v>
      </c>
      <c r="E493" s="12" t="s">
        <v>231</v>
      </c>
      <c r="F493" s="11" t="s">
        <v>246</v>
      </c>
      <c r="G493" s="18" t="s">
        <v>247</v>
      </c>
      <c r="H493" s="11" t="s">
        <v>248</v>
      </c>
      <c r="I493" s="87" t="s">
        <v>249</v>
      </c>
      <c r="J493" s="19" t="s">
        <v>139</v>
      </c>
      <c r="K493" s="17" t="s">
        <v>140</v>
      </c>
      <c r="L493" s="257">
        <v>0</v>
      </c>
      <c r="M493" s="70" t="s">
        <v>250</v>
      </c>
      <c r="N493" s="70">
        <v>100</v>
      </c>
      <c r="O493" s="258">
        <v>8</v>
      </c>
      <c r="P493" s="70" t="s">
        <v>251</v>
      </c>
      <c r="Q493" s="70" t="s">
        <v>233</v>
      </c>
      <c r="R493" s="70" t="s">
        <v>240</v>
      </c>
      <c r="S493" s="70" t="s">
        <v>233</v>
      </c>
      <c r="T493" s="70" t="s">
        <v>233</v>
      </c>
      <c r="U493" s="70" t="s">
        <v>1427</v>
      </c>
      <c r="V493" s="70" t="s">
        <v>240</v>
      </c>
      <c r="W493" s="12"/>
      <c r="X493" s="242">
        <v>0</v>
      </c>
      <c r="Y493" s="242">
        <v>0</v>
      </c>
      <c r="Z493" s="242">
        <v>0</v>
      </c>
      <c r="AA493" s="157" t="s">
        <v>252</v>
      </c>
      <c r="AB493" s="242">
        <v>0</v>
      </c>
      <c r="AC493" s="157" t="s">
        <v>252</v>
      </c>
      <c r="AD493" s="242">
        <v>0</v>
      </c>
      <c r="AE493" s="157" t="s">
        <v>252</v>
      </c>
      <c r="AF493" s="242">
        <v>0</v>
      </c>
      <c r="AG493" s="157" t="s">
        <v>252</v>
      </c>
      <c r="AH493" s="242">
        <v>0</v>
      </c>
      <c r="AI493" s="157" t="s">
        <v>252</v>
      </c>
      <c r="AJ493" s="242">
        <v>0</v>
      </c>
      <c r="AK493" s="242" t="s">
        <v>252</v>
      </c>
      <c r="AL493" s="242">
        <v>0</v>
      </c>
      <c r="AM493" s="242" t="s">
        <v>252</v>
      </c>
      <c r="AN493" s="242">
        <v>0</v>
      </c>
      <c r="AO493" s="242" t="s">
        <v>252</v>
      </c>
      <c r="AP493" s="242">
        <v>0</v>
      </c>
      <c r="AQ493" s="242" t="s">
        <v>252</v>
      </c>
      <c r="AR493" s="242">
        <v>0</v>
      </c>
      <c r="AS493" s="242" t="s">
        <v>252</v>
      </c>
      <c r="AT493" s="242">
        <v>0</v>
      </c>
      <c r="AU493" s="242" t="s">
        <v>259</v>
      </c>
      <c r="AV493" s="242">
        <v>0</v>
      </c>
      <c r="AW493" s="157" t="s">
        <v>259</v>
      </c>
      <c r="AX493" s="157">
        <v>0</v>
      </c>
      <c r="AY493" s="243">
        <v>0.3332</v>
      </c>
      <c r="AZ493" s="156" t="s">
        <v>253</v>
      </c>
      <c r="BA493" s="156" t="s">
        <v>254</v>
      </c>
      <c r="BB493" s="156">
        <v>0</v>
      </c>
      <c r="BC493" s="156" t="s">
        <v>1423</v>
      </c>
      <c r="BD493" s="3"/>
    </row>
    <row r="494" spans="1:56" ht="15.75" hidden="1" customHeight="1" outlineLevel="1">
      <c r="A494" s="58">
        <v>484</v>
      </c>
      <c r="B494" s="11">
        <v>129484</v>
      </c>
      <c r="C494" s="89" t="s">
        <v>325</v>
      </c>
      <c r="D494" s="157">
        <v>3</v>
      </c>
      <c r="E494" s="12" t="s">
        <v>260</v>
      </c>
      <c r="F494" s="11" t="s">
        <v>246</v>
      </c>
      <c r="G494" s="18" t="s">
        <v>247</v>
      </c>
      <c r="H494" s="11" t="s">
        <v>248</v>
      </c>
      <c r="I494" s="87" t="s">
        <v>249</v>
      </c>
      <c r="J494" s="19" t="s">
        <v>139</v>
      </c>
      <c r="K494" s="17" t="s">
        <v>140</v>
      </c>
      <c r="L494" s="257">
        <v>0</v>
      </c>
      <c r="M494" s="70" t="s">
        <v>250</v>
      </c>
      <c r="N494" s="70">
        <v>100</v>
      </c>
      <c r="O494" s="258">
        <v>8</v>
      </c>
      <c r="P494" s="70" t="s">
        <v>251</v>
      </c>
      <c r="Q494" s="70" t="s">
        <v>233</v>
      </c>
      <c r="R494" s="70" t="s">
        <v>240</v>
      </c>
      <c r="S494" s="70" t="s">
        <v>233</v>
      </c>
      <c r="T494" s="70" t="s">
        <v>233</v>
      </c>
      <c r="U494" s="70" t="s">
        <v>1427</v>
      </c>
      <c r="V494" s="70" t="s">
        <v>240</v>
      </c>
      <c r="W494" s="12"/>
      <c r="X494" s="242">
        <v>554.10103545654226</v>
      </c>
      <c r="Y494" s="242">
        <v>470.66206463759022</v>
      </c>
      <c r="Z494" s="242">
        <v>75.652337621587705</v>
      </c>
      <c r="AA494" s="157" t="s">
        <v>252</v>
      </c>
      <c r="AB494" s="242">
        <v>58.859115155318484</v>
      </c>
      <c r="AC494" s="157" t="s">
        <v>252</v>
      </c>
      <c r="AD494" s="242">
        <v>60.997803577031696</v>
      </c>
      <c r="AE494" s="157" t="s">
        <v>252</v>
      </c>
      <c r="AF494" s="242">
        <v>66.562911829306557</v>
      </c>
      <c r="AG494" s="157" t="s">
        <v>252</v>
      </c>
      <c r="AH494" s="242">
        <v>18.088484468151869</v>
      </c>
      <c r="AI494" s="157" t="s">
        <v>252</v>
      </c>
      <c r="AJ494" s="242">
        <v>6.3558205208660183</v>
      </c>
      <c r="AK494" s="242" t="s">
        <v>252</v>
      </c>
      <c r="AL494" s="242">
        <v>5.0530279259491691</v>
      </c>
      <c r="AM494" s="242" t="s">
        <v>252</v>
      </c>
      <c r="AN494" s="242">
        <v>6.4311264512080326</v>
      </c>
      <c r="AO494" s="242" t="s">
        <v>252</v>
      </c>
      <c r="AP494" s="242">
        <v>7.6435519297144658</v>
      </c>
      <c r="AQ494" s="242" t="s">
        <v>252</v>
      </c>
      <c r="AR494" s="242">
        <v>49.204894885472235</v>
      </c>
      <c r="AS494" s="242" t="s">
        <v>252</v>
      </c>
      <c r="AT494" s="242">
        <v>47.35989959209288</v>
      </c>
      <c r="AU494" s="242" t="s">
        <v>259</v>
      </c>
      <c r="AV494" s="242">
        <v>58.100633824913714</v>
      </c>
      <c r="AW494" s="157" t="s">
        <v>259</v>
      </c>
      <c r="AX494" s="157">
        <v>1485.0727078757452</v>
      </c>
      <c r="AY494" s="243">
        <v>0.25091935989959208</v>
      </c>
      <c r="AZ494" s="156" t="s">
        <v>253</v>
      </c>
      <c r="BA494" s="156" t="s">
        <v>254</v>
      </c>
      <c r="BB494" s="156">
        <v>0</v>
      </c>
      <c r="BC494" s="156" t="s">
        <v>1423</v>
      </c>
      <c r="BD494" s="3"/>
    </row>
    <row r="495" spans="1:56" ht="15.75" hidden="1" customHeight="1" outlineLevel="1">
      <c r="A495" s="58">
        <v>485</v>
      </c>
      <c r="B495" s="11">
        <v>129485</v>
      </c>
      <c r="C495" s="89" t="s">
        <v>325</v>
      </c>
      <c r="D495" s="157">
        <v>30</v>
      </c>
      <c r="E495" s="12" t="s">
        <v>191</v>
      </c>
      <c r="F495" s="11" t="s">
        <v>246</v>
      </c>
      <c r="G495" s="18" t="s">
        <v>247</v>
      </c>
      <c r="H495" s="11" t="s">
        <v>248</v>
      </c>
      <c r="I495" s="87" t="s">
        <v>249</v>
      </c>
      <c r="J495" s="19" t="s">
        <v>139</v>
      </c>
      <c r="K495" s="17" t="s">
        <v>140</v>
      </c>
      <c r="L495" s="257">
        <v>0</v>
      </c>
      <c r="M495" s="70" t="s">
        <v>250</v>
      </c>
      <c r="N495" s="70">
        <v>100</v>
      </c>
      <c r="O495" s="258">
        <v>8</v>
      </c>
      <c r="P495" s="70" t="s">
        <v>251</v>
      </c>
      <c r="Q495" s="70" t="s">
        <v>233</v>
      </c>
      <c r="R495" s="70" t="s">
        <v>240</v>
      </c>
      <c r="S495" s="70" t="s">
        <v>240</v>
      </c>
      <c r="T495" s="70" t="s">
        <v>240</v>
      </c>
      <c r="U495" s="70" t="s">
        <v>1427</v>
      </c>
      <c r="V495" s="70" t="s">
        <v>240</v>
      </c>
      <c r="W495" s="12"/>
      <c r="X495" s="242">
        <v>1469.2900000000004</v>
      </c>
      <c r="Y495" s="242">
        <v>1986.28</v>
      </c>
      <c r="Z495" s="242">
        <v>205.03</v>
      </c>
      <c r="AA495" s="157" t="s">
        <v>259</v>
      </c>
      <c r="AB495" s="242">
        <v>203.7</v>
      </c>
      <c r="AC495" s="157" t="s">
        <v>259</v>
      </c>
      <c r="AD495" s="242">
        <v>203.8</v>
      </c>
      <c r="AE495" s="157" t="s">
        <v>259</v>
      </c>
      <c r="AF495" s="242">
        <v>203.77</v>
      </c>
      <c r="AG495" s="157" t="s">
        <v>259</v>
      </c>
      <c r="AH495" s="242">
        <v>202.99</v>
      </c>
      <c r="AI495" s="157" t="s">
        <v>259</v>
      </c>
      <c r="AJ495" s="242">
        <v>61.68</v>
      </c>
      <c r="AK495" s="242" t="s">
        <v>259</v>
      </c>
      <c r="AL495" s="242">
        <v>65.61</v>
      </c>
      <c r="AM495" s="242" t="s">
        <v>259</v>
      </c>
      <c r="AN495" s="242">
        <v>3.18</v>
      </c>
      <c r="AO495" s="242" t="s">
        <v>259</v>
      </c>
      <c r="AP495" s="242">
        <v>42.71</v>
      </c>
      <c r="AQ495" s="242" t="s">
        <v>259</v>
      </c>
      <c r="AR495" s="242">
        <v>194.95</v>
      </c>
      <c r="AS495" s="242" t="s">
        <v>259</v>
      </c>
      <c r="AT495" s="242">
        <v>194.7</v>
      </c>
      <c r="AU495" s="242" t="s">
        <v>259</v>
      </c>
      <c r="AV495" s="242">
        <v>194.74</v>
      </c>
      <c r="AW495" s="157" t="s">
        <v>259</v>
      </c>
      <c r="AX495" s="157">
        <v>5232.43</v>
      </c>
      <c r="AY495" s="240">
        <v>0.62839999999999996</v>
      </c>
      <c r="AZ495" s="156" t="s">
        <v>253</v>
      </c>
      <c r="BA495" s="156" t="s">
        <v>254</v>
      </c>
      <c r="BB495" s="156">
        <v>0</v>
      </c>
      <c r="BC495" s="156" t="s">
        <v>1423</v>
      </c>
      <c r="BD495" s="3"/>
    </row>
    <row r="496" spans="1:56" ht="15.75" hidden="1" customHeight="1" outlineLevel="1">
      <c r="A496" s="58">
        <v>486</v>
      </c>
      <c r="B496" s="11">
        <v>129486</v>
      </c>
      <c r="C496" s="89" t="s">
        <v>325</v>
      </c>
      <c r="D496" s="157">
        <v>31</v>
      </c>
      <c r="E496" s="12" t="s">
        <v>191</v>
      </c>
      <c r="F496" s="11" t="s">
        <v>246</v>
      </c>
      <c r="G496" s="18" t="s">
        <v>247</v>
      </c>
      <c r="H496" s="11" t="s">
        <v>248</v>
      </c>
      <c r="I496" s="87" t="s">
        <v>249</v>
      </c>
      <c r="J496" s="19" t="s">
        <v>139</v>
      </c>
      <c r="K496" s="17" t="s">
        <v>140</v>
      </c>
      <c r="L496" s="260">
        <v>1</v>
      </c>
      <c r="M496" s="70" t="s">
        <v>250</v>
      </c>
      <c r="N496" s="70">
        <v>80</v>
      </c>
      <c r="O496" s="258">
        <v>8</v>
      </c>
      <c r="P496" s="70" t="s">
        <v>251</v>
      </c>
      <c r="Q496" s="70" t="s">
        <v>233</v>
      </c>
      <c r="R496" s="70" t="s">
        <v>240</v>
      </c>
      <c r="S496" s="70" t="s">
        <v>233</v>
      </c>
      <c r="T496" s="70" t="s">
        <v>233</v>
      </c>
      <c r="U496" s="70" t="s">
        <v>1427</v>
      </c>
      <c r="V496" s="70" t="s">
        <v>240</v>
      </c>
      <c r="W496" s="12"/>
      <c r="X496" s="242">
        <v>515.21</v>
      </c>
      <c r="Y496" s="242">
        <v>541.86000000000013</v>
      </c>
      <c r="Z496" s="242">
        <v>76.989999999999995</v>
      </c>
      <c r="AA496" s="157" t="s">
        <v>252</v>
      </c>
      <c r="AB496" s="242">
        <v>58.07</v>
      </c>
      <c r="AC496" s="157" t="s">
        <v>252</v>
      </c>
      <c r="AD496" s="242">
        <v>58.96</v>
      </c>
      <c r="AE496" s="157" t="s">
        <v>252</v>
      </c>
      <c r="AF496" s="242">
        <v>56.98</v>
      </c>
      <c r="AG496" s="157" t="s">
        <v>252</v>
      </c>
      <c r="AH496" s="242">
        <v>34.409999999999997</v>
      </c>
      <c r="AI496" s="157" t="s">
        <v>252</v>
      </c>
      <c r="AJ496" s="242">
        <v>0.89</v>
      </c>
      <c r="AK496" s="242" t="s">
        <v>252</v>
      </c>
      <c r="AL496" s="242">
        <v>13.84</v>
      </c>
      <c r="AM496" s="242" t="s">
        <v>252</v>
      </c>
      <c r="AN496" s="242">
        <v>12.21</v>
      </c>
      <c r="AO496" s="242" t="s">
        <v>252</v>
      </c>
      <c r="AP496" s="242">
        <v>13.79</v>
      </c>
      <c r="AQ496" s="242" t="s">
        <v>252</v>
      </c>
      <c r="AR496" s="242">
        <v>47.43</v>
      </c>
      <c r="AS496" s="242" t="s">
        <v>252</v>
      </c>
      <c r="AT496" s="242">
        <v>45.91</v>
      </c>
      <c r="AU496" s="242" t="s">
        <v>259</v>
      </c>
      <c r="AV496" s="242">
        <v>58.452750000000002</v>
      </c>
      <c r="AW496" s="157" t="s">
        <v>259</v>
      </c>
      <c r="AX496" s="157">
        <v>1535.0027500000003</v>
      </c>
      <c r="AY496" s="240">
        <v>0.23200000000000001</v>
      </c>
      <c r="AZ496" s="156" t="s">
        <v>253</v>
      </c>
      <c r="BA496" s="156" t="s">
        <v>254</v>
      </c>
      <c r="BB496" s="156">
        <v>1</v>
      </c>
      <c r="BC496" s="156" t="s">
        <v>1423</v>
      </c>
      <c r="BD496" s="3"/>
    </row>
    <row r="497" spans="1:56" ht="15.75" hidden="1" customHeight="1" outlineLevel="1">
      <c r="A497" s="58">
        <v>487</v>
      </c>
      <c r="B497" s="11">
        <v>129487</v>
      </c>
      <c r="C497" s="89" t="s">
        <v>325</v>
      </c>
      <c r="D497" s="157">
        <v>33</v>
      </c>
      <c r="E497" s="12" t="s">
        <v>191</v>
      </c>
      <c r="F497" s="11" t="s">
        <v>246</v>
      </c>
      <c r="G497" s="18" t="s">
        <v>247</v>
      </c>
      <c r="H497" s="11" t="s">
        <v>248</v>
      </c>
      <c r="I497" s="87" t="s">
        <v>249</v>
      </c>
      <c r="J497" s="19" t="s">
        <v>139</v>
      </c>
      <c r="K497" s="17" t="s">
        <v>140</v>
      </c>
      <c r="L497" s="257">
        <v>0</v>
      </c>
      <c r="M497" s="70" t="s">
        <v>250</v>
      </c>
      <c r="N497" s="70">
        <v>80</v>
      </c>
      <c r="O497" s="258">
        <v>8</v>
      </c>
      <c r="P497" s="70" t="s">
        <v>251</v>
      </c>
      <c r="Q497" s="70" t="s">
        <v>233</v>
      </c>
      <c r="R497" s="70" t="s">
        <v>240</v>
      </c>
      <c r="S497" s="70" t="s">
        <v>233</v>
      </c>
      <c r="T497" s="70" t="s">
        <v>233</v>
      </c>
      <c r="U497" s="70" t="s">
        <v>1427</v>
      </c>
      <c r="V497" s="70" t="s">
        <v>240</v>
      </c>
      <c r="W497" s="12"/>
      <c r="X497" s="242">
        <v>528.90000000000009</v>
      </c>
      <c r="Y497" s="242">
        <v>566.55000000000007</v>
      </c>
      <c r="Z497" s="242">
        <v>81</v>
      </c>
      <c r="AA497" s="157" t="s">
        <v>252</v>
      </c>
      <c r="AB497" s="242">
        <v>61.08</v>
      </c>
      <c r="AC497" s="157" t="s">
        <v>252</v>
      </c>
      <c r="AD497" s="242">
        <v>61.87</v>
      </c>
      <c r="AE497" s="157" t="s">
        <v>252</v>
      </c>
      <c r="AF497" s="242">
        <v>59.99</v>
      </c>
      <c r="AG497" s="157" t="s">
        <v>252</v>
      </c>
      <c r="AH497" s="242">
        <v>36.24</v>
      </c>
      <c r="AI497" s="157" t="s">
        <v>252</v>
      </c>
      <c r="AJ497" s="242">
        <v>0.9</v>
      </c>
      <c r="AK497" s="242" t="s">
        <v>252</v>
      </c>
      <c r="AL497" s="242">
        <v>11.49</v>
      </c>
      <c r="AM497" s="242" t="s">
        <v>252</v>
      </c>
      <c r="AN497" s="242">
        <v>11.84</v>
      </c>
      <c r="AO497" s="242" t="s">
        <v>252</v>
      </c>
      <c r="AP497" s="242">
        <v>13.58</v>
      </c>
      <c r="AQ497" s="242" t="s">
        <v>252</v>
      </c>
      <c r="AR497" s="242">
        <v>50.01</v>
      </c>
      <c r="AS497" s="242" t="s">
        <v>252</v>
      </c>
      <c r="AT497" s="242">
        <v>48.25</v>
      </c>
      <c r="AU497" s="242" t="s">
        <v>259</v>
      </c>
      <c r="AV497" s="242">
        <v>61.492890000000003</v>
      </c>
      <c r="AW497" s="157" t="s">
        <v>259</v>
      </c>
      <c r="AX497" s="157">
        <v>1593.19289</v>
      </c>
      <c r="AY497" s="240">
        <v>0.26</v>
      </c>
      <c r="AZ497" s="156" t="s">
        <v>253</v>
      </c>
      <c r="BA497" s="156" t="s">
        <v>254</v>
      </c>
      <c r="BB497" s="156">
        <v>0</v>
      </c>
      <c r="BC497" s="156" t="s">
        <v>1423</v>
      </c>
      <c r="BD497" s="3"/>
    </row>
    <row r="498" spans="1:56" ht="15.75" hidden="1" customHeight="1" outlineLevel="1">
      <c r="A498" s="58">
        <v>488</v>
      </c>
      <c r="B498" s="11">
        <v>129488</v>
      </c>
      <c r="C498" s="89" t="s">
        <v>325</v>
      </c>
      <c r="D498" s="157">
        <v>35</v>
      </c>
      <c r="E498" s="12" t="s">
        <v>191</v>
      </c>
      <c r="F498" s="11" t="s">
        <v>246</v>
      </c>
      <c r="G498" s="18" t="s">
        <v>247</v>
      </c>
      <c r="H498" s="11" t="s">
        <v>248</v>
      </c>
      <c r="I498" s="87" t="s">
        <v>249</v>
      </c>
      <c r="J498" s="19" t="s">
        <v>139</v>
      </c>
      <c r="K498" s="17" t="s">
        <v>140</v>
      </c>
      <c r="L498" s="257">
        <v>0</v>
      </c>
      <c r="M498" s="70" t="s">
        <v>250</v>
      </c>
      <c r="N498" s="70">
        <v>100</v>
      </c>
      <c r="O498" s="258">
        <v>8</v>
      </c>
      <c r="P498" s="70" t="s">
        <v>251</v>
      </c>
      <c r="Q498" s="70" t="s">
        <v>233</v>
      </c>
      <c r="R498" s="70" t="s">
        <v>240</v>
      </c>
      <c r="S498" s="70" t="s">
        <v>233</v>
      </c>
      <c r="T498" s="70" t="s">
        <v>233</v>
      </c>
      <c r="U498" s="70" t="s">
        <v>1427</v>
      </c>
      <c r="V498" s="70" t="s">
        <v>240</v>
      </c>
      <c r="W498" s="12"/>
      <c r="X498" s="242">
        <v>290.99999999999994</v>
      </c>
      <c r="Y498" s="242">
        <v>351.76</v>
      </c>
      <c r="Z498" s="242">
        <v>52.84</v>
      </c>
      <c r="AA498" s="157" t="s">
        <v>252</v>
      </c>
      <c r="AB498" s="242">
        <v>40.94</v>
      </c>
      <c r="AC498" s="157" t="s">
        <v>252</v>
      </c>
      <c r="AD498" s="242">
        <v>105.02</v>
      </c>
      <c r="AE498" s="157" t="s">
        <v>252</v>
      </c>
      <c r="AF498" s="242">
        <v>16.78</v>
      </c>
      <c r="AG498" s="157" t="s">
        <v>252</v>
      </c>
      <c r="AH498" s="242">
        <v>20.82</v>
      </c>
      <c r="AI498" s="157" t="s">
        <v>252</v>
      </c>
      <c r="AJ498" s="242">
        <v>3.17</v>
      </c>
      <c r="AK498" s="242" t="s">
        <v>252</v>
      </c>
      <c r="AL498" s="242">
        <v>2.4500000000000002</v>
      </c>
      <c r="AM498" s="242" t="s">
        <v>252</v>
      </c>
      <c r="AN498" s="242">
        <v>2.94</v>
      </c>
      <c r="AO498" s="242" t="s">
        <v>252</v>
      </c>
      <c r="AP498" s="242">
        <v>3.3</v>
      </c>
      <c r="AQ498" s="242" t="s">
        <v>252</v>
      </c>
      <c r="AR498" s="242">
        <v>28.27</v>
      </c>
      <c r="AS498" s="242" t="s">
        <v>252</v>
      </c>
      <c r="AT498" s="242">
        <v>27.44</v>
      </c>
      <c r="AU498" s="242" t="s">
        <v>259</v>
      </c>
      <c r="AV498" s="242">
        <v>47.802880000000002</v>
      </c>
      <c r="AW498" s="157" t="s">
        <v>259</v>
      </c>
      <c r="AX498" s="157">
        <v>994.53287999999998</v>
      </c>
      <c r="AY498" s="240">
        <v>0.2</v>
      </c>
      <c r="AZ498" s="156" t="s">
        <v>253</v>
      </c>
      <c r="BA498" s="156" t="s">
        <v>254</v>
      </c>
      <c r="BB498" s="156">
        <v>0</v>
      </c>
      <c r="BC498" s="156" t="s">
        <v>1423</v>
      </c>
      <c r="BD498" s="3"/>
    </row>
    <row r="499" spans="1:56" ht="15.75" hidden="1" customHeight="1" outlineLevel="1">
      <c r="A499" s="58">
        <v>489</v>
      </c>
      <c r="B499" s="11">
        <v>129489</v>
      </c>
      <c r="C499" s="89" t="s">
        <v>325</v>
      </c>
      <c r="D499" s="157">
        <v>37</v>
      </c>
      <c r="E499" s="12" t="s">
        <v>191</v>
      </c>
      <c r="F499" s="11" t="s">
        <v>246</v>
      </c>
      <c r="G499" s="18" t="s">
        <v>247</v>
      </c>
      <c r="H499" s="11" t="s">
        <v>248</v>
      </c>
      <c r="I499" s="87" t="s">
        <v>249</v>
      </c>
      <c r="J499" s="19" t="s">
        <v>139</v>
      </c>
      <c r="K499" s="17" t="s">
        <v>140</v>
      </c>
      <c r="L499" s="260">
        <v>1</v>
      </c>
      <c r="M499" s="70" t="s">
        <v>250</v>
      </c>
      <c r="N499" s="70">
        <v>100</v>
      </c>
      <c r="O499" s="258">
        <v>8</v>
      </c>
      <c r="P499" s="70" t="s">
        <v>251</v>
      </c>
      <c r="Q499" s="70" t="s">
        <v>233</v>
      </c>
      <c r="R499" s="70" t="s">
        <v>240</v>
      </c>
      <c r="S499" s="70" t="s">
        <v>233</v>
      </c>
      <c r="T499" s="70" t="s">
        <v>233</v>
      </c>
      <c r="U499" s="70" t="s">
        <v>1427</v>
      </c>
      <c r="V499" s="70" t="s">
        <v>240</v>
      </c>
      <c r="W499" s="12"/>
      <c r="X499" s="242">
        <v>723.79000000000008</v>
      </c>
      <c r="Y499" s="242">
        <v>697.92</v>
      </c>
      <c r="Z499" s="242">
        <v>101.78</v>
      </c>
      <c r="AA499" s="157" t="s">
        <v>252</v>
      </c>
      <c r="AB499" s="242">
        <v>78.67</v>
      </c>
      <c r="AC499" s="157" t="s">
        <v>252</v>
      </c>
      <c r="AD499" s="242">
        <v>201.98</v>
      </c>
      <c r="AE499" s="157" t="s">
        <v>252</v>
      </c>
      <c r="AF499" s="242">
        <v>32.42</v>
      </c>
      <c r="AG499" s="157" t="s">
        <v>252</v>
      </c>
      <c r="AH499" s="242">
        <v>83.79</v>
      </c>
      <c r="AI499" s="157" t="s">
        <v>252</v>
      </c>
      <c r="AJ499" s="242">
        <v>9.16</v>
      </c>
      <c r="AK499" s="242" t="s">
        <v>252</v>
      </c>
      <c r="AL499" s="242">
        <v>7.14</v>
      </c>
      <c r="AM499" s="242" t="s">
        <v>252</v>
      </c>
      <c r="AN499" s="242">
        <v>8.2799999999999994</v>
      </c>
      <c r="AO499" s="242" t="s">
        <v>252</v>
      </c>
      <c r="AP499" s="242">
        <v>9.51</v>
      </c>
      <c r="AQ499" s="242" t="s">
        <v>252</v>
      </c>
      <c r="AR499" s="242">
        <v>53.47</v>
      </c>
      <c r="AS499" s="242" t="s">
        <v>252</v>
      </c>
      <c r="AT499" s="242">
        <v>52.28</v>
      </c>
      <c r="AU499" s="242" t="s">
        <v>259</v>
      </c>
      <c r="AV499" s="242">
        <v>91.770240000000001</v>
      </c>
      <c r="AW499" s="157" t="s">
        <v>259</v>
      </c>
      <c r="AX499" s="157">
        <v>2151.9602400000003</v>
      </c>
      <c r="AY499" s="240">
        <v>0.37</v>
      </c>
      <c r="AZ499" s="156" t="s">
        <v>253</v>
      </c>
      <c r="BA499" s="156" t="s">
        <v>254</v>
      </c>
      <c r="BB499" s="156">
        <v>1</v>
      </c>
      <c r="BC499" s="156" t="s">
        <v>1423</v>
      </c>
      <c r="BD499" s="3"/>
    </row>
    <row r="500" spans="1:56" ht="15.75" hidden="1" customHeight="1" outlineLevel="1">
      <c r="A500" s="58">
        <v>490</v>
      </c>
      <c r="B500" s="11">
        <v>129490</v>
      </c>
      <c r="C500" s="89" t="s">
        <v>325</v>
      </c>
      <c r="D500" s="157">
        <v>4</v>
      </c>
      <c r="E500" s="12" t="s">
        <v>191</v>
      </c>
      <c r="F500" s="11" t="s">
        <v>246</v>
      </c>
      <c r="G500" s="18" t="s">
        <v>247</v>
      </c>
      <c r="H500" s="11" t="s">
        <v>248</v>
      </c>
      <c r="I500" s="87" t="s">
        <v>249</v>
      </c>
      <c r="J500" s="19" t="s">
        <v>139</v>
      </c>
      <c r="K500" s="17" t="s">
        <v>140</v>
      </c>
      <c r="L500" s="260">
        <v>1</v>
      </c>
      <c r="M500" s="70" t="s">
        <v>250</v>
      </c>
      <c r="N500" s="70">
        <v>100</v>
      </c>
      <c r="O500" s="258">
        <v>8</v>
      </c>
      <c r="P500" s="70" t="s">
        <v>251</v>
      </c>
      <c r="Q500" s="70" t="s">
        <v>233</v>
      </c>
      <c r="R500" s="70" t="s">
        <v>240</v>
      </c>
      <c r="S500" s="70" t="s">
        <v>233</v>
      </c>
      <c r="T500" s="70" t="s">
        <v>233</v>
      </c>
      <c r="U500" s="70" t="s">
        <v>1427</v>
      </c>
      <c r="V500" s="70" t="s">
        <v>240</v>
      </c>
      <c r="W500" s="12"/>
      <c r="X500" s="242">
        <v>488.43</v>
      </c>
      <c r="Y500" s="242">
        <v>445.56</v>
      </c>
      <c r="Z500" s="242">
        <v>66.08</v>
      </c>
      <c r="AA500" s="157" t="s">
        <v>252</v>
      </c>
      <c r="AB500" s="242">
        <v>47.64</v>
      </c>
      <c r="AC500" s="157" t="s">
        <v>259</v>
      </c>
      <c r="AD500" s="242">
        <v>47.65</v>
      </c>
      <c r="AE500" s="157" t="s">
        <v>259</v>
      </c>
      <c r="AF500" s="242">
        <v>47.65</v>
      </c>
      <c r="AG500" s="157" t="s">
        <v>259</v>
      </c>
      <c r="AH500" s="242">
        <v>46.39</v>
      </c>
      <c r="AI500" s="157" t="s">
        <v>259</v>
      </c>
      <c r="AJ500" s="242">
        <v>6.9</v>
      </c>
      <c r="AK500" s="242" t="s">
        <v>259</v>
      </c>
      <c r="AL500" s="242">
        <v>6.9</v>
      </c>
      <c r="AM500" s="242" t="s">
        <v>259</v>
      </c>
      <c r="AN500" s="242">
        <v>6.9</v>
      </c>
      <c r="AO500" s="242" t="s">
        <v>259</v>
      </c>
      <c r="AP500" s="242">
        <v>12.39237</v>
      </c>
      <c r="AQ500" s="242" t="s">
        <v>259</v>
      </c>
      <c r="AR500" s="242">
        <v>63.86</v>
      </c>
      <c r="AS500" s="242" t="s">
        <v>259</v>
      </c>
      <c r="AT500" s="242">
        <v>40.78913</v>
      </c>
      <c r="AU500" s="242" t="s">
        <v>259</v>
      </c>
      <c r="AV500" s="242">
        <v>42.56</v>
      </c>
      <c r="AW500" s="157" t="s">
        <v>259</v>
      </c>
      <c r="AX500" s="157">
        <v>1369.7015000000006</v>
      </c>
      <c r="AY500" s="240">
        <v>0.23899999999999999</v>
      </c>
      <c r="AZ500" s="156" t="s">
        <v>253</v>
      </c>
      <c r="BA500" s="156" t="s">
        <v>254</v>
      </c>
      <c r="BB500" s="156">
        <v>1</v>
      </c>
      <c r="BC500" s="156" t="s">
        <v>1423</v>
      </c>
      <c r="BD500" s="3"/>
    </row>
    <row r="501" spans="1:56" ht="15.75" hidden="1" customHeight="1" outlineLevel="1">
      <c r="A501" s="58">
        <v>491</v>
      </c>
      <c r="B501" s="11">
        <v>129491</v>
      </c>
      <c r="C501" s="89" t="s">
        <v>325</v>
      </c>
      <c r="D501" s="157" t="s">
        <v>326</v>
      </c>
      <c r="E501" s="12" t="s">
        <v>191</v>
      </c>
      <c r="F501" s="11" t="s">
        <v>246</v>
      </c>
      <c r="G501" s="18" t="s">
        <v>247</v>
      </c>
      <c r="H501" s="11" t="s">
        <v>248</v>
      </c>
      <c r="I501" s="87" t="s">
        <v>249</v>
      </c>
      <c r="J501" s="19" t="s">
        <v>139</v>
      </c>
      <c r="K501" s="17" t="s">
        <v>140</v>
      </c>
      <c r="L501" s="260">
        <v>1</v>
      </c>
      <c r="M501" s="70" t="s">
        <v>250</v>
      </c>
      <c r="N501" s="70">
        <v>80</v>
      </c>
      <c r="O501" s="258">
        <v>8</v>
      </c>
      <c r="P501" s="70" t="s">
        <v>251</v>
      </c>
      <c r="Q501" s="70" t="s">
        <v>233</v>
      </c>
      <c r="R501" s="70" t="s">
        <v>240</v>
      </c>
      <c r="S501" s="70" t="s">
        <v>233</v>
      </c>
      <c r="T501" s="70" t="s">
        <v>233</v>
      </c>
      <c r="U501" s="70" t="s">
        <v>1427</v>
      </c>
      <c r="V501" s="70" t="s">
        <v>240</v>
      </c>
      <c r="W501" s="12"/>
      <c r="X501" s="242">
        <v>397.55034625322992</v>
      </c>
      <c r="Y501" s="242">
        <v>312.06960206718344</v>
      </c>
      <c r="Z501" s="242">
        <v>51.326284237726092</v>
      </c>
      <c r="AA501" s="157" t="s">
        <v>252</v>
      </c>
      <c r="AB501" s="242">
        <v>36.84152971576227</v>
      </c>
      <c r="AC501" s="157" t="s">
        <v>252</v>
      </c>
      <c r="AD501" s="242">
        <v>47.93271317829457</v>
      </c>
      <c r="AE501" s="157" t="s">
        <v>252</v>
      </c>
      <c r="AF501" s="242">
        <v>29.714439276485784</v>
      </c>
      <c r="AG501" s="157" t="s">
        <v>252</v>
      </c>
      <c r="AH501" s="242">
        <v>12.575131782945736</v>
      </c>
      <c r="AI501" s="157" t="s">
        <v>252</v>
      </c>
      <c r="AJ501" s="242">
        <v>4.836134366925064</v>
      </c>
      <c r="AK501" s="242" t="s">
        <v>252</v>
      </c>
      <c r="AL501" s="242">
        <v>5.0874005167958654</v>
      </c>
      <c r="AM501" s="242" t="s">
        <v>252</v>
      </c>
      <c r="AN501" s="242">
        <v>4.5464392764857884</v>
      </c>
      <c r="AO501" s="242" t="s">
        <v>252</v>
      </c>
      <c r="AP501" s="242">
        <v>5.6756589147286816</v>
      </c>
      <c r="AQ501" s="242" t="s">
        <v>252</v>
      </c>
      <c r="AR501" s="242">
        <v>40.888392764857876</v>
      </c>
      <c r="AS501" s="242" t="s">
        <v>252</v>
      </c>
      <c r="AT501" s="242">
        <v>38.464413436692503</v>
      </c>
      <c r="AU501" s="242" t="s">
        <v>252</v>
      </c>
      <c r="AV501" s="242">
        <v>32.711896640826872</v>
      </c>
      <c r="AW501" s="157" t="s">
        <v>252</v>
      </c>
      <c r="AX501" s="157">
        <v>1020.2203824289405</v>
      </c>
      <c r="AY501" s="240">
        <v>0.15962790697674417</v>
      </c>
      <c r="AZ501" s="156" t="s">
        <v>253</v>
      </c>
      <c r="BA501" s="156" t="s">
        <v>254</v>
      </c>
      <c r="BB501" s="156">
        <v>1</v>
      </c>
      <c r="BC501" s="156" t="s">
        <v>1423</v>
      </c>
      <c r="BD501" s="3"/>
    </row>
    <row r="502" spans="1:56" ht="15.75" hidden="1" customHeight="1" outlineLevel="1">
      <c r="A502" s="58">
        <v>492</v>
      </c>
      <c r="B502" s="11">
        <v>129492</v>
      </c>
      <c r="C502" s="89" t="s">
        <v>325</v>
      </c>
      <c r="D502" s="157" t="s">
        <v>326</v>
      </c>
      <c r="E502" s="12" t="s">
        <v>231</v>
      </c>
      <c r="F502" s="11" t="s">
        <v>246</v>
      </c>
      <c r="G502" s="18" t="s">
        <v>247</v>
      </c>
      <c r="H502" s="11" t="s">
        <v>248</v>
      </c>
      <c r="I502" s="87" t="s">
        <v>249</v>
      </c>
      <c r="J502" s="19" t="s">
        <v>139</v>
      </c>
      <c r="K502" s="17" t="s">
        <v>140</v>
      </c>
      <c r="L502" s="257">
        <v>0</v>
      </c>
      <c r="M502" s="70" t="s">
        <v>250</v>
      </c>
      <c r="N502" s="70">
        <v>80</v>
      </c>
      <c r="O502" s="258">
        <v>8</v>
      </c>
      <c r="P502" s="70" t="s">
        <v>251</v>
      </c>
      <c r="Q502" s="70" t="s">
        <v>233</v>
      </c>
      <c r="R502" s="70" t="s">
        <v>240</v>
      </c>
      <c r="S502" s="70" t="s">
        <v>233</v>
      </c>
      <c r="T502" s="70" t="s">
        <v>233</v>
      </c>
      <c r="U502" s="70" t="s">
        <v>1427</v>
      </c>
      <c r="V502" s="70" t="s">
        <v>240</v>
      </c>
      <c r="W502" s="12"/>
      <c r="X502" s="242">
        <v>408.32312661498707</v>
      </c>
      <c r="Y502" s="242">
        <v>320.52603359173128</v>
      </c>
      <c r="Z502" s="242">
        <v>52.717118863049095</v>
      </c>
      <c r="AA502" s="157" t="s">
        <v>252</v>
      </c>
      <c r="AB502" s="242">
        <v>37.83985788113695</v>
      </c>
      <c r="AC502" s="157" t="s">
        <v>252</v>
      </c>
      <c r="AD502" s="242">
        <v>49.231589147286826</v>
      </c>
      <c r="AE502" s="157" t="s">
        <v>252</v>
      </c>
      <c r="AF502" s="242">
        <v>30.519638242894057</v>
      </c>
      <c r="AG502" s="157" t="s">
        <v>252</v>
      </c>
      <c r="AH502" s="242">
        <v>12.915891472868218</v>
      </c>
      <c r="AI502" s="157" t="s">
        <v>252</v>
      </c>
      <c r="AJ502" s="242">
        <v>4.9671834625322999</v>
      </c>
      <c r="AK502" s="242" t="s">
        <v>252</v>
      </c>
      <c r="AL502" s="242">
        <v>5.2252583979328175</v>
      </c>
      <c r="AM502" s="242" t="s">
        <v>252</v>
      </c>
      <c r="AN502" s="242">
        <v>4.6696382428940577</v>
      </c>
      <c r="AO502" s="242" t="s">
        <v>252</v>
      </c>
      <c r="AP502" s="242">
        <v>5.8294573643410859</v>
      </c>
      <c r="AQ502" s="242" t="s">
        <v>252</v>
      </c>
      <c r="AR502" s="242">
        <v>41.996382428940571</v>
      </c>
      <c r="AS502" s="242" t="s">
        <v>252</v>
      </c>
      <c r="AT502" s="242">
        <v>39.506718346253237</v>
      </c>
      <c r="AU502" s="242" t="s">
        <v>252</v>
      </c>
      <c r="AV502" s="242">
        <v>33.598320413436696</v>
      </c>
      <c r="AW502" s="157" t="s">
        <v>252</v>
      </c>
      <c r="AX502" s="157">
        <v>1047.8662144702844</v>
      </c>
      <c r="AY502" s="243">
        <v>0.16395348837209306</v>
      </c>
      <c r="AZ502" s="156" t="s">
        <v>253</v>
      </c>
      <c r="BA502" s="156" t="s">
        <v>254</v>
      </c>
      <c r="BB502" s="156">
        <v>0</v>
      </c>
      <c r="BC502" s="156" t="s">
        <v>1423</v>
      </c>
      <c r="BD502" s="3"/>
    </row>
    <row r="503" spans="1:56" ht="15.75" hidden="1" customHeight="1" outlineLevel="1">
      <c r="A503" s="58">
        <v>493</v>
      </c>
      <c r="B503" s="11">
        <v>129493</v>
      </c>
      <c r="C503" s="89" t="s">
        <v>325</v>
      </c>
      <c r="D503" s="157" t="s">
        <v>326</v>
      </c>
      <c r="E503" s="12" t="s">
        <v>260</v>
      </c>
      <c r="F503" s="11" t="s">
        <v>246</v>
      </c>
      <c r="G503" s="18" t="s">
        <v>247</v>
      </c>
      <c r="H503" s="11" t="s">
        <v>248</v>
      </c>
      <c r="I503" s="87" t="s">
        <v>249</v>
      </c>
      <c r="J503" s="19" t="s">
        <v>139</v>
      </c>
      <c r="K503" s="17" t="s">
        <v>140</v>
      </c>
      <c r="L503" s="257">
        <v>0</v>
      </c>
      <c r="M503" s="70" t="s">
        <v>250</v>
      </c>
      <c r="N503" s="70">
        <v>100</v>
      </c>
      <c r="O503" s="258">
        <v>8</v>
      </c>
      <c r="P503" s="70" t="s">
        <v>251</v>
      </c>
      <c r="Q503" s="70" t="s">
        <v>233</v>
      </c>
      <c r="R503" s="70" t="s">
        <v>240</v>
      </c>
      <c r="S503" s="70" t="s">
        <v>233</v>
      </c>
      <c r="T503" s="70" t="s">
        <v>233</v>
      </c>
      <c r="U503" s="70" t="s">
        <v>1427</v>
      </c>
      <c r="V503" s="70" t="s">
        <v>240</v>
      </c>
      <c r="W503" s="12"/>
      <c r="X503" s="242">
        <v>538.98652713178296</v>
      </c>
      <c r="Y503" s="242">
        <v>423.09436434108528</v>
      </c>
      <c r="Z503" s="242">
        <v>69.586596899224801</v>
      </c>
      <c r="AA503" s="157" t="s">
        <v>252</v>
      </c>
      <c r="AB503" s="242">
        <v>49.948612403100775</v>
      </c>
      <c r="AC503" s="157" t="s">
        <v>252</v>
      </c>
      <c r="AD503" s="242">
        <v>64.985697674418603</v>
      </c>
      <c r="AE503" s="157" t="s">
        <v>252</v>
      </c>
      <c r="AF503" s="242">
        <v>40.285922480620151</v>
      </c>
      <c r="AG503" s="157" t="s">
        <v>252</v>
      </c>
      <c r="AH503" s="242">
        <v>17.048976744186046</v>
      </c>
      <c r="AI503" s="157" t="s">
        <v>252</v>
      </c>
      <c r="AJ503" s="242">
        <v>6.5566821705426355</v>
      </c>
      <c r="AK503" s="242" t="s">
        <v>252</v>
      </c>
      <c r="AL503" s="242">
        <v>6.897341085271318</v>
      </c>
      <c r="AM503" s="242" t="s">
        <v>252</v>
      </c>
      <c r="AN503" s="242">
        <v>6.1639224806201556</v>
      </c>
      <c r="AO503" s="242" t="s">
        <v>252</v>
      </c>
      <c r="AP503" s="242">
        <v>7.6948837209302319</v>
      </c>
      <c r="AQ503" s="242" t="s">
        <v>252</v>
      </c>
      <c r="AR503" s="242">
        <v>55.435224806201546</v>
      </c>
      <c r="AS503" s="242" t="s">
        <v>252</v>
      </c>
      <c r="AT503" s="242">
        <v>52.148868217054265</v>
      </c>
      <c r="AU503" s="242" t="s">
        <v>252</v>
      </c>
      <c r="AV503" s="242">
        <v>44.349782945736436</v>
      </c>
      <c r="AW503" s="157" t="s">
        <v>252</v>
      </c>
      <c r="AX503" s="157">
        <v>1383.1834031007754</v>
      </c>
      <c r="AY503" s="243">
        <v>0.2164186046511628</v>
      </c>
      <c r="AZ503" s="156" t="s">
        <v>253</v>
      </c>
      <c r="BA503" s="156" t="s">
        <v>254</v>
      </c>
      <c r="BB503" s="156">
        <v>0</v>
      </c>
      <c r="BC503" s="156" t="s">
        <v>1423</v>
      </c>
      <c r="BD503" s="3"/>
    </row>
    <row r="504" spans="1:56" ht="15.75" hidden="1" customHeight="1" outlineLevel="1">
      <c r="A504" s="58">
        <v>494</v>
      </c>
      <c r="B504" s="11">
        <v>129494</v>
      </c>
      <c r="C504" s="89" t="s">
        <v>325</v>
      </c>
      <c r="D504" s="157" t="s">
        <v>326</v>
      </c>
      <c r="E504" s="12" t="s">
        <v>308</v>
      </c>
      <c r="F504" s="11" t="s">
        <v>246</v>
      </c>
      <c r="G504" s="18" t="s">
        <v>247</v>
      </c>
      <c r="H504" s="11" t="s">
        <v>248</v>
      </c>
      <c r="I504" s="87" t="s">
        <v>249</v>
      </c>
      <c r="J504" s="19" t="s">
        <v>139</v>
      </c>
      <c r="K504" s="17" t="s">
        <v>140</v>
      </c>
      <c r="L504" s="257">
        <v>0</v>
      </c>
      <c r="M504" s="70" t="s">
        <v>250</v>
      </c>
      <c r="N504" s="70">
        <v>80</v>
      </c>
      <c r="O504" s="258">
        <v>8</v>
      </c>
      <c r="P504" s="70" t="s">
        <v>251</v>
      </c>
      <c r="Q504" s="70" t="s">
        <v>233</v>
      </c>
      <c r="R504" s="70" t="s">
        <v>240</v>
      </c>
      <c r="S504" s="70" t="s">
        <v>233</v>
      </c>
      <c r="T504" s="70" t="s">
        <v>233</v>
      </c>
      <c r="U504" s="70" t="s">
        <v>1427</v>
      </c>
      <c r="V504" s="70" t="s">
        <v>240</v>
      </c>
      <c r="W504" s="12"/>
      <c r="X504" s="242">
        <v>0</v>
      </c>
      <c r="Y504" s="242">
        <v>0</v>
      </c>
      <c r="Z504" s="242">
        <v>0</v>
      </c>
      <c r="AA504" s="157" t="s">
        <v>252</v>
      </c>
      <c r="AB504" s="242">
        <v>0</v>
      </c>
      <c r="AC504" s="157" t="s">
        <v>252</v>
      </c>
      <c r="AD504" s="242">
        <v>0</v>
      </c>
      <c r="AE504" s="157" t="s">
        <v>252</v>
      </c>
      <c r="AF504" s="242">
        <v>0</v>
      </c>
      <c r="AG504" s="157" t="s">
        <v>252</v>
      </c>
      <c r="AH504" s="242">
        <v>0</v>
      </c>
      <c r="AI504" s="157" t="s">
        <v>252</v>
      </c>
      <c r="AJ504" s="242">
        <v>0</v>
      </c>
      <c r="AK504" s="242" t="s">
        <v>252</v>
      </c>
      <c r="AL504" s="242">
        <v>0</v>
      </c>
      <c r="AM504" s="242" t="s">
        <v>252</v>
      </c>
      <c r="AN504" s="242">
        <v>0</v>
      </c>
      <c r="AO504" s="242" t="s">
        <v>252</v>
      </c>
      <c r="AP504" s="242">
        <v>0</v>
      </c>
      <c r="AQ504" s="242" t="s">
        <v>252</v>
      </c>
      <c r="AR504" s="242">
        <v>0</v>
      </c>
      <c r="AS504" s="242" t="s">
        <v>252</v>
      </c>
      <c r="AT504" s="242">
        <v>0</v>
      </c>
      <c r="AU504" s="242" t="s">
        <v>252</v>
      </c>
      <c r="AV504" s="242">
        <v>0</v>
      </c>
      <c r="AW504" s="157" t="s">
        <v>252</v>
      </c>
      <c r="AX504" s="157">
        <v>0</v>
      </c>
      <c r="AY504" s="243">
        <v>0.54</v>
      </c>
      <c r="AZ504" s="156" t="s">
        <v>253</v>
      </c>
      <c r="BA504" s="156" t="s">
        <v>254</v>
      </c>
      <c r="BB504" s="156">
        <v>0</v>
      </c>
      <c r="BC504" s="156" t="s">
        <v>1423</v>
      </c>
      <c r="BD504" s="3"/>
    </row>
    <row r="505" spans="1:56" ht="15.75" hidden="1" customHeight="1" outlineLevel="1">
      <c r="A505" s="58">
        <v>495</v>
      </c>
      <c r="B505" s="11">
        <v>129495</v>
      </c>
      <c r="C505" s="89" t="s">
        <v>325</v>
      </c>
      <c r="D505" s="157">
        <v>48</v>
      </c>
      <c r="E505" s="12" t="s">
        <v>191</v>
      </c>
      <c r="F505" s="11" t="s">
        <v>246</v>
      </c>
      <c r="G505" s="18" t="s">
        <v>247</v>
      </c>
      <c r="H505" s="11" t="s">
        <v>248</v>
      </c>
      <c r="I505" s="87" t="s">
        <v>249</v>
      </c>
      <c r="J505" s="19" t="s">
        <v>139</v>
      </c>
      <c r="K505" s="17" t="s">
        <v>140</v>
      </c>
      <c r="L505" s="260">
        <v>1</v>
      </c>
      <c r="M505" s="70" t="s">
        <v>250</v>
      </c>
      <c r="N505" s="70">
        <v>80</v>
      </c>
      <c r="O505" s="258">
        <v>8</v>
      </c>
      <c r="P505" s="70" t="s">
        <v>251</v>
      </c>
      <c r="Q505" s="70" t="s">
        <v>233</v>
      </c>
      <c r="R505" s="70" t="s">
        <v>240</v>
      </c>
      <c r="S505" s="70" t="s">
        <v>233</v>
      </c>
      <c r="T505" s="70" t="s">
        <v>233</v>
      </c>
      <c r="U505" s="70" t="s">
        <v>1427</v>
      </c>
      <c r="V505" s="70" t="s">
        <v>240</v>
      </c>
      <c r="W505" s="12"/>
      <c r="X505" s="242">
        <v>827.04</v>
      </c>
      <c r="Y505" s="242">
        <v>656.55</v>
      </c>
      <c r="Z505" s="242">
        <v>159.41999999999999</v>
      </c>
      <c r="AA505" s="157" t="s">
        <v>252</v>
      </c>
      <c r="AB505" s="242">
        <v>81.13</v>
      </c>
      <c r="AC505" s="157" t="s">
        <v>252</v>
      </c>
      <c r="AD505" s="242">
        <v>108.68</v>
      </c>
      <c r="AE505" s="157" t="s">
        <v>252</v>
      </c>
      <c r="AF505" s="242">
        <v>77.459999999999994</v>
      </c>
      <c r="AG505" s="157" t="s">
        <v>252</v>
      </c>
      <c r="AH505" s="242">
        <v>21.2</v>
      </c>
      <c r="AI505" s="157" t="s">
        <v>252</v>
      </c>
      <c r="AJ505" s="242">
        <v>10.48</v>
      </c>
      <c r="AK505" s="242" t="s">
        <v>252</v>
      </c>
      <c r="AL505" s="242">
        <v>12.15</v>
      </c>
      <c r="AM505" s="242" t="s">
        <v>252</v>
      </c>
      <c r="AN505" s="242">
        <v>9.5500000000000007</v>
      </c>
      <c r="AO505" s="242" t="s">
        <v>252</v>
      </c>
      <c r="AP505" s="242">
        <v>11.93</v>
      </c>
      <c r="AQ505" s="242" t="s">
        <v>252</v>
      </c>
      <c r="AR505" s="242">
        <v>70.010000000000005</v>
      </c>
      <c r="AS505" s="242" t="s">
        <v>252</v>
      </c>
      <c r="AT505" s="242">
        <v>69.099999999999994</v>
      </c>
      <c r="AU505" s="242" t="s">
        <v>252</v>
      </c>
      <c r="AV505" s="242">
        <v>85.12</v>
      </c>
      <c r="AW505" s="157" t="s">
        <v>252</v>
      </c>
      <c r="AX505" s="157">
        <v>2199.8200000000002</v>
      </c>
      <c r="AY505" s="240">
        <v>0.3</v>
      </c>
      <c r="AZ505" s="156" t="s">
        <v>253</v>
      </c>
      <c r="BA505" s="156" t="s">
        <v>254</v>
      </c>
      <c r="BB505" s="156">
        <v>1</v>
      </c>
      <c r="BC505" s="156" t="s">
        <v>1423</v>
      </c>
      <c r="BD505" s="3"/>
    </row>
    <row r="506" spans="1:56" ht="15.75" hidden="1" customHeight="1" outlineLevel="1">
      <c r="A506" s="58">
        <v>496</v>
      </c>
      <c r="B506" s="11">
        <v>129496</v>
      </c>
      <c r="C506" s="89" t="s">
        <v>325</v>
      </c>
      <c r="D506" s="157">
        <v>49</v>
      </c>
      <c r="E506" s="12" t="s">
        <v>191</v>
      </c>
      <c r="F506" s="11" t="s">
        <v>246</v>
      </c>
      <c r="G506" s="18" t="s">
        <v>247</v>
      </c>
      <c r="H506" s="11" t="s">
        <v>248</v>
      </c>
      <c r="I506" s="87" t="s">
        <v>249</v>
      </c>
      <c r="J506" s="19" t="s">
        <v>139</v>
      </c>
      <c r="K506" s="17" t="s">
        <v>140</v>
      </c>
      <c r="L506" s="260">
        <v>1</v>
      </c>
      <c r="M506" s="70" t="s">
        <v>250</v>
      </c>
      <c r="N506" s="70">
        <v>100</v>
      </c>
      <c r="O506" s="258">
        <v>8</v>
      </c>
      <c r="P506" s="70" t="s">
        <v>251</v>
      </c>
      <c r="Q506" s="70" t="s">
        <v>233</v>
      </c>
      <c r="R506" s="70" t="s">
        <v>240</v>
      </c>
      <c r="S506" s="70" t="s">
        <v>233</v>
      </c>
      <c r="T506" s="70" t="s">
        <v>233</v>
      </c>
      <c r="U506" s="70" t="s">
        <v>1427</v>
      </c>
      <c r="V506" s="70" t="s">
        <v>240</v>
      </c>
      <c r="W506" s="12"/>
      <c r="X506" s="242">
        <v>1072.1499999999999</v>
      </c>
      <c r="Y506" s="242">
        <v>988.72</v>
      </c>
      <c r="Z506" s="242">
        <v>159.69999999999999</v>
      </c>
      <c r="AA506" s="157" t="s">
        <v>252</v>
      </c>
      <c r="AB506" s="242">
        <v>128.76</v>
      </c>
      <c r="AC506" s="157" t="s">
        <v>252</v>
      </c>
      <c r="AD506" s="242">
        <v>163.36000000000001</v>
      </c>
      <c r="AE506" s="157" t="s">
        <v>252</v>
      </c>
      <c r="AF506" s="242">
        <v>102.78</v>
      </c>
      <c r="AG506" s="157" t="s">
        <v>252</v>
      </c>
      <c r="AH506" s="242">
        <v>44.3</v>
      </c>
      <c r="AI506" s="157" t="s">
        <v>252</v>
      </c>
      <c r="AJ506" s="242">
        <v>12.09</v>
      </c>
      <c r="AK506" s="242" t="s">
        <v>252</v>
      </c>
      <c r="AL506" s="242">
        <v>11.65</v>
      </c>
      <c r="AM506" s="242" t="s">
        <v>252</v>
      </c>
      <c r="AN506" s="242">
        <v>10.81</v>
      </c>
      <c r="AO506" s="242" t="s">
        <v>252</v>
      </c>
      <c r="AP506" s="242">
        <v>17.670000000000002</v>
      </c>
      <c r="AQ506" s="242" t="s">
        <v>252</v>
      </c>
      <c r="AR506" s="242">
        <v>83.9</v>
      </c>
      <c r="AS506" s="242" t="s">
        <v>252</v>
      </c>
      <c r="AT506" s="242">
        <v>105.89</v>
      </c>
      <c r="AU506" s="242" t="s">
        <v>252</v>
      </c>
      <c r="AV506" s="242">
        <v>137.52000000000001</v>
      </c>
      <c r="AW506" s="157" t="s">
        <v>252</v>
      </c>
      <c r="AX506" s="157">
        <v>3039.3000000000006</v>
      </c>
      <c r="AY506" s="240">
        <v>0.48499999999999999</v>
      </c>
      <c r="AZ506" s="156" t="s">
        <v>253</v>
      </c>
      <c r="BA506" s="156" t="s">
        <v>254</v>
      </c>
      <c r="BB506" s="156">
        <v>1</v>
      </c>
      <c r="BC506" s="156" t="s">
        <v>1423</v>
      </c>
      <c r="BD506" s="3"/>
    </row>
    <row r="507" spans="1:56" ht="15.75" hidden="1" customHeight="1" outlineLevel="1">
      <c r="A507" s="58">
        <v>497</v>
      </c>
      <c r="B507" s="11">
        <v>129497</v>
      </c>
      <c r="C507" s="89" t="s">
        <v>325</v>
      </c>
      <c r="D507" s="157" t="s">
        <v>218</v>
      </c>
      <c r="E507" s="12" t="s">
        <v>191</v>
      </c>
      <c r="F507" s="11" t="s">
        <v>246</v>
      </c>
      <c r="G507" s="18" t="s">
        <v>247</v>
      </c>
      <c r="H507" s="11" t="s">
        <v>248</v>
      </c>
      <c r="I507" s="87" t="s">
        <v>249</v>
      </c>
      <c r="J507" s="19" t="s">
        <v>139</v>
      </c>
      <c r="K507" s="17" t="s">
        <v>140</v>
      </c>
      <c r="L507" s="257">
        <v>0</v>
      </c>
      <c r="M507" s="70" t="s">
        <v>250</v>
      </c>
      <c r="N507" s="70">
        <v>100</v>
      </c>
      <c r="O507" s="258">
        <v>8</v>
      </c>
      <c r="P507" s="70" t="s">
        <v>251</v>
      </c>
      <c r="Q507" s="70" t="s">
        <v>233</v>
      </c>
      <c r="R507" s="70" t="s">
        <v>240</v>
      </c>
      <c r="S507" s="70" t="s">
        <v>233</v>
      </c>
      <c r="T507" s="70" t="s">
        <v>233</v>
      </c>
      <c r="U507" s="70" t="s">
        <v>1427</v>
      </c>
      <c r="V507" s="70" t="s">
        <v>240</v>
      </c>
      <c r="W507" s="12"/>
      <c r="X507" s="242">
        <v>709.27</v>
      </c>
      <c r="Y507" s="242">
        <v>584.07000000000005</v>
      </c>
      <c r="Z507" s="242">
        <v>94.29</v>
      </c>
      <c r="AA507" s="157" t="s">
        <v>252</v>
      </c>
      <c r="AB507" s="242">
        <v>73.069999999999993</v>
      </c>
      <c r="AC507" s="157" t="s">
        <v>252</v>
      </c>
      <c r="AD507" s="242">
        <v>73.27</v>
      </c>
      <c r="AE507" s="157" t="s">
        <v>252</v>
      </c>
      <c r="AF507" s="242">
        <v>84.29</v>
      </c>
      <c r="AG507" s="157" t="s">
        <v>252</v>
      </c>
      <c r="AH507" s="242">
        <v>22.13</v>
      </c>
      <c r="AI507" s="157" t="s">
        <v>252</v>
      </c>
      <c r="AJ507" s="242">
        <v>8.17</v>
      </c>
      <c r="AK507" s="242" t="s">
        <v>252</v>
      </c>
      <c r="AL507" s="242">
        <v>6.48</v>
      </c>
      <c r="AM507" s="242" t="s">
        <v>252</v>
      </c>
      <c r="AN507" s="242">
        <v>8.32</v>
      </c>
      <c r="AO507" s="242" t="s">
        <v>252</v>
      </c>
      <c r="AP507" s="242">
        <v>9.89</v>
      </c>
      <c r="AQ507" s="242" t="s">
        <v>252</v>
      </c>
      <c r="AR507" s="242">
        <v>60.87</v>
      </c>
      <c r="AS507" s="242" t="s">
        <v>252</v>
      </c>
      <c r="AT507" s="242">
        <v>58.52</v>
      </c>
      <c r="AU507" s="242" t="s">
        <v>259</v>
      </c>
      <c r="AV507" s="242">
        <v>71.994829999999993</v>
      </c>
      <c r="AW507" s="157" t="s">
        <v>259</v>
      </c>
      <c r="AX507" s="157">
        <v>1864.6348300000002</v>
      </c>
      <c r="AY507" s="240">
        <v>0.32</v>
      </c>
      <c r="AZ507" s="156" t="s">
        <v>253</v>
      </c>
      <c r="BA507" s="156" t="s">
        <v>254</v>
      </c>
      <c r="BB507" s="156">
        <v>0</v>
      </c>
      <c r="BC507" s="156" t="s">
        <v>1423</v>
      </c>
      <c r="BD507" s="3"/>
    </row>
    <row r="508" spans="1:56" ht="15.75" hidden="1" customHeight="1" outlineLevel="1">
      <c r="A508" s="58">
        <v>498</v>
      </c>
      <c r="B508" s="11">
        <v>129498</v>
      </c>
      <c r="C508" s="89" t="s">
        <v>325</v>
      </c>
      <c r="D508" s="157">
        <v>50</v>
      </c>
      <c r="E508" s="12" t="s">
        <v>191</v>
      </c>
      <c r="F508" s="11" t="s">
        <v>246</v>
      </c>
      <c r="G508" s="18" t="s">
        <v>247</v>
      </c>
      <c r="H508" s="11" t="s">
        <v>248</v>
      </c>
      <c r="I508" s="87" t="s">
        <v>249</v>
      </c>
      <c r="J508" s="19" t="s">
        <v>139</v>
      </c>
      <c r="K508" s="17" t="s">
        <v>140</v>
      </c>
      <c r="L508" s="260">
        <v>1</v>
      </c>
      <c r="M508" s="70" t="s">
        <v>250</v>
      </c>
      <c r="N508" s="70">
        <v>80</v>
      </c>
      <c r="O508" s="258">
        <v>8</v>
      </c>
      <c r="P508" s="70" t="s">
        <v>251</v>
      </c>
      <c r="Q508" s="70" t="s">
        <v>233</v>
      </c>
      <c r="R508" s="70" t="s">
        <v>240</v>
      </c>
      <c r="S508" s="70" t="s">
        <v>233</v>
      </c>
      <c r="T508" s="70" t="s">
        <v>233</v>
      </c>
      <c r="U508" s="70" t="s">
        <v>1427</v>
      </c>
      <c r="V508" s="70" t="s">
        <v>240</v>
      </c>
      <c r="W508" s="12"/>
      <c r="X508" s="242">
        <v>2725.03</v>
      </c>
      <c r="Y508" s="242">
        <v>2686</v>
      </c>
      <c r="Z508" s="242">
        <v>457.4</v>
      </c>
      <c r="AA508" s="157" t="s">
        <v>252</v>
      </c>
      <c r="AB508" s="242">
        <v>324.64999999999998</v>
      </c>
      <c r="AC508" s="157" t="s">
        <v>252</v>
      </c>
      <c r="AD508" s="242">
        <v>399.02</v>
      </c>
      <c r="AE508" s="157" t="s">
        <v>252</v>
      </c>
      <c r="AF508" s="242">
        <v>262</v>
      </c>
      <c r="AG508" s="157" t="s">
        <v>252</v>
      </c>
      <c r="AH508" s="242">
        <v>102.53</v>
      </c>
      <c r="AI508" s="157" t="s">
        <v>252</v>
      </c>
      <c r="AJ508" s="242">
        <v>48.52</v>
      </c>
      <c r="AK508" s="242" t="s">
        <v>252</v>
      </c>
      <c r="AL508" s="242">
        <v>34.729999999999997</v>
      </c>
      <c r="AM508" s="242" t="s">
        <v>252</v>
      </c>
      <c r="AN508" s="242">
        <v>38.67</v>
      </c>
      <c r="AO508" s="242" t="s">
        <v>252</v>
      </c>
      <c r="AP508" s="242">
        <v>50.52</v>
      </c>
      <c r="AQ508" s="242" t="s">
        <v>252</v>
      </c>
      <c r="AR508" s="242">
        <v>269.12</v>
      </c>
      <c r="AS508" s="242" t="s">
        <v>252</v>
      </c>
      <c r="AT508" s="242">
        <v>266.62</v>
      </c>
      <c r="AU508" s="242" t="s">
        <v>252</v>
      </c>
      <c r="AV508" s="242">
        <v>294.61</v>
      </c>
      <c r="AW508" s="157" t="s">
        <v>252</v>
      </c>
      <c r="AX508" s="157">
        <v>7959.42</v>
      </c>
      <c r="AY508" s="240">
        <v>1.23</v>
      </c>
      <c r="AZ508" s="156" t="s">
        <v>253</v>
      </c>
      <c r="BA508" s="156" t="s">
        <v>254</v>
      </c>
      <c r="BB508" s="156">
        <v>1</v>
      </c>
      <c r="BC508" s="157" t="s">
        <v>255</v>
      </c>
      <c r="BD508" s="3"/>
    </row>
    <row r="509" spans="1:56" ht="15.75" hidden="1" customHeight="1" outlineLevel="1">
      <c r="A509" s="58">
        <v>499</v>
      </c>
      <c r="B509" s="11">
        <v>129499</v>
      </c>
      <c r="C509" s="89" t="s">
        <v>325</v>
      </c>
      <c r="D509" s="157">
        <v>55</v>
      </c>
      <c r="E509" s="12" t="s">
        <v>191</v>
      </c>
      <c r="F509" s="11" t="s">
        <v>246</v>
      </c>
      <c r="G509" s="18" t="s">
        <v>247</v>
      </c>
      <c r="H509" s="11" t="s">
        <v>248</v>
      </c>
      <c r="I509" s="87" t="s">
        <v>249</v>
      </c>
      <c r="J509" s="19" t="s">
        <v>139</v>
      </c>
      <c r="K509" s="17" t="s">
        <v>140</v>
      </c>
      <c r="L509" s="257">
        <v>0</v>
      </c>
      <c r="M509" s="70" t="s">
        <v>250</v>
      </c>
      <c r="N509" s="70">
        <v>80</v>
      </c>
      <c r="O509" s="258">
        <v>8</v>
      </c>
      <c r="P509" s="70" t="s">
        <v>251</v>
      </c>
      <c r="Q509" s="70" t="s">
        <v>233</v>
      </c>
      <c r="R509" s="70" t="s">
        <v>240</v>
      </c>
      <c r="S509" s="70" t="s">
        <v>233</v>
      </c>
      <c r="T509" s="70" t="s">
        <v>233</v>
      </c>
      <c r="U509" s="70" t="s">
        <v>1427</v>
      </c>
      <c r="V509" s="70" t="s">
        <v>240</v>
      </c>
      <c r="W509" s="12"/>
      <c r="X509" s="242">
        <v>1340.63</v>
      </c>
      <c r="Y509" s="242">
        <v>1220.9199999999998</v>
      </c>
      <c r="Z509" s="242">
        <v>178.15</v>
      </c>
      <c r="AA509" s="157" t="s">
        <v>252</v>
      </c>
      <c r="AB509" s="242">
        <v>107.85</v>
      </c>
      <c r="AC509" s="157" t="s">
        <v>252</v>
      </c>
      <c r="AD509" s="242">
        <v>189.19</v>
      </c>
      <c r="AE509" s="157" t="s">
        <v>252</v>
      </c>
      <c r="AF509" s="242">
        <v>95.97</v>
      </c>
      <c r="AG509" s="157" t="s">
        <v>252</v>
      </c>
      <c r="AH509" s="242">
        <v>55.22</v>
      </c>
      <c r="AI509" s="157" t="s">
        <v>252</v>
      </c>
      <c r="AJ509" s="242">
        <v>18.829999999999998</v>
      </c>
      <c r="AK509" s="242" t="s">
        <v>252</v>
      </c>
      <c r="AL509" s="242">
        <v>18.649999999999999</v>
      </c>
      <c r="AM509" s="242" t="s">
        <v>252</v>
      </c>
      <c r="AN509" s="242">
        <v>27.51</v>
      </c>
      <c r="AO509" s="242" t="s">
        <v>252</v>
      </c>
      <c r="AP509" s="242">
        <v>37.630000000000003</v>
      </c>
      <c r="AQ509" s="242" t="s">
        <v>252</v>
      </c>
      <c r="AR509" s="242">
        <v>99.3</v>
      </c>
      <c r="AS509" s="242" t="s">
        <v>252</v>
      </c>
      <c r="AT509" s="242">
        <v>116.5</v>
      </c>
      <c r="AU509" s="242" t="s">
        <v>252</v>
      </c>
      <c r="AV509" s="242">
        <v>123.75</v>
      </c>
      <c r="AW509" s="157" t="s">
        <v>252</v>
      </c>
      <c r="AX509" s="157">
        <v>3630.1000000000004</v>
      </c>
      <c r="AY509" s="240">
        <v>0.6</v>
      </c>
      <c r="AZ509" s="156" t="s">
        <v>253</v>
      </c>
      <c r="BA509" s="156" t="s">
        <v>254</v>
      </c>
      <c r="BB509" s="156">
        <v>0</v>
      </c>
      <c r="BC509" s="156" t="s">
        <v>1423</v>
      </c>
      <c r="BD509" s="3"/>
    </row>
    <row r="510" spans="1:56" ht="15.75" hidden="1" customHeight="1" outlineLevel="1">
      <c r="A510" s="58">
        <v>500</v>
      </c>
      <c r="B510" s="11">
        <v>129500</v>
      </c>
      <c r="C510" s="89" t="s">
        <v>325</v>
      </c>
      <c r="D510" s="157" t="s">
        <v>219</v>
      </c>
      <c r="E510" s="12" t="s">
        <v>191</v>
      </c>
      <c r="F510" s="11" t="s">
        <v>246</v>
      </c>
      <c r="G510" s="18" t="s">
        <v>247</v>
      </c>
      <c r="H510" s="11" t="s">
        <v>248</v>
      </c>
      <c r="I510" s="87" t="s">
        <v>249</v>
      </c>
      <c r="J510" s="19" t="s">
        <v>139</v>
      </c>
      <c r="K510" s="17" t="s">
        <v>140</v>
      </c>
      <c r="L510" s="260">
        <v>1</v>
      </c>
      <c r="M510" s="70" t="s">
        <v>250</v>
      </c>
      <c r="N510" s="70">
        <v>80</v>
      </c>
      <c r="O510" s="258">
        <v>8</v>
      </c>
      <c r="P510" s="70" t="s">
        <v>251</v>
      </c>
      <c r="Q510" s="70" t="s">
        <v>233</v>
      </c>
      <c r="R510" s="70" t="s">
        <v>240</v>
      </c>
      <c r="S510" s="70" t="s">
        <v>233</v>
      </c>
      <c r="T510" s="70" t="s">
        <v>233</v>
      </c>
      <c r="U510" s="70" t="s">
        <v>1427</v>
      </c>
      <c r="V510" s="70" t="s">
        <v>240</v>
      </c>
      <c r="W510" s="12"/>
      <c r="X510" s="242">
        <v>546.45000000000005</v>
      </c>
      <c r="Y510" s="242">
        <v>544.9</v>
      </c>
      <c r="Z510" s="242">
        <v>95.94</v>
      </c>
      <c r="AA510" s="157" t="s">
        <v>252</v>
      </c>
      <c r="AB510" s="242">
        <v>58.26</v>
      </c>
      <c r="AC510" s="157" t="s">
        <v>252</v>
      </c>
      <c r="AD510" s="242">
        <v>79.77</v>
      </c>
      <c r="AE510" s="157" t="s">
        <v>252</v>
      </c>
      <c r="AF510" s="242">
        <v>53.2</v>
      </c>
      <c r="AG510" s="157" t="s">
        <v>252</v>
      </c>
      <c r="AH510" s="242">
        <v>17.66</v>
      </c>
      <c r="AI510" s="157" t="s">
        <v>252</v>
      </c>
      <c r="AJ510" s="242">
        <v>4.07</v>
      </c>
      <c r="AK510" s="242" t="s">
        <v>252</v>
      </c>
      <c r="AL510" s="242">
        <v>4.6399999999999997</v>
      </c>
      <c r="AM510" s="242" t="s">
        <v>252</v>
      </c>
      <c r="AN510" s="242">
        <v>3.97</v>
      </c>
      <c r="AO510" s="242" t="s">
        <v>252</v>
      </c>
      <c r="AP510" s="242">
        <v>5.53</v>
      </c>
      <c r="AQ510" s="242" t="s">
        <v>252</v>
      </c>
      <c r="AR510" s="242">
        <v>34.08</v>
      </c>
      <c r="AS510" s="242" t="s">
        <v>252</v>
      </c>
      <c r="AT510" s="242">
        <v>64.73</v>
      </c>
      <c r="AU510" s="242" t="s">
        <v>259</v>
      </c>
      <c r="AV510" s="242">
        <v>65.607969999999995</v>
      </c>
      <c r="AW510" s="157" t="s">
        <v>259</v>
      </c>
      <c r="AX510" s="157">
        <v>1578.8079700000001</v>
      </c>
      <c r="AY510" s="240">
        <v>0.24399999999999999</v>
      </c>
      <c r="AZ510" s="156" t="s">
        <v>253</v>
      </c>
      <c r="BA510" s="156" t="s">
        <v>254</v>
      </c>
      <c r="BB510" s="156">
        <v>1</v>
      </c>
      <c r="BC510" s="157" t="s">
        <v>255</v>
      </c>
      <c r="BD510" s="3"/>
    </row>
    <row r="511" spans="1:56" ht="15.75" hidden="1" customHeight="1" outlineLevel="1">
      <c r="A511" s="58">
        <v>501</v>
      </c>
      <c r="B511" s="11">
        <v>129501</v>
      </c>
      <c r="C511" s="89" t="s">
        <v>325</v>
      </c>
      <c r="D511" s="157">
        <v>8</v>
      </c>
      <c r="E511" s="12" t="s">
        <v>191</v>
      </c>
      <c r="F511" s="11" t="s">
        <v>246</v>
      </c>
      <c r="G511" s="18" t="s">
        <v>247</v>
      </c>
      <c r="H511" s="11" t="s">
        <v>248</v>
      </c>
      <c r="I511" s="87" t="s">
        <v>249</v>
      </c>
      <c r="J511" s="19" t="s">
        <v>139</v>
      </c>
      <c r="K511" s="17" t="s">
        <v>140</v>
      </c>
      <c r="L511" s="260">
        <v>1</v>
      </c>
      <c r="M511" s="70" t="s">
        <v>250</v>
      </c>
      <c r="N511" s="70">
        <v>100</v>
      </c>
      <c r="O511" s="258">
        <v>8</v>
      </c>
      <c r="P511" s="70" t="s">
        <v>251</v>
      </c>
      <c r="Q511" s="70" t="s">
        <v>233</v>
      </c>
      <c r="R511" s="70" t="s">
        <v>240</v>
      </c>
      <c r="S511" s="70" t="s">
        <v>233</v>
      </c>
      <c r="T511" s="70" t="s">
        <v>233</v>
      </c>
      <c r="U511" s="70" t="s">
        <v>1427</v>
      </c>
      <c r="V511" s="70" t="s">
        <v>240</v>
      </c>
      <c r="W511" s="12"/>
      <c r="X511" s="242">
        <v>1717.4162400000002</v>
      </c>
      <c r="Y511" s="242">
        <v>1776.4229799999998</v>
      </c>
      <c r="Z511" s="242">
        <v>283.94842</v>
      </c>
      <c r="AA511" s="157" t="s">
        <v>252</v>
      </c>
      <c r="AB511" s="242">
        <v>220.61424</v>
      </c>
      <c r="AC511" s="157" t="s">
        <v>252</v>
      </c>
      <c r="AD511" s="242">
        <v>294.36622999999997</v>
      </c>
      <c r="AE511" s="157" t="s">
        <v>252</v>
      </c>
      <c r="AF511" s="242">
        <v>185.45632000000001</v>
      </c>
      <c r="AG511" s="157" t="s">
        <v>252</v>
      </c>
      <c r="AH511" s="242">
        <v>83.824060000000003</v>
      </c>
      <c r="AI511" s="157" t="s">
        <v>252</v>
      </c>
      <c r="AJ511" s="242">
        <v>38.105400000000003</v>
      </c>
      <c r="AK511" s="242" t="s">
        <v>252</v>
      </c>
      <c r="AL511" s="242">
        <v>30.981110000000001</v>
      </c>
      <c r="AM511" s="242" t="s">
        <v>252</v>
      </c>
      <c r="AN511" s="242">
        <v>31.747229999999998</v>
      </c>
      <c r="AO511" s="242" t="s">
        <v>252</v>
      </c>
      <c r="AP511" s="242">
        <v>38.527149999999999</v>
      </c>
      <c r="AQ511" s="242" t="s">
        <v>252</v>
      </c>
      <c r="AR511" s="242">
        <v>171.34369000000001</v>
      </c>
      <c r="AS511" s="242" t="s">
        <v>252</v>
      </c>
      <c r="AT511" s="242">
        <v>167.1344</v>
      </c>
      <c r="AU511" s="242" t="s">
        <v>252</v>
      </c>
      <c r="AV511" s="242">
        <v>221.45133999999999</v>
      </c>
      <c r="AW511" s="157" t="s">
        <v>252</v>
      </c>
      <c r="AX511" s="157">
        <v>5261.3388099999993</v>
      </c>
      <c r="AY511" s="240">
        <v>5.3499999999999999E-2</v>
      </c>
      <c r="AZ511" s="156" t="s">
        <v>253</v>
      </c>
      <c r="BA511" s="156" t="s">
        <v>254</v>
      </c>
      <c r="BB511" s="156">
        <v>0</v>
      </c>
      <c r="BC511" s="156" t="s">
        <v>1423</v>
      </c>
      <c r="BD511" s="3"/>
    </row>
    <row r="512" spans="1:56" ht="15.75" hidden="1" customHeight="1" outlineLevel="1">
      <c r="A512" s="58">
        <v>502</v>
      </c>
      <c r="B512" s="11">
        <v>129502</v>
      </c>
      <c r="C512" s="89" t="s">
        <v>325</v>
      </c>
      <c r="D512" s="157" t="s">
        <v>327</v>
      </c>
      <c r="E512" s="12" t="s">
        <v>191</v>
      </c>
      <c r="F512" s="11" t="s">
        <v>246</v>
      </c>
      <c r="G512" s="18" t="s">
        <v>247</v>
      </c>
      <c r="H512" s="11" t="s">
        <v>248</v>
      </c>
      <c r="I512" s="87" t="s">
        <v>249</v>
      </c>
      <c r="J512" s="19" t="s">
        <v>139</v>
      </c>
      <c r="K512" s="17" t="s">
        <v>140</v>
      </c>
      <c r="L512" s="257">
        <v>0</v>
      </c>
      <c r="M512" s="70" t="s">
        <v>250</v>
      </c>
      <c r="N512" s="70">
        <v>100</v>
      </c>
      <c r="O512" s="258">
        <v>8</v>
      </c>
      <c r="P512" s="70" t="s">
        <v>251</v>
      </c>
      <c r="Q512" s="70" t="s">
        <v>233</v>
      </c>
      <c r="R512" s="70" t="s">
        <v>240</v>
      </c>
      <c r="S512" s="70" t="s">
        <v>233</v>
      </c>
      <c r="T512" s="70" t="s">
        <v>233</v>
      </c>
      <c r="U512" s="70" t="s">
        <v>1427</v>
      </c>
      <c r="V512" s="70" t="s">
        <v>240</v>
      </c>
      <c r="W512" s="12"/>
      <c r="X512" s="242">
        <v>1282.6337699999999</v>
      </c>
      <c r="Y512" s="242">
        <v>1326.74702</v>
      </c>
      <c r="Z512" s="242">
        <v>212.77157</v>
      </c>
      <c r="AA512" s="157" t="s">
        <v>252</v>
      </c>
      <c r="AB512" s="242">
        <v>165.32576</v>
      </c>
      <c r="AC512" s="157" t="s">
        <v>252</v>
      </c>
      <c r="AD512" s="242">
        <v>220.52377999999999</v>
      </c>
      <c r="AE512" s="157" t="s">
        <v>252</v>
      </c>
      <c r="AF512" s="242">
        <v>139.01365999999999</v>
      </c>
      <c r="AG512" s="157" t="s">
        <v>252</v>
      </c>
      <c r="AH512" s="242">
        <v>62.985939999999999</v>
      </c>
      <c r="AI512" s="157" t="s">
        <v>252</v>
      </c>
      <c r="AJ512" s="242">
        <v>27.294560000000001</v>
      </c>
      <c r="AK512" s="242" t="s">
        <v>252</v>
      </c>
      <c r="AL512" s="242">
        <v>22.398890000000002</v>
      </c>
      <c r="AM512" s="242" t="s">
        <v>252</v>
      </c>
      <c r="AN512" s="242">
        <v>22.892810000000001</v>
      </c>
      <c r="AO512" s="242" t="s">
        <v>252</v>
      </c>
      <c r="AP512" s="242">
        <v>27.662849999999999</v>
      </c>
      <c r="AQ512" s="242" t="s">
        <v>252</v>
      </c>
      <c r="AR512" s="242">
        <v>128.70632000000001</v>
      </c>
      <c r="AS512" s="242" t="s">
        <v>252</v>
      </c>
      <c r="AT512" s="242">
        <v>125.3556</v>
      </c>
      <c r="AU512" s="242" t="s">
        <v>252</v>
      </c>
      <c r="AV512" s="242">
        <v>165.95867000000001</v>
      </c>
      <c r="AW512" s="157" t="s">
        <v>252</v>
      </c>
      <c r="AX512" s="157">
        <v>3930.2712000000001</v>
      </c>
      <c r="AY512" s="240">
        <v>3.4200000000000001E-2</v>
      </c>
      <c r="AZ512" s="156" t="s">
        <v>253</v>
      </c>
      <c r="BA512" s="156" t="s">
        <v>254</v>
      </c>
      <c r="BB512" s="157">
        <v>1</v>
      </c>
      <c r="BC512" s="156" t="s">
        <v>1423</v>
      </c>
      <c r="BD512" s="3"/>
    </row>
    <row r="513" spans="1:56" ht="15.75" hidden="1" customHeight="1" outlineLevel="1">
      <c r="A513" s="58">
        <v>503</v>
      </c>
      <c r="B513" s="11">
        <v>129503</v>
      </c>
      <c r="C513" s="89" t="s">
        <v>325</v>
      </c>
      <c r="D513" s="157" t="s">
        <v>220</v>
      </c>
      <c r="E513" s="12" t="s">
        <v>191</v>
      </c>
      <c r="F513" s="11" t="s">
        <v>246</v>
      </c>
      <c r="G513" s="18" t="s">
        <v>247</v>
      </c>
      <c r="H513" s="11" t="s">
        <v>248</v>
      </c>
      <c r="I513" s="87" t="s">
        <v>249</v>
      </c>
      <c r="J513" s="19" t="s">
        <v>139</v>
      </c>
      <c r="K513" s="17" t="s">
        <v>140</v>
      </c>
      <c r="L513" s="260">
        <v>1</v>
      </c>
      <c r="M513" s="70" t="s">
        <v>250</v>
      </c>
      <c r="N513" s="70">
        <v>80</v>
      </c>
      <c r="O513" s="258">
        <v>8</v>
      </c>
      <c r="P513" s="70" t="s">
        <v>251</v>
      </c>
      <c r="Q513" s="70" t="s">
        <v>233</v>
      </c>
      <c r="R513" s="70" t="s">
        <v>240</v>
      </c>
      <c r="S513" s="70" t="s">
        <v>233</v>
      </c>
      <c r="T513" s="70" t="s">
        <v>233</v>
      </c>
      <c r="U513" s="70" t="s">
        <v>1427</v>
      </c>
      <c r="V513" s="70" t="s">
        <v>240</v>
      </c>
      <c r="W513" s="12"/>
      <c r="X513" s="242">
        <v>1607.33</v>
      </c>
      <c r="Y513" s="242">
        <v>1521.6000000000001</v>
      </c>
      <c r="Z513" s="242">
        <v>181.31</v>
      </c>
      <c r="AA513" s="157" t="s">
        <v>252</v>
      </c>
      <c r="AB513" s="242">
        <v>178.42</v>
      </c>
      <c r="AC513" s="157" t="s">
        <v>252</v>
      </c>
      <c r="AD513" s="242">
        <v>254.52</v>
      </c>
      <c r="AE513" s="157" t="s">
        <v>252</v>
      </c>
      <c r="AF513" s="242">
        <v>143.87</v>
      </c>
      <c r="AG513" s="157" t="s">
        <v>252</v>
      </c>
      <c r="AH513" s="242">
        <v>65.47</v>
      </c>
      <c r="AI513" s="157" t="s">
        <v>252</v>
      </c>
      <c r="AJ513" s="242">
        <v>57.06</v>
      </c>
      <c r="AK513" s="242" t="s">
        <v>252</v>
      </c>
      <c r="AL513" s="242">
        <v>18.77</v>
      </c>
      <c r="AM513" s="242" t="s">
        <v>252</v>
      </c>
      <c r="AN513" s="242">
        <v>23.39</v>
      </c>
      <c r="AO513" s="242" t="s">
        <v>252</v>
      </c>
      <c r="AP513" s="242">
        <v>65.513919999999999</v>
      </c>
      <c r="AQ513" s="242" t="s">
        <v>259</v>
      </c>
      <c r="AR513" s="242">
        <v>122.8</v>
      </c>
      <c r="AS513" s="242" t="s">
        <v>259</v>
      </c>
      <c r="AT513" s="242">
        <v>162.37421000000001</v>
      </c>
      <c r="AU513" s="242" t="s">
        <v>259</v>
      </c>
      <c r="AV513" s="242">
        <v>174.31163000000001</v>
      </c>
      <c r="AW513" s="157" t="s">
        <v>259</v>
      </c>
      <c r="AX513" s="157">
        <v>4576.7397600000004</v>
      </c>
      <c r="AY513" s="240">
        <v>0.65700000000000003</v>
      </c>
      <c r="AZ513" s="156" t="s">
        <v>253</v>
      </c>
      <c r="BA513" s="156" t="s">
        <v>254</v>
      </c>
      <c r="BB513" s="156">
        <v>1</v>
      </c>
      <c r="BC513" s="157" t="s">
        <v>255</v>
      </c>
      <c r="BD513" s="3"/>
    </row>
    <row r="514" spans="1:56" ht="15.75" hidden="1" customHeight="1" outlineLevel="1">
      <c r="A514" s="58">
        <v>504</v>
      </c>
      <c r="B514" s="11">
        <v>129504</v>
      </c>
      <c r="C514" s="89" t="s">
        <v>328</v>
      </c>
      <c r="D514" s="157" t="s">
        <v>221</v>
      </c>
      <c r="E514" s="12" t="s">
        <v>191</v>
      </c>
      <c r="F514" s="11" t="s">
        <v>246</v>
      </c>
      <c r="G514" s="18" t="s">
        <v>247</v>
      </c>
      <c r="H514" s="11" t="s">
        <v>248</v>
      </c>
      <c r="I514" s="87" t="s">
        <v>249</v>
      </c>
      <c r="J514" s="19" t="s">
        <v>139</v>
      </c>
      <c r="K514" s="17" t="s">
        <v>140</v>
      </c>
      <c r="L514" s="257">
        <v>0</v>
      </c>
      <c r="M514" s="70" t="s">
        <v>250</v>
      </c>
      <c r="N514" s="70">
        <v>100</v>
      </c>
      <c r="O514" s="258">
        <v>8</v>
      </c>
      <c r="P514" s="70" t="s">
        <v>251</v>
      </c>
      <c r="Q514" s="70" t="s">
        <v>233</v>
      </c>
      <c r="R514" s="70" t="s">
        <v>240</v>
      </c>
      <c r="S514" s="70" t="s">
        <v>233</v>
      </c>
      <c r="T514" s="70" t="s">
        <v>233</v>
      </c>
      <c r="U514" s="70" t="s">
        <v>1427</v>
      </c>
      <c r="V514" s="70" t="s">
        <v>240</v>
      </c>
      <c r="W514" s="12"/>
      <c r="X514" s="242">
        <v>280.61</v>
      </c>
      <c r="Y514" s="242">
        <v>273.25</v>
      </c>
      <c r="Z514" s="242">
        <v>48.41</v>
      </c>
      <c r="AA514" s="157" t="s">
        <v>252</v>
      </c>
      <c r="AB514" s="242">
        <v>34.71</v>
      </c>
      <c r="AC514" s="157" t="s">
        <v>252</v>
      </c>
      <c r="AD514" s="242">
        <v>45.7</v>
      </c>
      <c r="AE514" s="157" t="s">
        <v>252</v>
      </c>
      <c r="AF514" s="242">
        <v>30.49</v>
      </c>
      <c r="AG514" s="157" t="s">
        <v>252</v>
      </c>
      <c r="AH514" s="242">
        <v>13.12</v>
      </c>
      <c r="AI514" s="157" t="s">
        <v>252</v>
      </c>
      <c r="AJ514" s="242">
        <v>4.25</v>
      </c>
      <c r="AK514" s="242" t="s">
        <v>252</v>
      </c>
      <c r="AL514" s="242">
        <v>3.85</v>
      </c>
      <c r="AM514" s="242" t="s">
        <v>252</v>
      </c>
      <c r="AN514" s="242">
        <v>3.92</v>
      </c>
      <c r="AO514" s="242" t="s">
        <v>252</v>
      </c>
      <c r="AP514" s="242">
        <v>4.84</v>
      </c>
      <c r="AQ514" s="242" t="s">
        <v>252</v>
      </c>
      <c r="AR514" s="242">
        <v>29.45</v>
      </c>
      <c r="AS514" s="242" t="s">
        <v>252</v>
      </c>
      <c r="AT514" s="242">
        <v>33.24</v>
      </c>
      <c r="AU514" s="242" t="s">
        <v>252</v>
      </c>
      <c r="AV514" s="242">
        <v>38.270000000000003</v>
      </c>
      <c r="AW514" s="157" t="s">
        <v>252</v>
      </c>
      <c r="AX514" s="157">
        <v>844.11000000000013</v>
      </c>
      <c r="AY514" s="240">
        <v>0.11</v>
      </c>
      <c r="AZ514" s="156" t="s">
        <v>253</v>
      </c>
      <c r="BA514" s="156" t="s">
        <v>254</v>
      </c>
      <c r="BB514" s="156">
        <v>0</v>
      </c>
      <c r="BC514" s="156" t="s">
        <v>1423</v>
      </c>
      <c r="BD514" s="3"/>
    </row>
    <row r="515" spans="1:56" ht="15.75" hidden="1" customHeight="1" outlineLevel="1">
      <c r="A515" s="58">
        <v>505</v>
      </c>
      <c r="B515" s="11">
        <v>129505</v>
      </c>
      <c r="C515" s="89" t="s">
        <v>329</v>
      </c>
      <c r="D515" s="157" t="s">
        <v>222</v>
      </c>
      <c r="E515" s="12" t="s">
        <v>191</v>
      </c>
      <c r="F515" s="11" t="s">
        <v>246</v>
      </c>
      <c r="G515" s="18" t="s">
        <v>247</v>
      </c>
      <c r="H515" s="11" t="s">
        <v>248</v>
      </c>
      <c r="I515" s="87" t="s">
        <v>249</v>
      </c>
      <c r="J515" s="19" t="s">
        <v>139</v>
      </c>
      <c r="K515" s="17" t="s">
        <v>140</v>
      </c>
      <c r="L515" s="257">
        <v>0</v>
      </c>
      <c r="M515" s="70" t="s">
        <v>250</v>
      </c>
      <c r="N515" s="70">
        <v>100</v>
      </c>
      <c r="O515" s="258">
        <v>8</v>
      </c>
      <c r="P515" s="70" t="s">
        <v>251</v>
      </c>
      <c r="Q515" s="70" t="s">
        <v>240</v>
      </c>
      <c r="R515" s="70" t="s">
        <v>240</v>
      </c>
      <c r="S515" s="70" t="s">
        <v>233</v>
      </c>
      <c r="T515" s="70" t="s">
        <v>233</v>
      </c>
      <c r="U515" s="70" t="s">
        <v>1427</v>
      </c>
      <c r="V515" s="70" t="s">
        <v>240</v>
      </c>
      <c r="W515" s="12"/>
      <c r="X515" s="242">
        <v>450.46</v>
      </c>
      <c r="Y515" s="242">
        <v>498.87999999999994</v>
      </c>
      <c r="Z515" s="242">
        <v>118.58</v>
      </c>
      <c r="AA515" s="157" t="s">
        <v>252</v>
      </c>
      <c r="AB515" s="242">
        <v>61.85</v>
      </c>
      <c r="AC515" s="157" t="s">
        <v>252</v>
      </c>
      <c r="AD515" s="242">
        <v>81.75</v>
      </c>
      <c r="AE515" s="157" t="s">
        <v>252</v>
      </c>
      <c r="AF515" s="242">
        <v>62.8</v>
      </c>
      <c r="AG515" s="157" t="s">
        <v>252</v>
      </c>
      <c r="AH515" s="242">
        <v>64.97</v>
      </c>
      <c r="AI515" s="157" t="s">
        <v>252</v>
      </c>
      <c r="AJ515" s="242">
        <v>5.28</v>
      </c>
      <c r="AK515" s="242" t="s">
        <v>252</v>
      </c>
      <c r="AL515" s="242">
        <v>0</v>
      </c>
      <c r="AM515" s="242" t="s">
        <v>252</v>
      </c>
      <c r="AN515" s="242">
        <v>0</v>
      </c>
      <c r="AO515" s="242" t="s">
        <v>252</v>
      </c>
      <c r="AP515" s="242">
        <v>0</v>
      </c>
      <c r="AQ515" s="242" t="s">
        <v>252</v>
      </c>
      <c r="AR515" s="242">
        <v>50.07</v>
      </c>
      <c r="AS515" s="242" t="s">
        <v>252</v>
      </c>
      <c r="AT515" s="242">
        <v>55.61</v>
      </c>
      <c r="AU515" s="242" t="s">
        <v>252</v>
      </c>
      <c r="AV515" s="242">
        <v>53.77</v>
      </c>
      <c r="AW515" s="157" t="s">
        <v>252</v>
      </c>
      <c r="AX515" s="157">
        <v>1504.0199999999995</v>
      </c>
      <c r="AY515" s="240">
        <v>0.17</v>
      </c>
      <c r="AZ515" s="156" t="s">
        <v>253</v>
      </c>
      <c r="BA515" s="156" t="s">
        <v>254</v>
      </c>
      <c r="BB515" s="156">
        <v>0</v>
      </c>
      <c r="BC515" s="156" t="s">
        <v>1423</v>
      </c>
      <c r="BD515" s="3"/>
    </row>
    <row r="516" spans="1:56" ht="15.75" hidden="1" customHeight="1" outlineLevel="1">
      <c r="A516" s="58">
        <v>506</v>
      </c>
      <c r="B516" s="11">
        <v>129506</v>
      </c>
      <c r="C516" s="89" t="s">
        <v>329</v>
      </c>
      <c r="D516" s="157" t="s">
        <v>223</v>
      </c>
      <c r="E516" s="12" t="s">
        <v>191</v>
      </c>
      <c r="F516" s="11" t="s">
        <v>246</v>
      </c>
      <c r="G516" s="18" t="s">
        <v>247</v>
      </c>
      <c r="H516" s="11" t="s">
        <v>248</v>
      </c>
      <c r="I516" s="87" t="s">
        <v>249</v>
      </c>
      <c r="J516" s="19" t="s">
        <v>139</v>
      </c>
      <c r="K516" s="17" t="s">
        <v>140</v>
      </c>
      <c r="L516" s="260">
        <v>1</v>
      </c>
      <c r="M516" s="70" t="s">
        <v>250</v>
      </c>
      <c r="N516" s="70">
        <v>100</v>
      </c>
      <c r="O516" s="258">
        <v>8</v>
      </c>
      <c r="P516" s="70" t="s">
        <v>251</v>
      </c>
      <c r="Q516" s="70" t="s">
        <v>233</v>
      </c>
      <c r="R516" s="70" t="s">
        <v>240</v>
      </c>
      <c r="S516" s="70" t="s">
        <v>233</v>
      </c>
      <c r="T516" s="70" t="s">
        <v>233</v>
      </c>
      <c r="U516" s="70" t="s">
        <v>1427</v>
      </c>
      <c r="V516" s="70" t="s">
        <v>240</v>
      </c>
      <c r="W516" s="12"/>
      <c r="X516" s="242">
        <v>633.31999999999994</v>
      </c>
      <c r="Y516" s="242">
        <v>602</v>
      </c>
      <c r="Z516" s="242">
        <v>99.71</v>
      </c>
      <c r="AA516" s="157" t="s">
        <v>252</v>
      </c>
      <c r="AB516" s="242">
        <v>93.83</v>
      </c>
      <c r="AC516" s="157" t="s">
        <v>252</v>
      </c>
      <c r="AD516" s="242">
        <v>134.11000000000001</v>
      </c>
      <c r="AE516" s="157" t="s">
        <v>252</v>
      </c>
      <c r="AF516" s="242">
        <v>56.62</v>
      </c>
      <c r="AG516" s="157" t="s">
        <v>252</v>
      </c>
      <c r="AH516" s="242">
        <v>28.93</v>
      </c>
      <c r="AI516" s="157" t="s">
        <v>252</v>
      </c>
      <c r="AJ516" s="242">
        <v>11.07</v>
      </c>
      <c r="AK516" s="242" t="s">
        <v>252</v>
      </c>
      <c r="AL516" s="242">
        <v>15.39</v>
      </c>
      <c r="AM516" s="242" t="s">
        <v>252</v>
      </c>
      <c r="AN516" s="242">
        <v>9.86</v>
      </c>
      <c r="AO516" s="242" t="s">
        <v>252</v>
      </c>
      <c r="AP516" s="242">
        <v>10.94</v>
      </c>
      <c r="AQ516" s="242" t="s">
        <v>252</v>
      </c>
      <c r="AR516" s="242">
        <v>62.8</v>
      </c>
      <c r="AS516" s="242" t="s">
        <v>252</v>
      </c>
      <c r="AT516" s="242">
        <v>59</v>
      </c>
      <c r="AU516" s="242" t="s">
        <v>259</v>
      </c>
      <c r="AV516" s="242">
        <v>81.424390000000002</v>
      </c>
      <c r="AW516" s="157" t="s">
        <v>259</v>
      </c>
      <c r="AX516" s="157">
        <v>1899.0043899999996</v>
      </c>
      <c r="AY516" s="240">
        <v>0.26700000000000002</v>
      </c>
      <c r="AZ516" s="156" t="s">
        <v>253</v>
      </c>
      <c r="BA516" s="156" t="s">
        <v>254</v>
      </c>
      <c r="BB516" s="156">
        <v>1</v>
      </c>
      <c r="BC516" s="156" t="s">
        <v>1423</v>
      </c>
      <c r="BD516" s="3"/>
    </row>
    <row r="517" spans="1:56" ht="15.75" hidden="1" customHeight="1" outlineLevel="1">
      <c r="A517" s="58">
        <v>507</v>
      </c>
      <c r="B517" s="11">
        <v>129507</v>
      </c>
      <c r="C517" s="89" t="s">
        <v>329</v>
      </c>
      <c r="D517" s="157">
        <v>3</v>
      </c>
      <c r="E517" s="12" t="s">
        <v>191</v>
      </c>
      <c r="F517" s="11" t="s">
        <v>246</v>
      </c>
      <c r="G517" s="18" t="s">
        <v>247</v>
      </c>
      <c r="H517" s="11" t="s">
        <v>248</v>
      </c>
      <c r="I517" s="87" t="s">
        <v>249</v>
      </c>
      <c r="J517" s="19" t="s">
        <v>139</v>
      </c>
      <c r="K517" s="17" t="s">
        <v>140</v>
      </c>
      <c r="L517" s="260">
        <v>1</v>
      </c>
      <c r="M517" s="70" t="s">
        <v>250</v>
      </c>
      <c r="N517" s="70">
        <v>80</v>
      </c>
      <c r="O517" s="258">
        <v>8</v>
      </c>
      <c r="P517" s="70" t="s">
        <v>251</v>
      </c>
      <c r="Q517" s="70" t="s">
        <v>240</v>
      </c>
      <c r="R517" s="70" t="s">
        <v>240</v>
      </c>
      <c r="S517" s="70" t="s">
        <v>233</v>
      </c>
      <c r="T517" s="70" t="s">
        <v>233</v>
      </c>
      <c r="U517" s="70" t="s">
        <v>1427</v>
      </c>
      <c r="V517" s="70" t="s">
        <v>240</v>
      </c>
      <c r="W517" s="12"/>
      <c r="X517" s="242">
        <v>272.34398555087296</v>
      </c>
      <c r="Y517" s="242">
        <v>299.00854906682719</v>
      </c>
      <c r="Z517" s="242">
        <v>66.289777242624922</v>
      </c>
      <c r="AA517" s="157" t="s">
        <v>252</v>
      </c>
      <c r="AB517" s="242">
        <v>36.543768813967489</v>
      </c>
      <c r="AC517" s="157" t="s">
        <v>252</v>
      </c>
      <c r="AD517" s="242">
        <v>48.234677904876577</v>
      </c>
      <c r="AE517" s="157" t="s">
        <v>252</v>
      </c>
      <c r="AF517" s="242">
        <v>28.801444912703193</v>
      </c>
      <c r="AG517" s="157" t="s">
        <v>252</v>
      </c>
      <c r="AH517" s="242">
        <v>29.800204695966286</v>
      </c>
      <c r="AI517" s="157" t="s">
        <v>252</v>
      </c>
      <c r="AJ517" s="242">
        <v>3.135641180012041</v>
      </c>
      <c r="AK517" s="242" t="s">
        <v>252</v>
      </c>
      <c r="AL517" s="242">
        <v>0</v>
      </c>
      <c r="AM517" s="242" t="s">
        <v>252</v>
      </c>
      <c r="AN517" s="242">
        <v>0</v>
      </c>
      <c r="AO517" s="242" t="s">
        <v>252</v>
      </c>
      <c r="AP517" s="242">
        <v>0</v>
      </c>
      <c r="AQ517" s="242" t="s">
        <v>252</v>
      </c>
      <c r="AR517" s="242">
        <v>29.575677302829622</v>
      </c>
      <c r="AS517" s="242" t="s">
        <v>252</v>
      </c>
      <c r="AT517" s="242">
        <v>32.827453341360624</v>
      </c>
      <c r="AU517" s="242" t="s">
        <v>252</v>
      </c>
      <c r="AV517" s="242">
        <v>31.743527995183623</v>
      </c>
      <c r="AW517" s="157" t="s">
        <v>252</v>
      </c>
      <c r="AX517" s="157">
        <v>878.30470800722458</v>
      </c>
      <c r="AY517" s="240">
        <v>0.10065021071643589</v>
      </c>
      <c r="AZ517" s="156" t="s">
        <v>253</v>
      </c>
      <c r="BA517" s="156" t="s">
        <v>254</v>
      </c>
      <c r="BB517" s="156">
        <v>1</v>
      </c>
      <c r="BC517" s="156" t="s">
        <v>1423</v>
      </c>
      <c r="BD517" s="3"/>
    </row>
    <row r="518" spans="1:56" ht="15.75" hidden="1" customHeight="1" outlineLevel="1">
      <c r="A518" s="58">
        <v>508</v>
      </c>
      <c r="B518" s="11">
        <v>129508</v>
      </c>
      <c r="C518" s="89" t="s">
        <v>329</v>
      </c>
      <c r="D518" s="157">
        <v>3</v>
      </c>
      <c r="E518" s="12" t="s">
        <v>231</v>
      </c>
      <c r="F518" s="11" t="s">
        <v>246</v>
      </c>
      <c r="G518" s="18" t="s">
        <v>247</v>
      </c>
      <c r="H518" s="11" t="s">
        <v>248</v>
      </c>
      <c r="I518" s="87" t="s">
        <v>249</v>
      </c>
      <c r="J518" s="19" t="s">
        <v>139</v>
      </c>
      <c r="K518" s="17" t="s">
        <v>140</v>
      </c>
      <c r="L518" s="257">
        <v>0</v>
      </c>
      <c r="M518" s="70" t="s">
        <v>250</v>
      </c>
      <c r="N518" s="70">
        <v>100</v>
      </c>
      <c r="O518" s="258">
        <v>8</v>
      </c>
      <c r="P518" s="70" t="s">
        <v>251</v>
      </c>
      <c r="Q518" s="70" t="s">
        <v>240</v>
      </c>
      <c r="R518" s="70" t="s">
        <v>240</v>
      </c>
      <c r="S518" s="70" t="s">
        <v>233</v>
      </c>
      <c r="T518" s="70" t="s">
        <v>233</v>
      </c>
      <c r="U518" s="70" t="s">
        <v>1427</v>
      </c>
      <c r="V518" s="70" t="s">
        <v>240</v>
      </c>
      <c r="W518" s="12"/>
      <c r="X518" s="242">
        <v>79.416014449127033</v>
      </c>
      <c r="Y518" s="242">
        <v>87.191450933172788</v>
      </c>
      <c r="Z518" s="242">
        <v>19.330222757375076</v>
      </c>
      <c r="AA518" s="157" t="s">
        <v>252</v>
      </c>
      <c r="AB518" s="242">
        <v>10.656231186032512</v>
      </c>
      <c r="AC518" s="157" t="s">
        <v>252</v>
      </c>
      <c r="AD518" s="242">
        <v>14.065322095123419</v>
      </c>
      <c r="AE518" s="157" t="s">
        <v>252</v>
      </c>
      <c r="AF518" s="242">
        <v>8.3985550872968098</v>
      </c>
      <c r="AG518" s="157" t="s">
        <v>252</v>
      </c>
      <c r="AH518" s="242">
        <v>8.6897953040337157</v>
      </c>
      <c r="AI518" s="157" t="s">
        <v>252</v>
      </c>
      <c r="AJ518" s="242">
        <v>0.91435881998795898</v>
      </c>
      <c r="AK518" s="242" t="s">
        <v>252</v>
      </c>
      <c r="AL518" s="242">
        <v>0</v>
      </c>
      <c r="AM518" s="242" t="s">
        <v>252</v>
      </c>
      <c r="AN518" s="242">
        <v>0</v>
      </c>
      <c r="AO518" s="242" t="s">
        <v>252</v>
      </c>
      <c r="AP518" s="242">
        <v>0</v>
      </c>
      <c r="AQ518" s="242" t="s">
        <v>252</v>
      </c>
      <c r="AR518" s="242">
        <v>8.6243226971703795</v>
      </c>
      <c r="AS518" s="242" t="s">
        <v>252</v>
      </c>
      <c r="AT518" s="242">
        <v>9.5725466586393733</v>
      </c>
      <c r="AU518" s="242" t="s">
        <v>252</v>
      </c>
      <c r="AV518" s="242">
        <v>9.2564720048163753</v>
      </c>
      <c r="AW518" s="157" t="s">
        <v>252</v>
      </c>
      <c r="AX518" s="157">
        <v>256.11529199277544</v>
      </c>
      <c r="AY518" s="243">
        <v>2.9349789283564118E-2</v>
      </c>
      <c r="AZ518" s="156" t="s">
        <v>253</v>
      </c>
      <c r="BA518" s="156" t="s">
        <v>254</v>
      </c>
      <c r="BB518" s="156">
        <v>0</v>
      </c>
      <c r="BC518" s="156" t="s">
        <v>1423</v>
      </c>
      <c r="BD518" s="3"/>
    </row>
    <row r="519" spans="1:56" ht="15.75" hidden="1" customHeight="1" outlineLevel="1">
      <c r="A519" s="58">
        <v>509</v>
      </c>
      <c r="B519" s="11">
        <v>129509</v>
      </c>
      <c r="C519" s="89" t="s">
        <v>329</v>
      </c>
      <c r="D519" s="157">
        <v>4</v>
      </c>
      <c r="E519" s="12" t="s">
        <v>191</v>
      </c>
      <c r="F519" s="11" t="s">
        <v>246</v>
      </c>
      <c r="G519" s="18" t="s">
        <v>247</v>
      </c>
      <c r="H519" s="11" t="s">
        <v>248</v>
      </c>
      <c r="I519" s="87" t="s">
        <v>249</v>
      </c>
      <c r="J519" s="19" t="s">
        <v>139</v>
      </c>
      <c r="K519" s="17" t="s">
        <v>140</v>
      </c>
      <c r="L519" s="257">
        <v>0</v>
      </c>
      <c r="M519" s="70" t="s">
        <v>250</v>
      </c>
      <c r="N519" s="70">
        <v>100</v>
      </c>
      <c r="O519" s="258">
        <v>8</v>
      </c>
      <c r="P519" s="70" t="s">
        <v>251</v>
      </c>
      <c r="Q519" s="70" t="s">
        <v>233</v>
      </c>
      <c r="R519" s="70" t="s">
        <v>240</v>
      </c>
      <c r="S519" s="70" t="s">
        <v>233</v>
      </c>
      <c r="T519" s="70" t="s">
        <v>233</v>
      </c>
      <c r="U519" s="70" t="s">
        <v>1427</v>
      </c>
      <c r="V519" s="70" t="s">
        <v>240</v>
      </c>
      <c r="W519" s="12"/>
      <c r="X519" s="242">
        <v>1223.7299999999998</v>
      </c>
      <c r="Y519" s="242">
        <v>1176.02</v>
      </c>
      <c r="Z519" s="242">
        <v>189.91</v>
      </c>
      <c r="AA519" s="157" t="s">
        <v>252</v>
      </c>
      <c r="AB519" s="242">
        <v>178.56</v>
      </c>
      <c r="AC519" s="157" t="s">
        <v>252</v>
      </c>
      <c r="AD519" s="242">
        <v>254.58</v>
      </c>
      <c r="AE519" s="157" t="s">
        <v>252</v>
      </c>
      <c r="AF519" s="242">
        <v>107.64</v>
      </c>
      <c r="AG519" s="157" t="s">
        <v>252</v>
      </c>
      <c r="AH519" s="242">
        <v>53.86</v>
      </c>
      <c r="AI519" s="157" t="s">
        <v>252</v>
      </c>
      <c r="AJ519" s="242">
        <v>30.36</v>
      </c>
      <c r="AK519" s="242" t="s">
        <v>252</v>
      </c>
      <c r="AL519" s="242">
        <v>24.26</v>
      </c>
      <c r="AM519" s="242" t="s">
        <v>252</v>
      </c>
      <c r="AN519" s="242">
        <v>27.07</v>
      </c>
      <c r="AO519" s="242" t="s">
        <v>252</v>
      </c>
      <c r="AP519" s="242">
        <v>30.22</v>
      </c>
      <c r="AQ519" s="242" t="s">
        <v>252</v>
      </c>
      <c r="AR519" s="242">
        <v>117.07</v>
      </c>
      <c r="AS519" s="242" t="s">
        <v>252</v>
      </c>
      <c r="AT519" s="242">
        <v>110.82</v>
      </c>
      <c r="AU519" s="242" t="s">
        <v>259</v>
      </c>
      <c r="AV519" s="242">
        <v>154.27356</v>
      </c>
      <c r="AW519" s="157" t="s">
        <v>259</v>
      </c>
      <c r="AX519" s="157">
        <v>3678.3735600000005</v>
      </c>
      <c r="AY519" s="240">
        <v>0.48599999999999999</v>
      </c>
      <c r="AZ519" s="156" t="s">
        <v>253</v>
      </c>
      <c r="BA519" s="156" t="s">
        <v>254</v>
      </c>
      <c r="BB519" s="156">
        <v>0</v>
      </c>
      <c r="BC519" s="156" t="s">
        <v>1423</v>
      </c>
      <c r="BD519" s="3"/>
    </row>
    <row r="520" spans="1:56" ht="15.75" hidden="1" customHeight="1" outlineLevel="1">
      <c r="A520" s="58">
        <v>510</v>
      </c>
      <c r="B520" s="11">
        <v>129510</v>
      </c>
      <c r="C520" s="89" t="s">
        <v>329</v>
      </c>
      <c r="D520" s="157">
        <v>7</v>
      </c>
      <c r="E520" s="12" t="s">
        <v>191</v>
      </c>
      <c r="F520" s="11" t="s">
        <v>246</v>
      </c>
      <c r="G520" s="18" t="s">
        <v>247</v>
      </c>
      <c r="H520" s="11" t="s">
        <v>248</v>
      </c>
      <c r="I520" s="87" t="s">
        <v>249</v>
      </c>
      <c r="J520" s="19" t="s">
        <v>139</v>
      </c>
      <c r="K520" s="17" t="s">
        <v>140</v>
      </c>
      <c r="L520" s="260">
        <v>1</v>
      </c>
      <c r="M520" s="70" t="s">
        <v>250</v>
      </c>
      <c r="N520" s="70">
        <v>80</v>
      </c>
      <c r="O520" s="258">
        <v>8</v>
      </c>
      <c r="P520" s="70" t="s">
        <v>251</v>
      </c>
      <c r="Q520" s="70" t="s">
        <v>240</v>
      </c>
      <c r="R520" s="70" t="s">
        <v>240</v>
      </c>
      <c r="S520" s="70" t="s">
        <v>233</v>
      </c>
      <c r="T520" s="70" t="s">
        <v>233</v>
      </c>
      <c r="U520" s="70" t="s">
        <v>1427</v>
      </c>
      <c r="V520" s="70" t="s">
        <v>240</v>
      </c>
      <c r="W520" s="12"/>
      <c r="X520" s="242">
        <v>179.81313357731017</v>
      </c>
      <c r="Y520" s="242">
        <v>165.57885635864594</v>
      </c>
      <c r="Z520" s="242">
        <v>31.275160109789567</v>
      </c>
      <c r="AA520" s="157" t="s">
        <v>252</v>
      </c>
      <c r="AB520" s="242">
        <v>24.149862763037508</v>
      </c>
      <c r="AC520" s="157" t="s">
        <v>252</v>
      </c>
      <c r="AD520" s="242">
        <v>31.873467520585542</v>
      </c>
      <c r="AE520" s="157" t="s">
        <v>252</v>
      </c>
      <c r="AF520" s="242">
        <v>19.309011893870082</v>
      </c>
      <c r="AG520" s="157" t="s">
        <v>252</v>
      </c>
      <c r="AH520" s="242">
        <v>5.0584172003659651</v>
      </c>
      <c r="AI520" s="157" t="s">
        <v>252</v>
      </c>
      <c r="AJ520" s="242">
        <v>3.2634949679780418</v>
      </c>
      <c r="AK520" s="242" t="s">
        <v>252</v>
      </c>
      <c r="AL520" s="242">
        <v>0</v>
      </c>
      <c r="AM520" s="242" t="s">
        <v>252</v>
      </c>
      <c r="AN520" s="242">
        <v>0</v>
      </c>
      <c r="AO520" s="242" t="s">
        <v>252</v>
      </c>
      <c r="AP520" s="242">
        <v>0</v>
      </c>
      <c r="AQ520" s="242" t="s">
        <v>252</v>
      </c>
      <c r="AR520" s="242">
        <v>20.23366880146386</v>
      </c>
      <c r="AS520" s="242" t="s">
        <v>252</v>
      </c>
      <c r="AT520" s="242">
        <v>19.417795059469352</v>
      </c>
      <c r="AU520" s="242" t="s">
        <v>252</v>
      </c>
      <c r="AV520" s="242">
        <v>25.455260750228724</v>
      </c>
      <c r="AW520" s="157" t="s">
        <v>252</v>
      </c>
      <c r="AX520" s="157">
        <v>525.42812900274475</v>
      </c>
      <c r="AY520" s="240">
        <v>7.6148215919487644E-2</v>
      </c>
      <c r="AZ520" s="156" t="s">
        <v>253</v>
      </c>
      <c r="BA520" s="156" t="s">
        <v>254</v>
      </c>
      <c r="BB520" s="156">
        <v>1</v>
      </c>
      <c r="BC520" s="156" t="s">
        <v>1423</v>
      </c>
      <c r="BD520" s="3"/>
    </row>
    <row r="521" spans="1:56" ht="15.75" hidden="1" customHeight="1" outlineLevel="1">
      <c r="A521" s="58">
        <v>511</v>
      </c>
      <c r="B521" s="11">
        <v>129511</v>
      </c>
      <c r="C521" s="89" t="s">
        <v>329</v>
      </c>
      <c r="D521" s="157">
        <v>7</v>
      </c>
      <c r="E521" s="12" t="s">
        <v>231</v>
      </c>
      <c r="F521" s="11" t="s">
        <v>246</v>
      </c>
      <c r="G521" s="18" t="s">
        <v>247</v>
      </c>
      <c r="H521" s="11" t="s">
        <v>248</v>
      </c>
      <c r="I521" s="87" t="s">
        <v>249</v>
      </c>
      <c r="J521" s="19" t="s">
        <v>139</v>
      </c>
      <c r="K521" s="17" t="s">
        <v>140</v>
      </c>
      <c r="L521" s="257">
        <v>0</v>
      </c>
      <c r="M521" s="70" t="s">
        <v>250</v>
      </c>
      <c r="N521" s="70">
        <v>80</v>
      </c>
      <c r="O521" s="258">
        <v>8</v>
      </c>
      <c r="P521" s="70" t="s">
        <v>251</v>
      </c>
      <c r="Q521" s="70" t="s">
        <v>240</v>
      </c>
      <c r="R521" s="70" t="s">
        <v>240</v>
      </c>
      <c r="S521" s="70" t="s">
        <v>233</v>
      </c>
      <c r="T521" s="70" t="s">
        <v>233</v>
      </c>
      <c r="U521" s="70" t="s">
        <v>1427</v>
      </c>
      <c r="V521" s="70" t="s">
        <v>240</v>
      </c>
      <c r="W521" s="12"/>
      <c r="X521" s="242">
        <v>150.77686642268986</v>
      </c>
      <c r="Y521" s="242">
        <v>138.84114364135408</v>
      </c>
      <c r="Z521" s="242">
        <v>26.224839890210429</v>
      </c>
      <c r="AA521" s="157" t="s">
        <v>252</v>
      </c>
      <c r="AB521" s="242">
        <v>20.250137236962487</v>
      </c>
      <c r="AC521" s="157" t="s">
        <v>252</v>
      </c>
      <c r="AD521" s="242">
        <v>26.726532479414455</v>
      </c>
      <c r="AE521" s="157" t="s">
        <v>252</v>
      </c>
      <c r="AF521" s="242">
        <v>16.190988106129918</v>
      </c>
      <c r="AG521" s="157" t="s">
        <v>252</v>
      </c>
      <c r="AH521" s="242">
        <v>4.2415827996340347</v>
      </c>
      <c r="AI521" s="157" t="s">
        <v>252</v>
      </c>
      <c r="AJ521" s="242">
        <v>2.7365050320219577</v>
      </c>
      <c r="AK521" s="242" t="s">
        <v>252</v>
      </c>
      <c r="AL521" s="242">
        <v>0</v>
      </c>
      <c r="AM521" s="242" t="s">
        <v>252</v>
      </c>
      <c r="AN521" s="242">
        <v>0</v>
      </c>
      <c r="AO521" s="242" t="s">
        <v>252</v>
      </c>
      <c r="AP521" s="242">
        <v>0</v>
      </c>
      <c r="AQ521" s="242" t="s">
        <v>252</v>
      </c>
      <c r="AR521" s="242">
        <v>16.966331198536139</v>
      </c>
      <c r="AS521" s="242" t="s">
        <v>252</v>
      </c>
      <c r="AT521" s="242">
        <v>16.282204940530651</v>
      </c>
      <c r="AU521" s="242" t="s">
        <v>252</v>
      </c>
      <c r="AV521" s="242">
        <v>21.344739249771269</v>
      </c>
      <c r="AW521" s="157" t="s">
        <v>252</v>
      </c>
      <c r="AX521" s="157">
        <v>440.58187099725529</v>
      </c>
      <c r="AY521" s="243">
        <v>6.3851784080512355E-2</v>
      </c>
      <c r="AZ521" s="156" t="s">
        <v>253</v>
      </c>
      <c r="BA521" s="156" t="s">
        <v>254</v>
      </c>
      <c r="BB521" s="156">
        <v>0</v>
      </c>
      <c r="BC521" s="156" t="s">
        <v>1423</v>
      </c>
      <c r="BD521" s="3"/>
    </row>
    <row r="522" spans="1:56" ht="15.75" hidden="1" customHeight="1" outlineLevel="1">
      <c r="A522" s="58">
        <v>512</v>
      </c>
      <c r="B522" s="11">
        <v>129512</v>
      </c>
      <c r="C522" s="89" t="s">
        <v>330</v>
      </c>
      <c r="D522" s="157">
        <v>19</v>
      </c>
      <c r="E522" s="12" t="s">
        <v>191</v>
      </c>
      <c r="F522" s="11" t="s">
        <v>246</v>
      </c>
      <c r="G522" s="18" t="s">
        <v>247</v>
      </c>
      <c r="H522" s="11" t="s">
        <v>248</v>
      </c>
      <c r="I522" s="87" t="s">
        <v>249</v>
      </c>
      <c r="J522" s="19" t="s">
        <v>139</v>
      </c>
      <c r="K522" s="17" t="s">
        <v>140</v>
      </c>
      <c r="L522" s="260">
        <v>1</v>
      </c>
      <c r="M522" s="70" t="s">
        <v>250</v>
      </c>
      <c r="N522" s="70">
        <v>100</v>
      </c>
      <c r="O522" s="258">
        <v>8</v>
      </c>
      <c r="P522" s="70" t="s">
        <v>251</v>
      </c>
      <c r="Q522" s="70" t="s">
        <v>233</v>
      </c>
      <c r="R522" s="70" t="s">
        <v>240</v>
      </c>
      <c r="S522" s="70" t="s">
        <v>233</v>
      </c>
      <c r="T522" s="70" t="s">
        <v>233</v>
      </c>
      <c r="U522" s="70" t="s">
        <v>1427</v>
      </c>
      <c r="V522" s="70" t="s">
        <v>240</v>
      </c>
      <c r="W522" s="12"/>
      <c r="X522" s="242">
        <v>1833.1599999999999</v>
      </c>
      <c r="Y522" s="242">
        <v>1507.92</v>
      </c>
      <c r="Z522" s="242">
        <v>223.91</v>
      </c>
      <c r="AA522" s="157" t="s">
        <v>259</v>
      </c>
      <c r="AB522" s="242">
        <v>223.42</v>
      </c>
      <c r="AC522" s="157" t="s">
        <v>259</v>
      </c>
      <c r="AD522" s="242">
        <v>224.25</v>
      </c>
      <c r="AE522" s="157" t="s">
        <v>259</v>
      </c>
      <c r="AF522" s="242">
        <v>223.12</v>
      </c>
      <c r="AG522" s="157" t="s">
        <v>259</v>
      </c>
      <c r="AH522" s="242">
        <v>221.41</v>
      </c>
      <c r="AI522" s="157" t="s">
        <v>259</v>
      </c>
      <c r="AJ522" s="242">
        <v>28.5366</v>
      </c>
      <c r="AK522" s="242" t="s">
        <v>259</v>
      </c>
      <c r="AL522" s="242">
        <v>28.5366</v>
      </c>
      <c r="AM522" s="242" t="s">
        <v>259</v>
      </c>
      <c r="AN522" s="242">
        <v>28.5366</v>
      </c>
      <c r="AO522" s="242" t="s">
        <v>259</v>
      </c>
      <c r="AP522" s="242">
        <v>40.642690000000002</v>
      </c>
      <c r="AQ522" s="242" t="s">
        <v>259</v>
      </c>
      <c r="AR522" s="242">
        <v>207.97</v>
      </c>
      <c r="AS522" s="242" t="s">
        <v>259</v>
      </c>
      <c r="AT522" s="242">
        <v>207.62</v>
      </c>
      <c r="AU522" s="242" t="s">
        <v>259</v>
      </c>
      <c r="AV522" s="242">
        <v>208.1</v>
      </c>
      <c r="AW522" s="157" t="s">
        <v>259</v>
      </c>
      <c r="AX522" s="157">
        <v>5207.1324900000009</v>
      </c>
      <c r="AY522" s="240">
        <v>0.72</v>
      </c>
      <c r="AZ522" s="156" t="s">
        <v>253</v>
      </c>
      <c r="BA522" s="156" t="s">
        <v>254</v>
      </c>
      <c r="BB522" s="156">
        <v>1</v>
      </c>
      <c r="BC522" s="157" t="s">
        <v>255</v>
      </c>
      <c r="BD522" s="3"/>
    </row>
    <row r="523" spans="1:56" ht="15.75" hidden="1" customHeight="1" outlineLevel="1">
      <c r="A523" s="58">
        <v>513</v>
      </c>
      <c r="B523" s="11">
        <v>129513</v>
      </c>
      <c r="C523" s="89" t="s">
        <v>331</v>
      </c>
      <c r="D523" s="157">
        <v>10</v>
      </c>
      <c r="E523" s="12" t="s">
        <v>191</v>
      </c>
      <c r="F523" s="11" t="s">
        <v>246</v>
      </c>
      <c r="G523" s="18" t="s">
        <v>247</v>
      </c>
      <c r="H523" s="11" t="s">
        <v>248</v>
      </c>
      <c r="I523" s="87" t="s">
        <v>249</v>
      </c>
      <c r="J523" s="19" t="s">
        <v>139</v>
      </c>
      <c r="K523" s="17" t="s">
        <v>140</v>
      </c>
      <c r="L523" s="260">
        <v>2</v>
      </c>
      <c r="M523" s="70" t="s">
        <v>250</v>
      </c>
      <c r="N523" s="70">
        <v>80</v>
      </c>
      <c r="O523" s="258">
        <v>8</v>
      </c>
      <c r="P523" s="70" t="s">
        <v>251</v>
      </c>
      <c r="Q523" s="70" t="s">
        <v>233</v>
      </c>
      <c r="R523" s="70" t="s">
        <v>240</v>
      </c>
      <c r="S523" s="70" t="s">
        <v>233</v>
      </c>
      <c r="T523" s="70" t="s">
        <v>233</v>
      </c>
      <c r="U523" s="70" t="s">
        <v>1427</v>
      </c>
      <c r="V523" s="70" t="s">
        <v>240</v>
      </c>
      <c r="W523" s="12"/>
      <c r="X523" s="242">
        <v>645.48</v>
      </c>
      <c r="Y523" s="242">
        <v>573.37999999999988</v>
      </c>
      <c r="Z523" s="242">
        <v>71.2</v>
      </c>
      <c r="AA523" s="157" t="s">
        <v>252</v>
      </c>
      <c r="AB523" s="242">
        <v>50.83</v>
      </c>
      <c r="AC523" s="157" t="s">
        <v>252</v>
      </c>
      <c r="AD523" s="242">
        <v>106.96</v>
      </c>
      <c r="AE523" s="157" t="s">
        <v>252</v>
      </c>
      <c r="AF523" s="242">
        <v>60.13</v>
      </c>
      <c r="AG523" s="157" t="s">
        <v>252</v>
      </c>
      <c r="AH523" s="242">
        <v>19.920000000000002</v>
      </c>
      <c r="AI523" s="157" t="s">
        <v>252</v>
      </c>
      <c r="AJ523" s="242">
        <v>3.98</v>
      </c>
      <c r="AK523" s="242" t="s">
        <v>252</v>
      </c>
      <c r="AL523" s="242">
        <v>8.5299999999999994</v>
      </c>
      <c r="AM523" s="242" t="s">
        <v>252</v>
      </c>
      <c r="AN523" s="242">
        <v>2.2200000000000002</v>
      </c>
      <c r="AO523" s="242" t="s">
        <v>252</v>
      </c>
      <c r="AP523" s="242">
        <v>4.53</v>
      </c>
      <c r="AQ523" s="242" t="s">
        <v>252</v>
      </c>
      <c r="AR523" s="242">
        <v>68.069999999999993</v>
      </c>
      <c r="AS523" s="242" t="s">
        <v>252</v>
      </c>
      <c r="AT523" s="242">
        <v>64.010000000000005</v>
      </c>
      <c r="AU523" s="242" t="s">
        <v>252</v>
      </c>
      <c r="AV523" s="242">
        <v>82.47</v>
      </c>
      <c r="AW523" s="157" t="s">
        <v>252</v>
      </c>
      <c r="AX523" s="157">
        <v>1761.71</v>
      </c>
      <c r="AY523" s="240">
        <v>0.38</v>
      </c>
      <c r="AZ523" s="156" t="s">
        <v>253</v>
      </c>
      <c r="BA523" s="156" t="s">
        <v>254</v>
      </c>
      <c r="BB523" s="156">
        <v>1</v>
      </c>
      <c r="BC523" s="156" t="s">
        <v>1423</v>
      </c>
      <c r="BD523" s="3"/>
    </row>
    <row r="524" spans="1:56" ht="15.75" hidden="1" customHeight="1" outlineLevel="1">
      <c r="A524" s="58">
        <v>514</v>
      </c>
      <c r="B524" s="11">
        <v>129514</v>
      </c>
      <c r="C524" s="89" t="s">
        <v>331</v>
      </c>
      <c r="D524" s="157">
        <v>11</v>
      </c>
      <c r="E524" s="12" t="s">
        <v>191</v>
      </c>
      <c r="F524" s="11" t="s">
        <v>246</v>
      </c>
      <c r="G524" s="18" t="s">
        <v>247</v>
      </c>
      <c r="H524" s="11" t="s">
        <v>248</v>
      </c>
      <c r="I524" s="87" t="s">
        <v>249</v>
      </c>
      <c r="J524" s="19" t="s">
        <v>139</v>
      </c>
      <c r="K524" s="17" t="s">
        <v>140</v>
      </c>
      <c r="L524" s="260">
        <v>1</v>
      </c>
      <c r="M524" s="70" t="s">
        <v>250</v>
      </c>
      <c r="N524" s="70">
        <v>80</v>
      </c>
      <c r="O524" s="258">
        <v>8</v>
      </c>
      <c r="P524" s="70" t="s">
        <v>251</v>
      </c>
      <c r="Q524" s="70" t="s">
        <v>233</v>
      </c>
      <c r="R524" s="70" t="s">
        <v>240</v>
      </c>
      <c r="S524" s="70" t="s">
        <v>233</v>
      </c>
      <c r="T524" s="70" t="s">
        <v>233</v>
      </c>
      <c r="U524" s="70" t="s">
        <v>1427</v>
      </c>
      <c r="V524" s="70" t="s">
        <v>240</v>
      </c>
      <c r="W524" s="12"/>
      <c r="X524" s="242">
        <v>285.32</v>
      </c>
      <c r="Y524" s="242">
        <v>243.77</v>
      </c>
      <c r="Z524" s="242">
        <v>38.64</v>
      </c>
      <c r="AA524" s="157" t="s">
        <v>252</v>
      </c>
      <c r="AB524" s="242">
        <v>41.59</v>
      </c>
      <c r="AC524" s="157" t="s">
        <v>252</v>
      </c>
      <c r="AD524" s="242">
        <v>41.4</v>
      </c>
      <c r="AE524" s="157" t="s">
        <v>252</v>
      </c>
      <c r="AF524" s="242">
        <v>27.64</v>
      </c>
      <c r="AG524" s="157" t="s">
        <v>252</v>
      </c>
      <c r="AH524" s="242">
        <v>21.97</v>
      </c>
      <c r="AI524" s="157" t="s">
        <v>252</v>
      </c>
      <c r="AJ524" s="242">
        <v>5.3</v>
      </c>
      <c r="AK524" s="242" t="s">
        <v>252</v>
      </c>
      <c r="AL524" s="242">
        <v>2.73</v>
      </c>
      <c r="AM524" s="242" t="s">
        <v>252</v>
      </c>
      <c r="AN524" s="242">
        <v>2.16</v>
      </c>
      <c r="AO524" s="242" t="s">
        <v>252</v>
      </c>
      <c r="AP524" s="242">
        <v>1.74</v>
      </c>
      <c r="AQ524" s="242" t="s">
        <v>252</v>
      </c>
      <c r="AR524" s="242">
        <v>17.66</v>
      </c>
      <c r="AS524" s="242" t="s">
        <v>252</v>
      </c>
      <c r="AT524" s="242">
        <v>16.59</v>
      </c>
      <c r="AU524" s="242" t="s">
        <v>259</v>
      </c>
      <c r="AV524" s="242">
        <v>31.25056</v>
      </c>
      <c r="AW524" s="157" t="s">
        <v>259</v>
      </c>
      <c r="AX524" s="157">
        <v>777.76055999999994</v>
      </c>
      <c r="AY524" s="240">
        <v>0.128</v>
      </c>
      <c r="AZ524" s="156" t="s">
        <v>253</v>
      </c>
      <c r="BA524" s="156" t="s">
        <v>254</v>
      </c>
      <c r="BB524" s="156">
        <v>1</v>
      </c>
      <c r="BC524" s="156" t="s">
        <v>1423</v>
      </c>
      <c r="BD524" s="3"/>
    </row>
    <row r="525" spans="1:56" ht="15.75" hidden="1" customHeight="1" outlineLevel="1">
      <c r="A525" s="58">
        <v>515</v>
      </c>
      <c r="B525" s="11">
        <v>129515</v>
      </c>
      <c r="C525" s="89" t="s">
        <v>331</v>
      </c>
      <c r="D525" s="157">
        <v>13</v>
      </c>
      <c r="E525" s="12" t="s">
        <v>191</v>
      </c>
      <c r="F525" s="11" t="s">
        <v>246</v>
      </c>
      <c r="G525" s="18" t="s">
        <v>247</v>
      </c>
      <c r="H525" s="11" t="s">
        <v>248</v>
      </c>
      <c r="I525" s="87" t="s">
        <v>249</v>
      </c>
      <c r="J525" s="19" t="s">
        <v>139</v>
      </c>
      <c r="K525" s="17" t="s">
        <v>140</v>
      </c>
      <c r="L525" s="260">
        <v>1</v>
      </c>
      <c r="M525" s="70" t="s">
        <v>250</v>
      </c>
      <c r="N525" s="70">
        <v>100</v>
      </c>
      <c r="O525" s="258">
        <v>8</v>
      </c>
      <c r="P525" s="70" t="s">
        <v>251</v>
      </c>
      <c r="Q525" s="70" t="s">
        <v>233</v>
      </c>
      <c r="R525" s="70" t="s">
        <v>240</v>
      </c>
      <c r="S525" s="70" t="s">
        <v>233</v>
      </c>
      <c r="T525" s="70" t="s">
        <v>233</v>
      </c>
      <c r="U525" s="70" t="s">
        <v>1427</v>
      </c>
      <c r="V525" s="70" t="s">
        <v>240</v>
      </c>
      <c r="W525" s="12"/>
      <c r="X525" s="242">
        <v>1264.1699999999998</v>
      </c>
      <c r="Y525" s="242">
        <v>1246.8700000000001</v>
      </c>
      <c r="Z525" s="242">
        <v>156.55000000000001</v>
      </c>
      <c r="AA525" s="157" t="s">
        <v>259</v>
      </c>
      <c r="AB525" s="242">
        <v>156.36000000000001</v>
      </c>
      <c r="AC525" s="157" t="s">
        <v>259</v>
      </c>
      <c r="AD525" s="242">
        <v>155.94</v>
      </c>
      <c r="AE525" s="157" t="s">
        <v>259</v>
      </c>
      <c r="AF525" s="242">
        <v>157.37</v>
      </c>
      <c r="AG525" s="157" t="s">
        <v>259</v>
      </c>
      <c r="AH525" s="242">
        <v>157.5</v>
      </c>
      <c r="AI525" s="157" t="s">
        <v>259</v>
      </c>
      <c r="AJ525" s="242">
        <v>30.336600000000001</v>
      </c>
      <c r="AK525" s="242" t="s">
        <v>259</v>
      </c>
      <c r="AL525" s="242">
        <v>30.336600000000001</v>
      </c>
      <c r="AM525" s="242" t="s">
        <v>259</v>
      </c>
      <c r="AN525" s="242">
        <v>30.336600000000001</v>
      </c>
      <c r="AO525" s="242" t="s">
        <v>259</v>
      </c>
      <c r="AP525" s="242">
        <v>35.926580000000001</v>
      </c>
      <c r="AQ525" s="242" t="s">
        <v>259</v>
      </c>
      <c r="AR525" s="242">
        <v>66.53</v>
      </c>
      <c r="AS525" s="242" t="s">
        <v>259</v>
      </c>
      <c r="AT525" s="242">
        <v>138.82</v>
      </c>
      <c r="AU525" s="242" t="s">
        <v>259</v>
      </c>
      <c r="AV525" s="242">
        <v>139.71</v>
      </c>
      <c r="AW525" s="157" t="s">
        <v>259</v>
      </c>
      <c r="AX525" s="157">
        <v>3766.7563800000007</v>
      </c>
      <c r="AY525" s="240">
        <v>0.48599999999999999</v>
      </c>
      <c r="AZ525" s="156" t="s">
        <v>253</v>
      </c>
      <c r="BA525" s="156" t="s">
        <v>254</v>
      </c>
      <c r="BB525" s="156">
        <v>1</v>
      </c>
      <c r="BC525" s="157" t="s">
        <v>255</v>
      </c>
      <c r="BD525" s="3"/>
    </row>
    <row r="526" spans="1:56" ht="15.75" hidden="1" customHeight="1" outlineLevel="1">
      <c r="A526" s="58">
        <v>516</v>
      </c>
      <c r="B526" s="11">
        <v>129516</v>
      </c>
      <c r="C526" s="89" t="s">
        <v>331</v>
      </c>
      <c r="D526" s="157" t="s">
        <v>332</v>
      </c>
      <c r="E526" s="12" t="s">
        <v>191</v>
      </c>
      <c r="F526" s="11" t="s">
        <v>246</v>
      </c>
      <c r="G526" s="18" t="s">
        <v>247</v>
      </c>
      <c r="H526" s="11" t="s">
        <v>248</v>
      </c>
      <c r="I526" s="87" t="s">
        <v>249</v>
      </c>
      <c r="J526" s="19" t="s">
        <v>139</v>
      </c>
      <c r="K526" s="17" t="s">
        <v>140</v>
      </c>
      <c r="L526" s="260">
        <v>1</v>
      </c>
      <c r="M526" s="70" t="s">
        <v>250</v>
      </c>
      <c r="N526" s="70">
        <v>100</v>
      </c>
      <c r="O526" s="258">
        <v>8</v>
      </c>
      <c r="P526" s="70" t="s">
        <v>251</v>
      </c>
      <c r="Q526" s="70" t="s">
        <v>233</v>
      </c>
      <c r="R526" s="70" t="s">
        <v>240</v>
      </c>
      <c r="S526" s="70" t="s">
        <v>233</v>
      </c>
      <c r="T526" s="70" t="s">
        <v>233</v>
      </c>
      <c r="U526" s="70" t="s">
        <v>1427</v>
      </c>
      <c r="V526" s="70" t="s">
        <v>240</v>
      </c>
      <c r="W526" s="12"/>
      <c r="X526" s="242">
        <v>1033.94</v>
      </c>
      <c r="Y526" s="242">
        <v>1083</v>
      </c>
      <c r="Z526" s="242">
        <v>184.02</v>
      </c>
      <c r="AA526" s="157" t="s">
        <v>252</v>
      </c>
      <c r="AB526" s="242">
        <v>106.95</v>
      </c>
      <c r="AC526" s="157" t="s">
        <v>252</v>
      </c>
      <c r="AD526" s="242">
        <v>106.3</v>
      </c>
      <c r="AE526" s="157" t="s">
        <v>252</v>
      </c>
      <c r="AF526" s="242">
        <v>108.55</v>
      </c>
      <c r="AG526" s="157" t="s">
        <v>252</v>
      </c>
      <c r="AH526" s="242">
        <v>106.04</v>
      </c>
      <c r="AI526" s="157" t="s">
        <v>252</v>
      </c>
      <c r="AJ526" s="242">
        <v>22.183299999999999</v>
      </c>
      <c r="AK526" s="242" t="s">
        <v>252</v>
      </c>
      <c r="AL526" s="242">
        <v>22.183299999999999</v>
      </c>
      <c r="AM526" s="242" t="s">
        <v>252</v>
      </c>
      <c r="AN526" s="242">
        <v>22.183299999999999</v>
      </c>
      <c r="AO526" s="242" t="s">
        <v>252</v>
      </c>
      <c r="AP526" s="242">
        <v>35.462890000000002</v>
      </c>
      <c r="AQ526" s="242" t="s">
        <v>252</v>
      </c>
      <c r="AR526" s="242">
        <v>162.33000000000001</v>
      </c>
      <c r="AS526" s="242" t="s">
        <v>252</v>
      </c>
      <c r="AT526" s="242">
        <v>101.51</v>
      </c>
      <c r="AU526" s="242" t="s">
        <v>252</v>
      </c>
      <c r="AV526" s="242">
        <v>163.58000000000001</v>
      </c>
      <c r="AW526" s="157" t="s">
        <v>252</v>
      </c>
      <c r="AX526" s="157">
        <v>3258.2327900000005</v>
      </c>
      <c r="AY526" s="240">
        <v>0.47</v>
      </c>
      <c r="AZ526" s="156" t="s">
        <v>253</v>
      </c>
      <c r="BA526" s="156" t="s">
        <v>254</v>
      </c>
      <c r="BB526" s="156">
        <v>1</v>
      </c>
      <c r="BC526" s="156" t="s">
        <v>1423</v>
      </c>
      <c r="BD526" s="3"/>
    </row>
    <row r="527" spans="1:56" ht="15.75" hidden="1" customHeight="1" outlineLevel="1">
      <c r="A527" s="58">
        <v>517</v>
      </c>
      <c r="B527" s="11">
        <v>129517</v>
      </c>
      <c r="C527" s="89" t="s">
        <v>331</v>
      </c>
      <c r="D527" s="157">
        <v>3</v>
      </c>
      <c r="E527" s="12" t="s">
        <v>191</v>
      </c>
      <c r="F527" s="11" t="s">
        <v>246</v>
      </c>
      <c r="G527" s="18" t="s">
        <v>247</v>
      </c>
      <c r="H527" s="11" t="s">
        <v>248</v>
      </c>
      <c r="I527" s="87" t="s">
        <v>249</v>
      </c>
      <c r="J527" s="19" t="s">
        <v>139</v>
      </c>
      <c r="K527" s="17" t="s">
        <v>140</v>
      </c>
      <c r="L527" s="260">
        <v>1</v>
      </c>
      <c r="M527" s="70" t="s">
        <v>250</v>
      </c>
      <c r="N527" s="70">
        <v>80</v>
      </c>
      <c r="O527" s="258">
        <v>8</v>
      </c>
      <c r="P527" s="70" t="s">
        <v>251</v>
      </c>
      <c r="Q527" s="70" t="s">
        <v>233</v>
      </c>
      <c r="R527" s="70" t="s">
        <v>240</v>
      </c>
      <c r="S527" s="70" t="s">
        <v>233</v>
      </c>
      <c r="T527" s="70" t="s">
        <v>233</v>
      </c>
      <c r="U527" s="70" t="s">
        <v>1427</v>
      </c>
      <c r="V527" s="70" t="s">
        <v>240</v>
      </c>
      <c r="W527" s="12"/>
      <c r="X527" s="242">
        <v>1042.5999999999999</v>
      </c>
      <c r="Y527" s="242">
        <v>1044.6100000000001</v>
      </c>
      <c r="Z527" s="242">
        <v>145.91999999999999</v>
      </c>
      <c r="AA527" s="157" t="s">
        <v>252</v>
      </c>
      <c r="AB527" s="242">
        <v>139.63</v>
      </c>
      <c r="AC527" s="157" t="s">
        <v>252</v>
      </c>
      <c r="AD527" s="242">
        <v>184.2</v>
      </c>
      <c r="AE527" s="157" t="s">
        <v>252</v>
      </c>
      <c r="AF527" s="242">
        <v>113.94</v>
      </c>
      <c r="AG527" s="157" t="s">
        <v>252</v>
      </c>
      <c r="AH527" s="242">
        <v>38.83</v>
      </c>
      <c r="AI527" s="157" t="s">
        <v>252</v>
      </c>
      <c r="AJ527" s="242">
        <v>18.239999999999998</v>
      </c>
      <c r="AK527" s="242" t="s">
        <v>252</v>
      </c>
      <c r="AL527" s="242">
        <v>13.29</v>
      </c>
      <c r="AM527" s="242" t="s">
        <v>252</v>
      </c>
      <c r="AN527" s="242">
        <v>12.56</v>
      </c>
      <c r="AO527" s="242" t="s">
        <v>252</v>
      </c>
      <c r="AP527" s="242">
        <v>17.55</v>
      </c>
      <c r="AQ527" s="242" t="s">
        <v>252</v>
      </c>
      <c r="AR527" s="242">
        <v>177.11</v>
      </c>
      <c r="AS527" s="242" t="s">
        <v>252</v>
      </c>
      <c r="AT527" s="242">
        <v>99.39</v>
      </c>
      <c r="AU527" s="242" t="s">
        <v>259</v>
      </c>
      <c r="AV527" s="242">
        <v>129.94120000000001</v>
      </c>
      <c r="AW527" s="157" t="s">
        <v>259</v>
      </c>
      <c r="AX527" s="157">
        <v>3177.8112000000001</v>
      </c>
      <c r="AY527" s="240">
        <v>0.51</v>
      </c>
      <c r="AZ527" s="156" t="s">
        <v>253</v>
      </c>
      <c r="BA527" s="156" t="s">
        <v>254</v>
      </c>
      <c r="BB527" s="156">
        <v>1</v>
      </c>
      <c r="BC527" s="157" t="s">
        <v>255</v>
      </c>
      <c r="BD527" s="3"/>
    </row>
    <row r="528" spans="1:56" ht="15.75" hidden="1" customHeight="1" outlineLevel="1">
      <c r="A528" s="58">
        <v>518</v>
      </c>
      <c r="B528" s="11">
        <v>129518</v>
      </c>
      <c r="C528" s="89" t="s">
        <v>331</v>
      </c>
      <c r="D528" s="157">
        <v>5</v>
      </c>
      <c r="E528" s="12" t="s">
        <v>191</v>
      </c>
      <c r="F528" s="11" t="s">
        <v>246</v>
      </c>
      <c r="G528" s="18" t="s">
        <v>247</v>
      </c>
      <c r="H528" s="11" t="s">
        <v>248</v>
      </c>
      <c r="I528" s="87" t="s">
        <v>249</v>
      </c>
      <c r="J528" s="19" t="s">
        <v>139</v>
      </c>
      <c r="K528" s="17" t="s">
        <v>140</v>
      </c>
      <c r="L528" s="260">
        <v>1</v>
      </c>
      <c r="M528" s="70" t="s">
        <v>250</v>
      </c>
      <c r="N528" s="70">
        <v>100</v>
      </c>
      <c r="O528" s="258">
        <v>8</v>
      </c>
      <c r="P528" s="70" t="s">
        <v>251</v>
      </c>
      <c r="Q528" s="70" t="s">
        <v>233</v>
      </c>
      <c r="R528" s="70" t="s">
        <v>240</v>
      </c>
      <c r="S528" s="70" t="s">
        <v>233</v>
      </c>
      <c r="T528" s="70" t="s">
        <v>233</v>
      </c>
      <c r="U528" s="70" t="s">
        <v>1427</v>
      </c>
      <c r="V528" s="70" t="s">
        <v>240</v>
      </c>
      <c r="W528" s="12"/>
      <c r="X528" s="242">
        <v>911.46999999999991</v>
      </c>
      <c r="Y528" s="242">
        <v>908.36999999999989</v>
      </c>
      <c r="Z528" s="242">
        <v>112.4</v>
      </c>
      <c r="AA528" s="157" t="s">
        <v>252</v>
      </c>
      <c r="AB528" s="242">
        <v>90.79</v>
      </c>
      <c r="AC528" s="157" t="s">
        <v>252</v>
      </c>
      <c r="AD528" s="242">
        <v>117.99</v>
      </c>
      <c r="AE528" s="157" t="s">
        <v>252</v>
      </c>
      <c r="AF528" s="242">
        <v>61.08</v>
      </c>
      <c r="AG528" s="157" t="s">
        <v>252</v>
      </c>
      <c r="AH528" s="242">
        <v>36.4</v>
      </c>
      <c r="AI528" s="157" t="s">
        <v>252</v>
      </c>
      <c r="AJ528" s="242">
        <v>23.42</v>
      </c>
      <c r="AK528" s="242" t="s">
        <v>252</v>
      </c>
      <c r="AL528" s="242">
        <v>17.559999999999999</v>
      </c>
      <c r="AM528" s="242" t="s">
        <v>252</v>
      </c>
      <c r="AN528" s="242">
        <v>16.97</v>
      </c>
      <c r="AO528" s="242" t="s">
        <v>252</v>
      </c>
      <c r="AP528" s="242">
        <v>22.01</v>
      </c>
      <c r="AQ528" s="242" t="s">
        <v>252</v>
      </c>
      <c r="AR528" s="242">
        <v>66.930000000000007</v>
      </c>
      <c r="AS528" s="242" t="s">
        <v>252</v>
      </c>
      <c r="AT528" s="242">
        <v>75.569999999999993</v>
      </c>
      <c r="AU528" s="242" t="s">
        <v>252</v>
      </c>
      <c r="AV528" s="242">
        <v>86.16</v>
      </c>
      <c r="AW528" s="157" t="s">
        <v>252</v>
      </c>
      <c r="AX528" s="157">
        <v>2547.1199999999994</v>
      </c>
      <c r="AY528" s="240">
        <v>0.37</v>
      </c>
      <c r="AZ528" s="156" t="s">
        <v>253</v>
      </c>
      <c r="BA528" s="156" t="s">
        <v>254</v>
      </c>
      <c r="BB528" s="156">
        <v>1</v>
      </c>
      <c r="BC528" s="156" t="s">
        <v>1423</v>
      </c>
      <c r="BD528" s="3"/>
    </row>
    <row r="529" spans="1:56" ht="15.75" hidden="1" customHeight="1" outlineLevel="1">
      <c r="A529" s="58">
        <v>519</v>
      </c>
      <c r="B529" s="11">
        <v>129519</v>
      </c>
      <c r="C529" s="89" t="s">
        <v>331</v>
      </c>
      <c r="D529" s="157" t="s">
        <v>224</v>
      </c>
      <c r="E529" s="12" t="s">
        <v>191</v>
      </c>
      <c r="F529" s="11" t="s">
        <v>246</v>
      </c>
      <c r="G529" s="18" t="s">
        <v>247</v>
      </c>
      <c r="H529" s="11" t="s">
        <v>248</v>
      </c>
      <c r="I529" s="87" t="s">
        <v>249</v>
      </c>
      <c r="J529" s="19" t="s">
        <v>139</v>
      </c>
      <c r="K529" s="17" t="s">
        <v>140</v>
      </c>
      <c r="L529" s="257">
        <v>0</v>
      </c>
      <c r="M529" s="70" t="s">
        <v>250</v>
      </c>
      <c r="N529" s="70">
        <v>100</v>
      </c>
      <c r="O529" s="258">
        <v>8</v>
      </c>
      <c r="P529" s="70" t="s">
        <v>251</v>
      </c>
      <c r="Q529" s="70" t="s">
        <v>240</v>
      </c>
      <c r="R529" s="70" t="s">
        <v>240</v>
      </c>
      <c r="S529" s="70" t="s">
        <v>233</v>
      </c>
      <c r="T529" s="70" t="s">
        <v>233</v>
      </c>
      <c r="U529" s="70" t="s">
        <v>1427</v>
      </c>
      <c r="V529" s="70" t="s">
        <v>240</v>
      </c>
      <c r="W529" s="12"/>
      <c r="X529" s="242">
        <v>1037.6600000000003</v>
      </c>
      <c r="Y529" s="242">
        <v>989.7399999999999</v>
      </c>
      <c r="Z529" s="242">
        <v>185.39</v>
      </c>
      <c r="AA529" s="157" t="s">
        <v>252</v>
      </c>
      <c r="AB529" s="242">
        <v>64.67</v>
      </c>
      <c r="AC529" s="157" t="s">
        <v>252</v>
      </c>
      <c r="AD529" s="242">
        <v>185.46</v>
      </c>
      <c r="AE529" s="157" t="s">
        <v>252</v>
      </c>
      <c r="AF529" s="242">
        <v>95.6</v>
      </c>
      <c r="AG529" s="157" t="s">
        <v>252</v>
      </c>
      <c r="AH529" s="242">
        <v>78.510000000000005</v>
      </c>
      <c r="AI529" s="157" t="s">
        <v>252</v>
      </c>
      <c r="AJ529" s="242">
        <v>3.16</v>
      </c>
      <c r="AK529" s="242" t="s">
        <v>252</v>
      </c>
      <c r="AL529" s="242">
        <v>1.58</v>
      </c>
      <c r="AM529" s="242" t="s">
        <v>252</v>
      </c>
      <c r="AN529" s="242">
        <v>1.74</v>
      </c>
      <c r="AO529" s="242" t="s">
        <v>252</v>
      </c>
      <c r="AP529" s="242">
        <v>3.61</v>
      </c>
      <c r="AQ529" s="242" t="s">
        <v>252</v>
      </c>
      <c r="AR529" s="242">
        <v>94.93</v>
      </c>
      <c r="AS529" s="242" t="s">
        <v>252</v>
      </c>
      <c r="AT529" s="242">
        <v>93.518680000000003</v>
      </c>
      <c r="AU529" s="242" t="s">
        <v>252</v>
      </c>
      <c r="AV529" s="242">
        <v>101.90860000000001</v>
      </c>
      <c r="AW529" s="157" t="s">
        <v>252</v>
      </c>
      <c r="AX529" s="157">
        <v>2937.4772800000001</v>
      </c>
      <c r="AY529" s="240">
        <v>0.39</v>
      </c>
      <c r="AZ529" s="156" t="s">
        <v>253</v>
      </c>
      <c r="BA529" s="156" t="s">
        <v>254</v>
      </c>
      <c r="BB529" s="156">
        <v>0</v>
      </c>
      <c r="BC529" s="156" t="s">
        <v>1423</v>
      </c>
      <c r="BD529" s="3"/>
    </row>
    <row r="530" spans="1:56" ht="15.75" hidden="1" customHeight="1" outlineLevel="1">
      <c r="A530" s="58">
        <v>520</v>
      </c>
      <c r="B530" s="11">
        <v>129520</v>
      </c>
      <c r="C530" s="89" t="s">
        <v>331</v>
      </c>
      <c r="D530" s="157">
        <v>7</v>
      </c>
      <c r="E530" s="12" t="s">
        <v>191</v>
      </c>
      <c r="F530" s="11" t="s">
        <v>246</v>
      </c>
      <c r="G530" s="18" t="s">
        <v>247</v>
      </c>
      <c r="H530" s="11" t="s">
        <v>248</v>
      </c>
      <c r="I530" s="87" t="s">
        <v>249</v>
      </c>
      <c r="J530" s="19" t="s">
        <v>139</v>
      </c>
      <c r="K530" s="17" t="s">
        <v>140</v>
      </c>
      <c r="L530" s="257">
        <v>0</v>
      </c>
      <c r="M530" s="70" t="s">
        <v>250</v>
      </c>
      <c r="N530" s="70">
        <v>100</v>
      </c>
      <c r="O530" s="258">
        <v>8</v>
      </c>
      <c r="P530" s="70" t="s">
        <v>251</v>
      </c>
      <c r="Q530" s="70" t="s">
        <v>233</v>
      </c>
      <c r="R530" s="70" t="s">
        <v>240</v>
      </c>
      <c r="S530" s="70" t="s">
        <v>233</v>
      </c>
      <c r="T530" s="70" t="s">
        <v>233</v>
      </c>
      <c r="U530" s="70" t="s">
        <v>1427</v>
      </c>
      <c r="V530" s="70" t="s">
        <v>240</v>
      </c>
      <c r="W530" s="12"/>
      <c r="X530" s="242">
        <v>1524.2400000000002</v>
      </c>
      <c r="Y530" s="242">
        <v>1292.08</v>
      </c>
      <c r="Z530" s="242">
        <v>155.71</v>
      </c>
      <c r="AA530" s="157" t="s">
        <v>252</v>
      </c>
      <c r="AB530" s="242">
        <v>157.08000000000001</v>
      </c>
      <c r="AC530" s="157" t="s">
        <v>252</v>
      </c>
      <c r="AD530" s="242">
        <v>204.15</v>
      </c>
      <c r="AE530" s="157" t="s">
        <v>252</v>
      </c>
      <c r="AF530" s="242">
        <v>105.9</v>
      </c>
      <c r="AG530" s="157" t="s">
        <v>252</v>
      </c>
      <c r="AH530" s="242">
        <v>66.459999999999994</v>
      </c>
      <c r="AI530" s="157" t="s">
        <v>252</v>
      </c>
      <c r="AJ530" s="242">
        <v>14.73</v>
      </c>
      <c r="AK530" s="242" t="s">
        <v>252</v>
      </c>
      <c r="AL530" s="242">
        <v>14.21</v>
      </c>
      <c r="AM530" s="242" t="s">
        <v>252</v>
      </c>
      <c r="AN530" s="242">
        <v>10.72</v>
      </c>
      <c r="AO530" s="242" t="s">
        <v>252</v>
      </c>
      <c r="AP530" s="242">
        <v>13.94</v>
      </c>
      <c r="AQ530" s="242" t="s">
        <v>252</v>
      </c>
      <c r="AR530" s="242">
        <v>121.68</v>
      </c>
      <c r="AS530" s="242" t="s">
        <v>252</v>
      </c>
      <c r="AT530" s="242">
        <v>133.72999999999999</v>
      </c>
      <c r="AU530" s="242" t="s">
        <v>252</v>
      </c>
      <c r="AV530" s="242">
        <v>150.19999999999999</v>
      </c>
      <c r="AW530" s="157" t="s">
        <v>252</v>
      </c>
      <c r="AX530" s="157">
        <v>3964.83</v>
      </c>
      <c r="AY530" s="240">
        <v>0.71</v>
      </c>
      <c r="AZ530" s="156" t="s">
        <v>253</v>
      </c>
      <c r="BA530" s="156" t="s">
        <v>254</v>
      </c>
      <c r="BB530" s="156">
        <v>0</v>
      </c>
      <c r="BC530" s="156" t="s">
        <v>1423</v>
      </c>
      <c r="BD530" s="3"/>
    </row>
    <row r="531" spans="1:56" ht="15.75" hidden="1" customHeight="1" outlineLevel="1">
      <c r="A531" s="58">
        <v>521</v>
      </c>
      <c r="B531" s="11">
        <v>129521</v>
      </c>
      <c r="C531" s="89" t="s">
        <v>331</v>
      </c>
      <c r="D531" s="157">
        <v>9</v>
      </c>
      <c r="E531" s="12" t="s">
        <v>191</v>
      </c>
      <c r="F531" s="11" t="s">
        <v>246</v>
      </c>
      <c r="G531" s="18" t="s">
        <v>247</v>
      </c>
      <c r="H531" s="11" t="s">
        <v>248</v>
      </c>
      <c r="I531" s="87" t="s">
        <v>249</v>
      </c>
      <c r="J531" s="19" t="s">
        <v>139</v>
      </c>
      <c r="K531" s="17" t="s">
        <v>140</v>
      </c>
      <c r="L531" s="257">
        <v>0</v>
      </c>
      <c r="M531" s="70" t="s">
        <v>250</v>
      </c>
      <c r="N531" s="70">
        <v>100</v>
      </c>
      <c r="O531" s="258">
        <v>8</v>
      </c>
      <c r="P531" s="70" t="s">
        <v>251</v>
      </c>
      <c r="Q531" s="70" t="s">
        <v>233</v>
      </c>
      <c r="R531" s="70" t="s">
        <v>240</v>
      </c>
      <c r="S531" s="70" t="s">
        <v>233</v>
      </c>
      <c r="T531" s="70" t="s">
        <v>233</v>
      </c>
      <c r="U531" s="70" t="s">
        <v>1427</v>
      </c>
      <c r="V531" s="70" t="s">
        <v>240</v>
      </c>
      <c r="W531" s="12"/>
      <c r="X531" s="242">
        <v>536.83000000000015</v>
      </c>
      <c r="Y531" s="242">
        <v>388.58</v>
      </c>
      <c r="Z531" s="242">
        <v>66.41</v>
      </c>
      <c r="AA531" s="157" t="s">
        <v>252</v>
      </c>
      <c r="AB531" s="242">
        <v>71.59</v>
      </c>
      <c r="AC531" s="157" t="s">
        <v>252</v>
      </c>
      <c r="AD531" s="242">
        <v>71.180000000000007</v>
      </c>
      <c r="AE531" s="157" t="s">
        <v>252</v>
      </c>
      <c r="AF531" s="242">
        <v>47.79</v>
      </c>
      <c r="AG531" s="157" t="s">
        <v>252</v>
      </c>
      <c r="AH531" s="242">
        <v>36.92</v>
      </c>
      <c r="AI531" s="157" t="s">
        <v>252</v>
      </c>
      <c r="AJ531" s="242">
        <v>12.71</v>
      </c>
      <c r="AK531" s="242" t="s">
        <v>252</v>
      </c>
      <c r="AL531" s="242">
        <v>6.02</v>
      </c>
      <c r="AM531" s="242" t="s">
        <v>252</v>
      </c>
      <c r="AN531" s="242">
        <v>4.91</v>
      </c>
      <c r="AO531" s="242" t="s">
        <v>252</v>
      </c>
      <c r="AP531" s="242">
        <v>4.2300000000000004</v>
      </c>
      <c r="AQ531" s="242" t="s">
        <v>252</v>
      </c>
      <c r="AR531" s="242">
        <v>29.79</v>
      </c>
      <c r="AS531" s="242" t="s">
        <v>252</v>
      </c>
      <c r="AT531" s="242">
        <v>28.17</v>
      </c>
      <c r="AU531" s="242" t="s">
        <v>259</v>
      </c>
      <c r="AV531" s="242">
        <v>53.58211</v>
      </c>
      <c r="AW531" s="157" t="s">
        <v>259</v>
      </c>
      <c r="AX531" s="157">
        <v>1358.7121100000004</v>
      </c>
      <c r="AY531" s="240">
        <v>0.2109</v>
      </c>
      <c r="AZ531" s="156" t="s">
        <v>253</v>
      </c>
      <c r="BA531" s="156" t="s">
        <v>254</v>
      </c>
      <c r="BB531" s="156">
        <v>0</v>
      </c>
      <c r="BC531" s="156" t="s">
        <v>1423</v>
      </c>
      <c r="BD531" s="3"/>
    </row>
    <row r="532" spans="1:56" ht="15.75" hidden="1" customHeight="1" outlineLevel="1">
      <c r="A532" s="58">
        <v>522</v>
      </c>
      <c r="B532" s="11">
        <v>129522</v>
      </c>
      <c r="C532" s="89" t="s">
        <v>333</v>
      </c>
      <c r="D532" s="157">
        <v>3</v>
      </c>
      <c r="E532" s="12" t="s">
        <v>191</v>
      </c>
      <c r="F532" s="11" t="s">
        <v>246</v>
      </c>
      <c r="G532" s="18" t="s">
        <v>247</v>
      </c>
      <c r="H532" s="11" t="s">
        <v>248</v>
      </c>
      <c r="I532" s="87" t="s">
        <v>249</v>
      </c>
      <c r="J532" s="19" t="s">
        <v>139</v>
      </c>
      <c r="K532" s="17" t="s">
        <v>140</v>
      </c>
      <c r="L532" s="260">
        <v>1</v>
      </c>
      <c r="M532" s="70" t="s">
        <v>250</v>
      </c>
      <c r="N532" s="70">
        <v>100</v>
      </c>
      <c r="O532" s="258">
        <v>8</v>
      </c>
      <c r="P532" s="70" t="s">
        <v>251</v>
      </c>
      <c r="Q532" s="70" t="s">
        <v>233</v>
      </c>
      <c r="R532" s="70" t="s">
        <v>240</v>
      </c>
      <c r="S532" s="70" t="s">
        <v>233</v>
      </c>
      <c r="T532" s="70" t="s">
        <v>233</v>
      </c>
      <c r="U532" s="70" t="s">
        <v>1427</v>
      </c>
      <c r="V532" s="70" t="s">
        <v>240</v>
      </c>
      <c r="W532" s="12"/>
      <c r="X532" s="242">
        <v>1304.8199999999997</v>
      </c>
      <c r="Y532" s="242">
        <v>970.75</v>
      </c>
      <c r="Z532" s="242">
        <v>90.57</v>
      </c>
      <c r="AA532" s="157" t="s">
        <v>252</v>
      </c>
      <c r="AB532" s="242">
        <v>90.09</v>
      </c>
      <c r="AC532" s="157" t="s">
        <v>252</v>
      </c>
      <c r="AD532" s="242">
        <v>136.58000000000001</v>
      </c>
      <c r="AE532" s="157" t="s">
        <v>252</v>
      </c>
      <c r="AF532" s="242">
        <v>80.23</v>
      </c>
      <c r="AG532" s="157" t="s">
        <v>252</v>
      </c>
      <c r="AH532" s="242">
        <v>30.38</v>
      </c>
      <c r="AI532" s="157" t="s">
        <v>252</v>
      </c>
      <c r="AJ532" s="242">
        <v>17.53</v>
      </c>
      <c r="AK532" s="242" t="s">
        <v>252</v>
      </c>
      <c r="AL532" s="242">
        <v>14.68</v>
      </c>
      <c r="AM532" s="242" t="s">
        <v>252</v>
      </c>
      <c r="AN532" s="242">
        <v>13.8</v>
      </c>
      <c r="AO532" s="242" t="s">
        <v>252</v>
      </c>
      <c r="AP532" s="242">
        <v>34.022129999999997</v>
      </c>
      <c r="AQ532" s="242" t="s">
        <v>259</v>
      </c>
      <c r="AR532" s="242">
        <v>52.27</v>
      </c>
      <c r="AS532" s="242" t="s">
        <v>259</v>
      </c>
      <c r="AT532" s="242">
        <v>85.267420000000001</v>
      </c>
      <c r="AU532" s="242" t="s">
        <v>259</v>
      </c>
      <c r="AV532" s="242">
        <v>82.12</v>
      </c>
      <c r="AW532" s="157" t="s">
        <v>259</v>
      </c>
      <c r="AX532" s="157">
        <v>3003.1095500000001</v>
      </c>
      <c r="AY532" s="240">
        <v>0.36</v>
      </c>
      <c r="AZ532" s="156" t="s">
        <v>253</v>
      </c>
      <c r="BA532" s="156" t="s">
        <v>254</v>
      </c>
      <c r="BB532" s="156">
        <v>1</v>
      </c>
      <c r="BC532" s="156" t="s">
        <v>1423</v>
      </c>
      <c r="BD532" s="3"/>
    </row>
    <row r="533" spans="1:56" ht="15.75" hidden="1" customHeight="1" outlineLevel="1">
      <c r="A533" s="58">
        <v>523</v>
      </c>
      <c r="B533" s="11">
        <v>129523</v>
      </c>
      <c r="C533" s="89" t="s">
        <v>333</v>
      </c>
      <c r="D533" s="157">
        <v>5</v>
      </c>
      <c r="E533" s="12" t="s">
        <v>191</v>
      </c>
      <c r="F533" s="11" t="s">
        <v>246</v>
      </c>
      <c r="G533" s="18" t="s">
        <v>247</v>
      </c>
      <c r="H533" s="11" t="s">
        <v>248</v>
      </c>
      <c r="I533" s="87" t="s">
        <v>249</v>
      </c>
      <c r="J533" s="19" t="s">
        <v>139</v>
      </c>
      <c r="K533" s="17" t="s">
        <v>140</v>
      </c>
      <c r="L533" s="257">
        <v>0</v>
      </c>
      <c r="M533" s="70" t="s">
        <v>250</v>
      </c>
      <c r="N533" s="70">
        <v>80</v>
      </c>
      <c r="O533" s="258">
        <v>8</v>
      </c>
      <c r="P533" s="70" t="s">
        <v>251</v>
      </c>
      <c r="Q533" s="70" t="s">
        <v>233</v>
      </c>
      <c r="R533" s="70" t="s">
        <v>240</v>
      </c>
      <c r="S533" s="70" t="s">
        <v>233</v>
      </c>
      <c r="T533" s="70" t="s">
        <v>233</v>
      </c>
      <c r="U533" s="70" t="s">
        <v>1427</v>
      </c>
      <c r="V533" s="70" t="s">
        <v>240</v>
      </c>
      <c r="W533" s="12"/>
      <c r="X533" s="242">
        <v>679.95999999999981</v>
      </c>
      <c r="Y533" s="242">
        <v>701.87</v>
      </c>
      <c r="Z533" s="242">
        <v>73.31</v>
      </c>
      <c r="AA533" s="157" t="s">
        <v>252</v>
      </c>
      <c r="AB533" s="242">
        <v>73.13</v>
      </c>
      <c r="AC533" s="157" t="s">
        <v>252</v>
      </c>
      <c r="AD533" s="242">
        <v>93.83</v>
      </c>
      <c r="AE533" s="157" t="s">
        <v>252</v>
      </c>
      <c r="AF533" s="242">
        <v>55.1</v>
      </c>
      <c r="AG533" s="157" t="s">
        <v>252</v>
      </c>
      <c r="AH533" s="242">
        <v>21.05</v>
      </c>
      <c r="AI533" s="157" t="s">
        <v>252</v>
      </c>
      <c r="AJ533" s="242">
        <v>10.39</v>
      </c>
      <c r="AK533" s="242" t="s">
        <v>252</v>
      </c>
      <c r="AL533" s="242">
        <v>9.01</v>
      </c>
      <c r="AM533" s="242" t="s">
        <v>252</v>
      </c>
      <c r="AN533" s="242">
        <v>8.16</v>
      </c>
      <c r="AO533" s="242" t="s">
        <v>252</v>
      </c>
      <c r="AP533" s="242">
        <v>23.230730000000001</v>
      </c>
      <c r="AQ533" s="242" t="s">
        <v>259</v>
      </c>
      <c r="AR533" s="242">
        <v>10.66</v>
      </c>
      <c r="AS533" s="242" t="s">
        <v>259</v>
      </c>
      <c r="AT533" s="242">
        <v>56.243380000000002</v>
      </c>
      <c r="AU533" s="242" t="s">
        <v>259</v>
      </c>
      <c r="AV533" s="242">
        <v>61.71</v>
      </c>
      <c r="AW533" s="157" t="s">
        <v>259</v>
      </c>
      <c r="AX533" s="157">
        <v>1877.6541099999999</v>
      </c>
      <c r="AY533" s="240">
        <v>0.26</v>
      </c>
      <c r="AZ533" s="156" t="s">
        <v>253</v>
      </c>
      <c r="BA533" s="156" t="s">
        <v>254</v>
      </c>
      <c r="BB533" s="156">
        <v>0</v>
      </c>
      <c r="BC533" s="156" t="s">
        <v>1423</v>
      </c>
      <c r="BD533" s="3"/>
    </row>
    <row r="534" spans="1:56" ht="15.75" hidden="1" customHeight="1" outlineLevel="1">
      <c r="A534" s="58">
        <v>524</v>
      </c>
      <c r="B534" s="11">
        <v>129524</v>
      </c>
      <c r="C534" s="89" t="s">
        <v>334</v>
      </c>
      <c r="D534" s="157">
        <v>104</v>
      </c>
      <c r="E534" s="12" t="s">
        <v>191</v>
      </c>
      <c r="F534" s="11" t="s">
        <v>246</v>
      </c>
      <c r="G534" s="18" t="s">
        <v>247</v>
      </c>
      <c r="H534" s="11" t="s">
        <v>248</v>
      </c>
      <c r="I534" s="87" t="s">
        <v>249</v>
      </c>
      <c r="J534" s="19" t="s">
        <v>139</v>
      </c>
      <c r="K534" s="17" t="s">
        <v>140</v>
      </c>
      <c r="L534" s="260">
        <v>1</v>
      </c>
      <c r="M534" s="70" t="s">
        <v>250</v>
      </c>
      <c r="N534" s="70">
        <v>100</v>
      </c>
      <c r="O534" s="258">
        <v>8</v>
      </c>
      <c r="P534" s="70" t="s">
        <v>251</v>
      </c>
      <c r="Q534" s="70" t="s">
        <v>233</v>
      </c>
      <c r="R534" s="70" t="s">
        <v>240</v>
      </c>
      <c r="S534" s="70" t="s">
        <v>233</v>
      </c>
      <c r="T534" s="70" t="s">
        <v>233</v>
      </c>
      <c r="U534" s="70" t="s">
        <v>1428</v>
      </c>
      <c r="V534" s="70" t="s">
        <v>240</v>
      </c>
      <c r="W534" s="12"/>
      <c r="X534" s="242">
        <v>971.8599999999999</v>
      </c>
      <c r="Y534" s="242">
        <v>1129.6200000000001</v>
      </c>
      <c r="Z534" s="242">
        <v>222.77</v>
      </c>
      <c r="AA534" s="157" t="s">
        <v>252</v>
      </c>
      <c r="AB534" s="242">
        <v>100.25</v>
      </c>
      <c r="AC534" s="157" t="s">
        <v>252</v>
      </c>
      <c r="AD534" s="242">
        <v>162.41</v>
      </c>
      <c r="AE534" s="157" t="s">
        <v>252</v>
      </c>
      <c r="AF534" s="242">
        <v>79.92</v>
      </c>
      <c r="AG534" s="157" t="s">
        <v>252</v>
      </c>
      <c r="AH534" s="242">
        <v>33.979999999999997</v>
      </c>
      <c r="AI534" s="157" t="s">
        <v>252</v>
      </c>
      <c r="AJ534" s="242">
        <v>12.05</v>
      </c>
      <c r="AK534" s="242" t="s">
        <v>252</v>
      </c>
      <c r="AL534" s="242">
        <v>8.14</v>
      </c>
      <c r="AM534" s="242" t="s">
        <v>252</v>
      </c>
      <c r="AN534" s="242">
        <v>10.57</v>
      </c>
      <c r="AO534" s="242" t="s">
        <v>252</v>
      </c>
      <c r="AP534" s="242">
        <v>39.531709999999997</v>
      </c>
      <c r="AQ534" s="242" t="s">
        <v>252</v>
      </c>
      <c r="AR534" s="242">
        <v>157.91</v>
      </c>
      <c r="AS534" s="242" t="s">
        <v>252</v>
      </c>
      <c r="AT534" s="242">
        <v>124.33671</v>
      </c>
      <c r="AU534" s="242" t="s">
        <v>252</v>
      </c>
      <c r="AV534" s="242">
        <v>142.79105999999999</v>
      </c>
      <c r="AW534" s="157" t="s">
        <v>252</v>
      </c>
      <c r="AX534" s="157">
        <v>3196.1394800000003</v>
      </c>
      <c r="AY534" s="240">
        <v>0.49299999999999999</v>
      </c>
      <c r="AZ534" s="156" t="s">
        <v>253</v>
      </c>
      <c r="BA534" s="156" t="s">
        <v>254</v>
      </c>
      <c r="BB534" s="156">
        <v>1</v>
      </c>
      <c r="BC534" s="157" t="s">
        <v>255</v>
      </c>
      <c r="BD534" s="3"/>
    </row>
    <row r="535" spans="1:56" ht="15.75" hidden="1" customHeight="1" outlineLevel="1">
      <c r="A535" s="58">
        <v>525</v>
      </c>
      <c r="B535" s="11">
        <v>129525</v>
      </c>
      <c r="C535" s="89" t="s">
        <v>334</v>
      </c>
      <c r="D535" s="157">
        <v>110</v>
      </c>
      <c r="E535" s="12" t="s">
        <v>191</v>
      </c>
      <c r="F535" s="11" t="s">
        <v>246</v>
      </c>
      <c r="G535" s="18" t="s">
        <v>247</v>
      </c>
      <c r="H535" s="11" t="s">
        <v>248</v>
      </c>
      <c r="I535" s="87" t="s">
        <v>249</v>
      </c>
      <c r="J535" s="19" t="s">
        <v>139</v>
      </c>
      <c r="K535" s="17" t="s">
        <v>140</v>
      </c>
      <c r="L535" s="260">
        <v>1</v>
      </c>
      <c r="M535" s="70" t="s">
        <v>250</v>
      </c>
      <c r="N535" s="70">
        <v>100</v>
      </c>
      <c r="O535" s="258">
        <v>8</v>
      </c>
      <c r="P535" s="70" t="s">
        <v>251</v>
      </c>
      <c r="Q535" s="70" t="s">
        <v>233</v>
      </c>
      <c r="R535" s="70" t="s">
        <v>240</v>
      </c>
      <c r="S535" s="70" t="s">
        <v>233</v>
      </c>
      <c r="T535" s="70" t="s">
        <v>233</v>
      </c>
      <c r="U535" s="70" t="s">
        <v>1427</v>
      </c>
      <c r="V535" s="70" t="s">
        <v>240</v>
      </c>
      <c r="W535" s="12"/>
      <c r="X535" s="242">
        <v>1113.0499999999997</v>
      </c>
      <c r="Y535" s="242">
        <v>1141.33</v>
      </c>
      <c r="Z535" s="242">
        <v>179.64</v>
      </c>
      <c r="AA535" s="157" t="s">
        <v>252</v>
      </c>
      <c r="AB535" s="242">
        <v>136.87</v>
      </c>
      <c r="AC535" s="157" t="s">
        <v>252</v>
      </c>
      <c r="AD535" s="242">
        <v>196</v>
      </c>
      <c r="AE535" s="157" t="s">
        <v>252</v>
      </c>
      <c r="AF535" s="242">
        <v>98.86</v>
      </c>
      <c r="AG535" s="157" t="s">
        <v>259</v>
      </c>
      <c r="AH535" s="242">
        <v>43.2</v>
      </c>
      <c r="AI535" s="157" t="s">
        <v>259</v>
      </c>
      <c r="AJ535" s="242">
        <v>11.35</v>
      </c>
      <c r="AK535" s="242" t="s">
        <v>259</v>
      </c>
      <c r="AL535" s="242">
        <v>9.9</v>
      </c>
      <c r="AM535" s="242" t="s">
        <v>259</v>
      </c>
      <c r="AN535" s="242">
        <v>11.21</v>
      </c>
      <c r="AO535" s="242" t="s">
        <v>259</v>
      </c>
      <c r="AP535" s="242">
        <v>16.350000000000001</v>
      </c>
      <c r="AQ535" s="242" t="s">
        <v>259</v>
      </c>
      <c r="AR535" s="242">
        <v>153.38999999999999</v>
      </c>
      <c r="AS535" s="242" t="s">
        <v>259</v>
      </c>
      <c r="AT535" s="242">
        <v>142.86698999999999</v>
      </c>
      <c r="AU535" s="242" t="s">
        <v>259</v>
      </c>
      <c r="AV535" s="242">
        <v>142.05146999999999</v>
      </c>
      <c r="AW535" s="157" t="s">
        <v>259</v>
      </c>
      <c r="AX535" s="157">
        <v>3396.068459999999</v>
      </c>
      <c r="AY535" s="240">
        <v>0.38600000000000001</v>
      </c>
      <c r="AZ535" s="156" t="s">
        <v>253</v>
      </c>
      <c r="BA535" s="156" t="s">
        <v>254</v>
      </c>
      <c r="BB535" s="156">
        <v>1</v>
      </c>
      <c r="BC535" s="157" t="s">
        <v>255</v>
      </c>
      <c r="BD535" s="3"/>
    </row>
    <row r="536" spans="1:56" ht="15.75" hidden="1" customHeight="1" outlineLevel="1">
      <c r="A536" s="58">
        <v>526</v>
      </c>
      <c r="B536" s="11">
        <v>129526</v>
      </c>
      <c r="C536" s="89" t="s">
        <v>334</v>
      </c>
      <c r="D536" s="157">
        <v>112</v>
      </c>
      <c r="E536" s="12" t="s">
        <v>335</v>
      </c>
      <c r="F536" s="11" t="s">
        <v>246</v>
      </c>
      <c r="G536" s="18" t="s">
        <v>247</v>
      </c>
      <c r="H536" s="11" t="s">
        <v>248</v>
      </c>
      <c r="I536" s="87" t="s">
        <v>249</v>
      </c>
      <c r="J536" s="19" t="s">
        <v>139</v>
      </c>
      <c r="K536" s="17" t="s">
        <v>140</v>
      </c>
      <c r="L536" s="260">
        <v>1</v>
      </c>
      <c r="M536" s="70" t="s">
        <v>250</v>
      </c>
      <c r="N536" s="70">
        <v>80</v>
      </c>
      <c r="O536" s="258">
        <v>8</v>
      </c>
      <c r="P536" s="70" t="s">
        <v>251</v>
      </c>
      <c r="Q536" s="70" t="s">
        <v>233</v>
      </c>
      <c r="R536" s="70" t="s">
        <v>240</v>
      </c>
      <c r="S536" s="70" t="s">
        <v>233</v>
      </c>
      <c r="T536" s="70" t="s">
        <v>233</v>
      </c>
      <c r="U536" s="70" t="s">
        <v>1427</v>
      </c>
      <c r="V536" s="70" t="s">
        <v>240</v>
      </c>
      <c r="W536" s="12"/>
      <c r="X536" s="242">
        <v>762.35565158901363</v>
      </c>
      <c r="Y536" s="242">
        <v>796.72078047789478</v>
      </c>
      <c r="Z536" s="242">
        <v>87.153748733475439</v>
      </c>
      <c r="AA536" s="157" t="s">
        <v>259</v>
      </c>
      <c r="AB536" s="242">
        <v>87.101222743580308</v>
      </c>
      <c r="AC536" s="157" t="s">
        <v>259</v>
      </c>
      <c r="AD536" s="242">
        <v>87.153748733475439</v>
      </c>
      <c r="AE536" s="157" t="s">
        <v>259</v>
      </c>
      <c r="AF536" s="242">
        <v>87.137334361633208</v>
      </c>
      <c r="AG536" s="157" t="s">
        <v>259</v>
      </c>
      <c r="AH536" s="242">
        <v>86.530002603470891</v>
      </c>
      <c r="AI536" s="157" t="s">
        <v>259</v>
      </c>
      <c r="AJ536" s="242">
        <v>23.87634528169982</v>
      </c>
      <c r="AK536" s="242" t="s">
        <v>259</v>
      </c>
      <c r="AL536" s="242">
        <v>23.731898809488246</v>
      </c>
      <c r="AM536" s="242" t="s">
        <v>259</v>
      </c>
      <c r="AN536" s="242">
        <v>3.4798468305516028</v>
      </c>
      <c r="AO536" s="242" t="s">
        <v>259</v>
      </c>
      <c r="AP536" s="242">
        <v>17.011854977281516</v>
      </c>
      <c r="AQ536" s="242" t="s">
        <v>259</v>
      </c>
      <c r="AR536" s="242">
        <v>71.826008307206152</v>
      </c>
      <c r="AS536" s="242" t="s">
        <v>259</v>
      </c>
      <c r="AT536" s="242">
        <v>88.962612510488583</v>
      </c>
      <c r="AU536" s="242" t="s">
        <v>259</v>
      </c>
      <c r="AV536" s="242">
        <v>84.960788655354236</v>
      </c>
      <c r="AW536" s="157" t="s">
        <v>259</v>
      </c>
      <c r="AX536" s="157">
        <v>2308.0018446146141</v>
      </c>
      <c r="AY536" s="240">
        <v>3.9394492421338904E-2</v>
      </c>
      <c r="AZ536" s="156" t="s">
        <v>253</v>
      </c>
      <c r="BA536" s="156" t="s">
        <v>254</v>
      </c>
      <c r="BB536" s="156">
        <v>1</v>
      </c>
      <c r="BC536" s="157" t="s">
        <v>255</v>
      </c>
      <c r="BD536" s="3"/>
    </row>
    <row r="537" spans="1:56" ht="15.75" hidden="1" customHeight="1" outlineLevel="1">
      <c r="A537" s="58">
        <v>527</v>
      </c>
      <c r="B537" s="11">
        <v>129527</v>
      </c>
      <c r="C537" s="89" t="s">
        <v>334</v>
      </c>
      <c r="D537" s="157">
        <v>112</v>
      </c>
      <c r="E537" s="12" t="s">
        <v>191</v>
      </c>
      <c r="F537" s="11" t="s">
        <v>246</v>
      </c>
      <c r="G537" s="18" t="s">
        <v>247</v>
      </c>
      <c r="H537" s="11" t="s">
        <v>248</v>
      </c>
      <c r="I537" s="87" t="s">
        <v>249</v>
      </c>
      <c r="J537" s="19" t="s">
        <v>139</v>
      </c>
      <c r="K537" s="17" t="s">
        <v>140</v>
      </c>
      <c r="L537" s="257">
        <v>0</v>
      </c>
      <c r="M537" s="70" t="s">
        <v>250</v>
      </c>
      <c r="N537" s="70">
        <v>100</v>
      </c>
      <c r="O537" s="258">
        <v>8</v>
      </c>
      <c r="P537" s="70" t="s">
        <v>251</v>
      </c>
      <c r="Q537" s="70" t="s">
        <v>233</v>
      </c>
      <c r="R537" s="70" t="s">
        <v>240</v>
      </c>
      <c r="S537" s="70" t="s">
        <v>233</v>
      </c>
      <c r="T537" s="70" t="s">
        <v>233</v>
      </c>
      <c r="U537" s="70" t="s">
        <v>1427</v>
      </c>
      <c r="V537" s="70" t="s">
        <v>240</v>
      </c>
      <c r="W537" s="12"/>
      <c r="X537" s="242">
        <v>1559.8643484109864</v>
      </c>
      <c r="Y537" s="242">
        <v>1630.1792195221049</v>
      </c>
      <c r="Z537" s="242">
        <v>178.32625126652457</v>
      </c>
      <c r="AA537" s="157" t="s">
        <v>259</v>
      </c>
      <c r="AB537" s="242">
        <v>178.21877725641966</v>
      </c>
      <c r="AC537" s="157" t="s">
        <v>259</v>
      </c>
      <c r="AD537" s="242">
        <v>178.32625126652457</v>
      </c>
      <c r="AE537" s="157" t="s">
        <v>259</v>
      </c>
      <c r="AF537" s="242">
        <v>178.29266563836677</v>
      </c>
      <c r="AG537" s="157" t="s">
        <v>259</v>
      </c>
      <c r="AH537" s="242">
        <v>177.04999739652908</v>
      </c>
      <c r="AI537" s="157" t="s">
        <v>259</v>
      </c>
      <c r="AJ537" s="242">
        <v>48.853654718300177</v>
      </c>
      <c r="AK537" s="242" t="s">
        <v>259</v>
      </c>
      <c r="AL537" s="242">
        <v>48.558101190511756</v>
      </c>
      <c r="AM537" s="242" t="s">
        <v>259</v>
      </c>
      <c r="AN537" s="242">
        <v>7.1201531694483959</v>
      </c>
      <c r="AO537" s="242" t="s">
        <v>259</v>
      </c>
      <c r="AP537" s="242">
        <v>34.808145022718485</v>
      </c>
      <c r="AQ537" s="242" t="s">
        <v>259</v>
      </c>
      <c r="AR537" s="242">
        <v>146.96399169279383</v>
      </c>
      <c r="AS537" s="242" t="s">
        <v>259</v>
      </c>
      <c r="AT537" s="242">
        <v>182.02738748951143</v>
      </c>
      <c r="AU537" s="242" t="s">
        <v>259</v>
      </c>
      <c r="AV537" s="242">
        <v>173.83921134464575</v>
      </c>
      <c r="AW537" s="157" t="s">
        <v>259</v>
      </c>
      <c r="AX537" s="157">
        <v>4722.4281553853853</v>
      </c>
      <c r="AY537" s="243">
        <v>8.0605507578661084E-2</v>
      </c>
      <c r="AZ537" s="156" t="s">
        <v>253</v>
      </c>
      <c r="BA537" s="156" t="s">
        <v>254</v>
      </c>
      <c r="BB537" s="156">
        <v>0</v>
      </c>
      <c r="BC537" s="157" t="s">
        <v>255</v>
      </c>
      <c r="BD537" s="3"/>
    </row>
    <row r="538" spans="1:56" ht="15.75" hidden="1" customHeight="1" outlineLevel="1">
      <c r="A538" s="58">
        <v>528</v>
      </c>
      <c r="B538" s="11">
        <v>129528</v>
      </c>
      <c r="C538" s="89" t="s">
        <v>336</v>
      </c>
      <c r="D538" s="157" t="s">
        <v>337</v>
      </c>
      <c r="E538" s="12" t="s">
        <v>191</v>
      </c>
      <c r="F538" s="11" t="s">
        <v>246</v>
      </c>
      <c r="G538" s="18" t="s">
        <v>247</v>
      </c>
      <c r="H538" s="11" t="s">
        <v>248</v>
      </c>
      <c r="I538" s="87" t="s">
        <v>249</v>
      </c>
      <c r="J538" s="19" t="s">
        <v>139</v>
      </c>
      <c r="K538" s="17" t="s">
        <v>140</v>
      </c>
      <c r="L538" s="260">
        <v>1</v>
      </c>
      <c r="M538" s="70" t="s">
        <v>250</v>
      </c>
      <c r="N538" s="70">
        <v>100</v>
      </c>
      <c r="O538" s="258">
        <v>8</v>
      </c>
      <c r="P538" s="70" t="s">
        <v>251</v>
      </c>
      <c r="Q538" s="70" t="s">
        <v>233</v>
      </c>
      <c r="R538" s="70" t="s">
        <v>240</v>
      </c>
      <c r="S538" s="70" t="s">
        <v>233</v>
      </c>
      <c r="T538" s="70" t="s">
        <v>233</v>
      </c>
      <c r="U538" s="70" t="s">
        <v>1427</v>
      </c>
      <c r="V538" s="70" t="s">
        <v>240</v>
      </c>
      <c r="W538" s="12"/>
      <c r="X538" s="242">
        <v>1196.9599999999998</v>
      </c>
      <c r="Y538" s="242">
        <v>1043.3600000000001</v>
      </c>
      <c r="Z538" s="242">
        <v>167.93</v>
      </c>
      <c r="AA538" s="157" t="s">
        <v>252</v>
      </c>
      <c r="AB538" s="242">
        <v>118.27</v>
      </c>
      <c r="AC538" s="157" t="s">
        <v>252</v>
      </c>
      <c r="AD538" s="242">
        <v>160.38999999999999</v>
      </c>
      <c r="AE538" s="157" t="s">
        <v>252</v>
      </c>
      <c r="AF538" s="242">
        <v>87.35</v>
      </c>
      <c r="AG538" s="157" t="s">
        <v>252</v>
      </c>
      <c r="AH538" s="242">
        <v>53.78</v>
      </c>
      <c r="AI538" s="157" t="s">
        <v>252</v>
      </c>
      <c r="AJ538" s="242">
        <v>19.27</v>
      </c>
      <c r="AK538" s="242" t="s">
        <v>252</v>
      </c>
      <c r="AL538" s="242">
        <v>20.079999999999998</v>
      </c>
      <c r="AM538" s="242" t="s">
        <v>252</v>
      </c>
      <c r="AN538" s="242">
        <v>14.81</v>
      </c>
      <c r="AO538" s="242" t="s">
        <v>252</v>
      </c>
      <c r="AP538" s="242">
        <v>21.35</v>
      </c>
      <c r="AQ538" s="242" t="s">
        <v>252</v>
      </c>
      <c r="AR538" s="242">
        <v>103.59</v>
      </c>
      <c r="AS538" s="242" t="s">
        <v>252</v>
      </c>
      <c r="AT538" s="242">
        <v>98.34</v>
      </c>
      <c r="AU538" s="242" t="s">
        <v>252</v>
      </c>
      <c r="AV538" s="242">
        <v>136.87</v>
      </c>
      <c r="AW538" s="157" t="s">
        <v>252</v>
      </c>
      <c r="AX538" s="157">
        <v>3242.3499999999995</v>
      </c>
      <c r="AY538" s="240">
        <v>0.51</v>
      </c>
      <c r="AZ538" s="156" t="s">
        <v>253</v>
      </c>
      <c r="BA538" s="156" t="s">
        <v>254</v>
      </c>
      <c r="BB538" s="156">
        <v>1</v>
      </c>
      <c r="BC538" s="157" t="s">
        <v>255</v>
      </c>
      <c r="BD538" s="3"/>
    </row>
    <row r="539" spans="1:56" ht="15.75" hidden="1" customHeight="1" outlineLevel="1">
      <c r="A539" s="58">
        <v>529</v>
      </c>
      <c r="B539" s="11">
        <v>129529</v>
      </c>
      <c r="C539" s="89" t="s">
        <v>336</v>
      </c>
      <c r="D539" s="157">
        <v>45</v>
      </c>
      <c r="E539" s="12" t="s">
        <v>191</v>
      </c>
      <c r="F539" s="11" t="s">
        <v>246</v>
      </c>
      <c r="G539" s="18" t="s">
        <v>247</v>
      </c>
      <c r="H539" s="11" t="s">
        <v>248</v>
      </c>
      <c r="I539" s="87" t="s">
        <v>249</v>
      </c>
      <c r="J539" s="19" t="s">
        <v>139</v>
      </c>
      <c r="K539" s="17" t="s">
        <v>140</v>
      </c>
      <c r="L539" s="257">
        <v>0</v>
      </c>
      <c r="M539" s="70" t="s">
        <v>250</v>
      </c>
      <c r="N539" s="70">
        <v>80</v>
      </c>
      <c r="O539" s="258">
        <v>8</v>
      </c>
      <c r="P539" s="70" t="s">
        <v>251</v>
      </c>
      <c r="Q539" s="70" t="s">
        <v>233</v>
      </c>
      <c r="R539" s="70" t="s">
        <v>240</v>
      </c>
      <c r="S539" s="70" t="s">
        <v>233</v>
      </c>
      <c r="T539" s="70" t="s">
        <v>233</v>
      </c>
      <c r="U539" s="70" t="s">
        <v>1427</v>
      </c>
      <c r="V539" s="70" t="s">
        <v>240</v>
      </c>
      <c r="W539" s="12"/>
      <c r="X539" s="242">
        <v>282.86574714343828</v>
      </c>
      <c r="Y539" s="242">
        <v>249.33361683245201</v>
      </c>
      <c r="Z539" s="242">
        <v>39.331442517472176</v>
      </c>
      <c r="AA539" s="157" t="s">
        <v>252</v>
      </c>
      <c r="AB539" s="242">
        <v>29.270576489294822</v>
      </c>
      <c r="AC539" s="157" t="s">
        <v>252</v>
      </c>
      <c r="AD539" s="242">
        <v>49.142831786414227</v>
      </c>
      <c r="AE539" s="157" t="s">
        <v>252</v>
      </c>
      <c r="AF539" s="242">
        <v>30.755167695891728</v>
      </c>
      <c r="AG539" s="157" t="s">
        <v>252</v>
      </c>
      <c r="AH539" s="242">
        <v>12.805110379765559</v>
      </c>
      <c r="AI539" s="157" t="s">
        <v>252</v>
      </c>
      <c r="AJ539" s="242">
        <v>7.5865473505158452</v>
      </c>
      <c r="AK539" s="242" t="s">
        <v>252</v>
      </c>
      <c r="AL539" s="242">
        <v>5.647990237769478</v>
      </c>
      <c r="AM539" s="242" t="s">
        <v>252</v>
      </c>
      <c r="AN539" s="242">
        <v>7.1612099249343641</v>
      </c>
      <c r="AO539" s="242" t="s">
        <v>252</v>
      </c>
      <c r="AP539" s="242">
        <v>8.4740302481233591</v>
      </c>
      <c r="AQ539" s="242" t="s">
        <v>252</v>
      </c>
      <c r="AR539" s="242">
        <v>30.26439374329771</v>
      </c>
      <c r="AS539" s="242" t="s">
        <v>252</v>
      </c>
      <c r="AT539" s="242">
        <v>27.21341567133824</v>
      </c>
      <c r="AU539" s="242" t="s">
        <v>252</v>
      </c>
      <c r="AV539" s="242">
        <v>44.954894057611952</v>
      </c>
      <c r="AW539" s="157" t="s">
        <v>252</v>
      </c>
      <c r="AX539" s="157">
        <v>824.80697407831963</v>
      </c>
      <c r="AY539" s="240">
        <v>0.12064859667936249</v>
      </c>
      <c r="AZ539" s="156" t="s">
        <v>253</v>
      </c>
      <c r="BA539" s="156" t="s">
        <v>254</v>
      </c>
      <c r="BB539" s="156">
        <v>0</v>
      </c>
      <c r="BC539" s="156" t="s">
        <v>1423</v>
      </c>
      <c r="BD539" s="3"/>
    </row>
    <row r="540" spans="1:56" ht="15.75" hidden="1" customHeight="1" outlineLevel="1">
      <c r="A540" s="58">
        <v>530</v>
      </c>
      <c r="B540" s="11">
        <v>129530</v>
      </c>
      <c r="C540" s="89" t="s">
        <v>336</v>
      </c>
      <c r="D540" s="157">
        <v>45</v>
      </c>
      <c r="E540" s="12" t="s">
        <v>231</v>
      </c>
      <c r="F540" s="11" t="s">
        <v>246</v>
      </c>
      <c r="G540" s="18" t="s">
        <v>247</v>
      </c>
      <c r="H540" s="11" t="s">
        <v>248</v>
      </c>
      <c r="I540" s="87" t="s">
        <v>249</v>
      </c>
      <c r="J540" s="19" t="s">
        <v>139</v>
      </c>
      <c r="K540" s="17" t="s">
        <v>140</v>
      </c>
      <c r="L540" s="257">
        <v>0</v>
      </c>
      <c r="M540" s="70" t="s">
        <v>250</v>
      </c>
      <c r="N540" s="70">
        <v>100</v>
      </c>
      <c r="O540" s="258">
        <v>8</v>
      </c>
      <c r="P540" s="70" t="s">
        <v>251</v>
      </c>
      <c r="Q540" s="70" t="s">
        <v>233</v>
      </c>
      <c r="R540" s="70" t="s">
        <v>240</v>
      </c>
      <c r="S540" s="70" t="s">
        <v>233</v>
      </c>
      <c r="T540" s="70" t="s">
        <v>233</v>
      </c>
      <c r="U540" s="70" t="s">
        <v>1427</v>
      </c>
      <c r="V540" s="70" t="s">
        <v>240</v>
      </c>
      <c r="W540" s="12"/>
      <c r="X540" s="242">
        <v>277.75063417520249</v>
      </c>
      <c r="Y540" s="242">
        <v>244.82487150094292</v>
      </c>
      <c r="Z540" s="242">
        <v>38.620204858928368</v>
      </c>
      <c r="AA540" s="157" t="s">
        <v>252</v>
      </c>
      <c r="AB540" s="242">
        <v>28.741271308656579</v>
      </c>
      <c r="AC540" s="157" t="s">
        <v>252</v>
      </c>
      <c r="AD540" s="242">
        <v>48.254172983766587</v>
      </c>
      <c r="AE540" s="157" t="s">
        <v>252</v>
      </c>
      <c r="AF540" s="242">
        <v>30.199016381318639</v>
      </c>
      <c r="AG540" s="157" t="s">
        <v>252</v>
      </c>
      <c r="AH540" s="242">
        <v>12.573553230041044</v>
      </c>
      <c r="AI540" s="157" t="s">
        <v>252</v>
      </c>
      <c r="AJ540" s="242">
        <v>7.4493584291683614</v>
      </c>
      <c r="AK540" s="242" t="s">
        <v>252</v>
      </c>
      <c r="AL540" s="242">
        <v>5.545856598750138</v>
      </c>
      <c r="AM540" s="242" t="s">
        <v>252</v>
      </c>
      <c r="AN540" s="242">
        <v>7.0317124579373589</v>
      </c>
      <c r="AO540" s="242" t="s">
        <v>252</v>
      </c>
      <c r="AP540" s="242">
        <v>8.3207928114484329</v>
      </c>
      <c r="AQ540" s="242" t="s">
        <v>252</v>
      </c>
      <c r="AR540" s="242">
        <v>29.717117183744403</v>
      </c>
      <c r="AS540" s="242" t="s">
        <v>252</v>
      </c>
      <c r="AT540" s="242">
        <v>26.721310505491253</v>
      </c>
      <c r="AU540" s="242" t="s">
        <v>252</v>
      </c>
      <c r="AV540" s="242">
        <v>44.1419664977998</v>
      </c>
      <c r="AW540" s="157" t="s">
        <v>252</v>
      </c>
      <c r="AX540" s="157">
        <v>809.89183892319636</v>
      </c>
      <c r="AY540" s="243">
        <v>0.11846688607033241</v>
      </c>
      <c r="AZ540" s="156" t="s">
        <v>253</v>
      </c>
      <c r="BA540" s="156" t="s">
        <v>254</v>
      </c>
      <c r="BB540" s="156">
        <v>0</v>
      </c>
      <c r="BC540" s="156" t="s">
        <v>1423</v>
      </c>
      <c r="BD540" s="3"/>
    </row>
    <row r="541" spans="1:56" ht="15.75" hidden="1" customHeight="1" outlineLevel="1">
      <c r="A541" s="58">
        <v>531</v>
      </c>
      <c r="B541" s="11">
        <v>129531</v>
      </c>
      <c r="C541" s="89" t="s">
        <v>336</v>
      </c>
      <c r="D541" s="157">
        <v>45</v>
      </c>
      <c r="E541" s="12" t="s">
        <v>260</v>
      </c>
      <c r="F541" s="11" t="s">
        <v>246</v>
      </c>
      <c r="G541" s="18" t="s">
        <v>247</v>
      </c>
      <c r="H541" s="11" t="s">
        <v>248</v>
      </c>
      <c r="I541" s="87" t="s">
        <v>249</v>
      </c>
      <c r="J541" s="19" t="s">
        <v>139</v>
      </c>
      <c r="K541" s="17" t="s">
        <v>140</v>
      </c>
      <c r="L541" s="257">
        <v>0</v>
      </c>
      <c r="M541" s="70" t="s">
        <v>250</v>
      </c>
      <c r="N541" s="70">
        <v>100</v>
      </c>
      <c r="O541" s="258">
        <v>8</v>
      </c>
      <c r="P541" s="70" t="s">
        <v>251</v>
      </c>
      <c r="Q541" s="70" t="s">
        <v>233</v>
      </c>
      <c r="R541" s="70" t="s">
        <v>240</v>
      </c>
      <c r="S541" s="70" t="s">
        <v>233</v>
      </c>
      <c r="T541" s="70" t="s">
        <v>233</v>
      </c>
      <c r="U541" s="70" t="s">
        <v>1427</v>
      </c>
      <c r="V541" s="70" t="s">
        <v>240</v>
      </c>
      <c r="W541" s="12"/>
      <c r="X541" s="242">
        <v>131.0236186813593</v>
      </c>
      <c r="Y541" s="242">
        <v>115.49151166660501</v>
      </c>
      <c r="Z541" s="242">
        <v>18.218352623599451</v>
      </c>
      <c r="AA541" s="157" t="s">
        <v>252</v>
      </c>
      <c r="AB541" s="242">
        <v>13.558152202048586</v>
      </c>
      <c r="AC541" s="157" t="s">
        <v>252</v>
      </c>
      <c r="AD541" s="242">
        <v>22.762995229819172</v>
      </c>
      <c r="AE541" s="157" t="s">
        <v>252</v>
      </c>
      <c r="AF541" s="242">
        <v>14.245815922789628</v>
      </c>
      <c r="AG541" s="157" t="s">
        <v>252</v>
      </c>
      <c r="AH541" s="242">
        <v>5.931336390193394</v>
      </c>
      <c r="AI541" s="157" t="s">
        <v>252</v>
      </c>
      <c r="AJ541" s="242">
        <v>3.5140942203157928</v>
      </c>
      <c r="AK541" s="242" t="s">
        <v>252</v>
      </c>
      <c r="AL541" s="242">
        <v>2.6161531634803827</v>
      </c>
      <c r="AM541" s="242" t="s">
        <v>252</v>
      </c>
      <c r="AN541" s="242">
        <v>3.3170776171282768</v>
      </c>
      <c r="AO541" s="242" t="s">
        <v>252</v>
      </c>
      <c r="AP541" s="242">
        <v>3.925176940428206</v>
      </c>
      <c r="AQ541" s="242" t="s">
        <v>252</v>
      </c>
      <c r="AR541" s="242">
        <v>14.018489072957879</v>
      </c>
      <c r="AS541" s="242" t="s">
        <v>252</v>
      </c>
      <c r="AT541" s="242">
        <v>12.605273823170505</v>
      </c>
      <c r="AU541" s="242" t="s">
        <v>252</v>
      </c>
      <c r="AV541" s="242">
        <v>20.823139444588243</v>
      </c>
      <c r="AW541" s="157" t="s">
        <v>252</v>
      </c>
      <c r="AX541" s="157">
        <v>382.05118699848384</v>
      </c>
      <c r="AY541" s="243">
        <v>5.5884517250305056E-2</v>
      </c>
      <c r="AZ541" s="156" t="s">
        <v>253</v>
      </c>
      <c r="BA541" s="156" t="s">
        <v>254</v>
      </c>
      <c r="BB541" s="156">
        <v>0</v>
      </c>
      <c r="BC541" s="156" t="s">
        <v>1423</v>
      </c>
      <c r="BD541" s="3"/>
    </row>
    <row r="542" spans="1:56" ht="15.75" hidden="1" customHeight="1" outlineLevel="1">
      <c r="A542" s="58">
        <v>532</v>
      </c>
      <c r="B542" s="11">
        <v>129532</v>
      </c>
      <c r="C542" s="89" t="s">
        <v>336</v>
      </c>
      <c r="D542" s="157">
        <v>47</v>
      </c>
      <c r="E542" s="12" t="s">
        <v>191</v>
      </c>
      <c r="F542" s="11" t="s">
        <v>246</v>
      </c>
      <c r="G542" s="18" t="s">
        <v>247</v>
      </c>
      <c r="H542" s="11" t="s">
        <v>248</v>
      </c>
      <c r="I542" s="87" t="s">
        <v>249</v>
      </c>
      <c r="J542" s="19" t="s">
        <v>139</v>
      </c>
      <c r="K542" s="17" t="s">
        <v>140</v>
      </c>
      <c r="L542" s="257">
        <v>0</v>
      </c>
      <c r="M542" s="70" t="s">
        <v>250</v>
      </c>
      <c r="N542" s="70">
        <v>80</v>
      </c>
      <c r="O542" s="258">
        <v>8</v>
      </c>
      <c r="P542" s="70" t="s">
        <v>251</v>
      </c>
      <c r="Q542" s="70" t="s">
        <v>233</v>
      </c>
      <c r="R542" s="70" t="s">
        <v>240</v>
      </c>
      <c r="S542" s="70" t="s">
        <v>233</v>
      </c>
      <c r="T542" s="70" t="s">
        <v>233</v>
      </c>
      <c r="U542" s="70" t="s">
        <v>1427</v>
      </c>
      <c r="V542" s="70" t="s">
        <v>240</v>
      </c>
      <c r="W542" s="12"/>
      <c r="X542" s="242">
        <v>598.09</v>
      </c>
      <c r="Y542" s="242">
        <v>527.81999999999994</v>
      </c>
      <c r="Z542" s="242">
        <v>84.7</v>
      </c>
      <c r="AA542" s="157" t="s">
        <v>252</v>
      </c>
      <c r="AB542" s="242">
        <v>62.84</v>
      </c>
      <c r="AC542" s="157" t="s">
        <v>252</v>
      </c>
      <c r="AD542" s="242">
        <v>105.71</v>
      </c>
      <c r="AE542" s="157" t="s">
        <v>252</v>
      </c>
      <c r="AF542" s="242">
        <v>66.11</v>
      </c>
      <c r="AG542" s="157" t="s">
        <v>252</v>
      </c>
      <c r="AH542" s="242">
        <v>27.64</v>
      </c>
      <c r="AI542" s="157" t="s">
        <v>252</v>
      </c>
      <c r="AJ542" s="242">
        <v>13.54</v>
      </c>
      <c r="AK542" s="242" t="s">
        <v>252</v>
      </c>
      <c r="AL542" s="242">
        <v>10.09</v>
      </c>
      <c r="AM542" s="242" t="s">
        <v>252</v>
      </c>
      <c r="AN542" s="242">
        <v>12.81</v>
      </c>
      <c r="AO542" s="242" t="s">
        <v>252</v>
      </c>
      <c r="AP542" s="242">
        <v>15.12</v>
      </c>
      <c r="AQ542" s="242" t="s">
        <v>252</v>
      </c>
      <c r="AR542" s="242">
        <v>65.83</v>
      </c>
      <c r="AS542" s="242" t="s">
        <v>252</v>
      </c>
      <c r="AT542" s="242">
        <v>58.9</v>
      </c>
      <c r="AU542" s="242" t="s">
        <v>252</v>
      </c>
      <c r="AV542" s="242">
        <v>97.14</v>
      </c>
      <c r="AW542" s="157" t="s">
        <v>252</v>
      </c>
      <c r="AX542" s="157">
        <v>1746.3399999999997</v>
      </c>
      <c r="AY542" s="240">
        <v>0.26</v>
      </c>
      <c r="AZ542" s="156" t="s">
        <v>253</v>
      </c>
      <c r="BA542" s="156" t="s">
        <v>254</v>
      </c>
      <c r="BB542" s="156">
        <v>0</v>
      </c>
      <c r="BC542" s="156" t="s">
        <v>1423</v>
      </c>
      <c r="BD542" s="3"/>
    </row>
    <row r="543" spans="1:56" ht="15.75" hidden="1" customHeight="1" outlineLevel="1">
      <c r="A543" s="58">
        <v>533</v>
      </c>
      <c r="B543" s="11">
        <v>129533</v>
      </c>
      <c r="C543" s="89" t="s">
        <v>336</v>
      </c>
      <c r="D543" s="157">
        <v>49</v>
      </c>
      <c r="E543" s="12" t="s">
        <v>191</v>
      </c>
      <c r="F543" s="11" t="s">
        <v>246</v>
      </c>
      <c r="G543" s="18" t="s">
        <v>247</v>
      </c>
      <c r="H543" s="11" t="s">
        <v>248</v>
      </c>
      <c r="I543" s="87" t="s">
        <v>249</v>
      </c>
      <c r="J543" s="19" t="s">
        <v>139</v>
      </c>
      <c r="K543" s="17" t="s">
        <v>140</v>
      </c>
      <c r="L543" s="260">
        <v>1</v>
      </c>
      <c r="M543" s="70" t="s">
        <v>250</v>
      </c>
      <c r="N543" s="70">
        <v>100</v>
      </c>
      <c r="O543" s="258">
        <v>8</v>
      </c>
      <c r="P543" s="70" t="s">
        <v>251</v>
      </c>
      <c r="Q543" s="70" t="s">
        <v>233</v>
      </c>
      <c r="R543" s="70" t="s">
        <v>240</v>
      </c>
      <c r="S543" s="70" t="s">
        <v>233</v>
      </c>
      <c r="T543" s="70" t="s">
        <v>233</v>
      </c>
      <c r="U543" s="70" t="s">
        <v>1427</v>
      </c>
      <c r="V543" s="70" t="s">
        <v>240</v>
      </c>
      <c r="W543" s="12"/>
      <c r="X543" s="242">
        <v>1877.0705810188069</v>
      </c>
      <c r="Y543" s="242">
        <v>1518.0612299165523</v>
      </c>
      <c r="Z543" s="242">
        <v>212.71913625607172</v>
      </c>
      <c r="AA543" s="157" t="s">
        <v>252</v>
      </c>
      <c r="AB543" s="242">
        <v>170.77472225681905</v>
      </c>
      <c r="AC543" s="157" t="s">
        <v>252</v>
      </c>
      <c r="AD543" s="242">
        <v>219.71470980196784</v>
      </c>
      <c r="AE543" s="157" t="s">
        <v>252</v>
      </c>
      <c r="AF543" s="242">
        <v>141.71116203761363</v>
      </c>
      <c r="AG543" s="157" t="s">
        <v>252</v>
      </c>
      <c r="AH543" s="242">
        <v>60.957279860505665</v>
      </c>
      <c r="AI543" s="157" t="s">
        <v>252</v>
      </c>
      <c r="AJ543" s="242">
        <v>33.16366297172749</v>
      </c>
      <c r="AK543" s="242" t="s">
        <v>252</v>
      </c>
      <c r="AL543" s="242">
        <v>32.176735583509775</v>
      </c>
      <c r="AM543" s="242" t="s">
        <v>252</v>
      </c>
      <c r="AN543" s="242">
        <v>29.099844314360443</v>
      </c>
      <c r="AO543" s="242" t="s">
        <v>252</v>
      </c>
      <c r="AP543" s="242">
        <v>37.771743056420469</v>
      </c>
      <c r="AQ543" s="242" t="s">
        <v>252</v>
      </c>
      <c r="AR543" s="242">
        <v>170.92711545647029</v>
      </c>
      <c r="AS543" s="242" t="s">
        <v>252</v>
      </c>
      <c r="AT543" s="242">
        <v>143.54713725245983</v>
      </c>
      <c r="AU543" s="242" t="s">
        <v>252</v>
      </c>
      <c r="AV543" s="242">
        <v>185.60766035620875</v>
      </c>
      <c r="AW543" s="157" t="s">
        <v>252</v>
      </c>
      <c r="AX543" s="157">
        <v>4833.3027201394952</v>
      </c>
      <c r="AY543" s="240">
        <v>0.76051463445011835</v>
      </c>
      <c r="AZ543" s="156" t="s">
        <v>253</v>
      </c>
      <c r="BA543" s="156" t="s">
        <v>254</v>
      </c>
      <c r="BB543" s="156">
        <v>1</v>
      </c>
      <c r="BC543" s="156" t="s">
        <v>1423</v>
      </c>
      <c r="BD543" s="3"/>
    </row>
    <row r="544" spans="1:56" ht="15.75" hidden="1" customHeight="1" outlineLevel="1">
      <c r="A544" s="58">
        <v>534</v>
      </c>
      <c r="B544" s="11">
        <v>129534</v>
      </c>
      <c r="C544" s="89" t="s">
        <v>336</v>
      </c>
      <c r="D544" s="157">
        <v>49</v>
      </c>
      <c r="E544" s="12" t="s">
        <v>308</v>
      </c>
      <c r="F544" s="11" t="s">
        <v>246</v>
      </c>
      <c r="G544" s="18" t="s">
        <v>247</v>
      </c>
      <c r="H544" s="11" t="s">
        <v>248</v>
      </c>
      <c r="I544" s="87" t="s">
        <v>249</v>
      </c>
      <c r="J544" s="19" t="s">
        <v>139</v>
      </c>
      <c r="K544" s="17" t="s">
        <v>140</v>
      </c>
      <c r="L544" s="257">
        <v>0</v>
      </c>
      <c r="M544" s="70" t="s">
        <v>250</v>
      </c>
      <c r="N544" s="70">
        <v>100</v>
      </c>
      <c r="O544" s="258">
        <v>8</v>
      </c>
      <c r="P544" s="70" t="s">
        <v>251</v>
      </c>
      <c r="Q544" s="70" t="s">
        <v>233</v>
      </c>
      <c r="R544" s="70" t="s">
        <v>240</v>
      </c>
      <c r="S544" s="70" t="s">
        <v>233</v>
      </c>
      <c r="T544" s="70" t="s">
        <v>233</v>
      </c>
      <c r="U544" s="70" t="s">
        <v>1427</v>
      </c>
      <c r="V544" s="70" t="s">
        <v>240</v>
      </c>
      <c r="W544" s="12"/>
      <c r="X544" s="242">
        <v>347.25725208618758</v>
      </c>
      <c r="Y544" s="242">
        <v>280.84067617386972</v>
      </c>
      <c r="Z544" s="242">
        <v>39.352948935110227</v>
      </c>
      <c r="AA544" s="157" t="s">
        <v>252</v>
      </c>
      <c r="AB544" s="242">
        <v>31.593250342508409</v>
      </c>
      <c r="AC544" s="157" t="s">
        <v>252</v>
      </c>
      <c r="AD544" s="242">
        <v>40.647127039481873</v>
      </c>
      <c r="AE544" s="157" t="s">
        <v>252</v>
      </c>
      <c r="AF544" s="242">
        <v>26.216504172375139</v>
      </c>
      <c r="AG544" s="157" t="s">
        <v>252</v>
      </c>
      <c r="AH544" s="242">
        <v>11.277070619006103</v>
      </c>
      <c r="AI544" s="157" t="s">
        <v>252</v>
      </c>
      <c r="AJ544" s="242">
        <v>6.1352634201021301</v>
      </c>
      <c r="AK544" s="242" t="s">
        <v>252</v>
      </c>
      <c r="AL544" s="242">
        <v>5.9526822767467937</v>
      </c>
      <c r="AM544" s="242" t="s">
        <v>252</v>
      </c>
      <c r="AN544" s="242">
        <v>5.3834587121683901</v>
      </c>
      <c r="AO544" s="242" t="s">
        <v>252</v>
      </c>
      <c r="AP544" s="242">
        <v>6.98775625856271</v>
      </c>
      <c r="AQ544" s="242" t="s">
        <v>252</v>
      </c>
      <c r="AR544" s="242">
        <v>31.621443019055921</v>
      </c>
      <c r="AS544" s="242" t="s">
        <v>252</v>
      </c>
      <c r="AT544" s="242">
        <v>26.55615879935235</v>
      </c>
      <c r="AU544" s="242" t="s">
        <v>252</v>
      </c>
      <c r="AV544" s="242">
        <v>34.337337526466563</v>
      </c>
      <c r="AW544" s="157" t="s">
        <v>252</v>
      </c>
      <c r="AX544" s="157">
        <v>894.15892938099398</v>
      </c>
      <c r="AY544" s="243">
        <v>0.14069488105617139</v>
      </c>
      <c r="AZ544" s="156" t="s">
        <v>253</v>
      </c>
      <c r="BA544" s="156" t="s">
        <v>254</v>
      </c>
      <c r="BB544" s="156">
        <v>0</v>
      </c>
      <c r="BC544" s="156" t="s">
        <v>1423</v>
      </c>
      <c r="BD544" s="3"/>
    </row>
    <row r="545" spans="1:56" ht="15.75" hidden="1" customHeight="1" outlineLevel="1">
      <c r="A545" s="58">
        <v>535</v>
      </c>
      <c r="B545" s="11">
        <v>129535</v>
      </c>
      <c r="C545" s="89" t="s">
        <v>336</v>
      </c>
      <c r="D545" s="157">
        <v>49</v>
      </c>
      <c r="E545" s="12" t="s">
        <v>338</v>
      </c>
      <c r="F545" s="11" t="s">
        <v>246</v>
      </c>
      <c r="G545" s="18" t="s">
        <v>247</v>
      </c>
      <c r="H545" s="11" t="s">
        <v>248</v>
      </c>
      <c r="I545" s="87" t="s">
        <v>249</v>
      </c>
      <c r="J545" s="19" t="s">
        <v>139</v>
      </c>
      <c r="K545" s="17" t="s">
        <v>140</v>
      </c>
      <c r="L545" s="257">
        <v>0</v>
      </c>
      <c r="M545" s="70" t="s">
        <v>250</v>
      </c>
      <c r="N545" s="70">
        <v>80</v>
      </c>
      <c r="O545" s="258">
        <v>8</v>
      </c>
      <c r="P545" s="70" t="s">
        <v>251</v>
      </c>
      <c r="Q545" s="70" t="s">
        <v>233</v>
      </c>
      <c r="R545" s="70" t="s">
        <v>240</v>
      </c>
      <c r="S545" s="70" t="s">
        <v>233</v>
      </c>
      <c r="T545" s="70" t="s">
        <v>233</v>
      </c>
      <c r="U545" s="70" t="s">
        <v>1427</v>
      </c>
      <c r="V545" s="70" t="s">
        <v>240</v>
      </c>
      <c r="W545" s="12"/>
      <c r="X545" s="242">
        <v>362.30216689500554</v>
      </c>
      <c r="Y545" s="242">
        <v>293.00809390957772</v>
      </c>
      <c r="Z545" s="242">
        <v>41.057914808818026</v>
      </c>
      <c r="AA545" s="157" t="s">
        <v>252</v>
      </c>
      <c r="AB545" s="242">
        <v>32.962027400672561</v>
      </c>
      <c r="AC545" s="157" t="s">
        <v>252</v>
      </c>
      <c r="AD545" s="242">
        <v>42.408163158550245</v>
      </c>
      <c r="AE545" s="157" t="s">
        <v>252</v>
      </c>
      <c r="AF545" s="242">
        <v>27.352333790011205</v>
      </c>
      <c r="AG545" s="157" t="s">
        <v>252</v>
      </c>
      <c r="AH545" s="242">
        <v>11.765649520488228</v>
      </c>
      <c r="AI545" s="157" t="s">
        <v>252</v>
      </c>
      <c r="AJ545" s="242">
        <v>6.4010736081703818</v>
      </c>
      <c r="AK545" s="242" t="s">
        <v>252</v>
      </c>
      <c r="AL545" s="242">
        <v>6.2105821397434298</v>
      </c>
      <c r="AM545" s="242" t="s">
        <v>252</v>
      </c>
      <c r="AN545" s="242">
        <v>5.616696973471166</v>
      </c>
      <c r="AO545" s="242" t="s">
        <v>252</v>
      </c>
      <c r="AP545" s="242">
        <v>7.2905006850168128</v>
      </c>
      <c r="AQ545" s="242" t="s">
        <v>252</v>
      </c>
      <c r="AR545" s="242">
        <v>32.991441524473778</v>
      </c>
      <c r="AS545" s="242" t="s">
        <v>252</v>
      </c>
      <c r="AT545" s="242">
        <v>27.706703948187815</v>
      </c>
      <c r="AU545" s="242" t="s">
        <v>252</v>
      </c>
      <c r="AV545" s="242">
        <v>35.825002117324694</v>
      </c>
      <c r="AW545" s="157" t="s">
        <v>252</v>
      </c>
      <c r="AX545" s="157">
        <v>932.89835047951181</v>
      </c>
      <c r="AY545" s="243">
        <v>0.14679048449371029</v>
      </c>
      <c r="AZ545" s="156" t="s">
        <v>253</v>
      </c>
      <c r="BA545" s="156" t="s">
        <v>254</v>
      </c>
      <c r="BB545" s="156">
        <v>0</v>
      </c>
      <c r="BC545" s="156" t="s">
        <v>1423</v>
      </c>
      <c r="BD545" s="3"/>
    </row>
    <row r="546" spans="1:56" ht="15.75" hidden="1" customHeight="1" outlineLevel="1">
      <c r="A546" s="58">
        <v>536</v>
      </c>
      <c r="B546" s="11">
        <v>129536</v>
      </c>
      <c r="C546" s="89" t="s">
        <v>336</v>
      </c>
      <c r="D546" s="157">
        <v>51</v>
      </c>
      <c r="E546" s="12" t="s">
        <v>191</v>
      </c>
      <c r="F546" s="11" t="s">
        <v>246</v>
      </c>
      <c r="G546" s="18" t="s">
        <v>247</v>
      </c>
      <c r="H546" s="11" t="s">
        <v>248</v>
      </c>
      <c r="I546" s="87" t="s">
        <v>249</v>
      </c>
      <c r="J546" s="19" t="s">
        <v>139</v>
      </c>
      <c r="K546" s="17" t="s">
        <v>140</v>
      </c>
      <c r="L546" s="257">
        <v>0</v>
      </c>
      <c r="M546" s="70" t="s">
        <v>250</v>
      </c>
      <c r="N546" s="70">
        <v>80</v>
      </c>
      <c r="O546" s="258">
        <v>8</v>
      </c>
      <c r="P546" s="70" t="s">
        <v>251</v>
      </c>
      <c r="Q546" s="70" t="s">
        <v>233</v>
      </c>
      <c r="R546" s="70" t="s">
        <v>240</v>
      </c>
      <c r="S546" s="70" t="s">
        <v>233</v>
      </c>
      <c r="T546" s="70" t="s">
        <v>233</v>
      </c>
      <c r="U546" s="70" t="s">
        <v>1427</v>
      </c>
      <c r="V546" s="70" t="s">
        <v>240</v>
      </c>
      <c r="W546" s="12"/>
      <c r="X546" s="242">
        <v>1047.33</v>
      </c>
      <c r="Y546" s="242">
        <v>879.5</v>
      </c>
      <c r="Z546" s="242">
        <v>123.39</v>
      </c>
      <c r="AA546" s="157" t="s">
        <v>252</v>
      </c>
      <c r="AB546" s="242">
        <v>99.17</v>
      </c>
      <c r="AC546" s="157" t="s">
        <v>252</v>
      </c>
      <c r="AD546" s="242">
        <v>127.37</v>
      </c>
      <c r="AE546" s="157" t="s">
        <v>252</v>
      </c>
      <c r="AF546" s="242">
        <v>82.33</v>
      </c>
      <c r="AG546" s="157" t="s">
        <v>252</v>
      </c>
      <c r="AH546" s="242">
        <v>35.42</v>
      </c>
      <c r="AI546" s="157" t="s">
        <v>252</v>
      </c>
      <c r="AJ546" s="242">
        <v>19.05</v>
      </c>
      <c r="AK546" s="242" t="s">
        <v>252</v>
      </c>
      <c r="AL546" s="242">
        <v>15.24</v>
      </c>
      <c r="AM546" s="242" t="s">
        <v>252</v>
      </c>
      <c r="AN546" s="242">
        <v>16.579999999999998</v>
      </c>
      <c r="AO546" s="242" t="s">
        <v>252</v>
      </c>
      <c r="AP546" s="242">
        <v>21.63</v>
      </c>
      <c r="AQ546" s="242" t="s">
        <v>252</v>
      </c>
      <c r="AR546" s="242">
        <v>99.21</v>
      </c>
      <c r="AS546" s="242" t="s">
        <v>252</v>
      </c>
      <c r="AT546" s="242">
        <v>83.29</v>
      </c>
      <c r="AU546" s="242" t="s">
        <v>252</v>
      </c>
      <c r="AV546" s="242">
        <v>107.67</v>
      </c>
      <c r="AW546" s="157" t="s">
        <v>252</v>
      </c>
      <c r="AX546" s="157">
        <v>2757.18</v>
      </c>
      <c r="AY546" s="240">
        <v>0.44</v>
      </c>
      <c r="AZ546" s="156" t="s">
        <v>253</v>
      </c>
      <c r="BA546" s="156" t="s">
        <v>254</v>
      </c>
      <c r="BB546" s="156">
        <v>0</v>
      </c>
      <c r="BC546" s="156" t="s">
        <v>1423</v>
      </c>
      <c r="BD546" s="3"/>
    </row>
    <row r="547" spans="1:56" ht="15.75" hidden="1" customHeight="1" outlineLevel="1">
      <c r="A547" s="58">
        <v>537</v>
      </c>
      <c r="B547" s="11">
        <v>129537</v>
      </c>
      <c r="C547" s="89" t="s">
        <v>336</v>
      </c>
      <c r="D547" s="157">
        <v>53</v>
      </c>
      <c r="E547" s="12" t="s">
        <v>191</v>
      </c>
      <c r="F547" s="11" t="s">
        <v>246</v>
      </c>
      <c r="G547" s="18" t="s">
        <v>247</v>
      </c>
      <c r="H547" s="11" t="s">
        <v>248</v>
      </c>
      <c r="I547" s="87" t="s">
        <v>249</v>
      </c>
      <c r="J547" s="19" t="s">
        <v>139</v>
      </c>
      <c r="K547" s="17" t="s">
        <v>140</v>
      </c>
      <c r="L547" s="260">
        <v>1</v>
      </c>
      <c r="M547" s="70" t="s">
        <v>250</v>
      </c>
      <c r="N547" s="70">
        <v>100</v>
      </c>
      <c r="O547" s="258">
        <v>8</v>
      </c>
      <c r="P547" s="70" t="s">
        <v>251</v>
      </c>
      <c r="Q547" s="70" t="s">
        <v>233</v>
      </c>
      <c r="R547" s="70" t="s">
        <v>240</v>
      </c>
      <c r="S547" s="70" t="s">
        <v>233</v>
      </c>
      <c r="T547" s="70" t="s">
        <v>233</v>
      </c>
      <c r="U547" s="70" t="s">
        <v>1427</v>
      </c>
      <c r="V547" s="70" t="s">
        <v>240</v>
      </c>
      <c r="W547" s="12"/>
      <c r="X547" s="242">
        <v>964.61000000000013</v>
      </c>
      <c r="Y547" s="242">
        <v>960.3599999999999</v>
      </c>
      <c r="Z547" s="242">
        <v>174.18</v>
      </c>
      <c r="AA547" s="157" t="s">
        <v>252</v>
      </c>
      <c r="AB547" s="242">
        <v>104.8</v>
      </c>
      <c r="AC547" s="157" t="s">
        <v>252</v>
      </c>
      <c r="AD547" s="242">
        <v>135.97999999999999</v>
      </c>
      <c r="AE547" s="157" t="s">
        <v>252</v>
      </c>
      <c r="AF547" s="242">
        <v>87.47</v>
      </c>
      <c r="AG547" s="157" t="s">
        <v>252</v>
      </c>
      <c r="AH547" s="242">
        <v>39.76</v>
      </c>
      <c r="AI547" s="157" t="s">
        <v>252</v>
      </c>
      <c r="AJ547" s="242">
        <v>19.84</v>
      </c>
      <c r="AK547" s="242" t="s">
        <v>252</v>
      </c>
      <c r="AL547" s="242">
        <v>19.41</v>
      </c>
      <c r="AM547" s="242" t="s">
        <v>252</v>
      </c>
      <c r="AN547" s="242">
        <v>14.76</v>
      </c>
      <c r="AO547" s="242" t="s">
        <v>252</v>
      </c>
      <c r="AP547" s="242">
        <v>18.84</v>
      </c>
      <c r="AQ547" s="242" t="s">
        <v>252</v>
      </c>
      <c r="AR547" s="242">
        <v>85.94</v>
      </c>
      <c r="AS547" s="242" t="s">
        <v>252</v>
      </c>
      <c r="AT547" s="242">
        <v>86.75</v>
      </c>
      <c r="AU547" s="242" t="s">
        <v>252</v>
      </c>
      <c r="AV547" s="242">
        <v>131.80000000000001</v>
      </c>
      <c r="AW547" s="157" t="s">
        <v>252</v>
      </c>
      <c r="AX547" s="157">
        <v>2844.5000000000009</v>
      </c>
      <c r="AY547" s="240">
        <v>0.373</v>
      </c>
      <c r="AZ547" s="156" t="s">
        <v>253</v>
      </c>
      <c r="BA547" s="156" t="s">
        <v>254</v>
      </c>
      <c r="BB547" s="156">
        <v>1</v>
      </c>
      <c r="BC547" s="156" t="s">
        <v>1423</v>
      </c>
      <c r="BD547" s="3"/>
    </row>
    <row r="548" spans="1:56" ht="15.75" hidden="1" customHeight="1" outlineLevel="1">
      <c r="A548" s="58">
        <v>538</v>
      </c>
      <c r="B548" s="11">
        <v>129538</v>
      </c>
      <c r="C548" s="89" t="s">
        <v>336</v>
      </c>
      <c r="D548" s="157">
        <v>57</v>
      </c>
      <c r="E548" s="12" t="s">
        <v>191</v>
      </c>
      <c r="F548" s="11" t="s">
        <v>246</v>
      </c>
      <c r="G548" s="18" t="s">
        <v>247</v>
      </c>
      <c r="H548" s="11" t="s">
        <v>248</v>
      </c>
      <c r="I548" s="87" t="s">
        <v>249</v>
      </c>
      <c r="J548" s="19" t="s">
        <v>139</v>
      </c>
      <c r="K548" s="17" t="s">
        <v>140</v>
      </c>
      <c r="L548" s="257">
        <v>0</v>
      </c>
      <c r="M548" s="70" t="s">
        <v>250</v>
      </c>
      <c r="N548" s="70">
        <v>100</v>
      </c>
      <c r="O548" s="258">
        <v>8</v>
      </c>
      <c r="P548" s="70" t="s">
        <v>251</v>
      </c>
      <c r="Q548" s="70" t="s">
        <v>233</v>
      </c>
      <c r="R548" s="70" t="s">
        <v>240</v>
      </c>
      <c r="S548" s="70" t="s">
        <v>233</v>
      </c>
      <c r="T548" s="70" t="s">
        <v>233</v>
      </c>
      <c r="U548" s="70" t="s">
        <v>1427</v>
      </c>
      <c r="V548" s="70" t="s">
        <v>240</v>
      </c>
      <c r="W548" s="12"/>
      <c r="X548" s="242">
        <v>353.18386080677288</v>
      </c>
      <c r="Y548" s="242">
        <v>384.04611927290824</v>
      </c>
      <c r="Z548" s="242">
        <v>86.393574452191231</v>
      </c>
      <c r="AA548" s="157" t="s">
        <v>252</v>
      </c>
      <c r="AB548" s="242">
        <v>41.805234063745019</v>
      </c>
      <c r="AC548" s="157" t="s">
        <v>252</v>
      </c>
      <c r="AD548" s="242">
        <v>55.553869521912347</v>
      </c>
      <c r="AE548" s="157" t="s">
        <v>252</v>
      </c>
      <c r="AF548" s="242">
        <v>37.542615786852586</v>
      </c>
      <c r="AG548" s="157" t="s">
        <v>252</v>
      </c>
      <c r="AH548" s="242">
        <v>15.688239541832669</v>
      </c>
      <c r="AI548" s="157" t="s">
        <v>252</v>
      </c>
      <c r="AJ548" s="242">
        <v>6.7344858067729074</v>
      </c>
      <c r="AK548" s="242" t="s">
        <v>252</v>
      </c>
      <c r="AL548" s="242">
        <v>5.5346376992031869</v>
      </c>
      <c r="AM548" s="242" t="s">
        <v>252</v>
      </c>
      <c r="AN548" s="242">
        <v>5.7150659860557766</v>
      </c>
      <c r="AO548" s="242" t="s">
        <v>252</v>
      </c>
      <c r="AP548" s="242">
        <v>6.8968712649402377</v>
      </c>
      <c r="AQ548" s="242" t="s">
        <v>252</v>
      </c>
      <c r="AR548" s="242">
        <v>34.976023406374502</v>
      </c>
      <c r="AS548" s="242" t="s">
        <v>252</v>
      </c>
      <c r="AT548" s="242">
        <v>34.182138944223105</v>
      </c>
      <c r="AU548" s="242" t="s">
        <v>252</v>
      </c>
      <c r="AV548" s="242">
        <v>49.216325946215136</v>
      </c>
      <c r="AW548" s="157" t="s">
        <v>252</v>
      </c>
      <c r="AX548" s="157">
        <v>1117.4690625000001</v>
      </c>
      <c r="AY548" s="240">
        <v>0.12900622509960158</v>
      </c>
      <c r="AZ548" s="156" t="s">
        <v>253</v>
      </c>
      <c r="BA548" s="156" t="s">
        <v>254</v>
      </c>
      <c r="BB548" s="156">
        <v>0</v>
      </c>
      <c r="BC548" s="156" t="s">
        <v>1423</v>
      </c>
      <c r="BD548" s="3"/>
    </row>
    <row r="549" spans="1:56" ht="15.75" hidden="1" customHeight="1" outlineLevel="1">
      <c r="A549" s="58">
        <v>539</v>
      </c>
      <c r="B549" s="11">
        <v>129539</v>
      </c>
      <c r="C549" s="89" t="s">
        <v>336</v>
      </c>
      <c r="D549" s="157">
        <v>57</v>
      </c>
      <c r="E549" s="12" t="s">
        <v>339</v>
      </c>
      <c r="F549" s="11" t="s">
        <v>246</v>
      </c>
      <c r="G549" s="18" t="s">
        <v>247</v>
      </c>
      <c r="H549" s="11" t="s">
        <v>248</v>
      </c>
      <c r="I549" s="87" t="s">
        <v>249</v>
      </c>
      <c r="J549" s="19" t="s">
        <v>139</v>
      </c>
      <c r="K549" s="17" t="s">
        <v>140</v>
      </c>
      <c r="L549" s="257">
        <v>0</v>
      </c>
      <c r="M549" s="70" t="s">
        <v>250</v>
      </c>
      <c r="N549" s="70">
        <v>80</v>
      </c>
      <c r="O549" s="258">
        <v>8</v>
      </c>
      <c r="P549" s="70" t="s">
        <v>251</v>
      </c>
      <c r="Q549" s="70" t="s">
        <v>233</v>
      </c>
      <c r="R549" s="70" t="s">
        <v>240</v>
      </c>
      <c r="S549" s="70" t="s">
        <v>233</v>
      </c>
      <c r="T549" s="70" t="s">
        <v>233</v>
      </c>
      <c r="U549" s="70" t="s">
        <v>1427</v>
      </c>
      <c r="V549" s="70" t="s">
        <v>240</v>
      </c>
      <c r="W549" s="12"/>
      <c r="X549" s="242">
        <v>429.80613919322707</v>
      </c>
      <c r="Y549" s="242">
        <v>467.3638807270915</v>
      </c>
      <c r="Z549" s="242">
        <v>105.13642554780876</v>
      </c>
      <c r="AA549" s="157" t="s">
        <v>252</v>
      </c>
      <c r="AB549" s="242">
        <v>50.874765936254974</v>
      </c>
      <c r="AC549" s="157" t="s">
        <v>252</v>
      </c>
      <c r="AD549" s="242">
        <v>67.606130478087636</v>
      </c>
      <c r="AE549" s="157" t="s">
        <v>252</v>
      </c>
      <c r="AF549" s="242">
        <v>45.687384213147403</v>
      </c>
      <c r="AG549" s="157" t="s">
        <v>252</v>
      </c>
      <c r="AH549" s="242">
        <v>19.091760458167329</v>
      </c>
      <c r="AI549" s="157" t="s">
        <v>252</v>
      </c>
      <c r="AJ549" s="242">
        <v>8.1955141932270905</v>
      </c>
      <c r="AK549" s="242" t="s">
        <v>252</v>
      </c>
      <c r="AL549" s="242">
        <v>6.7353623007968118</v>
      </c>
      <c r="AM549" s="242" t="s">
        <v>252</v>
      </c>
      <c r="AN549" s="242">
        <v>6.9549340139442224</v>
      </c>
      <c r="AO549" s="242" t="s">
        <v>252</v>
      </c>
      <c r="AP549" s="242">
        <v>8.3931287350597596</v>
      </c>
      <c r="AQ549" s="242" t="s">
        <v>252</v>
      </c>
      <c r="AR549" s="242">
        <v>42.563976593625497</v>
      </c>
      <c r="AS549" s="242" t="s">
        <v>252</v>
      </c>
      <c r="AT549" s="242">
        <v>41.597861055776889</v>
      </c>
      <c r="AU549" s="242" t="s">
        <v>252</v>
      </c>
      <c r="AV549" s="242">
        <v>59.893674053784849</v>
      </c>
      <c r="AW549" s="157" t="s">
        <v>252</v>
      </c>
      <c r="AX549" s="157">
        <v>1359.9009374999998</v>
      </c>
      <c r="AY549" s="243">
        <v>0.15699377490039837</v>
      </c>
      <c r="AZ549" s="156" t="s">
        <v>253</v>
      </c>
      <c r="BA549" s="156" t="s">
        <v>254</v>
      </c>
      <c r="BB549" s="156">
        <v>0</v>
      </c>
      <c r="BC549" s="156" t="s">
        <v>1423</v>
      </c>
      <c r="BD549" s="3"/>
    </row>
    <row r="550" spans="1:56" ht="15.75" hidden="1" customHeight="1" outlineLevel="1">
      <c r="A550" s="58">
        <v>540</v>
      </c>
      <c r="B550" s="11">
        <v>129540</v>
      </c>
      <c r="C550" s="89" t="s">
        <v>336</v>
      </c>
      <c r="D550" s="157">
        <v>59</v>
      </c>
      <c r="E550" s="12" t="s">
        <v>191</v>
      </c>
      <c r="F550" s="11" t="s">
        <v>246</v>
      </c>
      <c r="G550" s="18" t="s">
        <v>247</v>
      </c>
      <c r="H550" s="11" t="s">
        <v>248</v>
      </c>
      <c r="I550" s="87" t="s">
        <v>249</v>
      </c>
      <c r="J550" s="19" t="s">
        <v>139</v>
      </c>
      <c r="K550" s="17" t="s">
        <v>140</v>
      </c>
      <c r="L550" s="260">
        <v>1</v>
      </c>
      <c r="M550" s="70" t="s">
        <v>250</v>
      </c>
      <c r="N550" s="70">
        <v>100</v>
      </c>
      <c r="O550" s="258">
        <v>8</v>
      </c>
      <c r="P550" s="70" t="s">
        <v>251</v>
      </c>
      <c r="Q550" s="70" t="s">
        <v>233</v>
      </c>
      <c r="R550" s="70" t="s">
        <v>240</v>
      </c>
      <c r="S550" s="70" t="s">
        <v>233</v>
      </c>
      <c r="T550" s="70" t="s">
        <v>233</v>
      </c>
      <c r="U550" s="70" t="s">
        <v>1427</v>
      </c>
      <c r="V550" s="70" t="s">
        <v>240</v>
      </c>
      <c r="W550" s="12"/>
      <c r="X550" s="242">
        <v>1297.6299999999999</v>
      </c>
      <c r="Y550" s="242">
        <v>1415.22</v>
      </c>
      <c r="Z550" s="242">
        <v>316.37</v>
      </c>
      <c r="AA550" s="157" t="s">
        <v>252</v>
      </c>
      <c r="AB550" s="242">
        <v>153.04</v>
      </c>
      <c r="AC550" s="157" t="s">
        <v>252</v>
      </c>
      <c r="AD550" s="242">
        <v>203.36</v>
      </c>
      <c r="AE550" s="157" t="s">
        <v>252</v>
      </c>
      <c r="AF550" s="242">
        <v>137.19999999999999</v>
      </c>
      <c r="AG550" s="157" t="s">
        <v>252</v>
      </c>
      <c r="AH550" s="242">
        <v>57.26</v>
      </c>
      <c r="AI550" s="157" t="s">
        <v>252</v>
      </c>
      <c r="AJ550" s="242">
        <v>26.4</v>
      </c>
      <c r="AK550" s="242" t="s">
        <v>252</v>
      </c>
      <c r="AL550" s="242">
        <v>21.08</v>
      </c>
      <c r="AM550" s="242" t="s">
        <v>252</v>
      </c>
      <c r="AN550" s="242">
        <v>21.97</v>
      </c>
      <c r="AO550" s="242" t="s">
        <v>252</v>
      </c>
      <c r="AP550" s="242">
        <v>29.34</v>
      </c>
      <c r="AQ550" s="242" t="s">
        <v>252</v>
      </c>
      <c r="AR550" s="242">
        <v>127.59</v>
      </c>
      <c r="AS550" s="242" t="s">
        <v>252</v>
      </c>
      <c r="AT550" s="242">
        <v>124.84</v>
      </c>
      <c r="AU550" s="242" t="s">
        <v>252</v>
      </c>
      <c r="AV550" s="242">
        <v>179.98</v>
      </c>
      <c r="AW550" s="157" t="s">
        <v>252</v>
      </c>
      <c r="AX550" s="157">
        <v>4111.28</v>
      </c>
      <c r="AY550" s="240">
        <v>0.48199999999999998</v>
      </c>
      <c r="AZ550" s="156" t="s">
        <v>253</v>
      </c>
      <c r="BA550" s="156" t="s">
        <v>254</v>
      </c>
      <c r="BB550" s="156">
        <v>1</v>
      </c>
      <c r="BC550" s="156" t="s">
        <v>1423</v>
      </c>
      <c r="BD550" s="3"/>
    </row>
    <row r="551" spans="1:56" ht="15.75" hidden="1" customHeight="1" outlineLevel="1">
      <c r="A551" s="58">
        <v>541</v>
      </c>
      <c r="B551" s="11">
        <v>129541</v>
      </c>
      <c r="C551" s="89" t="s">
        <v>336</v>
      </c>
      <c r="D551" s="157">
        <v>61</v>
      </c>
      <c r="E551" s="12" t="s">
        <v>191</v>
      </c>
      <c r="F551" s="11" t="s">
        <v>246</v>
      </c>
      <c r="G551" s="18" t="s">
        <v>247</v>
      </c>
      <c r="H551" s="11" t="s">
        <v>248</v>
      </c>
      <c r="I551" s="87" t="s">
        <v>249</v>
      </c>
      <c r="J551" s="19" t="s">
        <v>139</v>
      </c>
      <c r="K551" s="17" t="s">
        <v>140</v>
      </c>
      <c r="L551" s="257">
        <v>0</v>
      </c>
      <c r="M551" s="70" t="s">
        <v>250</v>
      </c>
      <c r="N551" s="70">
        <v>100</v>
      </c>
      <c r="O551" s="258">
        <v>8</v>
      </c>
      <c r="P551" s="70" t="s">
        <v>251</v>
      </c>
      <c r="Q551" s="70" t="s">
        <v>233</v>
      </c>
      <c r="R551" s="70" t="s">
        <v>240</v>
      </c>
      <c r="S551" s="70" t="s">
        <v>233</v>
      </c>
      <c r="T551" s="70" t="s">
        <v>233</v>
      </c>
      <c r="U551" s="70" t="s">
        <v>1427</v>
      </c>
      <c r="V551" s="70" t="s">
        <v>240</v>
      </c>
      <c r="W551" s="12"/>
      <c r="X551" s="242">
        <v>2520.41</v>
      </c>
      <c r="Y551" s="242">
        <v>2237.3000000000002</v>
      </c>
      <c r="Z551" s="242">
        <v>356.11</v>
      </c>
      <c r="AA551" s="157" t="s">
        <v>252</v>
      </c>
      <c r="AB551" s="242">
        <v>262.42</v>
      </c>
      <c r="AC551" s="157" t="s">
        <v>252</v>
      </c>
      <c r="AD551" s="242">
        <v>331.67</v>
      </c>
      <c r="AE551" s="157" t="s">
        <v>252</v>
      </c>
      <c r="AF551" s="242">
        <v>231.08</v>
      </c>
      <c r="AG551" s="157" t="s">
        <v>252</v>
      </c>
      <c r="AH551" s="242">
        <v>89.29</v>
      </c>
      <c r="AI551" s="157" t="s">
        <v>252</v>
      </c>
      <c r="AJ551" s="242">
        <v>83.42</v>
      </c>
      <c r="AK551" s="242" t="s">
        <v>252</v>
      </c>
      <c r="AL551" s="242">
        <v>61.91</v>
      </c>
      <c r="AM551" s="242" t="s">
        <v>252</v>
      </c>
      <c r="AN551" s="242">
        <v>64.430000000000007</v>
      </c>
      <c r="AO551" s="242" t="s">
        <v>252</v>
      </c>
      <c r="AP551" s="242">
        <v>84.15</v>
      </c>
      <c r="AQ551" s="242" t="s">
        <v>252</v>
      </c>
      <c r="AR551" s="242">
        <v>207.8</v>
      </c>
      <c r="AS551" s="242" t="s">
        <v>252</v>
      </c>
      <c r="AT551" s="242">
        <v>226.9</v>
      </c>
      <c r="AU551" s="242" t="s">
        <v>252</v>
      </c>
      <c r="AV551" s="242">
        <v>260.43</v>
      </c>
      <c r="AW551" s="157" t="s">
        <v>252</v>
      </c>
      <c r="AX551" s="157">
        <v>7017.32</v>
      </c>
      <c r="AY551" s="240">
        <v>0.89</v>
      </c>
      <c r="AZ551" s="156" t="s">
        <v>253</v>
      </c>
      <c r="BA551" s="156" t="s">
        <v>254</v>
      </c>
      <c r="BB551" s="156">
        <v>0</v>
      </c>
      <c r="BC551" s="156" t="s">
        <v>1423</v>
      </c>
      <c r="BD551" s="3"/>
    </row>
    <row r="552" spans="1:56" ht="15.75" hidden="1" customHeight="1" outlineLevel="1">
      <c r="A552" s="58">
        <v>542</v>
      </c>
      <c r="B552" s="11">
        <v>129542</v>
      </c>
      <c r="C552" s="89" t="s">
        <v>336</v>
      </c>
      <c r="D552" s="157">
        <v>63</v>
      </c>
      <c r="E552" s="12" t="s">
        <v>191</v>
      </c>
      <c r="F552" s="11" t="s">
        <v>246</v>
      </c>
      <c r="G552" s="18" t="s">
        <v>247</v>
      </c>
      <c r="H552" s="11" t="s">
        <v>248</v>
      </c>
      <c r="I552" s="87" t="s">
        <v>249</v>
      </c>
      <c r="J552" s="19" t="s">
        <v>139</v>
      </c>
      <c r="K552" s="17" t="s">
        <v>140</v>
      </c>
      <c r="L552" s="260">
        <v>1</v>
      </c>
      <c r="M552" s="70" t="s">
        <v>250</v>
      </c>
      <c r="N552" s="70">
        <v>100</v>
      </c>
      <c r="O552" s="258">
        <v>8</v>
      </c>
      <c r="P552" s="70" t="s">
        <v>251</v>
      </c>
      <c r="Q552" s="70" t="s">
        <v>233</v>
      </c>
      <c r="R552" s="70" t="s">
        <v>240</v>
      </c>
      <c r="S552" s="70" t="s">
        <v>233</v>
      </c>
      <c r="T552" s="70" t="s">
        <v>233</v>
      </c>
      <c r="U552" s="70" t="s">
        <v>1427</v>
      </c>
      <c r="V552" s="70" t="s">
        <v>240</v>
      </c>
      <c r="W552" s="12"/>
      <c r="X552" s="242">
        <v>1292.7900000000002</v>
      </c>
      <c r="Y552" s="242">
        <v>1318.3799999999999</v>
      </c>
      <c r="Z552" s="242">
        <v>233.01</v>
      </c>
      <c r="AA552" s="157" t="s">
        <v>252</v>
      </c>
      <c r="AB552" s="242">
        <v>159.99</v>
      </c>
      <c r="AC552" s="157" t="s">
        <v>252</v>
      </c>
      <c r="AD552" s="242">
        <v>188.59</v>
      </c>
      <c r="AE552" s="157" t="s">
        <v>252</v>
      </c>
      <c r="AF552" s="242">
        <v>124.19</v>
      </c>
      <c r="AG552" s="157" t="s">
        <v>252</v>
      </c>
      <c r="AH552" s="242">
        <v>51.16</v>
      </c>
      <c r="AI552" s="157" t="s">
        <v>252</v>
      </c>
      <c r="AJ552" s="242">
        <v>23.8</v>
      </c>
      <c r="AK552" s="242" t="s">
        <v>252</v>
      </c>
      <c r="AL552" s="242">
        <v>21.68</v>
      </c>
      <c r="AM552" s="242" t="s">
        <v>252</v>
      </c>
      <c r="AN552" s="242">
        <v>19.88</v>
      </c>
      <c r="AO552" s="242" t="s">
        <v>252</v>
      </c>
      <c r="AP552" s="242">
        <v>25.18</v>
      </c>
      <c r="AQ552" s="242" t="s">
        <v>252</v>
      </c>
      <c r="AR552" s="242">
        <v>109.4</v>
      </c>
      <c r="AS552" s="242" t="s">
        <v>252</v>
      </c>
      <c r="AT552" s="242">
        <v>109.42</v>
      </c>
      <c r="AU552" s="242" t="s">
        <v>252</v>
      </c>
      <c r="AV552" s="242">
        <v>124.15</v>
      </c>
      <c r="AW552" s="157" t="s">
        <v>252</v>
      </c>
      <c r="AX552" s="157">
        <v>3801.6200000000003</v>
      </c>
      <c r="AY552" s="240">
        <v>0.59</v>
      </c>
      <c r="AZ552" s="156" t="s">
        <v>253</v>
      </c>
      <c r="BA552" s="156" t="s">
        <v>254</v>
      </c>
      <c r="BB552" s="156">
        <v>0</v>
      </c>
      <c r="BC552" s="156" t="s">
        <v>1423</v>
      </c>
      <c r="BD552" s="3"/>
    </row>
    <row r="553" spans="1:56" ht="15.75" hidden="1" customHeight="1" outlineLevel="1">
      <c r="A553" s="58">
        <v>543</v>
      </c>
      <c r="B553" s="11">
        <v>129543</v>
      </c>
      <c r="C553" s="89" t="s">
        <v>336</v>
      </c>
      <c r="D553" s="157">
        <v>75</v>
      </c>
      <c r="E553" s="12" t="s">
        <v>191</v>
      </c>
      <c r="F553" s="11" t="s">
        <v>246</v>
      </c>
      <c r="G553" s="18" t="s">
        <v>247</v>
      </c>
      <c r="H553" s="11" t="s">
        <v>248</v>
      </c>
      <c r="I553" s="87" t="s">
        <v>249</v>
      </c>
      <c r="J553" s="19" t="s">
        <v>139</v>
      </c>
      <c r="K553" s="17" t="s">
        <v>140</v>
      </c>
      <c r="L553" s="260">
        <v>1</v>
      </c>
      <c r="M553" s="70" t="s">
        <v>250</v>
      </c>
      <c r="N553" s="70">
        <v>100</v>
      </c>
      <c r="O553" s="258">
        <v>8</v>
      </c>
      <c r="P553" s="70" t="s">
        <v>253</v>
      </c>
      <c r="Q553" s="70" t="s">
        <v>240</v>
      </c>
      <c r="R553" s="70" t="s">
        <v>240</v>
      </c>
      <c r="S553" s="70" t="s">
        <v>233</v>
      </c>
      <c r="T553" s="70" t="s">
        <v>233</v>
      </c>
      <c r="U553" s="260" t="s">
        <v>1428</v>
      </c>
      <c r="V553" s="70" t="s">
        <v>240</v>
      </c>
      <c r="W553" s="12"/>
      <c r="X553" s="242">
        <v>3556.76</v>
      </c>
      <c r="Y553" s="242">
        <v>3556.76</v>
      </c>
      <c r="Z553" s="242">
        <v>532.55999999999995</v>
      </c>
      <c r="AA553" s="157" t="s">
        <v>252</v>
      </c>
      <c r="AB553" s="242">
        <v>380.42</v>
      </c>
      <c r="AC553" s="157" t="s">
        <v>252</v>
      </c>
      <c r="AD553" s="242">
        <v>581.42999999999995</v>
      </c>
      <c r="AE553" s="157" t="s">
        <v>252</v>
      </c>
      <c r="AF553" s="242">
        <v>268.91000000000003</v>
      </c>
      <c r="AG553" s="157" t="s">
        <v>252</v>
      </c>
      <c r="AH553" s="242">
        <v>64.510000000000005</v>
      </c>
      <c r="AI553" s="157" t="s">
        <v>252</v>
      </c>
      <c r="AJ553" s="242">
        <v>0</v>
      </c>
      <c r="AK553" s="242" t="s">
        <v>252</v>
      </c>
      <c r="AL553" s="242">
        <v>0</v>
      </c>
      <c r="AM553" s="242" t="s">
        <v>252</v>
      </c>
      <c r="AN553" s="242">
        <v>0</v>
      </c>
      <c r="AO553" s="242" t="s">
        <v>252</v>
      </c>
      <c r="AP553" s="242">
        <v>0</v>
      </c>
      <c r="AQ553" s="242" t="s">
        <v>252</v>
      </c>
      <c r="AR553" s="242">
        <v>259.16000000000003</v>
      </c>
      <c r="AS553" s="242" t="s">
        <v>252</v>
      </c>
      <c r="AT553" s="242">
        <v>267.12</v>
      </c>
      <c r="AU553" s="242" t="s">
        <v>252</v>
      </c>
      <c r="AV553" s="242">
        <v>366.55</v>
      </c>
      <c r="AW553" s="157" t="s">
        <v>252</v>
      </c>
      <c r="AX553" s="157">
        <v>9834.18</v>
      </c>
      <c r="AY553" s="243">
        <v>1.488</v>
      </c>
      <c r="AZ553" s="156" t="s">
        <v>253</v>
      </c>
      <c r="BA553" s="156" t="s">
        <v>254</v>
      </c>
      <c r="BB553" s="156">
        <v>0</v>
      </c>
      <c r="BC553" s="157" t="s">
        <v>255</v>
      </c>
      <c r="BD553" s="3"/>
    </row>
    <row r="554" spans="1:56" ht="15.75" hidden="1" customHeight="1" outlineLevel="1">
      <c r="A554" s="58">
        <v>544</v>
      </c>
      <c r="B554" s="11">
        <v>129544</v>
      </c>
      <c r="C554" s="89" t="s">
        <v>336</v>
      </c>
      <c r="D554" s="157">
        <v>79</v>
      </c>
      <c r="E554" s="12" t="s">
        <v>191</v>
      </c>
      <c r="F554" s="11" t="s">
        <v>246</v>
      </c>
      <c r="G554" s="18" t="s">
        <v>247</v>
      </c>
      <c r="H554" s="11" t="s">
        <v>248</v>
      </c>
      <c r="I554" s="87" t="s">
        <v>249</v>
      </c>
      <c r="J554" s="19" t="s">
        <v>139</v>
      </c>
      <c r="K554" s="17" t="s">
        <v>140</v>
      </c>
      <c r="L554" s="260">
        <v>2</v>
      </c>
      <c r="M554" s="70" t="s">
        <v>250</v>
      </c>
      <c r="N554" s="70">
        <v>80</v>
      </c>
      <c r="O554" s="258">
        <v>8</v>
      </c>
      <c r="P554" s="70" t="s">
        <v>253</v>
      </c>
      <c r="Q554" s="70" t="s">
        <v>240</v>
      </c>
      <c r="R554" s="70" t="s">
        <v>240</v>
      </c>
      <c r="S554" s="70" t="s">
        <v>233</v>
      </c>
      <c r="T554" s="70" t="s">
        <v>233</v>
      </c>
      <c r="U554" s="260" t="s">
        <v>1428</v>
      </c>
      <c r="V554" s="70" t="s">
        <v>240</v>
      </c>
      <c r="W554" s="12"/>
      <c r="X554" s="242">
        <v>4668.6996281125957</v>
      </c>
      <c r="Y554" s="242">
        <v>4668.6996281125957</v>
      </c>
      <c r="Z554" s="242">
        <v>839.59842609627401</v>
      </c>
      <c r="AA554" s="157" t="s">
        <v>252</v>
      </c>
      <c r="AB554" s="242">
        <v>689.43082741982221</v>
      </c>
      <c r="AC554" s="157" t="s">
        <v>252</v>
      </c>
      <c r="AD554" s="242">
        <v>946.34959801602542</v>
      </c>
      <c r="AE554" s="157" t="s">
        <v>252</v>
      </c>
      <c r="AF554" s="242">
        <v>408.54582209597743</v>
      </c>
      <c r="AG554" s="157" t="s">
        <v>252</v>
      </c>
      <c r="AH554" s="242">
        <v>104.96127694775218</v>
      </c>
      <c r="AI554" s="157" t="s">
        <v>252</v>
      </c>
      <c r="AJ554" s="242">
        <v>0</v>
      </c>
      <c r="AK554" s="242" t="s">
        <v>252</v>
      </c>
      <c r="AL554" s="242">
        <v>0</v>
      </c>
      <c r="AM554" s="242" t="s">
        <v>252</v>
      </c>
      <c r="AN554" s="242">
        <v>0</v>
      </c>
      <c r="AO554" s="242" t="s">
        <v>252</v>
      </c>
      <c r="AP554" s="242">
        <v>0</v>
      </c>
      <c r="AQ554" s="242" t="s">
        <v>252</v>
      </c>
      <c r="AR554" s="242">
        <v>436.71601527067367</v>
      </c>
      <c r="AS554" s="242" t="s">
        <v>252</v>
      </c>
      <c r="AT554" s="242">
        <v>425.09546637553996</v>
      </c>
      <c r="AU554" s="242" t="s">
        <v>252</v>
      </c>
      <c r="AV554" s="242">
        <v>617.8442074884257</v>
      </c>
      <c r="AW554" s="157" t="s">
        <v>252</v>
      </c>
      <c r="AX554" s="157">
        <v>13805.940895935682</v>
      </c>
      <c r="AY554" s="243">
        <v>0.70899999999999996</v>
      </c>
      <c r="AZ554" s="156" t="s">
        <v>253</v>
      </c>
      <c r="BA554" s="156" t="s">
        <v>254</v>
      </c>
      <c r="BB554" s="156">
        <v>0</v>
      </c>
      <c r="BC554" s="157" t="s">
        <v>255</v>
      </c>
      <c r="BD554" s="3"/>
    </row>
    <row r="555" spans="1:56" ht="15.75" hidden="1" customHeight="1" outlineLevel="1">
      <c r="A555" s="58">
        <v>545</v>
      </c>
      <c r="B555" s="11">
        <v>129545</v>
      </c>
      <c r="C555" s="89" t="s">
        <v>336</v>
      </c>
      <c r="D555" s="157">
        <v>79</v>
      </c>
      <c r="E555" s="12" t="s">
        <v>231</v>
      </c>
      <c r="F555" s="11" t="s">
        <v>246</v>
      </c>
      <c r="G555" s="18" t="s">
        <v>247</v>
      </c>
      <c r="H555" s="11" t="s">
        <v>248</v>
      </c>
      <c r="I555" s="87" t="s">
        <v>249</v>
      </c>
      <c r="J555" s="19" t="s">
        <v>139</v>
      </c>
      <c r="K555" s="17" t="s">
        <v>140</v>
      </c>
      <c r="L555" s="257">
        <v>0</v>
      </c>
      <c r="M555" s="70" t="s">
        <v>250</v>
      </c>
      <c r="N555" s="70">
        <v>100</v>
      </c>
      <c r="O555" s="258">
        <v>8</v>
      </c>
      <c r="P555" s="70" t="s">
        <v>253</v>
      </c>
      <c r="Q555" s="70" t="s">
        <v>233</v>
      </c>
      <c r="R555" s="70" t="s">
        <v>240</v>
      </c>
      <c r="S555" s="70" t="s">
        <v>233</v>
      </c>
      <c r="T555" s="70" t="s">
        <v>233</v>
      </c>
      <c r="U555" s="260" t="s">
        <v>1428</v>
      </c>
      <c r="V555" s="70" t="s">
        <v>240</v>
      </c>
      <c r="W555" s="12"/>
      <c r="X555" s="242">
        <v>417.61237188740415</v>
      </c>
      <c r="Y555" s="242">
        <v>417.61237188740415</v>
      </c>
      <c r="Z555" s="242">
        <v>75.101573903726035</v>
      </c>
      <c r="AA555" s="157" t="s">
        <v>252</v>
      </c>
      <c r="AB555" s="242">
        <v>61.669172580177786</v>
      </c>
      <c r="AC555" s="157" t="s">
        <v>252</v>
      </c>
      <c r="AD555" s="242">
        <v>84.650401983974575</v>
      </c>
      <c r="AE555" s="157" t="s">
        <v>252</v>
      </c>
      <c r="AF555" s="242">
        <v>36.54417790402254</v>
      </c>
      <c r="AG555" s="157" t="s">
        <v>252</v>
      </c>
      <c r="AH555" s="242">
        <v>9.3887230522478102</v>
      </c>
      <c r="AI555" s="157" t="s">
        <v>252</v>
      </c>
      <c r="AJ555" s="242">
        <v>0</v>
      </c>
      <c r="AK555" s="242" t="s">
        <v>252</v>
      </c>
      <c r="AL555" s="242">
        <v>0</v>
      </c>
      <c r="AM555" s="242" t="s">
        <v>252</v>
      </c>
      <c r="AN555" s="242">
        <v>0</v>
      </c>
      <c r="AO555" s="242" t="s">
        <v>252</v>
      </c>
      <c r="AP555" s="242">
        <v>0</v>
      </c>
      <c r="AQ555" s="242" t="s">
        <v>252</v>
      </c>
      <c r="AR555" s="242">
        <v>39.0639847293263</v>
      </c>
      <c r="AS555" s="242" t="s">
        <v>252</v>
      </c>
      <c r="AT555" s="242">
        <v>38.024533624460041</v>
      </c>
      <c r="AU555" s="242" t="s">
        <v>252</v>
      </c>
      <c r="AV555" s="242">
        <v>55.265792511574318</v>
      </c>
      <c r="AW555" s="157" t="s">
        <v>252</v>
      </c>
      <c r="AX555" s="157">
        <v>1234.9331040643176</v>
      </c>
      <c r="AY555" s="243">
        <v>0.158</v>
      </c>
      <c r="AZ555" s="156" t="s">
        <v>253</v>
      </c>
      <c r="BA555" s="156" t="s">
        <v>254</v>
      </c>
      <c r="BB555" s="156">
        <v>0</v>
      </c>
      <c r="BC555" s="157" t="s">
        <v>255</v>
      </c>
      <c r="BD555" s="3"/>
    </row>
    <row r="556" spans="1:56" ht="15.75" hidden="1" customHeight="1" outlineLevel="1">
      <c r="A556" s="58">
        <v>546</v>
      </c>
      <c r="B556" s="11">
        <v>129546</v>
      </c>
      <c r="C556" s="89" t="s">
        <v>340</v>
      </c>
      <c r="D556" s="157">
        <v>10</v>
      </c>
      <c r="E556" s="12" t="s">
        <v>191</v>
      </c>
      <c r="F556" s="11" t="s">
        <v>246</v>
      </c>
      <c r="G556" s="18" t="s">
        <v>247</v>
      </c>
      <c r="H556" s="11" t="s">
        <v>248</v>
      </c>
      <c r="I556" s="87" t="s">
        <v>249</v>
      </c>
      <c r="J556" s="19" t="s">
        <v>139</v>
      </c>
      <c r="K556" s="17" t="s">
        <v>140</v>
      </c>
      <c r="L556" s="260">
        <v>1</v>
      </c>
      <c r="M556" s="70" t="s">
        <v>250</v>
      </c>
      <c r="N556" s="70">
        <v>100</v>
      </c>
      <c r="O556" s="258">
        <v>8</v>
      </c>
      <c r="P556" s="70" t="s">
        <v>251</v>
      </c>
      <c r="Q556" s="70" t="s">
        <v>233</v>
      </c>
      <c r="R556" s="70" t="s">
        <v>240</v>
      </c>
      <c r="S556" s="70" t="s">
        <v>233</v>
      </c>
      <c r="T556" s="70" t="s">
        <v>233</v>
      </c>
      <c r="U556" s="70" t="s">
        <v>1427</v>
      </c>
      <c r="V556" s="70" t="s">
        <v>240</v>
      </c>
      <c r="W556" s="12"/>
      <c r="X556" s="242">
        <v>585.29999999999995</v>
      </c>
      <c r="Y556" s="242">
        <v>575.90000000000009</v>
      </c>
      <c r="Z556" s="242">
        <v>83.59</v>
      </c>
      <c r="AA556" s="157" t="s">
        <v>252</v>
      </c>
      <c r="AB556" s="242">
        <v>65.33</v>
      </c>
      <c r="AC556" s="157" t="s">
        <v>252</v>
      </c>
      <c r="AD556" s="242">
        <v>80.3</v>
      </c>
      <c r="AE556" s="157" t="s">
        <v>252</v>
      </c>
      <c r="AF556" s="242">
        <v>49.89</v>
      </c>
      <c r="AG556" s="157" t="s">
        <v>252</v>
      </c>
      <c r="AH556" s="242">
        <v>16.47</v>
      </c>
      <c r="AI556" s="157" t="s">
        <v>252</v>
      </c>
      <c r="AJ556" s="242">
        <v>12.81</v>
      </c>
      <c r="AK556" s="242" t="s">
        <v>252</v>
      </c>
      <c r="AL556" s="242">
        <v>10.14</v>
      </c>
      <c r="AM556" s="242" t="s">
        <v>252</v>
      </c>
      <c r="AN556" s="242">
        <v>10.93</v>
      </c>
      <c r="AO556" s="242" t="s">
        <v>252</v>
      </c>
      <c r="AP556" s="242">
        <v>13.5</v>
      </c>
      <c r="AQ556" s="242" t="s">
        <v>252</v>
      </c>
      <c r="AR556" s="242">
        <v>48.04</v>
      </c>
      <c r="AS556" s="242" t="s">
        <v>252</v>
      </c>
      <c r="AT556" s="242">
        <v>48.27</v>
      </c>
      <c r="AU556" s="242" t="s">
        <v>252</v>
      </c>
      <c r="AV556" s="242">
        <v>54.56</v>
      </c>
      <c r="AW556" s="157" t="s">
        <v>252</v>
      </c>
      <c r="AX556" s="157">
        <v>1655.03</v>
      </c>
      <c r="AY556" s="240">
        <v>0.18</v>
      </c>
      <c r="AZ556" s="156" t="s">
        <v>253</v>
      </c>
      <c r="BA556" s="156" t="s">
        <v>254</v>
      </c>
      <c r="BB556" s="156">
        <v>1</v>
      </c>
      <c r="BC556" s="156" t="s">
        <v>1423</v>
      </c>
      <c r="BD556" s="3"/>
    </row>
    <row r="557" spans="1:56" ht="15.75" hidden="1" customHeight="1" outlineLevel="1">
      <c r="A557" s="58">
        <v>547</v>
      </c>
      <c r="B557" s="11">
        <v>129547</v>
      </c>
      <c r="C557" s="89" t="s">
        <v>340</v>
      </c>
      <c r="D557" s="157">
        <v>18</v>
      </c>
      <c r="E557" s="12" t="s">
        <v>191</v>
      </c>
      <c r="F557" s="11" t="s">
        <v>246</v>
      </c>
      <c r="G557" s="18" t="s">
        <v>247</v>
      </c>
      <c r="H557" s="11" t="s">
        <v>248</v>
      </c>
      <c r="I557" s="87" t="s">
        <v>249</v>
      </c>
      <c r="J557" s="19" t="s">
        <v>139</v>
      </c>
      <c r="K557" s="17" t="s">
        <v>140</v>
      </c>
      <c r="L557" s="260">
        <v>1</v>
      </c>
      <c r="M557" s="70" t="s">
        <v>250</v>
      </c>
      <c r="N557" s="70">
        <v>100</v>
      </c>
      <c r="O557" s="258">
        <v>8</v>
      </c>
      <c r="P557" s="70" t="s">
        <v>251</v>
      </c>
      <c r="Q557" s="70" t="s">
        <v>233</v>
      </c>
      <c r="R557" s="70" t="s">
        <v>240</v>
      </c>
      <c r="S557" s="70" t="s">
        <v>233</v>
      </c>
      <c r="T557" s="70" t="s">
        <v>233</v>
      </c>
      <c r="U557" s="70" t="s">
        <v>1427</v>
      </c>
      <c r="V557" s="70" t="s">
        <v>240</v>
      </c>
      <c r="W557" s="12"/>
      <c r="X557" s="242">
        <v>194.62999999999997</v>
      </c>
      <c r="Y557" s="242">
        <v>220.96</v>
      </c>
      <c r="Z557" s="242">
        <v>30.82</v>
      </c>
      <c r="AA557" s="157" t="s">
        <v>252</v>
      </c>
      <c r="AB557" s="242">
        <v>7.79</v>
      </c>
      <c r="AC557" s="157" t="s">
        <v>252</v>
      </c>
      <c r="AD557" s="242">
        <v>35.840000000000003</v>
      </c>
      <c r="AE557" s="157" t="s">
        <v>252</v>
      </c>
      <c r="AF557" s="242">
        <v>24.45</v>
      </c>
      <c r="AG557" s="157" t="s">
        <v>252</v>
      </c>
      <c r="AH557" s="242">
        <v>7.01</v>
      </c>
      <c r="AI557" s="157" t="s">
        <v>252</v>
      </c>
      <c r="AJ557" s="242">
        <v>2.65</v>
      </c>
      <c r="AK557" s="242" t="s">
        <v>252</v>
      </c>
      <c r="AL557" s="242">
        <v>2.52</v>
      </c>
      <c r="AM557" s="242" t="s">
        <v>252</v>
      </c>
      <c r="AN557" s="242">
        <v>2.06</v>
      </c>
      <c r="AO557" s="242" t="s">
        <v>252</v>
      </c>
      <c r="AP557" s="242">
        <v>2.69</v>
      </c>
      <c r="AQ557" s="242" t="s">
        <v>252</v>
      </c>
      <c r="AR557" s="242">
        <v>21.98</v>
      </c>
      <c r="AS557" s="242" t="s">
        <v>252</v>
      </c>
      <c r="AT557" s="242">
        <v>19.78</v>
      </c>
      <c r="AU557" s="242" t="s">
        <v>252</v>
      </c>
      <c r="AV557" s="242">
        <v>20.75</v>
      </c>
      <c r="AW557" s="157" t="s">
        <v>252</v>
      </c>
      <c r="AX557" s="157">
        <v>593.92999999999995</v>
      </c>
      <c r="AY557" s="240">
        <v>0.08</v>
      </c>
      <c r="AZ557" s="156" t="s">
        <v>253</v>
      </c>
      <c r="BA557" s="156" t="s">
        <v>254</v>
      </c>
      <c r="BB557" s="156">
        <v>1</v>
      </c>
      <c r="BC557" s="156" t="s">
        <v>1423</v>
      </c>
      <c r="BD557" s="3"/>
    </row>
    <row r="558" spans="1:56" ht="15.75" hidden="1" customHeight="1" outlineLevel="1">
      <c r="A558" s="58">
        <v>548</v>
      </c>
      <c r="B558" s="11">
        <v>129548</v>
      </c>
      <c r="C558" s="89" t="s">
        <v>340</v>
      </c>
      <c r="D558" s="157">
        <v>20</v>
      </c>
      <c r="E558" s="12" t="s">
        <v>191</v>
      </c>
      <c r="F558" s="11" t="s">
        <v>246</v>
      </c>
      <c r="G558" s="18" t="s">
        <v>247</v>
      </c>
      <c r="H558" s="11" t="s">
        <v>248</v>
      </c>
      <c r="I558" s="87" t="s">
        <v>249</v>
      </c>
      <c r="J558" s="19" t="s">
        <v>139</v>
      </c>
      <c r="K558" s="17" t="s">
        <v>140</v>
      </c>
      <c r="L558" s="257">
        <v>0</v>
      </c>
      <c r="M558" s="70" t="s">
        <v>250</v>
      </c>
      <c r="N558" s="70">
        <v>100</v>
      </c>
      <c r="O558" s="258">
        <v>8</v>
      </c>
      <c r="P558" s="70" t="s">
        <v>251</v>
      </c>
      <c r="Q558" s="70" t="s">
        <v>240</v>
      </c>
      <c r="R558" s="70" t="s">
        <v>240</v>
      </c>
      <c r="S558" s="70" t="s">
        <v>233</v>
      </c>
      <c r="T558" s="70" t="s">
        <v>233</v>
      </c>
      <c r="U558" s="70" t="s">
        <v>1427</v>
      </c>
      <c r="V558" s="70" t="s">
        <v>240</v>
      </c>
      <c r="W558" s="12"/>
      <c r="X558" s="242">
        <v>213.72000000000006</v>
      </c>
      <c r="Y558" s="242">
        <v>219.92000000000002</v>
      </c>
      <c r="Z558" s="242">
        <v>28.71</v>
      </c>
      <c r="AA558" s="157" t="s">
        <v>252</v>
      </c>
      <c r="AB558" s="242">
        <v>8.6</v>
      </c>
      <c r="AC558" s="157" t="s">
        <v>252</v>
      </c>
      <c r="AD558" s="242">
        <v>39.5</v>
      </c>
      <c r="AE558" s="157" t="s">
        <v>252</v>
      </c>
      <c r="AF558" s="242">
        <v>26.9</v>
      </c>
      <c r="AG558" s="157" t="s">
        <v>252</v>
      </c>
      <c r="AH558" s="242">
        <v>8.1</v>
      </c>
      <c r="AI558" s="157" t="s">
        <v>252</v>
      </c>
      <c r="AJ558" s="242">
        <v>0</v>
      </c>
      <c r="AK558" s="242" t="s">
        <v>252</v>
      </c>
      <c r="AL558" s="242">
        <v>0.43</v>
      </c>
      <c r="AM558" s="242" t="s">
        <v>252</v>
      </c>
      <c r="AN558" s="242">
        <v>0</v>
      </c>
      <c r="AO558" s="242" t="s">
        <v>252</v>
      </c>
      <c r="AP558" s="242">
        <v>0</v>
      </c>
      <c r="AQ558" s="242" t="s">
        <v>252</v>
      </c>
      <c r="AR558" s="242">
        <v>24.9</v>
      </c>
      <c r="AS558" s="242" t="s">
        <v>252</v>
      </c>
      <c r="AT558" s="242">
        <v>22.1</v>
      </c>
      <c r="AU558" s="242" t="s">
        <v>252</v>
      </c>
      <c r="AV558" s="242">
        <v>22.9</v>
      </c>
      <c r="AW558" s="157" t="s">
        <v>252</v>
      </c>
      <c r="AX558" s="157">
        <v>615.78000000000009</v>
      </c>
      <c r="AY558" s="240">
        <v>0.09</v>
      </c>
      <c r="AZ558" s="156" t="s">
        <v>253</v>
      </c>
      <c r="BA558" s="156" t="s">
        <v>254</v>
      </c>
      <c r="BB558" s="156">
        <v>0</v>
      </c>
      <c r="BC558" s="156" t="s">
        <v>1423</v>
      </c>
      <c r="BD558" s="3"/>
    </row>
    <row r="559" spans="1:56" ht="15.75" hidden="1" customHeight="1" outlineLevel="1">
      <c r="A559" s="58">
        <v>549</v>
      </c>
      <c r="B559" s="11">
        <v>129549</v>
      </c>
      <c r="C559" s="89" t="s">
        <v>340</v>
      </c>
      <c r="D559" s="157">
        <v>3</v>
      </c>
      <c r="E559" s="12" t="s">
        <v>191</v>
      </c>
      <c r="F559" s="11" t="s">
        <v>246</v>
      </c>
      <c r="G559" s="18" t="s">
        <v>247</v>
      </c>
      <c r="H559" s="11" t="s">
        <v>248</v>
      </c>
      <c r="I559" s="87" t="s">
        <v>249</v>
      </c>
      <c r="J559" s="19" t="s">
        <v>139</v>
      </c>
      <c r="K559" s="17" t="s">
        <v>140</v>
      </c>
      <c r="L559" s="257">
        <v>0</v>
      </c>
      <c r="M559" s="70" t="s">
        <v>250</v>
      </c>
      <c r="N559" s="70">
        <v>100</v>
      </c>
      <c r="O559" s="258">
        <v>8</v>
      </c>
      <c r="P559" s="70" t="s">
        <v>251</v>
      </c>
      <c r="Q559" s="70" t="s">
        <v>233</v>
      </c>
      <c r="R559" s="70" t="s">
        <v>240</v>
      </c>
      <c r="S559" s="70" t="s">
        <v>240</v>
      </c>
      <c r="T559" s="70" t="s">
        <v>240</v>
      </c>
      <c r="U559" s="70" t="s">
        <v>1427</v>
      </c>
      <c r="V559" s="70" t="s">
        <v>240</v>
      </c>
      <c r="W559" s="12"/>
      <c r="X559" s="242">
        <v>0</v>
      </c>
      <c r="Y559" s="242">
        <v>0</v>
      </c>
      <c r="Z559" s="242">
        <v>0</v>
      </c>
      <c r="AA559" s="157"/>
      <c r="AB559" s="242">
        <v>0</v>
      </c>
      <c r="AC559" s="157"/>
      <c r="AD559" s="242">
        <v>0</v>
      </c>
      <c r="AE559" s="157"/>
      <c r="AF559" s="242">
        <v>0</v>
      </c>
      <c r="AG559" s="157"/>
      <c r="AH559" s="242">
        <v>0</v>
      </c>
      <c r="AI559" s="157"/>
      <c r="AJ559" s="242">
        <v>0</v>
      </c>
      <c r="AK559" s="242"/>
      <c r="AL559" s="242">
        <v>0</v>
      </c>
      <c r="AM559" s="242"/>
      <c r="AN559" s="242">
        <v>0</v>
      </c>
      <c r="AO559" s="242"/>
      <c r="AP559" s="242">
        <v>0</v>
      </c>
      <c r="AQ559" s="242"/>
      <c r="AR559" s="242">
        <v>0</v>
      </c>
      <c r="AS559" s="242"/>
      <c r="AT559" s="242">
        <v>0</v>
      </c>
      <c r="AU559" s="242"/>
      <c r="AV559" s="242">
        <v>0</v>
      </c>
      <c r="AW559" s="157"/>
      <c r="AX559" s="157">
        <v>0</v>
      </c>
      <c r="AY559" s="243">
        <v>0.372</v>
      </c>
      <c r="AZ559" s="156" t="s">
        <v>253</v>
      </c>
      <c r="BA559" s="156" t="s">
        <v>254</v>
      </c>
      <c r="BB559" s="156">
        <v>0</v>
      </c>
      <c r="BC559" s="156" t="s">
        <v>1423</v>
      </c>
      <c r="BD559" s="3"/>
    </row>
    <row r="560" spans="1:56" ht="15.75" hidden="1" customHeight="1" outlineLevel="1">
      <c r="A560" s="58">
        <v>550</v>
      </c>
      <c r="B560" s="11">
        <v>129550</v>
      </c>
      <c r="C560" s="89" t="s">
        <v>340</v>
      </c>
      <c r="D560" s="157">
        <v>3</v>
      </c>
      <c r="E560" s="12" t="s">
        <v>260</v>
      </c>
      <c r="F560" s="11" t="s">
        <v>246</v>
      </c>
      <c r="G560" s="18" t="s">
        <v>247</v>
      </c>
      <c r="H560" s="11" t="s">
        <v>248</v>
      </c>
      <c r="I560" s="87" t="s">
        <v>249</v>
      </c>
      <c r="J560" s="19" t="s">
        <v>139</v>
      </c>
      <c r="K560" s="17" t="s">
        <v>140</v>
      </c>
      <c r="L560" s="257">
        <v>0</v>
      </c>
      <c r="M560" s="70" t="s">
        <v>250</v>
      </c>
      <c r="N560" s="70">
        <v>80</v>
      </c>
      <c r="O560" s="258">
        <v>8</v>
      </c>
      <c r="P560" s="70" t="s">
        <v>251</v>
      </c>
      <c r="Q560" s="70" t="s">
        <v>233</v>
      </c>
      <c r="R560" s="70" t="s">
        <v>240</v>
      </c>
      <c r="S560" s="70" t="s">
        <v>240</v>
      </c>
      <c r="T560" s="70" t="s">
        <v>240</v>
      </c>
      <c r="U560" s="70" t="s">
        <v>1427</v>
      </c>
      <c r="V560" s="70" t="s">
        <v>240</v>
      </c>
      <c r="W560" s="12"/>
      <c r="X560" s="242">
        <v>0</v>
      </c>
      <c r="Y560" s="242">
        <v>0</v>
      </c>
      <c r="Z560" s="242">
        <v>0</v>
      </c>
      <c r="AA560" s="157"/>
      <c r="AB560" s="242">
        <v>0</v>
      </c>
      <c r="AC560" s="157"/>
      <c r="AD560" s="242">
        <v>0</v>
      </c>
      <c r="AE560" s="157"/>
      <c r="AF560" s="242">
        <v>0</v>
      </c>
      <c r="AG560" s="157"/>
      <c r="AH560" s="242">
        <v>0</v>
      </c>
      <c r="AI560" s="157"/>
      <c r="AJ560" s="242">
        <v>0</v>
      </c>
      <c r="AK560" s="242"/>
      <c r="AL560" s="242">
        <v>0</v>
      </c>
      <c r="AM560" s="242"/>
      <c r="AN560" s="242">
        <v>0</v>
      </c>
      <c r="AO560" s="242"/>
      <c r="AP560" s="242">
        <v>0</v>
      </c>
      <c r="AQ560" s="242"/>
      <c r="AR560" s="242">
        <v>0</v>
      </c>
      <c r="AS560" s="242"/>
      <c r="AT560" s="242">
        <v>0</v>
      </c>
      <c r="AU560" s="242"/>
      <c r="AV560" s="242">
        <v>0</v>
      </c>
      <c r="AW560" s="157"/>
      <c r="AX560" s="157">
        <v>0</v>
      </c>
      <c r="AY560" s="243">
        <v>0.372</v>
      </c>
      <c r="AZ560" s="156" t="s">
        <v>253</v>
      </c>
      <c r="BA560" s="156" t="s">
        <v>254</v>
      </c>
      <c r="BB560" s="156">
        <v>0</v>
      </c>
      <c r="BC560" s="156" t="s">
        <v>1423</v>
      </c>
      <c r="BD560" s="3"/>
    </row>
    <row r="561" spans="1:56" ht="15.75" hidden="1" customHeight="1" outlineLevel="1">
      <c r="A561" s="58">
        <v>551</v>
      </c>
      <c r="B561" s="11">
        <v>129551</v>
      </c>
      <c r="C561" s="89" t="s">
        <v>341</v>
      </c>
      <c r="D561" s="157">
        <v>114</v>
      </c>
      <c r="E561" s="12" t="s">
        <v>191</v>
      </c>
      <c r="F561" s="11" t="s">
        <v>246</v>
      </c>
      <c r="G561" s="18" t="s">
        <v>247</v>
      </c>
      <c r="H561" s="11" t="s">
        <v>248</v>
      </c>
      <c r="I561" s="87" t="s">
        <v>249</v>
      </c>
      <c r="J561" s="19" t="s">
        <v>139</v>
      </c>
      <c r="K561" s="17" t="s">
        <v>140</v>
      </c>
      <c r="L561" s="257">
        <v>0</v>
      </c>
      <c r="M561" s="70" t="s">
        <v>250</v>
      </c>
      <c r="N561" s="70">
        <v>80</v>
      </c>
      <c r="O561" s="258">
        <v>8</v>
      </c>
      <c r="P561" s="70" t="s">
        <v>251</v>
      </c>
      <c r="Q561" s="70" t="s">
        <v>240</v>
      </c>
      <c r="R561" s="70" t="s">
        <v>240</v>
      </c>
      <c r="S561" s="70" t="s">
        <v>240</v>
      </c>
      <c r="T561" s="70" t="s">
        <v>240</v>
      </c>
      <c r="U561" s="70" t="s">
        <v>1427</v>
      </c>
      <c r="V561" s="70" t="s">
        <v>240</v>
      </c>
      <c r="W561" s="12"/>
      <c r="X561" s="242">
        <v>0</v>
      </c>
      <c r="Y561" s="242">
        <v>0</v>
      </c>
      <c r="Z561" s="242">
        <v>0</v>
      </c>
      <c r="AA561" s="157"/>
      <c r="AB561" s="242">
        <v>0</v>
      </c>
      <c r="AC561" s="157"/>
      <c r="AD561" s="242">
        <v>0</v>
      </c>
      <c r="AE561" s="157"/>
      <c r="AF561" s="242">
        <v>0</v>
      </c>
      <c r="AG561" s="157"/>
      <c r="AH561" s="242">
        <v>0</v>
      </c>
      <c r="AI561" s="157"/>
      <c r="AJ561" s="242">
        <v>0</v>
      </c>
      <c r="AK561" s="242"/>
      <c r="AL561" s="242">
        <v>0</v>
      </c>
      <c r="AM561" s="242"/>
      <c r="AN561" s="242">
        <v>0</v>
      </c>
      <c r="AO561" s="242"/>
      <c r="AP561" s="242">
        <v>0</v>
      </c>
      <c r="AQ561" s="242"/>
      <c r="AR561" s="242">
        <v>0</v>
      </c>
      <c r="AS561" s="242"/>
      <c r="AT561" s="242">
        <v>0</v>
      </c>
      <c r="AU561" s="242"/>
      <c r="AV561" s="242">
        <v>0</v>
      </c>
      <c r="AW561" s="157"/>
      <c r="AX561" s="157">
        <v>0</v>
      </c>
      <c r="AY561" s="243">
        <v>3.5200000000000002E-2</v>
      </c>
      <c r="AZ561" s="156" t="s">
        <v>253</v>
      </c>
      <c r="BA561" s="156" t="s">
        <v>254</v>
      </c>
      <c r="BB561" s="156">
        <v>0</v>
      </c>
      <c r="BC561" s="156" t="s">
        <v>1423</v>
      </c>
      <c r="BD561" s="3"/>
    </row>
    <row r="562" spans="1:56" ht="15.75" hidden="1" customHeight="1" outlineLevel="1">
      <c r="A562" s="58">
        <v>552</v>
      </c>
      <c r="B562" s="11">
        <v>129552</v>
      </c>
      <c r="C562" s="89" t="s">
        <v>341</v>
      </c>
      <c r="D562" s="157">
        <v>116</v>
      </c>
      <c r="E562" s="12" t="s">
        <v>191</v>
      </c>
      <c r="F562" s="11" t="s">
        <v>246</v>
      </c>
      <c r="G562" s="18" t="s">
        <v>247</v>
      </c>
      <c r="H562" s="11" t="s">
        <v>248</v>
      </c>
      <c r="I562" s="87" t="s">
        <v>249</v>
      </c>
      <c r="J562" s="19" t="s">
        <v>139</v>
      </c>
      <c r="K562" s="17" t="s">
        <v>140</v>
      </c>
      <c r="L562" s="257">
        <v>0</v>
      </c>
      <c r="M562" s="70" t="s">
        <v>250</v>
      </c>
      <c r="N562" s="70">
        <v>80</v>
      </c>
      <c r="O562" s="258">
        <v>8</v>
      </c>
      <c r="P562" s="70" t="s">
        <v>251</v>
      </c>
      <c r="Q562" s="70" t="s">
        <v>233</v>
      </c>
      <c r="R562" s="70" t="s">
        <v>240</v>
      </c>
      <c r="S562" s="70" t="s">
        <v>240</v>
      </c>
      <c r="T562" s="70" t="s">
        <v>240</v>
      </c>
      <c r="U562" s="70" t="s">
        <v>1427</v>
      </c>
      <c r="V562" s="70" t="s">
        <v>240</v>
      </c>
      <c r="W562" s="12"/>
      <c r="X562" s="242">
        <v>0</v>
      </c>
      <c r="Y562" s="242">
        <v>0</v>
      </c>
      <c r="Z562" s="242">
        <v>0</v>
      </c>
      <c r="AA562" s="157"/>
      <c r="AB562" s="242">
        <v>0</v>
      </c>
      <c r="AC562" s="157"/>
      <c r="AD562" s="242">
        <v>0</v>
      </c>
      <c r="AE562" s="157"/>
      <c r="AF562" s="242">
        <v>0</v>
      </c>
      <c r="AG562" s="157"/>
      <c r="AH562" s="242">
        <v>0</v>
      </c>
      <c r="AI562" s="157"/>
      <c r="AJ562" s="242">
        <v>0</v>
      </c>
      <c r="AK562" s="242"/>
      <c r="AL562" s="242">
        <v>0</v>
      </c>
      <c r="AM562" s="242"/>
      <c r="AN562" s="242">
        <v>0</v>
      </c>
      <c r="AO562" s="242"/>
      <c r="AP562" s="242">
        <v>0</v>
      </c>
      <c r="AQ562" s="242"/>
      <c r="AR562" s="242">
        <v>0</v>
      </c>
      <c r="AS562" s="242"/>
      <c r="AT562" s="242">
        <v>0</v>
      </c>
      <c r="AU562" s="242"/>
      <c r="AV562" s="242">
        <v>0</v>
      </c>
      <c r="AW562" s="157"/>
      <c r="AX562" s="157">
        <v>0</v>
      </c>
      <c r="AY562" s="243">
        <v>4.9000000000000002E-2</v>
      </c>
      <c r="AZ562" s="156" t="s">
        <v>253</v>
      </c>
      <c r="BA562" s="156" t="s">
        <v>254</v>
      </c>
      <c r="BB562" s="156">
        <v>0</v>
      </c>
      <c r="BC562" s="156" t="s">
        <v>1423</v>
      </c>
      <c r="BD562" s="3"/>
    </row>
    <row r="563" spans="1:56" ht="15.75" hidden="1" customHeight="1" outlineLevel="1">
      <c r="A563" s="58">
        <v>553</v>
      </c>
      <c r="B563" s="11">
        <v>129553</v>
      </c>
      <c r="C563" s="89" t="s">
        <v>341</v>
      </c>
      <c r="D563" s="157" t="s">
        <v>342</v>
      </c>
      <c r="E563" s="12" t="s">
        <v>191</v>
      </c>
      <c r="F563" s="11" t="s">
        <v>246</v>
      </c>
      <c r="G563" s="18" t="s">
        <v>247</v>
      </c>
      <c r="H563" s="11" t="s">
        <v>248</v>
      </c>
      <c r="I563" s="87" t="s">
        <v>249</v>
      </c>
      <c r="J563" s="19" t="s">
        <v>139</v>
      </c>
      <c r="K563" s="17" t="s">
        <v>140</v>
      </c>
      <c r="L563" s="257">
        <v>0</v>
      </c>
      <c r="M563" s="70" t="s">
        <v>250</v>
      </c>
      <c r="N563" s="70">
        <v>100</v>
      </c>
      <c r="O563" s="258">
        <v>8</v>
      </c>
      <c r="P563" s="70" t="s">
        <v>251</v>
      </c>
      <c r="Q563" s="70" t="s">
        <v>233</v>
      </c>
      <c r="R563" s="70" t="s">
        <v>240</v>
      </c>
      <c r="S563" s="70" t="s">
        <v>240</v>
      </c>
      <c r="T563" s="70" t="s">
        <v>240</v>
      </c>
      <c r="U563" s="70" t="s">
        <v>1427</v>
      </c>
      <c r="V563" s="70" t="s">
        <v>240</v>
      </c>
      <c r="W563" s="12"/>
      <c r="X563" s="242">
        <v>956.41999999999973</v>
      </c>
      <c r="Y563" s="242">
        <v>341.21000000000004</v>
      </c>
      <c r="Z563" s="242">
        <v>33.51</v>
      </c>
      <c r="AA563" s="157" t="s">
        <v>259</v>
      </c>
      <c r="AB563" s="242">
        <v>36.83</v>
      </c>
      <c r="AC563" s="157" t="s">
        <v>259</v>
      </c>
      <c r="AD563" s="242">
        <v>36.32</v>
      </c>
      <c r="AE563" s="157" t="s">
        <v>259</v>
      </c>
      <c r="AF563" s="242">
        <v>36.799999999999997</v>
      </c>
      <c r="AG563" s="157" t="s">
        <v>259</v>
      </c>
      <c r="AH563" s="242">
        <v>37</v>
      </c>
      <c r="AI563" s="157" t="s">
        <v>259</v>
      </c>
      <c r="AJ563" s="242">
        <v>5.28</v>
      </c>
      <c r="AK563" s="242" t="s">
        <v>259</v>
      </c>
      <c r="AL563" s="242">
        <v>5.28</v>
      </c>
      <c r="AM563" s="242" t="s">
        <v>259</v>
      </c>
      <c r="AN563" s="242">
        <v>5.28</v>
      </c>
      <c r="AO563" s="242" t="s">
        <v>259</v>
      </c>
      <c r="AP563" s="242">
        <v>9.27</v>
      </c>
      <c r="AQ563" s="242" t="s">
        <v>259</v>
      </c>
      <c r="AR563" s="242">
        <v>20.13</v>
      </c>
      <c r="AS563" s="242" t="s">
        <v>259</v>
      </c>
      <c r="AT563" s="242">
        <v>25.76</v>
      </c>
      <c r="AU563" s="242" t="s">
        <v>259</v>
      </c>
      <c r="AV563" s="242">
        <v>25.8</v>
      </c>
      <c r="AW563" s="157" t="s">
        <v>259</v>
      </c>
      <c r="AX563" s="157">
        <v>1574.8899999999994</v>
      </c>
      <c r="AY563" s="243">
        <v>0.372</v>
      </c>
      <c r="AZ563" s="156" t="s">
        <v>253</v>
      </c>
      <c r="BA563" s="156" t="s">
        <v>254</v>
      </c>
      <c r="BB563" s="157">
        <v>1</v>
      </c>
      <c r="BC563" s="156" t="s">
        <v>1423</v>
      </c>
      <c r="BD563" s="3"/>
    </row>
    <row r="564" spans="1:56" ht="15.75" hidden="1" customHeight="1" outlineLevel="1">
      <c r="A564" s="58">
        <v>554</v>
      </c>
      <c r="B564" s="11">
        <v>129554</v>
      </c>
      <c r="C564" s="89" t="s">
        <v>341</v>
      </c>
      <c r="D564" s="157">
        <v>135</v>
      </c>
      <c r="E564" s="12" t="s">
        <v>191</v>
      </c>
      <c r="F564" s="11" t="s">
        <v>246</v>
      </c>
      <c r="G564" s="18" t="s">
        <v>247</v>
      </c>
      <c r="H564" s="11" t="s">
        <v>248</v>
      </c>
      <c r="I564" s="87" t="s">
        <v>249</v>
      </c>
      <c r="J564" s="19" t="s">
        <v>139</v>
      </c>
      <c r="K564" s="17" t="s">
        <v>140</v>
      </c>
      <c r="L564" s="257">
        <v>0</v>
      </c>
      <c r="M564" s="70" t="s">
        <v>250</v>
      </c>
      <c r="N564" s="70">
        <v>100</v>
      </c>
      <c r="O564" s="258">
        <v>8</v>
      </c>
      <c r="P564" s="70" t="s">
        <v>251</v>
      </c>
      <c r="Q564" s="70" t="s">
        <v>233</v>
      </c>
      <c r="R564" s="70" t="s">
        <v>240</v>
      </c>
      <c r="S564" s="70" t="s">
        <v>233</v>
      </c>
      <c r="T564" s="70" t="s">
        <v>233</v>
      </c>
      <c r="U564" s="70" t="s">
        <v>1427</v>
      </c>
      <c r="V564" s="70" t="s">
        <v>240</v>
      </c>
      <c r="W564" s="12"/>
      <c r="X564" s="242">
        <v>1130.69</v>
      </c>
      <c r="Y564" s="242">
        <v>1075.4199999999998</v>
      </c>
      <c r="Z564" s="242">
        <v>166.79</v>
      </c>
      <c r="AA564" s="157" t="s">
        <v>252</v>
      </c>
      <c r="AB564" s="242">
        <v>127.54</v>
      </c>
      <c r="AC564" s="157" t="s">
        <v>252</v>
      </c>
      <c r="AD564" s="242">
        <v>165.52</v>
      </c>
      <c r="AE564" s="157" t="s">
        <v>252</v>
      </c>
      <c r="AF564" s="242">
        <v>109.8</v>
      </c>
      <c r="AG564" s="157" t="s">
        <v>252</v>
      </c>
      <c r="AH564" s="242">
        <v>43.5</v>
      </c>
      <c r="AI564" s="157" t="s">
        <v>252</v>
      </c>
      <c r="AJ564" s="242">
        <v>20.66</v>
      </c>
      <c r="AK564" s="242" t="s">
        <v>252</v>
      </c>
      <c r="AL564" s="242">
        <v>16.47</v>
      </c>
      <c r="AM564" s="242" t="s">
        <v>252</v>
      </c>
      <c r="AN564" s="242">
        <v>16.96</v>
      </c>
      <c r="AO564" s="242" t="s">
        <v>252</v>
      </c>
      <c r="AP564" s="242">
        <v>22.15</v>
      </c>
      <c r="AQ564" s="242" t="s">
        <v>252</v>
      </c>
      <c r="AR564" s="242">
        <v>121.16</v>
      </c>
      <c r="AS564" s="242" t="s">
        <v>252</v>
      </c>
      <c r="AT564" s="242">
        <v>87.75</v>
      </c>
      <c r="AU564" s="242" t="s">
        <v>252</v>
      </c>
      <c r="AV564" s="242">
        <v>132.63</v>
      </c>
      <c r="AW564" s="157" t="s">
        <v>252</v>
      </c>
      <c r="AX564" s="157">
        <v>3237.0399999999995</v>
      </c>
      <c r="AY564" s="240">
        <v>0.46</v>
      </c>
      <c r="AZ564" s="156" t="s">
        <v>253</v>
      </c>
      <c r="BA564" s="156" t="s">
        <v>254</v>
      </c>
      <c r="BB564" s="156">
        <v>0</v>
      </c>
      <c r="BC564" s="156" t="s">
        <v>1423</v>
      </c>
      <c r="BD564" s="3"/>
    </row>
    <row r="565" spans="1:56" ht="15.75" hidden="1" customHeight="1" outlineLevel="1">
      <c r="A565" s="58">
        <v>555</v>
      </c>
      <c r="B565" s="11">
        <v>129555</v>
      </c>
      <c r="C565" s="89" t="s">
        <v>341</v>
      </c>
      <c r="D565" s="157">
        <v>141</v>
      </c>
      <c r="E565" s="12" t="s">
        <v>191</v>
      </c>
      <c r="F565" s="11" t="s">
        <v>246</v>
      </c>
      <c r="G565" s="18" t="s">
        <v>247</v>
      </c>
      <c r="H565" s="11" t="s">
        <v>248</v>
      </c>
      <c r="I565" s="87" t="s">
        <v>249</v>
      </c>
      <c r="J565" s="19" t="s">
        <v>139</v>
      </c>
      <c r="K565" s="17" t="s">
        <v>140</v>
      </c>
      <c r="L565" s="260">
        <v>1</v>
      </c>
      <c r="M565" s="70" t="s">
        <v>250</v>
      </c>
      <c r="N565" s="70">
        <v>100</v>
      </c>
      <c r="O565" s="258">
        <v>8</v>
      </c>
      <c r="P565" s="70" t="s">
        <v>251</v>
      </c>
      <c r="Q565" s="70" t="s">
        <v>233</v>
      </c>
      <c r="R565" s="70" t="s">
        <v>240</v>
      </c>
      <c r="S565" s="70" t="s">
        <v>233</v>
      </c>
      <c r="T565" s="70" t="s">
        <v>233</v>
      </c>
      <c r="U565" s="70" t="s">
        <v>1427</v>
      </c>
      <c r="V565" s="70" t="s">
        <v>240</v>
      </c>
      <c r="W565" s="12"/>
      <c r="X565" s="242">
        <v>1323.6593485605895</v>
      </c>
      <c r="Y565" s="242">
        <v>1100.6284916322538</v>
      </c>
      <c r="Z565" s="242">
        <v>213.6773410918575</v>
      </c>
      <c r="AA565" s="157" t="s">
        <v>252</v>
      </c>
      <c r="AB565" s="242">
        <v>143.71002232716208</v>
      </c>
      <c r="AC565" s="157" t="s">
        <v>252</v>
      </c>
      <c r="AD565" s="242">
        <v>197.66970954930747</v>
      </c>
      <c r="AE565" s="157" t="s">
        <v>252</v>
      </c>
      <c r="AF565" s="242">
        <v>123.22855979925313</v>
      </c>
      <c r="AG565" s="157" t="s">
        <v>252</v>
      </c>
      <c r="AH565" s="242">
        <v>49.627433166702893</v>
      </c>
      <c r="AI565" s="157" t="s">
        <v>252</v>
      </c>
      <c r="AJ565" s="242">
        <v>17.442277765703111</v>
      </c>
      <c r="AK565" s="242" t="s">
        <v>252</v>
      </c>
      <c r="AL565" s="242">
        <v>16.262470016399597</v>
      </c>
      <c r="AM565" s="242" t="s">
        <v>252</v>
      </c>
      <c r="AN565" s="242">
        <v>20.368200983975814</v>
      </c>
      <c r="AO565" s="242" t="s">
        <v>252</v>
      </c>
      <c r="AP565" s="242">
        <v>27.211085929936178</v>
      </c>
      <c r="AQ565" s="242" t="s">
        <v>252</v>
      </c>
      <c r="AR565" s="242">
        <v>137.63165280275041</v>
      </c>
      <c r="AS565" s="242" t="s">
        <v>252</v>
      </c>
      <c r="AT565" s="242">
        <v>124.39892908656222</v>
      </c>
      <c r="AU565" s="242" t="s">
        <v>252</v>
      </c>
      <c r="AV565" s="242">
        <v>187.37234751338642</v>
      </c>
      <c r="AW565" s="157" t="s">
        <v>252</v>
      </c>
      <c r="AX565" s="157">
        <v>3682.8878702258403</v>
      </c>
      <c r="AY565" s="240">
        <v>0.43794463654146337</v>
      </c>
      <c r="AZ565" s="156" t="s">
        <v>253</v>
      </c>
      <c r="BA565" s="156" t="s">
        <v>254</v>
      </c>
      <c r="BB565" s="156">
        <v>1</v>
      </c>
      <c r="BC565" s="157" t="s">
        <v>255</v>
      </c>
      <c r="BD565" s="3"/>
    </row>
    <row r="566" spans="1:56" ht="15.75" hidden="1" customHeight="1" outlineLevel="1">
      <c r="A566" s="58">
        <v>556</v>
      </c>
      <c r="B566" s="11">
        <v>129556</v>
      </c>
      <c r="C566" s="89" t="s">
        <v>341</v>
      </c>
      <c r="D566" s="157">
        <v>141</v>
      </c>
      <c r="E566" s="12" t="s">
        <v>231</v>
      </c>
      <c r="F566" s="11" t="s">
        <v>246</v>
      </c>
      <c r="G566" s="18" t="s">
        <v>247</v>
      </c>
      <c r="H566" s="11" t="s">
        <v>248</v>
      </c>
      <c r="I566" s="87" t="s">
        <v>249</v>
      </c>
      <c r="J566" s="19" t="s">
        <v>139</v>
      </c>
      <c r="K566" s="17" t="s">
        <v>140</v>
      </c>
      <c r="L566" s="257">
        <v>0</v>
      </c>
      <c r="M566" s="70" t="s">
        <v>250</v>
      </c>
      <c r="N566" s="70">
        <v>80</v>
      </c>
      <c r="O566" s="258">
        <v>8</v>
      </c>
      <c r="P566" s="70" t="s">
        <v>251</v>
      </c>
      <c r="Q566" s="70" t="s">
        <v>233</v>
      </c>
      <c r="R566" s="70" t="s">
        <v>240</v>
      </c>
      <c r="S566" s="70" t="s">
        <v>233</v>
      </c>
      <c r="T566" s="70" t="s">
        <v>233</v>
      </c>
      <c r="U566" s="70" t="s">
        <v>1427</v>
      </c>
      <c r="V566" s="70" t="s">
        <v>240</v>
      </c>
      <c r="W566" s="12"/>
      <c r="X566" s="242">
        <v>78.750651439410404</v>
      </c>
      <c r="Y566" s="242">
        <v>65.481508367746144</v>
      </c>
      <c r="Z566" s="242">
        <v>12.712658908142499</v>
      </c>
      <c r="AA566" s="157" t="s">
        <v>252</v>
      </c>
      <c r="AB566" s="242">
        <v>8.5499776728379207</v>
      </c>
      <c r="AC566" s="157" t="s">
        <v>252</v>
      </c>
      <c r="AD566" s="242">
        <v>11.760290450692539</v>
      </c>
      <c r="AE566" s="157" t="s">
        <v>252</v>
      </c>
      <c r="AF566" s="242">
        <v>7.331440200746874</v>
      </c>
      <c r="AG566" s="157" t="s">
        <v>252</v>
      </c>
      <c r="AH566" s="242">
        <v>2.9525668332971096</v>
      </c>
      <c r="AI566" s="157" t="s">
        <v>252</v>
      </c>
      <c r="AJ566" s="242">
        <v>1.0377222342968921</v>
      </c>
      <c r="AK566" s="242" t="s">
        <v>252</v>
      </c>
      <c r="AL566" s="242">
        <v>0.96752998360040321</v>
      </c>
      <c r="AM566" s="242" t="s">
        <v>252</v>
      </c>
      <c r="AN566" s="242">
        <v>1.2117990160241845</v>
      </c>
      <c r="AO566" s="242" t="s">
        <v>252</v>
      </c>
      <c r="AP566" s="242">
        <v>1.6189140700638203</v>
      </c>
      <c r="AQ566" s="242" t="s">
        <v>252</v>
      </c>
      <c r="AR566" s="242">
        <v>8.1883471972496125</v>
      </c>
      <c r="AS566" s="242" t="s">
        <v>252</v>
      </c>
      <c r="AT566" s="242">
        <v>7.4010709134377919</v>
      </c>
      <c r="AU566" s="242" t="s">
        <v>252</v>
      </c>
      <c r="AV566" s="242">
        <v>11.147652486613582</v>
      </c>
      <c r="AW566" s="157" t="s">
        <v>252</v>
      </c>
      <c r="AX566" s="157">
        <v>219.11212977415977</v>
      </c>
      <c r="AY566" s="240">
        <v>2.6055363458536686E-2</v>
      </c>
      <c r="AZ566" s="156" t="s">
        <v>253</v>
      </c>
      <c r="BA566" s="156" t="s">
        <v>254</v>
      </c>
      <c r="BB566" s="156">
        <v>0</v>
      </c>
      <c r="BC566" s="157" t="s">
        <v>255</v>
      </c>
      <c r="BD566" s="3"/>
    </row>
    <row r="567" spans="1:56" ht="15.75" hidden="1" customHeight="1" outlineLevel="1">
      <c r="A567" s="58">
        <v>557</v>
      </c>
      <c r="B567" s="11">
        <v>129557</v>
      </c>
      <c r="C567" s="89" t="s">
        <v>341</v>
      </c>
      <c r="D567" s="157">
        <v>145</v>
      </c>
      <c r="E567" s="12" t="s">
        <v>191</v>
      </c>
      <c r="F567" s="11" t="s">
        <v>246</v>
      </c>
      <c r="G567" s="18" t="s">
        <v>247</v>
      </c>
      <c r="H567" s="11" t="s">
        <v>248</v>
      </c>
      <c r="I567" s="87" t="s">
        <v>249</v>
      </c>
      <c r="J567" s="19" t="s">
        <v>139</v>
      </c>
      <c r="K567" s="17" t="s">
        <v>140</v>
      </c>
      <c r="L567" s="260">
        <v>1</v>
      </c>
      <c r="M567" s="70" t="s">
        <v>250</v>
      </c>
      <c r="N567" s="70">
        <v>100</v>
      </c>
      <c r="O567" s="258">
        <v>8</v>
      </c>
      <c r="P567" s="70" t="s">
        <v>251</v>
      </c>
      <c r="Q567" s="70" t="s">
        <v>233</v>
      </c>
      <c r="R567" s="70" t="s">
        <v>240</v>
      </c>
      <c r="S567" s="70" t="s">
        <v>233</v>
      </c>
      <c r="T567" s="70" t="s">
        <v>233</v>
      </c>
      <c r="U567" s="70" t="s">
        <v>1427</v>
      </c>
      <c r="V567" s="70" t="s">
        <v>240</v>
      </c>
      <c r="W567" s="12"/>
      <c r="X567" s="242">
        <v>412.44988362806623</v>
      </c>
      <c r="Y567" s="242">
        <v>622.40343867655452</v>
      </c>
      <c r="Z567" s="242">
        <v>95.492094694808898</v>
      </c>
      <c r="AA567" s="157" t="s">
        <v>252</v>
      </c>
      <c r="AB567" s="242">
        <v>65.384551055333716</v>
      </c>
      <c r="AC567" s="157" t="s">
        <v>252</v>
      </c>
      <c r="AD567" s="242">
        <v>67.459669138619518</v>
      </c>
      <c r="AE567" s="157" t="s">
        <v>252</v>
      </c>
      <c r="AF567" s="242">
        <v>44.138421563034804</v>
      </c>
      <c r="AG567" s="157" t="s">
        <v>252</v>
      </c>
      <c r="AH567" s="242">
        <v>22.239693097547065</v>
      </c>
      <c r="AI567" s="157" t="s">
        <v>252</v>
      </c>
      <c r="AJ567" s="242">
        <v>12.593693667997719</v>
      </c>
      <c r="AK567" s="242" t="s">
        <v>252</v>
      </c>
      <c r="AL567" s="242">
        <v>12.395714204221337</v>
      </c>
      <c r="AM567" s="242" t="s">
        <v>252</v>
      </c>
      <c r="AN567" s="242">
        <v>13.033648031945237</v>
      </c>
      <c r="AO567" s="242" t="s">
        <v>252</v>
      </c>
      <c r="AP567" s="242">
        <v>11.893432972047918</v>
      </c>
      <c r="AQ567" s="242" t="s">
        <v>252</v>
      </c>
      <c r="AR567" s="242">
        <v>50.411437535653171</v>
      </c>
      <c r="AS567" s="242" t="s">
        <v>252</v>
      </c>
      <c r="AT567" s="242">
        <v>50.371108385624645</v>
      </c>
      <c r="AU567" s="242" t="s">
        <v>252</v>
      </c>
      <c r="AV567" s="242">
        <v>71.063628636622951</v>
      </c>
      <c r="AW567" s="157" t="s">
        <v>252</v>
      </c>
      <c r="AX567" s="157">
        <v>1551.330415288078</v>
      </c>
      <c r="AY567" s="240">
        <v>0.11732116371933829</v>
      </c>
      <c r="AZ567" s="156" t="s">
        <v>253</v>
      </c>
      <c r="BA567" s="156" t="s">
        <v>254</v>
      </c>
      <c r="BB567" s="156">
        <v>1</v>
      </c>
      <c r="BC567" s="156" t="s">
        <v>1423</v>
      </c>
      <c r="BD567" s="3"/>
    </row>
    <row r="568" spans="1:56" ht="15.75" hidden="1" customHeight="1" outlineLevel="1">
      <c r="A568" s="58">
        <v>558</v>
      </c>
      <c r="B568" s="11">
        <v>129558</v>
      </c>
      <c r="C568" s="89" t="s">
        <v>341</v>
      </c>
      <c r="D568" s="157">
        <v>145</v>
      </c>
      <c r="E568" s="12" t="s">
        <v>261</v>
      </c>
      <c r="F568" s="11" t="s">
        <v>246</v>
      </c>
      <c r="G568" s="18" t="s">
        <v>247</v>
      </c>
      <c r="H568" s="11" t="s">
        <v>248</v>
      </c>
      <c r="I568" s="87" t="s">
        <v>249</v>
      </c>
      <c r="J568" s="19" t="s">
        <v>139</v>
      </c>
      <c r="K568" s="17" t="s">
        <v>140</v>
      </c>
      <c r="L568" s="257">
        <v>0</v>
      </c>
      <c r="M568" s="70" t="s">
        <v>250</v>
      </c>
      <c r="N568" s="70">
        <v>100</v>
      </c>
      <c r="O568" s="258">
        <v>8</v>
      </c>
      <c r="P568" s="70" t="s">
        <v>251</v>
      </c>
      <c r="Q568" s="70" t="s">
        <v>233</v>
      </c>
      <c r="R568" s="70" t="s">
        <v>240</v>
      </c>
      <c r="S568" s="70" t="s">
        <v>233</v>
      </c>
      <c r="T568" s="70" t="s">
        <v>233</v>
      </c>
      <c r="U568" s="70" t="s">
        <v>1427</v>
      </c>
      <c r="V568" s="70" t="s">
        <v>240</v>
      </c>
      <c r="W568" s="12"/>
      <c r="X568" s="242">
        <v>712.5301163719339</v>
      </c>
      <c r="Y568" s="242">
        <v>1075.2365613234454</v>
      </c>
      <c r="Z568" s="242">
        <v>164.9679053051911</v>
      </c>
      <c r="AA568" s="157" t="s">
        <v>252</v>
      </c>
      <c r="AB568" s="242">
        <v>112.95544894466629</v>
      </c>
      <c r="AC568" s="157" t="s">
        <v>252</v>
      </c>
      <c r="AD568" s="242">
        <v>116.5403308613805</v>
      </c>
      <c r="AE568" s="157" t="s">
        <v>252</v>
      </c>
      <c r="AF568" s="242">
        <v>76.251578436965204</v>
      </c>
      <c r="AG568" s="157" t="s">
        <v>252</v>
      </c>
      <c r="AH568" s="242">
        <v>38.420306902452936</v>
      </c>
      <c r="AI568" s="157" t="s">
        <v>252</v>
      </c>
      <c r="AJ568" s="242">
        <v>21.756306332002282</v>
      </c>
      <c r="AK568" s="242" t="s">
        <v>252</v>
      </c>
      <c r="AL568" s="242">
        <v>21.414285795778667</v>
      </c>
      <c r="AM568" s="242" t="s">
        <v>252</v>
      </c>
      <c r="AN568" s="242">
        <v>22.516351968054764</v>
      </c>
      <c r="AO568" s="242" t="s">
        <v>252</v>
      </c>
      <c r="AP568" s="242">
        <v>20.546567027952083</v>
      </c>
      <c r="AQ568" s="242" t="s">
        <v>252</v>
      </c>
      <c r="AR568" s="242">
        <v>87.088562464346836</v>
      </c>
      <c r="AS568" s="242" t="s">
        <v>252</v>
      </c>
      <c r="AT568" s="242">
        <v>87.018891614375349</v>
      </c>
      <c r="AU568" s="242" t="s">
        <v>252</v>
      </c>
      <c r="AV568" s="242">
        <v>122.76637136337708</v>
      </c>
      <c r="AW568" s="157" t="s">
        <v>252</v>
      </c>
      <c r="AX568" s="157">
        <v>2680.0095847119219</v>
      </c>
      <c r="AY568" s="243">
        <v>0.20267883628066174</v>
      </c>
      <c r="AZ568" s="156" t="s">
        <v>253</v>
      </c>
      <c r="BA568" s="156" t="s">
        <v>254</v>
      </c>
      <c r="BB568" s="156">
        <v>0</v>
      </c>
      <c r="BC568" s="156" t="s">
        <v>1423</v>
      </c>
      <c r="BD568" s="3"/>
    </row>
    <row r="569" spans="1:56" ht="15.75" hidden="1" customHeight="1" outlineLevel="1">
      <c r="A569" s="58">
        <v>559</v>
      </c>
      <c r="B569" s="11">
        <v>129559</v>
      </c>
      <c r="C569" s="89" t="s">
        <v>341</v>
      </c>
      <c r="D569" s="157" t="s">
        <v>343</v>
      </c>
      <c r="E569" s="12" t="s">
        <v>344</v>
      </c>
      <c r="F569" s="11" t="s">
        <v>246</v>
      </c>
      <c r="G569" s="18" t="s">
        <v>247</v>
      </c>
      <c r="H569" s="11" t="s">
        <v>248</v>
      </c>
      <c r="I569" s="87" t="s">
        <v>249</v>
      </c>
      <c r="J569" s="19" t="s">
        <v>139</v>
      </c>
      <c r="K569" s="17" t="s">
        <v>140</v>
      </c>
      <c r="L569" s="260">
        <v>1</v>
      </c>
      <c r="M569" s="70" t="s">
        <v>250</v>
      </c>
      <c r="N569" s="70">
        <v>100</v>
      </c>
      <c r="O569" s="258">
        <v>8</v>
      </c>
      <c r="P569" s="70" t="s">
        <v>251</v>
      </c>
      <c r="Q569" s="70" t="s">
        <v>233</v>
      </c>
      <c r="R569" s="70" t="s">
        <v>240</v>
      </c>
      <c r="S569" s="70" t="s">
        <v>233</v>
      </c>
      <c r="T569" s="70" t="s">
        <v>233</v>
      </c>
      <c r="U569" s="70" t="s">
        <v>1427</v>
      </c>
      <c r="V569" s="70" t="s">
        <v>240</v>
      </c>
      <c r="W569" s="12"/>
      <c r="X569" s="242">
        <v>112.41661461586509</v>
      </c>
      <c r="Y569" s="242">
        <v>106.3407870081199</v>
      </c>
      <c r="Z569" s="242">
        <v>15.055777638975639</v>
      </c>
      <c r="AA569" s="157" t="s">
        <v>252</v>
      </c>
      <c r="AB569" s="242">
        <v>11.155652717051842</v>
      </c>
      <c r="AC569" s="157" t="s">
        <v>252</v>
      </c>
      <c r="AD569" s="242">
        <v>13.725296689569017</v>
      </c>
      <c r="AE569" s="157" t="s">
        <v>252</v>
      </c>
      <c r="AF569" s="242">
        <v>9.4991880074953148</v>
      </c>
      <c r="AG569" s="157" t="s">
        <v>252</v>
      </c>
      <c r="AH569" s="242">
        <v>4.5903185509056836</v>
      </c>
      <c r="AI569" s="157" t="s">
        <v>252</v>
      </c>
      <c r="AJ569" s="242">
        <v>1.9782011242973141</v>
      </c>
      <c r="AK569" s="242" t="s">
        <v>252</v>
      </c>
      <c r="AL569" s="242">
        <v>2.3190505933791381</v>
      </c>
      <c r="AM569" s="242" t="s">
        <v>252</v>
      </c>
      <c r="AN569" s="242">
        <v>1.905996252342286</v>
      </c>
      <c r="AO569" s="242" t="s">
        <v>252</v>
      </c>
      <c r="AP569" s="242">
        <v>3.9436602123672704</v>
      </c>
      <c r="AQ569" s="242" t="s">
        <v>252</v>
      </c>
      <c r="AR569" s="242">
        <v>12.492504684572143</v>
      </c>
      <c r="AS569" s="242" t="s">
        <v>252</v>
      </c>
      <c r="AT569" s="242">
        <v>8.7261711430356037</v>
      </c>
      <c r="AU569" s="242" t="s">
        <v>252</v>
      </c>
      <c r="AV569" s="242">
        <v>12.794066208619611</v>
      </c>
      <c r="AW569" s="157" t="s">
        <v>252</v>
      </c>
      <c r="AX569" s="157">
        <v>316.94328544659589</v>
      </c>
      <c r="AY569" s="240">
        <v>5.3091817613991253E-2</v>
      </c>
      <c r="AZ569" s="156" t="s">
        <v>253</v>
      </c>
      <c r="BA569" s="156" t="s">
        <v>254</v>
      </c>
      <c r="BB569" s="156">
        <v>1</v>
      </c>
      <c r="BC569" s="156" t="s">
        <v>1423</v>
      </c>
      <c r="BD569" s="3"/>
    </row>
    <row r="570" spans="1:56" ht="15.75" hidden="1" customHeight="1" outlineLevel="1">
      <c r="A570" s="58">
        <v>560</v>
      </c>
      <c r="B570" s="11">
        <v>129560</v>
      </c>
      <c r="C570" s="89" t="s">
        <v>341</v>
      </c>
      <c r="D570" s="157" t="s">
        <v>343</v>
      </c>
      <c r="E570" s="12" t="s">
        <v>191</v>
      </c>
      <c r="F570" s="11" t="s">
        <v>246</v>
      </c>
      <c r="G570" s="18" t="s">
        <v>247</v>
      </c>
      <c r="H570" s="11" t="s">
        <v>248</v>
      </c>
      <c r="I570" s="87" t="s">
        <v>249</v>
      </c>
      <c r="J570" s="19" t="s">
        <v>139</v>
      </c>
      <c r="K570" s="17" t="s">
        <v>140</v>
      </c>
      <c r="L570" s="257">
        <v>0</v>
      </c>
      <c r="M570" s="70" t="s">
        <v>250</v>
      </c>
      <c r="N570" s="70">
        <v>80</v>
      </c>
      <c r="O570" s="258">
        <v>8</v>
      </c>
      <c r="P570" s="70" t="s">
        <v>251</v>
      </c>
      <c r="Q570" s="70" t="s">
        <v>233</v>
      </c>
      <c r="R570" s="70" t="s">
        <v>240</v>
      </c>
      <c r="S570" s="70" t="s">
        <v>233</v>
      </c>
      <c r="T570" s="70" t="s">
        <v>233</v>
      </c>
      <c r="U570" s="70" t="s">
        <v>1427</v>
      </c>
      <c r="V570" s="70" t="s">
        <v>240</v>
      </c>
      <c r="W570" s="12"/>
      <c r="X570" s="242">
        <v>287.25751405371648</v>
      </c>
      <c r="Y570" s="242">
        <v>271.73198750780762</v>
      </c>
      <c r="Z570" s="242">
        <v>38.471940037476578</v>
      </c>
      <c r="AA570" s="157" t="s">
        <v>252</v>
      </c>
      <c r="AB570" s="242">
        <v>28.505973766396007</v>
      </c>
      <c r="AC570" s="157" t="s">
        <v>252</v>
      </c>
      <c r="AD570" s="242">
        <v>35.072169893816366</v>
      </c>
      <c r="AE570" s="157" t="s">
        <v>252</v>
      </c>
      <c r="AF570" s="242">
        <v>24.273219237976264</v>
      </c>
      <c r="AG570" s="157" t="s">
        <v>252</v>
      </c>
      <c r="AH570" s="242">
        <v>11.729613991255466</v>
      </c>
      <c r="AI570" s="157" t="s">
        <v>252</v>
      </c>
      <c r="AJ570" s="242">
        <v>5.0548856964397251</v>
      </c>
      <c r="AK570" s="242" t="s">
        <v>252</v>
      </c>
      <c r="AL570" s="242">
        <v>5.9258563397876332</v>
      </c>
      <c r="AM570" s="242" t="s">
        <v>252</v>
      </c>
      <c r="AN570" s="242">
        <v>4.8703810118675834</v>
      </c>
      <c r="AO570" s="242" t="s">
        <v>252</v>
      </c>
      <c r="AP570" s="242">
        <v>10.077211742660838</v>
      </c>
      <c r="AQ570" s="242" t="s">
        <v>252</v>
      </c>
      <c r="AR570" s="242">
        <v>31.922023735165524</v>
      </c>
      <c r="AS570" s="242" t="s">
        <v>252</v>
      </c>
      <c r="AT570" s="242">
        <v>22.297933791380391</v>
      </c>
      <c r="AU570" s="242" t="s">
        <v>252</v>
      </c>
      <c r="AV570" s="242">
        <v>32.692602123672707</v>
      </c>
      <c r="AW570" s="157" t="s">
        <v>252</v>
      </c>
      <c r="AX570" s="157">
        <v>809.88331292941928</v>
      </c>
      <c r="AY570" s="243">
        <v>0.13566520924422237</v>
      </c>
      <c r="AZ570" s="156" t="s">
        <v>253</v>
      </c>
      <c r="BA570" s="156" t="s">
        <v>254</v>
      </c>
      <c r="BB570" s="156">
        <v>0</v>
      </c>
      <c r="BC570" s="156" t="s">
        <v>1423</v>
      </c>
      <c r="BD570" s="3"/>
    </row>
    <row r="571" spans="1:56" ht="15.75" hidden="1" customHeight="1" outlineLevel="1">
      <c r="A571" s="58">
        <v>561</v>
      </c>
      <c r="B571" s="11">
        <v>129561</v>
      </c>
      <c r="C571" s="89" t="s">
        <v>341</v>
      </c>
      <c r="D571" s="157" t="s">
        <v>343</v>
      </c>
      <c r="E571" s="12" t="s">
        <v>231</v>
      </c>
      <c r="F571" s="11" t="s">
        <v>246</v>
      </c>
      <c r="G571" s="18" t="s">
        <v>247</v>
      </c>
      <c r="H571" s="11" t="s">
        <v>248</v>
      </c>
      <c r="I571" s="87" t="s">
        <v>249</v>
      </c>
      <c r="J571" s="19" t="s">
        <v>139</v>
      </c>
      <c r="K571" s="17" t="s">
        <v>140</v>
      </c>
      <c r="L571" s="257">
        <v>0</v>
      </c>
      <c r="M571" s="70" t="s">
        <v>250</v>
      </c>
      <c r="N571" s="70">
        <v>80</v>
      </c>
      <c r="O571" s="258">
        <v>8</v>
      </c>
      <c r="P571" s="70" t="s">
        <v>251</v>
      </c>
      <c r="Q571" s="70" t="s">
        <v>233</v>
      </c>
      <c r="R571" s="70" t="s">
        <v>240</v>
      </c>
      <c r="S571" s="70" t="s">
        <v>233</v>
      </c>
      <c r="T571" s="70" t="s">
        <v>233</v>
      </c>
      <c r="U571" s="70" t="s">
        <v>1427</v>
      </c>
      <c r="V571" s="70" t="s">
        <v>240</v>
      </c>
      <c r="W571" s="12"/>
      <c r="X571" s="242">
        <v>317.01485321673954</v>
      </c>
      <c r="Y571" s="242">
        <v>299.88101936289814</v>
      </c>
      <c r="Z571" s="242">
        <v>42.457292941911305</v>
      </c>
      <c r="AA571" s="157" t="s">
        <v>252</v>
      </c>
      <c r="AB571" s="242">
        <v>31.458940662086196</v>
      </c>
      <c r="AC571" s="157" t="s">
        <v>252</v>
      </c>
      <c r="AD571" s="242">
        <v>38.705336664584628</v>
      </c>
      <c r="AE571" s="157" t="s">
        <v>252</v>
      </c>
      <c r="AF571" s="242">
        <v>26.787710181136788</v>
      </c>
      <c r="AG571" s="157" t="s">
        <v>252</v>
      </c>
      <c r="AH571" s="242">
        <v>12.944698313554028</v>
      </c>
      <c r="AI571" s="157" t="s">
        <v>252</v>
      </c>
      <c r="AJ571" s="242">
        <v>5.5785271705184254</v>
      </c>
      <c r="AK571" s="242" t="s">
        <v>252</v>
      </c>
      <c r="AL571" s="242">
        <v>6.5397226733291696</v>
      </c>
      <c r="AM571" s="242" t="s">
        <v>252</v>
      </c>
      <c r="AN571" s="242">
        <v>5.3749094316052464</v>
      </c>
      <c r="AO571" s="242" t="s">
        <v>252</v>
      </c>
      <c r="AP571" s="242">
        <v>11.121121798875702</v>
      </c>
      <c r="AQ571" s="242" t="s">
        <v>252</v>
      </c>
      <c r="AR571" s="242">
        <v>35.228863210493444</v>
      </c>
      <c r="AS571" s="242" t="s">
        <v>252</v>
      </c>
      <c r="AT571" s="242">
        <v>24.607802623360403</v>
      </c>
      <c r="AU571" s="242" t="s">
        <v>252</v>
      </c>
      <c r="AV571" s="242">
        <v>36.079266708307308</v>
      </c>
      <c r="AW571" s="157" t="s">
        <v>252</v>
      </c>
      <c r="AX571" s="157">
        <v>893.78006495940019</v>
      </c>
      <c r="AY571" s="243">
        <v>0.14971892567145534</v>
      </c>
      <c r="AZ571" s="156" t="s">
        <v>253</v>
      </c>
      <c r="BA571" s="156" t="s">
        <v>254</v>
      </c>
      <c r="BB571" s="156">
        <v>0</v>
      </c>
      <c r="BC571" s="156" t="s">
        <v>1423</v>
      </c>
      <c r="BD571" s="3"/>
    </row>
    <row r="572" spans="1:56" ht="15.75" hidden="1" customHeight="1" outlineLevel="1">
      <c r="A572" s="58">
        <v>562</v>
      </c>
      <c r="B572" s="11">
        <v>129562</v>
      </c>
      <c r="C572" s="89" t="s">
        <v>341</v>
      </c>
      <c r="D572" s="157" t="s">
        <v>343</v>
      </c>
      <c r="E572" s="12" t="s">
        <v>345</v>
      </c>
      <c r="F572" s="11" t="s">
        <v>246</v>
      </c>
      <c r="G572" s="18" t="s">
        <v>247</v>
      </c>
      <c r="H572" s="11" t="s">
        <v>248</v>
      </c>
      <c r="I572" s="87" t="s">
        <v>249</v>
      </c>
      <c r="J572" s="19" t="s">
        <v>139</v>
      </c>
      <c r="K572" s="17" t="s">
        <v>140</v>
      </c>
      <c r="L572" s="257">
        <v>0</v>
      </c>
      <c r="M572" s="70" t="s">
        <v>250</v>
      </c>
      <c r="N572" s="70">
        <v>100</v>
      </c>
      <c r="O572" s="258">
        <v>8</v>
      </c>
      <c r="P572" s="70" t="s">
        <v>251</v>
      </c>
      <c r="Q572" s="70" t="s">
        <v>233</v>
      </c>
      <c r="R572" s="70" t="s">
        <v>240</v>
      </c>
      <c r="S572" s="70" t="s">
        <v>233</v>
      </c>
      <c r="T572" s="70" t="s">
        <v>233</v>
      </c>
      <c r="U572" s="70" t="s">
        <v>1427</v>
      </c>
      <c r="V572" s="70" t="s">
        <v>240</v>
      </c>
      <c r="W572" s="12"/>
      <c r="X572" s="242">
        <v>124.76039975015615</v>
      </c>
      <c r="Y572" s="242">
        <v>118.01742244430562</v>
      </c>
      <c r="Z572" s="242">
        <v>16.708961066000416</v>
      </c>
      <c r="AA572" s="157" t="s">
        <v>252</v>
      </c>
      <c r="AB572" s="242">
        <v>12.380587133041848</v>
      </c>
      <c r="AC572" s="157" t="s">
        <v>252</v>
      </c>
      <c r="AD572" s="242">
        <v>15.232388090776597</v>
      </c>
      <c r="AE572" s="157" t="s">
        <v>252</v>
      </c>
      <c r="AF572" s="242">
        <v>10.542236102435977</v>
      </c>
      <c r="AG572" s="157" t="s">
        <v>252</v>
      </c>
      <c r="AH572" s="242">
        <v>5.0943535290443469</v>
      </c>
      <c r="AI572" s="157" t="s">
        <v>252</v>
      </c>
      <c r="AJ572" s="242">
        <v>2.1954153653966269</v>
      </c>
      <c r="AK572" s="242" t="s">
        <v>252</v>
      </c>
      <c r="AL572" s="242">
        <v>2.5736914428482196</v>
      </c>
      <c r="AM572" s="242" t="s">
        <v>252</v>
      </c>
      <c r="AN572" s="242">
        <v>2.1152821153445762</v>
      </c>
      <c r="AO572" s="242" t="s">
        <v>252</v>
      </c>
      <c r="AP572" s="242">
        <v>4.376689569019363</v>
      </c>
      <c r="AQ572" s="242" t="s">
        <v>252</v>
      </c>
      <c r="AR572" s="242">
        <v>13.864230689152613</v>
      </c>
      <c r="AS572" s="242" t="s">
        <v>252</v>
      </c>
      <c r="AT572" s="242">
        <v>9.6843389548199053</v>
      </c>
      <c r="AU572" s="242" t="s">
        <v>252</v>
      </c>
      <c r="AV572" s="242">
        <v>14.198904851134706</v>
      </c>
      <c r="AW572" s="157" t="s">
        <v>252</v>
      </c>
      <c r="AX572" s="157">
        <v>351.74490110347705</v>
      </c>
      <c r="AY572" s="243">
        <v>5.8921507391213823E-2</v>
      </c>
      <c r="AZ572" s="156" t="s">
        <v>253</v>
      </c>
      <c r="BA572" s="156" t="s">
        <v>254</v>
      </c>
      <c r="BB572" s="156">
        <v>0</v>
      </c>
      <c r="BC572" s="156" t="s">
        <v>1423</v>
      </c>
      <c r="BD572" s="3"/>
    </row>
    <row r="573" spans="1:56" ht="15.75" hidden="1" customHeight="1" outlineLevel="1">
      <c r="A573" s="58">
        <v>563</v>
      </c>
      <c r="B573" s="11">
        <v>129563</v>
      </c>
      <c r="C573" s="89" t="s">
        <v>341</v>
      </c>
      <c r="D573" s="157" t="s">
        <v>343</v>
      </c>
      <c r="E573" s="12" t="s">
        <v>262</v>
      </c>
      <c r="F573" s="11" t="s">
        <v>246</v>
      </c>
      <c r="G573" s="18" t="s">
        <v>247</v>
      </c>
      <c r="H573" s="11" t="s">
        <v>248</v>
      </c>
      <c r="I573" s="87" t="s">
        <v>249</v>
      </c>
      <c r="J573" s="19" t="s">
        <v>139</v>
      </c>
      <c r="K573" s="17" t="s">
        <v>140</v>
      </c>
      <c r="L573" s="257">
        <v>0</v>
      </c>
      <c r="M573" s="70" t="s">
        <v>250</v>
      </c>
      <c r="N573" s="70">
        <v>100</v>
      </c>
      <c r="O573" s="258">
        <v>8</v>
      </c>
      <c r="P573" s="70" t="s">
        <v>251</v>
      </c>
      <c r="Q573" s="70" t="s">
        <v>233</v>
      </c>
      <c r="R573" s="70" t="s">
        <v>240</v>
      </c>
      <c r="S573" s="70" t="s">
        <v>233</v>
      </c>
      <c r="T573" s="70" t="s">
        <v>233</v>
      </c>
      <c r="U573" s="70" t="s">
        <v>1427</v>
      </c>
      <c r="V573" s="70" t="s">
        <v>240</v>
      </c>
      <c r="W573" s="12"/>
      <c r="X573" s="242">
        <v>217.25061836352282</v>
      </c>
      <c r="Y573" s="242">
        <v>205.5087836768686</v>
      </c>
      <c r="Z573" s="242">
        <v>29.096028315636058</v>
      </c>
      <c r="AA573" s="157" t="s">
        <v>252</v>
      </c>
      <c r="AB573" s="242">
        <v>21.55884572142411</v>
      </c>
      <c r="AC573" s="157" t="s">
        <v>252</v>
      </c>
      <c r="AD573" s="242">
        <v>26.524808661253381</v>
      </c>
      <c r="AE573" s="157" t="s">
        <v>252</v>
      </c>
      <c r="AF573" s="242">
        <v>18.35764647095565</v>
      </c>
      <c r="AG573" s="157" t="s">
        <v>252</v>
      </c>
      <c r="AH573" s="242">
        <v>8.8710156152404736</v>
      </c>
      <c r="AI573" s="157" t="s">
        <v>252</v>
      </c>
      <c r="AJ573" s="242">
        <v>3.8229706433479071</v>
      </c>
      <c r="AK573" s="242" t="s">
        <v>252</v>
      </c>
      <c r="AL573" s="242">
        <v>4.4816789506558399</v>
      </c>
      <c r="AM573" s="242" t="s">
        <v>252</v>
      </c>
      <c r="AN573" s="242">
        <v>3.683431188840308</v>
      </c>
      <c r="AO573" s="242" t="s">
        <v>252</v>
      </c>
      <c r="AP573" s="242">
        <v>7.6213166770768268</v>
      </c>
      <c r="AQ573" s="242" t="s">
        <v>252</v>
      </c>
      <c r="AR573" s="242">
        <v>24.142377680616281</v>
      </c>
      <c r="AS573" s="242" t="s">
        <v>252</v>
      </c>
      <c r="AT573" s="242">
        <v>16.863753487403706</v>
      </c>
      <c r="AU573" s="242" t="s">
        <v>252</v>
      </c>
      <c r="AV573" s="242">
        <v>24.725160108265666</v>
      </c>
      <c r="AW573" s="157" t="s">
        <v>252</v>
      </c>
      <c r="AX573" s="157">
        <v>612.50843556110772</v>
      </c>
      <c r="AY573" s="243">
        <v>0.10260254007911722</v>
      </c>
      <c r="AZ573" s="156" t="s">
        <v>253</v>
      </c>
      <c r="BA573" s="156" t="s">
        <v>254</v>
      </c>
      <c r="BB573" s="156">
        <v>0</v>
      </c>
      <c r="BC573" s="156" t="s">
        <v>1423</v>
      </c>
      <c r="BD573" s="3"/>
    </row>
    <row r="574" spans="1:56" ht="15.75" hidden="1" customHeight="1" outlineLevel="1">
      <c r="A574" s="58">
        <v>564</v>
      </c>
      <c r="B574" s="11">
        <v>129564</v>
      </c>
      <c r="C574" s="89" t="s">
        <v>341</v>
      </c>
      <c r="D574" s="157" t="s">
        <v>346</v>
      </c>
      <c r="E574" s="12" t="s">
        <v>191</v>
      </c>
      <c r="F574" s="11" t="s">
        <v>246</v>
      </c>
      <c r="G574" s="18" t="s">
        <v>247</v>
      </c>
      <c r="H574" s="11" t="s">
        <v>248</v>
      </c>
      <c r="I574" s="87" t="s">
        <v>249</v>
      </c>
      <c r="J574" s="19" t="s">
        <v>139</v>
      </c>
      <c r="K574" s="17" t="s">
        <v>140</v>
      </c>
      <c r="L574" s="260">
        <v>1</v>
      </c>
      <c r="M574" s="70" t="s">
        <v>250</v>
      </c>
      <c r="N574" s="70">
        <v>80</v>
      </c>
      <c r="O574" s="258">
        <v>8</v>
      </c>
      <c r="P574" s="70" t="s">
        <v>251</v>
      </c>
      <c r="Q574" s="70" t="s">
        <v>233</v>
      </c>
      <c r="R574" s="70" t="s">
        <v>240</v>
      </c>
      <c r="S574" s="70" t="s">
        <v>233</v>
      </c>
      <c r="T574" s="70" t="s">
        <v>233</v>
      </c>
      <c r="U574" s="70" t="s">
        <v>1427</v>
      </c>
      <c r="V574" s="70" t="s">
        <v>240</v>
      </c>
      <c r="W574" s="12"/>
      <c r="X574" s="242">
        <v>879.34000000000015</v>
      </c>
      <c r="Y574" s="242">
        <v>846.8900000000001</v>
      </c>
      <c r="Z574" s="242">
        <v>141.88999999999999</v>
      </c>
      <c r="AA574" s="157" t="s">
        <v>252</v>
      </c>
      <c r="AB574" s="242">
        <v>105.59</v>
      </c>
      <c r="AC574" s="157" t="s">
        <v>252</v>
      </c>
      <c r="AD574" s="242">
        <v>124.01</v>
      </c>
      <c r="AE574" s="157" t="s">
        <v>252</v>
      </c>
      <c r="AF574" s="242">
        <v>96.22</v>
      </c>
      <c r="AG574" s="157" t="s">
        <v>252</v>
      </c>
      <c r="AH574" s="242">
        <v>30.63</v>
      </c>
      <c r="AI574" s="157" t="s">
        <v>252</v>
      </c>
      <c r="AJ574" s="242">
        <v>16.55</v>
      </c>
      <c r="AK574" s="242" t="s">
        <v>252</v>
      </c>
      <c r="AL574" s="242">
        <v>15.75</v>
      </c>
      <c r="AM574" s="242" t="s">
        <v>252</v>
      </c>
      <c r="AN574" s="242">
        <v>13.67</v>
      </c>
      <c r="AO574" s="242" t="s">
        <v>252</v>
      </c>
      <c r="AP574" s="242">
        <v>20.21</v>
      </c>
      <c r="AQ574" s="242" t="s">
        <v>252</v>
      </c>
      <c r="AR574" s="242">
        <v>92.2</v>
      </c>
      <c r="AS574" s="242" t="s">
        <v>252</v>
      </c>
      <c r="AT574" s="242">
        <v>73.81</v>
      </c>
      <c r="AU574" s="242" t="s">
        <v>252</v>
      </c>
      <c r="AV574" s="242">
        <v>100.44</v>
      </c>
      <c r="AW574" s="157" t="s">
        <v>252</v>
      </c>
      <c r="AX574" s="157">
        <v>2557.2000000000003</v>
      </c>
      <c r="AY574" s="240">
        <v>0.33</v>
      </c>
      <c r="AZ574" s="156" t="s">
        <v>253</v>
      </c>
      <c r="BA574" s="156" t="s">
        <v>254</v>
      </c>
      <c r="BB574" s="156">
        <v>1</v>
      </c>
      <c r="BC574" s="156" t="s">
        <v>1423</v>
      </c>
      <c r="BD574" s="3"/>
    </row>
    <row r="575" spans="1:56" ht="15.75" hidden="1" customHeight="1" outlineLevel="1">
      <c r="A575" s="58">
        <v>565</v>
      </c>
      <c r="B575" s="11">
        <v>129565</v>
      </c>
      <c r="C575" s="89" t="s">
        <v>341</v>
      </c>
      <c r="D575" s="157">
        <v>155</v>
      </c>
      <c r="E575" s="12" t="s">
        <v>191</v>
      </c>
      <c r="F575" s="11" t="s">
        <v>246</v>
      </c>
      <c r="G575" s="18" t="s">
        <v>247</v>
      </c>
      <c r="H575" s="11" t="s">
        <v>248</v>
      </c>
      <c r="I575" s="87" t="s">
        <v>249</v>
      </c>
      <c r="J575" s="19" t="s">
        <v>139</v>
      </c>
      <c r="K575" s="17" t="s">
        <v>140</v>
      </c>
      <c r="L575" s="257">
        <v>0</v>
      </c>
      <c r="M575" s="70" t="s">
        <v>250</v>
      </c>
      <c r="N575" s="70">
        <v>80</v>
      </c>
      <c r="O575" s="258">
        <v>8</v>
      </c>
      <c r="P575" s="70" t="s">
        <v>251</v>
      </c>
      <c r="Q575" s="70" t="s">
        <v>233</v>
      </c>
      <c r="R575" s="70" t="s">
        <v>240</v>
      </c>
      <c r="S575" s="70" t="s">
        <v>233</v>
      </c>
      <c r="T575" s="70" t="s">
        <v>233</v>
      </c>
      <c r="U575" s="70" t="s">
        <v>1427</v>
      </c>
      <c r="V575" s="70" t="s">
        <v>240</v>
      </c>
      <c r="W575" s="12"/>
      <c r="X575" s="242">
        <v>287.17308379758589</v>
      </c>
      <c r="Y575" s="242">
        <v>262.19899663416896</v>
      </c>
      <c r="Z575" s="242">
        <v>39.496998897400189</v>
      </c>
      <c r="AA575" s="157" t="s">
        <v>252</v>
      </c>
      <c r="AB575" s="242">
        <v>30.35872707753018</v>
      </c>
      <c r="AC575" s="157" t="s">
        <v>252</v>
      </c>
      <c r="AD575" s="242">
        <v>37.877558321727015</v>
      </c>
      <c r="AE575" s="157" t="s">
        <v>252</v>
      </c>
      <c r="AF575" s="242">
        <v>25.720186571494892</v>
      </c>
      <c r="AG575" s="157" t="s">
        <v>252</v>
      </c>
      <c r="AH575" s="242">
        <v>13.01914548514392</v>
      </c>
      <c r="AI575" s="157" t="s">
        <v>252</v>
      </c>
      <c r="AJ575" s="242">
        <v>4.1411409006499538</v>
      </c>
      <c r="AK575" s="242" t="s">
        <v>252</v>
      </c>
      <c r="AL575" s="242">
        <v>3.4239600742804086</v>
      </c>
      <c r="AM575" s="242" t="s">
        <v>252</v>
      </c>
      <c r="AN575" s="242">
        <v>3.4586623723305481</v>
      </c>
      <c r="AO575" s="242" t="s">
        <v>252</v>
      </c>
      <c r="AP575" s="242">
        <v>4.6963776694521817</v>
      </c>
      <c r="AQ575" s="242" t="s">
        <v>252</v>
      </c>
      <c r="AR575" s="242">
        <v>26.876929839832869</v>
      </c>
      <c r="AS575" s="242" t="s">
        <v>252</v>
      </c>
      <c r="AT575" s="242">
        <v>27.975835944753946</v>
      </c>
      <c r="AU575" s="242" t="s">
        <v>252</v>
      </c>
      <c r="AV575" s="242">
        <v>30.214134168987933</v>
      </c>
      <c r="AW575" s="157" t="s">
        <v>252</v>
      </c>
      <c r="AX575" s="157">
        <v>796.63173775533892</v>
      </c>
      <c r="AY575" s="240">
        <v>0.10989061049210772</v>
      </c>
      <c r="AZ575" s="156" t="s">
        <v>253</v>
      </c>
      <c r="BA575" s="156" t="s">
        <v>254</v>
      </c>
      <c r="BB575" s="156">
        <v>0</v>
      </c>
      <c r="BC575" s="156" t="s">
        <v>1423</v>
      </c>
      <c r="BD575" s="3"/>
    </row>
    <row r="576" spans="1:56" ht="15.75" hidden="1" customHeight="1" outlineLevel="1">
      <c r="A576" s="58">
        <v>566</v>
      </c>
      <c r="B576" s="11">
        <v>129566</v>
      </c>
      <c r="C576" s="89" t="s">
        <v>341</v>
      </c>
      <c r="D576" s="157">
        <v>155</v>
      </c>
      <c r="E576" s="12" t="s">
        <v>231</v>
      </c>
      <c r="F576" s="11" t="s">
        <v>246</v>
      </c>
      <c r="G576" s="18" t="s">
        <v>247</v>
      </c>
      <c r="H576" s="11" t="s">
        <v>248</v>
      </c>
      <c r="I576" s="87" t="s">
        <v>249</v>
      </c>
      <c r="J576" s="19" t="s">
        <v>139</v>
      </c>
      <c r="K576" s="17" t="s">
        <v>140</v>
      </c>
      <c r="L576" s="257">
        <v>0</v>
      </c>
      <c r="M576" s="70" t="s">
        <v>250</v>
      </c>
      <c r="N576" s="70">
        <v>80</v>
      </c>
      <c r="O576" s="258">
        <v>8</v>
      </c>
      <c r="P576" s="70" t="s">
        <v>251</v>
      </c>
      <c r="Q576" s="70" t="s">
        <v>233</v>
      </c>
      <c r="R576" s="70" t="s">
        <v>240</v>
      </c>
      <c r="S576" s="70" t="s">
        <v>233</v>
      </c>
      <c r="T576" s="70" t="s">
        <v>233</v>
      </c>
      <c r="U576" s="70" t="s">
        <v>1427</v>
      </c>
      <c r="V576" s="70" t="s">
        <v>240</v>
      </c>
      <c r="W576" s="12"/>
      <c r="X576" s="242">
        <v>209.34691620241412</v>
      </c>
      <c r="Y576" s="242">
        <v>191.14100336583101</v>
      </c>
      <c r="Z576" s="242">
        <v>28.79300110259982</v>
      </c>
      <c r="AA576" s="157" t="s">
        <v>252</v>
      </c>
      <c r="AB576" s="242">
        <v>22.131272922469826</v>
      </c>
      <c r="AC576" s="157" t="s">
        <v>252</v>
      </c>
      <c r="AD576" s="242">
        <v>27.61244167827298</v>
      </c>
      <c r="AE576" s="157" t="s">
        <v>252</v>
      </c>
      <c r="AF576" s="242">
        <v>18.749813428505107</v>
      </c>
      <c r="AG576" s="157" t="s">
        <v>252</v>
      </c>
      <c r="AH576" s="242">
        <v>9.4908545148560837</v>
      </c>
      <c r="AI576" s="157" t="s">
        <v>252</v>
      </c>
      <c r="AJ576" s="242">
        <v>3.0188590993500468</v>
      </c>
      <c r="AK576" s="242" t="s">
        <v>252</v>
      </c>
      <c r="AL576" s="242">
        <v>2.4960399257195918</v>
      </c>
      <c r="AM576" s="242" t="s">
        <v>252</v>
      </c>
      <c r="AN576" s="242">
        <v>2.5213376276694524</v>
      </c>
      <c r="AO576" s="242" t="s">
        <v>252</v>
      </c>
      <c r="AP576" s="242">
        <v>3.4236223305478179</v>
      </c>
      <c r="AQ576" s="242" t="s">
        <v>252</v>
      </c>
      <c r="AR576" s="242">
        <v>19.59307016016713</v>
      </c>
      <c r="AS576" s="242" t="s">
        <v>252</v>
      </c>
      <c r="AT576" s="242">
        <v>20.394164055246055</v>
      </c>
      <c r="AU576" s="242" t="s">
        <v>252</v>
      </c>
      <c r="AV576" s="242">
        <v>22.025865831012073</v>
      </c>
      <c r="AW576" s="157" t="s">
        <v>252</v>
      </c>
      <c r="AX576" s="157">
        <v>580.7382622446612</v>
      </c>
      <c r="AY576" s="243">
        <v>8.0109389507892301E-2</v>
      </c>
      <c r="AZ576" s="156" t="s">
        <v>253</v>
      </c>
      <c r="BA576" s="156" t="s">
        <v>254</v>
      </c>
      <c r="BB576" s="156">
        <v>0</v>
      </c>
      <c r="BC576" s="156" t="s">
        <v>1423</v>
      </c>
      <c r="BD576" s="3"/>
    </row>
    <row r="577" spans="1:56" ht="15.75" hidden="1" customHeight="1" outlineLevel="1">
      <c r="A577" s="58">
        <v>567</v>
      </c>
      <c r="B577" s="11">
        <v>129567</v>
      </c>
      <c r="C577" s="89" t="s">
        <v>341</v>
      </c>
      <c r="D577" s="157" t="s">
        <v>347</v>
      </c>
      <c r="E577" s="12" t="s">
        <v>191</v>
      </c>
      <c r="F577" s="11" t="s">
        <v>246</v>
      </c>
      <c r="G577" s="18" t="s">
        <v>247</v>
      </c>
      <c r="H577" s="11" t="s">
        <v>248</v>
      </c>
      <c r="I577" s="87" t="s">
        <v>249</v>
      </c>
      <c r="J577" s="19" t="s">
        <v>139</v>
      </c>
      <c r="K577" s="17" t="s">
        <v>140</v>
      </c>
      <c r="L577" s="260">
        <v>1</v>
      </c>
      <c r="M577" s="70" t="s">
        <v>250</v>
      </c>
      <c r="N577" s="70">
        <v>100</v>
      </c>
      <c r="O577" s="258">
        <v>8</v>
      </c>
      <c r="P577" s="70" t="s">
        <v>251</v>
      </c>
      <c r="Q577" s="70" t="s">
        <v>233</v>
      </c>
      <c r="R577" s="70" t="s">
        <v>240</v>
      </c>
      <c r="S577" s="70" t="s">
        <v>233</v>
      </c>
      <c r="T577" s="70" t="s">
        <v>233</v>
      </c>
      <c r="U577" s="70" t="s">
        <v>1427</v>
      </c>
      <c r="V577" s="70" t="s">
        <v>240</v>
      </c>
      <c r="W577" s="12"/>
      <c r="X577" s="242">
        <v>1137.5394874153253</v>
      </c>
      <c r="Y577" s="242">
        <v>1034.7984222236032</v>
      </c>
      <c r="Z577" s="242">
        <v>155.08586650922877</v>
      </c>
      <c r="AA577" s="157" t="s">
        <v>252</v>
      </c>
      <c r="AB577" s="242">
        <v>119.03792380834005</v>
      </c>
      <c r="AC577" s="157" t="s">
        <v>252</v>
      </c>
      <c r="AD577" s="242">
        <v>148.78698477409731</v>
      </c>
      <c r="AE577" s="157" t="s">
        <v>252</v>
      </c>
      <c r="AF577" s="242">
        <v>101.06865738611646</v>
      </c>
      <c r="AG577" s="157" t="s">
        <v>252</v>
      </c>
      <c r="AH577" s="242">
        <v>50.474413771673603</v>
      </c>
      <c r="AI577" s="157" t="s">
        <v>252</v>
      </c>
      <c r="AJ577" s="242">
        <v>19.03731502081909</v>
      </c>
      <c r="AK577" s="242" t="s">
        <v>252</v>
      </c>
      <c r="AL577" s="242">
        <v>18.021366353862408</v>
      </c>
      <c r="AM577" s="242" t="s">
        <v>252</v>
      </c>
      <c r="AN577" s="242">
        <v>15.859219190852029</v>
      </c>
      <c r="AO577" s="242" t="s">
        <v>252</v>
      </c>
      <c r="AP577" s="242">
        <v>21.611051643776023</v>
      </c>
      <c r="AQ577" s="242" t="s">
        <v>252</v>
      </c>
      <c r="AR577" s="242">
        <v>104.8146424709465</v>
      </c>
      <c r="AS577" s="242" t="s">
        <v>252</v>
      </c>
      <c r="AT577" s="242">
        <v>109.27960661239202</v>
      </c>
      <c r="AU577" s="242" t="s">
        <v>252</v>
      </c>
      <c r="AV577" s="242">
        <v>118.24600484743024</v>
      </c>
      <c r="AW577" s="157" t="s">
        <v>252</v>
      </c>
      <c r="AX577" s="157">
        <v>3153.6609620284635</v>
      </c>
      <c r="AY577" s="240">
        <v>0.40637946678267356</v>
      </c>
      <c r="AZ577" s="156" t="s">
        <v>253</v>
      </c>
      <c r="BA577" s="156" t="s">
        <v>254</v>
      </c>
      <c r="BB577" s="156">
        <v>1</v>
      </c>
      <c r="BC577" s="156" t="s">
        <v>1423</v>
      </c>
      <c r="BD577" s="3"/>
    </row>
    <row r="578" spans="1:56" ht="15.75" hidden="1" customHeight="1" outlineLevel="1">
      <c r="A578" s="58">
        <v>568</v>
      </c>
      <c r="B578" s="11">
        <v>129568</v>
      </c>
      <c r="C578" s="89" t="s">
        <v>341</v>
      </c>
      <c r="D578" s="157" t="s">
        <v>347</v>
      </c>
      <c r="E578" s="12" t="s">
        <v>261</v>
      </c>
      <c r="F578" s="11" t="s">
        <v>246</v>
      </c>
      <c r="G578" s="18" t="s">
        <v>247</v>
      </c>
      <c r="H578" s="11" t="s">
        <v>248</v>
      </c>
      <c r="I578" s="87" t="s">
        <v>249</v>
      </c>
      <c r="J578" s="19" t="s">
        <v>139</v>
      </c>
      <c r="K578" s="17" t="s">
        <v>140</v>
      </c>
      <c r="L578" s="257">
        <v>0</v>
      </c>
      <c r="M578" s="70" t="s">
        <v>250</v>
      </c>
      <c r="N578" s="70">
        <v>100</v>
      </c>
      <c r="O578" s="258">
        <v>8</v>
      </c>
      <c r="P578" s="70" t="s">
        <v>251</v>
      </c>
      <c r="Q578" s="70" t="s">
        <v>233</v>
      </c>
      <c r="R578" s="70" t="s">
        <v>240</v>
      </c>
      <c r="S578" s="70" t="s">
        <v>233</v>
      </c>
      <c r="T578" s="70" t="s">
        <v>233</v>
      </c>
      <c r="U578" s="70" t="s">
        <v>1427</v>
      </c>
      <c r="V578" s="70" t="s">
        <v>240</v>
      </c>
      <c r="W578" s="12"/>
      <c r="X578" s="242">
        <v>460.61163060095708</v>
      </c>
      <c r="Y578" s="242">
        <v>419.00979603505067</v>
      </c>
      <c r="Z578" s="242">
        <v>62.797252004225967</v>
      </c>
      <c r="AA578" s="157" t="s">
        <v>252</v>
      </c>
      <c r="AB578" s="242">
        <v>48.200746255670872</v>
      </c>
      <c r="AC578" s="157" t="s">
        <v>252</v>
      </c>
      <c r="AD578" s="242">
        <v>60.246713566590017</v>
      </c>
      <c r="AE578" s="157" t="s">
        <v>252</v>
      </c>
      <c r="AF578" s="242">
        <v>40.924644459635822</v>
      </c>
      <c r="AG578" s="157" t="s">
        <v>252</v>
      </c>
      <c r="AH578" s="242">
        <v>20.438061525076129</v>
      </c>
      <c r="AI578" s="157" t="s">
        <v>252</v>
      </c>
      <c r="AJ578" s="242">
        <v>7.7085752283885398</v>
      </c>
      <c r="AK578" s="242" t="s">
        <v>252</v>
      </c>
      <c r="AL578" s="242">
        <v>7.2971980610279044</v>
      </c>
      <c r="AM578" s="242" t="s">
        <v>252</v>
      </c>
      <c r="AN578" s="242">
        <v>6.4217030638244985</v>
      </c>
      <c r="AO578" s="242" t="s">
        <v>252</v>
      </c>
      <c r="AP578" s="242">
        <v>8.7507307190354844</v>
      </c>
      <c r="AQ578" s="242" t="s">
        <v>252</v>
      </c>
      <c r="AR578" s="242">
        <v>42.441465912621965</v>
      </c>
      <c r="AS578" s="242" t="s">
        <v>252</v>
      </c>
      <c r="AT578" s="242">
        <v>44.249415822509476</v>
      </c>
      <c r="AU578" s="242" t="s">
        <v>252</v>
      </c>
      <c r="AV578" s="242">
        <v>47.880083027779506</v>
      </c>
      <c r="AW578" s="157" t="s">
        <v>252</v>
      </c>
      <c r="AX578" s="157">
        <v>1276.978016282394</v>
      </c>
      <c r="AY578" s="243">
        <v>0.16455086694425455</v>
      </c>
      <c r="AZ578" s="156" t="s">
        <v>253</v>
      </c>
      <c r="BA578" s="156" t="s">
        <v>254</v>
      </c>
      <c r="BB578" s="156">
        <v>0</v>
      </c>
      <c r="BC578" s="156" t="s">
        <v>1423</v>
      </c>
      <c r="BD578" s="3"/>
    </row>
    <row r="579" spans="1:56" ht="15.75" hidden="1" customHeight="1" outlineLevel="1">
      <c r="A579" s="58">
        <v>569</v>
      </c>
      <c r="B579" s="11">
        <v>129569</v>
      </c>
      <c r="C579" s="89" t="s">
        <v>341</v>
      </c>
      <c r="D579" s="157" t="s">
        <v>347</v>
      </c>
      <c r="E579" s="12" t="s">
        <v>308</v>
      </c>
      <c r="F579" s="11" t="s">
        <v>246</v>
      </c>
      <c r="G579" s="18" t="s">
        <v>247</v>
      </c>
      <c r="H579" s="11" t="s">
        <v>248</v>
      </c>
      <c r="I579" s="87" t="s">
        <v>249</v>
      </c>
      <c r="J579" s="19" t="s">
        <v>139</v>
      </c>
      <c r="K579" s="17" t="s">
        <v>140</v>
      </c>
      <c r="L579" s="257">
        <v>0</v>
      </c>
      <c r="M579" s="70" t="s">
        <v>250</v>
      </c>
      <c r="N579" s="70">
        <v>100</v>
      </c>
      <c r="O579" s="258">
        <v>8</v>
      </c>
      <c r="P579" s="70" t="s">
        <v>251</v>
      </c>
      <c r="Q579" s="70" t="s">
        <v>233</v>
      </c>
      <c r="R579" s="70" t="s">
        <v>240</v>
      </c>
      <c r="S579" s="70" t="s">
        <v>233</v>
      </c>
      <c r="T579" s="70" t="s">
        <v>233</v>
      </c>
      <c r="U579" s="70" t="s">
        <v>1427</v>
      </c>
      <c r="V579" s="70" t="s">
        <v>240</v>
      </c>
      <c r="W579" s="12"/>
      <c r="X579" s="242">
        <v>393.14680330619609</v>
      </c>
      <c r="Y579" s="242">
        <v>357.63830290224354</v>
      </c>
      <c r="Z579" s="242">
        <v>53.599469144242128</v>
      </c>
      <c r="AA579" s="157" t="s">
        <v>252</v>
      </c>
      <c r="AB579" s="242">
        <v>41.140883226648441</v>
      </c>
      <c r="AC579" s="157" t="s">
        <v>252</v>
      </c>
      <c r="AD579" s="242">
        <v>51.422502765521102</v>
      </c>
      <c r="AE579" s="157" t="s">
        <v>252</v>
      </c>
      <c r="AF579" s="242">
        <v>34.930496923746198</v>
      </c>
      <c r="AG579" s="157" t="s">
        <v>252</v>
      </c>
      <c r="AH579" s="242">
        <v>17.444541172083774</v>
      </c>
      <c r="AI579" s="157" t="s">
        <v>252</v>
      </c>
      <c r="AJ579" s="242">
        <v>6.579516251320614</v>
      </c>
      <c r="AK579" s="242" t="s">
        <v>252</v>
      </c>
      <c r="AL579" s="242">
        <v>6.2283926418494824</v>
      </c>
      <c r="AM579" s="242" t="s">
        <v>252</v>
      </c>
      <c r="AN579" s="242">
        <v>5.4811295755391223</v>
      </c>
      <c r="AO579" s="242" t="s">
        <v>252</v>
      </c>
      <c r="AP579" s="242">
        <v>7.4690293953141511</v>
      </c>
      <c r="AQ579" s="242" t="s">
        <v>252</v>
      </c>
      <c r="AR579" s="242">
        <v>36.225152694052582</v>
      </c>
      <c r="AS579" s="242" t="s">
        <v>252</v>
      </c>
      <c r="AT579" s="242">
        <v>37.768295941830843</v>
      </c>
      <c r="AU579" s="242" t="s">
        <v>252</v>
      </c>
      <c r="AV579" s="242">
        <v>40.867186874650429</v>
      </c>
      <c r="AW579" s="157" t="s">
        <v>252</v>
      </c>
      <c r="AX579" s="157">
        <v>1089.9417028152384</v>
      </c>
      <c r="AY579" s="243">
        <v>0.1404494437884532</v>
      </c>
      <c r="AZ579" s="156" t="s">
        <v>253</v>
      </c>
      <c r="BA579" s="156" t="s">
        <v>254</v>
      </c>
      <c r="BB579" s="156">
        <v>0</v>
      </c>
      <c r="BC579" s="156" t="s">
        <v>1423</v>
      </c>
      <c r="BD579" s="3"/>
    </row>
    <row r="580" spans="1:56" ht="15.75" hidden="1" customHeight="1" outlineLevel="1">
      <c r="A580" s="58">
        <v>570</v>
      </c>
      <c r="B580" s="11">
        <v>129570</v>
      </c>
      <c r="C580" s="89" t="s">
        <v>341</v>
      </c>
      <c r="D580" s="157" t="s">
        <v>347</v>
      </c>
      <c r="E580" s="12" t="s">
        <v>348</v>
      </c>
      <c r="F580" s="11" t="s">
        <v>246</v>
      </c>
      <c r="G580" s="18" t="s">
        <v>247</v>
      </c>
      <c r="H580" s="11" t="s">
        <v>248</v>
      </c>
      <c r="I580" s="87" t="s">
        <v>249</v>
      </c>
      <c r="J580" s="19" t="s">
        <v>139</v>
      </c>
      <c r="K580" s="17" t="s">
        <v>140</v>
      </c>
      <c r="L580" s="257">
        <v>0</v>
      </c>
      <c r="M580" s="70" t="s">
        <v>250</v>
      </c>
      <c r="N580" s="70">
        <v>100</v>
      </c>
      <c r="O580" s="258">
        <v>8</v>
      </c>
      <c r="P580" s="70" t="s">
        <v>251</v>
      </c>
      <c r="Q580" s="70" t="s">
        <v>233</v>
      </c>
      <c r="R580" s="70" t="s">
        <v>240</v>
      </c>
      <c r="S580" s="70" t="s">
        <v>233</v>
      </c>
      <c r="T580" s="70" t="s">
        <v>233</v>
      </c>
      <c r="U580" s="70" t="s">
        <v>1427</v>
      </c>
      <c r="V580" s="70" t="s">
        <v>240</v>
      </c>
      <c r="W580" s="12"/>
      <c r="X580" s="242">
        <v>192.08207867752159</v>
      </c>
      <c r="Y580" s="242">
        <v>174.73347883910262</v>
      </c>
      <c r="Z580" s="242">
        <v>26.187412342303151</v>
      </c>
      <c r="AA580" s="157" t="s">
        <v>252</v>
      </c>
      <c r="AB580" s="242">
        <v>20.100446709340623</v>
      </c>
      <c r="AC580" s="157" t="s">
        <v>252</v>
      </c>
      <c r="AD580" s="242">
        <v>25.123798893791559</v>
      </c>
      <c r="AE580" s="157" t="s">
        <v>252</v>
      </c>
      <c r="AF580" s="242">
        <v>17.066201230501523</v>
      </c>
      <c r="AG580" s="157" t="s">
        <v>252</v>
      </c>
      <c r="AH580" s="242">
        <v>8.5229835311664903</v>
      </c>
      <c r="AI580" s="157" t="s">
        <v>252</v>
      </c>
      <c r="AJ580" s="242">
        <v>3.2145934994717544</v>
      </c>
      <c r="AK580" s="242" t="s">
        <v>252</v>
      </c>
      <c r="AL580" s="242">
        <v>3.043042943260208</v>
      </c>
      <c r="AM580" s="242" t="s">
        <v>252</v>
      </c>
      <c r="AN580" s="242">
        <v>2.6779481697843517</v>
      </c>
      <c r="AO580" s="242" t="s">
        <v>252</v>
      </c>
      <c r="AP580" s="242">
        <v>3.6491882418743393</v>
      </c>
      <c r="AQ580" s="242" t="s">
        <v>252</v>
      </c>
      <c r="AR580" s="242">
        <v>17.698738922378968</v>
      </c>
      <c r="AS580" s="242" t="s">
        <v>252</v>
      </c>
      <c r="AT580" s="242">
        <v>18.452681623267665</v>
      </c>
      <c r="AU580" s="242" t="s">
        <v>252</v>
      </c>
      <c r="AV580" s="242">
        <v>19.966725250139831</v>
      </c>
      <c r="AW580" s="157" t="s">
        <v>252</v>
      </c>
      <c r="AX580" s="157">
        <v>532.51931887390481</v>
      </c>
      <c r="AY580" s="243">
        <v>6.8620222484618729E-2</v>
      </c>
      <c r="AZ580" s="156" t="s">
        <v>253</v>
      </c>
      <c r="BA580" s="156" t="s">
        <v>254</v>
      </c>
      <c r="BB580" s="156">
        <v>0</v>
      </c>
      <c r="BC580" s="156" t="s">
        <v>1423</v>
      </c>
      <c r="BD580" s="3"/>
    </row>
    <row r="581" spans="1:56" ht="15.75" hidden="1" customHeight="1" outlineLevel="1">
      <c r="A581" s="58">
        <v>571</v>
      </c>
      <c r="B581" s="11">
        <v>129571</v>
      </c>
      <c r="C581" s="89" t="s">
        <v>341</v>
      </c>
      <c r="D581" s="157">
        <v>165</v>
      </c>
      <c r="E581" s="12" t="s">
        <v>231</v>
      </c>
      <c r="F581" s="11" t="s">
        <v>246</v>
      </c>
      <c r="G581" s="18" t="s">
        <v>247</v>
      </c>
      <c r="H581" s="11" t="s">
        <v>248</v>
      </c>
      <c r="I581" s="87" t="s">
        <v>249</v>
      </c>
      <c r="J581" s="19" t="s">
        <v>139</v>
      </c>
      <c r="K581" s="17" t="s">
        <v>140</v>
      </c>
      <c r="L581" s="260">
        <v>1</v>
      </c>
      <c r="M581" s="70" t="s">
        <v>250</v>
      </c>
      <c r="N581" s="70">
        <v>100</v>
      </c>
      <c r="O581" s="258">
        <v>8</v>
      </c>
      <c r="P581" s="70" t="s">
        <v>251</v>
      </c>
      <c r="Q581" s="70" t="s">
        <v>240</v>
      </c>
      <c r="R581" s="70" t="s">
        <v>240</v>
      </c>
      <c r="S581" s="70" t="s">
        <v>233</v>
      </c>
      <c r="T581" s="70" t="s">
        <v>233</v>
      </c>
      <c r="U581" s="70" t="s">
        <v>1427</v>
      </c>
      <c r="V581" s="70" t="s">
        <v>240</v>
      </c>
      <c r="W581" s="12"/>
      <c r="X581" s="242">
        <v>757.03</v>
      </c>
      <c r="Y581" s="242">
        <v>667.91</v>
      </c>
      <c r="Z581" s="242">
        <v>136.66999999999999</v>
      </c>
      <c r="AA581" s="157" t="s">
        <v>252</v>
      </c>
      <c r="AB581" s="242">
        <v>98.55</v>
      </c>
      <c r="AC581" s="157" t="s">
        <v>252</v>
      </c>
      <c r="AD581" s="242">
        <v>107.39</v>
      </c>
      <c r="AE581" s="157" t="s">
        <v>252</v>
      </c>
      <c r="AF581" s="242">
        <v>80.849999999999994</v>
      </c>
      <c r="AG581" s="157" t="s">
        <v>252</v>
      </c>
      <c r="AH581" s="242">
        <v>12.53</v>
      </c>
      <c r="AI581" s="157" t="s">
        <v>252</v>
      </c>
      <c r="AJ581" s="242">
        <v>0</v>
      </c>
      <c r="AK581" s="242" t="s">
        <v>252</v>
      </c>
      <c r="AL581" s="242">
        <v>1.48</v>
      </c>
      <c r="AM581" s="242" t="s">
        <v>252</v>
      </c>
      <c r="AN581" s="242">
        <v>0</v>
      </c>
      <c r="AO581" s="242" t="s">
        <v>252</v>
      </c>
      <c r="AP581" s="242">
        <v>11.72</v>
      </c>
      <c r="AQ581" s="242" t="s">
        <v>252</v>
      </c>
      <c r="AR581" s="242">
        <v>15.51</v>
      </c>
      <c r="AS581" s="242" t="s">
        <v>252</v>
      </c>
      <c r="AT581" s="242">
        <v>63.51</v>
      </c>
      <c r="AU581" s="242" t="s">
        <v>252</v>
      </c>
      <c r="AV581" s="242">
        <v>98.5</v>
      </c>
      <c r="AW581" s="157" t="s">
        <v>252</v>
      </c>
      <c r="AX581" s="157">
        <v>2051.65</v>
      </c>
      <c r="AY581" s="243">
        <v>0.35</v>
      </c>
      <c r="AZ581" s="156" t="s">
        <v>253</v>
      </c>
      <c r="BA581" s="156" t="s">
        <v>254</v>
      </c>
      <c r="BB581" s="156">
        <v>1</v>
      </c>
      <c r="BC581" s="157" t="s">
        <v>255</v>
      </c>
      <c r="BD581" s="3"/>
    </row>
    <row r="582" spans="1:56" ht="15.75" hidden="1" customHeight="1" outlineLevel="1">
      <c r="A582" s="58">
        <v>572</v>
      </c>
      <c r="B582" s="11">
        <v>129572</v>
      </c>
      <c r="C582" s="89" t="s">
        <v>341</v>
      </c>
      <c r="D582" s="157">
        <v>183</v>
      </c>
      <c r="E582" s="12" t="s">
        <v>191</v>
      </c>
      <c r="F582" s="11" t="s">
        <v>246</v>
      </c>
      <c r="G582" s="18" t="s">
        <v>247</v>
      </c>
      <c r="H582" s="11" t="s">
        <v>248</v>
      </c>
      <c r="I582" s="87" t="s">
        <v>249</v>
      </c>
      <c r="J582" s="19" t="s">
        <v>139</v>
      </c>
      <c r="K582" s="17" t="s">
        <v>140</v>
      </c>
      <c r="L582" s="260">
        <v>1</v>
      </c>
      <c r="M582" s="70" t="s">
        <v>250</v>
      </c>
      <c r="N582" s="70">
        <v>80</v>
      </c>
      <c r="O582" s="258">
        <v>8</v>
      </c>
      <c r="P582" s="70" t="s">
        <v>251</v>
      </c>
      <c r="Q582" s="70" t="s">
        <v>233</v>
      </c>
      <c r="R582" s="70" t="s">
        <v>240</v>
      </c>
      <c r="S582" s="70" t="s">
        <v>233</v>
      </c>
      <c r="T582" s="70" t="s">
        <v>233</v>
      </c>
      <c r="U582" s="70" t="s">
        <v>1428</v>
      </c>
      <c r="V582" s="70" t="s">
        <v>240</v>
      </c>
      <c r="W582" s="12"/>
      <c r="X582" s="242">
        <v>1753.0500000000002</v>
      </c>
      <c r="Y582" s="242">
        <v>1875.91</v>
      </c>
      <c r="Z582" s="242">
        <v>262.16000000000003</v>
      </c>
      <c r="AA582" s="157" t="s">
        <v>252</v>
      </c>
      <c r="AB582" s="242">
        <v>218.61</v>
      </c>
      <c r="AC582" s="157" t="s">
        <v>252</v>
      </c>
      <c r="AD582" s="242">
        <v>293.95999999999998</v>
      </c>
      <c r="AE582" s="157" t="s">
        <v>252</v>
      </c>
      <c r="AF582" s="242">
        <v>216.1</v>
      </c>
      <c r="AG582" s="157" t="s">
        <v>252</v>
      </c>
      <c r="AH582" s="242">
        <v>87.08</v>
      </c>
      <c r="AI582" s="157" t="s">
        <v>252</v>
      </c>
      <c r="AJ582" s="242">
        <v>44.54</v>
      </c>
      <c r="AK582" s="242" t="s">
        <v>252</v>
      </c>
      <c r="AL582" s="242">
        <v>30.42</v>
      </c>
      <c r="AM582" s="242" t="s">
        <v>259</v>
      </c>
      <c r="AN582" s="242">
        <v>40.950000000000003</v>
      </c>
      <c r="AO582" s="242" t="s">
        <v>259</v>
      </c>
      <c r="AP582" s="242">
        <v>36.955570000000002</v>
      </c>
      <c r="AQ582" s="242" t="s">
        <v>259</v>
      </c>
      <c r="AR582" s="242">
        <v>238.26</v>
      </c>
      <c r="AS582" s="242" t="s">
        <v>259</v>
      </c>
      <c r="AT582" s="242">
        <v>235.58537999999999</v>
      </c>
      <c r="AU582" s="242" t="s">
        <v>259</v>
      </c>
      <c r="AV582" s="242">
        <v>216.34851</v>
      </c>
      <c r="AW582" s="157" t="s">
        <v>259</v>
      </c>
      <c r="AX582" s="157">
        <v>5549.9294599999994</v>
      </c>
      <c r="AY582" s="240">
        <v>0.63</v>
      </c>
      <c r="AZ582" s="156" t="s">
        <v>253</v>
      </c>
      <c r="BA582" s="156" t="s">
        <v>254</v>
      </c>
      <c r="BB582" s="156">
        <v>1</v>
      </c>
      <c r="BC582" s="157" t="s">
        <v>255</v>
      </c>
      <c r="BD582" s="3"/>
    </row>
    <row r="583" spans="1:56" ht="15.75" hidden="1" customHeight="1" outlineLevel="1">
      <c r="A583" s="58">
        <v>573</v>
      </c>
      <c r="B583" s="11">
        <v>129573</v>
      </c>
      <c r="C583" s="89" t="s">
        <v>349</v>
      </c>
      <c r="D583" s="157">
        <v>3</v>
      </c>
      <c r="E583" s="12" t="s">
        <v>191</v>
      </c>
      <c r="F583" s="11" t="s">
        <v>246</v>
      </c>
      <c r="G583" s="18" t="s">
        <v>247</v>
      </c>
      <c r="H583" s="11" t="s">
        <v>248</v>
      </c>
      <c r="I583" s="87" t="s">
        <v>249</v>
      </c>
      <c r="J583" s="19" t="s">
        <v>139</v>
      </c>
      <c r="K583" s="17" t="s">
        <v>140</v>
      </c>
      <c r="L583" s="260">
        <v>1</v>
      </c>
      <c r="M583" s="70" t="s">
        <v>250</v>
      </c>
      <c r="N583" s="70">
        <v>80</v>
      </c>
      <c r="O583" s="258">
        <v>8</v>
      </c>
      <c r="P583" s="70" t="s">
        <v>251</v>
      </c>
      <c r="Q583" s="70" t="s">
        <v>233</v>
      </c>
      <c r="R583" s="70" t="s">
        <v>240</v>
      </c>
      <c r="S583" s="70" t="s">
        <v>233</v>
      </c>
      <c r="T583" s="70" t="s">
        <v>233</v>
      </c>
      <c r="U583" s="70" t="s">
        <v>1427</v>
      </c>
      <c r="V583" s="70" t="s">
        <v>240</v>
      </c>
      <c r="W583" s="12"/>
      <c r="X583" s="242">
        <v>300.2</v>
      </c>
      <c r="Y583" s="242">
        <v>340.06</v>
      </c>
      <c r="Z583" s="242">
        <v>50.95</v>
      </c>
      <c r="AA583" s="157" t="s">
        <v>259</v>
      </c>
      <c r="AB583" s="242">
        <v>50.93</v>
      </c>
      <c r="AC583" s="157" t="s">
        <v>252</v>
      </c>
      <c r="AD583" s="242">
        <v>43.26</v>
      </c>
      <c r="AE583" s="157" t="s">
        <v>252</v>
      </c>
      <c r="AF583" s="242">
        <v>29.14</v>
      </c>
      <c r="AG583" s="157" t="s">
        <v>252</v>
      </c>
      <c r="AH583" s="242">
        <v>12.36</v>
      </c>
      <c r="AI583" s="157" t="s">
        <v>252</v>
      </c>
      <c r="AJ583" s="242">
        <v>3.3</v>
      </c>
      <c r="AK583" s="242" t="s">
        <v>252</v>
      </c>
      <c r="AL583" s="242">
        <v>5.84</v>
      </c>
      <c r="AM583" s="242" t="s">
        <v>252</v>
      </c>
      <c r="AN583" s="242">
        <v>2.4300000000000002</v>
      </c>
      <c r="AO583" s="242" t="s">
        <v>252</v>
      </c>
      <c r="AP583" s="242">
        <v>2.66</v>
      </c>
      <c r="AQ583" s="242" t="s">
        <v>252</v>
      </c>
      <c r="AR583" s="242">
        <v>49.28</v>
      </c>
      <c r="AS583" s="242" t="s">
        <v>252</v>
      </c>
      <c r="AT583" s="242">
        <v>21.27</v>
      </c>
      <c r="AU583" s="242" t="s">
        <v>259</v>
      </c>
      <c r="AV583" s="242">
        <v>31.744679999999999</v>
      </c>
      <c r="AW583" s="157" t="s">
        <v>259</v>
      </c>
      <c r="AX583" s="157">
        <v>943.42467999999985</v>
      </c>
      <c r="AY583" s="240">
        <v>0.14000000000000001</v>
      </c>
      <c r="AZ583" s="156" t="s">
        <v>253</v>
      </c>
      <c r="BA583" s="156" t="s">
        <v>254</v>
      </c>
      <c r="BB583" s="156">
        <v>1</v>
      </c>
      <c r="BC583" s="156" t="s">
        <v>1423</v>
      </c>
      <c r="BD583" s="3"/>
    </row>
    <row r="584" spans="1:56" ht="15.75" hidden="1" customHeight="1" outlineLevel="1">
      <c r="A584" s="58">
        <v>574</v>
      </c>
      <c r="B584" s="11">
        <v>129574</v>
      </c>
      <c r="C584" s="89" t="s">
        <v>349</v>
      </c>
      <c r="D584" s="157">
        <v>4</v>
      </c>
      <c r="E584" s="12" t="s">
        <v>191</v>
      </c>
      <c r="F584" s="11" t="s">
        <v>246</v>
      </c>
      <c r="G584" s="18" t="s">
        <v>247</v>
      </c>
      <c r="H584" s="11" t="s">
        <v>248</v>
      </c>
      <c r="I584" s="87" t="s">
        <v>249</v>
      </c>
      <c r="J584" s="19" t="s">
        <v>139</v>
      </c>
      <c r="K584" s="17" t="s">
        <v>140</v>
      </c>
      <c r="L584" s="257">
        <v>0</v>
      </c>
      <c r="M584" s="70" t="s">
        <v>250</v>
      </c>
      <c r="N584" s="70">
        <v>80</v>
      </c>
      <c r="O584" s="258">
        <v>8</v>
      </c>
      <c r="P584" s="70" t="s">
        <v>251</v>
      </c>
      <c r="Q584" s="70" t="s">
        <v>233</v>
      </c>
      <c r="R584" s="70" t="s">
        <v>240</v>
      </c>
      <c r="S584" s="70" t="s">
        <v>233</v>
      </c>
      <c r="T584" s="70" t="s">
        <v>233</v>
      </c>
      <c r="U584" s="70" t="s">
        <v>1427</v>
      </c>
      <c r="V584" s="70" t="s">
        <v>240</v>
      </c>
      <c r="W584" s="12"/>
      <c r="X584" s="242">
        <v>766.83999999999992</v>
      </c>
      <c r="Y584" s="242">
        <v>791.46</v>
      </c>
      <c r="Z584" s="242">
        <v>125.08</v>
      </c>
      <c r="AA584" s="157" t="s">
        <v>252</v>
      </c>
      <c r="AB584" s="242">
        <v>92.97</v>
      </c>
      <c r="AC584" s="157" t="s">
        <v>252</v>
      </c>
      <c r="AD584" s="242">
        <v>114.48</v>
      </c>
      <c r="AE584" s="157" t="s">
        <v>252</v>
      </c>
      <c r="AF584" s="242">
        <v>78.23</v>
      </c>
      <c r="AG584" s="157" t="s">
        <v>252</v>
      </c>
      <c r="AH584" s="242">
        <v>28.13</v>
      </c>
      <c r="AI584" s="157" t="s">
        <v>252</v>
      </c>
      <c r="AJ584" s="242">
        <v>16.73</v>
      </c>
      <c r="AK584" s="242" t="s">
        <v>252</v>
      </c>
      <c r="AL584" s="242">
        <v>8.18</v>
      </c>
      <c r="AM584" s="242" t="s">
        <v>252</v>
      </c>
      <c r="AN584" s="242">
        <v>11.52</v>
      </c>
      <c r="AO584" s="242" t="s">
        <v>252</v>
      </c>
      <c r="AP584" s="242">
        <v>12.88</v>
      </c>
      <c r="AQ584" s="242" t="s">
        <v>252</v>
      </c>
      <c r="AR584" s="242">
        <v>79.3</v>
      </c>
      <c r="AS584" s="242" t="s">
        <v>252</v>
      </c>
      <c r="AT584" s="242">
        <v>67.81</v>
      </c>
      <c r="AU584" s="242" t="s">
        <v>252</v>
      </c>
      <c r="AV584" s="242">
        <v>99.97</v>
      </c>
      <c r="AW584" s="157" t="s">
        <v>252</v>
      </c>
      <c r="AX584" s="157">
        <v>2293.58</v>
      </c>
      <c r="AY584" s="240">
        <v>0.1</v>
      </c>
      <c r="AZ584" s="156" t="s">
        <v>253</v>
      </c>
      <c r="BA584" s="156" t="s">
        <v>254</v>
      </c>
      <c r="BB584" s="156">
        <v>0</v>
      </c>
      <c r="BC584" s="156" t="s">
        <v>1423</v>
      </c>
      <c r="BD584" s="3"/>
    </row>
    <row r="585" spans="1:56" ht="15.75" hidden="1" customHeight="1" outlineLevel="1">
      <c r="A585" s="58">
        <v>575</v>
      </c>
      <c r="B585" s="11">
        <v>129575</v>
      </c>
      <c r="C585" s="89" t="s">
        <v>349</v>
      </c>
      <c r="D585" s="157">
        <v>5</v>
      </c>
      <c r="E585" s="12" t="s">
        <v>191</v>
      </c>
      <c r="F585" s="11" t="s">
        <v>246</v>
      </c>
      <c r="G585" s="18" t="s">
        <v>247</v>
      </c>
      <c r="H585" s="11" t="s">
        <v>248</v>
      </c>
      <c r="I585" s="87" t="s">
        <v>249</v>
      </c>
      <c r="J585" s="19" t="s">
        <v>139</v>
      </c>
      <c r="K585" s="17" t="s">
        <v>140</v>
      </c>
      <c r="L585" s="260">
        <v>1</v>
      </c>
      <c r="M585" s="70" t="s">
        <v>250</v>
      </c>
      <c r="N585" s="70">
        <v>100</v>
      </c>
      <c r="O585" s="258">
        <v>8</v>
      </c>
      <c r="P585" s="70" t="s">
        <v>251</v>
      </c>
      <c r="Q585" s="70" t="s">
        <v>233</v>
      </c>
      <c r="R585" s="70" t="s">
        <v>240</v>
      </c>
      <c r="S585" s="70" t="s">
        <v>233</v>
      </c>
      <c r="T585" s="70" t="s">
        <v>233</v>
      </c>
      <c r="U585" s="70" t="s">
        <v>1427</v>
      </c>
      <c r="V585" s="70" t="s">
        <v>240</v>
      </c>
      <c r="W585" s="12"/>
      <c r="X585" s="242">
        <v>273.87</v>
      </c>
      <c r="Y585" s="242">
        <v>259.89999999999998</v>
      </c>
      <c r="Z585" s="242">
        <v>39.549999999999997</v>
      </c>
      <c r="AA585" s="157" t="s">
        <v>252</v>
      </c>
      <c r="AB585" s="242">
        <v>85.11</v>
      </c>
      <c r="AC585" s="157" t="s">
        <v>252</v>
      </c>
      <c r="AD585" s="242">
        <v>23.45</v>
      </c>
      <c r="AE585" s="157" t="s">
        <v>252</v>
      </c>
      <c r="AF585" s="242">
        <v>27.17</v>
      </c>
      <c r="AG585" s="157" t="s">
        <v>252</v>
      </c>
      <c r="AH585" s="242">
        <v>11.4</v>
      </c>
      <c r="AI585" s="157" t="s">
        <v>252</v>
      </c>
      <c r="AJ585" s="242">
        <v>6.05</v>
      </c>
      <c r="AK585" s="242" t="s">
        <v>252</v>
      </c>
      <c r="AL585" s="242">
        <v>6.08</v>
      </c>
      <c r="AM585" s="242" t="s">
        <v>252</v>
      </c>
      <c r="AN585" s="242">
        <v>5.1100000000000003</v>
      </c>
      <c r="AO585" s="242" t="s">
        <v>252</v>
      </c>
      <c r="AP585" s="242">
        <v>6.49</v>
      </c>
      <c r="AQ585" s="242" t="s">
        <v>252</v>
      </c>
      <c r="AR585" s="242">
        <v>29.92</v>
      </c>
      <c r="AS585" s="242" t="s">
        <v>252</v>
      </c>
      <c r="AT585" s="242">
        <v>30.45</v>
      </c>
      <c r="AU585" s="242" t="s">
        <v>252</v>
      </c>
      <c r="AV585" s="242">
        <v>37.19</v>
      </c>
      <c r="AW585" s="157" t="s">
        <v>252</v>
      </c>
      <c r="AX585" s="157">
        <v>841.74</v>
      </c>
      <c r="AY585" s="240">
        <v>0.1</v>
      </c>
      <c r="AZ585" s="156" t="s">
        <v>253</v>
      </c>
      <c r="BA585" s="156" t="s">
        <v>254</v>
      </c>
      <c r="BB585" s="156">
        <v>1</v>
      </c>
      <c r="BC585" s="157" t="s">
        <v>255</v>
      </c>
      <c r="BD585" s="3"/>
    </row>
    <row r="586" spans="1:56" ht="15.75" hidden="1" customHeight="1" outlineLevel="1">
      <c r="A586" s="58">
        <v>576</v>
      </c>
      <c r="B586" s="11">
        <v>129576</v>
      </c>
      <c r="C586" s="89" t="s">
        <v>349</v>
      </c>
      <c r="D586" s="157">
        <v>6</v>
      </c>
      <c r="E586" s="12" t="s">
        <v>191</v>
      </c>
      <c r="F586" s="11" t="s">
        <v>246</v>
      </c>
      <c r="G586" s="18" t="s">
        <v>247</v>
      </c>
      <c r="H586" s="11" t="s">
        <v>248</v>
      </c>
      <c r="I586" s="87" t="s">
        <v>249</v>
      </c>
      <c r="J586" s="19" t="s">
        <v>139</v>
      </c>
      <c r="K586" s="17" t="s">
        <v>140</v>
      </c>
      <c r="L586" s="260">
        <v>1</v>
      </c>
      <c r="M586" s="70" t="s">
        <v>250</v>
      </c>
      <c r="N586" s="70">
        <v>100</v>
      </c>
      <c r="O586" s="258">
        <v>8</v>
      </c>
      <c r="P586" s="70" t="s">
        <v>251</v>
      </c>
      <c r="Q586" s="70" t="s">
        <v>233</v>
      </c>
      <c r="R586" s="70" t="s">
        <v>240</v>
      </c>
      <c r="S586" s="70" t="s">
        <v>233</v>
      </c>
      <c r="T586" s="70" t="s">
        <v>233</v>
      </c>
      <c r="U586" s="70" t="s">
        <v>1427</v>
      </c>
      <c r="V586" s="70" t="s">
        <v>240</v>
      </c>
      <c r="W586" s="12"/>
      <c r="X586" s="242">
        <v>408.92999999999995</v>
      </c>
      <c r="Y586" s="242">
        <v>412.67</v>
      </c>
      <c r="Z586" s="242">
        <v>65.38</v>
      </c>
      <c r="AA586" s="157" t="s">
        <v>252</v>
      </c>
      <c r="AB586" s="242">
        <v>48.68</v>
      </c>
      <c r="AC586" s="157" t="s">
        <v>252</v>
      </c>
      <c r="AD586" s="242">
        <v>59.78</v>
      </c>
      <c r="AE586" s="157" t="s">
        <v>252</v>
      </c>
      <c r="AF586" s="242">
        <v>40.85</v>
      </c>
      <c r="AG586" s="157" t="s">
        <v>252</v>
      </c>
      <c r="AH586" s="242">
        <v>14.78</v>
      </c>
      <c r="AI586" s="157" t="s">
        <v>252</v>
      </c>
      <c r="AJ586" s="242">
        <v>8.34</v>
      </c>
      <c r="AK586" s="242" t="s">
        <v>252</v>
      </c>
      <c r="AL586" s="242">
        <v>4.07</v>
      </c>
      <c r="AM586" s="242" t="s">
        <v>252</v>
      </c>
      <c r="AN586" s="242">
        <v>5.72</v>
      </c>
      <c r="AO586" s="242" t="s">
        <v>252</v>
      </c>
      <c r="AP586" s="242">
        <v>6.48</v>
      </c>
      <c r="AQ586" s="242" t="s">
        <v>252</v>
      </c>
      <c r="AR586" s="242">
        <v>41.62</v>
      </c>
      <c r="AS586" s="242" t="s">
        <v>252</v>
      </c>
      <c r="AT586" s="242">
        <v>35.450000000000003</v>
      </c>
      <c r="AU586" s="242" t="s">
        <v>252</v>
      </c>
      <c r="AV586" s="242">
        <v>52.3</v>
      </c>
      <c r="AW586" s="157" t="s">
        <v>252</v>
      </c>
      <c r="AX586" s="157">
        <v>1205.0499999999995</v>
      </c>
      <c r="AY586" s="240">
        <v>0.17</v>
      </c>
      <c r="AZ586" s="156" t="s">
        <v>253</v>
      </c>
      <c r="BA586" s="156" t="s">
        <v>254</v>
      </c>
      <c r="BB586" s="156">
        <v>1</v>
      </c>
      <c r="BC586" s="156" t="s">
        <v>1423</v>
      </c>
      <c r="BD586" s="3"/>
    </row>
    <row r="587" spans="1:56" ht="15.75" hidden="1" customHeight="1" outlineLevel="1">
      <c r="A587" s="58">
        <v>577</v>
      </c>
      <c r="B587" s="11">
        <v>129577</v>
      </c>
      <c r="C587" s="89" t="s">
        <v>349</v>
      </c>
      <c r="D587" s="157">
        <v>7</v>
      </c>
      <c r="E587" s="12" t="s">
        <v>191</v>
      </c>
      <c r="F587" s="11" t="s">
        <v>246</v>
      </c>
      <c r="G587" s="18" t="s">
        <v>247</v>
      </c>
      <c r="H587" s="11" t="s">
        <v>248</v>
      </c>
      <c r="I587" s="87" t="s">
        <v>249</v>
      </c>
      <c r="J587" s="19" t="s">
        <v>139</v>
      </c>
      <c r="K587" s="17" t="s">
        <v>140</v>
      </c>
      <c r="L587" s="257">
        <v>0</v>
      </c>
      <c r="M587" s="70" t="s">
        <v>250</v>
      </c>
      <c r="N587" s="70">
        <v>100</v>
      </c>
      <c r="O587" s="258">
        <v>8</v>
      </c>
      <c r="P587" s="70" t="s">
        <v>251</v>
      </c>
      <c r="Q587" s="70" t="s">
        <v>233</v>
      </c>
      <c r="R587" s="70" t="s">
        <v>240</v>
      </c>
      <c r="S587" s="70" t="s">
        <v>233</v>
      </c>
      <c r="T587" s="70" t="s">
        <v>233</v>
      </c>
      <c r="U587" s="70" t="s">
        <v>1427</v>
      </c>
      <c r="V587" s="70" t="s">
        <v>240</v>
      </c>
      <c r="W587" s="12"/>
      <c r="X587" s="242">
        <v>560.66000000000008</v>
      </c>
      <c r="Y587" s="242">
        <v>529.43999999999994</v>
      </c>
      <c r="Z587" s="242">
        <v>73.959999999999994</v>
      </c>
      <c r="AA587" s="157" t="s">
        <v>252</v>
      </c>
      <c r="AB587" s="242">
        <v>176.78</v>
      </c>
      <c r="AC587" s="157" t="s">
        <v>252</v>
      </c>
      <c r="AD587" s="242">
        <v>48.59</v>
      </c>
      <c r="AE587" s="157" t="s">
        <v>252</v>
      </c>
      <c r="AF587" s="242">
        <v>56.39</v>
      </c>
      <c r="AG587" s="157" t="s">
        <v>252</v>
      </c>
      <c r="AH587" s="242">
        <v>23.58</v>
      </c>
      <c r="AI587" s="157" t="s">
        <v>252</v>
      </c>
      <c r="AJ587" s="242">
        <v>14</v>
      </c>
      <c r="AK587" s="242" t="s">
        <v>252</v>
      </c>
      <c r="AL587" s="242">
        <v>10.14</v>
      </c>
      <c r="AM587" s="242" t="s">
        <v>252</v>
      </c>
      <c r="AN587" s="242">
        <v>11.8</v>
      </c>
      <c r="AO587" s="242" t="s">
        <v>252</v>
      </c>
      <c r="AP587" s="242">
        <v>14.98</v>
      </c>
      <c r="AQ587" s="242" t="s">
        <v>252</v>
      </c>
      <c r="AR587" s="242">
        <v>61.68</v>
      </c>
      <c r="AS587" s="242" t="s">
        <v>252</v>
      </c>
      <c r="AT587" s="242">
        <v>63.05</v>
      </c>
      <c r="AU587" s="242" t="s">
        <v>252</v>
      </c>
      <c r="AV587" s="242">
        <v>77.099999999999994</v>
      </c>
      <c r="AW587" s="157" t="s">
        <v>252</v>
      </c>
      <c r="AX587" s="157">
        <v>1722.1499999999999</v>
      </c>
      <c r="AY587" s="240">
        <v>0.2</v>
      </c>
      <c r="AZ587" s="156" t="s">
        <v>253</v>
      </c>
      <c r="BA587" s="156" t="s">
        <v>254</v>
      </c>
      <c r="BB587" s="156">
        <v>0</v>
      </c>
      <c r="BC587" s="156" t="s">
        <v>1423</v>
      </c>
      <c r="BD587" s="3"/>
    </row>
    <row r="588" spans="1:56" ht="15.75" hidden="1" customHeight="1" outlineLevel="1">
      <c r="A588" s="58">
        <v>578</v>
      </c>
      <c r="B588" s="11">
        <v>129578</v>
      </c>
      <c r="C588" s="89" t="s">
        <v>350</v>
      </c>
      <c r="D588" s="157" t="s">
        <v>351</v>
      </c>
      <c r="E588" s="12" t="s">
        <v>191</v>
      </c>
      <c r="F588" s="11" t="s">
        <v>246</v>
      </c>
      <c r="G588" s="18" t="s">
        <v>247</v>
      </c>
      <c r="H588" s="11" t="s">
        <v>248</v>
      </c>
      <c r="I588" s="87" t="s">
        <v>249</v>
      </c>
      <c r="J588" s="19" t="s">
        <v>139</v>
      </c>
      <c r="K588" s="17" t="s">
        <v>140</v>
      </c>
      <c r="L588" s="257">
        <v>0</v>
      </c>
      <c r="M588" s="70" t="s">
        <v>250</v>
      </c>
      <c r="N588" s="70">
        <v>100</v>
      </c>
      <c r="O588" s="258">
        <v>8</v>
      </c>
      <c r="P588" s="70" t="s">
        <v>251</v>
      </c>
      <c r="Q588" s="70" t="s">
        <v>233</v>
      </c>
      <c r="R588" s="70" t="s">
        <v>240</v>
      </c>
      <c r="S588" s="70" t="s">
        <v>240</v>
      </c>
      <c r="T588" s="70" t="s">
        <v>240</v>
      </c>
      <c r="U588" s="70" t="s">
        <v>1427</v>
      </c>
      <c r="V588" s="70" t="s">
        <v>240</v>
      </c>
      <c r="W588" s="12"/>
      <c r="X588" s="242">
        <v>0</v>
      </c>
      <c r="Y588" s="242">
        <v>0</v>
      </c>
      <c r="Z588" s="242">
        <v>82.4</v>
      </c>
      <c r="AA588" s="157" t="s">
        <v>252</v>
      </c>
      <c r="AB588" s="242">
        <v>76.510000000000005</v>
      </c>
      <c r="AC588" s="157" t="s">
        <v>252</v>
      </c>
      <c r="AD588" s="242">
        <v>50.93</v>
      </c>
      <c r="AE588" s="157" t="s">
        <v>252</v>
      </c>
      <c r="AF588" s="242">
        <v>42.67</v>
      </c>
      <c r="AG588" s="157" t="s">
        <v>252</v>
      </c>
      <c r="AH588" s="242">
        <v>13.98</v>
      </c>
      <c r="AI588" s="157" t="s">
        <v>252</v>
      </c>
      <c r="AJ588" s="242">
        <v>8.33</v>
      </c>
      <c r="AK588" s="242" t="s">
        <v>252</v>
      </c>
      <c r="AL588" s="242">
        <v>5.61</v>
      </c>
      <c r="AM588" s="242" t="s">
        <v>252</v>
      </c>
      <c r="AN588" s="242">
        <v>5.16</v>
      </c>
      <c r="AO588" s="242" t="s">
        <v>252</v>
      </c>
      <c r="AP588" s="242">
        <v>6.93</v>
      </c>
      <c r="AQ588" s="242" t="s">
        <v>252</v>
      </c>
      <c r="AR588" s="242">
        <v>37.56</v>
      </c>
      <c r="AS588" s="242" t="s">
        <v>252</v>
      </c>
      <c r="AT588" s="242">
        <v>41.52</v>
      </c>
      <c r="AU588" s="242" t="s">
        <v>252</v>
      </c>
      <c r="AV588" s="242">
        <v>56.04</v>
      </c>
      <c r="AW588" s="157" t="s">
        <v>252</v>
      </c>
      <c r="AX588" s="157">
        <v>427.6400000000001</v>
      </c>
      <c r="AY588" s="243">
        <v>0.18000000000000002</v>
      </c>
      <c r="AZ588" s="156" t="s">
        <v>253</v>
      </c>
      <c r="BA588" s="156" t="s">
        <v>254</v>
      </c>
      <c r="BB588" s="156">
        <v>0</v>
      </c>
      <c r="BC588" s="156" t="s">
        <v>1423</v>
      </c>
      <c r="BD588" s="3"/>
    </row>
    <row r="589" spans="1:56" ht="15.75" hidden="1" customHeight="1" outlineLevel="1">
      <c r="A589" s="58">
        <v>579</v>
      </c>
      <c r="B589" s="11">
        <v>129579</v>
      </c>
      <c r="C589" s="89" t="s">
        <v>350</v>
      </c>
      <c r="D589" s="157">
        <v>10</v>
      </c>
      <c r="E589" s="12" t="s">
        <v>260</v>
      </c>
      <c r="F589" s="11" t="s">
        <v>246</v>
      </c>
      <c r="G589" s="18" t="s">
        <v>247</v>
      </c>
      <c r="H589" s="11" t="s">
        <v>248</v>
      </c>
      <c r="I589" s="87" t="s">
        <v>249</v>
      </c>
      <c r="J589" s="19" t="s">
        <v>139</v>
      </c>
      <c r="K589" s="17" t="s">
        <v>140</v>
      </c>
      <c r="L589" s="260">
        <v>1</v>
      </c>
      <c r="M589" s="70" t="s">
        <v>250</v>
      </c>
      <c r="N589" s="70">
        <v>100</v>
      </c>
      <c r="O589" s="258">
        <v>8</v>
      </c>
      <c r="P589" s="70" t="s">
        <v>251</v>
      </c>
      <c r="Q589" s="70" t="s">
        <v>240</v>
      </c>
      <c r="R589" s="70" t="s">
        <v>240</v>
      </c>
      <c r="S589" s="70" t="s">
        <v>233</v>
      </c>
      <c r="T589" s="70" t="s">
        <v>233</v>
      </c>
      <c r="U589" s="70" t="s">
        <v>1427</v>
      </c>
      <c r="V589" s="70" t="s">
        <v>240</v>
      </c>
      <c r="W589" s="12"/>
      <c r="X589" s="242">
        <v>36.759999999999962</v>
      </c>
      <c r="Y589" s="242">
        <v>732.78000000000009</v>
      </c>
      <c r="Z589" s="242">
        <v>100.92</v>
      </c>
      <c r="AA589" s="157" t="s">
        <v>252</v>
      </c>
      <c r="AB589" s="242">
        <v>100.98</v>
      </c>
      <c r="AC589" s="157" t="s">
        <v>252</v>
      </c>
      <c r="AD589" s="242">
        <v>52.16</v>
      </c>
      <c r="AE589" s="157" t="s">
        <v>252</v>
      </c>
      <c r="AF589" s="242">
        <v>28.91</v>
      </c>
      <c r="AG589" s="157" t="s">
        <v>252</v>
      </c>
      <c r="AH589" s="242">
        <v>21.44</v>
      </c>
      <c r="AI589" s="157" t="s">
        <v>252</v>
      </c>
      <c r="AJ589" s="242">
        <v>12.73</v>
      </c>
      <c r="AK589" s="242" t="s">
        <v>252</v>
      </c>
      <c r="AL589" s="242">
        <v>11.75</v>
      </c>
      <c r="AM589" s="242" t="s">
        <v>252</v>
      </c>
      <c r="AN589" s="242">
        <v>16.8</v>
      </c>
      <c r="AO589" s="242" t="s">
        <v>252</v>
      </c>
      <c r="AP589" s="242">
        <v>20.59</v>
      </c>
      <c r="AQ589" s="242" t="s">
        <v>252</v>
      </c>
      <c r="AR589" s="242">
        <v>71.959999999999994</v>
      </c>
      <c r="AS589" s="242" t="s">
        <v>252</v>
      </c>
      <c r="AT589" s="242">
        <v>29.8</v>
      </c>
      <c r="AU589" s="242" t="s">
        <v>252</v>
      </c>
      <c r="AV589" s="242">
        <v>56.28</v>
      </c>
      <c r="AW589" s="157" t="s">
        <v>252</v>
      </c>
      <c r="AX589" s="157">
        <v>1293.8599999999999</v>
      </c>
      <c r="AY589" s="240">
        <v>0.155</v>
      </c>
      <c r="AZ589" s="156" t="s">
        <v>253</v>
      </c>
      <c r="BA589" s="156" t="s">
        <v>254</v>
      </c>
      <c r="BB589" s="156">
        <v>0</v>
      </c>
      <c r="BC589" s="156" t="s">
        <v>1423</v>
      </c>
      <c r="BD589" s="3"/>
    </row>
    <row r="590" spans="1:56" ht="15.75" hidden="1" customHeight="1" outlineLevel="1">
      <c r="A590" s="58">
        <v>580</v>
      </c>
      <c r="B590" s="11">
        <v>129580</v>
      </c>
      <c r="C590" s="89" t="s">
        <v>350</v>
      </c>
      <c r="D590" s="157">
        <v>14</v>
      </c>
      <c r="E590" s="12" t="s">
        <v>191</v>
      </c>
      <c r="F590" s="11" t="s">
        <v>246</v>
      </c>
      <c r="G590" s="18" t="s">
        <v>247</v>
      </c>
      <c r="H590" s="11" t="s">
        <v>248</v>
      </c>
      <c r="I590" s="87" t="s">
        <v>249</v>
      </c>
      <c r="J590" s="19" t="s">
        <v>139</v>
      </c>
      <c r="K590" s="17" t="s">
        <v>140</v>
      </c>
      <c r="L590" s="260">
        <v>1</v>
      </c>
      <c r="M590" s="70" t="s">
        <v>250</v>
      </c>
      <c r="N590" s="70">
        <v>100</v>
      </c>
      <c r="O590" s="258">
        <v>8</v>
      </c>
      <c r="P590" s="70" t="s">
        <v>251</v>
      </c>
      <c r="Q590" s="70" t="s">
        <v>233</v>
      </c>
      <c r="R590" s="70" t="s">
        <v>240</v>
      </c>
      <c r="S590" s="70" t="s">
        <v>233</v>
      </c>
      <c r="T590" s="70" t="s">
        <v>233</v>
      </c>
      <c r="U590" s="70" t="s">
        <v>1427</v>
      </c>
      <c r="V590" s="70" t="s">
        <v>240</v>
      </c>
      <c r="W590" s="12"/>
      <c r="X590" s="242">
        <v>1677.35</v>
      </c>
      <c r="Y590" s="242">
        <v>1661.8100000000002</v>
      </c>
      <c r="Z590" s="242">
        <v>228.95</v>
      </c>
      <c r="AA590" s="157" t="s">
        <v>252</v>
      </c>
      <c r="AB590" s="242">
        <v>167.88</v>
      </c>
      <c r="AC590" s="157" t="s">
        <v>252</v>
      </c>
      <c r="AD590" s="242">
        <v>221</v>
      </c>
      <c r="AE590" s="157" t="s">
        <v>252</v>
      </c>
      <c r="AF590" s="242">
        <v>127.74</v>
      </c>
      <c r="AG590" s="157" t="s">
        <v>252</v>
      </c>
      <c r="AH590" s="242">
        <v>45.32</v>
      </c>
      <c r="AI590" s="157" t="s">
        <v>252</v>
      </c>
      <c r="AJ590" s="242">
        <v>17.73</v>
      </c>
      <c r="AK590" s="242" t="s">
        <v>252</v>
      </c>
      <c r="AL590" s="242">
        <v>13.08</v>
      </c>
      <c r="AM590" s="242" t="s">
        <v>252</v>
      </c>
      <c r="AN590" s="242">
        <v>13.6</v>
      </c>
      <c r="AO590" s="242" t="s">
        <v>252</v>
      </c>
      <c r="AP590" s="242">
        <v>19.22</v>
      </c>
      <c r="AQ590" s="242" t="s">
        <v>252</v>
      </c>
      <c r="AR590" s="242">
        <v>116.05</v>
      </c>
      <c r="AS590" s="242" t="s">
        <v>252</v>
      </c>
      <c r="AT590" s="242">
        <v>101.54</v>
      </c>
      <c r="AU590" s="242" t="s">
        <v>252</v>
      </c>
      <c r="AV590" s="242">
        <v>152.71</v>
      </c>
      <c r="AW590" s="157" t="s">
        <v>252</v>
      </c>
      <c r="AX590" s="157">
        <v>4563.9799999999996</v>
      </c>
      <c r="AY590" s="240">
        <v>0.5</v>
      </c>
      <c r="AZ590" s="156" t="s">
        <v>253</v>
      </c>
      <c r="BA590" s="156" t="s">
        <v>254</v>
      </c>
      <c r="BB590" s="156">
        <v>0</v>
      </c>
      <c r="BC590" s="156" t="s">
        <v>1423</v>
      </c>
      <c r="BD590" s="3"/>
    </row>
    <row r="591" spans="1:56" ht="15.75" hidden="1" customHeight="1" outlineLevel="1">
      <c r="A591" s="58">
        <v>581</v>
      </c>
      <c r="B591" s="11">
        <v>129581</v>
      </c>
      <c r="C591" s="89" t="s">
        <v>350</v>
      </c>
      <c r="D591" s="157">
        <v>5</v>
      </c>
      <c r="E591" s="12" t="s">
        <v>191</v>
      </c>
      <c r="F591" s="11" t="s">
        <v>246</v>
      </c>
      <c r="G591" s="18" t="s">
        <v>247</v>
      </c>
      <c r="H591" s="11" t="s">
        <v>248</v>
      </c>
      <c r="I591" s="87" t="s">
        <v>249</v>
      </c>
      <c r="J591" s="19" t="s">
        <v>139</v>
      </c>
      <c r="K591" s="17" t="s">
        <v>140</v>
      </c>
      <c r="L591" s="260">
        <v>1</v>
      </c>
      <c r="M591" s="70" t="s">
        <v>250</v>
      </c>
      <c r="N591" s="70">
        <v>100</v>
      </c>
      <c r="O591" s="258">
        <v>8</v>
      </c>
      <c r="P591" s="70" t="s">
        <v>251</v>
      </c>
      <c r="Q591" s="70" t="s">
        <v>233</v>
      </c>
      <c r="R591" s="70" t="s">
        <v>240</v>
      </c>
      <c r="S591" s="70" t="s">
        <v>233</v>
      </c>
      <c r="T591" s="70" t="s">
        <v>233</v>
      </c>
      <c r="U591" s="70" t="s">
        <v>1427</v>
      </c>
      <c r="V591" s="70" t="s">
        <v>240</v>
      </c>
      <c r="W591" s="12"/>
      <c r="X591" s="242">
        <v>605.39207862143235</v>
      </c>
      <c r="Y591" s="242">
        <v>501.64276790522348</v>
      </c>
      <c r="Z591" s="242">
        <v>83.098142164781905</v>
      </c>
      <c r="AA591" s="157" t="s">
        <v>252</v>
      </c>
      <c r="AB591" s="242">
        <v>60.41723747980614</v>
      </c>
      <c r="AC591" s="157" t="s">
        <v>252</v>
      </c>
      <c r="AD591" s="242">
        <v>87.176235864297254</v>
      </c>
      <c r="AE591" s="157" t="s">
        <v>252</v>
      </c>
      <c r="AF591" s="242">
        <v>49.374728056004308</v>
      </c>
      <c r="AG591" s="157" t="s">
        <v>252</v>
      </c>
      <c r="AH591" s="242">
        <v>19.478018309100701</v>
      </c>
      <c r="AI591" s="157" t="s">
        <v>252</v>
      </c>
      <c r="AJ591" s="242">
        <v>12.895341949380722</v>
      </c>
      <c r="AK591" s="242" t="s">
        <v>252</v>
      </c>
      <c r="AL591" s="242">
        <v>6.9923478729133013</v>
      </c>
      <c r="AM591" s="242" t="s">
        <v>252</v>
      </c>
      <c r="AN591" s="242">
        <v>6.9178621432417877</v>
      </c>
      <c r="AO591" s="242" t="s">
        <v>252</v>
      </c>
      <c r="AP591" s="242">
        <v>10.06488422186322</v>
      </c>
      <c r="AQ591" s="242" t="s">
        <v>252</v>
      </c>
      <c r="AR591" s="242">
        <v>42.335826602046311</v>
      </c>
      <c r="AS591" s="242" t="s">
        <v>252</v>
      </c>
      <c r="AT591" s="242">
        <v>41.935465805061931</v>
      </c>
      <c r="AU591" s="242" t="s">
        <v>252</v>
      </c>
      <c r="AV591" s="242">
        <v>52.521750134625741</v>
      </c>
      <c r="AW591" s="157" t="s">
        <v>252</v>
      </c>
      <c r="AX591" s="157">
        <v>1580.2426871297794</v>
      </c>
      <c r="AY591" s="240">
        <v>1.3686752827140549E-2</v>
      </c>
      <c r="AZ591" s="156" t="s">
        <v>253</v>
      </c>
      <c r="BA591" s="156" t="s">
        <v>254</v>
      </c>
      <c r="BB591" s="156">
        <v>1</v>
      </c>
      <c r="BC591" s="156" t="s">
        <v>1423</v>
      </c>
      <c r="BD591" s="3"/>
    </row>
    <row r="592" spans="1:56" ht="15.75" hidden="1" customHeight="1" outlineLevel="1">
      <c r="A592" s="58">
        <v>582</v>
      </c>
      <c r="B592" s="11">
        <v>129582</v>
      </c>
      <c r="C592" s="89" t="s">
        <v>350</v>
      </c>
      <c r="D592" s="157">
        <v>5</v>
      </c>
      <c r="E592" s="12" t="s">
        <v>231</v>
      </c>
      <c r="F592" s="11" t="s">
        <v>246</v>
      </c>
      <c r="G592" s="18" t="s">
        <v>247</v>
      </c>
      <c r="H592" s="11" t="s">
        <v>248</v>
      </c>
      <c r="I592" s="87" t="s">
        <v>249</v>
      </c>
      <c r="J592" s="19" t="s">
        <v>139</v>
      </c>
      <c r="K592" s="17" t="s">
        <v>140</v>
      </c>
      <c r="L592" s="257">
        <v>0</v>
      </c>
      <c r="M592" s="70" t="s">
        <v>250</v>
      </c>
      <c r="N592" s="70">
        <v>100</v>
      </c>
      <c r="O592" s="258">
        <v>8</v>
      </c>
      <c r="P592" s="70" t="s">
        <v>251</v>
      </c>
      <c r="Q592" s="70" t="s">
        <v>233</v>
      </c>
      <c r="R592" s="70" t="s">
        <v>240</v>
      </c>
      <c r="S592" s="70" t="s">
        <v>233</v>
      </c>
      <c r="T592" s="70" t="s">
        <v>233</v>
      </c>
      <c r="U592" s="70" t="s">
        <v>1427</v>
      </c>
      <c r="V592" s="70" t="s">
        <v>240</v>
      </c>
      <c r="W592" s="12"/>
      <c r="X592" s="242">
        <v>44.817921378567576</v>
      </c>
      <c r="Y592" s="242">
        <v>37.137232094776522</v>
      </c>
      <c r="Z592" s="242">
        <v>6.1518578352180935</v>
      </c>
      <c r="AA592" s="157" t="s">
        <v>252</v>
      </c>
      <c r="AB592" s="242">
        <v>4.4727625201938608</v>
      </c>
      <c r="AC592" s="157" t="s">
        <v>252</v>
      </c>
      <c r="AD592" s="242">
        <v>6.4537641357027464</v>
      </c>
      <c r="AE592" s="157" t="s">
        <v>252</v>
      </c>
      <c r="AF592" s="242">
        <v>3.6552719439956922</v>
      </c>
      <c r="AG592" s="157" t="s">
        <v>252</v>
      </c>
      <c r="AH592" s="242">
        <v>1.4419816908993</v>
      </c>
      <c r="AI592" s="157" t="s">
        <v>252</v>
      </c>
      <c r="AJ592" s="242">
        <v>0.95465805061927833</v>
      </c>
      <c r="AK592" s="242" t="s">
        <v>252</v>
      </c>
      <c r="AL592" s="242">
        <v>0.51765212708669894</v>
      </c>
      <c r="AM592" s="242" t="s">
        <v>252</v>
      </c>
      <c r="AN592" s="242">
        <v>0.51213785675821211</v>
      </c>
      <c r="AO592" s="242" t="s">
        <v>252</v>
      </c>
      <c r="AP592" s="242">
        <v>0.74511577813677976</v>
      </c>
      <c r="AQ592" s="242" t="s">
        <v>252</v>
      </c>
      <c r="AR592" s="242">
        <v>3.1341733979536888</v>
      </c>
      <c r="AS592" s="242" t="s">
        <v>252</v>
      </c>
      <c r="AT592" s="242">
        <v>3.104534194938072</v>
      </c>
      <c r="AU592" s="242" t="s">
        <v>252</v>
      </c>
      <c r="AV592" s="242">
        <v>3.8882498653742594</v>
      </c>
      <c r="AW592" s="157" t="s">
        <v>252</v>
      </c>
      <c r="AX592" s="157">
        <v>116.98731287022078</v>
      </c>
      <c r="AY592" s="243">
        <v>1.0132471728594506E-3</v>
      </c>
      <c r="AZ592" s="156" t="s">
        <v>253</v>
      </c>
      <c r="BA592" s="156" t="s">
        <v>254</v>
      </c>
      <c r="BB592" s="156">
        <v>0</v>
      </c>
      <c r="BC592" s="156" t="s">
        <v>1423</v>
      </c>
      <c r="BD592" s="3"/>
    </row>
    <row r="593" spans="1:56" ht="15.75" hidden="1" customHeight="1" outlineLevel="1">
      <c r="A593" s="58">
        <v>583</v>
      </c>
      <c r="B593" s="11">
        <v>129583</v>
      </c>
      <c r="C593" s="89" t="s">
        <v>350</v>
      </c>
      <c r="D593" s="157" t="s">
        <v>224</v>
      </c>
      <c r="E593" s="12" t="s">
        <v>191</v>
      </c>
      <c r="F593" s="11" t="s">
        <v>246</v>
      </c>
      <c r="G593" s="18" t="s">
        <v>247</v>
      </c>
      <c r="H593" s="11" t="s">
        <v>248</v>
      </c>
      <c r="I593" s="87" t="s">
        <v>249</v>
      </c>
      <c r="J593" s="19" t="s">
        <v>139</v>
      </c>
      <c r="K593" s="17" t="s">
        <v>140</v>
      </c>
      <c r="L593" s="257">
        <v>0</v>
      </c>
      <c r="M593" s="70" t="s">
        <v>250</v>
      </c>
      <c r="N593" s="70">
        <v>100</v>
      </c>
      <c r="O593" s="258">
        <v>8</v>
      </c>
      <c r="P593" s="70" t="s">
        <v>251</v>
      </c>
      <c r="Q593" s="70" t="s">
        <v>233</v>
      </c>
      <c r="R593" s="70" t="s">
        <v>240</v>
      </c>
      <c r="S593" s="70" t="s">
        <v>233</v>
      </c>
      <c r="T593" s="70" t="s">
        <v>233</v>
      </c>
      <c r="U593" s="70" t="s">
        <v>1427</v>
      </c>
      <c r="V593" s="70" t="s">
        <v>240</v>
      </c>
      <c r="W593" s="12"/>
      <c r="X593" s="242">
        <v>579.1500793078585</v>
      </c>
      <c r="Y593" s="242">
        <v>671.39136986301367</v>
      </c>
      <c r="Z593" s="242">
        <v>70.274960346070657</v>
      </c>
      <c r="AA593" s="157" t="s">
        <v>252</v>
      </c>
      <c r="AB593" s="242">
        <v>69.306366258111026</v>
      </c>
      <c r="AC593" s="157" t="s">
        <v>252</v>
      </c>
      <c r="AD593" s="242">
        <v>91.973197548666178</v>
      </c>
      <c r="AE593" s="157" t="s">
        <v>252</v>
      </c>
      <c r="AF593" s="242">
        <v>50.989560201874546</v>
      </c>
      <c r="AG593" s="157" t="s">
        <v>252</v>
      </c>
      <c r="AH593" s="242">
        <v>37.576261715933668</v>
      </c>
      <c r="AI593" s="157" t="s">
        <v>252</v>
      </c>
      <c r="AJ593" s="242">
        <v>26.030966113914925</v>
      </c>
      <c r="AK593" s="242" t="s">
        <v>252</v>
      </c>
      <c r="AL593" s="242">
        <v>24.007296322999281</v>
      </c>
      <c r="AM593" s="242" t="s">
        <v>252</v>
      </c>
      <c r="AN593" s="242">
        <v>34.436979091564524</v>
      </c>
      <c r="AO593" s="242" t="s">
        <v>252</v>
      </c>
      <c r="AP593" s="242">
        <v>42.298157894736839</v>
      </c>
      <c r="AQ593" s="242" t="s">
        <v>252</v>
      </c>
      <c r="AR593" s="242">
        <v>124.14435832732516</v>
      </c>
      <c r="AS593" s="242" t="s">
        <v>252</v>
      </c>
      <c r="AT593" s="242">
        <v>52.234895457822638</v>
      </c>
      <c r="AU593" s="242" t="s">
        <v>252</v>
      </c>
      <c r="AV593" s="242">
        <v>99.004152847873115</v>
      </c>
      <c r="AW593" s="157" t="s">
        <v>252</v>
      </c>
      <c r="AX593" s="157">
        <v>1972.8186012977644</v>
      </c>
      <c r="AY593" s="240">
        <v>0.26809300648882478</v>
      </c>
      <c r="AZ593" s="156" t="s">
        <v>253</v>
      </c>
      <c r="BA593" s="156" t="s">
        <v>254</v>
      </c>
      <c r="BB593" s="156">
        <v>0</v>
      </c>
      <c r="BC593" s="156" t="s">
        <v>1423</v>
      </c>
      <c r="BD593" s="3"/>
    </row>
    <row r="594" spans="1:56" ht="15.75" hidden="1" customHeight="1" outlineLevel="1">
      <c r="A594" s="58">
        <v>584</v>
      </c>
      <c r="B594" s="11">
        <v>129584</v>
      </c>
      <c r="C594" s="89" t="s">
        <v>350</v>
      </c>
      <c r="D594" s="157" t="s">
        <v>224</v>
      </c>
      <c r="E594" s="12" t="s">
        <v>260</v>
      </c>
      <c r="F594" s="11" t="s">
        <v>246</v>
      </c>
      <c r="G594" s="18" t="s">
        <v>247</v>
      </c>
      <c r="H594" s="11" t="s">
        <v>248</v>
      </c>
      <c r="I594" s="87" t="s">
        <v>249</v>
      </c>
      <c r="J594" s="19" t="s">
        <v>139</v>
      </c>
      <c r="K594" s="17" t="s">
        <v>140</v>
      </c>
      <c r="L594" s="257">
        <v>0</v>
      </c>
      <c r="M594" s="70" t="s">
        <v>250</v>
      </c>
      <c r="N594" s="70">
        <v>100</v>
      </c>
      <c r="O594" s="258">
        <v>8</v>
      </c>
      <c r="P594" s="70" t="s">
        <v>251</v>
      </c>
      <c r="Q594" s="70" t="s">
        <v>233</v>
      </c>
      <c r="R594" s="70" t="s">
        <v>240</v>
      </c>
      <c r="S594" s="70" t="s">
        <v>233</v>
      </c>
      <c r="T594" s="70" t="s">
        <v>233</v>
      </c>
      <c r="U594" s="70" t="s">
        <v>1427</v>
      </c>
      <c r="V594" s="70" t="s">
        <v>240</v>
      </c>
      <c r="W594" s="12"/>
      <c r="X594" s="242">
        <v>90.529920692141303</v>
      </c>
      <c r="Y594" s="242">
        <v>104.94863013698631</v>
      </c>
      <c r="Z594" s="242">
        <v>10.985039653929347</v>
      </c>
      <c r="AA594" s="157" t="s">
        <v>252</v>
      </c>
      <c r="AB594" s="242">
        <v>10.833633741888971</v>
      </c>
      <c r="AC594" s="157" t="s">
        <v>252</v>
      </c>
      <c r="AD594" s="242">
        <v>14.376802451333816</v>
      </c>
      <c r="AE594" s="157" t="s">
        <v>252</v>
      </c>
      <c r="AF594" s="242">
        <v>7.9704397981254518</v>
      </c>
      <c r="AG594" s="157" t="s">
        <v>252</v>
      </c>
      <c r="AH594" s="242">
        <v>5.8737382840663317</v>
      </c>
      <c r="AI594" s="157" t="s">
        <v>252</v>
      </c>
      <c r="AJ594" s="242">
        <v>4.0690338860850765</v>
      </c>
      <c r="AK594" s="242" t="s">
        <v>252</v>
      </c>
      <c r="AL594" s="242">
        <v>3.7527036770007216</v>
      </c>
      <c r="AM594" s="242" t="s">
        <v>252</v>
      </c>
      <c r="AN594" s="242">
        <v>5.3830209084354728</v>
      </c>
      <c r="AO594" s="242" t="s">
        <v>252</v>
      </c>
      <c r="AP594" s="242">
        <v>6.6118421052631584</v>
      </c>
      <c r="AQ594" s="242" t="s">
        <v>252</v>
      </c>
      <c r="AR594" s="242">
        <v>19.405641672674843</v>
      </c>
      <c r="AS594" s="242" t="s">
        <v>252</v>
      </c>
      <c r="AT594" s="242">
        <v>8.165104542177362</v>
      </c>
      <c r="AU594" s="242" t="s">
        <v>252</v>
      </c>
      <c r="AV594" s="242">
        <v>15.475847152126896</v>
      </c>
      <c r="AW594" s="157" t="s">
        <v>252</v>
      </c>
      <c r="AX594" s="157">
        <v>308.38139870223506</v>
      </c>
      <c r="AY594" s="243">
        <v>4.1906993511175203E-2</v>
      </c>
      <c r="AZ594" s="156" t="s">
        <v>253</v>
      </c>
      <c r="BA594" s="156" t="s">
        <v>254</v>
      </c>
      <c r="BB594" s="156">
        <v>0</v>
      </c>
      <c r="BC594" s="156" t="s">
        <v>1423</v>
      </c>
      <c r="BD594" s="3"/>
    </row>
    <row r="595" spans="1:56" ht="15.75" hidden="1" customHeight="1" outlineLevel="1">
      <c r="A595" s="58">
        <v>585</v>
      </c>
      <c r="B595" s="11">
        <v>129585</v>
      </c>
      <c r="C595" s="89" t="s">
        <v>352</v>
      </c>
      <c r="D595" s="157">
        <v>10</v>
      </c>
      <c r="E595" s="12" t="s">
        <v>191</v>
      </c>
      <c r="F595" s="11" t="s">
        <v>246</v>
      </c>
      <c r="G595" s="18" t="s">
        <v>247</v>
      </c>
      <c r="H595" s="11" t="s">
        <v>248</v>
      </c>
      <c r="I595" s="87" t="s">
        <v>249</v>
      </c>
      <c r="J595" s="19" t="s">
        <v>139</v>
      </c>
      <c r="K595" s="17" t="s">
        <v>140</v>
      </c>
      <c r="L595" s="260">
        <v>1</v>
      </c>
      <c r="M595" s="70" t="s">
        <v>250</v>
      </c>
      <c r="N595" s="70">
        <v>80</v>
      </c>
      <c r="O595" s="258">
        <v>8</v>
      </c>
      <c r="P595" s="70" t="s">
        <v>251</v>
      </c>
      <c r="Q595" s="70" t="s">
        <v>233</v>
      </c>
      <c r="R595" s="70" t="s">
        <v>240</v>
      </c>
      <c r="S595" s="70" t="s">
        <v>233</v>
      </c>
      <c r="T595" s="70" t="s">
        <v>233</v>
      </c>
      <c r="U595" s="70" t="s">
        <v>1427</v>
      </c>
      <c r="V595" s="70" t="s">
        <v>240</v>
      </c>
      <c r="W595" s="12"/>
      <c r="X595" s="242">
        <v>566.38</v>
      </c>
      <c r="Y595" s="242">
        <v>475.58</v>
      </c>
      <c r="Z595" s="242">
        <v>61.95</v>
      </c>
      <c r="AA595" s="157" t="s">
        <v>259</v>
      </c>
      <c r="AB595" s="242">
        <v>61.81</v>
      </c>
      <c r="AC595" s="157" t="s">
        <v>259</v>
      </c>
      <c r="AD595" s="242">
        <v>62.25</v>
      </c>
      <c r="AE595" s="157" t="s">
        <v>252</v>
      </c>
      <c r="AF595" s="242">
        <v>49.62</v>
      </c>
      <c r="AG595" s="157" t="s">
        <v>252</v>
      </c>
      <c r="AH595" s="242">
        <v>14.83</v>
      </c>
      <c r="AI595" s="157" t="s">
        <v>252</v>
      </c>
      <c r="AJ595" s="242">
        <v>6.29</v>
      </c>
      <c r="AK595" s="242" t="s">
        <v>252</v>
      </c>
      <c r="AL595" s="242">
        <v>5.47</v>
      </c>
      <c r="AM595" s="242" t="s">
        <v>252</v>
      </c>
      <c r="AN595" s="242">
        <v>6.72</v>
      </c>
      <c r="AO595" s="242" t="s">
        <v>252</v>
      </c>
      <c r="AP595" s="242">
        <v>5.51</v>
      </c>
      <c r="AQ595" s="242" t="s">
        <v>252</v>
      </c>
      <c r="AR595" s="242">
        <v>48.43</v>
      </c>
      <c r="AS595" s="242" t="s">
        <v>252</v>
      </c>
      <c r="AT595" s="242">
        <v>46.09</v>
      </c>
      <c r="AU595" s="242" t="s">
        <v>252</v>
      </c>
      <c r="AV595" s="242">
        <v>40.840359999999997</v>
      </c>
      <c r="AW595" s="157" t="s">
        <v>259</v>
      </c>
      <c r="AX595" s="157">
        <v>1451.7703599999998</v>
      </c>
      <c r="AY595" s="240">
        <v>0.23</v>
      </c>
      <c r="AZ595" s="156" t="s">
        <v>253</v>
      </c>
      <c r="BA595" s="156" t="s">
        <v>254</v>
      </c>
      <c r="BB595" s="156">
        <v>1</v>
      </c>
      <c r="BC595" s="157" t="s">
        <v>255</v>
      </c>
      <c r="BD595" s="3"/>
    </row>
    <row r="596" spans="1:56" ht="15.75" hidden="1" customHeight="1" outlineLevel="1">
      <c r="A596" s="58">
        <v>586</v>
      </c>
      <c r="B596" s="11">
        <v>129586</v>
      </c>
      <c r="C596" s="89" t="s">
        <v>352</v>
      </c>
      <c r="D596" s="157">
        <v>11</v>
      </c>
      <c r="E596" s="12" t="s">
        <v>191</v>
      </c>
      <c r="F596" s="11" t="s">
        <v>246</v>
      </c>
      <c r="G596" s="18" t="s">
        <v>247</v>
      </c>
      <c r="H596" s="11" t="s">
        <v>248</v>
      </c>
      <c r="I596" s="87" t="s">
        <v>249</v>
      </c>
      <c r="J596" s="19" t="s">
        <v>139</v>
      </c>
      <c r="K596" s="17" t="s">
        <v>140</v>
      </c>
      <c r="L596" s="260">
        <v>1</v>
      </c>
      <c r="M596" s="70" t="s">
        <v>250</v>
      </c>
      <c r="N596" s="70">
        <v>80</v>
      </c>
      <c r="O596" s="258">
        <v>8</v>
      </c>
      <c r="P596" s="70" t="s">
        <v>251</v>
      </c>
      <c r="Q596" s="70" t="s">
        <v>233</v>
      </c>
      <c r="R596" s="70" t="s">
        <v>240</v>
      </c>
      <c r="S596" s="70" t="s">
        <v>233</v>
      </c>
      <c r="T596" s="70" t="s">
        <v>233</v>
      </c>
      <c r="U596" s="70" t="s">
        <v>1427</v>
      </c>
      <c r="V596" s="70" t="s">
        <v>240</v>
      </c>
      <c r="W596" s="12"/>
      <c r="X596" s="242">
        <v>1207</v>
      </c>
      <c r="Y596" s="242">
        <v>1110.3899999999999</v>
      </c>
      <c r="Z596" s="242">
        <v>131.68</v>
      </c>
      <c r="AA596" s="157" t="s">
        <v>259</v>
      </c>
      <c r="AB596" s="242">
        <v>123.42</v>
      </c>
      <c r="AC596" s="157" t="s">
        <v>259</v>
      </c>
      <c r="AD596" s="242">
        <v>122.13</v>
      </c>
      <c r="AE596" s="157" t="s">
        <v>259</v>
      </c>
      <c r="AF596" s="242">
        <v>124.28</v>
      </c>
      <c r="AG596" s="157" t="s">
        <v>259</v>
      </c>
      <c r="AH596" s="242">
        <v>121.92</v>
      </c>
      <c r="AI596" s="157" t="s">
        <v>259</v>
      </c>
      <c r="AJ596" s="242">
        <v>18.436669999999999</v>
      </c>
      <c r="AK596" s="242" t="s">
        <v>259</v>
      </c>
      <c r="AL596" s="242">
        <v>18.436669999999999</v>
      </c>
      <c r="AM596" s="242" t="s">
        <v>259</v>
      </c>
      <c r="AN596" s="242">
        <v>18.436669999999999</v>
      </c>
      <c r="AO596" s="242" t="s">
        <v>259</v>
      </c>
      <c r="AP596" s="242">
        <v>40.729579999999999</v>
      </c>
      <c r="AQ596" s="242" t="s">
        <v>259</v>
      </c>
      <c r="AR596" s="242">
        <v>115.43</v>
      </c>
      <c r="AS596" s="242" t="s">
        <v>259</v>
      </c>
      <c r="AT596" s="242">
        <v>115.16</v>
      </c>
      <c r="AU596" s="242" t="s">
        <v>259</v>
      </c>
      <c r="AV596" s="242">
        <v>102.2</v>
      </c>
      <c r="AW596" s="157" t="s">
        <v>252</v>
      </c>
      <c r="AX596" s="157">
        <v>3369.64959</v>
      </c>
      <c r="AY596" s="240">
        <v>0.51</v>
      </c>
      <c r="AZ596" s="156" t="s">
        <v>253</v>
      </c>
      <c r="BA596" s="156" t="s">
        <v>254</v>
      </c>
      <c r="BB596" s="156">
        <v>2</v>
      </c>
      <c r="BC596" s="157" t="s">
        <v>255</v>
      </c>
      <c r="BD596" s="3"/>
    </row>
    <row r="597" spans="1:56" ht="15.75" hidden="1" customHeight="1" outlineLevel="1">
      <c r="A597" s="58">
        <v>587</v>
      </c>
      <c r="B597" s="11">
        <v>129587</v>
      </c>
      <c r="C597" s="89" t="s">
        <v>352</v>
      </c>
      <c r="D597" s="157">
        <v>12</v>
      </c>
      <c r="E597" s="12" t="s">
        <v>191</v>
      </c>
      <c r="F597" s="11" t="s">
        <v>246</v>
      </c>
      <c r="G597" s="18" t="s">
        <v>247</v>
      </c>
      <c r="H597" s="11" t="s">
        <v>248</v>
      </c>
      <c r="I597" s="87" t="s">
        <v>249</v>
      </c>
      <c r="J597" s="19" t="s">
        <v>139</v>
      </c>
      <c r="K597" s="17" t="s">
        <v>140</v>
      </c>
      <c r="L597" s="260">
        <v>1</v>
      </c>
      <c r="M597" s="70" t="s">
        <v>250</v>
      </c>
      <c r="N597" s="70">
        <v>100</v>
      </c>
      <c r="O597" s="258">
        <v>8</v>
      </c>
      <c r="P597" s="70" t="s">
        <v>251</v>
      </c>
      <c r="Q597" s="70" t="s">
        <v>233</v>
      </c>
      <c r="R597" s="70" t="s">
        <v>240</v>
      </c>
      <c r="S597" s="70" t="s">
        <v>233</v>
      </c>
      <c r="T597" s="70" t="s">
        <v>233</v>
      </c>
      <c r="U597" s="70" t="s">
        <v>1427</v>
      </c>
      <c r="V597" s="70" t="s">
        <v>240</v>
      </c>
      <c r="W597" s="12"/>
      <c r="X597" s="242">
        <v>1133.83</v>
      </c>
      <c r="Y597" s="242">
        <v>634.49999999999989</v>
      </c>
      <c r="Z597" s="242">
        <v>67.44</v>
      </c>
      <c r="AA597" s="157" t="s">
        <v>252</v>
      </c>
      <c r="AB597" s="242">
        <v>71.599999999999994</v>
      </c>
      <c r="AC597" s="157" t="s">
        <v>252</v>
      </c>
      <c r="AD597" s="242">
        <v>100.71</v>
      </c>
      <c r="AE597" s="157" t="s">
        <v>252</v>
      </c>
      <c r="AF597" s="242">
        <v>58.69</v>
      </c>
      <c r="AG597" s="157" t="s">
        <v>252</v>
      </c>
      <c r="AH597" s="242">
        <v>26.72</v>
      </c>
      <c r="AI597" s="157" t="s">
        <v>252</v>
      </c>
      <c r="AJ597" s="242">
        <v>11.27</v>
      </c>
      <c r="AK597" s="242" t="s">
        <v>252</v>
      </c>
      <c r="AL597" s="242">
        <v>9.8800000000000008</v>
      </c>
      <c r="AM597" s="242" t="s">
        <v>252</v>
      </c>
      <c r="AN597" s="242">
        <v>8.4</v>
      </c>
      <c r="AO597" s="242" t="s">
        <v>252</v>
      </c>
      <c r="AP597" s="242">
        <v>11.42</v>
      </c>
      <c r="AQ597" s="242" t="s">
        <v>252</v>
      </c>
      <c r="AR597" s="242">
        <v>47.45</v>
      </c>
      <c r="AS597" s="242" t="s">
        <v>252</v>
      </c>
      <c r="AT597" s="242">
        <v>55.45</v>
      </c>
      <c r="AU597" s="242" t="s">
        <v>252</v>
      </c>
      <c r="AV597" s="242">
        <v>78.56</v>
      </c>
      <c r="AW597" s="157" t="s">
        <v>252</v>
      </c>
      <c r="AX597" s="157">
        <v>2315.9199999999996</v>
      </c>
      <c r="AY597" s="240">
        <v>0.3</v>
      </c>
      <c r="AZ597" s="156" t="s">
        <v>253</v>
      </c>
      <c r="BA597" s="156" t="s">
        <v>254</v>
      </c>
      <c r="BB597" s="156">
        <v>2</v>
      </c>
      <c r="BC597" s="156" t="s">
        <v>1423</v>
      </c>
      <c r="BD597" s="3"/>
    </row>
    <row r="598" spans="1:56" ht="15.75" hidden="1" customHeight="1" outlineLevel="1">
      <c r="A598" s="58">
        <v>588</v>
      </c>
      <c r="B598" s="11">
        <v>129588</v>
      </c>
      <c r="C598" s="89" t="s">
        <v>352</v>
      </c>
      <c r="D598" s="157">
        <v>13</v>
      </c>
      <c r="E598" s="12" t="s">
        <v>191</v>
      </c>
      <c r="F598" s="11" t="s">
        <v>246</v>
      </c>
      <c r="G598" s="18" t="s">
        <v>247</v>
      </c>
      <c r="H598" s="11" t="s">
        <v>248</v>
      </c>
      <c r="I598" s="87" t="s">
        <v>249</v>
      </c>
      <c r="J598" s="19" t="s">
        <v>139</v>
      </c>
      <c r="K598" s="17" t="s">
        <v>140</v>
      </c>
      <c r="L598" s="260">
        <v>1</v>
      </c>
      <c r="M598" s="70" t="s">
        <v>250</v>
      </c>
      <c r="N598" s="70">
        <v>100</v>
      </c>
      <c r="O598" s="258">
        <v>8</v>
      </c>
      <c r="P598" s="70" t="s">
        <v>251</v>
      </c>
      <c r="Q598" s="70" t="s">
        <v>233</v>
      </c>
      <c r="R598" s="70" t="s">
        <v>240</v>
      </c>
      <c r="S598" s="70" t="s">
        <v>233</v>
      </c>
      <c r="T598" s="70" t="s">
        <v>233</v>
      </c>
      <c r="U598" s="70" t="s">
        <v>1427</v>
      </c>
      <c r="V598" s="70" t="s">
        <v>240</v>
      </c>
      <c r="W598" s="12"/>
      <c r="X598" s="242">
        <v>1268.19</v>
      </c>
      <c r="Y598" s="242">
        <v>1215.1300000000001</v>
      </c>
      <c r="Z598" s="242">
        <v>150.31</v>
      </c>
      <c r="AA598" s="157" t="s">
        <v>252</v>
      </c>
      <c r="AB598" s="242">
        <v>108.94</v>
      </c>
      <c r="AC598" s="157" t="s">
        <v>252</v>
      </c>
      <c r="AD598" s="242">
        <v>147.16</v>
      </c>
      <c r="AE598" s="157" t="s">
        <v>252</v>
      </c>
      <c r="AF598" s="242">
        <v>95.22</v>
      </c>
      <c r="AG598" s="157" t="s">
        <v>252</v>
      </c>
      <c r="AH598" s="242">
        <v>39.979999999999997</v>
      </c>
      <c r="AI598" s="157" t="s">
        <v>252</v>
      </c>
      <c r="AJ598" s="242">
        <v>14.12</v>
      </c>
      <c r="AK598" s="242" t="s">
        <v>252</v>
      </c>
      <c r="AL598" s="242">
        <v>11.68</v>
      </c>
      <c r="AM598" s="242" t="s">
        <v>252</v>
      </c>
      <c r="AN598" s="242">
        <v>13.82</v>
      </c>
      <c r="AO598" s="242" t="s">
        <v>252</v>
      </c>
      <c r="AP598" s="242">
        <v>9.2200000000000006</v>
      </c>
      <c r="AQ598" s="242" t="s">
        <v>252</v>
      </c>
      <c r="AR598" s="242">
        <v>127.571</v>
      </c>
      <c r="AS598" s="242" t="s">
        <v>259</v>
      </c>
      <c r="AT598" s="242">
        <v>111.76376</v>
      </c>
      <c r="AU598" s="242" t="s">
        <v>259</v>
      </c>
      <c r="AV598" s="242">
        <v>118.43773</v>
      </c>
      <c r="AW598" s="157" t="s">
        <v>259</v>
      </c>
      <c r="AX598" s="157">
        <v>3431.5424899999994</v>
      </c>
      <c r="AY598" s="240">
        <v>0.63</v>
      </c>
      <c r="AZ598" s="156" t="s">
        <v>253</v>
      </c>
      <c r="BA598" s="156" t="s">
        <v>254</v>
      </c>
      <c r="BB598" s="156">
        <v>1</v>
      </c>
      <c r="BC598" s="157" t="s">
        <v>255</v>
      </c>
      <c r="BD598" s="3"/>
    </row>
    <row r="599" spans="1:56" ht="15.75" hidden="1" customHeight="1" outlineLevel="1">
      <c r="A599" s="58">
        <v>589</v>
      </c>
      <c r="B599" s="11">
        <v>129589</v>
      </c>
      <c r="C599" s="89" t="s">
        <v>352</v>
      </c>
      <c r="D599" s="157">
        <v>2</v>
      </c>
      <c r="E599" s="12" t="s">
        <v>191</v>
      </c>
      <c r="F599" s="11" t="s">
        <v>246</v>
      </c>
      <c r="G599" s="18" t="s">
        <v>247</v>
      </c>
      <c r="H599" s="11" t="s">
        <v>248</v>
      </c>
      <c r="I599" s="87" t="s">
        <v>249</v>
      </c>
      <c r="J599" s="19" t="s">
        <v>139</v>
      </c>
      <c r="K599" s="17" t="s">
        <v>140</v>
      </c>
      <c r="L599" s="260">
        <v>1</v>
      </c>
      <c r="M599" s="70" t="s">
        <v>250</v>
      </c>
      <c r="N599" s="70">
        <v>100</v>
      </c>
      <c r="O599" s="258">
        <v>8</v>
      </c>
      <c r="P599" s="70" t="s">
        <v>251</v>
      </c>
      <c r="Q599" s="70" t="s">
        <v>233</v>
      </c>
      <c r="R599" s="70" t="s">
        <v>240</v>
      </c>
      <c r="S599" s="70" t="s">
        <v>233</v>
      </c>
      <c r="T599" s="70" t="s">
        <v>233</v>
      </c>
      <c r="U599" s="70" t="s">
        <v>1428</v>
      </c>
      <c r="V599" s="70" t="s">
        <v>240</v>
      </c>
      <c r="W599" s="12"/>
      <c r="X599" s="242">
        <v>1045.1264835177406</v>
      </c>
      <c r="Y599" s="242">
        <v>1092.1070275043678</v>
      </c>
      <c r="Z599" s="242">
        <v>147.00237629440281</v>
      </c>
      <c r="AA599" s="157" t="s">
        <v>252</v>
      </c>
      <c r="AB599" s="242">
        <v>104.07862085426963</v>
      </c>
      <c r="AC599" s="157" t="s">
        <v>252</v>
      </c>
      <c r="AD599" s="242">
        <v>183.01492811436424</v>
      </c>
      <c r="AE599" s="157" t="s">
        <v>252</v>
      </c>
      <c r="AF599" s="242">
        <v>110.19801755331845</v>
      </c>
      <c r="AG599" s="157" t="s">
        <v>252</v>
      </c>
      <c r="AH599" s="242">
        <v>32.688917830062707</v>
      </c>
      <c r="AI599" s="157" t="s">
        <v>252</v>
      </c>
      <c r="AJ599" s="242">
        <v>14.477358644235307</v>
      </c>
      <c r="AK599" s="242" t="s">
        <v>252</v>
      </c>
      <c r="AL599" s="242">
        <v>6.3931077335110675</v>
      </c>
      <c r="AM599" s="242" t="s">
        <v>252</v>
      </c>
      <c r="AN599" s="242">
        <v>6.9698559846993753</v>
      </c>
      <c r="AO599" s="242" t="s">
        <v>252</v>
      </c>
      <c r="AP599" s="242">
        <v>11.06574610754515</v>
      </c>
      <c r="AQ599" s="242" t="s">
        <v>252</v>
      </c>
      <c r="AR599" s="242">
        <v>92.309046372392999</v>
      </c>
      <c r="AS599" s="242" t="s">
        <v>252</v>
      </c>
      <c r="AT599" s="242">
        <v>95.505600239148521</v>
      </c>
      <c r="AU599" s="242" t="s">
        <v>252</v>
      </c>
      <c r="AV599" s="242">
        <v>132.53479304425545</v>
      </c>
      <c r="AW599" s="157" t="s">
        <v>252</v>
      </c>
      <c r="AX599" s="157">
        <v>3073.4718797943133</v>
      </c>
      <c r="AY599" s="240">
        <v>0.52787128074862033</v>
      </c>
      <c r="AZ599" s="156" t="s">
        <v>253</v>
      </c>
      <c r="BA599" s="156" t="s">
        <v>254</v>
      </c>
      <c r="BB599" s="156">
        <v>1</v>
      </c>
      <c r="BC599" s="157" t="s">
        <v>255</v>
      </c>
      <c r="BD599" s="3"/>
    </row>
    <row r="600" spans="1:56" ht="15.75" hidden="1" customHeight="1" outlineLevel="1">
      <c r="A600" s="58">
        <v>590</v>
      </c>
      <c r="B600" s="11">
        <v>129590</v>
      </c>
      <c r="C600" s="89" t="s">
        <v>352</v>
      </c>
      <c r="D600" s="157">
        <v>2</v>
      </c>
      <c r="E600" s="12" t="s">
        <v>231</v>
      </c>
      <c r="F600" s="11" t="s">
        <v>246</v>
      </c>
      <c r="G600" s="18" t="s">
        <v>247</v>
      </c>
      <c r="H600" s="11" t="s">
        <v>248</v>
      </c>
      <c r="I600" s="87" t="s">
        <v>249</v>
      </c>
      <c r="J600" s="19" t="s">
        <v>139</v>
      </c>
      <c r="K600" s="17" t="s">
        <v>140</v>
      </c>
      <c r="L600" s="257">
        <v>0</v>
      </c>
      <c r="M600" s="70" t="s">
        <v>250</v>
      </c>
      <c r="N600" s="70">
        <v>100</v>
      </c>
      <c r="O600" s="258">
        <v>8</v>
      </c>
      <c r="P600" s="70" t="s">
        <v>251</v>
      </c>
      <c r="Q600" s="70" t="s">
        <v>233</v>
      </c>
      <c r="R600" s="70" t="s">
        <v>240</v>
      </c>
      <c r="S600" s="70" t="s">
        <v>233</v>
      </c>
      <c r="T600" s="70" t="s">
        <v>233</v>
      </c>
      <c r="U600" s="70" t="s">
        <v>1428</v>
      </c>
      <c r="V600" s="70" t="s">
        <v>240</v>
      </c>
      <c r="W600" s="12"/>
      <c r="X600" s="242">
        <v>24.013516482259465</v>
      </c>
      <c r="Y600" s="242">
        <v>25.09297249563226</v>
      </c>
      <c r="Z600" s="242">
        <v>3.3776237055971885</v>
      </c>
      <c r="AA600" s="157" t="s">
        <v>252</v>
      </c>
      <c r="AB600" s="242">
        <v>2.3913791457303675</v>
      </c>
      <c r="AC600" s="157" t="s">
        <v>252</v>
      </c>
      <c r="AD600" s="242">
        <v>4.2050718856357605</v>
      </c>
      <c r="AE600" s="157" t="s">
        <v>252</v>
      </c>
      <c r="AF600" s="242">
        <v>2.531982446681547</v>
      </c>
      <c r="AG600" s="157" t="s">
        <v>252</v>
      </c>
      <c r="AH600" s="242">
        <v>0.75108216993729204</v>
      </c>
      <c r="AI600" s="157" t="s">
        <v>252</v>
      </c>
      <c r="AJ600" s="242">
        <v>0.33264135576469189</v>
      </c>
      <c r="AK600" s="242" t="s">
        <v>252</v>
      </c>
      <c r="AL600" s="242">
        <v>0.14689226648893211</v>
      </c>
      <c r="AM600" s="242" t="s">
        <v>252</v>
      </c>
      <c r="AN600" s="242">
        <v>0.16014401530062478</v>
      </c>
      <c r="AO600" s="242" t="s">
        <v>252</v>
      </c>
      <c r="AP600" s="242">
        <v>0.25425389245484886</v>
      </c>
      <c r="AQ600" s="242" t="s">
        <v>252</v>
      </c>
      <c r="AR600" s="242">
        <v>2.1209536276070122</v>
      </c>
      <c r="AS600" s="242" t="s">
        <v>252</v>
      </c>
      <c r="AT600" s="242">
        <v>2.1943997608514785</v>
      </c>
      <c r="AU600" s="242" t="s">
        <v>252</v>
      </c>
      <c r="AV600" s="242">
        <v>3.0452069557445594</v>
      </c>
      <c r="AW600" s="157" t="s">
        <v>252</v>
      </c>
      <c r="AX600" s="157">
        <v>70.61812020568604</v>
      </c>
      <c r="AY600" s="243">
        <v>1.2128719251379717E-2</v>
      </c>
      <c r="AZ600" s="156" t="s">
        <v>253</v>
      </c>
      <c r="BA600" s="156" t="s">
        <v>254</v>
      </c>
      <c r="BB600" s="156">
        <v>0</v>
      </c>
      <c r="BC600" s="157" t="s">
        <v>255</v>
      </c>
      <c r="BD600" s="3"/>
    </row>
    <row r="601" spans="1:56" ht="15.75" hidden="1" customHeight="1" outlineLevel="1">
      <c r="A601" s="58">
        <v>591</v>
      </c>
      <c r="B601" s="11">
        <v>129591</v>
      </c>
      <c r="C601" s="89" t="s">
        <v>352</v>
      </c>
      <c r="D601" s="157">
        <v>20</v>
      </c>
      <c r="E601" s="12" t="s">
        <v>191</v>
      </c>
      <c r="F601" s="11" t="s">
        <v>246</v>
      </c>
      <c r="G601" s="18" t="s">
        <v>247</v>
      </c>
      <c r="H601" s="11" t="s">
        <v>248</v>
      </c>
      <c r="I601" s="87" t="s">
        <v>249</v>
      </c>
      <c r="J601" s="19" t="s">
        <v>139</v>
      </c>
      <c r="K601" s="17" t="s">
        <v>140</v>
      </c>
      <c r="L601" s="260">
        <v>1</v>
      </c>
      <c r="M601" s="70" t="s">
        <v>250</v>
      </c>
      <c r="N601" s="70">
        <v>100</v>
      </c>
      <c r="O601" s="258">
        <v>8</v>
      </c>
      <c r="P601" s="70" t="s">
        <v>251</v>
      </c>
      <c r="Q601" s="70" t="s">
        <v>233</v>
      </c>
      <c r="R601" s="70" t="s">
        <v>240</v>
      </c>
      <c r="S601" s="70" t="s">
        <v>233</v>
      </c>
      <c r="T601" s="70" t="s">
        <v>233</v>
      </c>
      <c r="U601" s="70" t="s">
        <v>1427</v>
      </c>
      <c r="V601" s="70" t="s">
        <v>240</v>
      </c>
      <c r="W601" s="12"/>
      <c r="X601" s="242">
        <v>1960.25</v>
      </c>
      <c r="Y601" s="242">
        <v>1837.02</v>
      </c>
      <c r="Z601" s="242">
        <v>286.89</v>
      </c>
      <c r="AA601" s="157" t="s">
        <v>252</v>
      </c>
      <c r="AB601" s="242">
        <v>210.9</v>
      </c>
      <c r="AC601" s="157" t="s">
        <v>252</v>
      </c>
      <c r="AD601" s="242">
        <v>263.01</v>
      </c>
      <c r="AE601" s="157" t="s">
        <v>252</v>
      </c>
      <c r="AF601" s="242">
        <v>169.52</v>
      </c>
      <c r="AG601" s="157" t="s">
        <v>252</v>
      </c>
      <c r="AH601" s="242">
        <v>63.38</v>
      </c>
      <c r="AI601" s="157" t="s">
        <v>252</v>
      </c>
      <c r="AJ601" s="242">
        <v>25.78</v>
      </c>
      <c r="AK601" s="242" t="s">
        <v>252</v>
      </c>
      <c r="AL601" s="242">
        <v>21.55</v>
      </c>
      <c r="AM601" s="242" t="s">
        <v>252</v>
      </c>
      <c r="AN601" s="242">
        <v>29.27</v>
      </c>
      <c r="AO601" s="242" t="s">
        <v>252</v>
      </c>
      <c r="AP601" s="242">
        <v>29.76</v>
      </c>
      <c r="AQ601" s="242" t="s">
        <v>252</v>
      </c>
      <c r="AR601" s="242">
        <v>142.37</v>
      </c>
      <c r="AS601" s="242" t="s">
        <v>252</v>
      </c>
      <c r="AT601" s="242">
        <v>199.37</v>
      </c>
      <c r="AU601" s="242" t="s">
        <v>252</v>
      </c>
      <c r="AV601" s="242">
        <v>208.37</v>
      </c>
      <c r="AW601" s="157" t="s">
        <v>252</v>
      </c>
      <c r="AX601" s="157">
        <v>5447.4400000000005</v>
      </c>
      <c r="AY601" s="240">
        <v>0.82</v>
      </c>
      <c r="AZ601" s="156" t="s">
        <v>253</v>
      </c>
      <c r="BA601" s="156" t="s">
        <v>254</v>
      </c>
      <c r="BB601" s="156">
        <v>1</v>
      </c>
      <c r="BC601" s="156" t="s">
        <v>1423</v>
      </c>
      <c r="BD601" s="3"/>
    </row>
    <row r="602" spans="1:56" ht="15.75" hidden="1" customHeight="1" outlineLevel="1">
      <c r="A602" s="58">
        <v>592</v>
      </c>
      <c r="B602" s="11">
        <v>129592</v>
      </c>
      <c r="C602" s="89" t="s">
        <v>352</v>
      </c>
      <c r="D602" s="157">
        <v>6</v>
      </c>
      <c r="E602" s="12" t="s">
        <v>191</v>
      </c>
      <c r="F602" s="11" t="s">
        <v>246</v>
      </c>
      <c r="G602" s="18" t="s">
        <v>247</v>
      </c>
      <c r="H602" s="11" t="s">
        <v>248</v>
      </c>
      <c r="I602" s="87" t="s">
        <v>249</v>
      </c>
      <c r="J602" s="19" t="s">
        <v>139</v>
      </c>
      <c r="K602" s="17" t="s">
        <v>140</v>
      </c>
      <c r="L602" s="260">
        <v>1</v>
      </c>
      <c r="M602" s="70" t="s">
        <v>250</v>
      </c>
      <c r="N602" s="70">
        <v>100</v>
      </c>
      <c r="O602" s="258">
        <v>8</v>
      </c>
      <c r="P602" s="70" t="s">
        <v>251</v>
      </c>
      <c r="Q602" s="70" t="s">
        <v>233</v>
      </c>
      <c r="R602" s="70" t="s">
        <v>240</v>
      </c>
      <c r="S602" s="70" t="s">
        <v>233</v>
      </c>
      <c r="T602" s="70" t="s">
        <v>233</v>
      </c>
      <c r="U602" s="70" t="s">
        <v>1427</v>
      </c>
      <c r="V602" s="70" t="s">
        <v>240</v>
      </c>
      <c r="W602" s="12"/>
      <c r="X602" s="242">
        <v>777.28</v>
      </c>
      <c r="Y602" s="242">
        <v>747.80000000000007</v>
      </c>
      <c r="Z602" s="242">
        <v>126.32</v>
      </c>
      <c r="AA602" s="157" t="s">
        <v>252</v>
      </c>
      <c r="AB602" s="242">
        <v>83.27</v>
      </c>
      <c r="AC602" s="157" t="s">
        <v>252</v>
      </c>
      <c r="AD602" s="242">
        <v>102.51</v>
      </c>
      <c r="AE602" s="157" t="s">
        <v>252</v>
      </c>
      <c r="AF602" s="242">
        <v>69.09</v>
      </c>
      <c r="AG602" s="157" t="s">
        <v>252</v>
      </c>
      <c r="AH602" s="242">
        <v>27.02</v>
      </c>
      <c r="AI602" s="157" t="s">
        <v>252</v>
      </c>
      <c r="AJ602" s="242">
        <v>11.51</v>
      </c>
      <c r="AK602" s="242" t="s">
        <v>252</v>
      </c>
      <c r="AL602" s="242">
        <v>8.74</v>
      </c>
      <c r="AM602" s="242" t="s">
        <v>252</v>
      </c>
      <c r="AN602" s="242">
        <v>10.82</v>
      </c>
      <c r="AO602" s="242" t="s">
        <v>252</v>
      </c>
      <c r="AP602" s="242">
        <v>8.91</v>
      </c>
      <c r="AQ602" s="242" t="s">
        <v>252</v>
      </c>
      <c r="AR602" s="242">
        <v>59.23</v>
      </c>
      <c r="AS602" s="242" t="s">
        <v>252</v>
      </c>
      <c r="AT602" s="242">
        <v>56.3</v>
      </c>
      <c r="AU602" s="242" t="s">
        <v>259</v>
      </c>
      <c r="AV602" s="242">
        <v>83.698719999999994</v>
      </c>
      <c r="AW602" s="157" t="s">
        <v>259</v>
      </c>
      <c r="AX602" s="157">
        <v>2172.4987199999996</v>
      </c>
      <c r="AY602" s="240">
        <v>0.36</v>
      </c>
      <c r="AZ602" s="156" t="s">
        <v>253</v>
      </c>
      <c r="BA602" s="156" t="s">
        <v>254</v>
      </c>
      <c r="BB602" s="156">
        <v>1</v>
      </c>
      <c r="BC602" s="157" t="s">
        <v>255</v>
      </c>
      <c r="BD602" s="3"/>
    </row>
    <row r="603" spans="1:56" ht="15.75" hidden="1" customHeight="1" outlineLevel="1">
      <c r="A603" s="58">
        <v>593</v>
      </c>
      <c r="B603" s="11">
        <v>129593</v>
      </c>
      <c r="C603" s="89" t="s">
        <v>353</v>
      </c>
      <c r="D603" s="157">
        <v>2</v>
      </c>
      <c r="E603" s="12" t="s">
        <v>191</v>
      </c>
      <c r="F603" s="11" t="s">
        <v>246</v>
      </c>
      <c r="G603" s="18" t="s">
        <v>247</v>
      </c>
      <c r="H603" s="11" t="s">
        <v>248</v>
      </c>
      <c r="I603" s="87" t="s">
        <v>249</v>
      </c>
      <c r="J603" s="19" t="s">
        <v>139</v>
      </c>
      <c r="K603" s="17" t="s">
        <v>140</v>
      </c>
      <c r="L603" s="260">
        <v>1</v>
      </c>
      <c r="M603" s="70" t="s">
        <v>250</v>
      </c>
      <c r="N603" s="70">
        <v>80</v>
      </c>
      <c r="O603" s="258">
        <v>8</v>
      </c>
      <c r="P603" s="70" t="s">
        <v>251</v>
      </c>
      <c r="Q603" s="70" t="s">
        <v>233</v>
      </c>
      <c r="R603" s="70" t="s">
        <v>240</v>
      </c>
      <c r="S603" s="70" t="s">
        <v>233</v>
      </c>
      <c r="T603" s="70" t="s">
        <v>233</v>
      </c>
      <c r="U603" s="70" t="s">
        <v>1427</v>
      </c>
      <c r="V603" s="70" t="s">
        <v>240</v>
      </c>
      <c r="W603" s="12"/>
      <c r="X603" s="242">
        <v>922.25</v>
      </c>
      <c r="Y603" s="242">
        <v>882.32999999999981</v>
      </c>
      <c r="Z603" s="242">
        <v>136.66999999999999</v>
      </c>
      <c r="AA603" s="157" t="s">
        <v>252</v>
      </c>
      <c r="AB603" s="242">
        <v>105.08</v>
      </c>
      <c r="AC603" s="157" t="s">
        <v>252</v>
      </c>
      <c r="AD603" s="242">
        <v>154.43</v>
      </c>
      <c r="AE603" s="157" t="s">
        <v>252</v>
      </c>
      <c r="AF603" s="242">
        <v>83.99</v>
      </c>
      <c r="AG603" s="157" t="s">
        <v>252</v>
      </c>
      <c r="AH603" s="242">
        <v>34.799999999999997</v>
      </c>
      <c r="AI603" s="157" t="s">
        <v>252</v>
      </c>
      <c r="AJ603" s="242">
        <v>14.423299999999999</v>
      </c>
      <c r="AK603" s="242" t="s">
        <v>252</v>
      </c>
      <c r="AL603" s="242">
        <v>14.423299999999999</v>
      </c>
      <c r="AM603" s="242" t="s">
        <v>252</v>
      </c>
      <c r="AN603" s="242">
        <v>14.423299999999999</v>
      </c>
      <c r="AO603" s="242" t="s">
        <v>252</v>
      </c>
      <c r="AP603" s="242">
        <v>49.838630000000002</v>
      </c>
      <c r="AQ603" s="242" t="s">
        <v>252</v>
      </c>
      <c r="AR603" s="242">
        <v>122.03856</v>
      </c>
      <c r="AS603" s="242" t="s">
        <v>252</v>
      </c>
      <c r="AT603" s="242">
        <v>108.79886999999999</v>
      </c>
      <c r="AU603" s="242" t="s">
        <v>252</v>
      </c>
      <c r="AV603" s="242">
        <v>119.10218</v>
      </c>
      <c r="AW603" s="157" t="s">
        <v>252</v>
      </c>
      <c r="AX603" s="157">
        <v>2762.5981399999996</v>
      </c>
      <c r="AY603" s="240">
        <v>0.4</v>
      </c>
      <c r="AZ603" s="156" t="s">
        <v>253</v>
      </c>
      <c r="BA603" s="156" t="s">
        <v>254</v>
      </c>
      <c r="BB603" s="156">
        <v>1</v>
      </c>
      <c r="BC603" s="157" t="s">
        <v>255</v>
      </c>
      <c r="BD603" s="3"/>
    </row>
    <row r="604" spans="1:56" ht="15.75" hidden="1" customHeight="1" outlineLevel="1">
      <c r="A604" s="58">
        <v>594</v>
      </c>
      <c r="B604" s="11">
        <v>129594</v>
      </c>
      <c r="C604" s="89" t="s">
        <v>354</v>
      </c>
      <c r="D604" s="157">
        <v>12</v>
      </c>
      <c r="E604" s="12" t="s">
        <v>191</v>
      </c>
      <c r="F604" s="11" t="s">
        <v>246</v>
      </c>
      <c r="G604" s="18" t="s">
        <v>247</v>
      </c>
      <c r="H604" s="11" t="s">
        <v>248</v>
      </c>
      <c r="I604" s="87" t="s">
        <v>249</v>
      </c>
      <c r="J604" s="19" t="s">
        <v>139</v>
      </c>
      <c r="K604" s="17" t="s">
        <v>140</v>
      </c>
      <c r="L604" s="257">
        <v>0</v>
      </c>
      <c r="M604" s="70" t="s">
        <v>250</v>
      </c>
      <c r="N604" s="70">
        <v>80</v>
      </c>
      <c r="O604" s="258">
        <v>8</v>
      </c>
      <c r="P604" s="70" t="s">
        <v>251</v>
      </c>
      <c r="Q604" s="70" t="s">
        <v>233</v>
      </c>
      <c r="R604" s="70" t="s">
        <v>240</v>
      </c>
      <c r="S604" s="70" t="s">
        <v>233</v>
      </c>
      <c r="T604" s="70" t="s">
        <v>233</v>
      </c>
      <c r="U604" s="70" t="s">
        <v>1427</v>
      </c>
      <c r="V604" s="70" t="s">
        <v>240</v>
      </c>
      <c r="W604" s="12"/>
      <c r="X604" s="242">
        <v>597.83999999999992</v>
      </c>
      <c r="Y604" s="242">
        <v>676.36999999999989</v>
      </c>
      <c r="Z604" s="242">
        <v>117.82</v>
      </c>
      <c r="AA604" s="157" t="s">
        <v>252</v>
      </c>
      <c r="AB604" s="242">
        <v>132.26</v>
      </c>
      <c r="AC604" s="157" t="s">
        <v>252</v>
      </c>
      <c r="AD604" s="242">
        <v>91.2</v>
      </c>
      <c r="AE604" s="157" t="s">
        <v>252</v>
      </c>
      <c r="AF604" s="242">
        <v>59.45</v>
      </c>
      <c r="AG604" s="157" t="s">
        <v>252</v>
      </c>
      <c r="AH604" s="242">
        <v>21.68</v>
      </c>
      <c r="AI604" s="157" t="s">
        <v>252</v>
      </c>
      <c r="AJ604" s="242">
        <v>12.83</v>
      </c>
      <c r="AK604" s="242" t="s">
        <v>252</v>
      </c>
      <c r="AL604" s="242">
        <v>7.17</v>
      </c>
      <c r="AM604" s="242" t="s">
        <v>252</v>
      </c>
      <c r="AN604" s="242">
        <v>7.8</v>
      </c>
      <c r="AO604" s="242" t="s">
        <v>252</v>
      </c>
      <c r="AP604" s="242">
        <v>10.73</v>
      </c>
      <c r="AQ604" s="242" t="s">
        <v>252</v>
      </c>
      <c r="AR604" s="242">
        <v>57.04</v>
      </c>
      <c r="AS604" s="242" t="s">
        <v>252</v>
      </c>
      <c r="AT604" s="242">
        <v>61.68</v>
      </c>
      <c r="AU604" s="242" t="s">
        <v>252</v>
      </c>
      <c r="AV604" s="242">
        <v>71.84</v>
      </c>
      <c r="AW604" s="157" t="s">
        <v>252</v>
      </c>
      <c r="AX604" s="157">
        <v>1925.7099999999998</v>
      </c>
      <c r="AY604" s="240">
        <v>0.28599999999999998</v>
      </c>
      <c r="AZ604" s="156" t="s">
        <v>253</v>
      </c>
      <c r="BA604" s="156" t="s">
        <v>254</v>
      </c>
      <c r="BB604" s="156">
        <v>0</v>
      </c>
      <c r="BC604" s="156" t="s">
        <v>1423</v>
      </c>
      <c r="BD604" s="3"/>
    </row>
    <row r="605" spans="1:56" ht="15.75" hidden="1" customHeight="1" outlineLevel="1">
      <c r="A605" s="58">
        <v>595</v>
      </c>
      <c r="B605" s="11">
        <v>129595</v>
      </c>
      <c r="C605" s="89" t="s">
        <v>354</v>
      </c>
      <c r="D605" s="157">
        <v>4</v>
      </c>
      <c r="E605" s="12" t="s">
        <v>191</v>
      </c>
      <c r="F605" s="11" t="s">
        <v>246</v>
      </c>
      <c r="G605" s="18" t="s">
        <v>247</v>
      </c>
      <c r="H605" s="11" t="s">
        <v>248</v>
      </c>
      <c r="I605" s="87" t="s">
        <v>249</v>
      </c>
      <c r="J605" s="19" t="s">
        <v>139</v>
      </c>
      <c r="K605" s="17" t="s">
        <v>140</v>
      </c>
      <c r="L605" s="257">
        <v>0</v>
      </c>
      <c r="M605" s="70" t="s">
        <v>250</v>
      </c>
      <c r="N605" s="70">
        <v>100</v>
      </c>
      <c r="O605" s="258">
        <v>8</v>
      </c>
      <c r="P605" s="70" t="s">
        <v>251</v>
      </c>
      <c r="Q605" s="70" t="s">
        <v>233</v>
      </c>
      <c r="R605" s="70" t="s">
        <v>240</v>
      </c>
      <c r="S605" s="70" t="s">
        <v>233</v>
      </c>
      <c r="T605" s="70" t="s">
        <v>233</v>
      </c>
      <c r="U605" s="70" t="s">
        <v>1427</v>
      </c>
      <c r="V605" s="70" t="s">
        <v>240</v>
      </c>
      <c r="W605" s="12"/>
      <c r="X605" s="242">
        <v>319.66411956708475</v>
      </c>
      <c r="Y605" s="242">
        <v>325.10769283628241</v>
      </c>
      <c r="Z605" s="242">
        <v>50.07358357670504</v>
      </c>
      <c r="AA605" s="157" t="s">
        <v>252</v>
      </c>
      <c r="AB605" s="242">
        <v>36.586158735612443</v>
      </c>
      <c r="AC605" s="157" t="s">
        <v>252</v>
      </c>
      <c r="AD605" s="242">
        <v>22.57624806734238</v>
      </c>
      <c r="AE605" s="157" t="s">
        <v>252</v>
      </c>
      <c r="AF605" s="242">
        <v>20.686793506270401</v>
      </c>
      <c r="AG605" s="157" t="s">
        <v>252</v>
      </c>
      <c r="AH605" s="242">
        <v>21.233580999828213</v>
      </c>
      <c r="AI605" s="157" t="s">
        <v>252</v>
      </c>
      <c r="AJ605" s="242">
        <v>5.1823303556090021</v>
      </c>
      <c r="AK605" s="242" t="s">
        <v>252</v>
      </c>
      <c r="AL605" s="242">
        <v>7.2358211647483257</v>
      </c>
      <c r="AM605" s="242" t="s">
        <v>252</v>
      </c>
      <c r="AN605" s="242">
        <v>3.8639649544751768</v>
      </c>
      <c r="AO605" s="242" t="s">
        <v>252</v>
      </c>
      <c r="AP605" s="242">
        <v>8.5264826662085564</v>
      </c>
      <c r="AQ605" s="242" t="s">
        <v>252</v>
      </c>
      <c r="AR605" s="242">
        <v>39.101381205978356</v>
      </c>
      <c r="AS605" s="242" t="s">
        <v>252</v>
      </c>
      <c r="AT605" s="242">
        <v>30.996775468132629</v>
      </c>
      <c r="AU605" s="242" t="s">
        <v>252</v>
      </c>
      <c r="AV605" s="242">
        <v>38.177917883525176</v>
      </c>
      <c r="AW605" s="157" t="s">
        <v>252</v>
      </c>
      <c r="AX605" s="157">
        <v>929.01285098780295</v>
      </c>
      <c r="AY605" s="240">
        <v>0.14155720666552141</v>
      </c>
      <c r="AZ605" s="156" t="s">
        <v>253</v>
      </c>
      <c r="BA605" s="156" t="s">
        <v>254</v>
      </c>
      <c r="BB605" s="156">
        <v>0</v>
      </c>
      <c r="BC605" s="156" t="s">
        <v>1423</v>
      </c>
      <c r="BD605" s="3"/>
    </row>
    <row r="606" spans="1:56" ht="15.75" hidden="1" customHeight="1" outlineLevel="1">
      <c r="A606" s="58">
        <v>596</v>
      </c>
      <c r="B606" s="11">
        <v>129596</v>
      </c>
      <c r="C606" s="89" t="s">
        <v>354</v>
      </c>
      <c r="D606" s="157">
        <v>4</v>
      </c>
      <c r="E606" s="12" t="s">
        <v>231</v>
      </c>
      <c r="F606" s="11" t="s">
        <v>246</v>
      </c>
      <c r="G606" s="18" t="s">
        <v>247</v>
      </c>
      <c r="H606" s="11" t="s">
        <v>248</v>
      </c>
      <c r="I606" s="87" t="s">
        <v>249</v>
      </c>
      <c r="J606" s="19" t="s">
        <v>139</v>
      </c>
      <c r="K606" s="17" t="s">
        <v>140</v>
      </c>
      <c r="L606" s="257">
        <v>0</v>
      </c>
      <c r="M606" s="70" t="s">
        <v>250</v>
      </c>
      <c r="N606" s="70">
        <v>80</v>
      </c>
      <c r="O606" s="258">
        <v>8</v>
      </c>
      <c r="P606" s="70" t="s">
        <v>251</v>
      </c>
      <c r="Q606" s="70" t="s">
        <v>233</v>
      </c>
      <c r="R606" s="70" t="s">
        <v>240</v>
      </c>
      <c r="S606" s="70" t="s">
        <v>233</v>
      </c>
      <c r="T606" s="70" t="s">
        <v>233</v>
      </c>
      <c r="U606" s="70" t="s">
        <v>1427</v>
      </c>
      <c r="V606" s="70" t="s">
        <v>240</v>
      </c>
      <c r="W606" s="12"/>
      <c r="X606" s="242">
        <v>206.49588043291536</v>
      </c>
      <c r="Y606" s="242">
        <v>210.01230716371757</v>
      </c>
      <c r="Z606" s="242">
        <v>32.346416423294968</v>
      </c>
      <c r="AA606" s="157" t="s">
        <v>252</v>
      </c>
      <c r="AB606" s="242">
        <v>23.633841264387563</v>
      </c>
      <c r="AC606" s="157" t="s">
        <v>252</v>
      </c>
      <c r="AD606" s="242">
        <v>14.58375193265762</v>
      </c>
      <c r="AE606" s="157" t="s">
        <v>252</v>
      </c>
      <c r="AF606" s="242">
        <v>13.363206493729599</v>
      </c>
      <c r="AG606" s="157" t="s">
        <v>252</v>
      </c>
      <c r="AH606" s="242">
        <v>13.716419000171793</v>
      </c>
      <c r="AI606" s="157" t="s">
        <v>252</v>
      </c>
      <c r="AJ606" s="242">
        <v>3.3476696443909981</v>
      </c>
      <c r="AK606" s="242" t="s">
        <v>252</v>
      </c>
      <c r="AL606" s="242">
        <v>4.6741788352516753</v>
      </c>
      <c r="AM606" s="242" t="s">
        <v>252</v>
      </c>
      <c r="AN606" s="242">
        <v>2.4960350455248244</v>
      </c>
      <c r="AO606" s="242" t="s">
        <v>252</v>
      </c>
      <c r="AP606" s="242">
        <v>5.5079173337914451</v>
      </c>
      <c r="AQ606" s="242" t="s">
        <v>252</v>
      </c>
      <c r="AR606" s="242">
        <v>25.258618794021647</v>
      </c>
      <c r="AS606" s="242" t="s">
        <v>252</v>
      </c>
      <c r="AT606" s="242">
        <v>20.023224531867381</v>
      </c>
      <c r="AU606" s="242" t="s">
        <v>252</v>
      </c>
      <c r="AV606" s="242">
        <v>24.662082116474835</v>
      </c>
      <c r="AW606" s="157" t="s">
        <v>252</v>
      </c>
      <c r="AX606" s="157">
        <v>600.12154901219731</v>
      </c>
      <c r="AY606" s="243">
        <v>9.144279333447862E-2</v>
      </c>
      <c r="AZ606" s="156" t="s">
        <v>253</v>
      </c>
      <c r="BA606" s="156" t="s">
        <v>254</v>
      </c>
      <c r="BB606" s="156">
        <v>0</v>
      </c>
      <c r="BC606" s="156" t="s">
        <v>1423</v>
      </c>
      <c r="BD606" s="3"/>
    </row>
    <row r="607" spans="1:56" ht="15.75" hidden="1" customHeight="1" outlineLevel="1">
      <c r="A607" s="58">
        <v>597</v>
      </c>
      <c r="B607" s="11">
        <v>129597</v>
      </c>
      <c r="C607" s="89" t="s">
        <v>354</v>
      </c>
      <c r="D607" s="157" t="s">
        <v>355</v>
      </c>
      <c r="E607" s="12" t="s">
        <v>191</v>
      </c>
      <c r="F607" s="11" t="s">
        <v>246</v>
      </c>
      <c r="G607" s="18" t="s">
        <v>247</v>
      </c>
      <c r="H607" s="11" t="s">
        <v>248</v>
      </c>
      <c r="I607" s="87" t="s">
        <v>249</v>
      </c>
      <c r="J607" s="19" t="s">
        <v>139</v>
      </c>
      <c r="K607" s="17" t="s">
        <v>140</v>
      </c>
      <c r="L607" s="257">
        <v>0</v>
      </c>
      <c r="M607" s="70" t="s">
        <v>250</v>
      </c>
      <c r="N607" s="70">
        <v>80</v>
      </c>
      <c r="O607" s="258">
        <v>8</v>
      </c>
      <c r="P607" s="70" t="s">
        <v>251</v>
      </c>
      <c r="Q607" s="70" t="s">
        <v>233</v>
      </c>
      <c r="R607" s="70" t="s">
        <v>240</v>
      </c>
      <c r="S607" s="70" t="s">
        <v>240</v>
      </c>
      <c r="T607" s="70" t="s">
        <v>240</v>
      </c>
      <c r="U607" s="70" t="s">
        <v>1427</v>
      </c>
      <c r="V607" s="70" t="s">
        <v>240</v>
      </c>
      <c r="W607" s="12"/>
      <c r="X607" s="242">
        <v>885.12</v>
      </c>
      <c r="Y607" s="242">
        <v>852.16</v>
      </c>
      <c r="Z607" s="242">
        <v>138.68</v>
      </c>
      <c r="AA607" s="157" t="s">
        <v>252</v>
      </c>
      <c r="AB607" s="242">
        <v>130.41999999999999</v>
      </c>
      <c r="AC607" s="157" t="s">
        <v>252</v>
      </c>
      <c r="AD607" s="242">
        <v>186.13</v>
      </c>
      <c r="AE607" s="157" t="s">
        <v>252</v>
      </c>
      <c r="AF607" s="242">
        <v>78.64</v>
      </c>
      <c r="AG607" s="157" t="s">
        <v>252</v>
      </c>
      <c r="AH607" s="242">
        <v>39.619999999999997</v>
      </c>
      <c r="AI607" s="157" t="s">
        <v>252</v>
      </c>
      <c r="AJ607" s="242">
        <v>20.010000000000002</v>
      </c>
      <c r="AK607" s="242" t="s">
        <v>252</v>
      </c>
      <c r="AL607" s="242">
        <v>16.04</v>
      </c>
      <c r="AM607" s="242" t="s">
        <v>252</v>
      </c>
      <c r="AN607" s="242">
        <v>17.809999999999999</v>
      </c>
      <c r="AO607" s="242" t="s">
        <v>252</v>
      </c>
      <c r="AP607" s="242">
        <v>19.86</v>
      </c>
      <c r="AQ607" s="242" t="s">
        <v>252</v>
      </c>
      <c r="AR607" s="242">
        <v>86.02</v>
      </c>
      <c r="AS607" s="242" t="s">
        <v>252</v>
      </c>
      <c r="AT607" s="242">
        <v>81.36</v>
      </c>
      <c r="AU607" s="242" t="s">
        <v>259</v>
      </c>
      <c r="AV607" s="242">
        <v>112.83660999999999</v>
      </c>
      <c r="AW607" s="157" t="s">
        <v>259</v>
      </c>
      <c r="AX607" s="157">
        <v>2664.7066100000002</v>
      </c>
      <c r="AY607" s="243">
        <v>0.372</v>
      </c>
      <c r="AZ607" s="156" t="s">
        <v>253</v>
      </c>
      <c r="BA607" s="156" t="s">
        <v>254</v>
      </c>
      <c r="BB607" s="156">
        <v>0</v>
      </c>
      <c r="BC607" s="156" t="s">
        <v>1423</v>
      </c>
      <c r="BD607" s="3"/>
    </row>
    <row r="608" spans="1:56" ht="15.75" hidden="1" customHeight="1" outlineLevel="1">
      <c r="A608" s="58">
        <v>598</v>
      </c>
      <c r="B608" s="11">
        <v>129598</v>
      </c>
      <c r="C608" s="89" t="s">
        <v>354</v>
      </c>
      <c r="D608" s="157" t="s">
        <v>194</v>
      </c>
      <c r="E608" s="12" t="s">
        <v>191</v>
      </c>
      <c r="F608" s="11" t="s">
        <v>246</v>
      </c>
      <c r="G608" s="18" t="s">
        <v>247</v>
      </c>
      <c r="H608" s="11" t="s">
        <v>248</v>
      </c>
      <c r="I608" s="87" t="s">
        <v>249</v>
      </c>
      <c r="J608" s="19" t="s">
        <v>139</v>
      </c>
      <c r="K608" s="17" t="s">
        <v>140</v>
      </c>
      <c r="L608" s="260">
        <v>1</v>
      </c>
      <c r="M608" s="70" t="s">
        <v>250</v>
      </c>
      <c r="N608" s="70">
        <v>100</v>
      </c>
      <c r="O608" s="258">
        <v>8</v>
      </c>
      <c r="P608" s="70" t="s">
        <v>251</v>
      </c>
      <c r="Q608" s="70" t="s">
        <v>233</v>
      </c>
      <c r="R608" s="70" t="s">
        <v>240</v>
      </c>
      <c r="S608" s="70" t="s">
        <v>233</v>
      </c>
      <c r="T608" s="70" t="s">
        <v>233</v>
      </c>
      <c r="U608" s="70" t="s">
        <v>1427</v>
      </c>
      <c r="V608" s="70" t="s">
        <v>240</v>
      </c>
      <c r="W608" s="12"/>
      <c r="X608" s="242">
        <v>1257.2</v>
      </c>
      <c r="Y608" s="242">
        <v>976.13999999999976</v>
      </c>
      <c r="Z608" s="242">
        <v>134.94</v>
      </c>
      <c r="AA608" s="157" t="s">
        <v>259</v>
      </c>
      <c r="AB608" s="242">
        <v>137.28</v>
      </c>
      <c r="AC608" s="157" t="s">
        <v>259</v>
      </c>
      <c r="AD608" s="242">
        <v>137.01</v>
      </c>
      <c r="AE608" s="157" t="s">
        <v>259</v>
      </c>
      <c r="AF608" s="242">
        <v>133.97</v>
      </c>
      <c r="AG608" s="157" t="s">
        <v>259</v>
      </c>
      <c r="AH608" s="242">
        <v>135.55000000000001</v>
      </c>
      <c r="AI608" s="157" t="s">
        <v>259</v>
      </c>
      <c r="AJ608" s="242">
        <v>24.776599999999998</v>
      </c>
      <c r="AK608" s="242" t="s">
        <v>259</v>
      </c>
      <c r="AL608" s="242">
        <v>24.776599999999998</v>
      </c>
      <c r="AM608" s="242" t="s">
        <v>259</v>
      </c>
      <c r="AN608" s="242">
        <v>24.776599999999998</v>
      </c>
      <c r="AO608" s="242" t="s">
        <v>259</v>
      </c>
      <c r="AP608" s="242">
        <v>23.372579999999999</v>
      </c>
      <c r="AQ608" s="242" t="s">
        <v>259</v>
      </c>
      <c r="AR608" s="242">
        <v>47.21</v>
      </c>
      <c r="AS608" s="242" t="s">
        <v>259</v>
      </c>
      <c r="AT608" s="242">
        <v>127.58</v>
      </c>
      <c r="AU608" s="242" t="s">
        <v>259</v>
      </c>
      <c r="AV608" s="242">
        <v>140.91999999999999</v>
      </c>
      <c r="AW608" s="157" t="s">
        <v>252</v>
      </c>
      <c r="AX608" s="157">
        <v>3325.5023800000004</v>
      </c>
      <c r="AY608" s="240">
        <v>0.49</v>
      </c>
      <c r="AZ608" s="156" t="s">
        <v>253</v>
      </c>
      <c r="BA608" s="156" t="s">
        <v>254</v>
      </c>
      <c r="BB608" s="156">
        <v>0</v>
      </c>
      <c r="BC608" s="156" t="s">
        <v>1423</v>
      </c>
      <c r="BD608" s="3"/>
    </row>
    <row r="609" spans="1:56" ht="15.75" hidden="1" customHeight="1" outlineLevel="1">
      <c r="A609" s="58">
        <v>599</v>
      </c>
      <c r="B609" s="11">
        <v>129599</v>
      </c>
      <c r="C609" s="89" t="s">
        <v>356</v>
      </c>
      <c r="D609" s="157" t="s">
        <v>357</v>
      </c>
      <c r="E609" s="12" t="s">
        <v>191</v>
      </c>
      <c r="F609" s="11" t="s">
        <v>246</v>
      </c>
      <c r="G609" s="18" t="s">
        <v>247</v>
      </c>
      <c r="H609" s="11" t="s">
        <v>248</v>
      </c>
      <c r="I609" s="87" t="s">
        <v>249</v>
      </c>
      <c r="J609" s="19" t="s">
        <v>139</v>
      </c>
      <c r="K609" s="17" t="s">
        <v>140</v>
      </c>
      <c r="L609" s="257">
        <v>0</v>
      </c>
      <c r="M609" s="70" t="s">
        <v>250</v>
      </c>
      <c r="N609" s="70">
        <v>80</v>
      </c>
      <c r="O609" s="258">
        <v>8</v>
      </c>
      <c r="P609" s="70" t="s">
        <v>251</v>
      </c>
      <c r="Q609" s="70" t="s">
        <v>233</v>
      </c>
      <c r="R609" s="70" t="s">
        <v>240</v>
      </c>
      <c r="S609" s="70" t="s">
        <v>240</v>
      </c>
      <c r="T609" s="70" t="s">
        <v>240</v>
      </c>
      <c r="U609" s="70" t="s">
        <v>1427</v>
      </c>
      <c r="V609" s="70" t="s">
        <v>240</v>
      </c>
      <c r="W609" s="12"/>
      <c r="X609" s="242">
        <v>531.05999999999995</v>
      </c>
      <c r="Y609" s="242">
        <v>671.62</v>
      </c>
      <c r="Z609" s="242">
        <v>98.61</v>
      </c>
      <c r="AA609" s="157" t="s">
        <v>252</v>
      </c>
      <c r="AB609" s="242">
        <v>95.41</v>
      </c>
      <c r="AC609" s="157" t="s">
        <v>252</v>
      </c>
      <c r="AD609" s="242">
        <v>96.85</v>
      </c>
      <c r="AE609" s="157" t="s">
        <v>252</v>
      </c>
      <c r="AF609" s="242">
        <v>97.13</v>
      </c>
      <c r="AG609" s="157" t="s">
        <v>252</v>
      </c>
      <c r="AH609" s="242">
        <v>96.76</v>
      </c>
      <c r="AI609" s="157" t="s">
        <v>252</v>
      </c>
      <c r="AJ609" s="242">
        <v>25.196670000000001</v>
      </c>
      <c r="AK609" s="242" t="s">
        <v>252</v>
      </c>
      <c r="AL609" s="242">
        <v>25.196670000000001</v>
      </c>
      <c r="AM609" s="242" t="s">
        <v>252</v>
      </c>
      <c r="AN609" s="242">
        <v>25.196670000000001</v>
      </c>
      <c r="AO609" s="242" t="s">
        <v>252</v>
      </c>
      <c r="AP609" s="242">
        <v>23.81</v>
      </c>
      <c r="AQ609" s="242" t="s">
        <v>252</v>
      </c>
      <c r="AR609" s="242">
        <v>76.239999999999995</v>
      </c>
      <c r="AS609" s="242" t="s">
        <v>252</v>
      </c>
      <c r="AT609" s="242">
        <v>76.09</v>
      </c>
      <c r="AU609" s="242" t="s">
        <v>252</v>
      </c>
      <c r="AV609" s="242">
        <v>77.06</v>
      </c>
      <c r="AW609" s="157" t="s">
        <v>252</v>
      </c>
      <c r="AX609" s="157">
        <v>2016.2300099999998</v>
      </c>
      <c r="AY609" s="240">
        <v>0.21</v>
      </c>
      <c r="AZ609" s="156" t="s">
        <v>253</v>
      </c>
      <c r="BA609" s="156" t="s">
        <v>254</v>
      </c>
      <c r="BB609" s="156">
        <v>0</v>
      </c>
      <c r="BC609" s="156" t="s">
        <v>1423</v>
      </c>
      <c r="BD609" s="3"/>
    </row>
    <row r="610" spans="1:56" ht="15.75" hidden="1" customHeight="1" outlineLevel="1">
      <c r="A610" s="58">
        <v>600</v>
      </c>
      <c r="B610" s="11">
        <v>129600</v>
      </c>
      <c r="C610" s="89" t="s">
        <v>356</v>
      </c>
      <c r="D610" s="157">
        <v>28</v>
      </c>
      <c r="E610" s="12" t="s">
        <v>231</v>
      </c>
      <c r="F610" s="11" t="s">
        <v>246</v>
      </c>
      <c r="G610" s="18" t="s">
        <v>247</v>
      </c>
      <c r="H610" s="11" t="s">
        <v>248</v>
      </c>
      <c r="I610" s="87" t="s">
        <v>249</v>
      </c>
      <c r="J610" s="19" t="s">
        <v>139</v>
      </c>
      <c r="K610" s="17" t="s">
        <v>140</v>
      </c>
      <c r="L610" s="260">
        <v>1</v>
      </c>
      <c r="M610" s="70" t="s">
        <v>250</v>
      </c>
      <c r="N610" s="70">
        <v>100</v>
      </c>
      <c r="O610" s="258">
        <v>8</v>
      </c>
      <c r="P610" s="70" t="s">
        <v>251</v>
      </c>
      <c r="Q610" s="70" t="s">
        <v>233</v>
      </c>
      <c r="R610" s="70" t="s">
        <v>240</v>
      </c>
      <c r="S610" s="70" t="s">
        <v>233</v>
      </c>
      <c r="T610" s="70" t="s">
        <v>233</v>
      </c>
      <c r="U610" s="70" t="s">
        <v>1427</v>
      </c>
      <c r="V610" s="70" t="s">
        <v>240</v>
      </c>
      <c r="W610" s="12"/>
      <c r="X610" s="242">
        <v>372.59789235825792</v>
      </c>
      <c r="Y610" s="242">
        <v>297.48905505341003</v>
      </c>
      <c r="Z610" s="242">
        <v>46.671321555738153</v>
      </c>
      <c r="AA610" s="157" t="s">
        <v>252</v>
      </c>
      <c r="AB610" s="242">
        <v>38.865086277732125</v>
      </c>
      <c r="AC610" s="157" t="s">
        <v>252</v>
      </c>
      <c r="AD610" s="242">
        <v>51.834557655436868</v>
      </c>
      <c r="AE610" s="157" t="s">
        <v>252</v>
      </c>
      <c r="AF610" s="242">
        <v>28.278646946042176</v>
      </c>
      <c r="AG610" s="157" t="s">
        <v>252</v>
      </c>
      <c r="AH610" s="242">
        <v>5.7987113119693232</v>
      </c>
      <c r="AI610" s="157" t="s">
        <v>252</v>
      </c>
      <c r="AJ610" s="242">
        <v>4.5494248151191456</v>
      </c>
      <c r="AK610" s="242" t="s">
        <v>252</v>
      </c>
      <c r="AL610" s="242">
        <v>3.603433305943577</v>
      </c>
      <c r="AM610" s="242" t="s">
        <v>252</v>
      </c>
      <c r="AN610" s="242">
        <v>4.13058887975897</v>
      </c>
      <c r="AO610" s="242" t="s">
        <v>252</v>
      </c>
      <c r="AP610" s="242">
        <v>5.3509901396877568</v>
      </c>
      <c r="AQ610" s="242" t="s">
        <v>252</v>
      </c>
      <c r="AR610" s="242">
        <v>26.141139413859218</v>
      </c>
      <c r="AS610" s="242" t="s">
        <v>252</v>
      </c>
      <c r="AT610" s="242">
        <v>26.856049027663651</v>
      </c>
      <c r="AU610" s="242" t="s">
        <v>252</v>
      </c>
      <c r="AV610" s="242">
        <v>35.731038071761162</v>
      </c>
      <c r="AW610" s="157" t="s">
        <v>252</v>
      </c>
      <c r="AX610" s="157">
        <v>947.89793481238007</v>
      </c>
      <c r="AY610" s="240">
        <v>0.1155409476855656</v>
      </c>
      <c r="AZ610" s="156" t="s">
        <v>253</v>
      </c>
      <c r="BA610" s="156" t="s">
        <v>254</v>
      </c>
      <c r="BB610" s="156">
        <v>1</v>
      </c>
      <c r="BC610" s="156" t="s">
        <v>1423</v>
      </c>
      <c r="BD610" s="3"/>
    </row>
    <row r="611" spans="1:56" ht="15.75" hidden="1" customHeight="1" outlineLevel="1">
      <c r="A611" s="58">
        <v>601</v>
      </c>
      <c r="B611" s="11">
        <v>129601</v>
      </c>
      <c r="C611" s="89" t="s">
        <v>356</v>
      </c>
      <c r="D611" s="157">
        <v>28</v>
      </c>
      <c r="E611" s="12" t="s">
        <v>260</v>
      </c>
      <c r="F611" s="11" t="s">
        <v>246</v>
      </c>
      <c r="G611" s="18" t="s">
        <v>247</v>
      </c>
      <c r="H611" s="11" t="s">
        <v>248</v>
      </c>
      <c r="I611" s="87" t="s">
        <v>249</v>
      </c>
      <c r="J611" s="19" t="s">
        <v>139</v>
      </c>
      <c r="K611" s="17" t="s">
        <v>140</v>
      </c>
      <c r="L611" s="257">
        <v>0</v>
      </c>
      <c r="M611" s="70" t="s">
        <v>250</v>
      </c>
      <c r="N611" s="70">
        <v>100</v>
      </c>
      <c r="O611" s="258">
        <v>8</v>
      </c>
      <c r="P611" s="70" t="s">
        <v>251</v>
      </c>
      <c r="Q611" s="70" t="s">
        <v>233</v>
      </c>
      <c r="R611" s="70" t="s">
        <v>240</v>
      </c>
      <c r="S611" s="70" t="s">
        <v>233</v>
      </c>
      <c r="T611" s="70" t="s">
        <v>233</v>
      </c>
      <c r="U611" s="70" t="s">
        <v>1427</v>
      </c>
      <c r="V611" s="70" t="s">
        <v>240</v>
      </c>
      <c r="W611" s="12"/>
      <c r="X611" s="242">
        <v>143.37210764174196</v>
      </c>
      <c r="Y611" s="242">
        <v>114.47094494658998</v>
      </c>
      <c r="Z611" s="242">
        <v>17.958678444261846</v>
      </c>
      <c r="AA611" s="157" t="s">
        <v>252</v>
      </c>
      <c r="AB611" s="242">
        <v>14.954913722267872</v>
      </c>
      <c r="AC611" s="157" t="s">
        <v>252</v>
      </c>
      <c r="AD611" s="242">
        <v>19.945442344563133</v>
      </c>
      <c r="AE611" s="157" t="s">
        <v>252</v>
      </c>
      <c r="AF611" s="242">
        <v>10.881353053957818</v>
      </c>
      <c r="AG611" s="157" t="s">
        <v>252</v>
      </c>
      <c r="AH611" s="242">
        <v>2.2312886880306761</v>
      </c>
      <c r="AI611" s="157" t="s">
        <v>252</v>
      </c>
      <c r="AJ611" s="242">
        <v>1.7505751848808546</v>
      </c>
      <c r="AK611" s="242" t="s">
        <v>252</v>
      </c>
      <c r="AL611" s="242">
        <v>1.386566694056423</v>
      </c>
      <c r="AM611" s="242" t="s">
        <v>252</v>
      </c>
      <c r="AN611" s="242">
        <v>1.5894111202410297</v>
      </c>
      <c r="AO611" s="242" t="s">
        <v>252</v>
      </c>
      <c r="AP611" s="242">
        <v>2.0590098603122433</v>
      </c>
      <c r="AQ611" s="242" t="s">
        <v>252</v>
      </c>
      <c r="AR611" s="242">
        <v>10.058860586140785</v>
      </c>
      <c r="AS611" s="242" t="s">
        <v>252</v>
      </c>
      <c r="AT611" s="242">
        <v>10.333950972336346</v>
      </c>
      <c r="AU611" s="242" t="s">
        <v>252</v>
      </c>
      <c r="AV611" s="242">
        <v>13.748961928238838</v>
      </c>
      <c r="AW611" s="157" t="s">
        <v>252</v>
      </c>
      <c r="AX611" s="157">
        <v>364.74206518761986</v>
      </c>
      <c r="AY611" s="243">
        <v>4.4459052314434401E-2</v>
      </c>
      <c r="AZ611" s="156" t="s">
        <v>253</v>
      </c>
      <c r="BA611" s="156" t="s">
        <v>254</v>
      </c>
      <c r="BB611" s="156">
        <v>0</v>
      </c>
      <c r="BC611" s="156" t="s">
        <v>1423</v>
      </c>
      <c r="BD611" s="3"/>
    </row>
    <row r="612" spans="1:56" ht="15.75" hidden="1" customHeight="1" outlineLevel="1">
      <c r="A612" s="58">
        <v>602</v>
      </c>
      <c r="B612" s="11">
        <v>129602</v>
      </c>
      <c r="C612" s="89" t="s">
        <v>356</v>
      </c>
      <c r="D612" s="157">
        <v>34</v>
      </c>
      <c r="E612" s="12" t="s">
        <v>191</v>
      </c>
      <c r="F612" s="11" t="s">
        <v>246</v>
      </c>
      <c r="G612" s="18" t="s">
        <v>247</v>
      </c>
      <c r="H612" s="11" t="s">
        <v>248</v>
      </c>
      <c r="I612" s="87" t="s">
        <v>249</v>
      </c>
      <c r="J612" s="19" t="s">
        <v>139</v>
      </c>
      <c r="K612" s="17" t="s">
        <v>140</v>
      </c>
      <c r="L612" s="257">
        <v>0</v>
      </c>
      <c r="M612" s="70" t="s">
        <v>250</v>
      </c>
      <c r="N612" s="70">
        <v>100</v>
      </c>
      <c r="O612" s="258">
        <v>8</v>
      </c>
      <c r="P612" s="70" t="s">
        <v>251</v>
      </c>
      <c r="Q612" s="70" t="s">
        <v>240</v>
      </c>
      <c r="R612" s="70" t="s">
        <v>240</v>
      </c>
      <c r="S612" s="70" t="s">
        <v>240</v>
      </c>
      <c r="T612" s="70" t="s">
        <v>240</v>
      </c>
      <c r="U612" s="70" t="s">
        <v>1427</v>
      </c>
      <c r="V612" s="70" t="s">
        <v>240</v>
      </c>
      <c r="W612" s="12"/>
      <c r="X612" s="242">
        <v>487.21000000000004</v>
      </c>
      <c r="Y612" s="242">
        <v>519.9</v>
      </c>
      <c r="Z612" s="242">
        <v>61.02</v>
      </c>
      <c r="AA612" s="157" t="s">
        <v>259</v>
      </c>
      <c r="AB612" s="242">
        <v>61.02</v>
      </c>
      <c r="AC612" s="157" t="s">
        <v>259</v>
      </c>
      <c r="AD612" s="242">
        <v>61.02</v>
      </c>
      <c r="AE612" s="157" t="s">
        <v>259</v>
      </c>
      <c r="AF612" s="242">
        <v>61.02</v>
      </c>
      <c r="AG612" s="157" t="s">
        <v>259</v>
      </c>
      <c r="AH612" s="242">
        <v>61.02</v>
      </c>
      <c r="AI612" s="157" t="s">
        <v>259</v>
      </c>
      <c r="AJ612" s="242">
        <v>0</v>
      </c>
      <c r="AK612" s="242" t="s">
        <v>259</v>
      </c>
      <c r="AL612" s="242">
        <v>0</v>
      </c>
      <c r="AM612" s="242" t="s">
        <v>259</v>
      </c>
      <c r="AN612" s="242">
        <v>3.14</v>
      </c>
      <c r="AO612" s="242" t="s">
        <v>259</v>
      </c>
      <c r="AP612" s="242">
        <v>10.81</v>
      </c>
      <c r="AQ612" s="242" t="s">
        <v>259</v>
      </c>
      <c r="AR612" s="242">
        <v>46.28</v>
      </c>
      <c r="AS612" s="242" t="s">
        <v>259</v>
      </c>
      <c r="AT612" s="242">
        <v>57.09</v>
      </c>
      <c r="AU612" s="242" t="s">
        <v>259</v>
      </c>
      <c r="AV612" s="242">
        <v>54.48</v>
      </c>
      <c r="AW612" s="157" t="s">
        <v>259</v>
      </c>
      <c r="AX612" s="157">
        <v>1484.01</v>
      </c>
      <c r="AY612" s="240">
        <v>0.26</v>
      </c>
      <c r="AZ612" s="156" t="s">
        <v>253</v>
      </c>
      <c r="BA612" s="156" t="s">
        <v>254</v>
      </c>
      <c r="BB612" s="156">
        <v>0</v>
      </c>
      <c r="BC612" s="156" t="s">
        <v>1423</v>
      </c>
      <c r="BD612" s="3"/>
    </row>
    <row r="613" spans="1:56" ht="15.75" hidden="1" customHeight="1" outlineLevel="1">
      <c r="A613" s="58">
        <v>603</v>
      </c>
      <c r="B613" s="11">
        <v>129603</v>
      </c>
      <c r="C613" s="89" t="s">
        <v>356</v>
      </c>
      <c r="D613" s="157">
        <v>36</v>
      </c>
      <c r="E613" s="12" t="s">
        <v>191</v>
      </c>
      <c r="F613" s="11" t="s">
        <v>246</v>
      </c>
      <c r="G613" s="18" t="s">
        <v>247</v>
      </c>
      <c r="H613" s="11" t="s">
        <v>248</v>
      </c>
      <c r="I613" s="87" t="s">
        <v>249</v>
      </c>
      <c r="J613" s="19" t="s">
        <v>139</v>
      </c>
      <c r="K613" s="17" t="s">
        <v>140</v>
      </c>
      <c r="L613" s="260">
        <v>1</v>
      </c>
      <c r="M613" s="70" t="s">
        <v>250</v>
      </c>
      <c r="N613" s="70">
        <v>100</v>
      </c>
      <c r="O613" s="258">
        <v>8</v>
      </c>
      <c r="P613" s="70" t="s">
        <v>251</v>
      </c>
      <c r="Q613" s="70" t="s">
        <v>233</v>
      </c>
      <c r="R613" s="70" t="s">
        <v>240</v>
      </c>
      <c r="S613" s="70" t="s">
        <v>233</v>
      </c>
      <c r="T613" s="70" t="s">
        <v>233</v>
      </c>
      <c r="U613" s="70" t="s">
        <v>1427</v>
      </c>
      <c r="V613" s="70" t="s">
        <v>240</v>
      </c>
      <c r="W613" s="12"/>
      <c r="X613" s="242">
        <v>337.28999999999996</v>
      </c>
      <c r="Y613" s="242">
        <v>369.85</v>
      </c>
      <c r="Z613" s="242">
        <v>52.9</v>
      </c>
      <c r="AA613" s="157" t="s">
        <v>252</v>
      </c>
      <c r="AB613" s="242">
        <v>35.29</v>
      </c>
      <c r="AC613" s="157" t="s">
        <v>252</v>
      </c>
      <c r="AD613" s="242">
        <v>51.9</v>
      </c>
      <c r="AE613" s="157" t="s">
        <v>252</v>
      </c>
      <c r="AF613" s="242">
        <v>35.85</v>
      </c>
      <c r="AG613" s="157" t="s">
        <v>252</v>
      </c>
      <c r="AH613" s="242">
        <v>17.5</v>
      </c>
      <c r="AI613" s="157" t="s">
        <v>252</v>
      </c>
      <c r="AJ613" s="242">
        <v>6.9</v>
      </c>
      <c r="AK613" s="242" t="s">
        <v>252</v>
      </c>
      <c r="AL613" s="242">
        <v>4.3600000000000003</v>
      </c>
      <c r="AM613" s="242" t="s">
        <v>252</v>
      </c>
      <c r="AN613" s="242">
        <v>5.3</v>
      </c>
      <c r="AO613" s="242" t="s">
        <v>252</v>
      </c>
      <c r="AP613" s="242">
        <v>6.94</v>
      </c>
      <c r="AQ613" s="242" t="s">
        <v>252</v>
      </c>
      <c r="AR613" s="242">
        <v>2.78</v>
      </c>
      <c r="AS613" s="242" t="s">
        <v>252</v>
      </c>
      <c r="AT613" s="242">
        <v>34.42</v>
      </c>
      <c r="AU613" s="242" t="s">
        <v>252</v>
      </c>
      <c r="AV613" s="242">
        <v>39.479999999999997</v>
      </c>
      <c r="AW613" s="157" t="s">
        <v>252</v>
      </c>
      <c r="AX613" s="157">
        <v>1000.7599999999999</v>
      </c>
      <c r="AY613" s="240">
        <v>0.12</v>
      </c>
      <c r="AZ613" s="156" t="s">
        <v>253</v>
      </c>
      <c r="BA613" s="156" t="s">
        <v>254</v>
      </c>
      <c r="BB613" s="156">
        <v>1</v>
      </c>
      <c r="BC613" s="156" t="s">
        <v>1423</v>
      </c>
      <c r="BD613" s="3"/>
    </row>
    <row r="614" spans="1:56" ht="15.75" hidden="1" customHeight="1" outlineLevel="1">
      <c r="A614" s="58">
        <v>604</v>
      </c>
      <c r="B614" s="11">
        <v>129604</v>
      </c>
      <c r="C614" s="89" t="s">
        <v>356</v>
      </c>
      <c r="D614" s="157">
        <v>38</v>
      </c>
      <c r="E614" s="12" t="s">
        <v>191</v>
      </c>
      <c r="F614" s="11" t="s">
        <v>246</v>
      </c>
      <c r="G614" s="18" t="s">
        <v>247</v>
      </c>
      <c r="H614" s="11" t="s">
        <v>248</v>
      </c>
      <c r="I614" s="87" t="s">
        <v>249</v>
      </c>
      <c r="J614" s="19" t="s">
        <v>139</v>
      </c>
      <c r="K614" s="17" t="s">
        <v>140</v>
      </c>
      <c r="L614" s="257">
        <v>0</v>
      </c>
      <c r="M614" s="70" t="s">
        <v>250</v>
      </c>
      <c r="N614" s="70">
        <v>100</v>
      </c>
      <c r="O614" s="258">
        <v>8</v>
      </c>
      <c r="P614" s="70" t="s">
        <v>251</v>
      </c>
      <c r="Q614" s="70" t="s">
        <v>233</v>
      </c>
      <c r="R614" s="70" t="s">
        <v>240</v>
      </c>
      <c r="S614" s="70" t="s">
        <v>233</v>
      </c>
      <c r="T614" s="70" t="s">
        <v>233</v>
      </c>
      <c r="U614" s="70" t="s">
        <v>1427</v>
      </c>
      <c r="V614" s="70" t="s">
        <v>240</v>
      </c>
      <c r="W614" s="12"/>
      <c r="X614" s="242">
        <v>410.51293400573223</v>
      </c>
      <c r="Y614" s="242">
        <v>442.75626746000063</v>
      </c>
      <c r="Z614" s="242">
        <v>61.55033922287123</v>
      </c>
      <c r="AA614" s="157" t="s">
        <v>252</v>
      </c>
      <c r="AB614" s="242">
        <v>41.077894278561836</v>
      </c>
      <c r="AC614" s="157" t="s">
        <v>252</v>
      </c>
      <c r="AD614" s="242">
        <v>60.363530820302579</v>
      </c>
      <c r="AE614" s="157" t="s">
        <v>252</v>
      </c>
      <c r="AF614" s="242">
        <v>41.492254108768996</v>
      </c>
      <c r="AG614" s="157" t="s">
        <v>252</v>
      </c>
      <c r="AH614" s="242">
        <v>19.505605340492689</v>
      </c>
      <c r="AI614" s="157" t="s">
        <v>252</v>
      </c>
      <c r="AJ614" s="242">
        <v>13.305554547763306</v>
      </c>
      <c r="AK614" s="242" t="s">
        <v>252</v>
      </c>
      <c r="AL614" s="242">
        <v>8.8345608242934368</v>
      </c>
      <c r="AM614" s="242" t="s">
        <v>252</v>
      </c>
      <c r="AN614" s="242">
        <v>10.967746616841417</v>
      </c>
      <c r="AO614" s="242" t="s">
        <v>252</v>
      </c>
      <c r="AP614" s="242">
        <v>14.282625258498712</v>
      </c>
      <c r="AQ614" s="242" t="s">
        <v>252</v>
      </c>
      <c r="AR614" s="242">
        <v>36.770598265791094</v>
      </c>
      <c r="AS614" s="242" t="s">
        <v>252</v>
      </c>
      <c r="AT614" s="242">
        <v>39.154446177847113</v>
      </c>
      <c r="AU614" s="242" t="s">
        <v>252</v>
      </c>
      <c r="AV614" s="242">
        <v>45.656314624678011</v>
      </c>
      <c r="AW614" s="157" t="s">
        <v>252</v>
      </c>
      <c r="AX614" s="157">
        <v>1246.2306715524433</v>
      </c>
      <c r="AY614" s="240">
        <v>0.14835105032108259</v>
      </c>
      <c r="AZ614" s="156" t="s">
        <v>253</v>
      </c>
      <c r="BA614" s="156" t="s">
        <v>254</v>
      </c>
      <c r="BB614" s="156">
        <v>0</v>
      </c>
      <c r="BC614" s="156" t="s">
        <v>1423</v>
      </c>
      <c r="BD614" s="3"/>
    </row>
    <row r="615" spans="1:56" ht="15.75" hidden="1" customHeight="1" outlineLevel="1">
      <c r="A615" s="58">
        <v>605</v>
      </c>
      <c r="B615" s="11">
        <v>129605</v>
      </c>
      <c r="C615" s="89" t="s">
        <v>356</v>
      </c>
      <c r="D615" s="157">
        <v>38</v>
      </c>
      <c r="E615" s="12" t="s">
        <v>231</v>
      </c>
      <c r="F615" s="11" t="s">
        <v>246</v>
      </c>
      <c r="G615" s="18" t="s">
        <v>247</v>
      </c>
      <c r="H615" s="11" t="s">
        <v>248</v>
      </c>
      <c r="I615" s="87" t="s">
        <v>249</v>
      </c>
      <c r="J615" s="19" t="s">
        <v>139</v>
      </c>
      <c r="K615" s="17" t="s">
        <v>140</v>
      </c>
      <c r="L615" s="257">
        <v>0</v>
      </c>
      <c r="M615" s="70" t="s">
        <v>250</v>
      </c>
      <c r="N615" s="70">
        <v>100</v>
      </c>
      <c r="O615" s="258">
        <v>8</v>
      </c>
      <c r="P615" s="70" t="s">
        <v>251</v>
      </c>
      <c r="Q615" s="70" t="s">
        <v>233</v>
      </c>
      <c r="R615" s="70" t="s">
        <v>240</v>
      </c>
      <c r="S615" s="70" t="s">
        <v>233</v>
      </c>
      <c r="T615" s="70" t="s">
        <v>233</v>
      </c>
      <c r="U615" s="70" t="s">
        <v>1427</v>
      </c>
      <c r="V615" s="70" t="s">
        <v>240</v>
      </c>
      <c r="W615" s="12"/>
      <c r="X615" s="242">
        <v>391.96706599426761</v>
      </c>
      <c r="Y615" s="242">
        <v>422.75373253999919</v>
      </c>
      <c r="Z615" s="242">
        <v>58.769660777128756</v>
      </c>
      <c r="AA615" s="157" t="s">
        <v>252</v>
      </c>
      <c r="AB615" s="242">
        <v>39.222105721438155</v>
      </c>
      <c r="AC615" s="157" t="s">
        <v>252</v>
      </c>
      <c r="AD615" s="242">
        <v>57.636469179697414</v>
      </c>
      <c r="AE615" s="157" t="s">
        <v>252</v>
      </c>
      <c r="AF615" s="242">
        <v>39.617745891230996</v>
      </c>
      <c r="AG615" s="157" t="s">
        <v>252</v>
      </c>
      <c r="AH615" s="242">
        <v>18.62439465950731</v>
      </c>
      <c r="AI615" s="157" t="s">
        <v>252</v>
      </c>
      <c r="AJ615" s="242">
        <v>12.704445452236694</v>
      </c>
      <c r="AK615" s="242" t="s">
        <v>252</v>
      </c>
      <c r="AL615" s="242">
        <v>8.4354391757065628</v>
      </c>
      <c r="AM615" s="242" t="s">
        <v>252</v>
      </c>
      <c r="AN615" s="242">
        <v>10.472253383158582</v>
      </c>
      <c r="AO615" s="242" t="s">
        <v>252</v>
      </c>
      <c r="AP615" s="242">
        <v>13.637374741501288</v>
      </c>
      <c r="AQ615" s="242" t="s">
        <v>252</v>
      </c>
      <c r="AR615" s="242">
        <v>35.109401734208902</v>
      </c>
      <c r="AS615" s="242" t="s">
        <v>252</v>
      </c>
      <c r="AT615" s="242">
        <v>37.385553822152886</v>
      </c>
      <c r="AU615" s="242" t="s">
        <v>252</v>
      </c>
      <c r="AV615" s="242">
        <v>43.593685375321989</v>
      </c>
      <c r="AW615" s="157" t="s">
        <v>252</v>
      </c>
      <c r="AX615" s="157">
        <v>1189.9293284475564</v>
      </c>
      <c r="AY615" s="243">
        <v>0.14164894967891736</v>
      </c>
      <c r="AZ615" s="156" t="s">
        <v>253</v>
      </c>
      <c r="BA615" s="156" t="s">
        <v>254</v>
      </c>
      <c r="BB615" s="156">
        <v>0</v>
      </c>
      <c r="BC615" s="156" t="s">
        <v>1423</v>
      </c>
      <c r="BD615" s="3"/>
    </row>
    <row r="616" spans="1:56" ht="15.75" hidden="1" customHeight="1" outlineLevel="1">
      <c r="A616" s="58">
        <v>606</v>
      </c>
      <c r="B616" s="11">
        <v>129606</v>
      </c>
      <c r="C616" s="89" t="s">
        <v>356</v>
      </c>
      <c r="D616" s="157">
        <v>40</v>
      </c>
      <c r="E616" s="12" t="s">
        <v>191</v>
      </c>
      <c r="F616" s="11" t="s">
        <v>246</v>
      </c>
      <c r="G616" s="18" t="s">
        <v>247</v>
      </c>
      <c r="H616" s="11" t="s">
        <v>248</v>
      </c>
      <c r="I616" s="87" t="s">
        <v>249</v>
      </c>
      <c r="J616" s="19" t="s">
        <v>139</v>
      </c>
      <c r="K616" s="17" t="s">
        <v>140</v>
      </c>
      <c r="L616" s="260">
        <v>1</v>
      </c>
      <c r="M616" s="70" t="s">
        <v>250</v>
      </c>
      <c r="N616" s="70">
        <v>100</v>
      </c>
      <c r="O616" s="258">
        <v>8</v>
      </c>
      <c r="P616" s="70" t="s">
        <v>251</v>
      </c>
      <c r="Q616" s="70" t="s">
        <v>233</v>
      </c>
      <c r="R616" s="70" t="s">
        <v>240</v>
      </c>
      <c r="S616" s="70" t="s">
        <v>233</v>
      </c>
      <c r="T616" s="70" t="s">
        <v>233</v>
      </c>
      <c r="U616" s="70" t="s">
        <v>1427</v>
      </c>
      <c r="V616" s="70" t="s">
        <v>240</v>
      </c>
      <c r="W616" s="12"/>
      <c r="X616" s="242">
        <v>322.61900794696999</v>
      </c>
      <c r="Y616" s="242">
        <v>331.21963315882635</v>
      </c>
      <c r="Z616" s="242">
        <v>34.31092011600316</v>
      </c>
      <c r="AA616" s="157" t="s">
        <v>252</v>
      </c>
      <c r="AB616" s="242">
        <v>34.247211781100525</v>
      </c>
      <c r="AC616" s="157" t="s">
        <v>252</v>
      </c>
      <c r="AD616" s="242">
        <v>34.330828970660235</v>
      </c>
      <c r="AE616" s="157" t="s">
        <v>252</v>
      </c>
      <c r="AF616" s="242">
        <v>33.733563330947987</v>
      </c>
      <c r="AG616" s="157" t="s">
        <v>252</v>
      </c>
      <c r="AH616" s="242">
        <v>34.095904485706747</v>
      </c>
      <c r="AI616" s="157" t="s">
        <v>252</v>
      </c>
      <c r="AJ616" s="242">
        <v>8.1081996007683319</v>
      </c>
      <c r="AK616" s="242" t="s">
        <v>252</v>
      </c>
      <c r="AL616" s="242">
        <v>8.1081996007683319</v>
      </c>
      <c r="AM616" s="242" t="s">
        <v>252</v>
      </c>
      <c r="AN616" s="242">
        <v>8.1081996007683319</v>
      </c>
      <c r="AO616" s="242" t="s">
        <v>252</v>
      </c>
      <c r="AP616" s="242">
        <v>9.8126364656698417</v>
      </c>
      <c r="AQ616" s="242" t="s">
        <v>252</v>
      </c>
      <c r="AR616" s="242">
        <v>31.483862754698499</v>
      </c>
      <c r="AS616" s="242" t="s">
        <v>252</v>
      </c>
      <c r="AT616" s="242">
        <v>29.429268954088354</v>
      </c>
      <c r="AU616" s="242" t="s">
        <v>252</v>
      </c>
      <c r="AV616" s="242">
        <v>38.416125946292041</v>
      </c>
      <c r="AW616" s="157" t="s">
        <v>252</v>
      </c>
      <c r="AX616" s="157">
        <v>958.0235627132688</v>
      </c>
      <c r="AY616" s="240">
        <v>0.13538021166811043</v>
      </c>
      <c r="AZ616" s="156" t="s">
        <v>253</v>
      </c>
      <c r="BA616" s="156" t="s">
        <v>254</v>
      </c>
      <c r="BB616" s="156">
        <v>1</v>
      </c>
      <c r="BC616" s="156" t="s">
        <v>1423</v>
      </c>
      <c r="BD616" s="3"/>
    </row>
    <row r="617" spans="1:56" ht="15.75" hidden="1" customHeight="1" outlineLevel="1">
      <c r="A617" s="58">
        <v>607</v>
      </c>
      <c r="B617" s="11">
        <v>129607</v>
      </c>
      <c r="C617" s="89" t="s">
        <v>356</v>
      </c>
      <c r="D617" s="157">
        <v>40</v>
      </c>
      <c r="E617" s="12" t="s">
        <v>231</v>
      </c>
      <c r="F617" s="11" t="s">
        <v>246</v>
      </c>
      <c r="G617" s="18" t="s">
        <v>247</v>
      </c>
      <c r="H617" s="11" t="s">
        <v>248</v>
      </c>
      <c r="I617" s="87" t="s">
        <v>249</v>
      </c>
      <c r="J617" s="19" t="s">
        <v>139</v>
      </c>
      <c r="K617" s="17" t="s">
        <v>140</v>
      </c>
      <c r="L617" s="257">
        <v>0</v>
      </c>
      <c r="M617" s="70" t="s">
        <v>250</v>
      </c>
      <c r="N617" s="70">
        <v>100</v>
      </c>
      <c r="O617" s="258">
        <v>8</v>
      </c>
      <c r="P617" s="70" t="s">
        <v>251</v>
      </c>
      <c r="Q617" s="70" t="s">
        <v>233</v>
      </c>
      <c r="R617" s="70" t="s">
        <v>240</v>
      </c>
      <c r="S617" s="70" t="s">
        <v>233</v>
      </c>
      <c r="T617" s="70" t="s">
        <v>233</v>
      </c>
      <c r="U617" s="70" t="s">
        <v>1427</v>
      </c>
      <c r="V617" s="70" t="s">
        <v>240</v>
      </c>
      <c r="W617" s="12"/>
      <c r="X617" s="242">
        <v>346.33022334375352</v>
      </c>
      <c r="Y617" s="242">
        <v>355.56296034047676</v>
      </c>
      <c r="Z617" s="242">
        <v>36.83263643553915</v>
      </c>
      <c r="AA617" s="157" t="s">
        <v>252</v>
      </c>
      <c r="AB617" s="242">
        <v>36.764245791118974</v>
      </c>
      <c r="AC617" s="157" t="s">
        <v>252</v>
      </c>
      <c r="AD617" s="242">
        <v>36.854008511920448</v>
      </c>
      <c r="AE617" s="157" t="s">
        <v>252</v>
      </c>
      <c r="AF617" s="242">
        <v>36.212846220481332</v>
      </c>
      <c r="AG617" s="157" t="s">
        <v>252</v>
      </c>
      <c r="AH617" s="242">
        <v>36.601818010621059</v>
      </c>
      <c r="AI617" s="157" t="s">
        <v>252</v>
      </c>
      <c r="AJ617" s="242">
        <v>8.7041200595081154</v>
      </c>
      <c r="AK617" s="242" t="s">
        <v>252</v>
      </c>
      <c r="AL617" s="242">
        <v>8.7041200595081154</v>
      </c>
      <c r="AM617" s="242" t="s">
        <v>252</v>
      </c>
      <c r="AN617" s="242">
        <v>8.7041200595081154</v>
      </c>
      <c r="AO617" s="242" t="s">
        <v>252</v>
      </c>
      <c r="AP617" s="242">
        <v>10.533826262664304</v>
      </c>
      <c r="AQ617" s="242" t="s">
        <v>252</v>
      </c>
      <c r="AR617" s="242">
        <v>33.797801589393991</v>
      </c>
      <c r="AS617" s="242" t="s">
        <v>252</v>
      </c>
      <c r="AT617" s="242">
        <v>31.592203306843427</v>
      </c>
      <c r="AU617" s="242" t="s">
        <v>252</v>
      </c>
      <c r="AV617" s="242">
        <v>41.239558585364016</v>
      </c>
      <c r="AW617" s="157" t="s">
        <v>252</v>
      </c>
      <c r="AX617" s="157">
        <v>1028.4344885767014</v>
      </c>
      <c r="AY617" s="243">
        <v>0.14533011939286655</v>
      </c>
      <c r="AZ617" s="156" t="s">
        <v>253</v>
      </c>
      <c r="BA617" s="156" t="s">
        <v>254</v>
      </c>
      <c r="BB617" s="156">
        <v>0</v>
      </c>
      <c r="BC617" s="156" t="s">
        <v>1423</v>
      </c>
      <c r="BD617" s="3"/>
    </row>
    <row r="618" spans="1:56" ht="15.75" hidden="1" customHeight="1" outlineLevel="1">
      <c r="A618" s="58">
        <v>608</v>
      </c>
      <c r="B618" s="11">
        <v>129608</v>
      </c>
      <c r="C618" s="89" t="s">
        <v>356</v>
      </c>
      <c r="D618" s="157">
        <v>40</v>
      </c>
      <c r="E618" s="12" t="s">
        <v>260</v>
      </c>
      <c r="F618" s="11" t="s">
        <v>246</v>
      </c>
      <c r="G618" s="18" t="s">
        <v>247</v>
      </c>
      <c r="H618" s="11" t="s">
        <v>248</v>
      </c>
      <c r="I618" s="87" t="s">
        <v>249</v>
      </c>
      <c r="J618" s="19" t="s">
        <v>139</v>
      </c>
      <c r="K618" s="17" t="s">
        <v>140</v>
      </c>
      <c r="L618" s="257">
        <v>0</v>
      </c>
      <c r="M618" s="70" t="s">
        <v>250</v>
      </c>
      <c r="N618" s="70">
        <v>100</v>
      </c>
      <c r="O618" s="258">
        <v>8</v>
      </c>
      <c r="P618" s="70" t="s">
        <v>251</v>
      </c>
      <c r="Q618" s="70" t="s">
        <v>233</v>
      </c>
      <c r="R618" s="70" t="s">
        <v>240</v>
      </c>
      <c r="S618" s="70" t="s">
        <v>233</v>
      </c>
      <c r="T618" s="70" t="s">
        <v>233</v>
      </c>
      <c r="U618" s="70" t="s">
        <v>1427</v>
      </c>
      <c r="V618" s="70" t="s">
        <v>240</v>
      </c>
      <c r="W618" s="12"/>
      <c r="X618" s="242">
        <v>141.29076870927648</v>
      </c>
      <c r="Y618" s="242">
        <v>145.05740650069674</v>
      </c>
      <c r="Z618" s="242">
        <v>15.026443448457684</v>
      </c>
      <c r="AA618" s="157" t="s">
        <v>252</v>
      </c>
      <c r="AB618" s="242">
        <v>14.998542427780498</v>
      </c>
      <c r="AC618" s="157" t="s">
        <v>252</v>
      </c>
      <c r="AD618" s="242">
        <v>15.035162517419305</v>
      </c>
      <c r="AE618" s="157" t="s">
        <v>252</v>
      </c>
      <c r="AF618" s="242">
        <v>14.773590448570674</v>
      </c>
      <c r="AG618" s="157" t="s">
        <v>252</v>
      </c>
      <c r="AH618" s="242">
        <v>14.932277503672177</v>
      </c>
      <c r="AI618" s="157" t="s">
        <v>252</v>
      </c>
      <c r="AJ618" s="242">
        <v>3.5509803397235506</v>
      </c>
      <c r="AK618" s="242" t="s">
        <v>252</v>
      </c>
      <c r="AL618" s="242">
        <v>3.5509803397235506</v>
      </c>
      <c r="AM618" s="242" t="s">
        <v>252</v>
      </c>
      <c r="AN618" s="242">
        <v>3.5509803397235506</v>
      </c>
      <c r="AO618" s="242" t="s">
        <v>252</v>
      </c>
      <c r="AP618" s="242">
        <v>4.2974372716658502</v>
      </c>
      <c r="AQ618" s="242" t="s">
        <v>252</v>
      </c>
      <c r="AR618" s="242">
        <v>13.788335655907497</v>
      </c>
      <c r="AS618" s="242" t="s">
        <v>252</v>
      </c>
      <c r="AT618" s="242">
        <v>12.888527739068207</v>
      </c>
      <c r="AU618" s="242" t="s">
        <v>252</v>
      </c>
      <c r="AV618" s="242">
        <v>16.82431546834394</v>
      </c>
      <c r="AW618" s="157" t="s">
        <v>252</v>
      </c>
      <c r="AX618" s="157">
        <v>419.56574871002965</v>
      </c>
      <c r="AY618" s="243">
        <v>5.9289668939023016E-2</v>
      </c>
      <c r="AZ618" s="156" t="s">
        <v>253</v>
      </c>
      <c r="BA618" s="156" t="s">
        <v>254</v>
      </c>
      <c r="BB618" s="156">
        <v>0</v>
      </c>
      <c r="BC618" s="156" t="s">
        <v>1423</v>
      </c>
      <c r="BD618" s="3"/>
    </row>
    <row r="619" spans="1:56" ht="15.75" hidden="1" customHeight="1" outlineLevel="1">
      <c r="A619" s="58">
        <v>609</v>
      </c>
      <c r="B619" s="11">
        <v>129609</v>
      </c>
      <c r="C619" s="89" t="s">
        <v>356</v>
      </c>
      <c r="D619" s="157">
        <v>46</v>
      </c>
      <c r="E619" s="12" t="s">
        <v>191</v>
      </c>
      <c r="F619" s="11" t="s">
        <v>246</v>
      </c>
      <c r="G619" s="18" t="s">
        <v>247</v>
      </c>
      <c r="H619" s="11" t="s">
        <v>248</v>
      </c>
      <c r="I619" s="87" t="s">
        <v>249</v>
      </c>
      <c r="J619" s="19" t="s">
        <v>139</v>
      </c>
      <c r="K619" s="17" t="s">
        <v>140</v>
      </c>
      <c r="L619" s="257">
        <v>0</v>
      </c>
      <c r="M619" s="70" t="s">
        <v>250</v>
      </c>
      <c r="N619" s="70">
        <v>100</v>
      </c>
      <c r="O619" s="258">
        <v>8</v>
      </c>
      <c r="P619" s="70" t="s">
        <v>251</v>
      </c>
      <c r="Q619" s="70" t="s">
        <v>233</v>
      </c>
      <c r="R619" s="70" t="s">
        <v>240</v>
      </c>
      <c r="S619" s="70" t="s">
        <v>233</v>
      </c>
      <c r="T619" s="70" t="s">
        <v>233</v>
      </c>
      <c r="U619" s="70" t="s">
        <v>1427</v>
      </c>
      <c r="V619" s="70" t="s">
        <v>240</v>
      </c>
      <c r="W619" s="12"/>
      <c r="X619" s="242">
        <v>1137.2200000000003</v>
      </c>
      <c r="Y619" s="242">
        <v>1086.73</v>
      </c>
      <c r="Z619" s="242">
        <v>126.28</v>
      </c>
      <c r="AA619" s="157" t="s">
        <v>252</v>
      </c>
      <c r="AB619" s="242">
        <v>92.75</v>
      </c>
      <c r="AC619" s="157" t="s">
        <v>252</v>
      </c>
      <c r="AD619" s="242">
        <v>136.53</v>
      </c>
      <c r="AE619" s="157" t="s">
        <v>252</v>
      </c>
      <c r="AF619" s="242">
        <v>101.09</v>
      </c>
      <c r="AG619" s="157" t="s">
        <v>252</v>
      </c>
      <c r="AH619" s="242">
        <v>104.63</v>
      </c>
      <c r="AI619" s="157" t="s">
        <v>252</v>
      </c>
      <c r="AJ619" s="242">
        <v>39.46</v>
      </c>
      <c r="AK619" s="242" t="s">
        <v>252</v>
      </c>
      <c r="AL619" s="242">
        <v>33.659999999999997</v>
      </c>
      <c r="AM619" s="242" t="s">
        <v>252</v>
      </c>
      <c r="AN619" s="242">
        <v>9.94</v>
      </c>
      <c r="AO619" s="242" t="s">
        <v>252</v>
      </c>
      <c r="AP619" s="242">
        <v>23.917909999999999</v>
      </c>
      <c r="AQ619" s="242" t="s">
        <v>252</v>
      </c>
      <c r="AR619" s="242">
        <v>29.13</v>
      </c>
      <c r="AS619" s="242" t="s">
        <v>252</v>
      </c>
      <c r="AT619" s="242">
        <v>108.3075</v>
      </c>
      <c r="AU619" s="242" t="s">
        <v>252</v>
      </c>
      <c r="AV619" s="242">
        <v>97.37</v>
      </c>
      <c r="AW619" s="157" t="s">
        <v>252</v>
      </c>
      <c r="AX619" s="157">
        <v>3127.0154100000009</v>
      </c>
      <c r="AY619" s="240">
        <v>0.36</v>
      </c>
      <c r="AZ619" s="156" t="s">
        <v>253</v>
      </c>
      <c r="BA619" s="156" t="s">
        <v>254</v>
      </c>
      <c r="BB619" s="156">
        <v>0</v>
      </c>
      <c r="BC619" s="156" t="s">
        <v>1423</v>
      </c>
      <c r="BD619" s="3"/>
    </row>
    <row r="620" spans="1:56" ht="15.75" hidden="1" customHeight="1" outlineLevel="1">
      <c r="A620" s="58">
        <v>610</v>
      </c>
      <c r="B620" s="11">
        <v>129610</v>
      </c>
      <c r="C620" s="89" t="s">
        <v>356</v>
      </c>
      <c r="D620" s="157">
        <v>50</v>
      </c>
      <c r="E620" s="12" t="s">
        <v>191</v>
      </c>
      <c r="F620" s="11" t="s">
        <v>246</v>
      </c>
      <c r="G620" s="18" t="s">
        <v>247</v>
      </c>
      <c r="H620" s="11" t="s">
        <v>248</v>
      </c>
      <c r="I620" s="87" t="s">
        <v>249</v>
      </c>
      <c r="J620" s="19" t="s">
        <v>139</v>
      </c>
      <c r="K620" s="17" t="s">
        <v>140</v>
      </c>
      <c r="L620" s="257">
        <v>0</v>
      </c>
      <c r="M620" s="70" t="s">
        <v>250</v>
      </c>
      <c r="N620" s="70">
        <v>100</v>
      </c>
      <c r="O620" s="258">
        <v>8</v>
      </c>
      <c r="P620" s="70" t="s">
        <v>251</v>
      </c>
      <c r="Q620" s="70" t="s">
        <v>240</v>
      </c>
      <c r="R620" s="70" t="s">
        <v>240</v>
      </c>
      <c r="S620" s="70" t="s">
        <v>233</v>
      </c>
      <c r="T620" s="70" t="s">
        <v>233</v>
      </c>
      <c r="U620" s="70" t="s">
        <v>1427</v>
      </c>
      <c r="V620" s="70" t="s">
        <v>240</v>
      </c>
      <c r="W620" s="12"/>
      <c r="X620" s="242">
        <v>503.74000000000007</v>
      </c>
      <c r="Y620" s="242">
        <v>428.33999999999992</v>
      </c>
      <c r="Z620" s="242">
        <v>91.7</v>
      </c>
      <c r="AA620" s="157" t="s">
        <v>252</v>
      </c>
      <c r="AB620" s="242">
        <v>60.4</v>
      </c>
      <c r="AC620" s="157" t="s">
        <v>252</v>
      </c>
      <c r="AD620" s="242">
        <v>74.099999999999994</v>
      </c>
      <c r="AE620" s="157" t="s">
        <v>252</v>
      </c>
      <c r="AF620" s="242">
        <v>46.2</v>
      </c>
      <c r="AG620" s="157" t="s">
        <v>252</v>
      </c>
      <c r="AH620" s="242">
        <v>16.8</v>
      </c>
      <c r="AI620" s="157" t="s">
        <v>252</v>
      </c>
      <c r="AJ620" s="242">
        <v>0</v>
      </c>
      <c r="AK620" s="242" t="s">
        <v>252</v>
      </c>
      <c r="AL620" s="242">
        <v>0</v>
      </c>
      <c r="AM620" s="242" t="s">
        <v>252</v>
      </c>
      <c r="AN620" s="242">
        <v>0.78</v>
      </c>
      <c r="AO620" s="242" t="s">
        <v>252</v>
      </c>
      <c r="AP620" s="242">
        <v>0</v>
      </c>
      <c r="AQ620" s="242" t="s">
        <v>252</v>
      </c>
      <c r="AR620" s="242">
        <v>78.540000000000006</v>
      </c>
      <c r="AS620" s="242" t="s">
        <v>252</v>
      </c>
      <c r="AT620" s="242">
        <v>46.7</v>
      </c>
      <c r="AU620" s="242" t="s">
        <v>252</v>
      </c>
      <c r="AV620" s="242">
        <v>51</v>
      </c>
      <c r="AW620" s="157" t="s">
        <v>252</v>
      </c>
      <c r="AX620" s="157">
        <v>1398.3</v>
      </c>
      <c r="AY620" s="240">
        <v>0.18</v>
      </c>
      <c r="AZ620" s="156" t="s">
        <v>253</v>
      </c>
      <c r="BA620" s="156" t="s">
        <v>254</v>
      </c>
      <c r="BB620" s="156">
        <v>0</v>
      </c>
      <c r="BC620" s="156" t="s">
        <v>1423</v>
      </c>
      <c r="BD620" s="3"/>
    </row>
    <row r="621" spans="1:56" ht="15.75" hidden="1" customHeight="1" outlineLevel="1">
      <c r="A621" s="58">
        <v>611</v>
      </c>
      <c r="B621" s="11">
        <v>129611</v>
      </c>
      <c r="C621" s="89" t="s">
        <v>358</v>
      </c>
      <c r="D621" s="157" t="s">
        <v>226</v>
      </c>
      <c r="E621" s="12" t="s">
        <v>191</v>
      </c>
      <c r="F621" s="11" t="s">
        <v>246</v>
      </c>
      <c r="G621" s="18" t="s">
        <v>247</v>
      </c>
      <c r="H621" s="11" t="s">
        <v>248</v>
      </c>
      <c r="I621" s="87" t="s">
        <v>249</v>
      </c>
      <c r="J621" s="19" t="s">
        <v>139</v>
      </c>
      <c r="K621" s="17" t="s">
        <v>140</v>
      </c>
      <c r="L621" s="257">
        <v>0</v>
      </c>
      <c r="M621" s="70" t="s">
        <v>250</v>
      </c>
      <c r="N621" s="70">
        <v>100</v>
      </c>
      <c r="O621" s="258">
        <v>8</v>
      </c>
      <c r="P621" s="70" t="s">
        <v>251</v>
      </c>
      <c r="Q621" s="70" t="s">
        <v>233</v>
      </c>
      <c r="R621" s="70" t="s">
        <v>240</v>
      </c>
      <c r="S621" s="70" t="s">
        <v>233</v>
      </c>
      <c r="T621" s="70" t="s">
        <v>233</v>
      </c>
      <c r="U621" s="70" t="s">
        <v>1427</v>
      </c>
      <c r="V621" s="70" t="s">
        <v>240</v>
      </c>
      <c r="W621" s="12"/>
      <c r="X621" s="242">
        <v>240.08000000000004</v>
      </c>
      <c r="Y621" s="242">
        <v>222.6</v>
      </c>
      <c r="Z621" s="242">
        <v>30.07</v>
      </c>
      <c r="AA621" s="157" t="s">
        <v>252</v>
      </c>
      <c r="AB621" s="242">
        <v>30.35</v>
      </c>
      <c r="AC621" s="157" t="s">
        <v>252</v>
      </c>
      <c r="AD621" s="242">
        <v>35.65</v>
      </c>
      <c r="AE621" s="157" t="s">
        <v>252</v>
      </c>
      <c r="AF621" s="242">
        <v>23.83</v>
      </c>
      <c r="AG621" s="157" t="s">
        <v>252</v>
      </c>
      <c r="AH621" s="242">
        <v>9.3800000000000008</v>
      </c>
      <c r="AI621" s="157" t="s">
        <v>252</v>
      </c>
      <c r="AJ621" s="242">
        <v>3.24</v>
      </c>
      <c r="AK621" s="242" t="s">
        <v>252</v>
      </c>
      <c r="AL621" s="242">
        <v>2.2599999999999998</v>
      </c>
      <c r="AM621" s="242" t="s">
        <v>252</v>
      </c>
      <c r="AN621" s="242">
        <v>2.76</v>
      </c>
      <c r="AO621" s="242" t="s">
        <v>252</v>
      </c>
      <c r="AP621" s="242">
        <v>4.09</v>
      </c>
      <c r="AQ621" s="242" t="s">
        <v>252</v>
      </c>
      <c r="AR621" s="242">
        <v>21.24</v>
      </c>
      <c r="AS621" s="242" t="s">
        <v>252</v>
      </c>
      <c r="AT621" s="242">
        <v>24.86</v>
      </c>
      <c r="AU621" s="242" t="s">
        <v>252</v>
      </c>
      <c r="AV621" s="242">
        <v>25.720359999999999</v>
      </c>
      <c r="AW621" s="157" t="s">
        <v>259</v>
      </c>
      <c r="AX621" s="157">
        <v>676.13036000000011</v>
      </c>
      <c r="AY621" s="243">
        <v>5.9900000000000002E-2</v>
      </c>
      <c r="AZ621" s="156" t="s">
        <v>253</v>
      </c>
      <c r="BA621" s="156" t="s">
        <v>254</v>
      </c>
      <c r="BB621" s="157">
        <v>1</v>
      </c>
      <c r="BC621" s="156" t="s">
        <v>1423</v>
      </c>
      <c r="BD621" s="3"/>
    </row>
    <row r="622" spans="1:56" ht="15.75" hidden="1" customHeight="1" outlineLevel="1">
      <c r="A622" s="58">
        <v>612</v>
      </c>
      <c r="B622" s="11">
        <v>129612</v>
      </c>
      <c r="C622" s="89" t="s">
        <v>358</v>
      </c>
      <c r="D622" s="157" t="s">
        <v>225</v>
      </c>
      <c r="E622" s="12" t="s">
        <v>191</v>
      </c>
      <c r="F622" s="11" t="s">
        <v>246</v>
      </c>
      <c r="G622" s="18" t="s">
        <v>247</v>
      </c>
      <c r="H622" s="11" t="s">
        <v>248</v>
      </c>
      <c r="I622" s="87" t="s">
        <v>249</v>
      </c>
      <c r="J622" s="19" t="s">
        <v>139</v>
      </c>
      <c r="K622" s="17" t="s">
        <v>140</v>
      </c>
      <c r="L622" s="257">
        <v>0</v>
      </c>
      <c r="M622" s="70" t="s">
        <v>250</v>
      </c>
      <c r="N622" s="70">
        <v>80</v>
      </c>
      <c r="O622" s="258">
        <v>8</v>
      </c>
      <c r="P622" s="70" t="s">
        <v>251</v>
      </c>
      <c r="Q622" s="70" t="s">
        <v>233</v>
      </c>
      <c r="R622" s="70" t="s">
        <v>240</v>
      </c>
      <c r="S622" s="70" t="s">
        <v>233</v>
      </c>
      <c r="T622" s="70" t="s">
        <v>233</v>
      </c>
      <c r="U622" s="70" t="s">
        <v>1427</v>
      </c>
      <c r="V622" s="70" t="s">
        <v>240</v>
      </c>
      <c r="W622" s="12"/>
      <c r="X622" s="242">
        <v>642.96</v>
      </c>
      <c r="Y622" s="242">
        <v>601.69000000000005</v>
      </c>
      <c r="Z622" s="242">
        <v>86.28</v>
      </c>
      <c r="AA622" s="157" t="s">
        <v>252</v>
      </c>
      <c r="AB622" s="242">
        <v>58.08</v>
      </c>
      <c r="AC622" s="157" t="s">
        <v>252</v>
      </c>
      <c r="AD622" s="242">
        <v>56.7</v>
      </c>
      <c r="AE622" s="157" t="s">
        <v>252</v>
      </c>
      <c r="AF622" s="242">
        <v>28.6</v>
      </c>
      <c r="AG622" s="157" t="s">
        <v>252</v>
      </c>
      <c r="AH622" s="242">
        <v>22.74</v>
      </c>
      <c r="AI622" s="157" t="s">
        <v>252</v>
      </c>
      <c r="AJ622" s="242">
        <v>16.95</v>
      </c>
      <c r="AK622" s="242" t="s">
        <v>252</v>
      </c>
      <c r="AL622" s="242">
        <v>11.41</v>
      </c>
      <c r="AM622" s="242" t="s">
        <v>252</v>
      </c>
      <c r="AN622" s="242">
        <v>13.18</v>
      </c>
      <c r="AO622" s="242" t="s">
        <v>252</v>
      </c>
      <c r="AP622" s="242">
        <v>15.86</v>
      </c>
      <c r="AQ622" s="242" t="s">
        <v>252</v>
      </c>
      <c r="AR622" s="242">
        <v>56.38</v>
      </c>
      <c r="AS622" s="242" t="s">
        <v>252</v>
      </c>
      <c r="AT622" s="242">
        <v>64.33</v>
      </c>
      <c r="AU622" s="242" t="s">
        <v>259</v>
      </c>
      <c r="AV622" s="242">
        <v>55.661470000000001</v>
      </c>
      <c r="AW622" s="157" t="s">
        <v>259</v>
      </c>
      <c r="AX622" s="157">
        <v>1730.8214700000001</v>
      </c>
      <c r="AY622" s="243">
        <v>4.5999999999999999E-2</v>
      </c>
      <c r="AZ622" s="156" t="s">
        <v>253</v>
      </c>
      <c r="BA622" s="156" t="s">
        <v>254</v>
      </c>
      <c r="BB622" s="156">
        <v>0</v>
      </c>
      <c r="BC622" s="156" t="s">
        <v>1423</v>
      </c>
      <c r="BD622" s="3"/>
    </row>
    <row r="623" spans="1:56" ht="15.75" hidden="1" customHeight="1" outlineLevel="1">
      <c r="A623" s="58">
        <v>613</v>
      </c>
      <c r="B623" s="11">
        <v>129613</v>
      </c>
      <c r="C623" s="89" t="s">
        <v>358</v>
      </c>
      <c r="D623" s="157" t="s">
        <v>227</v>
      </c>
      <c r="E623" s="12" t="s">
        <v>191</v>
      </c>
      <c r="F623" s="11" t="s">
        <v>246</v>
      </c>
      <c r="G623" s="18" t="s">
        <v>247</v>
      </c>
      <c r="H623" s="11" t="s">
        <v>248</v>
      </c>
      <c r="I623" s="87" t="s">
        <v>249</v>
      </c>
      <c r="J623" s="19" t="s">
        <v>139</v>
      </c>
      <c r="K623" s="17" t="s">
        <v>140</v>
      </c>
      <c r="L623" s="257">
        <v>0</v>
      </c>
      <c r="M623" s="70" t="s">
        <v>250</v>
      </c>
      <c r="N623" s="70">
        <v>80</v>
      </c>
      <c r="O623" s="258">
        <v>8</v>
      </c>
      <c r="P623" s="70" t="s">
        <v>251</v>
      </c>
      <c r="Q623" s="70" t="s">
        <v>233</v>
      </c>
      <c r="R623" s="70" t="s">
        <v>240</v>
      </c>
      <c r="S623" s="70" t="s">
        <v>233</v>
      </c>
      <c r="T623" s="70" t="s">
        <v>233</v>
      </c>
      <c r="U623" s="70" t="s">
        <v>1427</v>
      </c>
      <c r="V623" s="70" t="s">
        <v>240</v>
      </c>
      <c r="W623" s="12"/>
      <c r="X623" s="242">
        <v>812.04000000000019</v>
      </c>
      <c r="Y623" s="242">
        <v>825.40999999999985</v>
      </c>
      <c r="Z623" s="242">
        <v>85.73</v>
      </c>
      <c r="AA623" s="157" t="s">
        <v>252</v>
      </c>
      <c r="AB623" s="242">
        <v>31.34</v>
      </c>
      <c r="AC623" s="157" t="s">
        <v>252</v>
      </c>
      <c r="AD623" s="242">
        <v>143.41</v>
      </c>
      <c r="AE623" s="157" t="s">
        <v>252</v>
      </c>
      <c r="AF623" s="242">
        <v>97.56</v>
      </c>
      <c r="AG623" s="157" t="s">
        <v>252</v>
      </c>
      <c r="AH623" s="242">
        <v>27.47</v>
      </c>
      <c r="AI623" s="157" t="s">
        <v>252</v>
      </c>
      <c r="AJ623" s="242">
        <v>16.45</v>
      </c>
      <c r="AK623" s="242" t="s">
        <v>252</v>
      </c>
      <c r="AL623" s="242">
        <v>14.64</v>
      </c>
      <c r="AM623" s="242" t="s">
        <v>252</v>
      </c>
      <c r="AN623" s="242">
        <v>12.74</v>
      </c>
      <c r="AO623" s="242" t="s">
        <v>252</v>
      </c>
      <c r="AP623" s="242">
        <v>16.940000000000001</v>
      </c>
      <c r="AQ623" s="242" t="s">
        <v>252</v>
      </c>
      <c r="AR623" s="242">
        <v>86.5</v>
      </c>
      <c r="AS623" s="242" t="s">
        <v>252</v>
      </c>
      <c r="AT623" s="242">
        <v>78.260000000000005</v>
      </c>
      <c r="AU623" s="242" t="s">
        <v>252</v>
      </c>
      <c r="AV623" s="242">
        <v>82.45</v>
      </c>
      <c r="AW623" s="157" t="s">
        <v>252</v>
      </c>
      <c r="AX623" s="157">
        <v>2330.94</v>
      </c>
      <c r="AY623" s="240">
        <v>0.28000000000000003</v>
      </c>
      <c r="AZ623" s="156" t="s">
        <v>253</v>
      </c>
      <c r="BA623" s="156" t="s">
        <v>254</v>
      </c>
      <c r="BB623" s="156">
        <v>0</v>
      </c>
      <c r="BC623" s="156" t="s">
        <v>1423</v>
      </c>
      <c r="BD623" s="3"/>
    </row>
    <row r="624" spans="1:56" ht="15.75" hidden="1" customHeight="1" outlineLevel="1">
      <c r="A624" s="58">
        <v>614</v>
      </c>
      <c r="B624" s="11">
        <v>129614</v>
      </c>
      <c r="C624" s="89" t="s">
        <v>358</v>
      </c>
      <c r="D624" s="157">
        <v>16</v>
      </c>
      <c r="E624" s="12" t="s">
        <v>191</v>
      </c>
      <c r="F624" s="11" t="s">
        <v>246</v>
      </c>
      <c r="G624" s="18" t="s">
        <v>247</v>
      </c>
      <c r="H624" s="11" t="s">
        <v>248</v>
      </c>
      <c r="I624" s="87" t="s">
        <v>249</v>
      </c>
      <c r="J624" s="19" t="s">
        <v>139</v>
      </c>
      <c r="K624" s="17" t="s">
        <v>140</v>
      </c>
      <c r="L624" s="260">
        <v>1</v>
      </c>
      <c r="M624" s="70" t="s">
        <v>250</v>
      </c>
      <c r="N624" s="70">
        <v>80</v>
      </c>
      <c r="O624" s="258">
        <v>8</v>
      </c>
      <c r="P624" s="70" t="s">
        <v>251</v>
      </c>
      <c r="Q624" s="70" t="s">
        <v>233</v>
      </c>
      <c r="R624" s="70" t="s">
        <v>240</v>
      </c>
      <c r="S624" s="70" t="s">
        <v>233</v>
      </c>
      <c r="T624" s="70" t="s">
        <v>233</v>
      </c>
      <c r="U624" s="70" t="s">
        <v>1427</v>
      </c>
      <c r="V624" s="70" t="s">
        <v>240</v>
      </c>
      <c r="W624" s="12"/>
      <c r="X624" s="242">
        <v>325.97355007023884</v>
      </c>
      <c r="Y624" s="242">
        <v>317.87009833433672</v>
      </c>
      <c r="Z624" s="242">
        <v>54.088099538430662</v>
      </c>
      <c r="AA624" s="157" t="s">
        <v>252</v>
      </c>
      <c r="AB624" s="242">
        <v>40.380573951434876</v>
      </c>
      <c r="AC624" s="157" t="s">
        <v>252</v>
      </c>
      <c r="AD624" s="242">
        <v>39.038134657836643</v>
      </c>
      <c r="AE624" s="157" t="s">
        <v>252</v>
      </c>
      <c r="AF624" s="242">
        <v>31.603461770018058</v>
      </c>
      <c r="AG624" s="157" t="s">
        <v>252</v>
      </c>
      <c r="AH624" s="242">
        <v>10.876199076861328</v>
      </c>
      <c r="AI624" s="157" t="s">
        <v>252</v>
      </c>
      <c r="AJ624" s="242">
        <v>4.7351495083283153</v>
      </c>
      <c r="AK624" s="242" t="s">
        <v>252</v>
      </c>
      <c r="AL624" s="242">
        <v>3.4610525787678101</v>
      </c>
      <c r="AM624" s="242" t="s">
        <v>252</v>
      </c>
      <c r="AN624" s="242">
        <v>4.5105960264900657</v>
      </c>
      <c r="AO624" s="242" t="s">
        <v>252</v>
      </c>
      <c r="AP624" s="242">
        <v>4.6716887417218542</v>
      </c>
      <c r="AQ624" s="242" t="s">
        <v>252</v>
      </c>
      <c r="AR624" s="242">
        <v>32.033042343969498</v>
      </c>
      <c r="AS624" s="242" t="s">
        <v>252</v>
      </c>
      <c r="AT624" s="242">
        <v>28.039895645193656</v>
      </c>
      <c r="AU624" s="242" t="s">
        <v>252</v>
      </c>
      <c r="AV624" s="242">
        <v>36.323966486052576</v>
      </c>
      <c r="AW624" s="157" t="s">
        <v>252</v>
      </c>
      <c r="AX624" s="157">
        <v>933.60550872968065</v>
      </c>
      <c r="AY624" s="240">
        <v>0.11715833835039131</v>
      </c>
      <c r="AZ624" s="156" t="s">
        <v>253</v>
      </c>
      <c r="BA624" s="156" t="s">
        <v>254</v>
      </c>
      <c r="BB624" s="156">
        <v>1</v>
      </c>
      <c r="BC624" s="157" t="s">
        <v>255</v>
      </c>
      <c r="BD624" s="3"/>
    </row>
    <row r="625" spans="1:56" ht="15.75" hidden="1" customHeight="1" outlineLevel="1">
      <c r="A625" s="58">
        <v>615</v>
      </c>
      <c r="B625" s="11">
        <v>129615</v>
      </c>
      <c r="C625" s="89" t="s">
        <v>358</v>
      </c>
      <c r="D625" s="157">
        <v>16</v>
      </c>
      <c r="E625" s="12" t="s">
        <v>231</v>
      </c>
      <c r="F625" s="11" t="s">
        <v>246</v>
      </c>
      <c r="G625" s="18" t="s">
        <v>247</v>
      </c>
      <c r="H625" s="11" t="s">
        <v>248</v>
      </c>
      <c r="I625" s="87" t="s">
        <v>249</v>
      </c>
      <c r="J625" s="19" t="s">
        <v>139</v>
      </c>
      <c r="K625" s="17" t="s">
        <v>140</v>
      </c>
      <c r="L625" s="257">
        <v>0</v>
      </c>
      <c r="M625" s="70" t="s">
        <v>250</v>
      </c>
      <c r="N625" s="70">
        <v>80</v>
      </c>
      <c r="O625" s="258">
        <v>8</v>
      </c>
      <c r="P625" s="70" t="s">
        <v>251</v>
      </c>
      <c r="Q625" s="70" t="s">
        <v>233</v>
      </c>
      <c r="R625" s="70" t="s">
        <v>240</v>
      </c>
      <c r="S625" s="70" t="s">
        <v>233</v>
      </c>
      <c r="T625" s="70" t="s">
        <v>233</v>
      </c>
      <c r="U625" s="70" t="s">
        <v>1427</v>
      </c>
      <c r="V625" s="70" t="s">
        <v>240</v>
      </c>
      <c r="W625" s="12"/>
      <c r="X625" s="242">
        <v>341.7864499297612</v>
      </c>
      <c r="Y625" s="242">
        <v>333.28990166566319</v>
      </c>
      <c r="Z625" s="242">
        <v>56.711900461569329</v>
      </c>
      <c r="AA625" s="157" t="s">
        <v>252</v>
      </c>
      <c r="AB625" s="242">
        <v>42.339426048565116</v>
      </c>
      <c r="AC625" s="157" t="s">
        <v>252</v>
      </c>
      <c r="AD625" s="242">
        <v>40.931865342163356</v>
      </c>
      <c r="AE625" s="157" t="s">
        <v>252</v>
      </c>
      <c r="AF625" s="242">
        <v>33.136538229981937</v>
      </c>
      <c r="AG625" s="157" t="s">
        <v>252</v>
      </c>
      <c r="AH625" s="242">
        <v>11.403800923138672</v>
      </c>
      <c r="AI625" s="157" t="s">
        <v>252</v>
      </c>
      <c r="AJ625" s="242">
        <v>4.9648504916716831</v>
      </c>
      <c r="AK625" s="242" t="s">
        <v>252</v>
      </c>
      <c r="AL625" s="242">
        <v>3.6289474212321893</v>
      </c>
      <c r="AM625" s="242" t="s">
        <v>252</v>
      </c>
      <c r="AN625" s="242">
        <v>4.7294039735099336</v>
      </c>
      <c r="AO625" s="242" t="s">
        <v>252</v>
      </c>
      <c r="AP625" s="242">
        <v>4.8983112582781452</v>
      </c>
      <c r="AQ625" s="242" t="s">
        <v>252</v>
      </c>
      <c r="AR625" s="242">
        <v>33.586957656030506</v>
      </c>
      <c r="AS625" s="242" t="s">
        <v>252</v>
      </c>
      <c r="AT625" s="242">
        <v>29.400104354806338</v>
      </c>
      <c r="AU625" s="242" t="s">
        <v>252</v>
      </c>
      <c r="AV625" s="242">
        <v>38.08603351394742</v>
      </c>
      <c r="AW625" s="157" t="s">
        <v>252</v>
      </c>
      <c r="AX625" s="157">
        <v>978.89449127031912</v>
      </c>
      <c r="AY625" s="243">
        <v>0.12284166164960866</v>
      </c>
      <c r="AZ625" s="156" t="s">
        <v>253</v>
      </c>
      <c r="BA625" s="156" t="s">
        <v>254</v>
      </c>
      <c r="BB625" s="156">
        <v>0</v>
      </c>
      <c r="BC625" s="157" t="s">
        <v>255</v>
      </c>
      <c r="BD625" s="3"/>
    </row>
    <row r="626" spans="1:56" ht="15.75" hidden="1" customHeight="1" outlineLevel="1">
      <c r="A626" s="58">
        <v>616</v>
      </c>
      <c r="B626" s="11">
        <v>129616</v>
      </c>
      <c r="C626" s="89" t="s">
        <v>358</v>
      </c>
      <c r="D626" s="157">
        <v>20</v>
      </c>
      <c r="E626" s="12" t="s">
        <v>191</v>
      </c>
      <c r="F626" s="11" t="s">
        <v>246</v>
      </c>
      <c r="G626" s="18" t="s">
        <v>247</v>
      </c>
      <c r="H626" s="11" t="s">
        <v>248</v>
      </c>
      <c r="I626" s="87" t="s">
        <v>249</v>
      </c>
      <c r="J626" s="19" t="s">
        <v>139</v>
      </c>
      <c r="K626" s="17" t="s">
        <v>140</v>
      </c>
      <c r="L626" s="257">
        <v>0</v>
      </c>
      <c r="M626" s="70" t="s">
        <v>250</v>
      </c>
      <c r="N626" s="70">
        <v>80</v>
      </c>
      <c r="O626" s="258">
        <v>8</v>
      </c>
      <c r="P626" s="70" t="s">
        <v>251</v>
      </c>
      <c r="Q626" s="70" t="s">
        <v>233</v>
      </c>
      <c r="R626" s="70" t="s">
        <v>240</v>
      </c>
      <c r="S626" s="70" t="s">
        <v>233</v>
      </c>
      <c r="T626" s="70" t="s">
        <v>233</v>
      </c>
      <c r="U626" s="70" t="s">
        <v>1427</v>
      </c>
      <c r="V626" s="70" t="s">
        <v>240</v>
      </c>
      <c r="W626" s="12"/>
      <c r="X626" s="242">
        <v>612.63</v>
      </c>
      <c r="Y626" s="242">
        <v>603.28</v>
      </c>
      <c r="Z626" s="242">
        <v>89.5</v>
      </c>
      <c r="AA626" s="157" t="s">
        <v>252</v>
      </c>
      <c r="AB626" s="242">
        <v>76.540000000000006</v>
      </c>
      <c r="AC626" s="157" t="s">
        <v>252</v>
      </c>
      <c r="AD626" s="242">
        <v>68.06</v>
      </c>
      <c r="AE626" s="157" t="s">
        <v>252</v>
      </c>
      <c r="AF626" s="242">
        <v>60.85</v>
      </c>
      <c r="AG626" s="157" t="s">
        <v>252</v>
      </c>
      <c r="AH626" s="242">
        <v>23.91</v>
      </c>
      <c r="AI626" s="157" t="s">
        <v>252</v>
      </c>
      <c r="AJ626" s="242">
        <v>12.17</v>
      </c>
      <c r="AK626" s="242" t="s">
        <v>252</v>
      </c>
      <c r="AL626" s="242">
        <v>8.0399999999999991</v>
      </c>
      <c r="AM626" s="242" t="s">
        <v>252</v>
      </c>
      <c r="AN626" s="242">
        <v>9.5500000000000007</v>
      </c>
      <c r="AO626" s="242" t="s">
        <v>252</v>
      </c>
      <c r="AP626" s="242">
        <v>11.85</v>
      </c>
      <c r="AQ626" s="242" t="s">
        <v>252</v>
      </c>
      <c r="AR626" s="242">
        <v>45.61</v>
      </c>
      <c r="AS626" s="242" t="s">
        <v>252</v>
      </c>
      <c r="AT626" s="242">
        <v>63.832970000000003</v>
      </c>
      <c r="AU626" s="242" t="s">
        <v>252</v>
      </c>
      <c r="AV626" s="242">
        <v>63.834310000000002</v>
      </c>
      <c r="AW626" s="157" t="s">
        <v>259</v>
      </c>
      <c r="AX626" s="157">
        <v>1749.6572799999994</v>
      </c>
      <c r="AY626" s="240">
        <v>0.25</v>
      </c>
      <c r="AZ626" s="156" t="s">
        <v>253</v>
      </c>
      <c r="BA626" s="156" t="s">
        <v>254</v>
      </c>
      <c r="BB626" s="156">
        <v>0</v>
      </c>
      <c r="BC626" s="156" t="s">
        <v>1423</v>
      </c>
      <c r="BD626" s="3"/>
    </row>
    <row r="627" spans="1:56" ht="15.75" hidden="1" customHeight="1" outlineLevel="1">
      <c r="A627" s="58">
        <v>617</v>
      </c>
      <c r="B627" s="11">
        <v>129617</v>
      </c>
      <c r="C627" s="89" t="s">
        <v>358</v>
      </c>
      <c r="D627" s="157">
        <v>22</v>
      </c>
      <c r="E627" s="12" t="s">
        <v>191</v>
      </c>
      <c r="F627" s="11" t="s">
        <v>246</v>
      </c>
      <c r="G627" s="18" t="s">
        <v>247</v>
      </c>
      <c r="H627" s="11" t="s">
        <v>248</v>
      </c>
      <c r="I627" s="87" t="s">
        <v>249</v>
      </c>
      <c r="J627" s="19" t="s">
        <v>139</v>
      </c>
      <c r="K627" s="17" t="s">
        <v>140</v>
      </c>
      <c r="L627" s="260">
        <v>1</v>
      </c>
      <c r="M627" s="70" t="s">
        <v>250</v>
      </c>
      <c r="N627" s="70">
        <v>80</v>
      </c>
      <c r="O627" s="258">
        <v>8</v>
      </c>
      <c r="P627" s="70" t="s">
        <v>251</v>
      </c>
      <c r="Q627" s="70" t="s">
        <v>240</v>
      </c>
      <c r="R627" s="70" t="s">
        <v>240</v>
      </c>
      <c r="S627" s="70" t="s">
        <v>233</v>
      </c>
      <c r="T627" s="70" t="s">
        <v>233</v>
      </c>
      <c r="U627" s="70" t="s">
        <v>1427</v>
      </c>
      <c r="V627" s="70" t="s">
        <v>240</v>
      </c>
      <c r="W627" s="12"/>
      <c r="X627" s="242">
        <v>798.73</v>
      </c>
      <c r="Y627" s="242">
        <v>737.3599999999999</v>
      </c>
      <c r="Z627" s="242">
        <v>187.54</v>
      </c>
      <c r="AA627" s="157" t="s">
        <v>252</v>
      </c>
      <c r="AB627" s="242">
        <v>118.62</v>
      </c>
      <c r="AC627" s="157" t="s">
        <v>252</v>
      </c>
      <c r="AD627" s="242">
        <v>136.99</v>
      </c>
      <c r="AE627" s="157" t="s">
        <v>252</v>
      </c>
      <c r="AF627" s="242">
        <v>76.459999999999994</v>
      </c>
      <c r="AG627" s="157" t="s">
        <v>252</v>
      </c>
      <c r="AH627" s="242">
        <v>18.05</v>
      </c>
      <c r="AI627" s="157" t="s">
        <v>252</v>
      </c>
      <c r="AJ627" s="242">
        <v>1.99</v>
      </c>
      <c r="AK627" s="242" t="s">
        <v>252</v>
      </c>
      <c r="AL627" s="242">
        <v>2.79</v>
      </c>
      <c r="AM627" s="242" t="s">
        <v>252</v>
      </c>
      <c r="AN627" s="242">
        <v>0</v>
      </c>
      <c r="AO627" s="242" t="s">
        <v>252</v>
      </c>
      <c r="AP627" s="242">
        <v>1.94</v>
      </c>
      <c r="AQ627" s="242" t="s">
        <v>252</v>
      </c>
      <c r="AR627" s="242">
        <v>62.54</v>
      </c>
      <c r="AS627" s="242" t="s">
        <v>252</v>
      </c>
      <c r="AT627" s="242">
        <v>60.71</v>
      </c>
      <c r="AU627" s="242" t="s">
        <v>252</v>
      </c>
      <c r="AV627" s="242">
        <v>96.82</v>
      </c>
      <c r="AW627" s="157" t="s">
        <v>252</v>
      </c>
      <c r="AX627" s="157">
        <v>2300.54</v>
      </c>
      <c r="AY627" s="240">
        <v>0.34</v>
      </c>
      <c r="AZ627" s="156" t="s">
        <v>253</v>
      </c>
      <c r="BA627" s="156" t="s">
        <v>254</v>
      </c>
      <c r="BB627" s="156">
        <v>1</v>
      </c>
      <c r="BC627" s="157" t="s">
        <v>255</v>
      </c>
      <c r="BD627" s="3"/>
    </row>
    <row r="628" spans="1:56" ht="15.75" hidden="1" customHeight="1" outlineLevel="1">
      <c r="A628" s="58">
        <v>618</v>
      </c>
      <c r="B628" s="11">
        <v>129618</v>
      </c>
      <c r="C628" s="89" t="s">
        <v>358</v>
      </c>
      <c r="D628" s="157">
        <v>3</v>
      </c>
      <c r="E628" s="12" t="s">
        <v>191</v>
      </c>
      <c r="F628" s="11" t="s">
        <v>246</v>
      </c>
      <c r="G628" s="18" t="s">
        <v>247</v>
      </c>
      <c r="H628" s="11" t="s">
        <v>248</v>
      </c>
      <c r="I628" s="87" t="s">
        <v>249</v>
      </c>
      <c r="J628" s="19" t="s">
        <v>139</v>
      </c>
      <c r="K628" s="17" t="s">
        <v>140</v>
      </c>
      <c r="L628" s="260">
        <v>1</v>
      </c>
      <c r="M628" s="70" t="s">
        <v>250</v>
      </c>
      <c r="N628" s="70">
        <v>80</v>
      </c>
      <c r="O628" s="258">
        <v>8</v>
      </c>
      <c r="P628" s="70" t="s">
        <v>251</v>
      </c>
      <c r="Q628" s="70" t="s">
        <v>233</v>
      </c>
      <c r="R628" s="70" t="s">
        <v>240</v>
      </c>
      <c r="S628" s="70" t="s">
        <v>233</v>
      </c>
      <c r="T628" s="70" t="s">
        <v>233</v>
      </c>
      <c r="U628" s="70" t="s">
        <v>1427</v>
      </c>
      <c r="V628" s="70" t="s">
        <v>240</v>
      </c>
      <c r="W628" s="12"/>
      <c r="X628" s="242">
        <v>528.94369707567512</v>
      </c>
      <c r="Y628" s="242">
        <v>483.85791799985105</v>
      </c>
      <c r="Z628" s="242">
        <v>63.745065853114056</v>
      </c>
      <c r="AA628" s="157" t="s">
        <v>252</v>
      </c>
      <c r="AB628" s="242">
        <v>64.338852221147391</v>
      </c>
      <c r="AC628" s="157" t="s">
        <v>252</v>
      </c>
      <c r="AD628" s="242">
        <v>75.566812634868654</v>
      </c>
      <c r="AE628" s="157" t="s">
        <v>252</v>
      </c>
      <c r="AF628" s="242">
        <v>50.363880125009288</v>
      </c>
      <c r="AG628" s="157" t="s">
        <v>252</v>
      </c>
      <c r="AH628" s="242">
        <v>19.283062355830044</v>
      </c>
      <c r="AI628" s="157" t="s">
        <v>252</v>
      </c>
      <c r="AJ628" s="242">
        <v>10.970053203363342</v>
      </c>
      <c r="AK628" s="242" t="s">
        <v>252</v>
      </c>
      <c r="AL628" s="242">
        <v>7.4433220477714102</v>
      </c>
      <c r="AM628" s="242" t="s">
        <v>252</v>
      </c>
      <c r="AN628" s="242">
        <v>9.4046164149118212</v>
      </c>
      <c r="AO628" s="242" t="s">
        <v>252</v>
      </c>
      <c r="AP628" s="242">
        <v>13.687075675273455</v>
      </c>
      <c r="AQ628" s="242" t="s">
        <v>252</v>
      </c>
      <c r="AR628" s="242">
        <v>43.844225760845291</v>
      </c>
      <c r="AS628" s="242" t="s">
        <v>252</v>
      </c>
      <c r="AT628" s="242">
        <v>51.917321229258121</v>
      </c>
      <c r="AU628" s="242" t="s">
        <v>252</v>
      </c>
      <c r="AV628" s="242">
        <v>54.172845738522199</v>
      </c>
      <c r="AW628" s="157" t="s">
        <v>259</v>
      </c>
      <c r="AX628" s="157">
        <v>1477.5387483354411</v>
      </c>
      <c r="AY628" s="240">
        <v>0.19792878934444524</v>
      </c>
      <c r="AZ628" s="156" t="s">
        <v>253</v>
      </c>
      <c r="BA628" s="156" t="s">
        <v>254</v>
      </c>
      <c r="BB628" s="156">
        <v>1</v>
      </c>
      <c r="BC628" s="156" t="s">
        <v>1423</v>
      </c>
      <c r="BD628" s="3"/>
    </row>
    <row r="629" spans="1:56" ht="15.75" hidden="1" customHeight="1" outlineLevel="1">
      <c r="A629" s="58">
        <v>619</v>
      </c>
      <c r="B629" s="11">
        <v>129619</v>
      </c>
      <c r="C629" s="89" t="s">
        <v>358</v>
      </c>
      <c r="D629" s="157">
        <v>3</v>
      </c>
      <c r="E629" s="12" t="s">
        <v>231</v>
      </c>
      <c r="F629" s="11" t="s">
        <v>246</v>
      </c>
      <c r="G629" s="18" t="s">
        <v>247</v>
      </c>
      <c r="H629" s="11" t="s">
        <v>248</v>
      </c>
      <c r="I629" s="87" t="s">
        <v>249</v>
      </c>
      <c r="J629" s="19" t="s">
        <v>139</v>
      </c>
      <c r="K629" s="17" t="s">
        <v>140</v>
      </c>
      <c r="L629" s="257">
        <v>0</v>
      </c>
      <c r="M629" s="70" t="s">
        <v>250</v>
      </c>
      <c r="N629" s="70">
        <v>100</v>
      </c>
      <c r="O629" s="258">
        <v>8</v>
      </c>
      <c r="P629" s="70" t="s">
        <v>251</v>
      </c>
      <c r="Q629" s="70" t="s">
        <v>233</v>
      </c>
      <c r="R629" s="70" t="s">
        <v>240</v>
      </c>
      <c r="S629" s="70" t="s">
        <v>233</v>
      </c>
      <c r="T629" s="70" t="s">
        <v>233</v>
      </c>
      <c r="U629" s="70" t="s">
        <v>1427</v>
      </c>
      <c r="V629" s="70" t="s">
        <v>240</v>
      </c>
      <c r="W629" s="12"/>
      <c r="X629" s="242">
        <v>352.9463029243247</v>
      </c>
      <c r="Y629" s="242">
        <v>322.8620820001488</v>
      </c>
      <c r="Z629" s="242">
        <v>42.534934146885931</v>
      </c>
      <c r="AA629" s="157" t="s">
        <v>252</v>
      </c>
      <c r="AB629" s="242">
        <v>42.931147778852591</v>
      </c>
      <c r="AC629" s="157" t="s">
        <v>252</v>
      </c>
      <c r="AD629" s="242">
        <v>50.423187365131334</v>
      </c>
      <c r="AE629" s="157" t="s">
        <v>252</v>
      </c>
      <c r="AF629" s="242">
        <v>33.606119874990696</v>
      </c>
      <c r="AG629" s="157" t="s">
        <v>252</v>
      </c>
      <c r="AH629" s="242">
        <v>12.866937644169953</v>
      </c>
      <c r="AI629" s="157" t="s">
        <v>252</v>
      </c>
      <c r="AJ629" s="242">
        <v>7.3199467966366543</v>
      </c>
      <c r="AK629" s="242" t="s">
        <v>252</v>
      </c>
      <c r="AL629" s="242">
        <v>4.9666779522285882</v>
      </c>
      <c r="AM629" s="242" t="s">
        <v>252</v>
      </c>
      <c r="AN629" s="242">
        <v>6.2753835850881758</v>
      </c>
      <c r="AO629" s="242" t="s">
        <v>252</v>
      </c>
      <c r="AP629" s="242">
        <v>9.1329243247265417</v>
      </c>
      <c r="AQ629" s="242" t="s">
        <v>252</v>
      </c>
      <c r="AR629" s="242">
        <v>29.255774239154697</v>
      </c>
      <c r="AS629" s="242" t="s">
        <v>252</v>
      </c>
      <c r="AT629" s="242">
        <v>34.642678770741874</v>
      </c>
      <c r="AU629" s="242" t="s">
        <v>252</v>
      </c>
      <c r="AV629" s="242">
        <v>36.147714261477788</v>
      </c>
      <c r="AW629" s="157" t="s">
        <v>259</v>
      </c>
      <c r="AX629" s="157">
        <v>985.91181166455829</v>
      </c>
      <c r="AY629" s="243">
        <v>0.13207121065555474</v>
      </c>
      <c r="AZ629" s="156" t="s">
        <v>253</v>
      </c>
      <c r="BA629" s="156" t="s">
        <v>254</v>
      </c>
      <c r="BB629" s="156">
        <v>0</v>
      </c>
      <c r="BC629" s="156" t="s">
        <v>1423</v>
      </c>
      <c r="BD629" s="3"/>
    </row>
    <row r="630" spans="1:56" ht="15.75" hidden="1" customHeight="1" outlineLevel="1">
      <c r="A630" s="58">
        <v>620</v>
      </c>
      <c r="B630" s="11">
        <v>129620</v>
      </c>
      <c r="C630" s="89" t="s">
        <v>358</v>
      </c>
      <c r="D630" s="157">
        <v>5</v>
      </c>
      <c r="E630" s="12" t="s">
        <v>191</v>
      </c>
      <c r="F630" s="11" t="s">
        <v>246</v>
      </c>
      <c r="G630" s="18" t="s">
        <v>247</v>
      </c>
      <c r="H630" s="11" t="s">
        <v>248</v>
      </c>
      <c r="I630" s="87" t="s">
        <v>249</v>
      </c>
      <c r="J630" s="19" t="s">
        <v>139</v>
      </c>
      <c r="K630" s="17" t="s">
        <v>140</v>
      </c>
      <c r="L630" s="257">
        <v>0</v>
      </c>
      <c r="M630" s="70" t="s">
        <v>250</v>
      </c>
      <c r="N630" s="70">
        <v>100</v>
      </c>
      <c r="O630" s="258">
        <v>8</v>
      </c>
      <c r="P630" s="70" t="s">
        <v>251</v>
      </c>
      <c r="Q630" s="70" t="s">
        <v>233</v>
      </c>
      <c r="R630" s="70" t="s">
        <v>240</v>
      </c>
      <c r="S630" s="70" t="s">
        <v>233</v>
      </c>
      <c r="T630" s="70" t="s">
        <v>233</v>
      </c>
      <c r="U630" s="70" t="s">
        <v>1427</v>
      </c>
      <c r="V630" s="70" t="s">
        <v>240</v>
      </c>
      <c r="W630" s="12"/>
      <c r="X630" s="242">
        <v>893.95</v>
      </c>
      <c r="Y630" s="242">
        <v>858.51</v>
      </c>
      <c r="Z630" s="242">
        <v>134.85</v>
      </c>
      <c r="AA630" s="157" t="s">
        <v>252</v>
      </c>
      <c r="AB630" s="242">
        <v>93.81</v>
      </c>
      <c r="AC630" s="157" t="s">
        <v>252</v>
      </c>
      <c r="AD630" s="242">
        <v>128.84</v>
      </c>
      <c r="AE630" s="157" t="s">
        <v>252</v>
      </c>
      <c r="AF630" s="242">
        <v>70.02</v>
      </c>
      <c r="AG630" s="157" t="s">
        <v>252</v>
      </c>
      <c r="AH630" s="242">
        <v>29.18</v>
      </c>
      <c r="AI630" s="157" t="s">
        <v>252</v>
      </c>
      <c r="AJ630" s="242">
        <v>17.97</v>
      </c>
      <c r="AK630" s="242" t="s">
        <v>252</v>
      </c>
      <c r="AL630" s="242">
        <v>13.33</v>
      </c>
      <c r="AM630" s="242" t="s">
        <v>252</v>
      </c>
      <c r="AN630" s="242">
        <v>17.61</v>
      </c>
      <c r="AO630" s="242" t="s">
        <v>252</v>
      </c>
      <c r="AP630" s="242">
        <v>20.39</v>
      </c>
      <c r="AQ630" s="242" t="s">
        <v>252</v>
      </c>
      <c r="AR630" s="242">
        <v>81.72</v>
      </c>
      <c r="AS630" s="242" t="s">
        <v>252</v>
      </c>
      <c r="AT630" s="242">
        <v>80.17</v>
      </c>
      <c r="AU630" s="242" t="s">
        <v>252</v>
      </c>
      <c r="AV630" s="242">
        <v>92.84</v>
      </c>
      <c r="AW630" s="157" t="s">
        <v>252</v>
      </c>
      <c r="AX630" s="157">
        <v>2533.1899999999996</v>
      </c>
      <c r="AY630" s="240">
        <v>0.3</v>
      </c>
      <c r="AZ630" s="156" t="s">
        <v>253</v>
      </c>
      <c r="BA630" s="156" t="s">
        <v>254</v>
      </c>
      <c r="BB630" s="156">
        <v>0</v>
      </c>
      <c r="BC630" s="156" t="s">
        <v>1423</v>
      </c>
      <c r="BD630" s="3"/>
    </row>
    <row r="631" spans="1:56" ht="15.75" hidden="1" customHeight="1" outlineLevel="1">
      <c r="A631" s="58">
        <v>621</v>
      </c>
      <c r="B631" s="11">
        <v>129621</v>
      </c>
      <c r="C631" s="89" t="s">
        <v>358</v>
      </c>
      <c r="D631" s="157">
        <v>6</v>
      </c>
      <c r="E631" s="12" t="s">
        <v>191</v>
      </c>
      <c r="F631" s="11" t="s">
        <v>246</v>
      </c>
      <c r="G631" s="18" t="s">
        <v>247</v>
      </c>
      <c r="H631" s="11" t="s">
        <v>248</v>
      </c>
      <c r="I631" s="87" t="s">
        <v>249</v>
      </c>
      <c r="J631" s="19" t="s">
        <v>139</v>
      </c>
      <c r="K631" s="17" t="s">
        <v>140</v>
      </c>
      <c r="L631" s="260">
        <v>1</v>
      </c>
      <c r="M631" s="70" t="s">
        <v>250</v>
      </c>
      <c r="N631" s="70">
        <v>100</v>
      </c>
      <c r="O631" s="258">
        <v>8</v>
      </c>
      <c r="P631" s="70" t="s">
        <v>251</v>
      </c>
      <c r="Q631" s="70" t="s">
        <v>233</v>
      </c>
      <c r="R631" s="70" t="s">
        <v>240</v>
      </c>
      <c r="S631" s="70" t="s">
        <v>233</v>
      </c>
      <c r="T631" s="70" t="s">
        <v>233</v>
      </c>
      <c r="U631" s="70" t="s">
        <v>1427</v>
      </c>
      <c r="V631" s="70" t="s">
        <v>240</v>
      </c>
      <c r="W631" s="12"/>
      <c r="X631" s="242">
        <v>648.82000000000005</v>
      </c>
      <c r="Y631" s="242">
        <v>606.41000000000008</v>
      </c>
      <c r="Z631" s="242">
        <v>89.49</v>
      </c>
      <c r="AA631" s="157" t="s">
        <v>252</v>
      </c>
      <c r="AB631" s="242">
        <v>72.3</v>
      </c>
      <c r="AC631" s="157" t="s">
        <v>252</v>
      </c>
      <c r="AD631" s="242">
        <v>96.47</v>
      </c>
      <c r="AE631" s="157" t="s">
        <v>252</v>
      </c>
      <c r="AF631" s="242">
        <v>66.22</v>
      </c>
      <c r="AG631" s="157" t="s">
        <v>252</v>
      </c>
      <c r="AH631" s="242">
        <v>72.650000000000006</v>
      </c>
      <c r="AI631" s="157" t="s">
        <v>259</v>
      </c>
      <c r="AJ631" s="242">
        <v>18.57</v>
      </c>
      <c r="AK631" s="242" t="s">
        <v>259</v>
      </c>
      <c r="AL631" s="242">
        <v>18.57</v>
      </c>
      <c r="AM631" s="242" t="s">
        <v>259</v>
      </c>
      <c r="AN631" s="242">
        <v>18.57</v>
      </c>
      <c r="AO631" s="242" t="s">
        <v>259</v>
      </c>
      <c r="AP631" s="242">
        <v>17.50178</v>
      </c>
      <c r="AQ631" s="242" t="s">
        <v>259</v>
      </c>
      <c r="AR631" s="242">
        <v>81.45</v>
      </c>
      <c r="AS631" s="242" t="s">
        <v>259</v>
      </c>
      <c r="AT631" s="242">
        <v>65.95</v>
      </c>
      <c r="AU631" s="242" t="s">
        <v>259</v>
      </c>
      <c r="AV631" s="242">
        <v>81.150419999999997</v>
      </c>
      <c r="AW631" s="157" t="s">
        <v>259</v>
      </c>
      <c r="AX631" s="157">
        <v>1954.1222</v>
      </c>
      <c r="AY631" s="240">
        <v>0.24</v>
      </c>
      <c r="AZ631" s="156" t="s">
        <v>253</v>
      </c>
      <c r="BA631" s="156" t="s">
        <v>254</v>
      </c>
      <c r="BB631" s="156">
        <v>1</v>
      </c>
      <c r="BC631" s="156" t="s">
        <v>1423</v>
      </c>
      <c r="BD631" s="3"/>
    </row>
    <row r="632" spans="1:56" ht="15.75" hidden="1" customHeight="1" outlineLevel="1">
      <c r="A632" s="58">
        <v>622</v>
      </c>
      <c r="B632" s="11">
        <v>129622</v>
      </c>
      <c r="C632" s="89" t="s">
        <v>358</v>
      </c>
      <c r="D632" s="157">
        <v>7</v>
      </c>
      <c r="E632" s="12" t="s">
        <v>191</v>
      </c>
      <c r="F632" s="11" t="s">
        <v>246</v>
      </c>
      <c r="G632" s="18" t="s">
        <v>247</v>
      </c>
      <c r="H632" s="11" t="s">
        <v>248</v>
      </c>
      <c r="I632" s="87" t="s">
        <v>249</v>
      </c>
      <c r="J632" s="19" t="s">
        <v>139</v>
      </c>
      <c r="K632" s="17" t="s">
        <v>140</v>
      </c>
      <c r="L632" s="257">
        <v>0</v>
      </c>
      <c r="M632" s="70" t="s">
        <v>250</v>
      </c>
      <c r="N632" s="70">
        <v>100</v>
      </c>
      <c r="O632" s="258">
        <v>8</v>
      </c>
      <c r="P632" s="70" t="s">
        <v>251</v>
      </c>
      <c r="Q632" s="70" t="s">
        <v>233</v>
      </c>
      <c r="R632" s="70" t="s">
        <v>240</v>
      </c>
      <c r="S632" s="70" t="s">
        <v>233</v>
      </c>
      <c r="T632" s="70" t="s">
        <v>233</v>
      </c>
      <c r="U632" s="70" t="s">
        <v>1427</v>
      </c>
      <c r="V632" s="70" t="s">
        <v>240</v>
      </c>
      <c r="W632" s="12"/>
      <c r="X632" s="242">
        <v>253.31</v>
      </c>
      <c r="Y632" s="242">
        <v>245.79000000000002</v>
      </c>
      <c r="Z632" s="242">
        <v>39.520000000000003</v>
      </c>
      <c r="AA632" s="157" t="s">
        <v>252</v>
      </c>
      <c r="AB632" s="242">
        <v>27.53</v>
      </c>
      <c r="AC632" s="157" t="s">
        <v>252</v>
      </c>
      <c r="AD632" s="242">
        <v>37.72</v>
      </c>
      <c r="AE632" s="157" t="s">
        <v>252</v>
      </c>
      <c r="AF632" s="242">
        <v>20.51</v>
      </c>
      <c r="AG632" s="157" t="s">
        <v>252</v>
      </c>
      <c r="AH632" s="242">
        <v>8.64</v>
      </c>
      <c r="AI632" s="157" t="s">
        <v>252</v>
      </c>
      <c r="AJ632" s="242">
        <v>3.58</v>
      </c>
      <c r="AK632" s="242" t="s">
        <v>252</v>
      </c>
      <c r="AL632" s="242">
        <v>2.65</v>
      </c>
      <c r="AM632" s="242" t="s">
        <v>252</v>
      </c>
      <c r="AN632" s="242">
        <v>3.89</v>
      </c>
      <c r="AO632" s="242" t="s">
        <v>252</v>
      </c>
      <c r="AP632" s="242">
        <v>4.0999999999999996</v>
      </c>
      <c r="AQ632" s="242" t="s">
        <v>252</v>
      </c>
      <c r="AR632" s="242">
        <v>24.5</v>
      </c>
      <c r="AS632" s="242" t="s">
        <v>252</v>
      </c>
      <c r="AT632" s="242">
        <v>23.74</v>
      </c>
      <c r="AU632" s="242" t="s">
        <v>252</v>
      </c>
      <c r="AV632" s="242">
        <v>27.24</v>
      </c>
      <c r="AW632" s="157" t="s">
        <v>252</v>
      </c>
      <c r="AX632" s="157">
        <v>722.72</v>
      </c>
      <c r="AY632" s="240">
        <v>0.09</v>
      </c>
      <c r="AZ632" s="156" t="s">
        <v>253</v>
      </c>
      <c r="BA632" s="156" t="s">
        <v>254</v>
      </c>
      <c r="BB632" s="156">
        <v>0</v>
      </c>
      <c r="BC632" s="156" t="s">
        <v>1423</v>
      </c>
      <c r="BD632" s="3"/>
    </row>
    <row r="633" spans="1:56" ht="15.75" hidden="1" customHeight="1" outlineLevel="1">
      <c r="A633" s="58">
        <v>623</v>
      </c>
      <c r="B633" s="11">
        <v>129623</v>
      </c>
      <c r="C633" s="89" t="s">
        <v>358</v>
      </c>
      <c r="D633" s="157">
        <v>8</v>
      </c>
      <c r="E633" s="12" t="s">
        <v>191</v>
      </c>
      <c r="F633" s="11" t="s">
        <v>246</v>
      </c>
      <c r="G633" s="18" t="s">
        <v>247</v>
      </c>
      <c r="H633" s="11" t="s">
        <v>248</v>
      </c>
      <c r="I633" s="87" t="s">
        <v>249</v>
      </c>
      <c r="J633" s="19" t="s">
        <v>139</v>
      </c>
      <c r="K633" s="17" t="s">
        <v>140</v>
      </c>
      <c r="L633" s="257">
        <v>0</v>
      </c>
      <c r="M633" s="70" t="s">
        <v>250</v>
      </c>
      <c r="N633" s="70">
        <v>80</v>
      </c>
      <c r="O633" s="258">
        <v>8</v>
      </c>
      <c r="P633" s="70" t="s">
        <v>251</v>
      </c>
      <c r="Q633" s="70" t="s">
        <v>233</v>
      </c>
      <c r="R633" s="70" t="s">
        <v>240</v>
      </c>
      <c r="S633" s="70" t="s">
        <v>233</v>
      </c>
      <c r="T633" s="70" t="s">
        <v>233</v>
      </c>
      <c r="U633" s="70" t="s">
        <v>1427</v>
      </c>
      <c r="V633" s="70" t="s">
        <v>240</v>
      </c>
      <c r="W633" s="12"/>
      <c r="X633" s="242">
        <v>1002.79</v>
      </c>
      <c r="Y633" s="242">
        <v>957.2700000000001</v>
      </c>
      <c r="Z633" s="242">
        <v>142.02000000000001</v>
      </c>
      <c r="AA633" s="157" t="s">
        <v>252</v>
      </c>
      <c r="AB633" s="242">
        <v>114.92</v>
      </c>
      <c r="AC633" s="157" t="s">
        <v>252</v>
      </c>
      <c r="AD633" s="242">
        <v>153.11000000000001</v>
      </c>
      <c r="AE633" s="157" t="s">
        <v>252</v>
      </c>
      <c r="AF633" s="242">
        <v>105.23</v>
      </c>
      <c r="AG633" s="157" t="s">
        <v>252</v>
      </c>
      <c r="AH633" s="242">
        <v>131.19</v>
      </c>
      <c r="AI633" s="157" t="s">
        <v>259</v>
      </c>
      <c r="AJ633" s="242">
        <v>27.78</v>
      </c>
      <c r="AK633" s="242" t="s">
        <v>259</v>
      </c>
      <c r="AL633" s="242">
        <v>27.78</v>
      </c>
      <c r="AM633" s="242" t="s">
        <v>259</v>
      </c>
      <c r="AN633" s="242">
        <v>27.78</v>
      </c>
      <c r="AO633" s="242" t="s">
        <v>259</v>
      </c>
      <c r="AP633" s="242">
        <v>27.786359999999998</v>
      </c>
      <c r="AQ633" s="242" t="s">
        <v>259</v>
      </c>
      <c r="AR633" s="242">
        <v>129.30000000000001</v>
      </c>
      <c r="AS633" s="242" t="s">
        <v>259</v>
      </c>
      <c r="AT633" s="242">
        <v>129.11000000000001</v>
      </c>
      <c r="AU633" s="242" t="s">
        <v>259</v>
      </c>
      <c r="AV633" s="242">
        <v>128.82857999999999</v>
      </c>
      <c r="AW633" s="157" t="s">
        <v>259</v>
      </c>
      <c r="AX633" s="157">
        <v>3104.894940000001</v>
      </c>
      <c r="AY633" s="240">
        <v>0.39</v>
      </c>
      <c r="AZ633" s="156" t="s">
        <v>253</v>
      </c>
      <c r="BA633" s="156" t="s">
        <v>254</v>
      </c>
      <c r="BB633" s="156">
        <v>0</v>
      </c>
      <c r="BC633" s="156" t="s">
        <v>1423</v>
      </c>
      <c r="BD633" s="3"/>
    </row>
    <row r="634" spans="1:56" ht="15.75" hidden="1" customHeight="1" outlineLevel="1">
      <c r="A634" s="58">
        <v>624</v>
      </c>
      <c r="B634" s="11">
        <v>129624</v>
      </c>
      <c r="C634" s="89" t="s">
        <v>359</v>
      </c>
      <c r="D634" s="157" t="s">
        <v>228</v>
      </c>
      <c r="E634" s="12" t="s">
        <v>191</v>
      </c>
      <c r="F634" s="11" t="s">
        <v>246</v>
      </c>
      <c r="G634" s="18" t="s">
        <v>247</v>
      </c>
      <c r="H634" s="11" t="s">
        <v>248</v>
      </c>
      <c r="I634" s="87" t="s">
        <v>249</v>
      </c>
      <c r="J634" s="19" t="s">
        <v>139</v>
      </c>
      <c r="K634" s="17" t="s">
        <v>140</v>
      </c>
      <c r="L634" s="260">
        <v>1</v>
      </c>
      <c r="M634" s="70" t="s">
        <v>250</v>
      </c>
      <c r="N634" s="70">
        <v>80</v>
      </c>
      <c r="O634" s="258">
        <v>8</v>
      </c>
      <c r="P634" s="70" t="s">
        <v>251</v>
      </c>
      <c r="Q634" s="70" t="s">
        <v>233</v>
      </c>
      <c r="R634" s="70" t="s">
        <v>240</v>
      </c>
      <c r="S634" s="70" t="s">
        <v>233</v>
      </c>
      <c r="T634" s="70" t="s">
        <v>233</v>
      </c>
      <c r="U634" s="70" t="s">
        <v>1427</v>
      </c>
      <c r="V634" s="70" t="s">
        <v>240</v>
      </c>
      <c r="W634" s="12"/>
      <c r="X634" s="242">
        <v>1113.1899999999998</v>
      </c>
      <c r="Y634" s="242">
        <v>1120.92</v>
      </c>
      <c r="Z634" s="242">
        <v>194.45</v>
      </c>
      <c r="AA634" s="157" t="s">
        <v>252</v>
      </c>
      <c r="AB634" s="242">
        <v>128.78</v>
      </c>
      <c r="AC634" s="157" t="s">
        <v>252</v>
      </c>
      <c r="AD634" s="242">
        <v>171.72</v>
      </c>
      <c r="AE634" s="157" t="s">
        <v>252</v>
      </c>
      <c r="AF634" s="242">
        <v>103.98</v>
      </c>
      <c r="AG634" s="157" t="s">
        <v>252</v>
      </c>
      <c r="AH634" s="242">
        <v>45.23</v>
      </c>
      <c r="AI634" s="157" t="s">
        <v>252</v>
      </c>
      <c r="AJ634" s="242">
        <v>17.600000000000001</v>
      </c>
      <c r="AK634" s="242" t="s">
        <v>252</v>
      </c>
      <c r="AL634" s="242">
        <v>19.850000000000001</v>
      </c>
      <c r="AM634" s="242" t="s">
        <v>252</v>
      </c>
      <c r="AN634" s="242">
        <v>12.81</v>
      </c>
      <c r="AO634" s="242" t="s">
        <v>252</v>
      </c>
      <c r="AP634" s="242">
        <v>18.940000000000001</v>
      </c>
      <c r="AQ634" s="242" t="s">
        <v>252</v>
      </c>
      <c r="AR634" s="242">
        <v>81.790000000000006</v>
      </c>
      <c r="AS634" s="242" t="s">
        <v>252</v>
      </c>
      <c r="AT634" s="242">
        <v>128.68638999999999</v>
      </c>
      <c r="AU634" s="242" t="s">
        <v>252</v>
      </c>
      <c r="AV634" s="242">
        <v>135.11948000000001</v>
      </c>
      <c r="AW634" s="157" t="s">
        <v>259</v>
      </c>
      <c r="AX634" s="157">
        <v>3293.065869999999</v>
      </c>
      <c r="AY634" s="240">
        <v>0.46400000000000002</v>
      </c>
      <c r="AZ634" s="156" t="s">
        <v>253</v>
      </c>
      <c r="BA634" s="156" t="s">
        <v>254</v>
      </c>
      <c r="BB634" s="156">
        <v>1</v>
      </c>
      <c r="BC634" s="156" t="s">
        <v>1423</v>
      </c>
      <c r="BD634" s="3"/>
    </row>
    <row r="635" spans="1:56" ht="15.75" hidden="1" customHeight="1" outlineLevel="1">
      <c r="A635" s="58">
        <v>625</v>
      </c>
      <c r="B635" s="11">
        <v>129625</v>
      </c>
      <c r="C635" s="89" t="s">
        <v>360</v>
      </c>
      <c r="D635" s="157">
        <v>10</v>
      </c>
      <c r="E635" s="12" t="s">
        <v>191</v>
      </c>
      <c r="F635" s="11" t="s">
        <v>246</v>
      </c>
      <c r="G635" s="18" t="s">
        <v>247</v>
      </c>
      <c r="H635" s="11" t="s">
        <v>248</v>
      </c>
      <c r="I635" s="87" t="s">
        <v>249</v>
      </c>
      <c r="J635" s="19" t="s">
        <v>139</v>
      </c>
      <c r="K635" s="17" t="s">
        <v>140</v>
      </c>
      <c r="L635" s="257">
        <v>0</v>
      </c>
      <c r="M635" s="70" t="s">
        <v>250</v>
      </c>
      <c r="N635" s="70">
        <v>80</v>
      </c>
      <c r="O635" s="258">
        <v>8</v>
      </c>
      <c r="P635" s="70" t="s">
        <v>251</v>
      </c>
      <c r="Q635" s="70" t="s">
        <v>233</v>
      </c>
      <c r="R635" s="70" t="s">
        <v>240</v>
      </c>
      <c r="S635" s="70" t="s">
        <v>240</v>
      </c>
      <c r="T635" s="70" t="s">
        <v>240</v>
      </c>
      <c r="U635" s="70" t="s">
        <v>1427</v>
      </c>
      <c r="V635" s="70" t="s">
        <v>240</v>
      </c>
      <c r="W635" s="12"/>
      <c r="X635" s="242">
        <v>458.14</v>
      </c>
      <c r="Y635" s="242">
        <v>478.23</v>
      </c>
      <c r="Z635" s="242">
        <v>54.26</v>
      </c>
      <c r="AA635" s="157" t="s">
        <v>259</v>
      </c>
      <c r="AB635" s="242">
        <v>54.24</v>
      </c>
      <c r="AC635" s="157" t="s">
        <v>259</v>
      </c>
      <c r="AD635" s="242">
        <v>54.26</v>
      </c>
      <c r="AE635" s="157" t="s">
        <v>259</v>
      </c>
      <c r="AF635" s="242">
        <v>54.31</v>
      </c>
      <c r="AG635" s="157" t="s">
        <v>259</v>
      </c>
      <c r="AH635" s="242">
        <v>53.06</v>
      </c>
      <c r="AI635" s="157" t="s">
        <v>259</v>
      </c>
      <c r="AJ635" s="242">
        <v>11.0733</v>
      </c>
      <c r="AK635" s="242" t="s">
        <v>259</v>
      </c>
      <c r="AL635" s="242">
        <v>11.0733</v>
      </c>
      <c r="AM635" s="242" t="s">
        <v>259</v>
      </c>
      <c r="AN635" s="242">
        <v>11.0733</v>
      </c>
      <c r="AO635" s="242" t="s">
        <v>259</v>
      </c>
      <c r="AP635" s="242">
        <v>11.13</v>
      </c>
      <c r="AQ635" s="242" t="s">
        <v>259</v>
      </c>
      <c r="AR635" s="242">
        <v>48.3</v>
      </c>
      <c r="AS635" s="242" t="s">
        <v>259</v>
      </c>
      <c r="AT635" s="242">
        <v>50.73</v>
      </c>
      <c r="AU635" s="242" t="s">
        <v>259</v>
      </c>
      <c r="AV635" s="242">
        <v>51.59</v>
      </c>
      <c r="AW635" s="157" t="s">
        <v>259</v>
      </c>
      <c r="AX635" s="157">
        <v>1401.4698999999998</v>
      </c>
      <c r="AY635" s="240">
        <v>0.19</v>
      </c>
      <c r="AZ635" s="156" t="s">
        <v>253</v>
      </c>
      <c r="BA635" s="156" t="s">
        <v>254</v>
      </c>
      <c r="BB635" s="156">
        <v>0</v>
      </c>
      <c r="BC635" s="156" t="s">
        <v>1423</v>
      </c>
      <c r="BD635" s="3"/>
    </row>
    <row r="636" spans="1:56" ht="15.75" hidden="1" customHeight="1" outlineLevel="1">
      <c r="A636" s="58">
        <v>626</v>
      </c>
      <c r="B636" s="11">
        <v>129626</v>
      </c>
      <c r="C636" s="89" t="s">
        <v>360</v>
      </c>
      <c r="D636" s="157">
        <v>12</v>
      </c>
      <c r="E636" s="12" t="s">
        <v>191</v>
      </c>
      <c r="F636" s="11" t="s">
        <v>246</v>
      </c>
      <c r="G636" s="18" t="s">
        <v>247</v>
      </c>
      <c r="H636" s="11" t="s">
        <v>248</v>
      </c>
      <c r="I636" s="87" t="s">
        <v>249</v>
      </c>
      <c r="J636" s="19" t="s">
        <v>139</v>
      </c>
      <c r="K636" s="17" t="s">
        <v>140</v>
      </c>
      <c r="L636" s="257">
        <v>0</v>
      </c>
      <c r="M636" s="70" t="s">
        <v>250</v>
      </c>
      <c r="N636" s="70">
        <v>100</v>
      </c>
      <c r="O636" s="258">
        <v>8</v>
      </c>
      <c r="P636" s="70" t="s">
        <v>251</v>
      </c>
      <c r="Q636" s="70" t="s">
        <v>233</v>
      </c>
      <c r="R636" s="70" t="s">
        <v>240</v>
      </c>
      <c r="S636" s="70" t="s">
        <v>240</v>
      </c>
      <c r="T636" s="70" t="s">
        <v>240</v>
      </c>
      <c r="U636" s="70" t="s">
        <v>1427</v>
      </c>
      <c r="V636" s="70" t="s">
        <v>240</v>
      </c>
      <c r="W636" s="12"/>
      <c r="X636" s="242">
        <v>478.15</v>
      </c>
      <c r="Y636" s="242">
        <v>531.49000000000012</v>
      </c>
      <c r="Z636" s="242">
        <v>72.599999999999994</v>
      </c>
      <c r="AA636" s="157" t="s">
        <v>259</v>
      </c>
      <c r="AB636" s="242">
        <v>71.3</v>
      </c>
      <c r="AC636" s="157" t="s">
        <v>259</v>
      </c>
      <c r="AD636" s="242">
        <v>71.680000000000007</v>
      </c>
      <c r="AE636" s="157" t="s">
        <v>259</v>
      </c>
      <c r="AF636" s="242">
        <v>70.95</v>
      </c>
      <c r="AG636" s="157" t="s">
        <v>259</v>
      </c>
      <c r="AH636" s="242">
        <v>72.16</v>
      </c>
      <c r="AI636" s="157" t="s">
        <v>259</v>
      </c>
      <c r="AJ636" s="242">
        <v>6.3365999999999998</v>
      </c>
      <c r="AK636" s="242" t="s">
        <v>259</v>
      </c>
      <c r="AL636" s="242">
        <v>6.3365999999999998</v>
      </c>
      <c r="AM636" s="242" t="s">
        <v>259</v>
      </c>
      <c r="AN636" s="242">
        <v>6.3365999999999998</v>
      </c>
      <c r="AO636" s="242" t="s">
        <v>259</v>
      </c>
      <c r="AP636" s="242">
        <v>7.16</v>
      </c>
      <c r="AQ636" s="242" t="s">
        <v>259</v>
      </c>
      <c r="AR636" s="242">
        <v>64.73</v>
      </c>
      <c r="AS636" s="242" t="s">
        <v>259</v>
      </c>
      <c r="AT636" s="242">
        <v>68.319999999999993</v>
      </c>
      <c r="AU636" s="242" t="s">
        <v>259</v>
      </c>
      <c r="AV636" s="242">
        <v>67.61</v>
      </c>
      <c r="AW636" s="157" t="s">
        <v>259</v>
      </c>
      <c r="AX636" s="157">
        <v>1595.1598000000004</v>
      </c>
      <c r="AY636" s="240">
        <v>0.24340000000000001</v>
      </c>
      <c r="AZ636" s="156" t="s">
        <v>253</v>
      </c>
      <c r="BA636" s="156" t="s">
        <v>254</v>
      </c>
      <c r="BB636" s="156">
        <v>0</v>
      </c>
      <c r="BC636" s="156" t="s">
        <v>1423</v>
      </c>
      <c r="BD636" s="3"/>
    </row>
    <row r="637" spans="1:56" ht="15.75" hidden="1" customHeight="1" outlineLevel="1">
      <c r="A637" s="58">
        <v>627</v>
      </c>
      <c r="B637" s="11">
        <v>129627</v>
      </c>
      <c r="C637" s="89" t="s">
        <v>360</v>
      </c>
      <c r="D637" s="157">
        <v>14</v>
      </c>
      <c r="E637" s="12" t="s">
        <v>191</v>
      </c>
      <c r="F637" s="11" t="s">
        <v>246</v>
      </c>
      <c r="G637" s="18" t="s">
        <v>247</v>
      </c>
      <c r="H637" s="11" t="s">
        <v>248</v>
      </c>
      <c r="I637" s="87" t="s">
        <v>249</v>
      </c>
      <c r="J637" s="19" t="s">
        <v>139</v>
      </c>
      <c r="K637" s="17" t="s">
        <v>140</v>
      </c>
      <c r="L637" s="257">
        <v>0</v>
      </c>
      <c r="M637" s="70" t="s">
        <v>250</v>
      </c>
      <c r="N637" s="70">
        <v>100</v>
      </c>
      <c r="O637" s="258">
        <v>8</v>
      </c>
      <c r="P637" s="70" t="s">
        <v>251</v>
      </c>
      <c r="Q637" s="70" t="s">
        <v>233</v>
      </c>
      <c r="R637" s="70" t="s">
        <v>240</v>
      </c>
      <c r="S637" s="70" t="s">
        <v>240</v>
      </c>
      <c r="T637" s="70" t="s">
        <v>240</v>
      </c>
      <c r="U637" s="70" t="s">
        <v>1427</v>
      </c>
      <c r="V637" s="70" t="s">
        <v>240</v>
      </c>
      <c r="W637" s="12"/>
      <c r="X637" s="242">
        <v>668.4799999999999</v>
      </c>
      <c r="Y637" s="242">
        <v>647.44000000000005</v>
      </c>
      <c r="Z637" s="242">
        <v>63.78</v>
      </c>
      <c r="AA637" s="157" t="s">
        <v>259</v>
      </c>
      <c r="AB637" s="242">
        <v>63.9</v>
      </c>
      <c r="AC637" s="157" t="s">
        <v>259</v>
      </c>
      <c r="AD637" s="242">
        <v>63.9</v>
      </c>
      <c r="AE637" s="157" t="s">
        <v>259</v>
      </c>
      <c r="AF637" s="242">
        <v>63.7</v>
      </c>
      <c r="AG637" s="157" t="s">
        <v>259</v>
      </c>
      <c r="AH637" s="242">
        <v>61.97</v>
      </c>
      <c r="AI637" s="157" t="s">
        <v>259</v>
      </c>
      <c r="AJ637" s="242">
        <v>10.65</v>
      </c>
      <c r="AK637" s="242" t="s">
        <v>259</v>
      </c>
      <c r="AL637" s="242">
        <v>10.65</v>
      </c>
      <c r="AM637" s="242" t="s">
        <v>259</v>
      </c>
      <c r="AN637" s="242">
        <v>10.65</v>
      </c>
      <c r="AO637" s="242" t="s">
        <v>259</v>
      </c>
      <c r="AP637" s="242">
        <v>10.45</v>
      </c>
      <c r="AQ637" s="242" t="s">
        <v>259</v>
      </c>
      <c r="AR637" s="242">
        <v>56.68</v>
      </c>
      <c r="AS637" s="242" t="s">
        <v>259</v>
      </c>
      <c r="AT637" s="242">
        <v>60.49</v>
      </c>
      <c r="AU637" s="242" t="s">
        <v>259</v>
      </c>
      <c r="AV637" s="242">
        <v>59.41</v>
      </c>
      <c r="AW637" s="157" t="s">
        <v>259</v>
      </c>
      <c r="AX637" s="157">
        <v>1852.1500000000008</v>
      </c>
      <c r="AY637" s="240">
        <v>0.37</v>
      </c>
      <c r="AZ637" s="156" t="s">
        <v>253</v>
      </c>
      <c r="BA637" s="156" t="s">
        <v>254</v>
      </c>
      <c r="BB637" s="156">
        <v>0</v>
      </c>
      <c r="BC637" s="156" t="s">
        <v>1423</v>
      </c>
      <c r="BD637" s="3"/>
    </row>
    <row r="638" spans="1:56" ht="15.75" hidden="1" customHeight="1" outlineLevel="1">
      <c r="A638" s="58">
        <v>628</v>
      </c>
      <c r="B638" s="11">
        <v>129628</v>
      </c>
      <c r="C638" s="89" t="s">
        <v>360</v>
      </c>
      <c r="D638" s="157">
        <v>18</v>
      </c>
      <c r="E638" s="12" t="s">
        <v>345</v>
      </c>
      <c r="F638" s="11" t="s">
        <v>246</v>
      </c>
      <c r="G638" s="18" t="s">
        <v>247</v>
      </c>
      <c r="H638" s="11" t="s">
        <v>248</v>
      </c>
      <c r="I638" s="87" t="s">
        <v>249</v>
      </c>
      <c r="J638" s="19" t="s">
        <v>139</v>
      </c>
      <c r="K638" s="17" t="s">
        <v>140</v>
      </c>
      <c r="L638" s="257">
        <v>0</v>
      </c>
      <c r="M638" s="70" t="s">
        <v>250</v>
      </c>
      <c r="N638" s="70">
        <v>80</v>
      </c>
      <c r="O638" s="258">
        <v>8</v>
      </c>
      <c r="P638" s="70" t="s">
        <v>251</v>
      </c>
      <c r="Q638" s="70" t="s">
        <v>233</v>
      </c>
      <c r="R638" s="70" t="s">
        <v>240</v>
      </c>
      <c r="S638" s="70" t="s">
        <v>240</v>
      </c>
      <c r="T638" s="70" t="s">
        <v>240</v>
      </c>
      <c r="U638" s="70" t="s">
        <v>1427</v>
      </c>
      <c r="V638" s="70" t="s">
        <v>240</v>
      </c>
      <c r="W638" s="12"/>
      <c r="X638" s="242">
        <v>283.32000000000005</v>
      </c>
      <c r="Y638" s="242">
        <v>295.23</v>
      </c>
      <c r="Z638" s="242">
        <v>33.39</v>
      </c>
      <c r="AA638" s="157" t="s">
        <v>259</v>
      </c>
      <c r="AB638" s="242">
        <v>33.159999999999997</v>
      </c>
      <c r="AC638" s="157" t="s">
        <v>259</v>
      </c>
      <c r="AD638" s="242">
        <v>33.159999999999997</v>
      </c>
      <c r="AE638" s="157" t="s">
        <v>259</v>
      </c>
      <c r="AF638" s="242">
        <v>33.159999999999997</v>
      </c>
      <c r="AG638" s="157" t="s">
        <v>259</v>
      </c>
      <c r="AH638" s="242">
        <v>32.17</v>
      </c>
      <c r="AI638" s="157" t="s">
        <v>259</v>
      </c>
      <c r="AJ638" s="242">
        <v>6.0330000000000004</v>
      </c>
      <c r="AK638" s="242" t="s">
        <v>259</v>
      </c>
      <c r="AL638" s="242">
        <v>6.0330000000000004</v>
      </c>
      <c r="AM638" s="242" t="s">
        <v>259</v>
      </c>
      <c r="AN638" s="242">
        <v>6.0330000000000004</v>
      </c>
      <c r="AO638" s="242" t="s">
        <v>259</v>
      </c>
      <c r="AP638" s="242">
        <v>6.47</v>
      </c>
      <c r="AQ638" s="242" t="s">
        <v>259</v>
      </c>
      <c r="AR638" s="242">
        <v>28.27</v>
      </c>
      <c r="AS638" s="242" t="s">
        <v>259</v>
      </c>
      <c r="AT638" s="242">
        <v>29.66</v>
      </c>
      <c r="AU638" s="242" t="s">
        <v>259</v>
      </c>
      <c r="AV638" s="242">
        <v>29.43</v>
      </c>
      <c r="AW638" s="157" t="s">
        <v>259</v>
      </c>
      <c r="AX638" s="157">
        <v>855.51899999999989</v>
      </c>
      <c r="AY638" s="240">
        <v>0.1</v>
      </c>
      <c r="AZ638" s="156" t="s">
        <v>253</v>
      </c>
      <c r="BA638" s="156" t="s">
        <v>254</v>
      </c>
      <c r="BB638" s="156">
        <v>0</v>
      </c>
      <c r="BC638" s="156" t="s">
        <v>1423</v>
      </c>
      <c r="BD638" s="3"/>
    </row>
    <row r="639" spans="1:56" ht="15.75" hidden="1" customHeight="1" outlineLevel="1">
      <c r="A639" s="58">
        <v>629</v>
      </c>
      <c r="B639" s="11">
        <v>129629</v>
      </c>
      <c r="C639" s="89" t="s">
        <v>360</v>
      </c>
      <c r="D639" s="157">
        <v>19</v>
      </c>
      <c r="E639" s="12" t="s">
        <v>191</v>
      </c>
      <c r="F639" s="11" t="s">
        <v>246</v>
      </c>
      <c r="G639" s="18" t="s">
        <v>247</v>
      </c>
      <c r="H639" s="11" t="s">
        <v>248</v>
      </c>
      <c r="I639" s="87" t="s">
        <v>249</v>
      </c>
      <c r="J639" s="19" t="s">
        <v>139</v>
      </c>
      <c r="K639" s="17" t="s">
        <v>140</v>
      </c>
      <c r="L639" s="260">
        <v>1</v>
      </c>
      <c r="M639" s="70" t="s">
        <v>250</v>
      </c>
      <c r="N639" s="70">
        <v>80</v>
      </c>
      <c r="O639" s="258">
        <v>8</v>
      </c>
      <c r="P639" s="70" t="s">
        <v>251</v>
      </c>
      <c r="Q639" s="70" t="s">
        <v>240</v>
      </c>
      <c r="R639" s="70" t="s">
        <v>240</v>
      </c>
      <c r="S639" s="70" t="s">
        <v>233</v>
      </c>
      <c r="T639" s="70" t="s">
        <v>233</v>
      </c>
      <c r="U639" s="70" t="s">
        <v>1427</v>
      </c>
      <c r="V639" s="70" t="s">
        <v>240</v>
      </c>
      <c r="W639" s="12"/>
      <c r="X639" s="242">
        <v>372.35793874769507</v>
      </c>
      <c r="Y639" s="242">
        <v>323.04388679547827</v>
      </c>
      <c r="Z639" s="242">
        <v>70.520655816563789</v>
      </c>
      <c r="AA639" s="157" t="s">
        <v>252</v>
      </c>
      <c r="AB639" s="242">
        <v>44.363744087228419</v>
      </c>
      <c r="AC639" s="157" t="s">
        <v>252</v>
      </c>
      <c r="AD639" s="242">
        <v>59.176314439188651</v>
      </c>
      <c r="AE639" s="157" t="s">
        <v>252</v>
      </c>
      <c r="AF639" s="242">
        <v>29.934706165317085</v>
      </c>
      <c r="AG639" s="157" t="s">
        <v>252</v>
      </c>
      <c r="AH639" s="242">
        <v>9.7663793794596323</v>
      </c>
      <c r="AI639" s="157" t="s">
        <v>252</v>
      </c>
      <c r="AJ639" s="242">
        <v>0</v>
      </c>
      <c r="AK639" s="242" t="s">
        <v>252</v>
      </c>
      <c r="AL639" s="242">
        <v>0.67392126994307711</v>
      </c>
      <c r="AM639" s="242" t="s">
        <v>252</v>
      </c>
      <c r="AN639" s="242">
        <v>0</v>
      </c>
      <c r="AO639" s="242" t="s">
        <v>252</v>
      </c>
      <c r="AP639" s="242">
        <v>0</v>
      </c>
      <c r="AQ639" s="242" t="s">
        <v>252</v>
      </c>
      <c r="AR639" s="242">
        <v>11.347080894732624</v>
      </c>
      <c r="AS639" s="242" t="s">
        <v>252</v>
      </c>
      <c r="AT639" s="242">
        <v>32.219463641465566</v>
      </c>
      <c r="AU639" s="242" t="s">
        <v>252</v>
      </c>
      <c r="AV639" s="242">
        <v>41.542041209011465</v>
      </c>
      <c r="AW639" s="157" t="s">
        <v>252</v>
      </c>
      <c r="AX639" s="157">
        <v>994.94613244608365</v>
      </c>
      <c r="AY639" s="240">
        <v>0.15341297201956228</v>
      </c>
      <c r="AZ639" s="156" t="s">
        <v>253</v>
      </c>
      <c r="BA639" s="156" t="s">
        <v>254</v>
      </c>
      <c r="BB639" s="156">
        <v>1</v>
      </c>
      <c r="BC639" s="156" t="s">
        <v>1423</v>
      </c>
      <c r="BD639" s="3"/>
    </row>
    <row r="640" spans="1:56" ht="15.75" hidden="1" customHeight="1" outlineLevel="1">
      <c r="A640" s="58">
        <v>630</v>
      </c>
      <c r="B640" s="11">
        <v>129630</v>
      </c>
      <c r="C640" s="89" t="s">
        <v>360</v>
      </c>
      <c r="D640" s="157">
        <v>19</v>
      </c>
      <c r="E640" s="12" t="s">
        <v>231</v>
      </c>
      <c r="F640" s="11" t="s">
        <v>246</v>
      </c>
      <c r="G640" s="18" t="s">
        <v>247</v>
      </c>
      <c r="H640" s="11" t="s">
        <v>248</v>
      </c>
      <c r="I640" s="87" t="s">
        <v>249</v>
      </c>
      <c r="J640" s="19" t="s">
        <v>139</v>
      </c>
      <c r="K640" s="17" t="s">
        <v>140</v>
      </c>
      <c r="L640" s="257">
        <v>0</v>
      </c>
      <c r="M640" s="70" t="s">
        <v>250</v>
      </c>
      <c r="N640" s="70">
        <v>100</v>
      </c>
      <c r="O640" s="258">
        <v>8</v>
      </c>
      <c r="P640" s="70" t="s">
        <v>251</v>
      </c>
      <c r="Q640" s="70" t="s">
        <v>240</v>
      </c>
      <c r="R640" s="70" t="s">
        <v>240</v>
      </c>
      <c r="S640" s="70" t="s">
        <v>233</v>
      </c>
      <c r="T640" s="70" t="s">
        <v>233</v>
      </c>
      <c r="U640" s="70" t="s">
        <v>1427</v>
      </c>
      <c r="V640" s="70" t="s">
        <v>240</v>
      </c>
      <c r="W640" s="12"/>
      <c r="X640" s="242">
        <v>370.68703198909651</v>
      </c>
      <c r="Y640" s="242">
        <v>321.59427029049419</v>
      </c>
      <c r="Z640" s="242">
        <v>70.204203746759674</v>
      </c>
      <c r="AA640" s="157" t="s">
        <v>252</v>
      </c>
      <c r="AB640" s="242">
        <v>44.164667682193539</v>
      </c>
      <c r="AC640" s="157" t="s">
        <v>252</v>
      </c>
      <c r="AD640" s="242">
        <v>58.910768593495284</v>
      </c>
      <c r="AE640" s="157" t="s">
        <v>252</v>
      </c>
      <c r="AF640" s="242">
        <v>29.800378150137632</v>
      </c>
      <c r="AG640" s="157" t="s">
        <v>252</v>
      </c>
      <c r="AH640" s="242">
        <v>9.7225540500815093</v>
      </c>
      <c r="AI640" s="157" t="s">
        <v>252</v>
      </c>
      <c r="AJ640" s="242">
        <v>0</v>
      </c>
      <c r="AK640" s="242" t="s">
        <v>252</v>
      </c>
      <c r="AL640" s="242">
        <v>0.67089713781768623</v>
      </c>
      <c r="AM640" s="242" t="s">
        <v>252</v>
      </c>
      <c r="AN640" s="242">
        <v>0</v>
      </c>
      <c r="AO640" s="242" t="s">
        <v>252</v>
      </c>
      <c r="AP640" s="242">
        <v>0</v>
      </c>
      <c r="AQ640" s="242" t="s">
        <v>252</v>
      </c>
      <c r="AR640" s="242">
        <v>11.296162377401856</v>
      </c>
      <c r="AS640" s="242" t="s">
        <v>252</v>
      </c>
      <c r="AT640" s="242">
        <v>32.074883080787835</v>
      </c>
      <c r="AU640" s="242" t="s">
        <v>252</v>
      </c>
      <c r="AV640" s="242">
        <v>41.355626820599163</v>
      </c>
      <c r="AW640" s="157" t="s">
        <v>252</v>
      </c>
      <c r="AX640" s="157">
        <v>990.48144391886467</v>
      </c>
      <c r="AY640" s="243">
        <v>0.1527245516983351</v>
      </c>
      <c r="AZ640" s="156" t="s">
        <v>253</v>
      </c>
      <c r="BA640" s="156" t="s">
        <v>254</v>
      </c>
      <c r="BB640" s="156">
        <v>0</v>
      </c>
      <c r="BC640" s="156" t="s">
        <v>1423</v>
      </c>
      <c r="BD640" s="3"/>
    </row>
    <row r="641" spans="1:56" ht="15.75" hidden="1" customHeight="1" outlineLevel="1">
      <c r="A641" s="58">
        <v>631</v>
      </c>
      <c r="B641" s="11">
        <v>129631</v>
      </c>
      <c r="C641" s="89" t="s">
        <v>360</v>
      </c>
      <c r="D641" s="157">
        <v>19</v>
      </c>
      <c r="E641" s="12" t="s">
        <v>260</v>
      </c>
      <c r="F641" s="11" t="s">
        <v>246</v>
      </c>
      <c r="G641" s="18" t="s">
        <v>247</v>
      </c>
      <c r="H641" s="11" t="s">
        <v>248</v>
      </c>
      <c r="I641" s="87" t="s">
        <v>249</v>
      </c>
      <c r="J641" s="19" t="s">
        <v>139</v>
      </c>
      <c r="K641" s="17" t="s">
        <v>140</v>
      </c>
      <c r="L641" s="257">
        <v>0</v>
      </c>
      <c r="M641" s="70" t="s">
        <v>250</v>
      </c>
      <c r="N641" s="70">
        <v>100</v>
      </c>
      <c r="O641" s="258">
        <v>8</v>
      </c>
      <c r="P641" s="70" t="s">
        <v>251</v>
      </c>
      <c r="Q641" s="70" t="s">
        <v>240</v>
      </c>
      <c r="R641" s="70" t="s">
        <v>240</v>
      </c>
      <c r="S641" s="70" t="s">
        <v>233</v>
      </c>
      <c r="T641" s="70" t="s">
        <v>233</v>
      </c>
      <c r="U641" s="70" t="s">
        <v>1427</v>
      </c>
      <c r="V641" s="70" t="s">
        <v>240</v>
      </c>
      <c r="W641" s="12"/>
      <c r="X641" s="242">
        <v>189.90218552072477</v>
      </c>
      <c r="Y641" s="242">
        <v>164.75206713167108</v>
      </c>
      <c r="Z641" s="242">
        <v>35.965465672519308</v>
      </c>
      <c r="AA641" s="157" t="s">
        <v>252</v>
      </c>
      <c r="AB641" s="242">
        <v>22.625466207007133</v>
      </c>
      <c r="AC641" s="157" t="s">
        <v>252</v>
      </c>
      <c r="AD641" s="242">
        <v>30.179862636628446</v>
      </c>
      <c r="AE641" s="157" t="s">
        <v>252</v>
      </c>
      <c r="AF641" s="242">
        <v>15.266670942569281</v>
      </c>
      <c r="AG641" s="157" t="s">
        <v>252</v>
      </c>
      <c r="AH641" s="242">
        <v>4.9808439562788953</v>
      </c>
      <c r="AI641" s="157" t="s">
        <v>252</v>
      </c>
      <c r="AJ641" s="242">
        <v>0</v>
      </c>
      <c r="AK641" s="242" t="s">
        <v>252</v>
      </c>
      <c r="AL641" s="242">
        <v>0.34369919025094203</v>
      </c>
      <c r="AM641" s="242" t="s">
        <v>252</v>
      </c>
      <c r="AN641" s="242">
        <v>0</v>
      </c>
      <c r="AO641" s="242" t="s">
        <v>252</v>
      </c>
      <c r="AP641" s="242">
        <v>0</v>
      </c>
      <c r="AQ641" s="242" t="s">
        <v>252</v>
      </c>
      <c r="AR641" s="242">
        <v>5.7870001870707393</v>
      </c>
      <c r="AS641" s="242" t="s">
        <v>252</v>
      </c>
      <c r="AT641" s="242">
        <v>16.43189502659077</v>
      </c>
      <c r="AU641" s="242" t="s">
        <v>252</v>
      </c>
      <c r="AV641" s="242">
        <v>21.186400491728797</v>
      </c>
      <c r="AW641" s="157" t="s">
        <v>252</v>
      </c>
      <c r="AX641" s="157">
        <v>507.42155696304025</v>
      </c>
      <c r="AY641" s="243">
        <v>7.8240466073385181E-2</v>
      </c>
      <c r="AZ641" s="156" t="s">
        <v>253</v>
      </c>
      <c r="BA641" s="156" t="s">
        <v>254</v>
      </c>
      <c r="BB641" s="156">
        <v>0</v>
      </c>
      <c r="BC641" s="156" t="s">
        <v>1423</v>
      </c>
      <c r="BD641" s="3"/>
    </row>
    <row r="642" spans="1:56" ht="15.75" hidden="1" customHeight="1" outlineLevel="1">
      <c r="A642" s="58">
        <v>632</v>
      </c>
      <c r="B642" s="11">
        <v>129632</v>
      </c>
      <c r="C642" s="89" t="s">
        <v>360</v>
      </c>
      <c r="D642" s="157">
        <v>19</v>
      </c>
      <c r="E642" s="12" t="s">
        <v>261</v>
      </c>
      <c r="F642" s="11" t="s">
        <v>246</v>
      </c>
      <c r="G642" s="18" t="s">
        <v>247</v>
      </c>
      <c r="H642" s="11" t="s">
        <v>248</v>
      </c>
      <c r="I642" s="87" t="s">
        <v>249</v>
      </c>
      <c r="J642" s="19" t="s">
        <v>139</v>
      </c>
      <c r="K642" s="17" t="s">
        <v>140</v>
      </c>
      <c r="L642" s="257">
        <v>0</v>
      </c>
      <c r="M642" s="70" t="s">
        <v>250</v>
      </c>
      <c r="N642" s="70">
        <v>100</v>
      </c>
      <c r="O642" s="258">
        <v>8</v>
      </c>
      <c r="P642" s="70" t="s">
        <v>251</v>
      </c>
      <c r="Q642" s="70" t="s">
        <v>240</v>
      </c>
      <c r="R642" s="70" t="s">
        <v>240</v>
      </c>
      <c r="S642" s="70" t="s">
        <v>233</v>
      </c>
      <c r="T642" s="70" t="s">
        <v>233</v>
      </c>
      <c r="U642" s="70" t="s">
        <v>1427</v>
      </c>
      <c r="V642" s="70" t="s">
        <v>240</v>
      </c>
      <c r="W642" s="12"/>
      <c r="X642" s="242">
        <v>426.26284374248382</v>
      </c>
      <c r="Y642" s="242">
        <v>369.80977578235661</v>
      </c>
      <c r="Z642" s="242">
        <v>80.729674764157252</v>
      </c>
      <c r="AA642" s="157" t="s">
        <v>252</v>
      </c>
      <c r="AB642" s="242">
        <v>50.786122023570918</v>
      </c>
      <c r="AC642" s="157" t="s">
        <v>252</v>
      </c>
      <c r="AD642" s="242">
        <v>67.743054330687627</v>
      </c>
      <c r="AE642" s="157" t="s">
        <v>252</v>
      </c>
      <c r="AF642" s="242">
        <v>34.268244741976005</v>
      </c>
      <c r="AG642" s="157" t="s">
        <v>252</v>
      </c>
      <c r="AH642" s="242">
        <v>11.180222614179963</v>
      </c>
      <c r="AI642" s="157" t="s">
        <v>252</v>
      </c>
      <c r="AJ642" s="242">
        <v>0</v>
      </c>
      <c r="AK642" s="242" t="s">
        <v>252</v>
      </c>
      <c r="AL642" s="242">
        <v>0.77148240198829476</v>
      </c>
      <c r="AM642" s="242" t="s">
        <v>252</v>
      </c>
      <c r="AN642" s="242">
        <v>0</v>
      </c>
      <c r="AO642" s="242" t="s">
        <v>252</v>
      </c>
      <c r="AP642" s="242">
        <v>0</v>
      </c>
      <c r="AQ642" s="242" t="s">
        <v>252</v>
      </c>
      <c r="AR642" s="242">
        <v>12.989756540794785</v>
      </c>
      <c r="AS642" s="242" t="s">
        <v>252</v>
      </c>
      <c r="AT642" s="242">
        <v>36.883758251155832</v>
      </c>
      <c r="AU642" s="242" t="s">
        <v>252</v>
      </c>
      <c r="AV642" s="242">
        <v>47.555931478660575</v>
      </c>
      <c r="AW642" s="157" t="s">
        <v>252</v>
      </c>
      <c r="AX642" s="157">
        <v>1138.9808666720116</v>
      </c>
      <c r="AY642" s="243">
        <v>0.17562201020871754</v>
      </c>
      <c r="AZ642" s="156" t="s">
        <v>253</v>
      </c>
      <c r="BA642" s="156" t="s">
        <v>254</v>
      </c>
      <c r="BB642" s="156">
        <v>0</v>
      </c>
      <c r="BC642" s="156" t="s">
        <v>1423</v>
      </c>
      <c r="BD642" s="3"/>
    </row>
    <row r="643" spans="1:56" ht="15.75" hidden="1" customHeight="1" outlineLevel="1">
      <c r="A643" s="58">
        <v>633</v>
      </c>
      <c r="B643" s="11">
        <v>129633</v>
      </c>
      <c r="C643" s="89" t="s">
        <v>360</v>
      </c>
      <c r="D643" s="157">
        <v>20</v>
      </c>
      <c r="E643" s="12" t="s">
        <v>339</v>
      </c>
      <c r="F643" s="11" t="s">
        <v>246</v>
      </c>
      <c r="G643" s="18" t="s">
        <v>247</v>
      </c>
      <c r="H643" s="11" t="s">
        <v>248</v>
      </c>
      <c r="I643" s="87" t="s">
        <v>249</v>
      </c>
      <c r="J643" s="19" t="s">
        <v>139</v>
      </c>
      <c r="K643" s="17" t="s">
        <v>140</v>
      </c>
      <c r="L643" s="260">
        <v>1</v>
      </c>
      <c r="M643" s="70" t="s">
        <v>250</v>
      </c>
      <c r="N643" s="70">
        <v>80</v>
      </c>
      <c r="O643" s="258">
        <v>8</v>
      </c>
      <c r="P643" s="70" t="s">
        <v>251</v>
      </c>
      <c r="Q643" s="70" t="s">
        <v>233</v>
      </c>
      <c r="R643" s="70" t="s">
        <v>240</v>
      </c>
      <c r="S643" s="70" t="s">
        <v>233</v>
      </c>
      <c r="T643" s="70" t="s">
        <v>233</v>
      </c>
      <c r="U643" s="70" t="s">
        <v>1427</v>
      </c>
      <c r="V643" s="70" t="s">
        <v>240</v>
      </c>
      <c r="W643" s="12"/>
      <c r="X643" s="242">
        <v>1103.08</v>
      </c>
      <c r="Y643" s="242">
        <v>948.82999999999993</v>
      </c>
      <c r="Z643" s="242">
        <v>154.54</v>
      </c>
      <c r="AA643" s="157" t="s">
        <v>252</v>
      </c>
      <c r="AB643" s="242">
        <v>113.13</v>
      </c>
      <c r="AC643" s="157" t="s">
        <v>252</v>
      </c>
      <c r="AD643" s="242">
        <v>163.34</v>
      </c>
      <c r="AE643" s="157" t="s">
        <v>252</v>
      </c>
      <c r="AF643" s="242">
        <v>101.37</v>
      </c>
      <c r="AG643" s="157" t="s">
        <v>252</v>
      </c>
      <c r="AH643" s="242">
        <v>42.74</v>
      </c>
      <c r="AI643" s="157" t="s">
        <v>252</v>
      </c>
      <c r="AJ643" s="242">
        <v>20.56</v>
      </c>
      <c r="AK643" s="242" t="s">
        <v>252</v>
      </c>
      <c r="AL643" s="242">
        <v>12.23</v>
      </c>
      <c r="AM643" s="242" t="s">
        <v>252</v>
      </c>
      <c r="AN643" s="242">
        <v>14.55</v>
      </c>
      <c r="AO643" s="242" t="s">
        <v>252</v>
      </c>
      <c r="AP643" s="242">
        <v>17.21</v>
      </c>
      <c r="AQ643" s="242" t="s">
        <v>252</v>
      </c>
      <c r="AR643" s="242">
        <v>83.92</v>
      </c>
      <c r="AS643" s="242" t="s">
        <v>252</v>
      </c>
      <c r="AT643" s="242">
        <v>99.38</v>
      </c>
      <c r="AU643" s="242" t="s">
        <v>252</v>
      </c>
      <c r="AV643" s="242">
        <v>131.08000000000001</v>
      </c>
      <c r="AW643" s="157" t="s">
        <v>252</v>
      </c>
      <c r="AX643" s="157">
        <v>3005.96</v>
      </c>
      <c r="AY643" s="240">
        <v>0.38750000000000001</v>
      </c>
      <c r="AZ643" s="156" t="s">
        <v>253</v>
      </c>
      <c r="BA643" s="156" t="s">
        <v>254</v>
      </c>
      <c r="BB643" s="156">
        <v>1</v>
      </c>
      <c r="BC643" s="156" t="s">
        <v>1423</v>
      </c>
      <c r="BD643" s="3"/>
    </row>
    <row r="644" spans="1:56" ht="15.75" hidden="1" customHeight="1" outlineLevel="1">
      <c r="A644" s="58">
        <v>634</v>
      </c>
      <c r="B644" s="11">
        <v>129634</v>
      </c>
      <c r="C644" s="89" t="s">
        <v>360</v>
      </c>
      <c r="D644" s="157">
        <v>22</v>
      </c>
      <c r="E644" s="12" t="s">
        <v>191</v>
      </c>
      <c r="F644" s="11" t="s">
        <v>246</v>
      </c>
      <c r="G644" s="18" t="s">
        <v>247</v>
      </c>
      <c r="H644" s="11" t="s">
        <v>248</v>
      </c>
      <c r="I644" s="87" t="s">
        <v>249</v>
      </c>
      <c r="J644" s="19" t="s">
        <v>139</v>
      </c>
      <c r="K644" s="17" t="s">
        <v>140</v>
      </c>
      <c r="L644" s="257">
        <v>0</v>
      </c>
      <c r="M644" s="70" t="s">
        <v>250</v>
      </c>
      <c r="N644" s="70">
        <v>80</v>
      </c>
      <c r="O644" s="258">
        <v>8</v>
      </c>
      <c r="P644" s="70" t="s">
        <v>251</v>
      </c>
      <c r="Q644" s="70" t="s">
        <v>233</v>
      </c>
      <c r="R644" s="70" t="s">
        <v>240</v>
      </c>
      <c r="S644" s="70" t="s">
        <v>233</v>
      </c>
      <c r="T644" s="70" t="s">
        <v>233</v>
      </c>
      <c r="U644" s="70" t="s">
        <v>1427</v>
      </c>
      <c r="V644" s="70" t="s">
        <v>240</v>
      </c>
      <c r="W644" s="12"/>
      <c r="X644" s="242">
        <v>468.47</v>
      </c>
      <c r="Y644" s="242">
        <v>404.26</v>
      </c>
      <c r="Z644" s="242">
        <v>64.92</v>
      </c>
      <c r="AA644" s="157" t="s">
        <v>252</v>
      </c>
      <c r="AB644" s="242">
        <v>47.54</v>
      </c>
      <c r="AC644" s="157" t="s">
        <v>252</v>
      </c>
      <c r="AD644" s="242">
        <v>68.7</v>
      </c>
      <c r="AE644" s="157" t="s">
        <v>252</v>
      </c>
      <c r="AF644" s="242">
        <v>42.55</v>
      </c>
      <c r="AG644" s="157" t="s">
        <v>252</v>
      </c>
      <c r="AH644" s="242">
        <v>17.649999999999999</v>
      </c>
      <c r="AI644" s="157" t="s">
        <v>252</v>
      </c>
      <c r="AJ644" s="242">
        <v>10.9</v>
      </c>
      <c r="AK644" s="242" t="s">
        <v>252</v>
      </c>
      <c r="AL644" s="242">
        <v>6.45</v>
      </c>
      <c r="AM644" s="242" t="s">
        <v>252</v>
      </c>
      <c r="AN644" s="242">
        <v>7.45</v>
      </c>
      <c r="AO644" s="242" t="s">
        <v>252</v>
      </c>
      <c r="AP644" s="242">
        <v>8.99</v>
      </c>
      <c r="AQ644" s="242" t="s">
        <v>252</v>
      </c>
      <c r="AR644" s="242">
        <v>34.93</v>
      </c>
      <c r="AS644" s="242" t="s">
        <v>252</v>
      </c>
      <c r="AT644" s="242">
        <v>41.44</v>
      </c>
      <c r="AU644" s="242" t="s">
        <v>252</v>
      </c>
      <c r="AV644" s="242">
        <v>54.93</v>
      </c>
      <c r="AW644" s="157" t="s">
        <v>252</v>
      </c>
      <c r="AX644" s="157">
        <v>1279.1800000000003</v>
      </c>
      <c r="AY644" s="240">
        <v>0.1565</v>
      </c>
      <c r="AZ644" s="156" t="s">
        <v>253</v>
      </c>
      <c r="BA644" s="156" t="s">
        <v>254</v>
      </c>
      <c r="BB644" s="156">
        <v>0</v>
      </c>
      <c r="BC644" s="156" t="s">
        <v>1423</v>
      </c>
      <c r="BD644" s="3"/>
    </row>
    <row r="645" spans="1:56" ht="15.75" hidden="1" customHeight="1" outlineLevel="1">
      <c r="A645" s="58">
        <v>635</v>
      </c>
      <c r="B645" s="11">
        <v>129635</v>
      </c>
      <c r="C645" s="89" t="s">
        <v>360</v>
      </c>
      <c r="D645" s="157">
        <v>36</v>
      </c>
      <c r="E645" s="12" t="s">
        <v>191</v>
      </c>
      <c r="F645" s="11" t="s">
        <v>246</v>
      </c>
      <c r="G645" s="18" t="s">
        <v>247</v>
      </c>
      <c r="H645" s="11" t="s">
        <v>248</v>
      </c>
      <c r="I645" s="87" t="s">
        <v>249</v>
      </c>
      <c r="J645" s="19" t="s">
        <v>139</v>
      </c>
      <c r="K645" s="17" t="s">
        <v>140</v>
      </c>
      <c r="L645" s="257">
        <v>0</v>
      </c>
      <c r="M645" s="70" t="s">
        <v>250</v>
      </c>
      <c r="N645" s="70">
        <v>100</v>
      </c>
      <c r="O645" s="258">
        <v>8</v>
      </c>
      <c r="P645" s="70" t="s">
        <v>251</v>
      </c>
      <c r="Q645" s="70" t="s">
        <v>233</v>
      </c>
      <c r="R645" s="70" t="s">
        <v>240</v>
      </c>
      <c r="S645" s="70" t="s">
        <v>240</v>
      </c>
      <c r="T645" s="70" t="s">
        <v>240</v>
      </c>
      <c r="U645" s="70" t="s">
        <v>1427</v>
      </c>
      <c r="V645" s="70" t="s">
        <v>240</v>
      </c>
      <c r="W645" s="12"/>
      <c r="X645" s="242">
        <v>0</v>
      </c>
      <c r="Y645" s="242">
        <v>0</v>
      </c>
      <c r="Z645" s="242">
        <v>69.069999999999993</v>
      </c>
      <c r="AA645" s="157" t="s">
        <v>252</v>
      </c>
      <c r="AB645" s="242">
        <v>69.069999999999993</v>
      </c>
      <c r="AC645" s="157" t="s">
        <v>252</v>
      </c>
      <c r="AD645" s="242">
        <v>69.069999999999993</v>
      </c>
      <c r="AE645" s="157" t="s">
        <v>252</v>
      </c>
      <c r="AF645" s="242">
        <v>69.069999999999993</v>
      </c>
      <c r="AG645" s="157" t="s">
        <v>252</v>
      </c>
      <c r="AH645" s="242">
        <v>69.069999999999993</v>
      </c>
      <c r="AI645" s="157" t="s">
        <v>252</v>
      </c>
      <c r="AJ645" s="242">
        <v>22.31</v>
      </c>
      <c r="AK645" s="242" t="s">
        <v>252</v>
      </c>
      <c r="AL645" s="242">
        <v>22.31</v>
      </c>
      <c r="AM645" s="242" t="s">
        <v>252</v>
      </c>
      <c r="AN645" s="242">
        <v>22.31</v>
      </c>
      <c r="AO645" s="242" t="s">
        <v>252</v>
      </c>
      <c r="AP645" s="242">
        <v>22.31</v>
      </c>
      <c r="AQ645" s="242" t="s">
        <v>252</v>
      </c>
      <c r="AR645" s="242">
        <v>51.04</v>
      </c>
      <c r="AS645" s="242" t="s">
        <v>252</v>
      </c>
      <c r="AT645" s="242">
        <v>65.78</v>
      </c>
      <c r="AU645" s="242" t="s">
        <v>252</v>
      </c>
      <c r="AV645" s="242">
        <v>90.4</v>
      </c>
      <c r="AW645" s="157" t="s">
        <v>252</v>
      </c>
      <c r="AX645" s="157">
        <v>641.80999999999995</v>
      </c>
      <c r="AY645" s="243">
        <v>0.23399999999999999</v>
      </c>
      <c r="AZ645" s="156" t="s">
        <v>253</v>
      </c>
      <c r="BA645" s="156" t="s">
        <v>254</v>
      </c>
      <c r="BB645" s="156">
        <v>0</v>
      </c>
      <c r="BC645" s="156" t="s">
        <v>1423</v>
      </c>
      <c r="BD645" s="3"/>
    </row>
    <row r="646" spans="1:56" ht="15.75" hidden="1" customHeight="1" outlineLevel="1">
      <c r="A646" s="58">
        <v>636</v>
      </c>
      <c r="B646" s="11">
        <v>129636</v>
      </c>
      <c r="C646" s="89" t="s">
        <v>360</v>
      </c>
      <c r="D646" s="157">
        <v>8</v>
      </c>
      <c r="E646" s="12" t="s">
        <v>211</v>
      </c>
      <c r="F646" s="11" t="s">
        <v>246</v>
      </c>
      <c r="G646" s="18" t="s">
        <v>247</v>
      </c>
      <c r="H646" s="11" t="s">
        <v>248</v>
      </c>
      <c r="I646" s="87" t="s">
        <v>249</v>
      </c>
      <c r="J646" s="19" t="s">
        <v>139</v>
      </c>
      <c r="K646" s="17" t="s">
        <v>140</v>
      </c>
      <c r="L646" s="257">
        <v>0</v>
      </c>
      <c r="M646" s="70" t="s">
        <v>250</v>
      </c>
      <c r="N646" s="70">
        <v>100</v>
      </c>
      <c r="O646" s="258">
        <v>8</v>
      </c>
      <c r="P646" s="70" t="s">
        <v>251</v>
      </c>
      <c r="Q646" s="70" t="s">
        <v>233</v>
      </c>
      <c r="R646" s="70" t="s">
        <v>240</v>
      </c>
      <c r="S646" s="70" t="s">
        <v>233</v>
      </c>
      <c r="T646" s="70" t="s">
        <v>233</v>
      </c>
      <c r="U646" s="70" t="s">
        <v>1427</v>
      </c>
      <c r="V646" s="70" t="s">
        <v>240</v>
      </c>
      <c r="W646" s="12"/>
      <c r="X646" s="242">
        <v>547.07000000000005</v>
      </c>
      <c r="Y646" s="242">
        <v>550.79999999999995</v>
      </c>
      <c r="Z646" s="242">
        <v>83.15</v>
      </c>
      <c r="AA646" s="157" t="s">
        <v>252</v>
      </c>
      <c r="AB646" s="242">
        <v>66.06</v>
      </c>
      <c r="AC646" s="157" t="s">
        <v>252</v>
      </c>
      <c r="AD646" s="242">
        <v>78.52</v>
      </c>
      <c r="AE646" s="157" t="s">
        <v>252</v>
      </c>
      <c r="AF646" s="242">
        <v>48.55</v>
      </c>
      <c r="AG646" s="157" t="s">
        <v>252</v>
      </c>
      <c r="AH646" s="242">
        <v>20.57</v>
      </c>
      <c r="AI646" s="157" t="s">
        <v>252</v>
      </c>
      <c r="AJ646" s="242">
        <v>4.05</v>
      </c>
      <c r="AK646" s="242" t="s">
        <v>252</v>
      </c>
      <c r="AL646" s="242">
        <v>5.04</v>
      </c>
      <c r="AM646" s="242" t="s">
        <v>252</v>
      </c>
      <c r="AN646" s="242">
        <v>5.2</v>
      </c>
      <c r="AO646" s="242" t="s">
        <v>252</v>
      </c>
      <c r="AP646" s="242">
        <v>6.02</v>
      </c>
      <c r="AQ646" s="242" t="s">
        <v>252</v>
      </c>
      <c r="AR646" s="242">
        <v>54.65</v>
      </c>
      <c r="AS646" s="242" t="s">
        <v>252</v>
      </c>
      <c r="AT646" s="242">
        <v>51.82</v>
      </c>
      <c r="AU646" s="242" t="s">
        <v>252</v>
      </c>
      <c r="AV646" s="242">
        <v>72.05</v>
      </c>
      <c r="AW646" s="157" t="s">
        <v>252</v>
      </c>
      <c r="AX646" s="157">
        <v>1593.5499999999997</v>
      </c>
      <c r="AY646" s="240">
        <v>0.26200000000000001</v>
      </c>
      <c r="AZ646" s="156" t="s">
        <v>253</v>
      </c>
      <c r="BA646" s="156" t="s">
        <v>254</v>
      </c>
      <c r="BB646" s="156">
        <v>0</v>
      </c>
      <c r="BC646" s="156" t="s">
        <v>1423</v>
      </c>
      <c r="BD646" s="3"/>
    </row>
    <row r="647" spans="1:56" ht="15.75" hidden="1" customHeight="1" outlineLevel="1">
      <c r="A647" s="58">
        <v>637</v>
      </c>
      <c r="B647" s="11">
        <v>129637</v>
      </c>
      <c r="C647" s="89" t="s">
        <v>361</v>
      </c>
      <c r="D647" s="157">
        <v>103</v>
      </c>
      <c r="E647" s="12" t="s">
        <v>191</v>
      </c>
      <c r="F647" s="11" t="s">
        <v>246</v>
      </c>
      <c r="G647" s="18" t="s">
        <v>247</v>
      </c>
      <c r="H647" s="11" t="s">
        <v>248</v>
      </c>
      <c r="I647" s="87" t="s">
        <v>249</v>
      </c>
      <c r="J647" s="19" t="s">
        <v>139</v>
      </c>
      <c r="K647" s="17" t="s">
        <v>140</v>
      </c>
      <c r="L647" s="257">
        <v>0</v>
      </c>
      <c r="M647" s="70" t="s">
        <v>250</v>
      </c>
      <c r="N647" s="70">
        <v>100</v>
      </c>
      <c r="O647" s="258">
        <v>8</v>
      </c>
      <c r="P647" s="70" t="s">
        <v>251</v>
      </c>
      <c r="Q647" s="70" t="s">
        <v>233</v>
      </c>
      <c r="R647" s="70" t="s">
        <v>240</v>
      </c>
      <c r="S647" s="70" t="s">
        <v>240</v>
      </c>
      <c r="T647" s="70" t="s">
        <v>240</v>
      </c>
      <c r="U647" s="70" t="s">
        <v>1427</v>
      </c>
      <c r="V647" s="70" t="s">
        <v>240</v>
      </c>
      <c r="W647" s="12"/>
      <c r="X647" s="242">
        <v>564.16</v>
      </c>
      <c r="Y647" s="242">
        <v>0</v>
      </c>
      <c r="Z647" s="242">
        <v>0</v>
      </c>
      <c r="AA647" s="157" t="s">
        <v>252</v>
      </c>
      <c r="AB647" s="242">
        <v>0</v>
      </c>
      <c r="AC647" s="157" t="s">
        <v>252</v>
      </c>
      <c r="AD647" s="242">
        <v>0</v>
      </c>
      <c r="AE647" s="157" t="s">
        <v>252</v>
      </c>
      <c r="AF647" s="242">
        <v>0</v>
      </c>
      <c r="AG647" s="157" t="s">
        <v>252</v>
      </c>
      <c r="AH647" s="242">
        <v>0</v>
      </c>
      <c r="AI647" s="157" t="s">
        <v>252</v>
      </c>
      <c r="AJ647" s="242">
        <v>0</v>
      </c>
      <c r="AK647" s="242" t="s">
        <v>252</v>
      </c>
      <c r="AL647" s="242">
        <v>0</v>
      </c>
      <c r="AM647" s="242" t="s">
        <v>252</v>
      </c>
      <c r="AN647" s="242">
        <v>0</v>
      </c>
      <c r="AO647" s="242" t="s">
        <v>252</v>
      </c>
      <c r="AP647" s="242">
        <v>15.43</v>
      </c>
      <c r="AQ647" s="242" t="s">
        <v>252</v>
      </c>
      <c r="AR647" s="242">
        <v>0</v>
      </c>
      <c r="AS647" s="242" t="s">
        <v>252</v>
      </c>
      <c r="AT647" s="242">
        <v>106.06</v>
      </c>
      <c r="AU647" s="242" t="s">
        <v>252</v>
      </c>
      <c r="AV647" s="242">
        <v>127.09</v>
      </c>
      <c r="AW647" s="157" t="s">
        <v>252</v>
      </c>
      <c r="AX647" s="157">
        <v>812.7399999999999</v>
      </c>
      <c r="AY647" s="240">
        <v>0.37</v>
      </c>
      <c r="AZ647" s="156" t="s">
        <v>253</v>
      </c>
      <c r="BA647" s="156" t="s">
        <v>254</v>
      </c>
      <c r="BB647" s="156">
        <v>0</v>
      </c>
      <c r="BC647" s="156" t="s">
        <v>1423</v>
      </c>
      <c r="BD647" s="3"/>
    </row>
    <row r="648" spans="1:56" ht="15.75" hidden="1" customHeight="1" outlineLevel="1">
      <c r="A648" s="58">
        <v>638</v>
      </c>
      <c r="B648" s="11">
        <v>129638</v>
      </c>
      <c r="C648" s="89" t="s">
        <v>361</v>
      </c>
      <c r="D648" s="157">
        <v>20</v>
      </c>
      <c r="E648" s="12" t="s">
        <v>191</v>
      </c>
      <c r="F648" s="11" t="s">
        <v>246</v>
      </c>
      <c r="G648" s="18" t="s">
        <v>247</v>
      </c>
      <c r="H648" s="11" t="s">
        <v>248</v>
      </c>
      <c r="I648" s="87" t="s">
        <v>249</v>
      </c>
      <c r="J648" s="19" t="s">
        <v>139</v>
      </c>
      <c r="K648" s="17" t="s">
        <v>140</v>
      </c>
      <c r="L648" s="260">
        <v>1</v>
      </c>
      <c r="M648" s="70" t="s">
        <v>250</v>
      </c>
      <c r="N648" s="70">
        <v>100</v>
      </c>
      <c r="O648" s="258">
        <v>8</v>
      </c>
      <c r="P648" s="70" t="s">
        <v>251</v>
      </c>
      <c r="Q648" s="70" t="s">
        <v>240</v>
      </c>
      <c r="R648" s="70" t="s">
        <v>240</v>
      </c>
      <c r="S648" s="70" t="s">
        <v>233</v>
      </c>
      <c r="T648" s="70" t="s">
        <v>233</v>
      </c>
      <c r="U648" s="70" t="s">
        <v>1427</v>
      </c>
      <c r="V648" s="70" t="s">
        <v>240</v>
      </c>
      <c r="W648" s="12"/>
      <c r="X648" s="242">
        <v>622.92000000000007</v>
      </c>
      <c r="Y648" s="242">
        <v>571.97</v>
      </c>
      <c r="Z648" s="242">
        <v>101.75</v>
      </c>
      <c r="AA648" s="157" t="s">
        <v>252</v>
      </c>
      <c r="AB648" s="242">
        <v>78.95</v>
      </c>
      <c r="AC648" s="157" t="s">
        <v>252</v>
      </c>
      <c r="AD648" s="242">
        <v>121.84</v>
      </c>
      <c r="AE648" s="157" t="s">
        <v>252</v>
      </c>
      <c r="AF648" s="242">
        <v>73.06</v>
      </c>
      <c r="AG648" s="157" t="s">
        <v>252</v>
      </c>
      <c r="AH648" s="242">
        <v>4.59</v>
      </c>
      <c r="AI648" s="157" t="s">
        <v>252</v>
      </c>
      <c r="AJ648" s="242">
        <v>0</v>
      </c>
      <c r="AK648" s="242" t="s">
        <v>252</v>
      </c>
      <c r="AL648" s="242">
        <v>0</v>
      </c>
      <c r="AM648" s="242" t="s">
        <v>252</v>
      </c>
      <c r="AN648" s="242">
        <v>1.1299999999999999</v>
      </c>
      <c r="AO648" s="242" t="s">
        <v>252</v>
      </c>
      <c r="AP648" s="242">
        <v>0</v>
      </c>
      <c r="AQ648" s="242" t="s">
        <v>252</v>
      </c>
      <c r="AR648" s="242">
        <v>74.92</v>
      </c>
      <c r="AS648" s="242" t="s">
        <v>252</v>
      </c>
      <c r="AT648" s="242">
        <v>68.84</v>
      </c>
      <c r="AU648" s="242" t="s">
        <v>252</v>
      </c>
      <c r="AV648" s="242">
        <v>70.158789999999996</v>
      </c>
      <c r="AW648" s="157" t="s">
        <v>259</v>
      </c>
      <c r="AX648" s="157">
        <v>1790.12879</v>
      </c>
      <c r="AY648" s="240">
        <v>0.28000000000000003</v>
      </c>
      <c r="AZ648" s="156" t="s">
        <v>253</v>
      </c>
      <c r="BA648" s="156" t="s">
        <v>254</v>
      </c>
      <c r="BB648" s="156">
        <v>2</v>
      </c>
      <c r="BC648" s="156" t="s">
        <v>1423</v>
      </c>
      <c r="BD648" s="3"/>
    </row>
    <row r="649" spans="1:56" ht="15.75" hidden="1" customHeight="1" outlineLevel="1">
      <c r="A649" s="58">
        <v>639</v>
      </c>
      <c r="B649" s="11">
        <v>129639</v>
      </c>
      <c r="C649" s="89" t="s">
        <v>361</v>
      </c>
      <c r="D649" s="157">
        <v>24</v>
      </c>
      <c r="E649" s="12" t="s">
        <v>191</v>
      </c>
      <c r="F649" s="11" t="s">
        <v>246</v>
      </c>
      <c r="G649" s="18" t="s">
        <v>247</v>
      </c>
      <c r="H649" s="11" t="s">
        <v>248</v>
      </c>
      <c r="I649" s="87" t="s">
        <v>249</v>
      </c>
      <c r="J649" s="19" t="s">
        <v>139</v>
      </c>
      <c r="K649" s="17" t="s">
        <v>140</v>
      </c>
      <c r="L649" s="257">
        <v>0</v>
      </c>
      <c r="M649" s="70" t="s">
        <v>250</v>
      </c>
      <c r="N649" s="70">
        <v>80</v>
      </c>
      <c r="O649" s="258">
        <v>8</v>
      </c>
      <c r="P649" s="70" t="s">
        <v>251</v>
      </c>
      <c r="Q649" s="70" t="s">
        <v>233</v>
      </c>
      <c r="R649" s="70" t="s">
        <v>240</v>
      </c>
      <c r="S649" s="70" t="s">
        <v>240</v>
      </c>
      <c r="T649" s="70" t="s">
        <v>240</v>
      </c>
      <c r="U649" s="70" t="s">
        <v>1427</v>
      </c>
      <c r="V649" s="70" t="s">
        <v>240</v>
      </c>
      <c r="W649" s="12"/>
      <c r="X649" s="242">
        <v>257.68</v>
      </c>
      <c r="Y649" s="242">
        <v>370.56</v>
      </c>
      <c r="Z649" s="242">
        <v>48.92</v>
      </c>
      <c r="AA649" s="157" t="s">
        <v>259</v>
      </c>
      <c r="AB649" s="242">
        <v>48.88</v>
      </c>
      <c r="AC649" s="157" t="s">
        <v>259</v>
      </c>
      <c r="AD649" s="242">
        <v>48.69</v>
      </c>
      <c r="AE649" s="157" t="s">
        <v>259</v>
      </c>
      <c r="AF649" s="242">
        <v>48.68</v>
      </c>
      <c r="AG649" s="157" t="s">
        <v>259</v>
      </c>
      <c r="AH649" s="242">
        <v>48.65</v>
      </c>
      <c r="AI649" s="157" t="s">
        <v>259</v>
      </c>
      <c r="AJ649" s="242">
        <v>5.6466700000000003</v>
      </c>
      <c r="AK649" s="242" t="s">
        <v>259</v>
      </c>
      <c r="AL649" s="242">
        <v>5.6466700000000003</v>
      </c>
      <c r="AM649" s="242" t="s">
        <v>259</v>
      </c>
      <c r="AN649" s="242">
        <v>5.6466700000000003</v>
      </c>
      <c r="AO649" s="242" t="s">
        <v>259</v>
      </c>
      <c r="AP649" s="242">
        <v>3.49</v>
      </c>
      <c r="AQ649" s="242" t="s">
        <v>259</v>
      </c>
      <c r="AR649" s="242">
        <v>46.27</v>
      </c>
      <c r="AS649" s="242" t="s">
        <v>259</v>
      </c>
      <c r="AT649" s="242">
        <v>46.26</v>
      </c>
      <c r="AU649" s="242" t="s">
        <v>259</v>
      </c>
      <c r="AV649" s="242">
        <v>46.27</v>
      </c>
      <c r="AW649" s="157" t="s">
        <v>259</v>
      </c>
      <c r="AX649" s="157">
        <v>1031.2900099999999</v>
      </c>
      <c r="AY649" s="240">
        <v>0.22900000000000001</v>
      </c>
      <c r="AZ649" s="156" t="s">
        <v>253</v>
      </c>
      <c r="BA649" s="156" t="s">
        <v>254</v>
      </c>
      <c r="BB649" s="157">
        <v>1</v>
      </c>
      <c r="BC649" s="156" t="s">
        <v>1423</v>
      </c>
      <c r="BD649" s="3"/>
    </row>
    <row r="650" spans="1:56" ht="15.75" hidden="1" customHeight="1" outlineLevel="1">
      <c r="A650" s="58">
        <v>640</v>
      </c>
      <c r="B650" s="11">
        <v>129640</v>
      </c>
      <c r="C650" s="89" t="s">
        <v>361</v>
      </c>
      <c r="D650" s="157">
        <v>49</v>
      </c>
      <c r="E650" s="12" t="s">
        <v>191</v>
      </c>
      <c r="F650" s="11" t="s">
        <v>246</v>
      </c>
      <c r="G650" s="18" t="s">
        <v>247</v>
      </c>
      <c r="H650" s="11" t="s">
        <v>248</v>
      </c>
      <c r="I650" s="87" t="s">
        <v>249</v>
      </c>
      <c r="J650" s="19" t="s">
        <v>139</v>
      </c>
      <c r="K650" s="17" t="s">
        <v>140</v>
      </c>
      <c r="L650" s="257">
        <v>0</v>
      </c>
      <c r="M650" s="70" t="s">
        <v>250</v>
      </c>
      <c r="N650" s="70">
        <v>100</v>
      </c>
      <c r="O650" s="258">
        <v>8</v>
      </c>
      <c r="P650" s="70" t="s">
        <v>251</v>
      </c>
      <c r="Q650" s="70" t="s">
        <v>233</v>
      </c>
      <c r="R650" s="70" t="s">
        <v>240</v>
      </c>
      <c r="S650" s="70" t="s">
        <v>233</v>
      </c>
      <c r="T650" s="70" t="s">
        <v>233</v>
      </c>
      <c r="U650" s="70" t="s">
        <v>1427</v>
      </c>
      <c r="V650" s="70" t="s">
        <v>240</v>
      </c>
      <c r="W650" s="12"/>
      <c r="X650" s="242">
        <v>889.87000000000012</v>
      </c>
      <c r="Y650" s="242">
        <v>848.04000000000019</v>
      </c>
      <c r="Z650" s="242">
        <v>151.97</v>
      </c>
      <c r="AA650" s="157" t="s">
        <v>252</v>
      </c>
      <c r="AB650" s="242">
        <v>90.25</v>
      </c>
      <c r="AC650" s="157" t="s">
        <v>252</v>
      </c>
      <c r="AD650" s="242">
        <v>155.51</v>
      </c>
      <c r="AE650" s="157" t="s">
        <v>252</v>
      </c>
      <c r="AF650" s="242">
        <v>87.12</v>
      </c>
      <c r="AG650" s="157" t="s">
        <v>252</v>
      </c>
      <c r="AH650" s="242">
        <v>40.729999999999997</v>
      </c>
      <c r="AI650" s="157" t="s">
        <v>252</v>
      </c>
      <c r="AJ650" s="242">
        <v>18.61</v>
      </c>
      <c r="AK650" s="242" t="s">
        <v>252</v>
      </c>
      <c r="AL650" s="242">
        <v>14.09</v>
      </c>
      <c r="AM650" s="242" t="s">
        <v>252</v>
      </c>
      <c r="AN650" s="242">
        <v>15.22</v>
      </c>
      <c r="AO650" s="242" t="s">
        <v>252</v>
      </c>
      <c r="AP650" s="242">
        <v>22.08</v>
      </c>
      <c r="AQ650" s="242" t="s">
        <v>252</v>
      </c>
      <c r="AR650" s="242">
        <v>79</v>
      </c>
      <c r="AS650" s="242" t="s">
        <v>252</v>
      </c>
      <c r="AT650" s="242">
        <v>80.55</v>
      </c>
      <c r="AU650" s="242" t="s">
        <v>252</v>
      </c>
      <c r="AV650" s="242">
        <v>104.56791</v>
      </c>
      <c r="AW650" s="157" t="s">
        <v>259</v>
      </c>
      <c r="AX650" s="157">
        <v>2597.6079100000006</v>
      </c>
      <c r="AY650" s="240">
        <v>0.36199999999999999</v>
      </c>
      <c r="AZ650" s="156" t="s">
        <v>253</v>
      </c>
      <c r="BA650" s="156" t="s">
        <v>254</v>
      </c>
      <c r="BB650" s="156">
        <v>0</v>
      </c>
      <c r="BC650" s="156" t="s">
        <v>1423</v>
      </c>
      <c r="BD650" s="3"/>
    </row>
    <row r="651" spans="1:56" ht="15.75" hidden="1" customHeight="1" outlineLevel="1">
      <c r="A651" s="58">
        <v>641</v>
      </c>
      <c r="B651" s="11">
        <v>129641</v>
      </c>
      <c r="C651" s="89" t="s">
        <v>361</v>
      </c>
      <c r="D651" s="157">
        <v>51</v>
      </c>
      <c r="E651" s="12" t="s">
        <v>191</v>
      </c>
      <c r="F651" s="11" t="s">
        <v>246</v>
      </c>
      <c r="G651" s="18" t="s">
        <v>247</v>
      </c>
      <c r="H651" s="11" t="s">
        <v>248</v>
      </c>
      <c r="I651" s="87" t="s">
        <v>249</v>
      </c>
      <c r="J651" s="19" t="s">
        <v>139</v>
      </c>
      <c r="K651" s="17" t="s">
        <v>140</v>
      </c>
      <c r="L651" s="260">
        <v>1</v>
      </c>
      <c r="M651" s="70" t="s">
        <v>250</v>
      </c>
      <c r="N651" s="70">
        <v>80</v>
      </c>
      <c r="O651" s="258">
        <v>8</v>
      </c>
      <c r="P651" s="70" t="s">
        <v>251</v>
      </c>
      <c r="Q651" s="70" t="s">
        <v>233</v>
      </c>
      <c r="R651" s="70" t="s">
        <v>240</v>
      </c>
      <c r="S651" s="70" t="s">
        <v>233</v>
      </c>
      <c r="T651" s="70" t="s">
        <v>233</v>
      </c>
      <c r="U651" s="70" t="s">
        <v>1427</v>
      </c>
      <c r="V651" s="70" t="s">
        <v>240</v>
      </c>
      <c r="W651" s="12"/>
      <c r="X651" s="242">
        <v>1062.5999999999999</v>
      </c>
      <c r="Y651" s="242">
        <v>1019.6600000000001</v>
      </c>
      <c r="Z651" s="242">
        <v>184.84</v>
      </c>
      <c r="AA651" s="157" t="s">
        <v>252</v>
      </c>
      <c r="AB651" s="242">
        <v>109.92</v>
      </c>
      <c r="AC651" s="157" t="s">
        <v>252</v>
      </c>
      <c r="AD651" s="242">
        <v>189.29</v>
      </c>
      <c r="AE651" s="157" t="s">
        <v>252</v>
      </c>
      <c r="AF651" s="242">
        <v>105.9</v>
      </c>
      <c r="AG651" s="157" t="s">
        <v>252</v>
      </c>
      <c r="AH651" s="242">
        <v>50.01</v>
      </c>
      <c r="AI651" s="157" t="s">
        <v>252</v>
      </c>
      <c r="AJ651" s="242">
        <v>19.36</v>
      </c>
      <c r="AK651" s="242" t="s">
        <v>252</v>
      </c>
      <c r="AL651" s="242">
        <v>14.82</v>
      </c>
      <c r="AM651" s="242" t="s">
        <v>252</v>
      </c>
      <c r="AN651" s="242">
        <v>16.059999999999999</v>
      </c>
      <c r="AO651" s="242" t="s">
        <v>252</v>
      </c>
      <c r="AP651" s="242">
        <v>23.78</v>
      </c>
      <c r="AQ651" s="242" t="s">
        <v>252</v>
      </c>
      <c r="AR651" s="242">
        <v>96.94</v>
      </c>
      <c r="AS651" s="242" t="s">
        <v>252</v>
      </c>
      <c r="AT651" s="242">
        <v>98.6</v>
      </c>
      <c r="AU651" s="242" t="s">
        <v>252</v>
      </c>
      <c r="AV651" s="242">
        <v>127.44467</v>
      </c>
      <c r="AW651" s="157" t="s">
        <v>259</v>
      </c>
      <c r="AX651" s="157">
        <v>3119.224670000001</v>
      </c>
      <c r="AY651" s="240">
        <v>0.44700000000000001</v>
      </c>
      <c r="AZ651" s="156" t="s">
        <v>253</v>
      </c>
      <c r="BA651" s="156" t="s">
        <v>254</v>
      </c>
      <c r="BB651" s="156">
        <v>1</v>
      </c>
      <c r="BC651" s="156" t="s">
        <v>1423</v>
      </c>
      <c r="BD651" s="3"/>
    </row>
    <row r="652" spans="1:56" ht="15.75" hidden="1" customHeight="1" outlineLevel="1">
      <c r="A652" s="58">
        <v>642</v>
      </c>
      <c r="B652" s="11">
        <v>129642</v>
      </c>
      <c r="C652" s="89" t="s">
        <v>361</v>
      </c>
      <c r="D652" s="157">
        <v>57</v>
      </c>
      <c r="E652" s="12" t="s">
        <v>191</v>
      </c>
      <c r="F652" s="11" t="s">
        <v>246</v>
      </c>
      <c r="G652" s="18" t="s">
        <v>247</v>
      </c>
      <c r="H652" s="11" t="s">
        <v>248</v>
      </c>
      <c r="I652" s="87" t="s">
        <v>249</v>
      </c>
      <c r="J652" s="19" t="s">
        <v>139</v>
      </c>
      <c r="K652" s="17" t="s">
        <v>140</v>
      </c>
      <c r="L652" s="257">
        <v>0</v>
      </c>
      <c r="M652" s="70" t="s">
        <v>250</v>
      </c>
      <c r="N652" s="70">
        <v>80</v>
      </c>
      <c r="O652" s="258">
        <v>8</v>
      </c>
      <c r="P652" s="70" t="s">
        <v>251</v>
      </c>
      <c r="Q652" s="70" t="s">
        <v>233</v>
      </c>
      <c r="R652" s="70" t="s">
        <v>240</v>
      </c>
      <c r="S652" s="70" t="s">
        <v>240</v>
      </c>
      <c r="T652" s="70" t="s">
        <v>240</v>
      </c>
      <c r="U652" s="70" t="s">
        <v>1427</v>
      </c>
      <c r="V652" s="70" t="s">
        <v>240</v>
      </c>
      <c r="W652" s="12"/>
      <c r="X652" s="242">
        <v>279.96999999999997</v>
      </c>
      <c r="Y652" s="242">
        <v>307.24</v>
      </c>
      <c r="Z652" s="242">
        <v>48.68</v>
      </c>
      <c r="AA652" s="157" t="s">
        <v>252</v>
      </c>
      <c r="AB652" s="242">
        <v>33.29</v>
      </c>
      <c r="AC652" s="157" t="s">
        <v>252</v>
      </c>
      <c r="AD652" s="242">
        <v>38.49</v>
      </c>
      <c r="AE652" s="157" t="s">
        <v>252</v>
      </c>
      <c r="AF652" s="242">
        <v>26.18</v>
      </c>
      <c r="AG652" s="157" t="s">
        <v>252</v>
      </c>
      <c r="AH652" s="242">
        <v>8.1300000000000008</v>
      </c>
      <c r="AI652" s="157" t="s">
        <v>252</v>
      </c>
      <c r="AJ652" s="242">
        <v>1.6</v>
      </c>
      <c r="AK652" s="242" t="s">
        <v>252</v>
      </c>
      <c r="AL652" s="242">
        <v>3.85</v>
      </c>
      <c r="AM652" s="242" t="s">
        <v>252</v>
      </c>
      <c r="AN652" s="242">
        <v>4.74</v>
      </c>
      <c r="AO652" s="242" t="s">
        <v>252</v>
      </c>
      <c r="AP652" s="242">
        <v>2.63</v>
      </c>
      <c r="AQ652" s="242" t="s">
        <v>252</v>
      </c>
      <c r="AR652" s="242">
        <v>22.62</v>
      </c>
      <c r="AS652" s="242" t="s">
        <v>252</v>
      </c>
      <c r="AT652" s="242">
        <v>23.01</v>
      </c>
      <c r="AU652" s="242" t="s">
        <v>252</v>
      </c>
      <c r="AV652" s="242">
        <v>29.11</v>
      </c>
      <c r="AW652" s="157" t="s">
        <v>252</v>
      </c>
      <c r="AX652" s="157">
        <v>829.54</v>
      </c>
      <c r="AY652" s="240">
        <v>0.12</v>
      </c>
      <c r="AZ652" s="156" t="s">
        <v>253</v>
      </c>
      <c r="BA652" s="156" t="s">
        <v>254</v>
      </c>
      <c r="BB652" s="157">
        <v>1</v>
      </c>
      <c r="BC652" s="156" t="s">
        <v>1423</v>
      </c>
      <c r="BD652" s="3"/>
    </row>
    <row r="653" spans="1:56" ht="15.75" hidden="1" customHeight="1" outlineLevel="1">
      <c r="A653" s="58">
        <v>643</v>
      </c>
      <c r="B653" s="11">
        <v>129643</v>
      </c>
      <c r="C653" s="89" t="s">
        <v>361</v>
      </c>
      <c r="D653" s="157">
        <v>59</v>
      </c>
      <c r="E653" s="12" t="s">
        <v>191</v>
      </c>
      <c r="F653" s="11" t="s">
        <v>246</v>
      </c>
      <c r="G653" s="18" t="s">
        <v>247</v>
      </c>
      <c r="H653" s="11" t="s">
        <v>248</v>
      </c>
      <c r="I653" s="87" t="s">
        <v>249</v>
      </c>
      <c r="J653" s="19" t="s">
        <v>139</v>
      </c>
      <c r="K653" s="17" t="s">
        <v>140</v>
      </c>
      <c r="L653" s="260">
        <v>1</v>
      </c>
      <c r="M653" s="70" t="s">
        <v>250</v>
      </c>
      <c r="N653" s="70">
        <v>100</v>
      </c>
      <c r="O653" s="258">
        <v>8</v>
      </c>
      <c r="P653" s="70" t="s">
        <v>251</v>
      </c>
      <c r="Q653" s="70" t="s">
        <v>233</v>
      </c>
      <c r="R653" s="70" t="s">
        <v>240</v>
      </c>
      <c r="S653" s="70" t="s">
        <v>233</v>
      </c>
      <c r="T653" s="70" t="s">
        <v>233</v>
      </c>
      <c r="U653" s="70" t="s">
        <v>1427</v>
      </c>
      <c r="V653" s="70" t="s">
        <v>240</v>
      </c>
      <c r="W653" s="12"/>
      <c r="X653" s="242">
        <v>454.03253848138286</v>
      </c>
      <c r="Y653" s="242">
        <v>361.79666738326586</v>
      </c>
      <c r="Z653" s="242">
        <v>59.985340957949951</v>
      </c>
      <c r="AA653" s="157" t="s">
        <v>252</v>
      </c>
      <c r="AB653" s="242">
        <v>41.461675982457649</v>
      </c>
      <c r="AC653" s="157" t="s">
        <v>252</v>
      </c>
      <c r="AD653" s="242">
        <v>49.050849170177997</v>
      </c>
      <c r="AE653" s="157" t="s">
        <v>252</v>
      </c>
      <c r="AF653" s="242">
        <v>31.24601298477943</v>
      </c>
      <c r="AG653" s="157" t="s">
        <v>252</v>
      </c>
      <c r="AH653" s="242">
        <v>11.925185312580616</v>
      </c>
      <c r="AI653" s="157" t="s">
        <v>252</v>
      </c>
      <c r="AJ653" s="242">
        <v>4.38669877031559</v>
      </c>
      <c r="AK653" s="242" t="s">
        <v>252</v>
      </c>
      <c r="AL653" s="242">
        <v>4.432777538911342</v>
      </c>
      <c r="AM653" s="242" t="s">
        <v>252</v>
      </c>
      <c r="AN653" s="242">
        <v>5.8289642273626274</v>
      </c>
      <c r="AO653" s="242" t="s">
        <v>252</v>
      </c>
      <c r="AP653" s="242">
        <v>3.1471798950898613</v>
      </c>
      <c r="AQ653" s="242" t="s">
        <v>252</v>
      </c>
      <c r="AR653" s="242">
        <v>46.544164158569096</v>
      </c>
      <c r="AS653" s="242" t="s">
        <v>259</v>
      </c>
      <c r="AT653" s="242">
        <v>40.399343796113165</v>
      </c>
      <c r="AU653" s="242" t="s">
        <v>259</v>
      </c>
      <c r="AV653" s="242">
        <v>42.704613902313177</v>
      </c>
      <c r="AW653" s="157" t="s">
        <v>259</v>
      </c>
      <c r="AX653" s="157">
        <v>1156.9420125612694</v>
      </c>
      <c r="AY653" s="240">
        <v>0.20228579413535125</v>
      </c>
      <c r="AZ653" s="156" t="s">
        <v>253</v>
      </c>
      <c r="BA653" s="156" t="s">
        <v>254</v>
      </c>
      <c r="BB653" s="156">
        <v>1</v>
      </c>
      <c r="BC653" s="156" t="s">
        <v>1423</v>
      </c>
      <c r="BD653" s="3"/>
    </row>
    <row r="654" spans="1:56" ht="15.75" hidden="1" customHeight="1" outlineLevel="1">
      <c r="A654" s="58">
        <v>644</v>
      </c>
      <c r="B654" s="11">
        <v>129644</v>
      </c>
      <c r="C654" s="89" t="s">
        <v>361</v>
      </c>
      <c r="D654" s="157">
        <v>59</v>
      </c>
      <c r="E654" s="12" t="s">
        <v>231</v>
      </c>
      <c r="F654" s="11" t="s">
        <v>246</v>
      </c>
      <c r="G654" s="18" t="s">
        <v>247</v>
      </c>
      <c r="H654" s="11" t="s">
        <v>248</v>
      </c>
      <c r="I654" s="87" t="s">
        <v>249</v>
      </c>
      <c r="J654" s="19" t="s">
        <v>139</v>
      </c>
      <c r="K654" s="17" t="s">
        <v>140</v>
      </c>
      <c r="L654" s="257">
        <v>0</v>
      </c>
      <c r="M654" s="70" t="s">
        <v>250</v>
      </c>
      <c r="N654" s="70">
        <v>100</v>
      </c>
      <c r="O654" s="258">
        <v>8</v>
      </c>
      <c r="P654" s="70" t="s">
        <v>251</v>
      </c>
      <c r="Q654" s="70" t="s">
        <v>233</v>
      </c>
      <c r="R654" s="70" t="s">
        <v>240</v>
      </c>
      <c r="S654" s="70" t="s">
        <v>233</v>
      </c>
      <c r="T654" s="70" t="s">
        <v>233</v>
      </c>
      <c r="U654" s="70" t="s">
        <v>1427</v>
      </c>
      <c r="V654" s="70" t="s">
        <v>240</v>
      </c>
      <c r="W654" s="12"/>
      <c r="X654" s="242">
        <v>531.30746151861729</v>
      </c>
      <c r="Y654" s="242">
        <v>423.37333261673388</v>
      </c>
      <c r="Z654" s="242">
        <v>70.194659042050048</v>
      </c>
      <c r="AA654" s="157" t="s">
        <v>252</v>
      </c>
      <c r="AB654" s="242">
        <v>48.518324017542348</v>
      </c>
      <c r="AC654" s="157" t="s">
        <v>252</v>
      </c>
      <c r="AD654" s="242">
        <v>57.399150829821991</v>
      </c>
      <c r="AE654" s="157" t="s">
        <v>252</v>
      </c>
      <c r="AF654" s="242">
        <v>36.563987015220569</v>
      </c>
      <c r="AG654" s="157" t="s">
        <v>252</v>
      </c>
      <c r="AH654" s="242">
        <v>13.954814687419381</v>
      </c>
      <c r="AI654" s="157" t="s">
        <v>252</v>
      </c>
      <c r="AJ654" s="242">
        <v>5.1333012296844087</v>
      </c>
      <c r="AK654" s="242" t="s">
        <v>252</v>
      </c>
      <c r="AL654" s="242">
        <v>5.1872224610886564</v>
      </c>
      <c r="AM654" s="242" t="s">
        <v>252</v>
      </c>
      <c r="AN654" s="242">
        <v>6.8210357726373712</v>
      </c>
      <c r="AO654" s="242" t="s">
        <v>252</v>
      </c>
      <c r="AP654" s="242">
        <v>3.6828201049101379</v>
      </c>
      <c r="AQ654" s="242" t="s">
        <v>252</v>
      </c>
      <c r="AR654" s="242">
        <v>54.465835841430902</v>
      </c>
      <c r="AS654" s="242" t="s">
        <v>259</v>
      </c>
      <c r="AT654" s="242">
        <v>47.275186203886832</v>
      </c>
      <c r="AU654" s="242" t="s">
        <v>259</v>
      </c>
      <c r="AV654" s="242">
        <v>49.972806097686806</v>
      </c>
      <c r="AW654" s="157" t="s">
        <v>259</v>
      </c>
      <c r="AX654" s="157">
        <v>1353.8499374387304</v>
      </c>
      <c r="AY654" s="243">
        <v>0.2367142058646487</v>
      </c>
      <c r="AZ654" s="156" t="s">
        <v>253</v>
      </c>
      <c r="BA654" s="156" t="s">
        <v>254</v>
      </c>
      <c r="BB654" s="156">
        <v>0</v>
      </c>
      <c r="BC654" s="156" t="s">
        <v>1423</v>
      </c>
      <c r="BD654" s="3"/>
    </row>
    <row r="655" spans="1:56" ht="15.75" hidden="1" customHeight="1" outlineLevel="1">
      <c r="A655" s="58">
        <v>645</v>
      </c>
      <c r="B655" s="11">
        <v>129645</v>
      </c>
      <c r="C655" s="89" t="s">
        <v>361</v>
      </c>
      <c r="D655" s="157">
        <v>61</v>
      </c>
      <c r="E655" s="12" t="s">
        <v>191</v>
      </c>
      <c r="F655" s="11" t="s">
        <v>246</v>
      </c>
      <c r="G655" s="18" t="s">
        <v>247</v>
      </c>
      <c r="H655" s="11" t="s">
        <v>248</v>
      </c>
      <c r="I655" s="87" t="s">
        <v>249</v>
      </c>
      <c r="J655" s="19" t="s">
        <v>139</v>
      </c>
      <c r="K655" s="17" t="s">
        <v>140</v>
      </c>
      <c r="L655" s="257">
        <v>0</v>
      </c>
      <c r="M655" s="70" t="s">
        <v>250</v>
      </c>
      <c r="N655" s="70">
        <v>80</v>
      </c>
      <c r="O655" s="258">
        <v>8</v>
      </c>
      <c r="P655" s="70" t="s">
        <v>251</v>
      </c>
      <c r="Q655" s="70" t="s">
        <v>240</v>
      </c>
      <c r="R655" s="70" t="s">
        <v>240</v>
      </c>
      <c r="S655" s="70" t="s">
        <v>233</v>
      </c>
      <c r="T655" s="70" t="s">
        <v>233</v>
      </c>
      <c r="U655" s="70" t="s">
        <v>1427</v>
      </c>
      <c r="V655" s="70" t="s">
        <v>240</v>
      </c>
      <c r="W655" s="12"/>
      <c r="X655" s="242">
        <v>527.49662544460807</v>
      </c>
      <c r="Y655" s="242">
        <v>549.09335211896621</v>
      </c>
      <c r="Z655" s="242">
        <v>123.66764188912579</v>
      </c>
      <c r="AA655" s="157" t="s">
        <v>252</v>
      </c>
      <c r="AB655" s="242">
        <v>65.402396072030498</v>
      </c>
      <c r="AC655" s="157" t="s">
        <v>252</v>
      </c>
      <c r="AD655" s="242">
        <v>95.207651086996975</v>
      </c>
      <c r="AE655" s="157" t="s">
        <v>252</v>
      </c>
      <c r="AF655" s="242">
        <v>68.455420842482468</v>
      </c>
      <c r="AG655" s="157" t="s">
        <v>252</v>
      </c>
      <c r="AH655" s="242">
        <v>13.83930489613849</v>
      </c>
      <c r="AI655" s="157" t="s">
        <v>252</v>
      </c>
      <c r="AJ655" s="242">
        <v>0</v>
      </c>
      <c r="AK655" s="242" t="s">
        <v>252</v>
      </c>
      <c r="AL655" s="242">
        <v>0.86193575313551718</v>
      </c>
      <c r="AM655" s="242" t="s">
        <v>252</v>
      </c>
      <c r="AN655" s="242">
        <v>0</v>
      </c>
      <c r="AO655" s="242" t="s">
        <v>252</v>
      </c>
      <c r="AP655" s="242">
        <v>0</v>
      </c>
      <c r="AQ655" s="242" t="s">
        <v>252</v>
      </c>
      <c r="AR655" s="242">
        <v>53.93945610276095</v>
      </c>
      <c r="AS655" s="242" t="s">
        <v>252</v>
      </c>
      <c r="AT655" s="242">
        <v>53.190296990222613</v>
      </c>
      <c r="AU655" s="242" t="s">
        <v>252</v>
      </c>
      <c r="AV655" s="242">
        <v>79.298089288467565</v>
      </c>
      <c r="AW655" s="157" t="s">
        <v>252</v>
      </c>
      <c r="AX655" s="157">
        <v>1630.4521704849351</v>
      </c>
      <c r="AY655" s="240">
        <v>0.21749780686597162</v>
      </c>
      <c r="AZ655" s="156" t="s">
        <v>253</v>
      </c>
      <c r="BA655" s="156" t="s">
        <v>254</v>
      </c>
      <c r="BB655" s="156">
        <v>0</v>
      </c>
      <c r="BC655" s="156" t="s">
        <v>1423</v>
      </c>
      <c r="BD655" s="3"/>
    </row>
    <row r="656" spans="1:56" ht="15.75" hidden="1" customHeight="1" outlineLevel="1">
      <c r="A656" s="58">
        <v>646</v>
      </c>
      <c r="B656" s="11">
        <v>129646</v>
      </c>
      <c r="C656" s="89" t="s">
        <v>361</v>
      </c>
      <c r="D656" s="157">
        <v>61</v>
      </c>
      <c r="E656" s="12" t="s">
        <v>231</v>
      </c>
      <c r="F656" s="11" t="s">
        <v>246</v>
      </c>
      <c r="G656" s="18" t="s">
        <v>247</v>
      </c>
      <c r="H656" s="11" t="s">
        <v>248</v>
      </c>
      <c r="I656" s="87" t="s">
        <v>249</v>
      </c>
      <c r="J656" s="19" t="s">
        <v>139</v>
      </c>
      <c r="K656" s="17" t="s">
        <v>140</v>
      </c>
      <c r="L656" s="257">
        <v>0</v>
      </c>
      <c r="M656" s="70" t="s">
        <v>250</v>
      </c>
      <c r="N656" s="70">
        <v>80</v>
      </c>
      <c r="O656" s="258">
        <v>8</v>
      </c>
      <c r="P656" s="70" t="s">
        <v>251</v>
      </c>
      <c r="Q656" s="70" t="s">
        <v>240</v>
      </c>
      <c r="R656" s="70" t="s">
        <v>240</v>
      </c>
      <c r="S656" s="70" t="s">
        <v>233</v>
      </c>
      <c r="T656" s="70" t="s">
        <v>233</v>
      </c>
      <c r="U656" s="70" t="s">
        <v>1427</v>
      </c>
      <c r="V656" s="70" t="s">
        <v>240</v>
      </c>
      <c r="W656" s="12"/>
      <c r="X656" s="242">
        <v>127.3333745553919</v>
      </c>
      <c r="Y656" s="242">
        <v>132.54664788103375</v>
      </c>
      <c r="Z656" s="242">
        <v>29.852358110874221</v>
      </c>
      <c r="AA656" s="157" t="s">
        <v>252</v>
      </c>
      <c r="AB656" s="242">
        <v>15.787603927969501</v>
      </c>
      <c r="AC656" s="157" t="s">
        <v>252</v>
      </c>
      <c r="AD656" s="242">
        <v>22.982348913003023</v>
      </c>
      <c r="AE656" s="157" t="s">
        <v>252</v>
      </c>
      <c r="AF656" s="242">
        <v>16.524579157517532</v>
      </c>
      <c r="AG656" s="157" t="s">
        <v>252</v>
      </c>
      <c r="AH656" s="242">
        <v>3.3406951038615107</v>
      </c>
      <c r="AI656" s="157" t="s">
        <v>252</v>
      </c>
      <c r="AJ656" s="242">
        <v>0</v>
      </c>
      <c r="AK656" s="242" t="s">
        <v>252</v>
      </c>
      <c r="AL656" s="242">
        <v>0.20806424686448291</v>
      </c>
      <c r="AM656" s="242" t="s">
        <v>252</v>
      </c>
      <c r="AN656" s="242">
        <v>0</v>
      </c>
      <c r="AO656" s="242" t="s">
        <v>252</v>
      </c>
      <c r="AP656" s="242">
        <v>0</v>
      </c>
      <c r="AQ656" s="242" t="s">
        <v>252</v>
      </c>
      <c r="AR656" s="242">
        <v>13.02054389723904</v>
      </c>
      <c r="AS656" s="242" t="s">
        <v>252</v>
      </c>
      <c r="AT656" s="242">
        <v>12.83970300977739</v>
      </c>
      <c r="AU656" s="242" t="s">
        <v>252</v>
      </c>
      <c r="AV656" s="242">
        <v>19.141910711532425</v>
      </c>
      <c r="AW656" s="157" t="s">
        <v>252</v>
      </c>
      <c r="AX656" s="157">
        <v>393.57782951506471</v>
      </c>
      <c r="AY656" s="243">
        <v>5.2502193134028402E-2</v>
      </c>
      <c r="AZ656" s="156" t="s">
        <v>253</v>
      </c>
      <c r="BA656" s="156" t="s">
        <v>254</v>
      </c>
      <c r="BB656" s="156">
        <v>0</v>
      </c>
      <c r="BC656" s="156" t="s">
        <v>1423</v>
      </c>
      <c r="BD656" s="3"/>
    </row>
    <row r="657" spans="1:56" ht="15.75" hidden="1" customHeight="1" outlineLevel="1">
      <c r="A657" s="58">
        <v>647</v>
      </c>
      <c r="B657" s="11">
        <v>129647</v>
      </c>
      <c r="C657" s="89" t="s">
        <v>361</v>
      </c>
      <c r="D657" s="157">
        <v>63</v>
      </c>
      <c r="E657" s="12" t="s">
        <v>191</v>
      </c>
      <c r="F657" s="11" t="s">
        <v>246</v>
      </c>
      <c r="G657" s="18" t="s">
        <v>247</v>
      </c>
      <c r="H657" s="11" t="s">
        <v>248</v>
      </c>
      <c r="I657" s="87" t="s">
        <v>249</v>
      </c>
      <c r="J657" s="19" t="s">
        <v>139</v>
      </c>
      <c r="K657" s="17" t="s">
        <v>140</v>
      </c>
      <c r="L657" s="260">
        <v>1</v>
      </c>
      <c r="M657" s="70" t="s">
        <v>250</v>
      </c>
      <c r="N657" s="70">
        <v>100</v>
      </c>
      <c r="O657" s="258">
        <v>8</v>
      </c>
      <c r="P657" s="70" t="s">
        <v>251</v>
      </c>
      <c r="Q657" s="70" t="s">
        <v>240</v>
      </c>
      <c r="R657" s="70" t="s">
        <v>240</v>
      </c>
      <c r="S657" s="70" t="s">
        <v>233</v>
      </c>
      <c r="T657" s="70" t="s">
        <v>233</v>
      </c>
      <c r="U657" s="70" t="s">
        <v>1427</v>
      </c>
      <c r="V657" s="70" t="s">
        <v>240</v>
      </c>
      <c r="W657" s="12"/>
      <c r="X657" s="242">
        <v>387.48454298026758</v>
      </c>
      <c r="Y657" s="242">
        <v>419.7896429381459</v>
      </c>
      <c r="Z657" s="242">
        <v>92.767712147231308</v>
      </c>
      <c r="AA657" s="157" t="s">
        <v>252</v>
      </c>
      <c r="AB657" s="242">
        <v>48.004487574117867</v>
      </c>
      <c r="AC657" s="157" t="s">
        <v>252</v>
      </c>
      <c r="AD657" s="242">
        <v>70.048148268152801</v>
      </c>
      <c r="AE657" s="157" t="s">
        <v>252</v>
      </c>
      <c r="AF657" s="242">
        <v>50.30870297767553</v>
      </c>
      <c r="AG657" s="157" t="s">
        <v>252</v>
      </c>
      <c r="AH657" s="242">
        <v>10.138547775653693</v>
      </c>
      <c r="AI657" s="157" t="s">
        <v>252</v>
      </c>
      <c r="AJ657" s="242">
        <v>0</v>
      </c>
      <c r="AK657" s="242" t="s">
        <v>252</v>
      </c>
      <c r="AL657" s="242">
        <v>0.82183682726889795</v>
      </c>
      <c r="AM657" s="242" t="s">
        <v>252</v>
      </c>
      <c r="AN657" s="242">
        <v>0</v>
      </c>
      <c r="AO657" s="242" t="s">
        <v>252</v>
      </c>
      <c r="AP657" s="242">
        <v>0</v>
      </c>
      <c r="AQ657" s="242" t="s">
        <v>252</v>
      </c>
      <c r="AR657" s="242">
        <v>39.78611930142889</v>
      </c>
      <c r="AS657" s="242" t="s">
        <v>252</v>
      </c>
      <c r="AT657" s="242">
        <v>39.094854680361593</v>
      </c>
      <c r="AU657" s="242" t="s">
        <v>252</v>
      </c>
      <c r="AV657" s="242">
        <v>58.296649710008744</v>
      </c>
      <c r="AW657" s="157" t="s">
        <v>252</v>
      </c>
      <c r="AX657" s="157">
        <v>1216.5412451803129</v>
      </c>
      <c r="AY657" s="240">
        <v>0.16129507824903605</v>
      </c>
      <c r="AZ657" s="156" t="s">
        <v>253</v>
      </c>
      <c r="BA657" s="156" t="s">
        <v>254</v>
      </c>
      <c r="BB657" s="156">
        <v>1</v>
      </c>
      <c r="BC657" s="156" t="s">
        <v>1423</v>
      </c>
      <c r="BD657" s="3"/>
    </row>
    <row r="658" spans="1:56" ht="15.75" hidden="1" customHeight="1" outlineLevel="1">
      <c r="A658" s="58">
        <v>648</v>
      </c>
      <c r="B658" s="11">
        <v>129648</v>
      </c>
      <c r="C658" s="89" t="s">
        <v>361</v>
      </c>
      <c r="D658" s="157">
        <v>63</v>
      </c>
      <c r="E658" s="12" t="s">
        <v>231</v>
      </c>
      <c r="F658" s="11" t="s">
        <v>246</v>
      </c>
      <c r="G658" s="18" t="s">
        <v>247</v>
      </c>
      <c r="H658" s="11" t="s">
        <v>248</v>
      </c>
      <c r="I658" s="87" t="s">
        <v>249</v>
      </c>
      <c r="J658" s="19" t="s">
        <v>139</v>
      </c>
      <c r="K658" s="17" t="s">
        <v>140</v>
      </c>
      <c r="L658" s="257">
        <v>0</v>
      </c>
      <c r="M658" s="70" t="s">
        <v>250</v>
      </c>
      <c r="N658" s="70">
        <v>100</v>
      </c>
      <c r="O658" s="258">
        <v>8</v>
      </c>
      <c r="P658" s="70" t="s">
        <v>251</v>
      </c>
      <c r="Q658" s="70" t="s">
        <v>240</v>
      </c>
      <c r="R658" s="70" t="s">
        <v>240</v>
      </c>
      <c r="S658" s="70" t="s">
        <v>233</v>
      </c>
      <c r="T658" s="70" t="s">
        <v>233</v>
      </c>
      <c r="U658" s="70" t="s">
        <v>1427</v>
      </c>
      <c r="V658" s="70" t="s">
        <v>240</v>
      </c>
      <c r="W658" s="12"/>
      <c r="X658" s="242">
        <v>117.00545701973236</v>
      </c>
      <c r="Y658" s="242">
        <v>126.76035706185398</v>
      </c>
      <c r="Z658" s="242">
        <v>28.012287852768686</v>
      </c>
      <c r="AA658" s="157" t="s">
        <v>252</v>
      </c>
      <c r="AB658" s="242">
        <v>14.495512425882124</v>
      </c>
      <c r="AC658" s="157" t="s">
        <v>252</v>
      </c>
      <c r="AD658" s="242">
        <v>21.151851731847195</v>
      </c>
      <c r="AE658" s="157" t="s">
        <v>252</v>
      </c>
      <c r="AF658" s="242">
        <v>15.191297022324465</v>
      </c>
      <c r="AG658" s="157" t="s">
        <v>252</v>
      </c>
      <c r="AH658" s="242">
        <v>3.0614522243463043</v>
      </c>
      <c r="AI658" s="157" t="s">
        <v>252</v>
      </c>
      <c r="AJ658" s="242">
        <v>0</v>
      </c>
      <c r="AK658" s="242" t="s">
        <v>252</v>
      </c>
      <c r="AL658" s="242">
        <v>0.24816317273110197</v>
      </c>
      <c r="AM658" s="242" t="s">
        <v>252</v>
      </c>
      <c r="AN658" s="242">
        <v>0</v>
      </c>
      <c r="AO658" s="242" t="s">
        <v>252</v>
      </c>
      <c r="AP658" s="242">
        <v>0</v>
      </c>
      <c r="AQ658" s="242" t="s">
        <v>252</v>
      </c>
      <c r="AR658" s="242">
        <v>12.013880698571104</v>
      </c>
      <c r="AS658" s="242" t="s">
        <v>252</v>
      </c>
      <c r="AT658" s="242">
        <v>11.805145319638401</v>
      </c>
      <c r="AU658" s="242" t="s">
        <v>252</v>
      </c>
      <c r="AV658" s="242">
        <v>17.603350289991251</v>
      </c>
      <c r="AW658" s="157" t="s">
        <v>252</v>
      </c>
      <c r="AX658" s="157">
        <v>367.34875481968697</v>
      </c>
      <c r="AY658" s="243">
        <v>4.8704921750963935E-2</v>
      </c>
      <c r="AZ658" s="156" t="s">
        <v>253</v>
      </c>
      <c r="BA658" s="156" t="s">
        <v>254</v>
      </c>
      <c r="BB658" s="156">
        <v>0</v>
      </c>
      <c r="BC658" s="156" t="s">
        <v>1423</v>
      </c>
      <c r="BD658" s="3"/>
    </row>
    <row r="659" spans="1:56" ht="15.75" hidden="1" customHeight="1" outlineLevel="1">
      <c r="A659" s="58">
        <v>649</v>
      </c>
      <c r="B659" s="11">
        <v>129649</v>
      </c>
      <c r="C659" s="89" t="s">
        <v>361</v>
      </c>
      <c r="D659" s="157" t="s">
        <v>362</v>
      </c>
      <c r="E659" s="12" t="s">
        <v>191</v>
      </c>
      <c r="F659" s="11" t="s">
        <v>246</v>
      </c>
      <c r="G659" s="18" t="s">
        <v>247</v>
      </c>
      <c r="H659" s="11" t="s">
        <v>248</v>
      </c>
      <c r="I659" s="87" t="s">
        <v>249</v>
      </c>
      <c r="J659" s="19" t="s">
        <v>139</v>
      </c>
      <c r="K659" s="17" t="s">
        <v>140</v>
      </c>
      <c r="L659" s="260">
        <v>2</v>
      </c>
      <c r="M659" s="70" t="s">
        <v>250</v>
      </c>
      <c r="N659" s="70">
        <v>80</v>
      </c>
      <c r="O659" s="258">
        <v>8</v>
      </c>
      <c r="P659" s="70" t="s">
        <v>251</v>
      </c>
      <c r="Q659" s="70" t="s">
        <v>233</v>
      </c>
      <c r="R659" s="70" t="s">
        <v>240</v>
      </c>
      <c r="S659" s="70" t="s">
        <v>233</v>
      </c>
      <c r="T659" s="70" t="s">
        <v>233</v>
      </c>
      <c r="U659" s="70" t="s">
        <v>1427</v>
      </c>
      <c r="V659" s="70" t="s">
        <v>240</v>
      </c>
      <c r="W659" s="12"/>
      <c r="X659" s="242">
        <v>2691.7300000000005</v>
      </c>
      <c r="Y659" s="242">
        <v>2618.6799999999994</v>
      </c>
      <c r="Z659" s="242">
        <v>352.37</v>
      </c>
      <c r="AA659" s="157" t="s">
        <v>252</v>
      </c>
      <c r="AB659" s="242">
        <v>244.16</v>
      </c>
      <c r="AC659" s="157" t="s">
        <v>252</v>
      </c>
      <c r="AD659" s="242">
        <v>558.53</v>
      </c>
      <c r="AE659" s="157" t="s">
        <v>252</v>
      </c>
      <c r="AF659" s="242">
        <v>254.44</v>
      </c>
      <c r="AG659" s="157" t="s">
        <v>252</v>
      </c>
      <c r="AH659" s="242">
        <v>83.58</v>
      </c>
      <c r="AI659" s="157" t="s">
        <v>252</v>
      </c>
      <c r="AJ659" s="242">
        <v>33.450000000000003</v>
      </c>
      <c r="AK659" s="242" t="s">
        <v>252</v>
      </c>
      <c r="AL659" s="242">
        <v>29.16</v>
      </c>
      <c r="AM659" s="242" t="s">
        <v>252</v>
      </c>
      <c r="AN659" s="242">
        <v>34.22</v>
      </c>
      <c r="AO659" s="242" t="s">
        <v>252</v>
      </c>
      <c r="AP659" s="242">
        <v>33.53</v>
      </c>
      <c r="AQ659" s="242" t="s">
        <v>252</v>
      </c>
      <c r="AR659" s="242">
        <v>239.35</v>
      </c>
      <c r="AS659" s="242" t="s">
        <v>252</v>
      </c>
      <c r="AT659" s="242">
        <v>244.62</v>
      </c>
      <c r="AU659" s="242" t="s">
        <v>252</v>
      </c>
      <c r="AV659" s="242">
        <v>325.24</v>
      </c>
      <c r="AW659" s="157" t="s">
        <v>252</v>
      </c>
      <c r="AX659" s="157">
        <v>7743.0599999999986</v>
      </c>
      <c r="AY659" s="240">
        <v>0.95599999999999996</v>
      </c>
      <c r="AZ659" s="156" t="s">
        <v>253</v>
      </c>
      <c r="BA659" s="156" t="s">
        <v>254</v>
      </c>
      <c r="BB659" s="156">
        <v>2</v>
      </c>
      <c r="BC659" s="157" t="s">
        <v>255</v>
      </c>
      <c r="BD659" s="3"/>
    </row>
    <row r="660" spans="1:56" ht="15.75" hidden="1" customHeight="1" outlineLevel="1">
      <c r="A660" s="58">
        <v>650</v>
      </c>
      <c r="B660" s="11">
        <v>129650</v>
      </c>
      <c r="C660" s="89" t="s">
        <v>361</v>
      </c>
      <c r="D660" s="157">
        <v>75</v>
      </c>
      <c r="E660" s="12" t="s">
        <v>191</v>
      </c>
      <c r="F660" s="11" t="s">
        <v>246</v>
      </c>
      <c r="G660" s="18" t="s">
        <v>247</v>
      </c>
      <c r="H660" s="11" t="s">
        <v>248</v>
      </c>
      <c r="I660" s="87" t="s">
        <v>249</v>
      </c>
      <c r="J660" s="19" t="s">
        <v>139</v>
      </c>
      <c r="K660" s="17" t="s">
        <v>140</v>
      </c>
      <c r="L660" s="257">
        <v>0</v>
      </c>
      <c r="M660" s="70" t="s">
        <v>250</v>
      </c>
      <c r="N660" s="70">
        <v>100</v>
      </c>
      <c r="O660" s="258">
        <v>8</v>
      </c>
      <c r="P660" s="70" t="s">
        <v>251</v>
      </c>
      <c r="Q660" s="70" t="s">
        <v>233</v>
      </c>
      <c r="R660" s="70" t="s">
        <v>240</v>
      </c>
      <c r="S660" s="70" t="s">
        <v>233</v>
      </c>
      <c r="T660" s="70" t="s">
        <v>233</v>
      </c>
      <c r="U660" s="70" t="s">
        <v>1427</v>
      </c>
      <c r="V660" s="70" t="s">
        <v>240</v>
      </c>
      <c r="W660" s="12"/>
      <c r="X660" s="242">
        <v>599.65</v>
      </c>
      <c r="Y660" s="242">
        <v>553.32000000000005</v>
      </c>
      <c r="Z660" s="242">
        <v>62.15</v>
      </c>
      <c r="AA660" s="157" t="s">
        <v>259</v>
      </c>
      <c r="AB660" s="242">
        <v>61.7</v>
      </c>
      <c r="AC660" s="157" t="s">
        <v>259</v>
      </c>
      <c r="AD660" s="242">
        <v>61.97</v>
      </c>
      <c r="AE660" s="157" t="s">
        <v>259</v>
      </c>
      <c r="AF660" s="242">
        <v>61.09</v>
      </c>
      <c r="AG660" s="157" t="s">
        <v>259</v>
      </c>
      <c r="AH660" s="242">
        <v>61.25</v>
      </c>
      <c r="AI660" s="157" t="s">
        <v>259</v>
      </c>
      <c r="AJ660" s="242">
        <v>12.29</v>
      </c>
      <c r="AK660" s="242" t="s">
        <v>259</v>
      </c>
      <c r="AL660" s="242">
        <v>12.29</v>
      </c>
      <c r="AM660" s="242" t="s">
        <v>259</v>
      </c>
      <c r="AN660" s="242">
        <v>12.29</v>
      </c>
      <c r="AO660" s="242" t="s">
        <v>259</v>
      </c>
      <c r="AP660" s="242">
        <v>14.022500000000001</v>
      </c>
      <c r="AQ660" s="242" t="s">
        <v>259</v>
      </c>
      <c r="AR660" s="242">
        <v>54.19</v>
      </c>
      <c r="AS660" s="242" t="s">
        <v>259</v>
      </c>
      <c r="AT660" s="242">
        <v>54.68</v>
      </c>
      <c r="AU660" s="242" t="s">
        <v>259</v>
      </c>
      <c r="AV660" s="242">
        <v>61.25</v>
      </c>
      <c r="AW660" s="157" t="s">
        <v>252</v>
      </c>
      <c r="AX660" s="157">
        <v>1682.1425000000002</v>
      </c>
      <c r="AY660" s="240">
        <v>0.252</v>
      </c>
      <c r="AZ660" s="156" t="s">
        <v>253</v>
      </c>
      <c r="BA660" s="156" t="s">
        <v>254</v>
      </c>
      <c r="BB660" s="156">
        <v>0</v>
      </c>
      <c r="BC660" s="156" t="s">
        <v>1423</v>
      </c>
      <c r="BD660" s="3"/>
    </row>
    <row r="661" spans="1:56" ht="15.75" hidden="1" customHeight="1" outlineLevel="1">
      <c r="A661" s="58">
        <v>651</v>
      </c>
      <c r="B661" s="11">
        <v>129651</v>
      </c>
      <c r="C661" s="89" t="s">
        <v>361</v>
      </c>
      <c r="D661" s="157">
        <v>81</v>
      </c>
      <c r="E661" s="12" t="s">
        <v>191</v>
      </c>
      <c r="F661" s="11" t="s">
        <v>246</v>
      </c>
      <c r="G661" s="18" t="s">
        <v>247</v>
      </c>
      <c r="H661" s="11" t="s">
        <v>248</v>
      </c>
      <c r="I661" s="87" t="s">
        <v>249</v>
      </c>
      <c r="J661" s="19" t="s">
        <v>139</v>
      </c>
      <c r="K661" s="17" t="s">
        <v>140</v>
      </c>
      <c r="L661" s="257">
        <v>0</v>
      </c>
      <c r="M661" s="70" t="s">
        <v>250</v>
      </c>
      <c r="N661" s="70">
        <v>100</v>
      </c>
      <c r="O661" s="258">
        <v>8</v>
      </c>
      <c r="P661" s="70" t="s">
        <v>251</v>
      </c>
      <c r="Q661" s="70" t="s">
        <v>233</v>
      </c>
      <c r="R661" s="70" t="s">
        <v>240</v>
      </c>
      <c r="S661" s="70" t="s">
        <v>233</v>
      </c>
      <c r="T661" s="70" t="s">
        <v>233</v>
      </c>
      <c r="U661" s="70" t="s">
        <v>1427</v>
      </c>
      <c r="V661" s="70" t="s">
        <v>240</v>
      </c>
      <c r="W661" s="12"/>
      <c r="X661" s="242">
        <v>254.19081999999997</v>
      </c>
      <c r="Y661" s="242">
        <v>244.82540999999998</v>
      </c>
      <c r="Z661" s="242">
        <v>39.973770000000002</v>
      </c>
      <c r="AA661" s="157" t="s">
        <v>252</v>
      </c>
      <c r="AB661" s="242">
        <v>31.976939999999999</v>
      </c>
      <c r="AC661" s="157" t="s">
        <v>252</v>
      </c>
      <c r="AD661" s="242">
        <v>41.546750000000003</v>
      </c>
      <c r="AE661" s="157" t="s">
        <v>252</v>
      </c>
      <c r="AF661" s="242">
        <v>20.753969999999999</v>
      </c>
      <c r="AG661" s="157" t="s">
        <v>252</v>
      </c>
      <c r="AH661" s="242">
        <v>7.5544200000000004</v>
      </c>
      <c r="AI661" s="157" t="s">
        <v>252</v>
      </c>
      <c r="AJ661" s="242">
        <v>3.0813000000000001</v>
      </c>
      <c r="AK661" s="242" t="s">
        <v>252</v>
      </c>
      <c r="AL661" s="242">
        <v>2.4758900000000001</v>
      </c>
      <c r="AM661" s="242" t="s">
        <v>252</v>
      </c>
      <c r="AN661" s="242">
        <v>3.0632000000000001</v>
      </c>
      <c r="AO661" s="242" t="s">
        <v>252</v>
      </c>
      <c r="AP661" s="242">
        <v>3.5857600000000001</v>
      </c>
      <c r="AQ661" s="242" t="s">
        <v>252</v>
      </c>
      <c r="AR661" s="242">
        <v>19.995940000000001</v>
      </c>
      <c r="AS661" s="242" t="s">
        <v>252</v>
      </c>
      <c r="AT661" s="242">
        <v>23.762799999999999</v>
      </c>
      <c r="AU661" s="242" t="s">
        <v>252</v>
      </c>
      <c r="AV661" s="242">
        <v>25.925640000000001</v>
      </c>
      <c r="AW661" s="157" t="s">
        <v>252</v>
      </c>
      <c r="AX661" s="157">
        <v>722.71261000000027</v>
      </c>
      <c r="AY661" s="243">
        <v>0.42</v>
      </c>
      <c r="AZ661" s="156" t="s">
        <v>253</v>
      </c>
      <c r="BA661" s="156" t="s">
        <v>254</v>
      </c>
      <c r="BB661" s="156">
        <v>0</v>
      </c>
      <c r="BC661" s="156" t="s">
        <v>1423</v>
      </c>
      <c r="BD661" s="3"/>
    </row>
    <row r="662" spans="1:56" ht="15.75" hidden="1" customHeight="1" outlineLevel="1">
      <c r="A662" s="58">
        <v>652</v>
      </c>
      <c r="B662" s="11">
        <v>129652</v>
      </c>
      <c r="C662" s="89" t="s">
        <v>361</v>
      </c>
      <c r="D662" s="157" t="s">
        <v>363</v>
      </c>
      <c r="E662" s="12" t="s">
        <v>260</v>
      </c>
      <c r="F662" s="11" t="s">
        <v>246</v>
      </c>
      <c r="G662" s="18" t="s">
        <v>247</v>
      </c>
      <c r="H662" s="11" t="s">
        <v>248</v>
      </c>
      <c r="I662" s="87" t="s">
        <v>249</v>
      </c>
      <c r="J662" s="19" t="s">
        <v>139</v>
      </c>
      <c r="K662" s="17" t="s">
        <v>140</v>
      </c>
      <c r="L662" s="257">
        <v>0</v>
      </c>
      <c r="M662" s="70" t="s">
        <v>250</v>
      </c>
      <c r="N662" s="70">
        <v>100</v>
      </c>
      <c r="O662" s="258">
        <v>8</v>
      </c>
      <c r="P662" s="70" t="s">
        <v>251</v>
      </c>
      <c r="Q662" s="70" t="s">
        <v>233</v>
      </c>
      <c r="R662" s="70" t="s">
        <v>240</v>
      </c>
      <c r="S662" s="70" t="s">
        <v>233</v>
      </c>
      <c r="T662" s="70" t="s">
        <v>233</v>
      </c>
      <c r="U662" s="70" t="s">
        <v>1427</v>
      </c>
      <c r="V662" s="70" t="s">
        <v>240</v>
      </c>
      <c r="W662" s="12"/>
      <c r="X662" s="242">
        <v>1212.4600000000003</v>
      </c>
      <c r="Y662" s="242">
        <v>1133.94</v>
      </c>
      <c r="Z662" s="242">
        <v>167.66</v>
      </c>
      <c r="AA662" s="157" t="s">
        <v>252</v>
      </c>
      <c r="AB662" s="242">
        <v>90.36</v>
      </c>
      <c r="AC662" s="157" t="s">
        <v>252</v>
      </c>
      <c r="AD662" s="242">
        <v>84.42</v>
      </c>
      <c r="AE662" s="157" t="s">
        <v>252</v>
      </c>
      <c r="AF662" s="242">
        <v>55.82</v>
      </c>
      <c r="AG662" s="157" t="s">
        <v>252</v>
      </c>
      <c r="AH662" s="242">
        <v>45.5</v>
      </c>
      <c r="AI662" s="157" t="s">
        <v>252</v>
      </c>
      <c r="AJ662" s="242">
        <v>20.56</v>
      </c>
      <c r="AK662" s="242" t="s">
        <v>252</v>
      </c>
      <c r="AL662" s="242">
        <v>13.66</v>
      </c>
      <c r="AM662" s="242" t="s">
        <v>252</v>
      </c>
      <c r="AN662" s="242">
        <v>17.010000000000002</v>
      </c>
      <c r="AO662" s="242" t="s">
        <v>252</v>
      </c>
      <c r="AP662" s="242">
        <v>19.32</v>
      </c>
      <c r="AQ662" s="242" t="s">
        <v>252</v>
      </c>
      <c r="AR662" s="242">
        <v>112.33</v>
      </c>
      <c r="AS662" s="242" t="s">
        <v>252</v>
      </c>
      <c r="AT662" s="242">
        <v>127.03</v>
      </c>
      <c r="AU662" s="242" t="s">
        <v>259</v>
      </c>
      <c r="AV662" s="242">
        <v>109.1819</v>
      </c>
      <c r="AW662" s="157" t="s">
        <v>259</v>
      </c>
      <c r="AX662" s="157">
        <v>3209.2519000000011</v>
      </c>
      <c r="AY662" s="240">
        <v>0.51</v>
      </c>
      <c r="AZ662" s="156" t="s">
        <v>253</v>
      </c>
      <c r="BA662" s="156" t="s">
        <v>254</v>
      </c>
      <c r="BB662" s="156">
        <v>0</v>
      </c>
      <c r="BC662" s="156" t="s">
        <v>1423</v>
      </c>
      <c r="BD662" s="3"/>
    </row>
    <row r="663" spans="1:56" ht="15.75" hidden="1" customHeight="1" outlineLevel="1">
      <c r="A663" s="58">
        <v>653</v>
      </c>
      <c r="B663" s="11">
        <v>129653</v>
      </c>
      <c r="C663" s="89" t="s">
        <v>361</v>
      </c>
      <c r="D663" s="157">
        <v>93</v>
      </c>
      <c r="E663" s="12" t="s">
        <v>191</v>
      </c>
      <c r="F663" s="11" t="s">
        <v>246</v>
      </c>
      <c r="G663" s="18" t="s">
        <v>247</v>
      </c>
      <c r="H663" s="11" t="s">
        <v>248</v>
      </c>
      <c r="I663" s="87" t="s">
        <v>249</v>
      </c>
      <c r="J663" s="19" t="s">
        <v>139</v>
      </c>
      <c r="K663" s="17" t="s">
        <v>140</v>
      </c>
      <c r="L663" s="260">
        <v>1</v>
      </c>
      <c r="M663" s="70" t="s">
        <v>250</v>
      </c>
      <c r="N663" s="70">
        <v>100</v>
      </c>
      <c r="O663" s="258">
        <v>8</v>
      </c>
      <c r="P663" s="70" t="s">
        <v>251</v>
      </c>
      <c r="Q663" s="70" t="s">
        <v>233</v>
      </c>
      <c r="R663" s="70" t="s">
        <v>240</v>
      </c>
      <c r="S663" s="70" t="s">
        <v>233</v>
      </c>
      <c r="T663" s="70" t="s">
        <v>233</v>
      </c>
      <c r="U663" s="70" t="s">
        <v>1427</v>
      </c>
      <c r="V663" s="70" t="s">
        <v>240</v>
      </c>
      <c r="W663" s="12"/>
      <c r="X663" s="242">
        <v>648.83000000000004</v>
      </c>
      <c r="Y663" s="242">
        <v>661.18000000000006</v>
      </c>
      <c r="Z663" s="242">
        <v>105.4</v>
      </c>
      <c r="AA663" s="157" t="s">
        <v>252</v>
      </c>
      <c r="AB663" s="242">
        <v>82.25</v>
      </c>
      <c r="AC663" s="157" t="s">
        <v>252</v>
      </c>
      <c r="AD663" s="242">
        <v>108.78</v>
      </c>
      <c r="AE663" s="157" t="s">
        <v>252</v>
      </c>
      <c r="AF663" s="242">
        <v>54.76</v>
      </c>
      <c r="AG663" s="157" t="s">
        <v>252</v>
      </c>
      <c r="AH663" s="242">
        <v>31.2</v>
      </c>
      <c r="AI663" s="157" t="s">
        <v>252</v>
      </c>
      <c r="AJ663" s="242">
        <v>11.29</v>
      </c>
      <c r="AK663" s="242" t="s">
        <v>252</v>
      </c>
      <c r="AL663" s="242">
        <v>7.54</v>
      </c>
      <c r="AM663" s="242" t="s">
        <v>252</v>
      </c>
      <c r="AN663" s="242">
        <v>9.24</v>
      </c>
      <c r="AO663" s="242" t="s">
        <v>252</v>
      </c>
      <c r="AP663" s="242">
        <v>11.9</v>
      </c>
      <c r="AQ663" s="242" t="s">
        <v>252</v>
      </c>
      <c r="AR663" s="242">
        <v>62.79</v>
      </c>
      <c r="AS663" s="242" t="s">
        <v>252</v>
      </c>
      <c r="AT663" s="242">
        <v>62.82</v>
      </c>
      <c r="AU663" s="242" t="s">
        <v>252</v>
      </c>
      <c r="AV663" s="242">
        <v>83</v>
      </c>
      <c r="AW663" s="157" t="s">
        <v>252</v>
      </c>
      <c r="AX663" s="157">
        <v>1940.9800000000002</v>
      </c>
      <c r="AY663" s="240">
        <v>0.27200000000000002</v>
      </c>
      <c r="AZ663" s="156" t="s">
        <v>253</v>
      </c>
      <c r="BA663" s="156" t="s">
        <v>254</v>
      </c>
      <c r="BB663" s="156">
        <v>0</v>
      </c>
      <c r="BC663" s="156" t="s">
        <v>1423</v>
      </c>
      <c r="BD663" s="3"/>
    </row>
    <row r="664" spans="1:56" ht="15.75" hidden="1" customHeight="1" outlineLevel="1">
      <c r="A664" s="58">
        <v>654</v>
      </c>
      <c r="B664" s="11">
        <v>129654</v>
      </c>
      <c r="C664" s="89" t="s">
        <v>361</v>
      </c>
      <c r="D664" s="157">
        <v>95</v>
      </c>
      <c r="E664" s="12" t="s">
        <v>191</v>
      </c>
      <c r="F664" s="11" t="s">
        <v>246</v>
      </c>
      <c r="G664" s="18" t="s">
        <v>247</v>
      </c>
      <c r="H664" s="11" t="s">
        <v>248</v>
      </c>
      <c r="I664" s="87" t="s">
        <v>249</v>
      </c>
      <c r="J664" s="19" t="s">
        <v>139</v>
      </c>
      <c r="K664" s="17" t="s">
        <v>140</v>
      </c>
      <c r="L664" s="257">
        <v>0</v>
      </c>
      <c r="M664" s="70" t="s">
        <v>250</v>
      </c>
      <c r="N664" s="70">
        <v>100</v>
      </c>
      <c r="O664" s="258">
        <v>8</v>
      </c>
      <c r="P664" s="70" t="s">
        <v>251</v>
      </c>
      <c r="Q664" s="70" t="s">
        <v>233</v>
      </c>
      <c r="R664" s="70" t="s">
        <v>240</v>
      </c>
      <c r="S664" s="70" t="s">
        <v>233</v>
      </c>
      <c r="T664" s="70" t="s">
        <v>233</v>
      </c>
      <c r="U664" s="70" t="s">
        <v>1427</v>
      </c>
      <c r="V664" s="70" t="s">
        <v>240</v>
      </c>
      <c r="W664" s="12"/>
      <c r="X664" s="242">
        <v>335.58</v>
      </c>
      <c r="Y664" s="242">
        <v>322.71999999999991</v>
      </c>
      <c r="Z664" s="242">
        <v>46.46</v>
      </c>
      <c r="AA664" s="157" t="s">
        <v>252</v>
      </c>
      <c r="AB664" s="242">
        <v>41.43</v>
      </c>
      <c r="AC664" s="157" t="s">
        <v>252</v>
      </c>
      <c r="AD664" s="242">
        <v>51.44</v>
      </c>
      <c r="AE664" s="157" t="s">
        <v>252</v>
      </c>
      <c r="AF664" s="242">
        <v>28.71</v>
      </c>
      <c r="AG664" s="157" t="s">
        <v>252</v>
      </c>
      <c r="AH664" s="242">
        <v>26.72</v>
      </c>
      <c r="AI664" s="157" t="s">
        <v>252</v>
      </c>
      <c r="AJ664" s="242">
        <v>9.85</v>
      </c>
      <c r="AK664" s="242" t="s">
        <v>252</v>
      </c>
      <c r="AL664" s="242">
        <v>8.5500000000000007</v>
      </c>
      <c r="AM664" s="242" t="s">
        <v>252</v>
      </c>
      <c r="AN664" s="242">
        <v>9.65</v>
      </c>
      <c r="AO664" s="242" t="s">
        <v>252</v>
      </c>
      <c r="AP664" s="242">
        <v>9.4</v>
      </c>
      <c r="AQ664" s="242" t="s">
        <v>252</v>
      </c>
      <c r="AR664" s="242">
        <v>32.31</v>
      </c>
      <c r="AS664" s="242" t="s">
        <v>252</v>
      </c>
      <c r="AT664" s="242">
        <v>0</v>
      </c>
      <c r="AU664" s="242" t="s">
        <v>252</v>
      </c>
      <c r="AV664" s="242">
        <v>0</v>
      </c>
      <c r="AW664" s="157" t="s">
        <v>252</v>
      </c>
      <c r="AX664" s="157">
        <v>922.81999999999994</v>
      </c>
      <c r="AY664" s="240">
        <v>0.13</v>
      </c>
      <c r="AZ664" s="156" t="s">
        <v>253</v>
      </c>
      <c r="BA664" s="156" t="s">
        <v>254</v>
      </c>
      <c r="BB664" s="156">
        <v>0</v>
      </c>
      <c r="BC664" s="156" t="s">
        <v>1423</v>
      </c>
      <c r="BD664" s="3"/>
    </row>
    <row r="665" spans="1:56" ht="15.75" hidden="1" customHeight="1" outlineLevel="1">
      <c r="A665" s="58">
        <v>655</v>
      </c>
      <c r="B665" s="11">
        <v>129655</v>
      </c>
      <c r="C665" s="89" t="s">
        <v>361</v>
      </c>
      <c r="D665" s="157">
        <v>97</v>
      </c>
      <c r="E665" s="12" t="s">
        <v>191</v>
      </c>
      <c r="F665" s="11" t="s">
        <v>246</v>
      </c>
      <c r="G665" s="18" t="s">
        <v>247</v>
      </c>
      <c r="H665" s="11" t="s">
        <v>248</v>
      </c>
      <c r="I665" s="87" t="s">
        <v>249</v>
      </c>
      <c r="J665" s="19" t="s">
        <v>139</v>
      </c>
      <c r="K665" s="17" t="s">
        <v>140</v>
      </c>
      <c r="L665" s="260">
        <v>1</v>
      </c>
      <c r="M665" s="70" t="s">
        <v>250</v>
      </c>
      <c r="N665" s="70">
        <v>100</v>
      </c>
      <c r="O665" s="258">
        <v>8</v>
      </c>
      <c r="P665" s="70" t="s">
        <v>251</v>
      </c>
      <c r="Q665" s="70" t="s">
        <v>233</v>
      </c>
      <c r="R665" s="70" t="s">
        <v>240</v>
      </c>
      <c r="S665" s="70" t="s">
        <v>233</v>
      </c>
      <c r="T665" s="70" t="s">
        <v>233</v>
      </c>
      <c r="U665" s="70" t="s">
        <v>1427</v>
      </c>
      <c r="V665" s="70" t="s">
        <v>240</v>
      </c>
      <c r="W665" s="12"/>
      <c r="X665" s="242">
        <v>476.87</v>
      </c>
      <c r="Y665" s="242">
        <v>460.08000000000004</v>
      </c>
      <c r="Z665" s="242">
        <v>65.540000000000006</v>
      </c>
      <c r="AA665" s="157" t="s">
        <v>252</v>
      </c>
      <c r="AB665" s="242">
        <v>58.33</v>
      </c>
      <c r="AC665" s="157" t="s">
        <v>252</v>
      </c>
      <c r="AD665" s="242">
        <v>72.44</v>
      </c>
      <c r="AE665" s="157" t="s">
        <v>252</v>
      </c>
      <c r="AF665" s="242">
        <v>40.68</v>
      </c>
      <c r="AG665" s="157" t="s">
        <v>252</v>
      </c>
      <c r="AH665" s="242">
        <v>37.51</v>
      </c>
      <c r="AI665" s="157" t="s">
        <v>252</v>
      </c>
      <c r="AJ665" s="242">
        <v>14.84</v>
      </c>
      <c r="AK665" s="242" t="s">
        <v>252</v>
      </c>
      <c r="AL665" s="242">
        <v>12.52</v>
      </c>
      <c r="AM665" s="242" t="s">
        <v>252</v>
      </c>
      <c r="AN665" s="242">
        <v>14.44</v>
      </c>
      <c r="AO665" s="242" t="s">
        <v>252</v>
      </c>
      <c r="AP665" s="242">
        <v>14.02</v>
      </c>
      <c r="AQ665" s="242" t="s">
        <v>252</v>
      </c>
      <c r="AR665" s="242">
        <v>52.01</v>
      </c>
      <c r="AS665" s="242" t="s">
        <v>252</v>
      </c>
      <c r="AT665" s="242">
        <v>27.94</v>
      </c>
      <c r="AU665" s="242" t="s">
        <v>252</v>
      </c>
      <c r="AV665" s="242">
        <v>53</v>
      </c>
      <c r="AW665" s="157" t="s">
        <v>252</v>
      </c>
      <c r="AX665" s="157">
        <v>1400.22</v>
      </c>
      <c r="AY665" s="240">
        <v>0.17</v>
      </c>
      <c r="AZ665" s="156" t="s">
        <v>253</v>
      </c>
      <c r="BA665" s="156" t="s">
        <v>254</v>
      </c>
      <c r="BB665" s="156">
        <v>1</v>
      </c>
      <c r="BC665" s="156" t="s">
        <v>1423</v>
      </c>
      <c r="BD665" s="3"/>
    </row>
    <row r="666" spans="1:56" ht="15.75" hidden="1" customHeight="1" outlineLevel="1">
      <c r="A666" s="58">
        <v>656</v>
      </c>
      <c r="B666" s="11">
        <v>129656</v>
      </c>
      <c r="C666" s="89" t="s">
        <v>361</v>
      </c>
      <c r="D666" s="157">
        <v>99</v>
      </c>
      <c r="E666" s="12" t="s">
        <v>191</v>
      </c>
      <c r="F666" s="11" t="s">
        <v>246</v>
      </c>
      <c r="G666" s="18" t="s">
        <v>247</v>
      </c>
      <c r="H666" s="11" t="s">
        <v>248</v>
      </c>
      <c r="I666" s="87" t="s">
        <v>249</v>
      </c>
      <c r="J666" s="19" t="s">
        <v>139</v>
      </c>
      <c r="K666" s="17" t="s">
        <v>140</v>
      </c>
      <c r="L666" s="260">
        <v>1</v>
      </c>
      <c r="M666" s="70" t="s">
        <v>250</v>
      </c>
      <c r="N666" s="70">
        <v>100</v>
      </c>
      <c r="O666" s="258">
        <v>8</v>
      </c>
      <c r="P666" s="70" t="s">
        <v>251</v>
      </c>
      <c r="Q666" s="70" t="s">
        <v>233</v>
      </c>
      <c r="R666" s="70" t="s">
        <v>240</v>
      </c>
      <c r="S666" s="70" t="s">
        <v>233</v>
      </c>
      <c r="T666" s="70" t="s">
        <v>233</v>
      </c>
      <c r="U666" s="70" t="s">
        <v>1427</v>
      </c>
      <c r="V666" s="70" t="s">
        <v>240</v>
      </c>
      <c r="W666" s="12"/>
      <c r="X666" s="242">
        <v>602.18000000000006</v>
      </c>
      <c r="Y666" s="242">
        <v>601.20000000000005</v>
      </c>
      <c r="Z666" s="242">
        <v>89.55</v>
      </c>
      <c r="AA666" s="157" t="s">
        <v>252</v>
      </c>
      <c r="AB666" s="242">
        <v>76.62</v>
      </c>
      <c r="AC666" s="157" t="s">
        <v>252</v>
      </c>
      <c r="AD666" s="242">
        <v>68.180000000000007</v>
      </c>
      <c r="AE666" s="157" t="s">
        <v>252</v>
      </c>
      <c r="AF666" s="242">
        <v>60.87</v>
      </c>
      <c r="AG666" s="157" t="s">
        <v>252</v>
      </c>
      <c r="AH666" s="242">
        <v>24.23</v>
      </c>
      <c r="AI666" s="157" t="s">
        <v>252</v>
      </c>
      <c r="AJ666" s="242">
        <v>10.11</v>
      </c>
      <c r="AK666" s="242" t="s">
        <v>252</v>
      </c>
      <c r="AL666" s="242">
        <v>6.51</v>
      </c>
      <c r="AM666" s="242" t="s">
        <v>252</v>
      </c>
      <c r="AN666" s="242">
        <v>7.74</v>
      </c>
      <c r="AO666" s="242" t="s">
        <v>252</v>
      </c>
      <c r="AP666" s="242">
        <v>9.56</v>
      </c>
      <c r="AQ666" s="242" t="s">
        <v>252</v>
      </c>
      <c r="AR666" s="242">
        <v>46.33</v>
      </c>
      <c r="AS666" s="242" t="s">
        <v>252</v>
      </c>
      <c r="AT666" s="242">
        <v>64.021649999999994</v>
      </c>
      <c r="AU666" s="242" t="s">
        <v>252</v>
      </c>
      <c r="AV666" s="242">
        <v>64.016009999999994</v>
      </c>
      <c r="AW666" s="157" t="s">
        <v>259</v>
      </c>
      <c r="AX666" s="157">
        <v>1731.1176599999999</v>
      </c>
      <c r="AY666" s="240">
        <v>0.26</v>
      </c>
      <c r="AZ666" s="156" t="s">
        <v>253</v>
      </c>
      <c r="BA666" s="156" t="s">
        <v>254</v>
      </c>
      <c r="BB666" s="156">
        <v>1</v>
      </c>
      <c r="BC666" s="156" t="s">
        <v>1423</v>
      </c>
      <c r="BD666" s="3"/>
    </row>
    <row r="667" spans="1:56" ht="15.75" hidden="1" customHeight="1" outlineLevel="1">
      <c r="A667" s="58">
        <v>657</v>
      </c>
      <c r="B667" s="11">
        <v>129657</v>
      </c>
      <c r="C667" s="89" t="s">
        <v>364</v>
      </c>
      <c r="D667" s="157">
        <v>101</v>
      </c>
      <c r="E667" s="12" t="s">
        <v>191</v>
      </c>
      <c r="F667" s="11" t="s">
        <v>246</v>
      </c>
      <c r="G667" s="18" t="s">
        <v>247</v>
      </c>
      <c r="H667" s="11" t="s">
        <v>248</v>
      </c>
      <c r="I667" s="87" t="s">
        <v>249</v>
      </c>
      <c r="J667" s="19" t="s">
        <v>139</v>
      </c>
      <c r="K667" s="17" t="s">
        <v>140</v>
      </c>
      <c r="L667" s="260">
        <v>1</v>
      </c>
      <c r="M667" s="70" t="s">
        <v>250</v>
      </c>
      <c r="N667" s="70">
        <v>100</v>
      </c>
      <c r="O667" s="258">
        <v>8</v>
      </c>
      <c r="P667" s="70" t="s">
        <v>251</v>
      </c>
      <c r="Q667" s="70" t="s">
        <v>233</v>
      </c>
      <c r="R667" s="70" t="s">
        <v>240</v>
      </c>
      <c r="S667" s="70" t="s">
        <v>233</v>
      </c>
      <c r="T667" s="70" t="s">
        <v>233</v>
      </c>
      <c r="U667" s="70" t="s">
        <v>1427</v>
      </c>
      <c r="V667" s="70" t="s">
        <v>240</v>
      </c>
      <c r="W667" s="12"/>
      <c r="X667" s="242">
        <v>672.17000000000007</v>
      </c>
      <c r="Y667" s="242">
        <v>653.08999999999992</v>
      </c>
      <c r="Z667" s="242">
        <v>99.38</v>
      </c>
      <c r="AA667" s="157" t="s">
        <v>252</v>
      </c>
      <c r="AB667" s="242">
        <v>77.89</v>
      </c>
      <c r="AC667" s="157" t="s">
        <v>252</v>
      </c>
      <c r="AD667" s="242">
        <v>103.57</v>
      </c>
      <c r="AE667" s="157" t="s">
        <v>252</v>
      </c>
      <c r="AF667" s="242">
        <v>68.2</v>
      </c>
      <c r="AG667" s="157" t="s">
        <v>252</v>
      </c>
      <c r="AH667" s="242">
        <v>26.2</v>
      </c>
      <c r="AI667" s="157" t="s">
        <v>252</v>
      </c>
      <c r="AJ667" s="242">
        <v>14.56</v>
      </c>
      <c r="AK667" s="242" t="s">
        <v>259</v>
      </c>
      <c r="AL667" s="242">
        <v>14.56</v>
      </c>
      <c r="AM667" s="242" t="s">
        <v>259</v>
      </c>
      <c r="AN667" s="242">
        <v>14.56</v>
      </c>
      <c r="AO667" s="242" t="s">
        <v>259</v>
      </c>
      <c r="AP667" s="242">
        <v>19.12086</v>
      </c>
      <c r="AQ667" s="242" t="s">
        <v>259</v>
      </c>
      <c r="AR667" s="242">
        <v>88.98</v>
      </c>
      <c r="AS667" s="242" t="s">
        <v>259</v>
      </c>
      <c r="AT667" s="242">
        <v>63.94</v>
      </c>
      <c r="AU667" s="242" t="s">
        <v>259</v>
      </c>
      <c r="AV667" s="242">
        <v>82.03389</v>
      </c>
      <c r="AW667" s="157" t="s">
        <v>259</v>
      </c>
      <c r="AX667" s="157">
        <v>1998.2547499999998</v>
      </c>
      <c r="AY667" s="240">
        <v>0.253</v>
      </c>
      <c r="AZ667" s="156" t="s">
        <v>253</v>
      </c>
      <c r="BA667" s="156" t="s">
        <v>254</v>
      </c>
      <c r="BB667" s="156">
        <v>1</v>
      </c>
      <c r="BC667" s="156" t="s">
        <v>1423</v>
      </c>
      <c r="BD667" s="3"/>
    </row>
    <row r="668" spans="1:56" ht="15.75" hidden="1" customHeight="1" outlineLevel="1">
      <c r="A668" s="58">
        <v>658</v>
      </c>
      <c r="B668" s="11">
        <v>129658</v>
      </c>
      <c r="C668" s="89" t="s">
        <v>364</v>
      </c>
      <c r="D668" s="157">
        <v>102</v>
      </c>
      <c r="E668" s="12" t="s">
        <v>191</v>
      </c>
      <c r="F668" s="11" t="s">
        <v>246</v>
      </c>
      <c r="G668" s="18" t="s">
        <v>247</v>
      </c>
      <c r="H668" s="11" t="s">
        <v>248</v>
      </c>
      <c r="I668" s="87" t="s">
        <v>249</v>
      </c>
      <c r="J668" s="19" t="s">
        <v>139</v>
      </c>
      <c r="K668" s="17" t="s">
        <v>140</v>
      </c>
      <c r="L668" s="260">
        <v>1</v>
      </c>
      <c r="M668" s="70" t="s">
        <v>250</v>
      </c>
      <c r="N668" s="70">
        <v>100</v>
      </c>
      <c r="O668" s="258">
        <v>8</v>
      </c>
      <c r="P668" s="70" t="s">
        <v>251</v>
      </c>
      <c r="Q668" s="70" t="s">
        <v>233</v>
      </c>
      <c r="R668" s="70" t="s">
        <v>240</v>
      </c>
      <c r="S668" s="70" t="s">
        <v>233</v>
      </c>
      <c r="T668" s="70" t="s">
        <v>233</v>
      </c>
      <c r="U668" s="70" t="s">
        <v>1427</v>
      </c>
      <c r="V668" s="70" t="s">
        <v>240</v>
      </c>
      <c r="W668" s="12"/>
      <c r="X668" s="242">
        <v>360.85</v>
      </c>
      <c r="Y668" s="242">
        <v>408.6</v>
      </c>
      <c r="Z668" s="242">
        <v>56.06</v>
      </c>
      <c r="AA668" s="157" t="s">
        <v>252</v>
      </c>
      <c r="AB668" s="242">
        <v>44.47</v>
      </c>
      <c r="AC668" s="157" t="s">
        <v>252</v>
      </c>
      <c r="AD668" s="242">
        <v>56.29</v>
      </c>
      <c r="AE668" s="157" t="s">
        <v>252</v>
      </c>
      <c r="AF668" s="242">
        <v>38.42</v>
      </c>
      <c r="AG668" s="157" t="s">
        <v>252</v>
      </c>
      <c r="AH668" s="242">
        <v>12.59</v>
      </c>
      <c r="AI668" s="157" t="s">
        <v>252</v>
      </c>
      <c r="AJ668" s="242">
        <v>5.7</v>
      </c>
      <c r="AK668" s="242" t="s">
        <v>252</v>
      </c>
      <c r="AL668" s="242">
        <v>6.32</v>
      </c>
      <c r="AM668" s="242" t="s">
        <v>252</v>
      </c>
      <c r="AN668" s="242">
        <v>5.0599999999999996</v>
      </c>
      <c r="AO668" s="242" t="s">
        <v>252</v>
      </c>
      <c r="AP668" s="242">
        <v>4.8899999999999997</v>
      </c>
      <c r="AQ668" s="242" t="s">
        <v>252</v>
      </c>
      <c r="AR668" s="242">
        <v>34.130000000000003</v>
      </c>
      <c r="AS668" s="242" t="s">
        <v>252</v>
      </c>
      <c r="AT668" s="242">
        <v>36.979999999999997</v>
      </c>
      <c r="AU668" s="242" t="s">
        <v>252</v>
      </c>
      <c r="AV668" s="242">
        <v>44.49</v>
      </c>
      <c r="AW668" s="157" t="s">
        <v>252</v>
      </c>
      <c r="AX668" s="157">
        <v>1114.8500000000001</v>
      </c>
      <c r="AY668" s="240">
        <v>0.13900000000000001</v>
      </c>
      <c r="AZ668" s="156" t="s">
        <v>253</v>
      </c>
      <c r="BA668" s="156" t="s">
        <v>254</v>
      </c>
      <c r="BB668" s="156">
        <v>1</v>
      </c>
      <c r="BC668" s="157" t="s">
        <v>255</v>
      </c>
      <c r="BD668" s="3"/>
    </row>
    <row r="669" spans="1:56" ht="15.75" hidden="1" customHeight="1" outlineLevel="1">
      <c r="A669" s="58">
        <v>659</v>
      </c>
      <c r="B669" s="11">
        <v>129659</v>
      </c>
      <c r="C669" s="89" t="s">
        <v>364</v>
      </c>
      <c r="D669" s="157">
        <v>103</v>
      </c>
      <c r="E669" s="12" t="s">
        <v>191</v>
      </c>
      <c r="F669" s="11" t="s">
        <v>246</v>
      </c>
      <c r="G669" s="18" t="s">
        <v>247</v>
      </c>
      <c r="H669" s="11" t="s">
        <v>248</v>
      </c>
      <c r="I669" s="87" t="s">
        <v>249</v>
      </c>
      <c r="J669" s="19" t="s">
        <v>139</v>
      </c>
      <c r="K669" s="17" t="s">
        <v>140</v>
      </c>
      <c r="L669" s="257">
        <v>0</v>
      </c>
      <c r="M669" s="70" t="s">
        <v>250</v>
      </c>
      <c r="N669" s="70">
        <v>80</v>
      </c>
      <c r="O669" s="258">
        <v>8</v>
      </c>
      <c r="P669" s="70" t="s">
        <v>251</v>
      </c>
      <c r="Q669" s="70" t="s">
        <v>233</v>
      </c>
      <c r="R669" s="70" t="s">
        <v>240</v>
      </c>
      <c r="S669" s="70" t="s">
        <v>233</v>
      </c>
      <c r="T669" s="70" t="s">
        <v>233</v>
      </c>
      <c r="U669" s="70" t="s">
        <v>1427</v>
      </c>
      <c r="V669" s="70" t="s">
        <v>240</v>
      </c>
      <c r="W669" s="12"/>
      <c r="X669" s="242">
        <v>1205.29</v>
      </c>
      <c r="Y669" s="242">
        <v>1246.0400000000002</v>
      </c>
      <c r="Z669" s="242">
        <v>182.38</v>
      </c>
      <c r="AA669" s="157" t="s">
        <v>252</v>
      </c>
      <c r="AB669" s="242">
        <v>142.93</v>
      </c>
      <c r="AC669" s="157" t="s">
        <v>252</v>
      </c>
      <c r="AD669" s="242">
        <v>190.1</v>
      </c>
      <c r="AE669" s="157" t="s">
        <v>252</v>
      </c>
      <c r="AF669" s="242">
        <v>125.16</v>
      </c>
      <c r="AG669" s="157" t="s">
        <v>252</v>
      </c>
      <c r="AH669" s="242">
        <v>48.45</v>
      </c>
      <c r="AI669" s="157" t="s">
        <v>252</v>
      </c>
      <c r="AJ669" s="242">
        <v>35.816600000000001</v>
      </c>
      <c r="AK669" s="242" t="s">
        <v>259</v>
      </c>
      <c r="AL669" s="242">
        <v>35.816600000000001</v>
      </c>
      <c r="AM669" s="242" t="s">
        <v>259</v>
      </c>
      <c r="AN669" s="242">
        <v>35.816600000000001</v>
      </c>
      <c r="AO669" s="242" t="s">
        <v>259</v>
      </c>
      <c r="AP669" s="242">
        <v>35.10736</v>
      </c>
      <c r="AQ669" s="242" t="s">
        <v>259</v>
      </c>
      <c r="AR669" s="242">
        <v>163.37</v>
      </c>
      <c r="AS669" s="242" t="s">
        <v>259</v>
      </c>
      <c r="AT669" s="242">
        <v>136.12</v>
      </c>
      <c r="AU669" s="242" t="s">
        <v>259</v>
      </c>
      <c r="AV669" s="242">
        <v>150.60513</v>
      </c>
      <c r="AW669" s="157" t="s">
        <v>259</v>
      </c>
      <c r="AX669" s="157">
        <v>3733.0022899999994</v>
      </c>
      <c r="AY669" s="240">
        <v>0.47</v>
      </c>
      <c r="AZ669" s="156" t="s">
        <v>253</v>
      </c>
      <c r="BA669" s="156" t="s">
        <v>254</v>
      </c>
      <c r="BB669" s="156">
        <v>0</v>
      </c>
      <c r="BC669" s="156" t="s">
        <v>1423</v>
      </c>
      <c r="BD669" s="3"/>
    </row>
    <row r="670" spans="1:56" ht="15.75" hidden="1" customHeight="1" outlineLevel="1">
      <c r="A670" s="58">
        <v>660</v>
      </c>
      <c r="B670" s="11">
        <v>129660</v>
      </c>
      <c r="C670" s="89" t="s">
        <v>364</v>
      </c>
      <c r="D670" s="157">
        <v>105</v>
      </c>
      <c r="E670" s="12" t="s">
        <v>191</v>
      </c>
      <c r="F670" s="11" t="s">
        <v>246</v>
      </c>
      <c r="G670" s="18" t="s">
        <v>247</v>
      </c>
      <c r="H670" s="11" t="s">
        <v>248</v>
      </c>
      <c r="I670" s="87" t="s">
        <v>249</v>
      </c>
      <c r="J670" s="19" t="s">
        <v>139</v>
      </c>
      <c r="K670" s="17" t="s">
        <v>140</v>
      </c>
      <c r="L670" s="260">
        <v>1</v>
      </c>
      <c r="M670" s="70" t="s">
        <v>250</v>
      </c>
      <c r="N670" s="70">
        <v>80</v>
      </c>
      <c r="O670" s="258">
        <v>8</v>
      </c>
      <c r="P670" s="70" t="s">
        <v>251</v>
      </c>
      <c r="Q670" s="70" t="s">
        <v>233</v>
      </c>
      <c r="R670" s="70" t="s">
        <v>240</v>
      </c>
      <c r="S670" s="70" t="s">
        <v>233</v>
      </c>
      <c r="T670" s="70" t="s">
        <v>233</v>
      </c>
      <c r="U670" s="70" t="s">
        <v>1427</v>
      </c>
      <c r="V670" s="70" t="s">
        <v>240</v>
      </c>
      <c r="W670" s="12"/>
      <c r="X670" s="242">
        <v>1091.94</v>
      </c>
      <c r="Y670" s="242">
        <v>1087.79</v>
      </c>
      <c r="Z670" s="242">
        <v>170.25</v>
      </c>
      <c r="AA670" s="157" t="s">
        <v>252</v>
      </c>
      <c r="AB670" s="242">
        <v>123.57</v>
      </c>
      <c r="AC670" s="157" t="s">
        <v>252</v>
      </c>
      <c r="AD670" s="242">
        <v>174.67</v>
      </c>
      <c r="AE670" s="157" t="s">
        <v>252</v>
      </c>
      <c r="AF670" s="242">
        <v>147.76</v>
      </c>
      <c r="AG670" s="157" t="s">
        <v>252</v>
      </c>
      <c r="AH670" s="242">
        <v>147.25</v>
      </c>
      <c r="AI670" s="157" t="s">
        <v>252</v>
      </c>
      <c r="AJ670" s="242">
        <v>23.98</v>
      </c>
      <c r="AK670" s="242" t="s">
        <v>252</v>
      </c>
      <c r="AL670" s="242">
        <v>23.98</v>
      </c>
      <c r="AM670" s="242" t="s">
        <v>252</v>
      </c>
      <c r="AN670" s="242">
        <v>23.98</v>
      </c>
      <c r="AO670" s="242" t="s">
        <v>252</v>
      </c>
      <c r="AP670" s="242">
        <v>32.735779999999998</v>
      </c>
      <c r="AQ670" s="242" t="s">
        <v>252</v>
      </c>
      <c r="AR670" s="242">
        <v>153.33000000000001</v>
      </c>
      <c r="AS670" s="242" t="s">
        <v>252</v>
      </c>
      <c r="AT670" s="242">
        <v>132.59393</v>
      </c>
      <c r="AU670" s="242" t="s">
        <v>252</v>
      </c>
      <c r="AV670" s="242">
        <v>161.40125</v>
      </c>
      <c r="AW670" s="157" t="s">
        <v>252</v>
      </c>
      <c r="AX670" s="157">
        <v>3495.2309600000003</v>
      </c>
      <c r="AY670" s="240">
        <v>0.48099999999999998</v>
      </c>
      <c r="AZ670" s="156" t="s">
        <v>253</v>
      </c>
      <c r="BA670" s="156" t="s">
        <v>254</v>
      </c>
      <c r="BB670" s="156">
        <v>1</v>
      </c>
      <c r="BC670" s="156" t="s">
        <v>1423</v>
      </c>
      <c r="BD670" s="3"/>
    </row>
    <row r="671" spans="1:56" ht="15.75" hidden="1" customHeight="1" outlineLevel="1">
      <c r="A671" s="58">
        <v>661</v>
      </c>
      <c r="B671" s="11">
        <v>129661</v>
      </c>
      <c r="C671" s="89" t="s">
        <v>364</v>
      </c>
      <c r="D671" s="157">
        <v>106</v>
      </c>
      <c r="E671" s="12" t="s">
        <v>191</v>
      </c>
      <c r="F671" s="11" t="s">
        <v>246</v>
      </c>
      <c r="G671" s="18" t="s">
        <v>247</v>
      </c>
      <c r="H671" s="11" t="s">
        <v>248</v>
      </c>
      <c r="I671" s="87" t="s">
        <v>249</v>
      </c>
      <c r="J671" s="19" t="s">
        <v>139</v>
      </c>
      <c r="K671" s="17" t="s">
        <v>140</v>
      </c>
      <c r="L671" s="260">
        <v>1</v>
      </c>
      <c r="M671" s="70" t="s">
        <v>250</v>
      </c>
      <c r="N671" s="70">
        <v>100</v>
      </c>
      <c r="O671" s="258">
        <v>8</v>
      </c>
      <c r="P671" s="70" t="s">
        <v>251</v>
      </c>
      <c r="Q671" s="70" t="s">
        <v>233</v>
      </c>
      <c r="R671" s="70" t="s">
        <v>240</v>
      </c>
      <c r="S671" s="70" t="s">
        <v>233</v>
      </c>
      <c r="T671" s="70" t="s">
        <v>233</v>
      </c>
      <c r="U671" s="70" t="s">
        <v>1427</v>
      </c>
      <c r="V671" s="70" t="s">
        <v>240</v>
      </c>
      <c r="W671" s="12"/>
      <c r="X671" s="242">
        <v>925.9</v>
      </c>
      <c r="Y671" s="242">
        <v>658.72</v>
      </c>
      <c r="Z671" s="242">
        <v>74.19</v>
      </c>
      <c r="AA671" s="157" t="s">
        <v>252</v>
      </c>
      <c r="AB671" s="242">
        <v>74.27</v>
      </c>
      <c r="AC671" s="157" t="s">
        <v>252</v>
      </c>
      <c r="AD671" s="242">
        <v>73.44</v>
      </c>
      <c r="AE671" s="157" t="s">
        <v>252</v>
      </c>
      <c r="AF671" s="242">
        <v>81.790000000000006</v>
      </c>
      <c r="AG671" s="157" t="s">
        <v>252</v>
      </c>
      <c r="AH671" s="242">
        <v>74.319999999999993</v>
      </c>
      <c r="AI671" s="157" t="s">
        <v>252</v>
      </c>
      <c r="AJ671" s="242">
        <v>21.09</v>
      </c>
      <c r="AK671" s="242" t="s">
        <v>259</v>
      </c>
      <c r="AL671" s="242">
        <v>18.46</v>
      </c>
      <c r="AM671" s="242" t="s">
        <v>259</v>
      </c>
      <c r="AN671" s="242">
        <v>9.94</v>
      </c>
      <c r="AO671" s="242" t="s">
        <v>259</v>
      </c>
      <c r="AP671" s="242">
        <v>18.42633</v>
      </c>
      <c r="AQ671" s="242" t="s">
        <v>259</v>
      </c>
      <c r="AR671" s="242">
        <v>42.75</v>
      </c>
      <c r="AS671" s="242" t="s">
        <v>259</v>
      </c>
      <c r="AT671" s="242">
        <v>80.48</v>
      </c>
      <c r="AU671" s="242" t="s">
        <v>259</v>
      </c>
      <c r="AV671" s="242">
        <v>80.709999999999994</v>
      </c>
      <c r="AW671" s="157" t="s">
        <v>259</v>
      </c>
      <c r="AX671" s="157">
        <v>2234.4863300000002</v>
      </c>
      <c r="AY671" s="240">
        <v>0.28999999999999998</v>
      </c>
      <c r="AZ671" s="156" t="s">
        <v>253</v>
      </c>
      <c r="BA671" s="156" t="s">
        <v>254</v>
      </c>
      <c r="BB671" s="156">
        <v>1</v>
      </c>
      <c r="BC671" s="156" t="s">
        <v>1423</v>
      </c>
      <c r="BD671" s="3"/>
    </row>
    <row r="672" spans="1:56" ht="15.75" hidden="1" customHeight="1" outlineLevel="1">
      <c r="A672" s="58">
        <v>662</v>
      </c>
      <c r="B672" s="11">
        <v>129662</v>
      </c>
      <c r="C672" s="89" t="s">
        <v>364</v>
      </c>
      <c r="D672" s="157">
        <v>107</v>
      </c>
      <c r="E672" s="12" t="s">
        <v>191</v>
      </c>
      <c r="F672" s="11" t="s">
        <v>246</v>
      </c>
      <c r="G672" s="18" t="s">
        <v>247</v>
      </c>
      <c r="H672" s="11" t="s">
        <v>248</v>
      </c>
      <c r="I672" s="87" t="s">
        <v>249</v>
      </c>
      <c r="J672" s="19" t="s">
        <v>139</v>
      </c>
      <c r="K672" s="17" t="s">
        <v>140</v>
      </c>
      <c r="L672" s="257">
        <v>0</v>
      </c>
      <c r="M672" s="70" t="s">
        <v>250</v>
      </c>
      <c r="N672" s="70">
        <v>100</v>
      </c>
      <c r="O672" s="258">
        <v>8</v>
      </c>
      <c r="P672" s="70" t="s">
        <v>251</v>
      </c>
      <c r="Q672" s="70" t="s">
        <v>233</v>
      </c>
      <c r="R672" s="70" t="s">
        <v>240</v>
      </c>
      <c r="S672" s="70" t="s">
        <v>233</v>
      </c>
      <c r="T672" s="70" t="s">
        <v>233</v>
      </c>
      <c r="U672" s="70" t="s">
        <v>1427</v>
      </c>
      <c r="V672" s="70" t="s">
        <v>240</v>
      </c>
      <c r="W672" s="12"/>
      <c r="X672" s="242">
        <v>462.83</v>
      </c>
      <c r="Y672" s="242">
        <v>463.07</v>
      </c>
      <c r="Z672" s="242">
        <v>75.209999999999994</v>
      </c>
      <c r="AA672" s="157" t="s">
        <v>252</v>
      </c>
      <c r="AB672" s="242">
        <v>54.61</v>
      </c>
      <c r="AC672" s="157" t="s">
        <v>252</v>
      </c>
      <c r="AD672" s="242">
        <v>77.11</v>
      </c>
      <c r="AE672" s="157" t="s">
        <v>252</v>
      </c>
      <c r="AF672" s="242">
        <v>65.290000000000006</v>
      </c>
      <c r="AG672" s="157" t="s">
        <v>252</v>
      </c>
      <c r="AH672" s="242">
        <v>82.83</v>
      </c>
      <c r="AI672" s="157" t="s">
        <v>252</v>
      </c>
      <c r="AJ672" s="242">
        <v>13.75</v>
      </c>
      <c r="AK672" s="242" t="s">
        <v>252</v>
      </c>
      <c r="AL672" s="242">
        <v>13.75</v>
      </c>
      <c r="AM672" s="242" t="s">
        <v>252</v>
      </c>
      <c r="AN672" s="242">
        <v>13.75</v>
      </c>
      <c r="AO672" s="242" t="s">
        <v>252</v>
      </c>
      <c r="AP672" s="242">
        <v>12.63462</v>
      </c>
      <c r="AQ672" s="242" t="s">
        <v>252</v>
      </c>
      <c r="AR672" s="242">
        <v>67.78</v>
      </c>
      <c r="AS672" s="242" t="s">
        <v>252</v>
      </c>
      <c r="AT672" s="242">
        <v>74.162049999999994</v>
      </c>
      <c r="AU672" s="242" t="s">
        <v>252</v>
      </c>
      <c r="AV672" s="242">
        <v>71.279470000000003</v>
      </c>
      <c r="AW672" s="157" t="s">
        <v>252</v>
      </c>
      <c r="AX672" s="157">
        <v>1548.0561399999997</v>
      </c>
      <c r="AY672" s="240">
        <v>0.22</v>
      </c>
      <c r="AZ672" s="156" t="s">
        <v>253</v>
      </c>
      <c r="BA672" s="156" t="s">
        <v>254</v>
      </c>
      <c r="BB672" s="156">
        <v>0</v>
      </c>
      <c r="BC672" s="156" t="s">
        <v>1423</v>
      </c>
      <c r="BD672" s="3"/>
    </row>
    <row r="673" spans="1:56" ht="15.75" hidden="1" customHeight="1" outlineLevel="1">
      <c r="A673" s="58">
        <v>663</v>
      </c>
      <c r="B673" s="11">
        <v>129663</v>
      </c>
      <c r="C673" s="89" t="s">
        <v>364</v>
      </c>
      <c r="D673" s="157">
        <v>109</v>
      </c>
      <c r="E673" s="12" t="s">
        <v>191</v>
      </c>
      <c r="F673" s="11" t="s">
        <v>246</v>
      </c>
      <c r="G673" s="18" t="s">
        <v>247</v>
      </c>
      <c r="H673" s="11" t="s">
        <v>248</v>
      </c>
      <c r="I673" s="87" t="s">
        <v>249</v>
      </c>
      <c r="J673" s="19" t="s">
        <v>139</v>
      </c>
      <c r="K673" s="17" t="s">
        <v>140</v>
      </c>
      <c r="L673" s="260">
        <v>1</v>
      </c>
      <c r="M673" s="70" t="s">
        <v>250</v>
      </c>
      <c r="N673" s="70">
        <v>100</v>
      </c>
      <c r="O673" s="258">
        <v>8</v>
      </c>
      <c r="P673" s="70" t="s">
        <v>251</v>
      </c>
      <c r="Q673" s="70" t="s">
        <v>240</v>
      </c>
      <c r="R673" s="70" t="s">
        <v>240</v>
      </c>
      <c r="S673" s="70" t="s">
        <v>233</v>
      </c>
      <c r="T673" s="70" t="s">
        <v>233</v>
      </c>
      <c r="U673" s="70" t="s">
        <v>1427</v>
      </c>
      <c r="V673" s="70" t="s">
        <v>240</v>
      </c>
      <c r="W673" s="12"/>
      <c r="X673" s="242">
        <v>671.47</v>
      </c>
      <c r="Y673" s="242">
        <v>683.34999999999991</v>
      </c>
      <c r="Z673" s="242">
        <v>93.81</v>
      </c>
      <c r="AA673" s="157" t="s">
        <v>252</v>
      </c>
      <c r="AB673" s="242">
        <v>92.07</v>
      </c>
      <c r="AC673" s="157" t="s">
        <v>252</v>
      </c>
      <c r="AD673" s="242">
        <v>93.81</v>
      </c>
      <c r="AE673" s="157" t="s">
        <v>252</v>
      </c>
      <c r="AF673" s="242">
        <v>93.23</v>
      </c>
      <c r="AG673" s="157" t="s">
        <v>252</v>
      </c>
      <c r="AH673" s="242">
        <v>93.6</v>
      </c>
      <c r="AI673" s="157" t="s">
        <v>252</v>
      </c>
      <c r="AJ673" s="242">
        <v>0.04</v>
      </c>
      <c r="AK673" s="242" t="s">
        <v>252</v>
      </c>
      <c r="AL673" s="242">
        <v>0</v>
      </c>
      <c r="AM673" s="242" t="s">
        <v>252</v>
      </c>
      <c r="AN673" s="242">
        <v>0</v>
      </c>
      <c r="AO673" s="242" t="s">
        <v>252</v>
      </c>
      <c r="AP673" s="242">
        <v>1.76</v>
      </c>
      <c r="AQ673" s="242" t="s">
        <v>252</v>
      </c>
      <c r="AR673" s="242">
        <v>56.09</v>
      </c>
      <c r="AS673" s="242" t="s">
        <v>252</v>
      </c>
      <c r="AT673" s="242">
        <v>73.599999999999994</v>
      </c>
      <c r="AU673" s="242" t="s">
        <v>252</v>
      </c>
      <c r="AV673" s="242">
        <v>77.040000000000006</v>
      </c>
      <c r="AW673" s="157" t="s">
        <v>252</v>
      </c>
      <c r="AX673" s="157">
        <v>2029.8699999999994</v>
      </c>
      <c r="AY673" s="240">
        <v>0.34</v>
      </c>
      <c r="AZ673" s="156" t="s">
        <v>253</v>
      </c>
      <c r="BA673" s="156" t="s">
        <v>254</v>
      </c>
      <c r="BB673" s="156">
        <v>1</v>
      </c>
      <c r="BC673" s="157" t="s">
        <v>255</v>
      </c>
      <c r="BD673" s="3"/>
    </row>
    <row r="674" spans="1:56" ht="15.75" hidden="1" customHeight="1" outlineLevel="1">
      <c r="A674" s="58">
        <v>664</v>
      </c>
      <c r="B674" s="11">
        <v>129664</v>
      </c>
      <c r="C674" s="89" t="s">
        <v>364</v>
      </c>
      <c r="D674" s="157" t="s">
        <v>365</v>
      </c>
      <c r="E674" s="12" t="s">
        <v>191</v>
      </c>
      <c r="F674" s="11" t="s">
        <v>246</v>
      </c>
      <c r="G674" s="18" t="s">
        <v>247</v>
      </c>
      <c r="H674" s="11" t="s">
        <v>248</v>
      </c>
      <c r="I674" s="87" t="s">
        <v>249</v>
      </c>
      <c r="J674" s="19" t="s">
        <v>139</v>
      </c>
      <c r="K674" s="17" t="s">
        <v>140</v>
      </c>
      <c r="L674" s="257">
        <v>0</v>
      </c>
      <c r="M674" s="70" t="s">
        <v>250</v>
      </c>
      <c r="N674" s="70">
        <v>80</v>
      </c>
      <c r="O674" s="258">
        <v>8</v>
      </c>
      <c r="P674" s="70" t="s">
        <v>251</v>
      </c>
      <c r="Q674" s="70" t="s">
        <v>233</v>
      </c>
      <c r="R674" s="70" t="s">
        <v>240</v>
      </c>
      <c r="S674" s="70" t="s">
        <v>233</v>
      </c>
      <c r="T674" s="70" t="s">
        <v>233</v>
      </c>
      <c r="U674" s="70" t="s">
        <v>1427</v>
      </c>
      <c r="V674" s="70" t="s">
        <v>240</v>
      </c>
      <c r="W674" s="12"/>
      <c r="X674" s="242">
        <v>1020.57</v>
      </c>
      <c r="Y674" s="242">
        <v>990.78</v>
      </c>
      <c r="Z674" s="242">
        <v>97.07</v>
      </c>
      <c r="AA674" s="157" t="s">
        <v>252</v>
      </c>
      <c r="AB674" s="242">
        <v>118.93</v>
      </c>
      <c r="AC674" s="157" t="s">
        <v>252</v>
      </c>
      <c r="AD674" s="242">
        <v>156.13</v>
      </c>
      <c r="AE674" s="157" t="s">
        <v>252</v>
      </c>
      <c r="AF674" s="242">
        <v>103.05</v>
      </c>
      <c r="AG674" s="157" t="s">
        <v>252</v>
      </c>
      <c r="AH674" s="242">
        <v>40.14</v>
      </c>
      <c r="AI674" s="157" t="s">
        <v>252</v>
      </c>
      <c r="AJ674" s="242">
        <v>16.18</v>
      </c>
      <c r="AK674" s="242" t="s">
        <v>259</v>
      </c>
      <c r="AL674" s="242">
        <v>19.579999999999998</v>
      </c>
      <c r="AM674" s="242" t="s">
        <v>259</v>
      </c>
      <c r="AN674" s="242">
        <v>18.21</v>
      </c>
      <c r="AO674" s="242" t="s">
        <v>259</v>
      </c>
      <c r="AP674" s="242">
        <v>30.944130000000001</v>
      </c>
      <c r="AQ674" s="242" t="s">
        <v>259</v>
      </c>
      <c r="AR674" s="242">
        <v>128.62</v>
      </c>
      <c r="AS674" s="242" t="s">
        <v>259</v>
      </c>
      <c r="AT674" s="242">
        <v>102.58</v>
      </c>
      <c r="AU674" s="242" t="s">
        <v>259</v>
      </c>
      <c r="AV674" s="242">
        <v>116.453</v>
      </c>
      <c r="AW674" s="157" t="s">
        <v>259</v>
      </c>
      <c r="AX674" s="157">
        <v>2959.2371299999995</v>
      </c>
      <c r="AY674" s="240">
        <v>0.5</v>
      </c>
      <c r="AZ674" s="156" t="s">
        <v>253</v>
      </c>
      <c r="BA674" s="156" t="s">
        <v>254</v>
      </c>
      <c r="BB674" s="156">
        <v>0</v>
      </c>
      <c r="BC674" s="156" t="s">
        <v>1423</v>
      </c>
      <c r="BD674" s="3"/>
    </row>
    <row r="675" spans="1:56" ht="15.75" hidden="1" customHeight="1" outlineLevel="1">
      <c r="A675" s="58">
        <v>665</v>
      </c>
      <c r="B675" s="11">
        <v>129665</v>
      </c>
      <c r="C675" s="89" t="s">
        <v>364</v>
      </c>
      <c r="D675" s="157" t="s">
        <v>366</v>
      </c>
      <c r="E675" s="12" t="s">
        <v>191</v>
      </c>
      <c r="F675" s="11" t="s">
        <v>246</v>
      </c>
      <c r="G675" s="18" t="s">
        <v>247</v>
      </c>
      <c r="H675" s="11" t="s">
        <v>248</v>
      </c>
      <c r="I675" s="87" t="s">
        <v>249</v>
      </c>
      <c r="J675" s="19" t="s">
        <v>139</v>
      </c>
      <c r="K675" s="17" t="s">
        <v>140</v>
      </c>
      <c r="L675" s="260">
        <v>1</v>
      </c>
      <c r="M675" s="70" t="s">
        <v>250</v>
      </c>
      <c r="N675" s="70">
        <v>80</v>
      </c>
      <c r="O675" s="258">
        <v>8</v>
      </c>
      <c r="P675" s="70" t="s">
        <v>251</v>
      </c>
      <c r="Q675" s="70" t="s">
        <v>233</v>
      </c>
      <c r="R675" s="70" t="s">
        <v>240</v>
      </c>
      <c r="S675" s="70" t="s">
        <v>233</v>
      </c>
      <c r="T675" s="70" t="s">
        <v>233</v>
      </c>
      <c r="U675" s="70" t="s">
        <v>1427</v>
      </c>
      <c r="V675" s="70" t="s">
        <v>240</v>
      </c>
      <c r="W675" s="12"/>
      <c r="X675" s="242">
        <v>1180.4246541456712</v>
      </c>
      <c r="Y675" s="242">
        <v>1192.3484562528631</v>
      </c>
      <c r="Z675" s="242">
        <v>121.80219422812644</v>
      </c>
      <c r="AA675" s="157" t="s">
        <v>259</v>
      </c>
      <c r="AB675" s="242">
        <v>117.98371965185524</v>
      </c>
      <c r="AC675" s="157" t="s">
        <v>259</v>
      </c>
      <c r="AD675" s="242">
        <v>118.18218506642235</v>
      </c>
      <c r="AE675" s="157" t="s">
        <v>259</v>
      </c>
      <c r="AF675" s="242">
        <v>118.74582684379295</v>
      </c>
      <c r="AG675" s="157" t="s">
        <v>259</v>
      </c>
      <c r="AH675" s="242">
        <v>119.19832798900596</v>
      </c>
      <c r="AI675" s="157" t="s">
        <v>259</v>
      </c>
      <c r="AJ675" s="242">
        <v>41.915895556573517</v>
      </c>
      <c r="AK675" s="242" t="s">
        <v>259</v>
      </c>
      <c r="AL675" s="242">
        <v>41.884141090242785</v>
      </c>
      <c r="AM675" s="242" t="s">
        <v>259</v>
      </c>
      <c r="AN675" s="242">
        <v>6.8748419606046722</v>
      </c>
      <c r="AO675" s="242" t="s">
        <v>259</v>
      </c>
      <c r="AP675" s="242">
        <v>28.245597801191021</v>
      </c>
      <c r="AQ675" s="242" t="s">
        <v>259</v>
      </c>
      <c r="AR675" s="242">
        <v>113.10940907008703</v>
      </c>
      <c r="AS675" s="242" t="s">
        <v>259</v>
      </c>
      <c r="AT675" s="242">
        <v>125.70005497022446</v>
      </c>
      <c r="AU675" s="242" t="s">
        <v>259</v>
      </c>
      <c r="AV675" s="242">
        <v>114.98292258360055</v>
      </c>
      <c r="AW675" s="157" t="s">
        <v>259</v>
      </c>
      <c r="AX675" s="157">
        <v>3441.3982272102612</v>
      </c>
      <c r="AY675" s="240">
        <v>0.19846541456710948</v>
      </c>
      <c r="AZ675" s="156" t="s">
        <v>253</v>
      </c>
      <c r="BA675" s="156" t="s">
        <v>254</v>
      </c>
      <c r="BB675" s="156">
        <v>1</v>
      </c>
      <c r="BC675" s="156" t="s">
        <v>1423</v>
      </c>
      <c r="BD675" s="3"/>
    </row>
    <row r="676" spans="1:56" ht="15.75" hidden="1" customHeight="1" outlineLevel="1">
      <c r="A676" s="58">
        <v>666</v>
      </c>
      <c r="B676" s="11">
        <v>129666</v>
      </c>
      <c r="C676" s="89" t="s">
        <v>364</v>
      </c>
      <c r="D676" s="157" t="s">
        <v>366</v>
      </c>
      <c r="E676" s="12" t="s">
        <v>231</v>
      </c>
      <c r="F676" s="11" t="s">
        <v>246</v>
      </c>
      <c r="G676" s="18" t="s">
        <v>247</v>
      </c>
      <c r="H676" s="11" t="s">
        <v>248</v>
      </c>
      <c r="I676" s="87" t="s">
        <v>249</v>
      </c>
      <c r="J676" s="19" t="s">
        <v>139</v>
      </c>
      <c r="K676" s="17" t="s">
        <v>140</v>
      </c>
      <c r="L676" s="257">
        <v>0</v>
      </c>
      <c r="M676" s="70" t="s">
        <v>250</v>
      </c>
      <c r="N676" s="70">
        <v>80</v>
      </c>
      <c r="O676" s="258">
        <v>8</v>
      </c>
      <c r="P676" s="70" t="s">
        <v>251</v>
      </c>
      <c r="Q676" s="70" t="s">
        <v>233</v>
      </c>
      <c r="R676" s="70" t="s">
        <v>240</v>
      </c>
      <c r="S676" s="70" t="s">
        <v>233</v>
      </c>
      <c r="T676" s="70" t="s">
        <v>233</v>
      </c>
      <c r="U676" s="70" t="s">
        <v>1427</v>
      </c>
      <c r="V676" s="70" t="s">
        <v>240</v>
      </c>
      <c r="W676" s="12"/>
      <c r="X676" s="242">
        <v>306.51534585432893</v>
      </c>
      <c r="Y676" s="242">
        <v>309.61154374713698</v>
      </c>
      <c r="Z676" s="242">
        <v>31.627805771873568</v>
      </c>
      <c r="AA676" s="157" t="s">
        <v>259</v>
      </c>
      <c r="AB676" s="242">
        <v>30.636280348144755</v>
      </c>
      <c r="AC676" s="157" t="s">
        <v>259</v>
      </c>
      <c r="AD676" s="242">
        <v>30.687814933577645</v>
      </c>
      <c r="AE676" s="157" t="s">
        <v>259</v>
      </c>
      <c r="AF676" s="242">
        <v>30.834173156207058</v>
      </c>
      <c r="AG676" s="157" t="s">
        <v>259</v>
      </c>
      <c r="AH676" s="242">
        <v>30.951672010994045</v>
      </c>
      <c r="AI676" s="157" t="s">
        <v>259</v>
      </c>
      <c r="AJ676" s="242">
        <v>10.884104443426477</v>
      </c>
      <c r="AK676" s="242" t="s">
        <v>259</v>
      </c>
      <c r="AL676" s="242">
        <v>10.875858909757214</v>
      </c>
      <c r="AM676" s="242" t="s">
        <v>259</v>
      </c>
      <c r="AN676" s="242">
        <v>1.7851580393953275</v>
      </c>
      <c r="AO676" s="242" t="s">
        <v>259</v>
      </c>
      <c r="AP676" s="242">
        <v>7.334402198808978</v>
      </c>
      <c r="AQ676" s="242" t="s">
        <v>259</v>
      </c>
      <c r="AR676" s="242">
        <v>29.370590929912961</v>
      </c>
      <c r="AS676" s="242" t="s">
        <v>259</v>
      </c>
      <c r="AT676" s="242">
        <v>32.639945029775539</v>
      </c>
      <c r="AU676" s="242" t="s">
        <v>259</v>
      </c>
      <c r="AV676" s="242">
        <v>29.857077416399449</v>
      </c>
      <c r="AW676" s="157" t="s">
        <v>259</v>
      </c>
      <c r="AX676" s="157">
        <v>893.61177278973889</v>
      </c>
      <c r="AY676" s="243">
        <v>5.1534585432890516E-2</v>
      </c>
      <c r="AZ676" s="156" t="s">
        <v>253</v>
      </c>
      <c r="BA676" s="156" t="s">
        <v>254</v>
      </c>
      <c r="BB676" s="156">
        <v>0</v>
      </c>
      <c r="BC676" s="156" t="s">
        <v>1423</v>
      </c>
      <c r="BD676" s="3"/>
    </row>
    <row r="677" spans="1:56" ht="15.75" hidden="1" customHeight="1" outlineLevel="1">
      <c r="A677" s="58">
        <v>667</v>
      </c>
      <c r="B677" s="11">
        <v>129667</v>
      </c>
      <c r="C677" s="89" t="s">
        <v>364</v>
      </c>
      <c r="D677" s="157">
        <v>115</v>
      </c>
      <c r="E677" s="12" t="s">
        <v>191</v>
      </c>
      <c r="F677" s="11" t="s">
        <v>246</v>
      </c>
      <c r="G677" s="18" t="s">
        <v>247</v>
      </c>
      <c r="H677" s="11" t="s">
        <v>248</v>
      </c>
      <c r="I677" s="87" t="s">
        <v>249</v>
      </c>
      <c r="J677" s="19" t="s">
        <v>139</v>
      </c>
      <c r="K677" s="17" t="s">
        <v>140</v>
      </c>
      <c r="L677" s="260">
        <v>1</v>
      </c>
      <c r="M677" s="70" t="s">
        <v>250</v>
      </c>
      <c r="N677" s="70">
        <v>100</v>
      </c>
      <c r="O677" s="258">
        <v>8</v>
      </c>
      <c r="P677" s="70" t="s">
        <v>251</v>
      </c>
      <c r="Q677" s="70" t="s">
        <v>233</v>
      </c>
      <c r="R677" s="70" t="s">
        <v>240</v>
      </c>
      <c r="S677" s="70" t="s">
        <v>233</v>
      </c>
      <c r="T677" s="70" t="s">
        <v>233</v>
      </c>
      <c r="U677" s="70" t="s">
        <v>1427</v>
      </c>
      <c r="V677" s="70" t="s">
        <v>240</v>
      </c>
      <c r="W677" s="12"/>
      <c r="X677" s="242">
        <v>402.34999999999997</v>
      </c>
      <c r="Y677" s="242">
        <v>388.21000000000004</v>
      </c>
      <c r="Z677" s="242">
        <v>42.77</v>
      </c>
      <c r="AA677" s="157" t="s">
        <v>252</v>
      </c>
      <c r="AB677" s="242">
        <v>46.25</v>
      </c>
      <c r="AC677" s="157" t="s">
        <v>252</v>
      </c>
      <c r="AD677" s="242">
        <v>60.72</v>
      </c>
      <c r="AE677" s="157" t="s">
        <v>252</v>
      </c>
      <c r="AF677" s="242">
        <v>40.1</v>
      </c>
      <c r="AG677" s="157" t="s">
        <v>252</v>
      </c>
      <c r="AH677" s="242">
        <v>15.55</v>
      </c>
      <c r="AI677" s="157" t="s">
        <v>252</v>
      </c>
      <c r="AJ677" s="242">
        <v>10.65</v>
      </c>
      <c r="AK677" s="242" t="s">
        <v>259</v>
      </c>
      <c r="AL677" s="242">
        <v>14.93</v>
      </c>
      <c r="AM677" s="242" t="s">
        <v>259</v>
      </c>
      <c r="AN677" s="242">
        <v>7.89</v>
      </c>
      <c r="AO677" s="242" t="s">
        <v>259</v>
      </c>
      <c r="AP677" s="242">
        <v>12.03228</v>
      </c>
      <c r="AQ677" s="242" t="s">
        <v>259</v>
      </c>
      <c r="AR677" s="242">
        <v>50.01</v>
      </c>
      <c r="AS677" s="242" t="s">
        <v>259</v>
      </c>
      <c r="AT677" s="242">
        <v>49.12</v>
      </c>
      <c r="AU677" s="242" t="s">
        <v>259</v>
      </c>
      <c r="AV677" s="242">
        <v>45.28002</v>
      </c>
      <c r="AW677" s="157" t="s">
        <v>259</v>
      </c>
      <c r="AX677" s="157">
        <v>1185.8622999999995</v>
      </c>
      <c r="AY677" s="240">
        <v>0.2</v>
      </c>
      <c r="AZ677" s="156" t="s">
        <v>253</v>
      </c>
      <c r="BA677" s="156" t="s">
        <v>254</v>
      </c>
      <c r="BB677" s="156">
        <v>1</v>
      </c>
      <c r="BC677" s="156" t="s">
        <v>1423</v>
      </c>
      <c r="BD677" s="3"/>
    </row>
    <row r="678" spans="1:56" ht="15.75" hidden="1" customHeight="1" outlineLevel="1">
      <c r="A678" s="58">
        <v>668</v>
      </c>
      <c r="B678" s="11">
        <v>129668</v>
      </c>
      <c r="C678" s="89" t="s">
        <v>364</v>
      </c>
      <c r="D678" s="157">
        <v>116</v>
      </c>
      <c r="E678" s="12" t="s">
        <v>191</v>
      </c>
      <c r="F678" s="11" t="s">
        <v>246</v>
      </c>
      <c r="G678" s="18" t="s">
        <v>247</v>
      </c>
      <c r="H678" s="11" t="s">
        <v>248</v>
      </c>
      <c r="I678" s="87" t="s">
        <v>249</v>
      </c>
      <c r="J678" s="19" t="s">
        <v>139</v>
      </c>
      <c r="K678" s="17" t="s">
        <v>140</v>
      </c>
      <c r="L678" s="257">
        <v>0</v>
      </c>
      <c r="M678" s="70" t="s">
        <v>250</v>
      </c>
      <c r="N678" s="70">
        <v>100</v>
      </c>
      <c r="O678" s="258">
        <v>8</v>
      </c>
      <c r="P678" s="70" t="s">
        <v>251</v>
      </c>
      <c r="Q678" s="70" t="s">
        <v>233</v>
      </c>
      <c r="R678" s="70" t="s">
        <v>240</v>
      </c>
      <c r="S678" s="70" t="s">
        <v>240</v>
      </c>
      <c r="T678" s="70" t="s">
        <v>240</v>
      </c>
      <c r="U678" s="70" t="s">
        <v>1427</v>
      </c>
      <c r="V678" s="70" t="s">
        <v>240</v>
      </c>
      <c r="W678" s="12"/>
      <c r="X678" s="242">
        <v>344.78</v>
      </c>
      <c r="Y678" s="242">
        <v>347.36</v>
      </c>
      <c r="Z678" s="242">
        <v>34.1</v>
      </c>
      <c r="AA678" s="157" t="s">
        <v>259</v>
      </c>
      <c r="AB678" s="242">
        <v>34.159999999999997</v>
      </c>
      <c r="AC678" s="157" t="s">
        <v>259</v>
      </c>
      <c r="AD678" s="242">
        <v>35.21</v>
      </c>
      <c r="AE678" s="157" t="s">
        <v>259</v>
      </c>
      <c r="AF678" s="242">
        <v>33.549999999999997</v>
      </c>
      <c r="AG678" s="157" t="s">
        <v>259</v>
      </c>
      <c r="AH678" s="242">
        <v>35.700000000000003</v>
      </c>
      <c r="AI678" s="157" t="s">
        <v>259</v>
      </c>
      <c r="AJ678" s="242">
        <v>13.97</v>
      </c>
      <c r="AK678" s="242" t="s">
        <v>259</v>
      </c>
      <c r="AL678" s="242">
        <v>16.93</v>
      </c>
      <c r="AM678" s="242" t="s">
        <v>259</v>
      </c>
      <c r="AN678" s="242">
        <v>3.85</v>
      </c>
      <c r="AO678" s="242" t="s">
        <v>259</v>
      </c>
      <c r="AP678" s="242">
        <v>10.29</v>
      </c>
      <c r="AQ678" s="242" t="s">
        <v>259</v>
      </c>
      <c r="AR678" s="242">
        <v>32.07</v>
      </c>
      <c r="AS678" s="242" t="s">
        <v>259</v>
      </c>
      <c r="AT678" s="242">
        <v>32.36</v>
      </c>
      <c r="AU678" s="242" t="s">
        <v>259</v>
      </c>
      <c r="AV678" s="242">
        <v>32.549999999999997</v>
      </c>
      <c r="AW678" s="157" t="s">
        <v>259</v>
      </c>
      <c r="AX678" s="157">
        <v>1006.88</v>
      </c>
      <c r="AY678" s="240">
        <v>0.14000000000000001</v>
      </c>
      <c r="AZ678" s="156" t="s">
        <v>253</v>
      </c>
      <c r="BA678" s="156" t="s">
        <v>254</v>
      </c>
      <c r="BB678" s="156">
        <v>0</v>
      </c>
      <c r="BC678" s="156" t="s">
        <v>1423</v>
      </c>
      <c r="BD678" s="3"/>
    </row>
    <row r="679" spans="1:56" ht="15.75" hidden="1" customHeight="1" outlineLevel="1">
      <c r="A679" s="58">
        <v>669</v>
      </c>
      <c r="B679" s="11">
        <v>129669</v>
      </c>
      <c r="C679" s="89" t="s">
        <v>364</v>
      </c>
      <c r="D679" s="157">
        <v>117</v>
      </c>
      <c r="E679" s="12" t="s">
        <v>191</v>
      </c>
      <c r="F679" s="11" t="s">
        <v>246</v>
      </c>
      <c r="G679" s="18" t="s">
        <v>247</v>
      </c>
      <c r="H679" s="11" t="s">
        <v>248</v>
      </c>
      <c r="I679" s="87" t="s">
        <v>249</v>
      </c>
      <c r="J679" s="19" t="s">
        <v>139</v>
      </c>
      <c r="K679" s="17" t="s">
        <v>140</v>
      </c>
      <c r="L679" s="260">
        <v>1</v>
      </c>
      <c r="M679" s="70" t="s">
        <v>250</v>
      </c>
      <c r="N679" s="70">
        <v>100</v>
      </c>
      <c r="O679" s="258">
        <v>8</v>
      </c>
      <c r="P679" s="70" t="s">
        <v>251</v>
      </c>
      <c r="Q679" s="70" t="s">
        <v>233</v>
      </c>
      <c r="R679" s="70" t="s">
        <v>240</v>
      </c>
      <c r="S679" s="70" t="s">
        <v>233</v>
      </c>
      <c r="T679" s="70" t="s">
        <v>233</v>
      </c>
      <c r="U679" s="70" t="s">
        <v>1427</v>
      </c>
      <c r="V679" s="70" t="s">
        <v>240</v>
      </c>
      <c r="W679" s="12"/>
      <c r="X679" s="242">
        <v>277.86799653078924</v>
      </c>
      <c r="Y679" s="242">
        <v>275.00242844752819</v>
      </c>
      <c r="Z679" s="242">
        <v>60.427666955767563</v>
      </c>
      <c r="AA679" s="157" t="s">
        <v>252</v>
      </c>
      <c r="AB679" s="242">
        <v>29.02922810060711</v>
      </c>
      <c r="AC679" s="157" t="s">
        <v>252</v>
      </c>
      <c r="AD679" s="242">
        <v>43.500346921075462</v>
      </c>
      <c r="AE679" s="157" t="s">
        <v>252</v>
      </c>
      <c r="AF679" s="242">
        <v>29.320901994796184</v>
      </c>
      <c r="AG679" s="157" t="s">
        <v>252</v>
      </c>
      <c r="AH679" s="242">
        <v>10.484908933217692</v>
      </c>
      <c r="AI679" s="157" t="s">
        <v>252</v>
      </c>
      <c r="AJ679" s="242">
        <v>10.556548135299218</v>
      </c>
      <c r="AK679" s="242" t="s">
        <v>252</v>
      </c>
      <c r="AL679" s="242">
        <v>4.446747614917606</v>
      </c>
      <c r="AM679" s="242" t="s">
        <v>252</v>
      </c>
      <c r="AN679" s="242">
        <v>4.410928013876843</v>
      </c>
      <c r="AO679" s="242" t="s">
        <v>252</v>
      </c>
      <c r="AP679" s="242">
        <v>5.8590633130962706</v>
      </c>
      <c r="AQ679" s="242" t="s">
        <v>252</v>
      </c>
      <c r="AR679" s="242">
        <v>26.741890719861232</v>
      </c>
      <c r="AS679" s="242" t="s">
        <v>252</v>
      </c>
      <c r="AT679" s="242">
        <v>26.271118820468345</v>
      </c>
      <c r="AU679" s="242" t="s">
        <v>252</v>
      </c>
      <c r="AV679" s="242">
        <v>36.126626192541195</v>
      </c>
      <c r="AW679" s="157" t="s">
        <v>252</v>
      </c>
      <c r="AX679" s="157">
        <v>840.04640069384209</v>
      </c>
      <c r="AY679" s="240">
        <v>0.11769297484822204</v>
      </c>
      <c r="AZ679" s="156" t="s">
        <v>253</v>
      </c>
      <c r="BA679" s="156" t="s">
        <v>254</v>
      </c>
      <c r="BB679" s="156">
        <v>1</v>
      </c>
      <c r="BC679" s="156" t="s">
        <v>1423</v>
      </c>
      <c r="BD679" s="3"/>
    </row>
    <row r="680" spans="1:56" ht="15.75" hidden="1" customHeight="1" outlineLevel="1">
      <c r="A680" s="58">
        <v>670</v>
      </c>
      <c r="B680" s="11">
        <v>129670</v>
      </c>
      <c r="C680" s="89" t="s">
        <v>364</v>
      </c>
      <c r="D680" s="157">
        <v>117</v>
      </c>
      <c r="E680" s="12" t="s">
        <v>231</v>
      </c>
      <c r="F680" s="11" t="s">
        <v>246</v>
      </c>
      <c r="G680" s="18" t="s">
        <v>247</v>
      </c>
      <c r="H680" s="11" t="s">
        <v>248</v>
      </c>
      <c r="I680" s="87" t="s">
        <v>249</v>
      </c>
      <c r="J680" s="19" t="s">
        <v>139</v>
      </c>
      <c r="K680" s="17" t="s">
        <v>140</v>
      </c>
      <c r="L680" s="257">
        <v>0</v>
      </c>
      <c r="M680" s="70" t="s">
        <v>250</v>
      </c>
      <c r="N680" s="70">
        <v>100</v>
      </c>
      <c r="O680" s="258">
        <v>8</v>
      </c>
      <c r="P680" s="70" t="s">
        <v>251</v>
      </c>
      <c r="Q680" s="70" t="s">
        <v>233</v>
      </c>
      <c r="R680" s="70" t="s">
        <v>240</v>
      </c>
      <c r="S680" s="70" t="s">
        <v>233</v>
      </c>
      <c r="T680" s="70" t="s">
        <v>233</v>
      </c>
      <c r="U680" s="70" t="s">
        <v>1427</v>
      </c>
      <c r="V680" s="70" t="s">
        <v>240</v>
      </c>
      <c r="W680" s="12"/>
      <c r="X680" s="242">
        <v>265.15200346921074</v>
      </c>
      <c r="Y680" s="242">
        <v>262.41757155247177</v>
      </c>
      <c r="Z680" s="242">
        <v>57.66233304423244</v>
      </c>
      <c r="AA680" s="157" t="s">
        <v>252</v>
      </c>
      <c r="AB680" s="242">
        <v>27.700771899392887</v>
      </c>
      <c r="AC680" s="157" t="s">
        <v>252</v>
      </c>
      <c r="AD680" s="242">
        <v>41.509653078924543</v>
      </c>
      <c r="AE680" s="157" t="s">
        <v>252</v>
      </c>
      <c r="AF680" s="242">
        <v>27.979098005203813</v>
      </c>
      <c r="AG680" s="157" t="s">
        <v>252</v>
      </c>
      <c r="AH680" s="242">
        <v>10.005091066782306</v>
      </c>
      <c r="AI680" s="157" t="s">
        <v>252</v>
      </c>
      <c r="AJ680" s="242">
        <v>10.073451864700781</v>
      </c>
      <c r="AK680" s="242" t="s">
        <v>252</v>
      </c>
      <c r="AL680" s="242">
        <v>4.2432523850823936</v>
      </c>
      <c r="AM680" s="242" t="s">
        <v>252</v>
      </c>
      <c r="AN680" s="242">
        <v>4.2090719861231563</v>
      </c>
      <c r="AO680" s="242" t="s">
        <v>252</v>
      </c>
      <c r="AP680" s="242">
        <v>5.5909366869037287</v>
      </c>
      <c r="AQ680" s="242" t="s">
        <v>252</v>
      </c>
      <c r="AR680" s="242">
        <v>25.518109280138766</v>
      </c>
      <c r="AS680" s="242" t="s">
        <v>252</v>
      </c>
      <c r="AT680" s="242">
        <v>25.068881179531658</v>
      </c>
      <c r="AU680" s="242" t="s">
        <v>252</v>
      </c>
      <c r="AV680" s="242">
        <v>34.473373807458799</v>
      </c>
      <c r="AW680" s="157" t="s">
        <v>252</v>
      </c>
      <c r="AX680" s="157">
        <v>801.60359930615789</v>
      </c>
      <c r="AY680" s="243">
        <v>0.11230702515177797</v>
      </c>
      <c r="AZ680" s="156" t="s">
        <v>253</v>
      </c>
      <c r="BA680" s="156" t="s">
        <v>254</v>
      </c>
      <c r="BB680" s="156">
        <v>0</v>
      </c>
      <c r="BC680" s="156" t="s">
        <v>1423</v>
      </c>
      <c r="BD680" s="3"/>
    </row>
    <row r="681" spans="1:56" ht="15.75" hidden="1" customHeight="1" outlineLevel="1">
      <c r="A681" s="58">
        <v>671</v>
      </c>
      <c r="B681" s="11">
        <v>129671</v>
      </c>
      <c r="C681" s="89" t="s">
        <v>364</v>
      </c>
      <c r="D681" s="157">
        <v>118</v>
      </c>
      <c r="E681" s="12" t="s">
        <v>191</v>
      </c>
      <c r="F681" s="11" t="s">
        <v>246</v>
      </c>
      <c r="G681" s="18" t="s">
        <v>247</v>
      </c>
      <c r="H681" s="11" t="s">
        <v>248</v>
      </c>
      <c r="I681" s="87" t="s">
        <v>249</v>
      </c>
      <c r="J681" s="19" t="s">
        <v>139</v>
      </c>
      <c r="K681" s="17" t="s">
        <v>140</v>
      </c>
      <c r="L681" s="257">
        <v>0</v>
      </c>
      <c r="M681" s="70" t="s">
        <v>250</v>
      </c>
      <c r="N681" s="70">
        <v>100</v>
      </c>
      <c r="O681" s="258">
        <v>8</v>
      </c>
      <c r="P681" s="70" t="s">
        <v>251</v>
      </c>
      <c r="Q681" s="70" t="s">
        <v>233</v>
      </c>
      <c r="R681" s="70" t="s">
        <v>240</v>
      </c>
      <c r="S681" s="70" t="s">
        <v>240</v>
      </c>
      <c r="T681" s="70" t="s">
        <v>240</v>
      </c>
      <c r="U681" s="70" t="s">
        <v>1427</v>
      </c>
      <c r="V681" s="70" t="s">
        <v>240</v>
      </c>
      <c r="W681" s="12"/>
      <c r="X681" s="242">
        <v>719.6400000000001</v>
      </c>
      <c r="Y681" s="242">
        <v>724.02</v>
      </c>
      <c r="Z681" s="242">
        <v>68.73</v>
      </c>
      <c r="AA681" s="157" t="s">
        <v>259</v>
      </c>
      <c r="AB681" s="242">
        <v>68.7</v>
      </c>
      <c r="AC681" s="157" t="s">
        <v>259</v>
      </c>
      <c r="AD681" s="242">
        <v>68.84</v>
      </c>
      <c r="AE681" s="157" t="s">
        <v>259</v>
      </c>
      <c r="AF681" s="242">
        <v>68.89</v>
      </c>
      <c r="AG681" s="157" t="s">
        <v>259</v>
      </c>
      <c r="AH681" s="242">
        <v>68.349999999999994</v>
      </c>
      <c r="AI681" s="157" t="s">
        <v>259</v>
      </c>
      <c r="AJ681" s="242">
        <v>26.23</v>
      </c>
      <c r="AK681" s="242" t="s">
        <v>259</v>
      </c>
      <c r="AL681" s="242">
        <v>30.17</v>
      </c>
      <c r="AM681" s="242" t="s">
        <v>259</v>
      </c>
      <c r="AN681" s="242">
        <v>4.0599999999999996</v>
      </c>
      <c r="AO681" s="242" t="s">
        <v>259</v>
      </c>
      <c r="AP681" s="242">
        <v>18.09</v>
      </c>
      <c r="AQ681" s="242" t="s">
        <v>259</v>
      </c>
      <c r="AR681" s="242">
        <v>61.06</v>
      </c>
      <c r="AS681" s="242" t="s">
        <v>259</v>
      </c>
      <c r="AT681" s="242">
        <v>61.52</v>
      </c>
      <c r="AU681" s="242" t="s">
        <v>259</v>
      </c>
      <c r="AV681" s="242">
        <v>62.63</v>
      </c>
      <c r="AW681" s="157" t="s">
        <v>259</v>
      </c>
      <c r="AX681" s="157">
        <v>2050.9299999999998</v>
      </c>
      <c r="AY681" s="240">
        <v>0.246</v>
      </c>
      <c r="AZ681" s="156" t="s">
        <v>253</v>
      </c>
      <c r="BA681" s="156" t="s">
        <v>254</v>
      </c>
      <c r="BB681" s="156">
        <v>0</v>
      </c>
      <c r="BC681" s="156" t="s">
        <v>1423</v>
      </c>
      <c r="BD681" s="3"/>
    </row>
    <row r="682" spans="1:56" ht="15.75" hidden="1" customHeight="1" outlineLevel="1">
      <c r="A682" s="58">
        <v>672</v>
      </c>
      <c r="B682" s="11">
        <v>129672</v>
      </c>
      <c r="C682" s="89" t="s">
        <v>364</v>
      </c>
      <c r="D682" s="157">
        <v>119</v>
      </c>
      <c r="E682" s="12" t="s">
        <v>191</v>
      </c>
      <c r="F682" s="11" t="s">
        <v>246</v>
      </c>
      <c r="G682" s="18" t="s">
        <v>247</v>
      </c>
      <c r="H682" s="11" t="s">
        <v>248</v>
      </c>
      <c r="I682" s="87" t="s">
        <v>249</v>
      </c>
      <c r="J682" s="19" t="s">
        <v>139</v>
      </c>
      <c r="K682" s="17" t="s">
        <v>140</v>
      </c>
      <c r="L682" s="257">
        <v>0</v>
      </c>
      <c r="M682" s="70" t="s">
        <v>250</v>
      </c>
      <c r="N682" s="70">
        <v>100</v>
      </c>
      <c r="O682" s="258">
        <v>8</v>
      </c>
      <c r="P682" s="70" t="s">
        <v>251</v>
      </c>
      <c r="Q682" s="70" t="s">
        <v>233</v>
      </c>
      <c r="R682" s="70" t="s">
        <v>240</v>
      </c>
      <c r="S682" s="70" t="s">
        <v>233</v>
      </c>
      <c r="T682" s="70" t="s">
        <v>233</v>
      </c>
      <c r="U682" s="70" t="s">
        <v>1427</v>
      </c>
      <c r="V682" s="70" t="s">
        <v>240</v>
      </c>
      <c r="W682" s="12"/>
      <c r="X682" s="242">
        <v>244.4883074075357</v>
      </c>
      <c r="Y682" s="242">
        <v>244.45751542927277</v>
      </c>
      <c r="Z682" s="242">
        <v>55.148433068878646</v>
      </c>
      <c r="AA682" s="157" t="s">
        <v>252</v>
      </c>
      <c r="AB682" s="242">
        <v>26.542685262631711</v>
      </c>
      <c r="AC682" s="157" t="s">
        <v>252</v>
      </c>
      <c r="AD682" s="242">
        <v>39.715493563506236</v>
      </c>
      <c r="AE682" s="157" t="s">
        <v>252</v>
      </c>
      <c r="AF682" s="242">
        <v>26.825971462650518</v>
      </c>
      <c r="AG682" s="157" t="s">
        <v>252</v>
      </c>
      <c r="AH682" s="242">
        <v>9.7795322963014293</v>
      </c>
      <c r="AI682" s="157" t="s">
        <v>252</v>
      </c>
      <c r="AJ682" s="242">
        <v>3.4733351480566781</v>
      </c>
      <c r="AK682" s="242" t="s">
        <v>252</v>
      </c>
      <c r="AL682" s="242">
        <v>2.6419517349580053</v>
      </c>
      <c r="AM682" s="242" t="s">
        <v>252</v>
      </c>
      <c r="AN682" s="242">
        <v>2.6850605045260849</v>
      </c>
      <c r="AO682" s="242" t="s">
        <v>252</v>
      </c>
      <c r="AP682" s="242">
        <v>3.5226023132773405</v>
      </c>
      <c r="AQ682" s="242" t="s">
        <v>252</v>
      </c>
      <c r="AR682" s="242">
        <v>25.003086349486018</v>
      </c>
      <c r="AS682" s="242" t="s">
        <v>252</v>
      </c>
      <c r="AT682" s="242">
        <v>24.294870849439004</v>
      </c>
      <c r="AU682" s="242" t="s">
        <v>252</v>
      </c>
      <c r="AV682" s="242">
        <v>33.12601021524268</v>
      </c>
      <c r="AW682" s="157" t="s">
        <v>252</v>
      </c>
      <c r="AX682" s="157">
        <v>741.70485560576276</v>
      </c>
      <c r="AY682" s="240">
        <v>0.11085112174648973</v>
      </c>
      <c r="AZ682" s="156" t="s">
        <v>253</v>
      </c>
      <c r="BA682" s="156" t="s">
        <v>254</v>
      </c>
      <c r="BB682" s="156">
        <v>0</v>
      </c>
      <c r="BC682" s="156" t="s">
        <v>1423</v>
      </c>
      <c r="BD682" s="3"/>
    </row>
    <row r="683" spans="1:56" ht="15.75" hidden="1" customHeight="1" outlineLevel="1">
      <c r="A683" s="58">
        <v>673</v>
      </c>
      <c r="B683" s="11">
        <v>129673</v>
      </c>
      <c r="C683" s="89" t="s">
        <v>364</v>
      </c>
      <c r="D683" s="157">
        <v>119</v>
      </c>
      <c r="E683" s="12" t="s">
        <v>231</v>
      </c>
      <c r="F683" s="11" t="s">
        <v>246</v>
      </c>
      <c r="G683" s="18" t="s">
        <v>247</v>
      </c>
      <c r="H683" s="11" t="s">
        <v>248</v>
      </c>
      <c r="I683" s="87" t="s">
        <v>249</v>
      </c>
      <c r="J683" s="19" t="s">
        <v>139</v>
      </c>
      <c r="K683" s="17" t="s">
        <v>140</v>
      </c>
      <c r="L683" s="257">
        <v>0</v>
      </c>
      <c r="M683" s="70" t="s">
        <v>250</v>
      </c>
      <c r="N683" s="70">
        <v>100</v>
      </c>
      <c r="O683" s="258">
        <v>8</v>
      </c>
      <c r="P683" s="70" t="s">
        <v>251</v>
      </c>
      <c r="Q683" s="70" t="s">
        <v>233</v>
      </c>
      <c r="R683" s="70" t="s">
        <v>240</v>
      </c>
      <c r="S683" s="70" t="s">
        <v>233</v>
      </c>
      <c r="T683" s="70" t="s">
        <v>233</v>
      </c>
      <c r="U683" s="70" t="s">
        <v>1427</v>
      </c>
      <c r="V683" s="70" t="s">
        <v>240</v>
      </c>
      <c r="W683" s="12"/>
      <c r="X683" s="242">
        <v>152.51169259246427</v>
      </c>
      <c r="Y683" s="242">
        <v>152.49248457072719</v>
      </c>
      <c r="Z683" s="242">
        <v>34.401566931121351</v>
      </c>
      <c r="AA683" s="157" t="s">
        <v>252</v>
      </c>
      <c r="AB683" s="242">
        <v>16.557314737368287</v>
      </c>
      <c r="AC683" s="157" t="s">
        <v>252</v>
      </c>
      <c r="AD683" s="242">
        <v>24.774506436493756</v>
      </c>
      <c r="AE683" s="157" t="s">
        <v>252</v>
      </c>
      <c r="AF683" s="242">
        <v>16.734028537349481</v>
      </c>
      <c r="AG683" s="157" t="s">
        <v>252</v>
      </c>
      <c r="AH683" s="242">
        <v>6.1004677036985715</v>
      </c>
      <c r="AI683" s="157" t="s">
        <v>252</v>
      </c>
      <c r="AJ683" s="242">
        <v>2.1666648519433211</v>
      </c>
      <c r="AK683" s="242" t="s">
        <v>252</v>
      </c>
      <c r="AL683" s="242">
        <v>1.6480482650419943</v>
      </c>
      <c r="AM683" s="242" t="s">
        <v>252</v>
      </c>
      <c r="AN683" s="242">
        <v>1.6749394954739152</v>
      </c>
      <c r="AO683" s="242" t="s">
        <v>252</v>
      </c>
      <c r="AP683" s="242">
        <v>2.1973976867226592</v>
      </c>
      <c r="AQ683" s="242" t="s">
        <v>252</v>
      </c>
      <c r="AR683" s="242">
        <v>15.596913650513979</v>
      </c>
      <c r="AS683" s="242" t="s">
        <v>252</v>
      </c>
      <c r="AT683" s="242">
        <v>15.155129150560999</v>
      </c>
      <c r="AU683" s="242" t="s">
        <v>252</v>
      </c>
      <c r="AV683" s="242">
        <v>20.663989784757312</v>
      </c>
      <c r="AW683" s="157" t="s">
        <v>252</v>
      </c>
      <c r="AX683" s="157">
        <v>462.67514439423707</v>
      </c>
      <c r="AY683" s="243">
        <v>6.9148878253510251E-2</v>
      </c>
      <c r="AZ683" s="156" t="s">
        <v>253</v>
      </c>
      <c r="BA683" s="156" t="s">
        <v>254</v>
      </c>
      <c r="BB683" s="156">
        <v>0</v>
      </c>
      <c r="BC683" s="156" t="s">
        <v>1423</v>
      </c>
      <c r="BD683" s="3"/>
    </row>
    <row r="684" spans="1:56" ht="15.75" hidden="1" customHeight="1" outlineLevel="1">
      <c r="A684" s="58">
        <v>674</v>
      </c>
      <c r="B684" s="11">
        <v>129674</v>
      </c>
      <c r="C684" s="89" t="s">
        <v>364</v>
      </c>
      <c r="D684" s="157">
        <v>120</v>
      </c>
      <c r="E684" s="12" t="s">
        <v>191</v>
      </c>
      <c r="F684" s="11" t="s">
        <v>246</v>
      </c>
      <c r="G684" s="18" t="s">
        <v>247</v>
      </c>
      <c r="H684" s="11" t="s">
        <v>248</v>
      </c>
      <c r="I684" s="87" t="s">
        <v>249</v>
      </c>
      <c r="J684" s="19" t="s">
        <v>139</v>
      </c>
      <c r="K684" s="17" t="s">
        <v>140</v>
      </c>
      <c r="L684" s="260">
        <v>1</v>
      </c>
      <c r="M684" s="70" t="s">
        <v>250</v>
      </c>
      <c r="N684" s="70">
        <v>100</v>
      </c>
      <c r="O684" s="258">
        <v>8</v>
      </c>
      <c r="P684" s="70" t="s">
        <v>251</v>
      </c>
      <c r="Q684" s="70" t="s">
        <v>233</v>
      </c>
      <c r="R684" s="70" t="s">
        <v>240</v>
      </c>
      <c r="S684" s="70" t="s">
        <v>233</v>
      </c>
      <c r="T684" s="70" t="s">
        <v>233</v>
      </c>
      <c r="U684" s="70" t="s">
        <v>1427</v>
      </c>
      <c r="V684" s="70" t="s">
        <v>240</v>
      </c>
      <c r="W684" s="12"/>
      <c r="X684" s="242">
        <v>807.41000000000008</v>
      </c>
      <c r="Y684" s="242">
        <v>824.51</v>
      </c>
      <c r="Z684" s="242">
        <v>82.69</v>
      </c>
      <c r="AA684" s="157" t="s">
        <v>259</v>
      </c>
      <c r="AB684" s="242">
        <v>82.77</v>
      </c>
      <c r="AC684" s="157" t="s">
        <v>259</v>
      </c>
      <c r="AD684" s="242">
        <v>82.4</v>
      </c>
      <c r="AE684" s="157" t="s">
        <v>259</v>
      </c>
      <c r="AF684" s="242">
        <v>82.68</v>
      </c>
      <c r="AG684" s="157" t="s">
        <v>259</v>
      </c>
      <c r="AH684" s="242">
        <v>82.41</v>
      </c>
      <c r="AI684" s="157" t="s">
        <v>259</v>
      </c>
      <c r="AJ684" s="242">
        <v>29.05</v>
      </c>
      <c r="AK684" s="242" t="s">
        <v>259</v>
      </c>
      <c r="AL684" s="242">
        <v>31.38</v>
      </c>
      <c r="AM684" s="242" t="s">
        <v>259</v>
      </c>
      <c r="AN684" s="242">
        <v>2.66</v>
      </c>
      <c r="AO684" s="242" t="s">
        <v>259</v>
      </c>
      <c r="AP684" s="242">
        <v>20.53</v>
      </c>
      <c r="AQ684" s="242" t="s">
        <v>259</v>
      </c>
      <c r="AR684" s="242">
        <v>76.22</v>
      </c>
      <c r="AS684" s="242" t="s">
        <v>259</v>
      </c>
      <c r="AT684" s="242">
        <v>76.260000000000005</v>
      </c>
      <c r="AU684" s="242" t="s">
        <v>259</v>
      </c>
      <c r="AV684" s="242">
        <v>77.67</v>
      </c>
      <c r="AW684" s="157" t="s">
        <v>259</v>
      </c>
      <c r="AX684" s="157">
        <v>2358.6400000000008</v>
      </c>
      <c r="AY684" s="240">
        <v>0.27700000000000002</v>
      </c>
      <c r="AZ684" s="156" t="s">
        <v>253</v>
      </c>
      <c r="BA684" s="156" t="s">
        <v>254</v>
      </c>
      <c r="BB684" s="156">
        <v>1</v>
      </c>
      <c r="BC684" s="156" t="s">
        <v>1423</v>
      </c>
      <c r="BD684" s="3"/>
    </row>
    <row r="685" spans="1:56" ht="15.75" hidden="1" customHeight="1" outlineLevel="1">
      <c r="A685" s="58">
        <v>675</v>
      </c>
      <c r="B685" s="11">
        <v>129675</v>
      </c>
      <c r="C685" s="89" t="s">
        <v>364</v>
      </c>
      <c r="D685" s="157" t="s">
        <v>367</v>
      </c>
      <c r="E685" s="12" t="s">
        <v>231</v>
      </c>
      <c r="F685" s="11" t="s">
        <v>246</v>
      </c>
      <c r="G685" s="18" t="s">
        <v>247</v>
      </c>
      <c r="H685" s="11" t="s">
        <v>248</v>
      </c>
      <c r="I685" s="87" t="s">
        <v>249</v>
      </c>
      <c r="J685" s="19" t="s">
        <v>139</v>
      </c>
      <c r="K685" s="17" t="s">
        <v>140</v>
      </c>
      <c r="L685" s="260">
        <v>1</v>
      </c>
      <c r="M685" s="70" t="s">
        <v>250</v>
      </c>
      <c r="N685" s="70">
        <v>100</v>
      </c>
      <c r="O685" s="258">
        <v>8</v>
      </c>
      <c r="P685" s="70" t="s">
        <v>251</v>
      </c>
      <c r="Q685" s="70" t="s">
        <v>233</v>
      </c>
      <c r="R685" s="70" t="s">
        <v>240</v>
      </c>
      <c r="S685" s="70" t="s">
        <v>233</v>
      </c>
      <c r="T685" s="70" t="s">
        <v>233</v>
      </c>
      <c r="U685" s="70" t="s">
        <v>1427</v>
      </c>
      <c r="V685" s="70" t="s">
        <v>240</v>
      </c>
      <c r="W685" s="12"/>
      <c r="X685" s="242">
        <v>754.52</v>
      </c>
      <c r="Y685" s="242">
        <v>869.46999999999991</v>
      </c>
      <c r="Z685" s="242">
        <v>139.78</v>
      </c>
      <c r="AA685" s="157" t="s">
        <v>252</v>
      </c>
      <c r="AB685" s="242">
        <v>89.58</v>
      </c>
      <c r="AC685" s="157" t="s">
        <v>252</v>
      </c>
      <c r="AD685" s="242">
        <v>106.08</v>
      </c>
      <c r="AE685" s="157" t="s">
        <v>252</v>
      </c>
      <c r="AF685" s="242">
        <v>76.349999999999994</v>
      </c>
      <c r="AG685" s="157" t="s">
        <v>252</v>
      </c>
      <c r="AH685" s="242">
        <v>24.77</v>
      </c>
      <c r="AI685" s="157" t="s">
        <v>252</v>
      </c>
      <c r="AJ685" s="242">
        <v>9.6999999999999993</v>
      </c>
      <c r="AK685" s="242" t="s">
        <v>252</v>
      </c>
      <c r="AL685" s="242">
        <v>13.74</v>
      </c>
      <c r="AM685" s="242" t="s">
        <v>252</v>
      </c>
      <c r="AN685" s="242">
        <v>9.16</v>
      </c>
      <c r="AO685" s="242" t="s">
        <v>252</v>
      </c>
      <c r="AP685" s="242">
        <v>11.81</v>
      </c>
      <c r="AQ685" s="242" t="s">
        <v>252</v>
      </c>
      <c r="AR685" s="242">
        <v>68.48</v>
      </c>
      <c r="AS685" s="242" t="s">
        <v>252</v>
      </c>
      <c r="AT685" s="242">
        <v>70.239999999999995</v>
      </c>
      <c r="AU685" s="242" t="s">
        <v>252</v>
      </c>
      <c r="AV685" s="242">
        <v>90.85</v>
      </c>
      <c r="AW685" s="157" t="s">
        <v>252</v>
      </c>
      <c r="AX685" s="157">
        <v>2334.5299999999988</v>
      </c>
      <c r="AY685" s="240">
        <v>0.252</v>
      </c>
      <c r="AZ685" s="156" t="s">
        <v>253</v>
      </c>
      <c r="BA685" s="156" t="s">
        <v>254</v>
      </c>
      <c r="BB685" s="156">
        <v>0</v>
      </c>
      <c r="BC685" s="156" t="s">
        <v>1423</v>
      </c>
      <c r="BD685" s="3"/>
    </row>
    <row r="686" spans="1:56" ht="15.75" hidden="1" customHeight="1" outlineLevel="1">
      <c r="A686" s="58">
        <v>676</v>
      </c>
      <c r="B686" s="11">
        <v>129676</v>
      </c>
      <c r="C686" s="89" t="s">
        <v>364</v>
      </c>
      <c r="D686" s="157">
        <v>123</v>
      </c>
      <c r="E686" s="12" t="s">
        <v>191</v>
      </c>
      <c r="F686" s="11" t="s">
        <v>246</v>
      </c>
      <c r="G686" s="18" t="s">
        <v>247</v>
      </c>
      <c r="H686" s="11" t="s">
        <v>248</v>
      </c>
      <c r="I686" s="87" t="s">
        <v>249</v>
      </c>
      <c r="J686" s="19" t="s">
        <v>139</v>
      </c>
      <c r="K686" s="17" t="s">
        <v>140</v>
      </c>
      <c r="L686" s="257">
        <v>0</v>
      </c>
      <c r="M686" s="70" t="s">
        <v>250</v>
      </c>
      <c r="N686" s="70">
        <v>100</v>
      </c>
      <c r="O686" s="258">
        <v>8</v>
      </c>
      <c r="P686" s="70" t="s">
        <v>251</v>
      </c>
      <c r="Q686" s="70" t="s">
        <v>233</v>
      </c>
      <c r="R686" s="70" t="s">
        <v>240</v>
      </c>
      <c r="S686" s="70" t="s">
        <v>233</v>
      </c>
      <c r="T686" s="70" t="s">
        <v>233</v>
      </c>
      <c r="U686" s="70" t="s">
        <v>1427</v>
      </c>
      <c r="V686" s="70" t="s">
        <v>240</v>
      </c>
      <c r="W686" s="12"/>
      <c r="X686" s="242">
        <v>398.95117736670295</v>
      </c>
      <c r="Y686" s="242">
        <v>410.86944660345085</v>
      </c>
      <c r="Z686" s="242">
        <v>56.211935022540025</v>
      </c>
      <c r="AA686" s="157" t="s">
        <v>252</v>
      </c>
      <c r="AB686" s="242">
        <v>40.754848437742886</v>
      </c>
      <c r="AC686" s="157" t="s">
        <v>252</v>
      </c>
      <c r="AD686" s="242">
        <v>65.606272967511259</v>
      </c>
      <c r="AE686" s="157" t="s">
        <v>252</v>
      </c>
      <c r="AF686" s="242">
        <v>34.81962474739624</v>
      </c>
      <c r="AG686" s="157" t="s">
        <v>252</v>
      </c>
      <c r="AH686" s="242">
        <v>14.691936887921653</v>
      </c>
      <c r="AI686" s="157" t="s">
        <v>252</v>
      </c>
      <c r="AJ686" s="242">
        <v>5.9086559925384732</v>
      </c>
      <c r="AK686" s="242" t="s">
        <v>252</v>
      </c>
      <c r="AL686" s="242">
        <v>4.2242639515000775</v>
      </c>
      <c r="AM686" s="242" t="s">
        <v>252</v>
      </c>
      <c r="AN686" s="242">
        <v>4.7290502098554326</v>
      </c>
      <c r="AO686" s="242" t="s">
        <v>252</v>
      </c>
      <c r="AP686" s="242">
        <v>6.5834755168661587</v>
      </c>
      <c r="AQ686" s="242" t="s">
        <v>252</v>
      </c>
      <c r="AR686" s="242">
        <v>38.199035908596301</v>
      </c>
      <c r="AS686" s="242" t="s">
        <v>252</v>
      </c>
      <c r="AT686" s="242">
        <v>38.608178454842218</v>
      </c>
      <c r="AU686" s="242" t="s">
        <v>252</v>
      </c>
      <c r="AV686" s="242">
        <v>44.22486076200839</v>
      </c>
      <c r="AW686" s="157" t="s">
        <v>259</v>
      </c>
      <c r="AX686" s="157">
        <v>1164.3827628294725</v>
      </c>
      <c r="AY686" s="240">
        <v>0.20191450334214206</v>
      </c>
      <c r="AZ686" s="156" t="s">
        <v>253</v>
      </c>
      <c r="BA686" s="156" t="s">
        <v>254</v>
      </c>
      <c r="BB686" s="156">
        <v>0</v>
      </c>
      <c r="BC686" s="156" t="s">
        <v>1423</v>
      </c>
      <c r="BD686" s="3"/>
    </row>
    <row r="687" spans="1:56" ht="15.75" hidden="1" customHeight="1" outlineLevel="1">
      <c r="A687" s="58">
        <v>677</v>
      </c>
      <c r="B687" s="11">
        <v>129677</v>
      </c>
      <c r="C687" s="89" t="s">
        <v>364</v>
      </c>
      <c r="D687" s="157">
        <v>123</v>
      </c>
      <c r="E687" s="12" t="s">
        <v>231</v>
      </c>
      <c r="F687" s="11" t="s">
        <v>246</v>
      </c>
      <c r="G687" s="18" t="s">
        <v>247</v>
      </c>
      <c r="H687" s="11" t="s">
        <v>248</v>
      </c>
      <c r="I687" s="87" t="s">
        <v>249</v>
      </c>
      <c r="J687" s="19" t="s">
        <v>139</v>
      </c>
      <c r="K687" s="17" t="s">
        <v>140</v>
      </c>
      <c r="L687" s="257">
        <v>0</v>
      </c>
      <c r="M687" s="70" t="s">
        <v>250</v>
      </c>
      <c r="N687" s="70">
        <v>100</v>
      </c>
      <c r="O687" s="258">
        <v>8</v>
      </c>
      <c r="P687" s="70" t="s">
        <v>251</v>
      </c>
      <c r="Q687" s="70" t="s">
        <v>233</v>
      </c>
      <c r="R687" s="70" t="s">
        <v>240</v>
      </c>
      <c r="S687" s="70" t="s">
        <v>233</v>
      </c>
      <c r="T687" s="70" t="s">
        <v>233</v>
      </c>
      <c r="U687" s="70" t="s">
        <v>1427</v>
      </c>
      <c r="V687" s="70" t="s">
        <v>240</v>
      </c>
      <c r="W687" s="12"/>
      <c r="X687" s="242">
        <v>351.8688226332971</v>
      </c>
      <c r="Y687" s="242">
        <v>362.38055339654903</v>
      </c>
      <c r="Z687" s="242">
        <v>49.578064977459981</v>
      </c>
      <c r="AA687" s="157" t="s">
        <v>252</v>
      </c>
      <c r="AB687" s="242">
        <v>35.945151562257116</v>
      </c>
      <c r="AC687" s="157" t="s">
        <v>252</v>
      </c>
      <c r="AD687" s="242">
        <v>57.863727032488733</v>
      </c>
      <c r="AE687" s="157" t="s">
        <v>252</v>
      </c>
      <c r="AF687" s="242">
        <v>30.710375252603765</v>
      </c>
      <c r="AG687" s="157" t="s">
        <v>252</v>
      </c>
      <c r="AH687" s="242">
        <v>12.958063112078346</v>
      </c>
      <c r="AI687" s="157" t="s">
        <v>252</v>
      </c>
      <c r="AJ687" s="242">
        <v>5.211344007461526</v>
      </c>
      <c r="AK687" s="242" t="s">
        <v>252</v>
      </c>
      <c r="AL687" s="242">
        <v>3.7257360484999227</v>
      </c>
      <c r="AM687" s="242" t="s">
        <v>252</v>
      </c>
      <c r="AN687" s="242">
        <v>4.1709497901445678</v>
      </c>
      <c r="AO687" s="242" t="s">
        <v>252</v>
      </c>
      <c r="AP687" s="242">
        <v>5.8065244831338418</v>
      </c>
      <c r="AQ687" s="242" t="s">
        <v>252</v>
      </c>
      <c r="AR687" s="242">
        <v>33.6909640914037</v>
      </c>
      <c r="AS687" s="242" t="s">
        <v>252</v>
      </c>
      <c r="AT687" s="242">
        <v>34.051821545157779</v>
      </c>
      <c r="AU687" s="242" t="s">
        <v>252</v>
      </c>
      <c r="AV687" s="242">
        <v>39.005649237991605</v>
      </c>
      <c r="AW687" s="157" t="s">
        <v>259</v>
      </c>
      <c r="AX687" s="157">
        <v>1026.967747170527</v>
      </c>
      <c r="AY687" s="243">
        <v>0.17808549665785794</v>
      </c>
      <c r="AZ687" s="156" t="s">
        <v>253</v>
      </c>
      <c r="BA687" s="156" t="s">
        <v>254</v>
      </c>
      <c r="BB687" s="156">
        <v>0</v>
      </c>
      <c r="BC687" s="156" t="s">
        <v>1423</v>
      </c>
      <c r="BD687" s="3"/>
    </row>
    <row r="688" spans="1:56" ht="15.75" hidden="1" customHeight="1" outlineLevel="1">
      <c r="A688" s="58">
        <v>678</v>
      </c>
      <c r="B688" s="11">
        <v>129678</v>
      </c>
      <c r="C688" s="89" t="s">
        <v>364</v>
      </c>
      <c r="D688" s="157">
        <v>124</v>
      </c>
      <c r="E688" s="12" t="s">
        <v>191</v>
      </c>
      <c r="F688" s="11" t="s">
        <v>246</v>
      </c>
      <c r="G688" s="18" t="s">
        <v>247</v>
      </c>
      <c r="H688" s="11" t="s">
        <v>248</v>
      </c>
      <c r="I688" s="87" t="s">
        <v>249</v>
      </c>
      <c r="J688" s="19" t="s">
        <v>139</v>
      </c>
      <c r="K688" s="17" t="s">
        <v>140</v>
      </c>
      <c r="L688" s="257">
        <v>0</v>
      </c>
      <c r="M688" s="70" t="s">
        <v>250</v>
      </c>
      <c r="N688" s="70">
        <v>80</v>
      </c>
      <c r="O688" s="258">
        <v>8</v>
      </c>
      <c r="P688" s="70" t="s">
        <v>251</v>
      </c>
      <c r="Q688" s="70" t="s">
        <v>233</v>
      </c>
      <c r="R688" s="70" t="s">
        <v>240</v>
      </c>
      <c r="S688" s="70" t="s">
        <v>233</v>
      </c>
      <c r="T688" s="70" t="s">
        <v>233</v>
      </c>
      <c r="U688" s="70" t="s">
        <v>1427</v>
      </c>
      <c r="V688" s="70" t="s">
        <v>240</v>
      </c>
      <c r="W688" s="12"/>
      <c r="X688" s="242">
        <v>632.23</v>
      </c>
      <c r="Y688" s="242">
        <v>740.61999999999989</v>
      </c>
      <c r="Z688" s="242">
        <v>118.34</v>
      </c>
      <c r="AA688" s="157" t="s">
        <v>252</v>
      </c>
      <c r="AB688" s="242">
        <v>75.52</v>
      </c>
      <c r="AC688" s="157" t="s">
        <v>252</v>
      </c>
      <c r="AD688" s="242">
        <v>89.82</v>
      </c>
      <c r="AE688" s="157" t="s">
        <v>252</v>
      </c>
      <c r="AF688" s="242">
        <v>64.459999999999994</v>
      </c>
      <c r="AG688" s="157" t="s">
        <v>252</v>
      </c>
      <c r="AH688" s="242">
        <v>20.92</v>
      </c>
      <c r="AI688" s="157" t="s">
        <v>252</v>
      </c>
      <c r="AJ688" s="242">
        <v>9.57</v>
      </c>
      <c r="AK688" s="242" t="s">
        <v>252</v>
      </c>
      <c r="AL688" s="242">
        <v>10.77</v>
      </c>
      <c r="AM688" s="242" t="s">
        <v>252</v>
      </c>
      <c r="AN688" s="242">
        <v>8.99</v>
      </c>
      <c r="AO688" s="242" t="s">
        <v>252</v>
      </c>
      <c r="AP688" s="242">
        <v>11.52</v>
      </c>
      <c r="AQ688" s="242" t="s">
        <v>252</v>
      </c>
      <c r="AR688" s="242">
        <v>57.56</v>
      </c>
      <c r="AS688" s="242" t="s">
        <v>252</v>
      </c>
      <c r="AT688" s="242">
        <v>59.31</v>
      </c>
      <c r="AU688" s="242" t="s">
        <v>252</v>
      </c>
      <c r="AV688" s="242">
        <v>76.78</v>
      </c>
      <c r="AW688" s="157" t="s">
        <v>252</v>
      </c>
      <c r="AX688" s="157">
        <v>1976.4099999999996</v>
      </c>
      <c r="AY688" s="240">
        <v>0.21160000000000001</v>
      </c>
      <c r="AZ688" s="156" t="s">
        <v>253</v>
      </c>
      <c r="BA688" s="156" t="s">
        <v>254</v>
      </c>
      <c r="BB688" s="156">
        <v>0</v>
      </c>
      <c r="BC688" s="156" t="s">
        <v>1423</v>
      </c>
      <c r="BD688" s="3"/>
    </row>
    <row r="689" spans="1:56" ht="15.75" hidden="1" customHeight="1" outlineLevel="1">
      <c r="A689" s="58">
        <v>679</v>
      </c>
      <c r="B689" s="11">
        <v>129679</v>
      </c>
      <c r="C689" s="89" t="s">
        <v>364</v>
      </c>
      <c r="D689" s="157">
        <v>125</v>
      </c>
      <c r="E689" s="12" t="s">
        <v>191</v>
      </c>
      <c r="F689" s="11" t="s">
        <v>246</v>
      </c>
      <c r="G689" s="18" t="s">
        <v>247</v>
      </c>
      <c r="H689" s="11" t="s">
        <v>248</v>
      </c>
      <c r="I689" s="87" t="s">
        <v>249</v>
      </c>
      <c r="J689" s="19" t="s">
        <v>139</v>
      </c>
      <c r="K689" s="17" t="s">
        <v>140</v>
      </c>
      <c r="L689" s="260">
        <v>2</v>
      </c>
      <c r="M689" s="70" t="s">
        <v>250</v>
      </c>
      <c r="N689" s="70">
        <v>80</v>
      </c>
      <c r="O689" s="258">
        <v>8</v>
      </c>
      <c r="P689" s="70" t="s">
        <v>251</v>
      </c>
      <c r="Q689" s="70" t="s">
        <v>233</v>
      </c>
      <c r="R689" s="70" t="s">
        <v>240</v>
      </c>
      <c r="S689" s="70" t="s">
        <v>233</v>
      </c>
      <c r="T689" s="70" t="s">
        <v>233</v>
      </c>
      <c r="U689" s="70" t="s">
        <v>1427</v>
      </c>
      <c r="V689" s="70" t="s">
        <v>240</v>
      </c>
      <c r="W689" s="12"/>
      <c r="X689" s="242">
        <v>341.02874934771268</v>
      </c>
      <c r="Y689" s="242">
        <v>347.17973908505826</v>
      </c>
      <c r="Z689" s="242">
        <v>46.711643764132894</v>
      </c>
      <c r="AA689" s="157" t="s">
        <v>252</v>
      </c>
      <c r="AB689" s="242">
        <v>33.859328578883286</v>
      </c>
      <c r="AC689" s="157" t="s">
        <v>252</v>
      </c>
      <c r="AD689" s="242">
        <v>54.495397460427903</v>
      </c>
      <c r="AE689" s="157" t="s">
        <v>252</v>
      </c>
      <c r="AF689" s="242">
        <v>28.915428770220906</v>
      </c>
      <c r="AG689" s="157" t="s">
        <v>252</v>
      </c>
      <c r="AH689" s="242">
        <v>12.080020873195338</v>
      </c>
      <c r="AI689" s="157" t="s">
        <v>252</v>
      </c>
      <c r="AJ689" s="242">
        <v>8.1638197947469138</v>
      </c>
      <c r="AK689" s="242" t="s">
        <v>252</v>
      </c>
      <c r="AL689" s="242">
        <v>4.0651869890415728</v>
      </c>
      <c r="AM689" s="242" t="s">
        <v>252</v>
      </c>
      <c r="AN689" s="242">
        <v>4.5699147677857015</v>
      </c>
      <c r="AO689" s="242" t="s">
        <v>252</v>
      </c>
      <c r="AP689" s="242">
        <v>6.3638267524786922</v>
      </c>
      <c r="AQ689" s="242" t="s">
        <v>252</v>
      </c>
      <c r="AR689" s="242">
        <v>31.508999826056705</v>
      </c>
      <c r="AS689" s="242" t="s">
        <v>252</v>
      </c>
      <c r="AT689" s="242">
        <v>31.958998086623762</v>
      </c>
      <c r="AU689" s="242" t="s">
        <v>252</v>
      </c>
      <c r="AV689" s="242">
        <v>36.682389626021916</v>
      </c>
      <c r="AW689" s="157" t="s">
        <v>259</v>
      </c>
      <c r="AX689" s="157">
        <v>987.58344372238639</v>
      </c>
      <c r="AY689" s="240">
        <v>0.16114802574360759</v>
      </c>
      <c r="AZ689" s="156" t="s">
        <v>253</v>
      </c>
      <c r="BA689" s="156" t="s">
        <v>254</v>
      </c>
      <c r="BB689" s="156">
        <v>2</v>
      </c>
      <c r="BC689" s="156" t="s">
        <v>1423</v>
      </c>
      <c r="BD689" s="3"/>
    </row>
    <row r="690" spans="1:56" ht="15.75" hidden="1" customHeight="1" outlineLevel="1">
      <c r="A690" s="58">
        <v>680</v>
      </c>
      <c r="B690" s="11">
        <v>129680</v>
      </c>
      <c r="C690" s="89" t="s">
        <v>364</v>
      </c>
      <c r="D690" s="157">
        <v>125</v>
      </c>
      <c r="E690" s="12" t="s">
        <v>231</v>
      </c>
      <c r="F690" s="11" t="s">
        <v>246</v>
      </c>
      <c r="G690" s="18" t="s">
        <v>247</v>
      </c>
      <c r="H690" s="11" t="s">
        <v>248</v>
      </c>
      <c r="I690" s="87" t="s">
        <v>249</v>
      </c>
      <c r="J690" s="19" t="s">
        <v>139</v>
      </c>
      <c r="K690" s="17" t="s">
        <v>140</v>
      </c>
      <c r="L690" s="257">
        <v>0</v>
      </c>
      <c r="M690" s="70" t="s">
        <v>250</v>
      </c>
      <c r="N690" s="70">
        <v>100</v>
      </c>
      <c r="O690" s="258">
        <v>8</v>
      </c>
      <c r="P690" s="70" t="s">
        <v>251</v>
      </c>
      <c r="Q690" s="70" t="s">
        <v>233</v>
      </c>
      <c r="R690" s="70" t="s">
        <v>240</v>
      </c>
      <c r="S690" s="70" t="s">
        <v>233</v>
      </c>
      <c r="T690" s="70" t="s">
        <v>233</v>
      </c>
      <c r="U690" s="70" t="s">
        <v>1427</v>
      </c>
      <c r="V690" s="70" t="s">
        <v>240</v>
      </c>
      <c r="W690" s="12"/>
      <c r="X690" s="242">
        <v>713.07784832144728</v>
      </c>
      <c r="Y690" s="242">
        <v>725.93932857888319</v>
      </c>
      <c r="Z690" s="242">
        <v>97.672229953035298</v>
      </c>
      <c r="AA690" s="157" t="s">
        <v>252</v>
      </c>
      <c r="AB690" s="242">
        <v>70.798538876326305</v>
      </c>
      <c r="AC690" s="157" t="s">
        <v>252</v>
      </c>
      <c r="AD690" s="242">
        <v>113.94775613150111</v>
      </c>
      <c r="AE690" s="157" t="s">
        <v>252</v>
      </c>
      <c r="AF690" s="242">
        <v>60.46103670203513</v>
      </c>
      <c r="AG690" s="157" t="s">
        <v>252</v>
      </c>
      <c r="AH690" s="242">
        <v>25.258853713689334</v>
      </c>
      <c r="AI690" s="157" t="s">
        <v>252</v>
      </c>
      <c r="AJ690" s="242">
        <v>17.070229605148722</v>
      </c>
      <c r="AK690" s="242" t="s">
        <v>252</v>
      </c>
      <c r="AL690" s="242">
        <v>8.5001478518003122</v>
      </c>
      <c r="AM690" s="242" t="s">
        <v>252</v>
      </c>
      <c r="AN690" s="242">
        <v>9.5555140024352045</v>
      </c>
      <c r="AO690" s="242" t="s">
        <v>252</v>
      </c>
      <c r="AP690" s="242">
        <v>13.306514176378499</v>
      </c>
      <c r="AQ690" s="242" t="s">
        <v>252</v>
      </c>
      <c r="AR690" s="242">
        <v>65.884092885719241</v>
      </c>
      <c r="AS690" s="242" t="s">
        <v>252</v>
      </c>
      <c r="AT690" s="242">
        <v>66.825021742911801</v>
      </c>
      <c r="AU690" s="242" t="s">
        <v>252</v>
      </c>
      <c r="AV690" s="242">
        <v>76.701449704296394</v>
      </c>
      <c r="AW690" s="157" t="s">
        <v>259</v>
      </c>
      <c r="AX690" s="157">
        <v>2064.9985622456079</v>
      </c>
      <c r="AY690" s="243">
        <v>0.33695425291355019</v>
      </c>
      <c r="AZ690" s="156" t="s">
        <v>253</v>
      </c>
      <c r="BA690" s="156" t="s">
        <v>254</v>
      </c>
      <c r="BB690" s="156">
        <v>0</v>
      </c>
      <c r="BC690" s="156" t="s">
        <v>1423</v>
      </c>
      <c r="BD690" s="3"/>
    </row>
    <row r="691" spans="1:56" ht="15.75" hidden="1" customHeight="1" outlineLevel="1">
      <c r="A691" s="58">
        <v>681</v>
      </c>
      <c r="B691" s="11">
        <v>129681</v>
      </c>
      <c r="C691" s="89" t="s">
        <v>364</v>
      </c>
      <c r="D691" s="157">
        <v>125</v>
      </c>
      <c r="E691" s="12" t="s">
        <v>345</v>
      </c>
      <c r="F691" s="11" t="s">
        <v>246</v>
      </c>
      <c r="G691" s="18" t="s">
        <v>247</v>
      </c>
      <c r="H691" s="11" t="s">
        <v>248</v>
      </c>
      <c r="I691" s="87" t="s">
        <v>249</v>
      </c>
      <c r="J691" s="19" t="s">
        <v>139</v>
      </c>
      <c r="K691" s="17" t="s">
        <v>140</v>
      </c>
      <c r="L691" s="257">
        <v>0</v>
      </c>
      <c r="M691" s="70" t="s">
        <v>250</v>
      </c>
      <c r="N691" s="70">
        <v>100</v>
      </c>
      <c r="O691" s="258">
        <v>8</v>
      </c>
      <c r="P691" s="70" t="s">
        <v>251</v>
      </c>
      <c r="Q691" s="70" t="s">
        <v>233</v>
      </c>
      <c r="R691" s="70" t="s">
        <v>240</v>
      </c>
      <c r="S691" s="70" t="s">
        <v>233</v>
      </c>
      <c r="T691" s="70" t="s">
        <v>233</v>
      </c>
      <c r="U691" s="70" t="s">
        <v>1427</v>
      </c>
      <c r="V691" s="70" t="s">
        <v>240</v>
      </c>
      <c r="W691" s="12"/>
      <c r="X691" s="242">
        <v>67.50340233084016</v>
      </c>
      <c r="Y691" s="242">
        <v>68.720932336058439</v>
      </c>
      <c r="Z691" s="242">
        <v>9.2461262828317974</v>
      </c>
      <c r="AA691" s="157" t="s">
        <v>252</v>
      </c>
      <c r="AB691" s="242">
        <v>6.7021325447903983</v>
      </c>
      <c r="AC691" s="157" t="s">
        <v>252</v>
      </c>
      <c r="AD691" s="242">
        <v>10.786846408070968</v>
      </c>
      <c r="AE691" s="157" t="s">
        <v>252</v>
      </c>
      <c r="AF691" s="242">
        <v>5.7235345277439551</v>
      </c>
      <c r="AG691" s="157" t="s">
        <v>252</v>
      </c>
      <c r="AH691" s="242">
        <v>2.3911254131153243</v>
      </c>
      <c r="AI691" s="157" t="s">
        <v>252</v>
      </c>
      <c r="AJ691" s="242">
        <v>1.6159506001043662</v>
      </c>
      <c r="AK691" s="242" t="s">
        <v>252</v>
      </c>
      <c r="AL691" s="242">
        <v>0.80466515915811443</v>
      </c>
      <c r="AM691" s="242" t="s">
        <v>252</v>
      </c>
      <c r="AN691" s="242">
        <v>0.90457122977909199</v>
      </c>
      <c r="AO691" s="242" t="s">
        <v>252</v>
      </c>
      <c r="AP691" s="242">
        <v>1.2596590711428075</v>
      </c>
      <c r="AQ691" s="242" t="s">
        <v>252</v>
      </c>
      <c r="AR691" s="242">
        <v>6.2369072882240388</v>
      </c>
      <c r="AS691" s="242" t="s">
        <v>252</v>
      </c>
      <c r="AT691" s="242">
        <v>6.3259801704644287</v>
      </c>
      <c r="AU691" s="242" t="s">
        <v>252</v>
      </c>
      <c r="AV691" s="242">
        <v>7.2609306696816835</v>
      </c>
      <c r="AW691" s="157" t="s">
        <v>259</v>
      </c>
      <c r="AX691" s="157">
        <v>195.48276403200555</v>
      </c>
      <c r="AY691" s="243">
        <v>3.1897721342842238E-2</v>
      </c>
      <c r="AZ691" s="156" t="s">
        <v>253</v>
      </c>
      <c r="BA691" s="156" t="s">
        <v>254</v>
      </c>
      <c r="BB691" s="156">
        <v>0</v>
      </c>
      <c r="BC691" s="156" t="s">
        <v>1423</v>
      </c>
      <c r="BD691" s="3"/>
    </row>
    <row r="692" spans="1:56" ht="15.75" hidden="1" customHeight="1" outlineLevel="1">
      <c r="A692" s="58">
        <v>682</v>
      </c>
      <c r="B692" s="11">
        <v>129682</v>
      </c>
      <c r="C692" s="89" t="s">
        <v>364</v>
      </c>
      <c r="D692" s="157">
        <v>127</v>
      </c>
      <c r="E692" s="12" t="s">
        <v>191</v>
      </c>
      <c r="F692" s="11" t="s">
        <v>246</v>
      </c>
      <c r="G692" s="18" t="s">
        <v>247</v>
      </c>
      <c r="H692" s="11" t="s">
        <v>248</v>
      </c>
      <c r="I692" s="87" t="s">
        <v>249</v>
      </c>
      <c r="J692" s="19" t="s">
        <v>139</v>
      </c>
      <c r="K692" s="17" t="s">
        <v>140</v>
      </c>
      <c r="L692" s="257">
        <v>0</v>
      </c>
      <c r="M692" s="70" t="s">
        <v>250</v>
      </c>
      <c r="N692" s="70">
        <v>100</v>
      </c>
      <c r="O692" s="258">
        <v>8</v>
      </c>
      <c r="P692" s="70" t="s">
        <v>251</v>
      </c>
      <c r="Q692" s="70" t="s">
        <v>233</v>
      </c>
      <c r="R692" s="70" t="s">
        <v>240</v>
      </c>
      <c r="S692" s="70" t="s">
        <v>240</v>
      </c>
      <c r="T692" s="70" t="s">
        <v>240</v>
      </c>
      <c r="U692" s="70" t="s">
        <v>1427</v>
      </c>
      <c r="V692" s="70" t="s">
        <v>240</v>
      </c>
      <c r="W692" s="12"/>
      <c r="X692" s="242">
        <v>0</v>
      </c>
      <c r="Y692" s="242">
        <v>0</v>
      </c>
      <c r="Z692" s="242">
        <v>58.771252572016458</v>
      </c>
      <c r="AA692" s="157" t="s">
        <v>259</v>
      </c>
      <c r="AB692" s="242">
        <v>47.383495370370369</v>
      </c>
      <c r="AC692" s="157" t="s">
        <v>259</v>
      </c>
      <c r="AD692" s="242">
        <v>47.928824588477362</v>
      </c>
      <c r="AE692" s="157" t="s">
        <v>259</v>
      </c>
      <c r="AF692" s="242">
        <v>48.333811728395062</v>
      </c>
      <c r="AG692" s="157" t="s">
        <v>259</v>
      </c>
      <c r="AH692" s="242">
        <v>47.158948045267486</v>
      </c>
      <c r="AI692" s="157" t="s">
        <v>259</v>
      </c>
      <c r="AJ692" s="242">
        <v>12.265897633744855</v>
      </c>
      <c r="AK692" s="242" t="s">
        <v>259</v>
      </c>
      <c r="AL692" s="242">
        <v>12.201741255144032</v>
      </c>
      <c r="AM692" s="242" t="s">
        <v>259</v>
      </c>
      <c r="AN692" s="242">
        <v>13.496898148148146</v>
      </c>
      <c r="AO692" s="242" t="s">
        <v>259</v>
      </c>
      <c r="AP692" s="242">
        <v>14.852201646090535</v>
      </c>
      <c r="AQ692" s="242" t="s">
        <v>259</v>
      </c>
      <c r="AR692" s="242">
        <v>51.285005144032922</v>
      </c>
      <c r="AS692" s="242" t="s">
        <v>259</v>
      </c>
      <c r="AT692" s="242">
        <v>51.834344135802475</v>
      </c>
      <c r="AU692" s="242" t="s">
        <v>259</v>
      </c>
      <c r="AV692" s="242">
        <v>51.878451646090532</v>
      </c>
      <c r="AW692" s="157" t="s">
        <v>259</v>
      </c>
      <c r="AX692" s="157">
        <v>457.39087191358027</v>
      </c>
      <c r="AY692" s="243">
        <v>0.19647890946502056</v>
      </c>
      <c r="AZ692" s="156" t="s">
        <v>253</v>
      </c>
      <c r="BA692" s="156" t="s">
        <v>254</v>
      </c>
      <c r="BB692" s="156">
        <v>0</v>
      </c>
      <c r="BC692" s="156" t="s">
        <v>1423</v>
      </c>
      <c r="BD692" s="3"/>
    </row>
    <row r="693" spans="1:56" ht="15.75" hidden="1" customHeight="1" outlineLevel="1">
      <c r="A693" s="58">
        <v>683</v>
      </c>
      <c r="B693" s="11">
        <v>129683</v>
      </c>
      <c r="C693" s="89" t="s">
        <v>364</v>
      </c>
      <c r="D693" s="157">
        <v>127</v>
      </c>
      <c r="E693" s="12" t="s">
        <v>231</v>
      </c>
      <c r="F693" s="11" t="s">
        <v>246</v>
      </c>
      <c r="G693" s="18" t="s">
        <v>247</v>
      </c>
      <c r="H693" s="11" t="s">
        <v>248</v>
      </c>
      <c r="I693" s="87" t="s">
        <v>249</v>
      </c>
      <c r="J693" s="19" t="s">
        <v>139</v>
      </c>
      <c r="K693" s="17" t="s">
        <v>140</v>
      </c>
      <c r="L693" s="257">
        <v>0</v>
      </c>
      <c r="M693" s="70" t="s">
        <v>250</v>
      </c>
      <c r="N693" s="70">
        <v>100</v>
      </c>
      <c r="O693" s="258">
        <v>8</v>
      </c>
      <c r="P693" s="70" t="s">
        <v>251</v>
      </c>
      <c r="Q693" s="70" t="s">
        <v>233</v>
      </c>
      <c r="R693" s="70" t="s">
        <v>240</v>
      </c>
      <c r="S693" s="70" t="s">
        <v>240</v>
      </c>
      <c r="T693" s="70" t="s">
        <v>240</v>
      </c>
      <c r="U693" s="70" t="s">
        <v>1427</v>
      </c>
      <c r="V693" s="70" t="s">
        <v>240</v>
      </c>
      <c r="W693" s="12"/>
      <c r="X693" s="242">
        <v>0</v>
      </c>
      <c r="Y693" s="242">
        <v>0</v>
      </c>
      <c r="Z693" s="242">
        <v>87.798747427983542</v>
      </c>
      <c r="AA693" s="157" t="s">
        <v>259</v>
      </c>
      <c r="AB693" s="242">
        <v>70.786504629629633</v>
      </c>
      <c r="AC693" s="157" t="s">
        <v>259</v>
      </c>
      <c r="AD693" s="242">
        <v>71.601175411522632</v>
      </c>
      <c r="AE693" s="157" t="s">
        <v>259</v>
      </c>
      <c r="AF693" s="242">
        <v>72.206188271604944</v>
      </c>
      <c r="AG693" s="157" t="s">
        <v>259</v>
      </c>
      <c r="AH693" s="242">
        <v>70.451051954732506</v>
      </c>
      <c r="AI693" s="157" t="s">
        <v>259</v>
      </c>
      <c r="AJ693" s="242">
        <v>18.324102366255143</v>
      </c>
      <c r="AK693" s="242" t="s">
        <v>259</v>
      </c>
      <c r="AL693" s="242">
        <v>18.228258744855967</v>
      </c>
      <c r="AM693" s="242" t="s">
        <v>259</v>
      </c>
      <c r="AN693" s="242">
        <v>20.163101851851849</v>
      </c>
      <c r="AO693" s="242" t="s">
        <v>259</v>
      </c>
      <c r="AP693" s="242">
        <v>22.187798353909464</v>
      </c>
      <c r="AQ693" s="242" t="s">
        <v>259</v>
      </c>
      <c r="AR693" s="242">
        <v>76.614994855967083</v>
      </c>
      <c r="AS693" s="242" t="s">
        <v>259</v>
      </c>
      <c r="AT693" s="242">
        <v>77.435655864197543</v>
      </c>
      <c r="AU693" s="242" t="s">
        <v>259</v>
      </c>
      <c r="AV693" s="242">
        <v>77.50154835390947</v>
      </c>
      <c r="AW693" s="157" t="s">
        <v>259</v>
      </c>
      <c r="AX693" s="157">
        <v>683.29912808641973</v>
      </c>
      <c r="AY693" s="243">
        <v>0.29352109053497943</v>
      </c>
      <c r="AZ693" s="156" t="s">
        <v>253</v>
      </c>
      <c r="BA693" s="156" t="s">
        <v>254</v>
      </c>
      <c r="BB693" s="156">
        <v>0</v>
      </c>
      <c r="BC693" s="156" t="s">
        <v>1423</v>
      </c>
      <c r="BD693" s="3"/>
    </row>
    <row r="694" spans="1:56" ht="15.75" hidden="1" customHeight="1" outlineLevel="1">
      <c r="A694" s="58">
        <v>684</v>
      </c>
      <c r="B694" s="11">
        <v>129684</v>
      </c>
      <c r="C694" s="89" t="s">
        <v>364</v>
      </c>
      <c r="D694" s="157">
        <v>129</v>
      </c>
      <c r="E694" s="12" t="s">
        <v>191</v>
      </c>
      <c r="F694" s="11" t="s">
        <v>246</v>
      </c>
      <c r="G694" s="18" t="s">
        <v>247</v>
      </c>
      <c r="H694" s="11" t="s">
        <v>248</v>
      </c>
      <c r="I694" s="87" t="s">
        <v>249</v>
      </c>
      <c r="J694" s="19" t="s">
        <v>139</v>
      </c>
      <c r="K694" s="17" t="s">
        <v>140</v>
      </c>
      <c r="L694" s="260">
        <v>1</v>
      </c>
      <c r="M694" s="70" t="s">
        <v>250</v>
      </c>
      <c r="N694" s="70">
        <v>100</v>
      </c>
      <c r="O694" s="258">
        <v>8</v>
      </c>
      <c r="P694" s="70" t="s">
        <v>251</v>
      </c>
      <c r="Q694" s="70" t="s">
        <v>233</v>
      </c>
      <c r="R694" s="70" t="s">
        <v>240</v>
      </c>
      <c r="S694" s="70" t="s">
        <v>233</v>
      </c>
      <c r="T694" s="70" t="s">
        <v>233</v>
      </c>
      <c r="U694" s="70" t="s">
        <v>1427</v>
      </c>
      <c r="V694" s="70" t="s">
        <v>240</v>
      </c>
      <c r="W694" s="12"/>
      <c r="X694" s="242">
        <v>0</v>
      </c>
      <c r="Y694" s="242">
        <v>0</v>
      </c>
      <c r="Z694" s="242">
        <v>97.49</v>
      </c>
      <c r="AA694" s="157" t="s">
        <v>259</v>
      </c>
      <c r="AB694" s="242">
        <v>94.06</v>
      </c>
      <c r="AC694" s="157" t="s">
        <v>259</v>
      </c>
      <c r="AD694" s="242">
        <v>94.1</v>
      </c>
      <c r="AE694" s="157" t="s">
        <v>259</v>
      </c>
      <c r="AF694" s="242">
        <v>94.09</v>
      </c>
      <c r="AG694" s="157" t="s">
        <v>259</v>
      </c>
      <c r="AH694" s="242">
        <v>93.74</v>
      </c>
      <c r="AI694" s="157" t="s">
        <v>259</v>
      </c>
      <c r="AJ694" s="242">
        <v>36.83</v>
      </c>
      <c r="AK694" s="242" t="s">
        <v>259</v>
      </c>
      <c r="AL694" s="242">
        <v>36.6</v>
      </c>
      <c r="AM694" s="242" t="s">
        <v>259</v>
      </c>
      <c r="AN694" s="242">
        <v>26.41</v>
      </c>
      <c r="AO694" s="242" t="s">
        <v>259</v>
      </c>
      <c r="AP694" s="242">
        <v>26.4</v>
      </c>
      <c r="AQ694" s="242" t="s">
        <v>259</v>
      </c>
      <c r="AR694" s="242">
        <v>87.03</v>
      </c>
      <c r="AS694" s="242" t="s">
        <v>259</v>
      </c>
      <c r="AT694" s="242">
        <v>87.02</v>
      </c>
      <c r="AU694" s="242" t="s">
        <v>259</v>
      </c>
      <c r="AV694" s="242">
        <v>87.03</v>
      </c>
      <c r="AW694" s="157" t="s">
        <v>259</v>
      </c>
      <c r="AX694" s="157">
        <v>860.79999999999984</v>
      </c>
      <c r="AY694" s="243">
        <v>0.28999999999999998</v>
      </c>
      <c r="AZ694" s="156" t="s">
        <v>253</v>
      </c>
      <c r="BA694" s="156" t="s">
        <v>254</v>
      </c>
      <c r="BB694" s="156">
        <v>1</v>
      </c>
      <c r="BC694" s="157" t="s">
        <v>255</v>
      </c>
      <c r="BD694" s="3"/>
    </row>
    <row r="695" spans="1:56" ht="15.75" hidden="1" customHeight="1" outlineLevel="1">
      <c r="A695" s="58">
        <v>685</v>
      </c>
      <c r="B695" s="11">
        <v>129685</v>
      </c>
      <c r="C695" s="89" t="s">
        <v>364</v>
      </c>
      <c r="D695" s="157" t="s">
        <v>368</v>
      </c>
      <c r="E695" s="12" t="s">
        <v>211</v>
      </c>
      <c r="F695" s="11" t="s">
        <v>246</v>
      </c>
      <c r="G695" s="18" t="s">
        <v>247</v>
      </c>
      <c r="H695" s="11" t="s">
        <v>248</v>
      </c>
      <c r="I695" s="87" t="s">
        <v>249</v>
      </c>
      <c r="J695" s="19" t="s">
        <v>139</v>
      </c>
      <c r="K695" s="17" t="s">
        <v>140</v>
      </c>
      <c r="L695" s="257">
        <v>0</v>
      </c>
      <c r="M695" s="70" t="s">
        <v>250</v>
      </c>
      <c r="N695" s="70">
        <v>100</v>
      </c>
      <c r="O695" s="258">
        <v>8</v>
      </c>
      <c r="P695" s="70" t="s">
        <v>251</v>
      </c>
      <c r="Q695" s="70" t="s">
        <v>233</v>
      </c>
      <c r="R695" s="70" t="s">
        <v>240</v>
      </c>
      <c r="S695" s="70" t="s">
        <v>233</v>
      </c>
      <c r="T695" s="70" t="s">
        <v>233</v>
      </c>
      <c r="U695" s="70" t="s">
        <v>1427</v>
      </c>
      <c r="V695" s="70" t="s">
        <v>240</v>
      </c>
      <c r="W695" s="12"/>
      <c r="X695" s="242">
        <v>574.69000000000005</v>
      </c>
      <c r="Y695" s="242">
        <v>524.65000000000009</v>
      </c>
      <c r="Z695" s="242">
        <v>78.239999999999995</v>
      </c>
      <c r="AA695" s="157" t="s">
        <v>252</v>
      </c>
      <c r="AB695" s="242">
        <v>62.93</v>
      </c>
      <c r="AC695" s="157" t="s">
        <v>252</v>
      </c>
      <c r="AD695" s="242">
        <v>82.22</v>
      </c>
      <c r="AE695" s="157" t="s">
        <v>252</v>
      </c>
      <c r="AF695" s="242">
        <v>65.900000000000006</v>
      </c>
      <c r="AG695" s="157" t="s">
        <v>252</v>
      </c>
      <c r="AH695" s="242">
        <v>15.86</v>
      </c>
      <c r="AI695" s="157" t="s">
        <v>259</v>
      </c>
      <c r="AJ695" s="242">
        <v>11.16</v>
      </c>
      <c r="AK695" s="242" t="s">
        <v>259</v>
      </c>
      <c r="AL695" s="242">
        <v>11.45</v>
      </c>
      <c r="AM695" s="242" t="s">
        <v>259</v>
      </c>
      <c r="AN695" s="242">
        <v>11.53</v>
      </c>
      <c r="AO695" s="242" t="s">
        <v>259</v>
      </c>
      <c r="AP695" s="242">
        <v>17.302869999999999</v>
      </c>
      <c r="AQ695" s="242" t="s">
        <v>259</v>
      </c>
      <c r="AR695" s="242">
        <v>72.14</v>
      </c>
      <c r="AS695" s="242" t="s">
        <v>259</v>
      </c>
      <c r="AT695" s="242">
        <v>69.813820000000007</v>
      </c>
      <c r="AU695" s="242" t="s">
        <v>259</v>
      </c>
      <c r="AV695" s="242">
        <v>50.37</v>
      </c>
      <c r="AW695" s="157" t="s">
        <v>259</v>
      </c>
      <c r="AX695" s="157">
        <v>1648.2566900000004</v>
      </c>
      <c r="AY695" s="243">
        <v>0.09</v>
      </c>
      <c r="AZ695" s="156" t="s">
        <v>253</v>
      </c>
      <c r="BA695" s="156" t="s">
        <v>254</v>
      </c>
      <c r="BB695" s="156">
        <v>0</v>
      </c>
      <c r="BC695" s="156" t="s">
        <v>1423</v>
      </c>
      <c r="BD695" s="3"/>
    </row>
    <row r="696" spans="1:56" ht="15.75" hidden="1" customHeight="1" outlineLevel="1">
      <c r="A696" s="58">
        <v>686</v>
      </c>
      <c r="B696" s="11">
        <v>129686</v>
      </c>
      <c r="C696" s="89" t="s">
        <v>364</v>
      </c>
      <c r="D696" s="157">
        <v>66</v>
      </c>
      <c r="E696" s="12" t="s">
        <v>191</v>
      </c>
      <c r="F696" s="11" t="s">
        <v>246</v>
      </c>
      <c r="G696" s="18" t="s">
        <v>247</v>
      </c>
      <c r="H696" s="11" t="s">
        <v>248</v>
      </c>
      <c r="I696" s="87" t="s">
        <v>249</v>
      </c>
      <c r="J696" s="19" t="s">
        <v>139</v>
      </c>
      <c r="K696" s="17" t="s">
        <v>140</v>
      </c>
      <c r="L696" s="260">
        <v>1</v>
      </c>
      <c r="M696" s="70" t="s">
        <v>250</v>
      </c>
      <c r="N696" s="70">
        <v>100</v>
      </c>
      <c r="O696" s="258">
        <v>8</v>
      </c>
      <c r="P696" s="70" t="s">
        <v>251</v>
      </c>
      <c r="Q696" s="70" t="s">
        <v>233</v>
      </c>
      <c r="R696" s="70" t="s">
        <v>240</v>
      </c>
      <c r="S696" s="70" t="s">
        <v>233</v>
      </c>
      <c r="T696" s="70" t="s">
        <v>233</v>
      </c>
      <c r="U696" s="70" t="s">
        <v>1427</v>
      </c>
      <c r="V696" s="70" t="s">
        <v>240</v>
      </c>
      <c r="W696" s="12"/>
      <c r="X696" s="242">
        <v>998.11000000000013</v>
      </c>
      <c r="Y696" s="242">
        <v>912.06999999999994</v>
      </c>
      <c r="Z696" s="242">
        <v>136.71</v>
      </c>
      <c r="AA696" s="157" t="s">
        <v>252</v>
      </c>
      <c r="AB696" s="242">
        <v>109.99</v>
      </c>
      <c r="AC696" s="157" t="s">
        <v>252</v>
      </c>
      <c r="AD696" s="242">
        <v>143.96</v>
      </c>
      <c r="AE696" s="157" t="s">
        <v>252</v>
      </c>
      <c r="AF696" s="242">
        <v>115.46</v>
      </c>
      <c r="AG696" s="157" t="s">
        <v>252</v>
      </c>
      <c r="AH696" s="242">
        <v>117.57</v>
      </c>
      <c r="AI696" s="157" t="s">
        <v>259</v>
      </c>
      <c r="AJ696" s="242">
        <v>22.04</v>
      </c>
      <c r="AK696" s="242" t="s">
        <v>259</v>
      </c>
      <c r="AL696" s="242">
        <v>22.04</v>
      </c>
      <c r="AM696" s="242" t="s">
        <v>259</v>
      </c>
      <c r="AN696" s="242">
        <v>22.04</v>
      </c>
      <c r="AO696" s="242" t="s">
        <v>259</v>
      </c>
      <c r="AP696" s="242">
        <v>30.320920000000001</v>
      </c>
      <c r="AQ696" s="242" t="s">
        <v>259</v>
      </c>
      <c r="AR696" s="242">
        <v>126.21</v>
      </c>
      <c r="AS696" s="242" t="s">
        <v>259</v>
      </c>
      <c r="AT696" s="242">
        <v>108.88</v>
      </c>
      <c r="AU696" s="242" t="s">
        <v>259</v>
      </c>
      <c r="AV696" s="242">
        <v>132.32485</v>
      </c>
      <c r="AW696" s="157" t="s">
        <v>259</v>
      </c>
      <c r="AX696" s="157">
        <v>2997.7257700000005</v>
      </c>
      <c r="AY696" s="240">
        <v>0.45</v>
      </c>
      <c r="AZ696" s="156" t="s">
        <v>253</v>
      </c>
      <c r="BA696" s="156" t="s">
        <v>254</v>
      </c>
      <c r="BB696" s="156">
        <v>1</v>
      </c>
      <c r="BC696" s="156" t="s">
        <v>1423</v>
      </c>
      <c r="BD696" s="3"/>
    </row>
    <row r="697" spans="1:56" ht="15.75" hidden="1" customHeight="1" outlineLevel="1">
      <c r="A697" s="58">
        <v>687</v>
      </c>
      <c r="B697" s="11">
        <v>129687</v>
      </c>
      <c r="C697" s="89" t="s">
        <v>364</v>
      </c>
      <c r="D697" s="157">
        <v>68</v>
      </c>
      <c r="E697" s="12" t="s">
        <v>191</v>
      </c>
      <c r="F697" s="11" t="s">
        <v>246</v>
      </c>
      <c r="G697" s="18" t="s">
        <v>247</v>
      </c>
      <c r="H697" s="11" t="s">
        <v>248</v>
      </c>
      <c r="I697" s="87" t="s">
        <v>249</v>
      </c>
      <c r="J697" s="19" t="s">
        <v>139</v>
      </c>
      <c r="K697" s="17" t="s">
        <v>140</v>
      </c>
      <c r="L697" s="257">
        <v>0</v>
      </c>
      <c r="M697" s="70" t="s">
        <v>250</v>
      </c>
      <c r="N697" s="70">
        <v>100</v>
      </c>
      <c r="O697" s="258">
        <v>8</v>
      </c>
      <c r="P697" s="70" t="s">
        <v>251</v>
      </c>
      <c r="Q697" s="70" t="s">
        <v>233</v>
      </c>
      <c r="R697" s="70" t="s">
        <v>240</v>
      </c>
      <c r="S697" s="70" t="s">
        <v>233</v>
      </c>
      <c r="T697" s="70" t="s">
        <v>233</v>
      </c>
      <c r="U697" s="70" t="s">
        <v>1427</v>
      </c>
      <c r="V697" s="70" t="s">
        <v>240</v>
      </c>
      <c r="W697" s="12"/>
      <c r="X697" s="242">
        <v>763.44</v>
      </c>
      <c r="Y697" s="242">
        <v>1004.95</v>
      </c>
      <c r="Z697" s="242">
        <v>124.9</v>
      </c>
      <c r="AA697" s="157" t="s">
        <v>252</v>
      </c>
      <c r="AB697" s="242">
        <v>90.73</v>
      </c>
      <c r="AC697" s="157" t="s">
        <v>252</v>
      </c>
      <c r="AD697" s="242">
        <v>132.72</v>
      </c>
      <c r="AE697" s="157" t="s">
        <v>252</v>
      </c>
      <c r="AF697" s="242">
        <v>77.66</v>
      </c>
      <c r="AG697" s="157" t="s">
        <v>252</v>
      </c>
      <c r="AH697" s="242">
        <v>26.06</v>
      </c>
      <c r="AI697" s="157" t="s">
        <v>252</v>
      </c>
      <c r="AJ697" s="242">
        <v>13.59</v>
      </c>
      <c r="AK697" s="242" t="s">
        <v>252</v>
      </c>
      <c r="AL697" s="242">
        <v>11.67</v>
      </c>
      <c r="AM697" s="242" t="s">
        <v>252</v>
      </c>
      <c r="AN697" s="242">
        <v>10.76</v>
      </c>
      <c r="AO697" s="242" t="s">
        <v>252</v>
      </c>
      <c r="AP697" s="242">
        <v>15.36</v>
      </c>
      <c r="AQ697" s="242" t="s">
        <v>252</v>
      </c>
      <c r="AR697" s="242">
        <v>79.55</v>
      </c>
      <c r="AS697" s="242" t="s">
        <v>252</v>
      </c>
      <c r="AT697" s="242">
        <v>70</v>
      </c>
      <c r="AU697" s="242" t="s">
        <v>252</v>
      </c>
      <c r="AV697" s="242">
        <v>106.52</v>
      </c>
      <c r="AW697" s="157" t="s">
        <v>252</v>
      </c>
      <c r="AX697" s="157">
        <v>2527.9100000000008</v>
      </c>
      <c r="AY697" s="240">
        <v>0.34100000000000003</v>
      </c>
      <c r="AZ697" s="156" t="s">
        <v>253</v>
      </c>
      <c r="BA697" s="156" t="s">
        <v>254</v>
      </c>
      <c r="BB697" s="156">
        <v>0</v>
      </c>
      <c r="BC697" s="156" t="s">
        <v>1423</v>
      </c>
      <c r="BD697" s="3"/>
    </row>
    <row r="698" spans="1:56" ht="15.75" hidden="1" customHeight="1" outlineLevel="1">
      <c r="A698" s="58">
        <v>688</v>
      </c>
      <c r="B698" s="11">
        <v>129688</v>
      </c>
      <c r="C698" s="89" t="s">
        <v>364</v>
      </c>
      <c r="D698" s="157">
        <v>69</v>
      </c>
      <c r="E698" s="12" t="s">
        <v>191</v>
      </c>
      <c r="F698" s="11" t="s">
        <v>246</v>
      </c>
      <c r="G698" s="18" t="s">
        <v>247</v>
      </c>
      <c r="H698" s="11" t="s">
        <v>248</v>
      </c>
      <c r="I698" s="87" t="s">
        <v>249</v>
      </c>
      <c r="J698" s="19" t="s">
        <v>139</v>
      </c>
      <c r="K698" s="17" t="s">
        <v>140</v>
      </c>
      <c r="L698" s="260">
        <v>1</v>
      </c>
      <c r="M698" s="70" t="s">
        <v>250</v>
      </c>
      <c r="N698" s="70">
        <v>80</v>
      </c>
      <c r="O698" s="258">
        <v>8</v>
      </c>
      <c r="P698" s="70" t="s">
        <v>251</v>
      </c>
      <c r="Q698" s="70" t="s">
        <v>240</v>
      </c>
      <c r="R698" s="70" t="s">
        <v>240</v>
      </c>
      <c r="S698" s="70" t="s">
        <v>233</v>
      </c>
      <c r="T698" s="70" t="s">
        <v>233</v>
      </c>
      <c r="U698" s="70" t="s">
        <v>1427</v>
      </c>
      <c r="V698" s="70" t="s">
        <v>240</v>
      </c>
      <c r="W698" s="12"/>
      <c r="X698" s="242">
        <v>685.06000000000006</v>
      </c>
      <c r="Y698" s="242">
        <v>599.69000000000005</v>
      </c>
      <c r="Z698" s="242">
        <v>137.16</v>
      </c>
      <c r="AA698" s="157" t="s">
        <v>252</v>
      </c>
      <c r="AB698" s="242">
        <v>79.45</v>
      </c>
      <c r="AC698" s="157" t="s">
        <v>252</v>
      </c>
      <c r="AD698" s="242">
        <v>112.87</v>
      </c>
      <c r="AE698" s="157" t="s">
        <v>252</v>
      </c>
      <c r="AF698" s="242">
        <v>45.99</v>
      </c>
      <c r="AG698" s="157" t="s">
        <v>252</v>
      </c>
      <c r="AH698" s="242">
        <v>20.78</v>
      </c>
      <c r="AI698" s="157" t="s">
        <v>252</v>
      </c>
      <c r="AJ698" s="242">
        <v>0</v>
      </c>
      <c r="AK698" s="242" t="s">
        <v>252</v>
      </c>
      <c r="AL698" s="242">
        <v>0</v>
      </c>
      <c r="AM698" s="242" t="s">
        <v>252</v>
      </c>
      <c r="AN698" s="242">
        <v>0</v>
      </c>
      <c r="AO698" s="242" t="s">
        <v>252</v>
      </c>
      <c r="AP698" s="242">
        <v>7.26</v>
      </c>
      <c r="AQ698" s="242" t="s">
        <v>252</v>
      </c>
      <c r="AR698" s="242">
        <v>68.19</v>
      </c>
      <c r="AS698" s="242" t="s">
        <v>252</v>
      </c>
      <c r="AT698" s="242">
        <v>70.37</v>
      </c>
      <c r="AU698" s="242" t="s">
        <v>259</v>
      </c>
      <c r="AV698" s="242">
        <v>77.260549999999995</v>
      </c>
      <c r="AW698" s="157" t="s">
        <v>259</v>
      </c>
      <c r="AX698" s="157">
        <v>1904.0805500000001</v>
      </c>
      <c r="AY698" s="240">
        <v>0.26</v>
      </c>
      <c r="AZ698" s="156" t="s">
        <v>253</v>
      </c>
      <c r="BA698" s="156" t="s">
        <v>254</v>
      </c>
      <c r="BB698" s="156">
        <v>0</v>
      </c>
      <c r="BC698" s="156" t="s">
        <v>1423</v>
      </c>
      <c r="BD698" s="3"/>
    </row>
    <row r="699" spans="1:56" ht="15.75" hidden="1" customHeight="1" outlineLevel="1">
      <c r="A699" s="58">
        <v>689</v>
      </c>
      <c r="B699" s="11">
        <v>129689</v>
      </c>
      <c r="C699" s="89" t="s">
        <v>364</v>
      </c>
      <c r="D699" s="157">
        <v>70</v>
      </c>
      <c r="E699" s="12" t="s">
        <v>191</v>
      </c>
      <c r="F699" s="11" t="s">
        <v>246</v>
      </c>
      <c r="G699" s="18" t="s">
        <v>247</v>
      </c>
      <c r="H699" s="11" t="s">
        <v>248</v>
      </c>
      <c r="I699" s="87" t="s">
        <v>249</v>
      </c>
      <c r="J699" s="19" t="s">
        <v>139</v>
      </c>
      <c r="K699" s="17" t="s">
        <v>140</v>
      </c>
      <c r="L699" s="260">
        <v>1</v>
      </c>
      <c r="M699" s="70" t="s">
        <v>250</v>
      </c>
      <c r="N699" s="70">
        <v>100</v>
      </c>
      <c r="O699" s="258">
        <v>8</v>
      </c>
      <c r="P699" s="70" t="s">
        <v>251</v>
      </c>
      <c r="Q699" s="70" t="s">
        <v>233</v>
      </c>
      <c r="R699" s="70" t="s">
        <v>240</v>
      </c>
      <c r="S699" s="70" t="s">
        <v>233</v>
      </c>
      <c r="T699" s="70" t="s">
        <v>233</v>
      </c>
      <c r="U699" s="70" t="s">
        <v>1427</v>
      </c>
      <c r="V699" s="70" t="s">
        <v>240</v>
      </c>
      <c r="W699" s="12"/>
      <c r="X699" s="242">
        <v>725.04</v>
      </c>
      <c r="Y699" s="242">
        <v>718.24</v>
      </c>
      <c r="Z699" s="242">
        <v>120.05</v>
      </c>
      <c r="AA699" s="157" t="s">
        <v>252</v>
      </c>
      <c r="AB699" s="242">
        <v>87.17</v>
      </c>
      <c r="AC699" s="157" t="s">
        <v>252</v>
      </c>
      <c r="AD699" s="242">
        <v>127.45</v>
      </c>
      <c r="AE699" s="157" t="s">
        <v>252</v>
      </c>
      <c r="AF699" s="242">
        <v>74.62</v>
      </c>
      <c r="AG699" s="157" t="s">
        <v>252</v>
      </c>
      <c r="AH699" s="242">
        <v>25.32</v>
      </c>
      <c r="AI699" s="157" t="s">
        <v>252</v>
      </c>
      <c r="AJ699" s="242">
        <v>10.55</v>
      </c>
      <c r="AK699" s="242" t="s">
        <v>252</v>
      </c>
      <c r="AL699" s="242">
        <v>7.36</v>
      </c>
      <c r="AM699" s="242" t="s">
        <v>252</v>
      </c>
      <c r="AN699" s="242">
        <v>8.57</v>
      </c>
      <c r="AO699" s="242" t="s">
        <v>252</v>
      </c>
      <c r="AP699" s="242">
        <v>11.94</v>
      </c>
      <c r="AQ699" s="242" t="s">
        <v>252</v>
      </c>
      <c r="AR699" s="242">
        <v>77.31</v>
      </c>
      <c r="AS699" s="242" t="s">
        <v>252</v>
      </c>
      <c r="AT699" s="242">
        <v>67.83</v>
      </c>
      <c r="AU699" s="242" t="s">
        <v>252</v>
      </c>
      <c r="AV699" s="242">
        <v>102.68</v>
      </c>
      <c r="AW699" s="157" t="s">
        <v>252</v>
      </c>
      <c r="AX699" s="157">
        <v>2164.1299999999997</v>
      </c>
      <c r="AY699" s="240">
        <v>0.33300000000000002</v>
      </c>
      <c r="AZ699" s="156" t="s">
        <v>253</v>
      </c>
      <c r="BA699" s="156" t="s">
        <v>254</v>
      </c>
      <c r="BB699" s="156">
        <v>1</v>
      </c>
      <c r="BC699" s="156" t="s">
        <v>1423</v>
      </c>
      <c r="BD699" s="3"/>
    </row>
    <row r="700" spans="1:56" ht="15.75" hidden="1" customHeight="1" outlineLevel="1">
      <c r="A700" s="58">
        <v>690</v>
      </c>
      <c r="B700" s="11">
        <v>129690</v>
      </c>
      <c r="C700" s="89" t="s">
        <v>364</v>
      </c>
      <c r="D700" s="157">
        <v>71</v>
      </c>
      <c r="E700" s="12" t="s">
        <v>191</v>
      </c>
      <c r="F700" s="11" t="s">
        <v>246</v>
      </c>
      <c r="G700" s="18" t="s">
        <v>247</v>
      </c>
      <c r="H700" s="11" t="s">
        <v>248</v>
      </c>
      <c r="I700" s="87" t="s">
        <v>249</v>
      </c>
      <c r="J700" s="19" t="s">
        <v>139</v>
      </c>
      <c r="K700" s="17" t="s">
        <v>140</v>
      </c>
      <c r="L700" s="257">
        <v>0</v>
      </c>
      <c r="M700" s="70" t="s">
        <v>250</v>
      </c>
      <c r="N700" s="70">
        <v>100</v>
      </c>
      <c r="O700" s="258">
        <v>8</v>
      </c>
      <c r="P700" s="70" t="s">
        <v>251</v>
      </c>
      <c r="Q700" s="70" t="s">
        <v>233</v>
      </c>
      <c r="R700" s="70" t="s">
        <v>240</v>
      </c>
      <c r="S700" s="70" t="s">
        <v>233</v>
      </c>
      <c r="T700" s="70" t="s">
        <v>233</v>
      </c>
      <c r="U700" s="70" t="s">
        <v>1427</v>
      </c>
      <c r="V700" s="70" t="s">
        <v>240</v>
      </c>
      <c r="W700" s="12"/>
      <c r="X700" s="242">
        <v>796.37</v>
      </c>
      <c r="Y700" s="242">
        <v>748.7600000000001</v>
      </c>
      <c r="Z700" s="242">
        <v>95.76</v>
      </c>
      <c r="AA700" s="157" t="s">
        <v>259</v>
      </c>
      <c r="AB700" s="242">
        <v>95.59</v>
      </c>
      <c r="AC700" s="157" t="s">
        <v>259</v>
      </c>
      <c r="AD700" s="242">
        <v>96.67</v>
      </c>
      <c r="AE700" s="157" t="s">
        <v>259</v>
      </c>
      <c r="AF700" s="242">
        <v>96.77</v>
      </c>
      <c r="AG700" s="157" t="s">
        <v>259</v>
      </c>
      <c r="AH700" s="242">
        <v>95.9</v>
      </c>
      <c r="AI700" s="157" t="s">
        <v>259</v>
      </c>
      <c r="AJ700" s="242">
        <v>17.25</v>
      </c>
      <c r="AK700" s="242" t="s">
        <v>259</v>
      </c>
      <c r="AL700" s="242">
        <v>17.25</v>
      </c>
      <c r="AM700" s="242" t="s">
        <v>259</v>
      </c>
      <c r="AN700" s="242">
        <v>17.25</v>
      </c>
      <c r="AO700" s="242" t="s">
        <v>259</v>
      </c>
      <c r="AP700" s="242">
        <v>17.809999999999999</v>
      </c>
      <c r="AQ700" s="242" t="s">
        <v>259</v>
      </c>
      <c r="AR700" s="242">
        <v>81.77</v>
      </c>
      <c r="AS700" s="242" t="s">
        <v>259</v>
      </c>
      <c r="AT700" s="242">
        <v>90.35</v>
      </c>
      <c r="AU700" s="242" t="s">
        <v>259</v>
      </c>
      <c r="AV700" s="242">
        <v>90.4</v>
      </c>
      <c r="AW700" s="157" t="s">
        <v>259</v>
      </c>
      <c r="AX700" s="157">
        <v>2357.9</v>
      </c>
      <c r="AY700" s="240">
        <v>0.312</v>
      </c>
      <c r="AZ700" s="156" t="s">
        <v>253</v>
      </c>
      <c r="BA700" s="156" t="s">
        <v>254</v>
      </c>
      <c r="BB700" s="157">
        <v>2</v>
      </c>
      <c r="BC700" s="156" t="s">
        <v>1423</v>
      </c>
      <c r="BD700" s="3"/>
    </row>
    <row r="701" spans="1:56" ht="15.75" hidden="1" customHeight="1" outlineLevel="1">
      <c r="A701" s="58">
        <v>691</v>
      </c>
      <c r="B701" s="11">
        <v>129691</v>
      </c>
      <c r="C701" s="89" t="s">
        <v>364</v>
      </c>
      <c r="D701" s="157">
        <v>73</v>
      </c>
      <c r="E701" s="12" t="s">
        <v>191</v>
      </c>
      <c r="F701" s="11" t="s">
        <v>246</v>
      </c>
      <c r="G701" s="18" t="s">
        <v>247</v>
      </c>
      <c r="H701" s="11" t="s">
        <v>248</v>
      </c>
      <c r="I701" s="87" t="s">
        <v>249</v>
      </c>
      <c r="J701" s="19" t="s">
        <v>139</v>
      </c>
      <c r="K701" s="17" t="s">
        <v>140</v>
      </c>
      <c r="L701" s="257">
        <v>0</v>
      </c>
      <c r="M701" s="70" t="s">
        <v>250</v>
      </c>
      <c r="N701" s="70">
        <v>100</v>
      </c>
      <c r="O701" s="258">
        <v>8</v>
      </c>
      <c r="P701" s="70" t="s">
        <v>251</v>
      </c>
      <c r="Q701" s="70" t="s">
        <v>233</v>
      </c>
      <c r="R701" s="70" t="s">
        <v>240</v>
      </c>
      <c r="S701" s="70" t="s">
        <v>240</v>
      </c>
      <c r="T701" s="70" t="s">
        <v>240</v>
      </c>
      <c r="U701" s="70" t="s">
        <v>1427</v>
      </c>
      <c r="V701" s="70" t="s">
        <v>240</v>
      </c>
      <c r="W701" s="12"/>
      <c r="X701" s="242">
        <v>0</v>
      </c>
      <c r="Y701" s="242">
        <v>0</v>
      </c>
      <c r="Z701" s="242">
        <v>0</v>
      </c>
      <c r="AA701" s="157"/>
      <c r="AB701" s="242">
        <v>0</v>
      </c>
      <c r="AC701" s="157"/>
      <c r="AD701" s="242">
        <v>0</v>
      </c>
      <c r="AE701" s="157"/>
      <c r="AF701" s="242">
        <v>0</v>
      </c>
      <c r="AG701" s="157"/>
      <c r="AH701" s="242">
        <v>0</v>
      </c>
      <c r="AI701" s="157"/>
      <c r="AJ701" s="242">
        <v>0</v>
      </c>
      <c r="AK701" s="242"/>
      <c r="AL701" s="242">
        <v>0</v>
      </c>
      <c r="AM701" s="242"/>
      <c r="AN701" s="242">
        <v>0</v>
      </c>
      <c r="AO701" s="242"/>
      <c r="AP701" s="242">
        <v>0</v>
      </c>
      <c r="AQ701" s="242"/>
      <c r="AR701" s="242">
        <v>0</v>
      </c>
      <c r="AS701" s="242"/>
      <c r="AT701" s="242">
        <v>0</v>
      </c>
      <c r="AU701" s="242"/>
      <c r="AV701" s="242">
        <v>0</v>
      </c>
      <c r="AW701" s="157"/>
      <c r="AX701" s="157">
        <v>0</v>
      </c>
      <c r="AY701" s="243">
        <v>0.372</v>
      </c>
      <c r="AZ701" s="156" t="s">
        <v>253</v>
      </c>
      <c r="BA701" s="156" t="s">
        <v>254</v>
      </c>
      <c r="BB701" s="157">
        <v>1</v>
      </c>
      <c r="BC701" s="156" t="s">
        <v>1423</v>
      </c>
      <c r="BD701" s="3"/>
    </row>
    <row r="702" spans="1:56" ht="15.75" hidden="1" customHeight="1" outlineLevel="1">
      <c r="A702" s="58">
        <v>692</v>
      </c>
      <c r="B702" s="11">
        <v>129692</v>
      </c>
      <c r="C702" s="89" t="s">
        <v>364</v>
      </c>
      <c r="D702" s="157">
        <v>76</v>
      </c>
      <c r="E702" s="12" t="s">
        <v>191</v>
      </c>
      <c r="F702" s="11" t="s">
        <v>246</v>
      </c>
      <c r="G702" s="18" t="s">
        <v>247</v>
      </c>
      <c r="H702" s="11" t="s">
        <v>248</v>
      </c>
      <c r="I702" s="87" t="s">
        <v>249</v>
      </c>
      <c r="J702" s="19" t="s">
        <v>139</v>
      </c>
      <c r="K702" s="17" t="s">
        <v>140</v>
      </c>
      <c r="L702" s="257">
        <v>0</v>
      </c>
      <c r="M702" s="70" t="s">
        <v>250</v>
      </c>
      <c r="N702" s="70">
        <v>100</v>
      </c>
      <c r="O702" s="258">
        <v>8</v>
      </c>
      <c r="P702" s="70" t="s">
        <v>251</v>
      </c>
      <c r="Q702" s="70" t="s">
        <v>233</v>
      </c>
      <c r="R702" s="70" t="s">
        <v>240</v>
      </c>
      <c r="S702" s="70" t="s">
        <v>233</v>
      </c>
      <c r="T702" s="70" t="s">
        <v>233</v>
      </c>
      <c r="U702" s="70" t="s">
        <v>1427</v>
      </c>
      <c r="V702" s="70" t="s">
        <v>240</v>
      </c>
      <c r="W702" s="12"/>
      <c r="X702" s="242">
        <v>202.67999999999998</v>
      </c>
      <c r="Y702" s="242">
        <v>161.94999999999999</v>
      </c>
      <c r="Z702" s="242">
        <v>25.35</v>
      </c>
      <c r="AA702" s="157" t="s">
        <v>252</v>
      </c>
      <c r="AB702" s="242">
        <v>17.850000000000001</v>
      </c>
      <c r="AC702" s="157" t="s">
        <v>252</v>
      </c>
      <c r="AD702" s="242">
        <v>26.55</v>
      </c>
      <c r="AE702" s="157" t="s">
        <v>252</v>
      </c>
      <c r="AF702" s="242">
        <v>13.72</v>
      </c>
      <c r="AG702" s="157" t="s">
        <v>252</v>
      </c>
      <c r="AH702" s="242">
        <v>5.59</v>
      </c>
      <c r="AI702" s="157" t="s">
        <v>252</v>
      </c>
      <c r="AJ702" s="242">
        <v>4.43</v>
      </c>
      <c r="AK702" s="242" t="s">
        <v>252</v>
      </c>
      <c r="AL702" s="242">
        <v>3.95</v>
      </c>
      <c r="AM702" s="242" t="s">
        <v>259</v>
      </c>
      <c r="AN702" s="242">
        <v>3.44</v>
      </c>
      <c r="AO702" s="242" t="s">
        <v>259</v>
      </c>
      <c r="AP702" s="242">
        <v>7.3982599999999996</v>
      </c>
      <c r="AQ702" s="242" t="s">
        <v>259</v>
      </c>
      <c r="AR702" s="242">
        <v>21.34</v>
      </c>
      <c r="AS702" s="242" t="s">
        <v>259</v>
      </c>
      <c r="AT702" s="242">
        <v>16.39</v>
      </c>
      <c r="AU702" s="242" t="s">
        <v>259</v>
      </c>
      <c r="AV702" s="242">
        <v>19.7136</v>
      </c>
      <c r="AW702" s="157" t="s">
        <v>259</v>
      </c>
      <c r="AX702" s="157">
        <v>530.35185999999999</v>
      </c>
      <c r="AY702" s="240">
        <v>0.08</v>
      </c>
      <c r="AZ702" s="156" t="s">
        <v>253</v>
      </c>
      <c r="BA702" s="156" t="s">
        <v>254</v>
      </c>
      <c r="BB702" s="156">
        <v>0</v>
      </c>
      <c r="BC702" s="156" t="s">
        <v>1423</v>
      </c>
      <c r="BD702" s="3"/>
    </row>
    <row r="703" spans="1:56" ht="15.75" hidden="1" customHeight="1" outlineLevel="1">
      <c r="A703" s="58">
        <v>693</v>
      </c>
      <c r="B703" s="11">
        <v>129693</v>
      </c>
      <c r="C703" s="89" t="s">
        <v>364</v>
      </c>
      <c r="D703" s="157">
        <v>77</v>
      </c>
      <c r="E703" s="12" t="s">
        <v>191</v>
      </c>
      <c r="F703" s="11" t="s">
        <v>246</v>
      </c>
      <c r="G703" s="18" t="s">
        <v>247</v>
      </c>
      <c r="H703" s="11" t="s">
        <v>248</v>
      </c>
      <c r="I703" s="87" t="s">
        <v>249</v>
      </c>
      <c r="J703" s="19" t="s">
        <v>139</v>
      </c>
      <c r="K703" s="17" t="s">
        <v>140</v>
      </c>
      <c r="L703" s="260">
        <v>1</v>
      </c>
      <c r="M703" s="70" t="s">
        <v>250</v>
      </c>
      <c r="N703" s="70">
        <v>100</v>
      </c>
      <c r="O703" s="258">
        <v>8</v>
      </c>
      <c r="P703" s="70" t="s">
        <v>251</v>
      </c>
      <c r="Q703" s="70" t="s">
        <v>233</v>
      </c>
      <c r="R703" s="70" t="s">
        <v>240</v>
      </c>
      <c r="S703" s="70" t="s">
        <v>233</v>
      </c>
      <c r="T703" s="70" t="s">
        <v>233</v>
      </c>
      <c r="U703" s="70" t="s">
        <v>1427</v>
      </c>
      <c r="V703" s="70" t="s">
        <v>240</v>
      </c>
      <c r="W703" s="12"/>
      <c r="X703" s="242">
        <v>1169.3600000000001</v>
      </c>
      <c r="Y703" s="242">
        <v>1006.67</v>
      </c>
      <c r="Z703" s="242">
        <v>159.61000000000001</v>
      </c>
      <c r="AA703" s="157" t="s">
        <v>252</v>
      </c>
      <c r="AB703" s="242">
        <v>121.03</v>
      </c>
      <c r="AC703" s="157" t="s">
        <v>252</v>
      </c>
      <c r="AD703" s="242">
        <v>147.19999999999999</v>
      </c>
      <c r="AE703" s="157" t="s">
        <v>252</v>
      </c>
      <c r="AF703" s="242">
        <v>82.58</v>
      </c>
      <c r="AG703" s="157" t="s">
        <v>252</v>
      </c>
      <c r="AH703" s="242">
        <v>32.909999999999997</v>
      </c>
      <c r="AI703" s="157" t="s">
        <v>252</v>
      </c>
      <c r="AJ703" s="242">
        <v>12.65</v>
      </c>
      <c r="AK703" s="242" t="s">
        <v>252</v>
      </c>
      <c r="AL703" s="242">
        <v>12.41</v>
      </c>
      <c r="AM703" s="242" t="s">
        <v>252</v>
      </c>
      <c r="AN703" s="242">
        <v>8.3000000000000007</v>
      </c>
      <c r="AO703" s="242" t="s">
        <v>252</v>
      </c>
      <c r="AP703" s="242">
        <v>35.245449999999998</v>
      </c>
      <c r="AQ703" s="242" t="s">
        <v>259</v>
      </c>
      <c r="AR703" s="242">
        <v>132.08000000000001</v>
      </c>
      <c r="AS703" s="242" t="s">
        <v>259</v>
      </c>
      <c r="AT703" s="242">
        <v>114.50649</v>
      </c>
      <c r="AU703" s="242" t="s">
        <v>259</v>
      </c>
      <c r="AV703" s="242">
        <v>98.446089999999998</v>
      </c>
      <c r="AW703" s="157" t="s">
        <v>259</v>
      </c>
      <c r="AX703" s="157">
        <v>3132.9980300000002</v>
      </c>
      <c r="AY703" s="240">
        <v>0.44800000000000001</v>
      </c>
      <c r="AZ703" s="156" t="s">
        <v>253</v>
      </c>
      <c r="BA703" s="156" t="s">
        <v>254</v>
      </c>
      <c r="BB703" s="156">
        <v>1</v>
      </c>
      <c r="BC703" s="157" t="s">
        <v>255</v>
      </c>
      <c r="BD703" s="3"/>
    </row>
    <row r="704" spans="1:56" ht="15.75" hidden="1" customHeight="1" outlineLevel="1">
      <c r="A704" s="58">
        <v>694</v>
      </c>
      <c r="B704" s="11">
        <v>129694</v>
      </c>
      <c r="C704" s="89" t="s">
        <v>364</v>
      </c>
      <c r="D704" s="157">
        <v>78</v>
      </c>
      <c r="E704" s="12" t="s">
        <v>191</v>
      </c>
      <c r="F704" s="11" t="s">
        <v>246</v>
      </c>
      <c r="G704" s="18" t="s">
        <v>247</v>
      </c>
      <c r="H704" s="11" t="s">
        <v>248</v>
      </c>
      <c r="I704" s="87" t="s">
        <v>249</v>
      </c>
      <c r="J704" s="19" t="s">
        <v>139</v>
      </c>
      <c r="K704" s="17" t="s">
        <v>140</v>
      </c>
      <c r="L704" s="257">
        <v>0</v>
      </c>
      <c r="M704" s="70" t="s">
        <v>250</v>
      </c>
      <c r="N704" s="70">
        <v>100</v>
      </c>
      <c r="O704" s="258">
        <v>8</v>
      </c>
      <c r="P704" s="70" t="s">
        <v>251</v>
      </c>
      <c r="Q704" s="70" t="s">
        <v>233</v>
      </c>
      <c r="R704" s="70" t="s">
        <v>240</v>
      </c>
      <c r="S704" s="70" t="s">
        <v>233</v>
      </c>
      <c r="T704" s="70" t="s">
        <v>233</v>
      </c>
      <c r="U704" s="70" t="s">
        <v>1427</v>
      </c>
      <c r="V704" s="70" t="s">
        <v>240</v>
      </c>
      <c r="W704" s="12"/>
      <c r="X704" s="242">
        <v>438.38</v>
      </c>
      <c r="Y704" s="242">
        <v>428.79</v>
      </c>
      <c r="Z704" s="242">
        <v>68.400000000000006</v>
      </c>
      <c r="AA704" s="157" t="s">
        <v>252</v>
      </c>
      <c r="AB704" s="242">
        <v>54.88</v>
      </c>
      <c r="AC704" s="157" t="s">
        <v>252</v>
      </c>
      <c r="AD704" s="242">
        <v>91.24</v>
      </c>
      <c r="AE704" s="157" t="s">
        <v>252</v>
      </c>
      <c r="AF704" s="242">
        <v>25.01</v>
      </c>
      <c r="AG704" s="157" t="s">
        <v>252</v>
      </c>
      <c r="AH704" s="242">
        <v>15</v>
      </c>
      <c r="AI704" s="157" t="s">
        <v>252</v>
      </c>
      <c r="AJ704" s="242">
        <v>7.6932999999999998</v>
      </c>
      <c r="AK704" s="242" t="s">
        <v>252</v>
      </c>
      <c r="AL704" s="242">
        <v>7.6932999999999998</v>
      </c>
      <c r="AM704" s="242" t="s">
        <v>259</v>
      </c>
      <c r="AN704" s="242">
        <v>7.6932999999999998</v>
      </c>
      <c r="AO704" s="242" t="s">
        <v>259</v>
      </c>
      <c r="AP704" s="242">
        <v>15.238440000000001</v>
      </c>
      <c r="AQ704" s="242" t="s">
        <v>259</v>
      </c>
      <c r="AR704" s="242">
        <v>56.67</v>
      </c>
      <c r="AS704" s="242" t="s">
        <v>259</v>
      </c>
      <c r="AT704" s="242">
        <v>46.94943</v>
      </c>
      <c r="AU704" s="242" t="s">
        <v>259</v>
      </c>
      <c r="AV704" s="242">
        <v>60.952750000000002</v>
      </c>
      <c r="AW704" s="157" t="s">
        <v>259</v>
      </c>
      <c r="AX704" s="157">
        <v>1324.5905199999997</v>
      </c>
      <c r="AY704" s="240">
        <v>0.17499999999999999</v>
      </c>
      <c r="AZ704" s="156" t="s">
        <v>253</v>
      </c>
      <c r="BA704" s="156" t="s">
        <v>254</v>
      </c>
      <c r="BB704" s="156">
        <v>0</v>
      </c>
      <c r="BC704" s="156" t="s">
        <v>1423</v>
      </c>
      <c r="BD704" s="3"/>
    </row>
    <row r="705" spans="1:56" ht="15.75" hidden="1" customHeight="1" outlineLevel="1">
      <c r="A705" s="58">
        <v>695</v>
      </c>
      <c r="B705" s="11">
        <v>129695</v>
      </c>
      <c r="C705" s="89" t="s">
        <v>364</v>
      </c>
      <c r="D705" s="157">
        <v>80</v>
      </c>
      <c r="E705" s="12" t="s">
        <v>191</v>
      </c>
      <c r="F705" s="11" t="s">
        <v>246</v>
      </c>
      <c r="G705" s="18" t="s">
        <v>247</v>
      </c>
      <c r="H705" s="11" t="s">
        <v>248</v>
      </c>
      <c r="I705" s="87" t="s">
        <v>249</v>
      </c>
      <c r="J705" s="19" t="s">
        <v>139</v>
      </c>
      <c r="K705" s="17" t="s">
        <v>140</v>
      </c>
      <c r="L705" s="257">
        <v>0</v>
      </c>
      <c r="M705" s="70" t="s">
        <v>250</v>
      </c>
      <c r="N705" s="70">
        <v>100</v>
      </c>
      <c r="O705" s="258">
        <v>8</v>
      </c>
      <c r="P705" s="70" t="s">
        <v>251</v>
      </c>
      <c r="Q705" s="70" t="s">
        <v>233</v>
      </c>
      <c r="R705" s="70" t="s">
        <v>240</v>
      </c>
      <c r="S705" s="70" t="s">
        <v>233</v>
      </c>
      <c r="T705" s="70" t="s">
        <v>233</v>
      </c>
      <c r="U705" s="70" t="s">
        <v>1427</v>
      </c>
      <c r="V705" s="70" t="s">
        <v>240</v>
      </c>
      <c r="W705" s="12"/>
      <c r="X705" s="242">
        <v>1153.0800000000002</v>
      </c>
      <c r="Y705" s="242">
        <v>1122.6200000000001</v>
      </c>
      <c r="Z705" s="242">
        <v>175.31</v>
      </c>
      <c r="AA705" s="157" t="s">
        <v>252</v>
      </c>
      <c r="AB705" s="242">
        <v>140.32</v>
      </c>
      <c r="AC705" s="157" t="s">
        <v>252</v>
      </c>
      <c r="AD705" s="242">
        <v>234</v>
      </c>
      <c r="AE705" s="157" t="s">
        <v>252</v>
      </c>
      <c r="AF705" s="242">
        <v>63.71</v>
      </c>
      <c r="AG705" s="157" t="s">
        <v>252</v>
      </c>
      <c r="AH705" s="242">
        <v>37.799999999999997</v>
      </c>
      <c r="AI705" s="157" t="s">
        <v>252</v>
      </c>
      <c r="AJ705" s="242">
        <v>18.48</v>
      </c>
      <c r="AK705" s="242" t="s">
        <v>252</v>
      </c>
      <c r="AL705" s="242">
        <v>47.19</v>
      </c>
      <c r="AM705" s="242" t="s">
        <v>259</v>
      </c>
      <c r="AN705" s="242">
        <v>7.09</v>
      </c>
      <c r="AO705" s="242" t="s">
        <v>259</v>
      </c>
      <c r="AP705" s="242">
        <v>41.499780000000001</v>
      </c>
      <c r="AQ705" s="242" t="s">
        <v>259</v>
      </c>
      <c r="AR705" s="242">
        <v>144.94</v>
      </c>
      <c r="AS705" s="242" t="s">
        <v>259</v>
      </c>
      <c r="AT705" s="242">
        <v>122.23</v>
      </c>
      <c r="AU705" s="242" t="s">
        <v>259</v>
      </c>
      <c r="AV705" s="242">
        <v>155.95858999999999</v>
      </c>
      <c r="AW705" s="157" t="s">
        <v>259</v>
      </c>
      <c r="AX705" s="157">
        <v>3464.2283700000012</v>
      </c>
      <c r="AY705" s="240">
        <v>0.44</v>
      </c>
      <c r="AZ705" s="156" t="s">
        <v>253</v>
      </c>
      <c r="BA705" s="156" t="s">
        <v>254</v>
      </c>
      <c r="BB705" s="156">
        <v>0</v>
      </c>
      <c r="BC705" s="156" t="s">
        <v>1423</v>
      </c>
      <c r="BD705" s="3"/>
    </row>
    <row r="706" spans="1:56" ht="15.75" hidden="1" customHeight="1" outlineLevel="1">
      <c r="A706" s="58">
        <v>696</v>
      </c>
      <c r="B706" s="11">
        <v>129696</v>
      </c>
      <c r="C706" s="89" t="s">
        <v>364</v>
      </c>
      <c r="D706" s="157">
        <v>81</v>
      </c>
      <c r="E706" s="12" t="s">
        <v>191</v>
      </c>
      <c r="F706" s="11" t="s">
        <v>246</v>
      </c>
      <c r="G706" s="18" t="s">
        <v>247</v>
      </c>
      <c r="H706" s="11" t="s">
        <v>248</v>
      </c>
      <c r="I706" s="87" t="s">
        <v>249</v>
      </c>
      <c r="J706" s="19" t="s">
        <v>139</v>
      </c>
      <c r="K706" s="17" t="s">
        <v>140</v>
      </c>
      <c r="L706" s="260">
        <v>1</v>
      </c>
      <c r="M706" s="70" t="s">
        <v>250</v>
      </c>
      <c r="N706" s="70">
        <v>80</v>
      </c>
      <c r="O706" s="258">
        <v>8</v>
      </c>
      <c r="P706" s="70" t="s">
        <v>251</v>
      </c>
      <c r="Q706" s="70" t="s">
        <v>233</v>
      </c>
      <c r="R706" s="70" t="s">
        <v>240</v>
      </c>
      <c r="S706" s="70" t="s">
        <v>233</v>
      </c>
      <c r="T706" s="70" t="s">
        <v>233</v>
      </c>
      <c r="U706" s="70" t="s">
        <v>1427</v>
      </c>
      <c r="V706" s="70" t="s">
        <v>240</v>
      </c>
      <c r="W706" s="12"/>
      <c r="X706" s="242">
        <v>764.36999999999978</v>
      </c>
      <c r="Y706" s="242">
        <v>709.61000000000013</v>
      </c>
      <c r="Z706" s="242">
        <v>93.16</v>
      </c>
      <c r="AA706" s="157" t="s">
        <v>252</v>
      </c>
      <c r="AB706" s="242">
        <v>54.09</v>
      </c>
      <c r="AC706" s="157" t="s">
        <v>252</v>
      </c>
      <c r="AD706" s="242">
        <v>55.29</v>
      </c>
      <c r="AE706" s="157" t="s">
        <v>252</v>
      </c>
      <c r="AF706" s="242">
        <v>57.69</v>
      </c>
      <c r="AG706" s="157" t="s">
        <v>259</v>
      </c>
      <c r="AH706" s="242">
        <v>54.04</v>
      </c>
      <c r="AI706" s="157" t="s">
        <v>259</v>
      </c>
      <c r="AJ706" s="242">
        <v>14.21</v>
      </c>
      <c r="AK706" s="242" t="s">
        <v>259</v>
      </c>
      <c r="AL706" s="242">
        <v>14.21</v>
      </c>
      <c r="AM706" s="242" t="s">
        <v>259</v>
      </c>
      <c r="AN706" s="242">
        <v>14.21</v>
      </c>
      <c r="AO706" s="242" t="s">
        <v>259</v>
      </c>
      <c r="AP706" s="242">
        <v>19.013750000000002</v>
      </c>
      <c r="AQ706" s="242" t="s">
        <v>259</v>
      </c>
      <c r="AR706" s="242">
        <v>87.04</v>
      </c>
      <c r="AS706" s="242" t="s">
        <v>259</v>
      </c>
      <c r="AT706" s="242">
        <v>47.78</v>
      </c>
      <c r="AU706" s="242" t="s">
        <v>259</v>
      </c>
      <c r="AV706" s="242">
        <v>82.73</v>
      </c>
      <c r="AW706" s="157" t="s">
        <v>252</v>
      </c>
      <c r="AX706" s="157">
        <v>2067.4437499999999</v>
      </c>
      <c r="AY706" s="240">
        <v>0.33500000000000002</v>
      </c>
      <c r="AZ706" s="156" t="s">
        <v>253</v>
      </c>
      <c r="BA706" s="156" t="s">
        <v>254</v>
      </c>
      <c r="BB706" s="156">
        <v>2</v>
      </c>
      <c r="BC706" s="156" t="s">
        <v>1423</v>
      </c>
      <c r="BD706" s="3"/>
    </row>
    <row r="707" spans="1:56" ht="15.75" hidden="1" customHeight="1" outlineLevel="1">
      <c r="A707" s="58">
        <v>697</v>
      </c>
      <c r="B707" s="11">
        <v>129697</v>
      </c>
      <c r="C707" s="89" t="s">
        <v>364</v>
      </c>
      <c r="D707" s="157">
        <v>82</v>
      </c>
      <c r="E707" s="12" t="s">
        <v>191</v>
      </c>
      <c r="F707" s="11" t="s">
        <v>246</v>
      </c>
      <c r="G707" s="18" t="s">
        <v>247</v>
      </c>
      <c r="H707" s="11" t="s">
        <v>248</v>
      </c>
      <c r="I707" s="87" t="s">
        <v>249</v>
      </c>
      <c r="J707" s="19" t="s">
        <v>139</v>
      </c>
      <c r="K707" s="17" t="s">
        <v>140</v>
      </c>
      <c r="L707" s="260">
        <v>1</v>
      </c>
      <c r="M707" s="70" t="s">
        <v>250</v>
      </c>
      <c r="N707" s="70">
        <v>100</v>
      </c>
      <c r="O707" s="258">
        <v>8</v>
      </c>
      <c r="P707" s="70" t="s">
        <v>251</v>
      </c>
      <c r="Q707" s="70" t="s">
        <v>233</v>
      </c>
      <c r="R707" s="70" t="s">
        <v>240</v>
      </c>
      <c r="S707" s="70" t="s">
        <v>233</v>
      </c>
      <c r="T707" s="70" t="s">
        <v>233</v>
      </c>
      <c r="U707" s="70" t="s">
        <v>1427</v>
      </c>
      <c r="V707" s="70" t="s">
        <v>240</v>
      </c>
      <c r="W707" s="12"/>
      <c r="X707" s="242">
        <v>197.88712706749237</v>
      </c>
      <c r="Y707" s="242">
        <v>197.88712706749237</v>
      </c>
      <c r="Z707" s="242">
        <v>31.032835306106456</v>
      </c>
      <c r="AA707" s="157" t="s">
        <v>252</v>
      </c>
      <c r="AB707" s="242">
        <v>25.040423297013408</v>
      </c>
      <c r="AC707" s="157" t="s">
        <v>252</v>
      </c>
      <c r="AD707" s="242">
        <v>32.408142980324534</v>
      </c>
      <c r="AE707" s="157" t="s">
        <v>252</v>
      </c>
      <c r="AF707" s="242">
        <v>21.346739829113432</v>
      </c>
      <c r="AG707" s="157" t="s">
        <v>252</v>
      </c>
      <c r="AH707" s="242">
        <v>7.8294301167986209</v>
      </c>
      <c r="AI707" s="157" t="s">
        <v>252</v>
      </c>
      <c r="AJ707" s="242">
        <v>4.9085222074155368</v>
      </c>
      <c r="AK707" s="242" t="s">
        <v>259</v>
      </c>
      <c r="AL707" s="242">
        <v>4.9085222074155368</v>
      </c>
      <c r="AM707" s="242" t="s">
        <v>259</v>
      </c>
      <c r="AN707" s="242">
        <v>4.9085222074155368</v>
      </c>
      <c r="AO707" s="242" t="s">
        <v>259</v>
      </c>
      <c r="AP707" s="242">
        <v>6.1547228737163922</v>
      </c>
      <c r="AQ707" s="242" t="s">
        <v>259</v>
      </c>
      <c r="AR707" s="242">
        <v>28.252749078937061</v>
      </c>
      <c r="AS707" s="242" t="s">
        <v>259</v>
      </c>
      <c r="AT707" s="242">
        <v>23.311465077996399</v>
      </c>
      <c r="AU707" s="242" t="s">
        <v>259</v>
      </c>
      <c r="AV707" s="242">
        <v>25.544483383240578</v>
      </c>
      <c r="AW707" s="157" t="s">
        <v>259</v>
      </c>
      <c r="AX707" s="157">
        <v>611.42081270047856</v>
      </c>
      <c r="AY707" s="240">
        <v>8.1044916516422372E-2</v>
      </c>
      <c r="AZ707" s="156" t="s">
        <v>253</v>
      </c>
      <c r="BA707" s="156" t="s">
        <v>254</v>
      </c>
      <c r="BB707" s="156">
        <v>1</v>
      </c>
      <c r="BC707" s="156" t="s">
        <v>1423</v>
      </c>
      <c r="BD707" s="3"/>
    </row>
    <row r="708" spans="1:56" ht="15.75" hidden="1" customHeight="1" outlineLevel="1">
      <c r="A708" s="58">
        <v>698</v>
      </c>
      <c r="B708" s="11">
        <v>129698</v>
      </c>
      <c r="C708" s="89" t="s">
        <v>364</v>
      </c>
      <c r="D708" s="157">
        <v>82</v>
      </c>
      <c r="E708" s="12" t="s">
        <v>231</v>
      </c>
      <c r="F708" s="11" t="s">
        <v>246</v>
      </c>
      <c r="G708" s="18" t="s">
        <v>247</v>
      </c>
      <c r="H708" s="11" t="s">
        <v>248</v>
      </c>
      <c r="I708" s="87" t="s">
        <v>249</v>
      </c>
      <c r="J708" s="19" t="s">
        <v>139</v>
      </c>
      <c r="K708" s="17" t="s">
        <v>140</v>
      </c>
      <c r="L708" s="257">
        <v>0</v>
      </c>
      <c r="M708" s="70" t="s">
        <v>250</v>
      </c>
      <c r="N708" s="70">
        <v>100</v>
      </c>
      <c r="O708" s="258">
        <v>8</v>
      </c>
      <c r="P708" s="70" t="s">
        <v>251</v>
      </c>
      <c r="Q708" s="70" t="s">
        <v>233</v>
      </c>
      <c r="R708" s="70" t="s">
        <v>240</v>
      </c>
      <c r="S708" s="70" t="s">
        <v>233</v>
      </c>
      <c r="T708" s="70" t="s">
        <v>233</v>
      </c>
      <c r="U708" s="70" t="s">
        <v>1427</v>
      </c>
      <c r="V708" s="70" t="s">
        <v>240</v>
      </c>
      <c r="W708" s="12"/>
      <c r="X708" s="242">
        <v>204.99287293250762</v>
      </c>
      <c r="Y708" s="242">
        <v>204.99287293250762</v>
      </c>
      <c r="Z708" s="242">
        <v>32.147164693893551</v>
      </c>
      <c r="AA708" s="157" t="s">
        <v>252</v>
      </c>
      <c r="AB708" s="242">
        <v>25.939576702986592</v>
      </c>
      <c r="AC708" s="157" t="s">
        <v>252</v>
      </c>
      <c r="AD708" s="242">
        <v>33.57185701967547</v>
      </c>
      <c r="AE708" s="157" t="s">
        <v>252</v>
      </c>
      <c r="AF708" s="242">
        <v>22.113260170886573</v>
      </c>
      <c r="AG708" s="157" t="s">
        <v>252</v>
      </c>
      <c r="AH708" s="242">
        <v>8.1105698832013786</v>
      </c>
      <c r="AI708" s="157" t="s">
        <v>252</v>
      </c>
      <c r="AJ708" s="242">
        <v>5.0847777925844628</v>
      </c>
      <c r="AK708" s="242" t="s">
        <v>259</v>
      </c>
      <c r="AL708" s="242">
        <v>5.0847777925844628</v>
      </c>
      <c r="AM708" s="242" t="s">
        <v>259</v>
      </c>
      <c r="AN708" s="242">
        <v>5.0847777925844628</v>
      </c>
      <c r="AO708" s="242" t="s">
        <v>259</v>
      </c>
      <c r="AP708" s="242">
        <v>6.3757271262836088</v>
      </c>
      <c r="AQ708" s="242" t="s">
        <v>259</v>
      </c>
      <c r="AR708" s="242">
        <v>29.267250921062946</v>
      </c>
      <c r="AS708" s="242" t="s">
        <v>259</v>
      </c>
      <c r="AT708" s="242">
        <v>24.148534922003606</v>
      </c>
      <c r="AU708" s="242" t="s">
        <v>259</v>
      </c>
      <c r="AV708" s="242">
        <v>26.461736616759424</v>
      </c>
      <c r="AW708" s="157" t="s">
        <v>259</v>
      </c>
      <c r="AX708" s="157">
        <v>633.37575729952164</v>
      </c>
      <c r="AY708" s="243">
        <v>8.395508348357765E-2</v>
      </c>
      <c r="AZ708" s="156" t="s">
        <v>253</v>
      </c>
      <c r="BA708" s="156" t="s">
        <v>254</v>
      </c>
      <c r="BB708" s="156">
        <v>0</v>
      </c>
      <c r="BC708" s="156" t="s">
        <v>1423</v>
      </c>
      <c r="BD708" s="3"/>
    </row>
    <row r="709" spans="1:56" ht="15.75" hidden="1" customHeight="1" outlineLevel="1">
      <c r="A709" s="58">
        <v>699</v>
      </c>
      <c r="B709" s="11">
        <v>129699</v>
      </c>
      <c r="C709" s="89" t="s">
        <v>364</v>
      </c>
      <c r="D709" s="157">
        <v>83</v>
      </c>
      <c r="E709" s="12" t="s">
        <v>191</v>
      </c>
      <c r="F709" s="11" t="s">
        <v>246</v>
      </c>
      <c r="G709" s="18" t="s">
        <v>247</v>
      </c>
      <c r="H709" s="11" t="s">
        <v>248</v>
      </c>
      <c r="I709" s="87" t="s">
        <v>249</v>
      </c>
      <c r="J709" s="19" t="s">
        <v>139</v>
      </c>
      <c r="K709" s="17" t="s">
        <v>140</v>
      </c>
      <c r="L709" s="257">
        <v>0</v>
      </c>
      <c r="M709" s="70" t="s">
        <v>250</v>
      </c>
      <c r="N709" s="70">
        <v>100</v>
      </c>
      <c r="O709" s="258">
        <v>8</v>
      </c>
      <c r="P709" s="70" t="s">
        <v>251</v>
      </c>
      <c r="Q709" s="70" t="s">
        <v>233</v>
      </c>
      <c r="R709" s="70" t="s">
        <v>240</v>
      </c>
      <c r="S709" s="70" t="s">
        <v>233</v>
      </c>
      <c r="T709" s="70" t="s">
        <v>233</v>
      </c>
      <c r="U709" s="70" t="s">
        <v>1427</v>
      </c>
      <c r="V709" s="70" t="s">
        <v>240</v>
      </c>
      <c r="W709" s="12"/>
      <c r="X709" s="242">
        <v>384.71047669305193</v>
      </c>
      <c r="Y709" s="242">
        <v>351.04403518029909</v>
      </c>
      <c r="Z709" s="242">
        <v>47.030965699208451</v>
      </c>
      <c r="AA709" s="157" t="s">
        <v>252</v>
      </c>
      <c r="AB709" s="242">
        <v>43.697977132805633</v>
      </c>
      <c r="AC709" s="157" t="s">
        <v>252</v>
      </c>
      <c r="AD709" s="242">
        <v>39.881868073878628</v>
      </c>
      <c r="AE709" s="157" t="s">
        <v>252</v>
      </c>
      <c r="AF709" s="242">
        <v>41.298659630606863</v>
      </c>
      <c r="AG709" s="157" t="s">
        <v>259</v>
      </c>
      <c r="AH709" s="242">
        <v>40.69068777484609</v>
      </c>
      <c r="AI709" s="157" t="s">
        <v>259</v>
      </c>
      <c r="AJ709" s="242">
        <v>8.2781882145998242</v>
      </c>
      <c r="AK709" s="242" t="s">
        <v>259</v>
      </c>
      <c r="AL709" s="242">
        <v>8.2781882145998242</v>
      </c>
      <c r="AM709" s="242" t="s">
        <v>259</v>
      </c>
      <c r="AN709" s="242">
        <v>8.2781882145998242</v>
      </c>
      <c r="AO709" s="242" t="s">
        <v>259</v>
      </c>
      <c r="AP709" s="242">
        <v>9.590034058047495</v>
      </c>
      <c r="AQ709" s="242" t="s">
        <v>259</v>
      </c>
      <c r="AR709" s="242">
        <v>43.898824978012321</v>
      </c>
      <c r="AS709" s="242" t="s">
        <v>259</v>
      </c>
      <c r="AT709" s="242">
        <v>37.021143359718565</v>
      </c>
      <c r="AU709" s="242" t="s">
        <v>259</v>
      </c>
      <c r="AV709" s="242">
        <v>41.732925241864557</v>
      </c>
      <c r="AW709" s="157" t="s">
        <v>252</v>
      </c>
      <c r="AX709" s="157">
        <v>1105.4321624661388</v>
      </c>
      <c r="AY709" s="240">
        <v>0.16936358839050134</v>
      </c>
      <c r="AZ709" s="156" t="s">
        <v>253</v>
      </c>
      <c r="BA709" s="156" t="s">
        <v>254</v>
      </c>
      <c r="BB709" s="156">
        <v>0</v>
      </c>
      <c r="BC709" s="156" t="s">
        <v>1423</v>
      </c>
      <c r="BD709" s="3"/>
    </row>
    <row r="710" spans="1:56" ht="15.75" hidden="1" customHeight="1" outlineLevel="1">
      <c r="A710" s="58">
        <v>700</v>
      </c>
      <c r="B710" s="11">
        <v>129700</v>
      </c>
      <c r="C710" s="89" t="s">
        <v>364</v>
      </c>
      <c r="D710" s="157">
        <v>83</v>
      </c>
      <c r="E710" s="12" t="s">
        <v>231</v>
      </c>
      <c r="F710" s="11" t="s">
        <v>246</v>
      </c>
      <c r="G710" s="18" t="s">
        <v>247</v>
      </c>
      <c r="H710" s="11" t="s">
        <v>248</v>
      </c>
      <c r="I710" s="87" t="s">
        <v>249</v>
      </c>
      <c r="J710" s="19" t="s">
        <v>139</v>
      </c>
      <c r="K710" s="17" t="s">
        <v>140</v>
      </c>
      <c r="L710" s="257">
        <v>0</v>
      </c>
      <c r="M710" s="70" t="s">
        <v>250</v>
      </c>
      <c r="N710" s="70">
        <v>100</v>
      </c>
      <c r="O710" s="258">
        <v>8</v>
      </c>
      <c r="P710" s="70" t="s">
        <v>251</v>
      </c>
      <c r="Q710" s="70" t="s">
        <v>233</v>
      </c>
      <c r="R710" s="70" t="s">
        <v>240</v>
      </c>
      <c r="S710" s="70" t="s">
        <v>233</v>
      </c>
      <c r="T710" s="70" t="s">
        <v>233</v>
      </c>
      <c r="U710" s="70" t="s">
        <v>1427</v>
      </c>
      <c r="V710" s="70" t="s">
        <v>240</v>
      </c>
      <c r="W710" s="12"/>
      <c r="X710" s="242">
        <v>323.99952330694811</v>
      </c>
      <c r="Y710" s="242">
        <v>295.64596481970096</v>
      </c>
      <c r="Z710" s="242">
        <v>39.609034300791549</v>
      </c>
      <c r="AA710" s="157" t="s">
        <v>252</v>
      </c>
      <c r="AB710" s="242">
        <v>36.802022867194367</v>
      </c>
      <c r="AC710" s="157" t="s">
        <v>252</v>
      </c>
      <c r="AD710" s="242">
        <v>33.58813192612137</v>
      </c>
      <c r="AE710" s="157" t="s">
        <v>252</v>
      </c>
      <c r="AF710" s="242">
        <v>34.781340369393135</v>
      </c>
      <c r="AG710" s="157" t="s">
        <v>259</v>
      </c>
      <c r="AH710" s="242">
        <v>34.269312225153904</v>
      </c>
      <c r="AI710" s="157" t="s">
        <v>259</v>
      </c>
      <c r="AJ710" s="242">
        <v>6.9718117854001749</v>
      </c>
      <c r="AK710" s="242" t="s">
        <v>259</v>
      </c>
      <c r="AL710" s="242">
        <v>6.9718117854001749</v>
      </c>
      <c r="AM710" s="242" t="s">
        <v>259</v>
      </c>
      <c r="AN710" s="242">
        <v>6.9718117854001749</v>
      </c>
      <c r="AO710" s="242" t="s">
        <v>259</v>
      </c>
      <c r="AP710" s="242">
        <v>8.0766359419525049</v>
      </c>
      <c r="AQ710" s="242" t="s">
        <v>259</v>
      </c>
      <c r="AR710" s="242">
        <v>36.971175021987683</v>
      </c>
      <c r="AS710" s="242" t="s">
        <v>259</v>
      </c>
      <c r="AT710" s="242">
        <v>31.178856640281438</v>
      </c>
      <c r="AU710" s="242" t="s">
        <v>259</v>
      </c>
      <c r="AV710" s="242">
        <v>35.147074758135439</v>
      </c>
      <c r="AW710" s="157" t="s">
        <v>252</v>
      </c>
      <c r="AX710" s="157">
        <v>930.98450753386112</v>
      </c>
      <c r="AY710" s="243">
        <v>0.14263641160949866</v>
      </c>
      <c r="AZ710" s="156" t="s">
        <v>253</v>
      </c>
      <c r="BA710" s="156" t="s">
        <v>254</v>
      </c>
      <c r="BB710" s="156">
        <v>0</v>
      </c>
      <c r="BC710" s="156" t="s">
        <v>1423</v>
      </c>
      <c r="BD710" s="3"/>
    </row>
    <row r="711" spans="1:56" ht="15.75" hidden="1" customHeight="1" outlineLevel="1">
      <c r="A711" s="58">
        <v>701</v>
      </c>
      <c r="B711" s="11">
        <v>129701</v>
      </c>
      <c r="C711" s="89" t="s">
        <v>364</v>
      </c>
      <c r="D711" s="157">
        <v>84</v>
      </c>
      <c r="E711" s="12" t="s">
        <v>191</v>
      </c>
      <c r="F711" s="11" t="s">
        <v>246</v>
      </c>
      <c r="G711" s="18" t="s">
        <v>247</v>
      </c>
      <c r="H711" s="11" t="s">
        <v>248</v>
      </c>
      <c r="I711" s="87" t="s">
        <v>249</v>
      </c>
      <c r="J711" s="19" t="s">
        <v>139</v>
      </c>
      <c r="K711" s="17" t="s">
        <v>140</v>
      </c>
      <c r="L711" s="257">
        <v>0</v>
      </c>
      <c r="M711" s="70" t="s">
        <v>250</v>
      </c>
      <c r="N711" s="70">
        <v>100</v>
      </c>
      <c r="O711" s="258">
        <v>8</v>
      </c>
      <c r="P711" s="70" t="s">
        <v>251</v>
      </c>
      <c r="Q711" s="70" t="s">
        <v>233</v>
      </c>
      <c r="R711" s="70" t="s">
        <v>240</v>
      </c>
      <c r="S711" s="70" t="s">
        <v>233</v>
      </c>
      <c r="T711" s="70" t="s">
        <v>233</v>
      </c>
      <c r="U711" s="70" t="s">
        <v>1427</v>
      </c>
      <c r="V711" s="70" t="s">
        <v>240</v>
      </c>
      <c r="W711" s="12"/>
      <c r="X711" s="242">
        <v>398.44685539625942</v>
      </c>
      <c r="Y711" s="242">
        <v>404.2242456880868</v>
      </c>
      <c r="Z711" s="242">
        <v>62.771568299250426</v>
      </c>
      <c r="AA711" s="157" t="s">
        <v>252</v>
      </c>
      <c r="AB711" s="242">
        <v>50.667267302234194</v>
      </c>
      <c r="AC711" s="157" t="s">
        <v>252</v>
      </c>
      <c r="AD711" s="242">
        <v>65.563726075249264</v>
      </c>
      <c r="AE711" s="157" t="s">
        <v>252</v>
      </c>
      <c r="AF711" s="242">
        <v>43.12250054581181</v>
      </c>
      <c r="AG711" s="157" t="s">
        <v>252</v>
      </c>
      <c r="AH711" s="242">
        <v>15.594498217014774</v>
      </c>
      <c r="AI711" s="157" t="s">
        <v>252</v>
      </c>
      <c r="AJ711" s="242">
        <v>7.9779225092788009</v>
      </c>
      <c r="AK711" s="242" t="s">
        <v>259</v>
      </c>
      <c r="AL711" s="242">
        <v>7.9779225092788009</v>
      </c>
      <c r="AM711" s="242" t="s">
        <v>259</v>
      </c>
      <c r="AN711" s="242">
        <v>7.9779225092788009</v>
      </c>
      <c r="AO711" s="242" t="s">
        <v>259</v>
      </c>
      <c r="AP711" s="242">
        <v>12.449013667127575</v>
      </c>
      <c r="AQ711" s="242" t="s">
        <v>259</v>
      </c>
      <c r="AR711" s="242">
        <v>57.157548941125107</v>
      </c>
      <c r="AS711" s="242" t="s">
        <v>259</v>
      </c>
      <c r="AT711" s="242">
        <v>32.243481551561025</v>
      </c>
      <c r="AU711" s="242" t="s">
        <v>259</v>
      </c>
      <c r="AV711" s="242">
        <v>51.640557065715747</v>
      </c>
      <c r="AW711" s="157" t="s">
        <v>259</v>
      </c>
      <c r="AX711" s="157">
        <v>1217.8150302772724</v>
      </c>
      <c r="AY711" s="240">
        <v>0.16040055308929482</v>
      </c>
      <c r="AZ711" s="156" t="s">
        <v>253</v>
      </c>
      <c r="BA711" s="156" t="s">
        <v>254</v>
      </c>
      <c r="BB711" s="156">
        <v>0</v>
      </c>
      <c r="BC711" s="156" t="s">
        <v>1423</v>
      </c>
      <c r="BD711" s="3"/>
    </row>
    <row r="712" spans="1:56" ht="15.75" hidden="1" customHeight="1" outlineLevel="1">
      <c r="A712" s="58">
        <v>702</v>
      </c>
      <c r="B712" s="11">
        <v>129702</v>
      </c>
      <c r="C712" s="89" t="s">
        <v>364</v>
      </c>
      <c r="D712" s="157">
        <v>84</v>
      </c>
      <c r="E712" s="12" t="s">
        <v>231</v>
      </c>
      <c r="F712" s="11" t="s">
        <v>246</v>
      </c>
      <c r="G712" s="18" t="s">
        <v>247</v>
      </c>
      <c r="H712" s="11" t="s">
        <v>248</v>
      </c>
      <c r="I712" s="87" t="s">
        <v>249</v>
      </c>
      <c r="J712" s="19" t="s">
        <v>139</v>
      </c>
      <c r="K712" s="17" t="s">
        <v>140</v>
      </c>
      <c r="L712" s="257">
        <v>0</v>
      </c>
      <c r="M712" s="70" t="s">
        <v>250</v>
      </c>
      <c r="N712" s="70">
        <v>100</v>
      </c>
      <c r="O712" s="258">
        <v>8</v>
      </c>
      <c r="P712" s="70" t="s">
        <v>251</v>
      </c>
      <c r="Q712" s="70" t="s">
        <v>233</v>
      </c>
      <c r="R712" s="70" t="s">
        <v>240</v>
      </c>
      <c r="S712" s="70" t="s">
        <v>233</v>
      </c>
      <c r="T712" s="70" t="s">
        <v>233</v>
      </c>
      <c r="U712" s="70" t="s">
        <v>1427</v>
      </c>
      <c r="V712" s="70" t="s">
        <v>240</v>
      </c>
      <c r="W712" s="12"/>
      <c r="X712" s="242">
        <v>138.11314460374064</v>
      </c>
      <c r="Y712" s="242">
        <v>140.11575431191326</v>
      </c>
      <c r="Z712" s="242">
        <v>21.758431700749583</v>
      </c>
      <c r="AA712" s="157" t="s">
        <v>252</v>
      </c>
      <c r="AB712" s="242">
        <v>17.56273269776581</v>
      </c>
      <c r="AC712" s="157" t="s">
        <v>252</v>
      </c>
      <c r="AD712" s="242">
        <v>22.726273924750746</v>
      </c>
      <c r="AE712" s="157" t="s">
        <v>252</v>
      </c>
      <c r="AF712" s="242">
        <v>14.947499454188195</v>
      </c>
      <c r="AG712" s="157" t="s">
        <v>252</v>
      </c>
      <c r="AH712" s="242">
        <v>5.4055017829852261</v>
      </c>
      <c r="AI712" s="157" t="s">
        <v>252</v>
      </c>
      <c r="AJ712" s="242">
        <v>2.7653774907211992</v>
      </c>
      <c r="AK712" s="242" t="s">
        <v>259</v>
      </c>
      <c r="AL712" s="242">
        <v>2.7653774907211992</v>
      </c>
      <c r="AM712" s="242" t="s">
        <v>259</v>
      </c>
      <c r="AN712" s="242">
        <v>2.7653774907211992</v>
      </c>
      <c r="AO712" s="242" t="s">
        <v>259</v>
      </c>
      <c r="AP712" s="242">
        <v>4.3151863328724254</v>
      </c>
      <c r="AQ712" s="242" t="s">
        <v>259</v>
      </c>
      <c r="AR712" s="242">
        <v>19.812451058874899</v>
      </c>
      <c r="AS712" s="242" t="s">
        <v>259</v>
      </c>
      <c r="AT712" s="242">
        <v>11.176518448438978</v>
      </c>
      <c r="AU712" s="242" t="s">
        <v>259</v>
      </c>
      <c r="AV712" s="242">
        <v>17.900102934284259</v>
      </c>
      <c r="AW712" s="157" t="s">
        <v>259</v>
      </c>
      <c r="AX712" s="157">
        <v>422.12972972272757</v>
      </c>
      <c r="AY712" s="243">
        <v>5.5599446910705189E-2</v>
      </c>
      <c r="AZ712" s="156" t="s">
        <v>253</v>
      </c>
      <c r="BA712" s="156" t="s">
        <v>254</v>
      </c>
      <c r="BB712" s="156">
        <v>0</v>
      </c>
      <c r="BC712" s="156" t="s">
        <v>1423</v>
      </c>
      <c r="BD712" s="3"/>
    </row>
    <row r="713" spans="1:56" ht="15.75" hidden="1" customHeight="1" outlineLevel="1">
      <c r="A713" s="58">
        <v>703</v>
      </c>
      <c r="B713" s="11">
        <v>129703</v>
      </c>
      <c r="C713" s="89" t="s">
        <v>364</v>
      </c>
      <c r="D713" s="157">
        <v>85</v>
      </c>
      <c r="E713" s="12" t="s">
        <v>191</v>
      </c>
      <c r="F713" s="11" t="s">
        <v>246</v>
      </c>
      <c r="G713" s="18" t="s">
        <v>247</v>
      </c>
      <c r="H713" s="11" t="s">
        <v>248</v>
      </c>
      <c r="I713" s="87" t="s">
        <v>249</v>
      </c>
      <c r="J713" s="19" t="s">
        <v>139</v>
      </c>
      <c r="K713" s="17" t="s">
        <v>140</v>
      </c>
      <c r="L713" s="257">
        <v>0</v>
      </c>
      <c r="M713" s="70" t="s">
        <v>250</v>
      </c>
      <c r="N713" s="70">
        <v>100</v>
      </c>
      <c r="O713" s="258">
        <v>8</v>
      </c>
      <c r="P713" s="70" t="s">
        <v>251</v>
      </c>
      <c r="Q713" s="70" t="s">
        <v>233</v>
      </c>
      <c r="R713" s="70" t="s">
        <v>240</v>
      </c>
      <c r="S713" s="70" t="s">
        <v>233</v>
      </c>
      <c r="T713" s="70" t="s">
        <v>233</v>
      </c>
      <c r="U713" s="70" t="s">
        <v>1427</v>
      </c>
      <c r="V713" s="70" t="s">
        <v>240</v>
      </c>
      <c r="W713" s="12"/>
      <c r="X713" s="242">
        <v>222.03</v>
      </c>
      <c r="Y713" s="242">
        <v>205.57000000000002</v>
      </c>
      <c r="Z713" s="242">
        <v>27.56</v>
      </c>
      <c r="AA713" s="157" t="s">
        <v>252</v>
      </c>
      <c r="AB713" s="242">
        <v>34.36</v>
      </c>
      <c r="AC713" s="157" t="s">
        <v>252</v>
      </c>
      <c r="AD713" s="242">
        <v>34.590000000000003</v>
      </c>
      <c r="AE713" s="157" t="s">
        <v>252</v>
      </c>
      <c r="AF713" s="242">
        <v>34.57</v>
      </c>
      <c r="AG713" s="157" t="s">
        <v>259</v>
      </c>
      <c r="AH713" s="242">
        <v>34.619999999999997</v>
      </c>
      <c r="AI713" s="157" t="s">
        <v>259</v>
      </c>
      <c r="AJ713" s="242">
        <v>5.4</v>
      </c>
      <c r="AK713" s="242" t="s">
        <v>259</v>
      </c>
      <c r="AL713" s="242">
        <v>5.4</v>
      </c>
      <c r="AM713" s="242" t="s">
        <v>259</v>
      </c>
      <c r="AN713" s="242">
        <v>5.4</v>
      </c>
      <c r="AO713" s="242" t="s">
        <v>259</v>
      </c>
      <c r="AP713" s="242">
        <v>5.6201999999999996</v>
      </c>
      <c r="AQ713" s="242" t="s">
        <v>259</v>
      </c>
      <c r="AR713" s="242">
        <v>25.73</v>
      </c>
      <c r="AS713" s="242" t="s">
        <v>259</v>
      </c>
      <c r="AT713" s="242">
        <v>26.15</v>
      </c>
      <c r="AU713" s="242" t="s">
        <v>259</v>
      </c>
      <c r="AV713" s="242">
        <v>24.44</v>
      </c>
      <c r="AW713" s="157" t="s">
        <v>252</v>
      </c>
      <c r="AX713" s="157">
        <v>691.4402</v>
      </c>
      <c r="AY713" s="240">
        <v>9.8000000000000004E-2</v>
      </c>
      <c r="AZ713" s="156" t="s">
        <v>253</v>
      </c>
      <c r="BA713" s="156" t="s">
        <v>254</v>
      </c>
      <c r="BB713" s="156">
        <v>0</v>
      </c>
      <c r="BC713" s="156" t="s">
        <v>1423</v>
      </c>
      <c r="BD713" s="3"/>
    </row>
    <row r="714" spans="1:56" ht="15.75" hidden="1" customHeight="1" outlineLevel="1">
      <c r="A714" s="58">
        <v>704</v>
      </c>
      <c r="B714" s="11">
        <v>129704</v>
      </c>
      <c r="C714" s="89" t="s">
        <v>364</v>
      </c>
      <c r="D714" s="157">
        <v>86</v>
      </c>
      <c r="E714" s="12" t="s">
        <v>191</v>
      </c>
      <c r="F714" s="11" t="s">
        <v>246</v>
      </c>
      <c r="G714" s="18" t="s">
        <v>247</v>
      </c>
      <c r="H714" s="11" t="s">
        <v>248</v>
      </c>
      <c r="I714" s="87" t="s">
        <v>249</v>
      </c>
      <c r="J714" s="19" t="s">
        <v>139</v>
      </c>
      <c r="K714" s="17" t="s">
        <v>140</v>
      </c>
      <c r="L714" s="257">
        <v>0</v>
      </c>
      <c r="M714" s="70" t="s">
        <v>250</v>
      </c>
      <c r="N714" s="70">
        <v>100</v>
      </c>
      <c r="O714" s="258">
        <v>8</v>
      </c>
      <c r="P714" s="70" t="s">
        <v>251</v>
      </c>
      <c r="Q714" s="70" t="s">
        <v>240</v>
      </c>
      <c r="R714" s="70" t="s">
        <v>240</v>
      </c>
      <c r="S714" s="70" t="s">
        <v>233</v>
      </c>
      <c r="T714" s="70" t="s">
        <v>233</v>
      </c>
      <c r="U714" s="70" t="s">
        <v>1427</v>
      </c>
      <c r="V714" s="70" t="s">
        <v>240</v>
      </c>
      <c r="W714" s="12"/>
      <c r="X714" s="242">
        <v>464.16000000000008</v>
      </c>
      <c r="Y714" s="242">
        <v>429.71</v>
      </c>
      <c r="Z714" s="242">
        <v>28.83</v>
      </c>
      <c r="AA714" s="157" t="s">
        <v>259</v>
      </c>
      <c r="AB714" s="242">
        <v>28.83</v>
      </c>
      <c r="AC714" s="157" t="s">
        <v>259</v>
      </c>
      <c r="AD714" s="242">
        <v>28.83</v>
      </c>
      <c r="AE714" s="157" t="s">
        <v>259</v>
      </c>
      <c r="AF714" s="242">
        <v>28.27</v>
      </c>
      <c r="AG714" s="157" t="s">
        <v>259</v>
      </c>
      <c r="AH714" s="242">
        <v>28.83</v>
      </c>
      <c r="AI714" s="157" t="s">
        <v>259</v>
      </c>
      <c r="AJ714" s="242">
        <v>14.22</v>
      </c>
      <c r="AK714" s="242" t="s">
        <v>259</v>
      </c>
      <c r="AL714" s="242">
        <v>14.6</v>
      </c>
      <c r="AM714" s="242" t="s">
        <v>259</v>
      </c>
      <c r="AN714" s="242">
        <v>4.2</v>
      </c>
      <c r="AO714" s="242" t="s">
        <v>259</v>
      </c>
      <c r="AP714" s="242">
        <v>16.262830000000001</v>
      </c>
      <c r="AQ714" s="242" t="s">
        <v>259</v>
      </c>
      <c r="AR714" s="242">
        <v>30.96</v>
      </c>
      <c r="AS714" s="242" t="s">
        <v>259</v>
      </c>
      <c r="AT714" s="242">
        <v>31.38</v>
      </c>
      <c r="AU714" s="242" t="s">
        <v>259</v>
      </c>
      <c r="AV714" s="242">
        <v>31.38</v>
      </c>
      <c r="AW714" s="157" t="s">
        <v>259</v>
      </c>
      <c r="AX714" s="157">
        <v>1180.4628300000004</v>
      </c>
      <c r="AY714" s="240">
        <v>0.17199999999999999</v>
      </c>
      <c r="AZ714" s="156" t="s">
        <v>253</v>
      </c>
      <c r="BA714" s="156" t="s">
        <v>254</v>
      </c>
      <c r="BB714" s="156">
        <v>0</v>
      </c>
      <c r="BC714" s="156" t="s">
        <v>1423</v>
      </c>
      <c r="BD714" s="3"/>
    </row>
    <row r="715" spans="1:56" ht="15.75" hidden="1" customHeight="1" outlineLevel="1">
      <c r="A715" s="58">
        <v>705</v>
      </c>
      <c r="B715" s="11">
        <v>129705</v>
      </c>
      <c r="C715" s="89" t="s">
        <v>364</v>
      </c>
      <c r="D715" s="157">
        <v>89</v>
      </c>
      <c r="E715" s="12" t="s">
        <v>191</v>
      </c>
      <c r="F715" s="11" t="s">
        <v>246</v>
      </c>
      <c r="G715" s="18" t="s">
        <v>247</v>
      </c>
      <c r="H715" s="11" t="s">
        <v>248</v>
      </c>
      <c r="I715" s="87" t="s">
        <v>249</v>
      </c>
      <c r="J715" s="19" t="s">
        <v>139</v>
      </c>
      <c r="K715" s="17" t="s">
        <v>140</v>
      </c>
      <c r="L715" s="257">
        <v>0</v>
      </c>
      <c r="M715" s="70" t="s">
        <v>250</v>
      </c>
      <c r="N715" s="70">
        <v>100</v>
      </c>
      <c r="O715" s="258">
        <v>8</v>
      </c>
      <c r="P715" s="70" t="s">
        <v>251</v>
      </c>
      <c r="Q715" s="70" t="s">
        <v>233</v>
      </c>
      <c r="R715" s="70" t="s">
        <v>240</v>
      </c>
      <c r="S715" s="70" t="s">
        <v>233</v>
      </c>
      <c r="T715" s="70" t="s">
        <v>233</v>
      </c>
      <c r="U715" s="70" t="s">
        <v>1427</v>
      </c>
      <c r="V715" s="70" t="s">
        <v>240</v>
      </c>
      <c r="W715" s="12"/>
      <c r="X715" s="242">
        <v>356.09000000000003</v>
      </c>
      <c r="Y715" s="242">
        <v>371.46999999999997</v>
      </c>
      <c r="Z715" s="242">
        <v>42.33</v>
      </c>
      <c r="AA715" s="157" t="s">
        <v>259</v>
      </c>
      <c r="AB715" s="242">
        <v>42.16</v>
      </c>
      <c r="AC715" s="157" t="s">
        <v>259</v>
      </c>
      <c r="AD715" s="242">
        <v>42.45</v>
      </c>
      <c r="AE715" s="157" t="s">
        <v>259</v>
      </c>
      <c r="AF715" s="242">
        <v>42.07</v>
      </c>
      <c r="AG715" s="157" t="s">
        <v>259</v>
      </c>
      <c r="AH715" s="242">
        <v>43.13</v>
      </c>
      <c r="AI715" s="157" t="s">
        <v>259</v>
      </c>
      <c r="AJ715" s="242">
        <v>8.93</v>
      </c>
      <c r="AK715" s="242" t="s">
        <v>259</v>
      </c>
      <c r="AL715" s="242">
        <v>8.93</v>
      </c>
      <c r="AM715" s="242" t="s">
        <v>259</v>
      </c>
      <c r="AN715" s="242">
        <v>8.93</v>
      </c>
      <c r="AO715" s="242" t="s">
        <v>259</v>
      </c>
      <c r="AP715" s="242">
        <v>10.974320000000001</v>
      </c>
      <c r="AQ715" s="242" t="s">
        <v>259</v>
      </c>
      <c r="AR715" s="242">
        <v>39.67</v>
      </c>
      <c r="AS715" s="242" t="s">
        <v>259</v>
      </c>
      <c r="AT715" s="242">
        <v>39.770000000000003</v>
      </c>
      <c r="AU715" s="242" t="s">
        <v>259</v>
      </c>
      <c r="AV715" s="242">
        <v>39.909999999999997</v>
      </c>
      <c r="AW715" s="157" t="s">
        <v>259</v>
      </c>
      <c r="AX715" s="157">
        <v>1096.81432</v>
      </c>
      <c r="AY715" s="240">
        <v>0.17</v>
      </c>
      <c r="AZ715" s="156" t="s">
        <v>253</v>
      </c>
      <c r="BA715" s="156" t="s">
        <v>254</v>
      </c>
      <c r="BB715" s="156">
        <v>0</v>
      </c>
      <c r="BC715" s="156" t="s">
        <v>1423</v>
      </c>
      <c r="BD715" s="3"/>
    </row>
    <row r="716" spans="1:56" ht="15.75" hidden="1" customHeight="1" outlineLevel="1">
      <c r="A716" s="58">
        <v>706</v>
      </c>
      <c r="B716" s="11">
        <v>129706</v>
      </c>
      <c r="C716" s="89" t="s">
        <v>364</v>
      </c>
      <c r="D716" s="157">
        <v>90</v>
      </c>
      <c r="E716" s="12" t="s">
        <v>191</v>
      </c>
      <c r="F716" s="11" t="s">
        <v>246</v>
      </c>
      <c r="G716" s="18" t="s">
        <v>247</v>
      </c>
      <c r="H716" s="11" t="s">
        <v>248</v>
      </c>
      <c r="I716" s="87" t="s">
        <v>249</v>
      </c>
      <c r="J716" s="19" t="s">
        <v>139</v>
      </c>
      <c r="K716" s="17" t="s">
        <v>140</v>
      </c>
      <c r="L716" s="257">
        <v>0</v>
      </c>
      <c r="M716" s="70" t="s">
        <v>250</v>
      </c>
      <c r="N716" s="70">
        <v>80</v>
      </c>
      <c r="O716" s="258">
        <v>8</v>
      </c>
      <c r="P716" s="70" t="s">
        <v>251</v>
      </c>
      <c r="Q716" s="70" t="s">
        <v>233</v>
      </c>
      <c r="R716" s="70" t="s">
        <v>240</v>
      </c>
      <c r="S716" s="70" t="s">
        <v>233</v>
      </c>
      <c r="T716" s="70" t="s">
        <v>233</v>
      </c>
      <c r="U716" s="70" t="s">
        <v>1427</v>
      </c>
      <c r="V716" s="70" t="s">
        <v>240</v>
      </c>
      <c r="W716" s="12"/>
      <c r="X716" s="242">
        <v>607.86999999999989</v>
      </c>
      <c r="Y716" s="242">
        <v>619.25</v>
      </c>
      <c r="Z716" s="242">
        <v>95.3</v>
      </c>
      <c r="AA716" s="157" t="s">
        <v>252</v>
      </c>
      <c r="AB716" s="242">
        <v>78.37</v>
      </c>
      <c r="AC716" s="157" t="s">
        <v>252</v>
      </c>
      <c r="AD716" s="242">
        <v>111.36</v>
      </c>
      <c r="AE716" s="157" t="s">
        <v>252</v>
      </c>
      <c r="AF716" s="242">
        <v>58.92</v>
      </c>
      <c r="AG716" s="157" t="s">
        <v>252</v>
      </c>
      <c r="AH716" s="242">
        <v>20.7</v>
      </c>
      <c r="AI716" s="157" t="s">
        <v>252</v>
      </c>
      <c r="AJ716" s="242">
        <v>10.3</v>
      </c>
      <c r="AK716" s="242" t="s">
        <v>252</v>
      </c>
      <c r="AL716" s="242">
        <v>7.24</v>
      </c>
      <c r="AM716" s="242" t="s">
        <v>252</v>
      </c>
      <c r="AN716" s="242">
        <v>8.7200000000000006</v>
      </c>
      <c r="AO716" s="242" t="s">
        <v>252</v>
      </c>
      <c r="AP716" s="242">
        <v>25.591930000000001</v>
      </c>
      <c r="AQ716" s="242" t="s">
        <v>252</v>
      </c>
      <c r="AR716" s="242">
        <v>74.16</v>
      </c>
      <c r="AS716" s="242" t="s">
        <v>259</v>
      </c>
      <c r="AT716" s="242">
        <v>76.151110000000003</v>
      </c>
      <c r="AU716" s="242" t="s">
        <v>259</v>
      </c>
      <c r="AV716" s="242">
        <v>59.9</v>
      </c>
      <c r="AW716" s="157" t="s">
        <v>259</v>
      </c>
      <c r="AX716" s="157">
        <v>1853.8330400000002</v>
      </c>
      <c r="AY716" s="240">
        <v>0.3</v>
      </c>
      <c r="AZ716" s="156" t="s">
        <v>253</v>
      </c>
      <c r="BA716" s="156" t="s">
        <v>254</v>
      </c>
      <c r="BB716" s="156">
        <v>0</v>
      </c>
      <c r="BC716" s="156" t="s">
        <v>1423</v>
      </c>
      <c r="BD716" s="3"/>
    </row>
    <row r="717" spans="1:56" ht="15.75" hidden="1" customHeight="1" outlineLevel="1">
      <c r="A717" s="58">
        <v>707</v>
      </c>
      <c r="B717" s="11">
        <v>129707</v>
      </c>
      <c r="C717" s="89" t="s">
        <v>364</v>
      </c>
      <c r="D717" s="157">
        <v>91</v>
      </c>
      <c r="E717" s="12" t="s">
        <v>191</v>
      </c>
      <c r="F717" s="11" t="s">
        <v>246</v>
      </c>
      <c r="G717" s="18" t="s">
        <v>247</v>
      </c>
      <c r="H717" s="11" t="s">
        <v>248</v>
      </c>
      <c r="I717" s="87" t="s">
        <v>249</v>
      </c>
      <c r="J717" s="19" t="s">
        <v>139</v>
      </c>
      <c r="K717" s="17" t="s">
        <v>140</v>
      </c>
      <c r="L717" s="260">
        <v>1</v>
      </c>
      <c r="M717" s="70" t="s">
        <v>250</v>
      </c>
      <c r="N717" s="70">
        <v>80</v>
      </c>
      <c r="O717" s="258">
        <v>8</v>
      </c>
      <c r="P717" s="70" t="s">
        <v>251</v>
      </c>
      <c r="Q717" s="70" t="s">
        <v>233</v>
      </c>
      <c r="R717" s="70" t="s">
        <v>240</v>
      </c>
      <c r="S717" s="70" t="s">
        <v>233</v>
      </c>
      <c r="T717" s="70" t="s">
        <v>233</v>
      </c>
      <c r="U717" s="70" t="s">
        <v>1427</v>
      </c>
      <c r="V717" s="70" t="s">
        <v>240</v>
      </c>
      <c r="W717" s="12"/>
      <c r="X717" s="242">
        <v>551.22</v>
      </c>
      <c r="Y717" s="242">
        <v>576.66000000000008</v>
      </c>
      <c r="Z717" s="242">
        <v>68.31</v>
      </c>
      <c r="AA717" s="157" t="s">
        <v>259</v>
      </c>
      <c r="AB717" s="242">
        <v>69.209999999999994</v>
      </c>
      <c r="AC717" s="157" t="s">
        <v>259</v>
      </c>
      <c r="AD717" s="242">
        <v>68.569999999999993</v>
      </c>
      <c r="AE717" s="157" t="s">
        <v>259</v>
      </c>
      <c r="AF717" s="242">
        <v>69.3</v>
      </c>
      <c r="AG717" s="157" t="s">
        <v>259</v>
      </c>
      <c r="AH717" s="242">
        <v>68.3</v>
      </c>
      <c r="AI717" s="157" t="s">
        <v>259</v>
      </c>
      <c r="AJ717" s="242">
        <v>12.1633</v>
      </c>
      <c r="AK717" s="242" t="s">
        <v>259</v>
      </c>
      <c r="AL717" s="242">
        <v>12.1633</v>
      </c>
      <c r="AM717" s="242" t="s">
        <v>259</v>
      </c>
      <c r="AN717" s="242">
        <v>12.1633</v>
      </c>
      <c r="AO717" s="242" t="s">
        <v>259</v>
      </c>
      <c r="AP717" s="242">
        <v>16.663039999999999</v>
      </c>
      <c r="AQ717" s="242" t="s">
        <v>259</v>
      </c>
      <c r="AR717" s="242">
        <v>65.44</v>
      </c>
      <c r="AS717" s="242" t="s">
        <v>259</v>
      </c>
      <c r="AT717" s="242">
        <v>64.989999999999995</v>
      </c>
      <c r="AU717" s="242" t="s">
        <v>259</v>
      </c>
      <c r="AV717" s="242">
        <v>65.260000000000005</v>
      </c>
      <c r="AW717" s="157" t="s">
        <v>259</v>
      </c>
      <c r="AX717" s="157">
        <v>1720.4129399999997</v>
      </c>
      <c r="AY717" s="240">
        <v>0.26</v>
      </c>
      <c r="AZ717" s="156" t="s">
        <v>253</v>
      </c>
      <c r="BA717" s="156" t="s">
        <v>254</v>
      </c>
      <c r="BB717" s="156">
        <v>1</v>
      </c>
      <c r="BC717" s="156" t="s">
        <v>1423</v>
      </c>
      <c r="BD717" s="3"/>
    </row>
    <row r="718" spans="1:56" ht="15.75" hidden="1" customHeight="1" outlineLevel="1">
      <c r="A718" s="58">
        <v>708</v>
      </c>
      <c r="B718" s="11">
        <v>129708</v>
      </c>
      <c r="C718" s="89" t="s">
        <v>364</v>
      </c>
      <c r="D718" s="157">
        <v>92</v>
      </c>
      <c r="E718" s="12" t="s">
        <v>191</v>
      </c>
      <c r="F718" s="11" t="s">
        <v>246</v>
      </c>
      <c r="G718" s="18" t="s">
        <v>247</v>
      </c>
      <c r="H718" s="11" t="s">
        <v>248</v>
      </c>
      <c r="I718" s="87" t="s">
        <v>249</v>
      </c>
      <c r="J718" s="19" t="s">
        <v>139</v>
      </c>
      <c r="K718" s="17" t="s">
        <v>140</v>
      </c>
      <c r="L718" s="260">
        <v>1</v>
      </c>
      <c r="M718" s="70" t="s">
        <v>250</v>
      </c>
      <c r="N718" s="70">
        <v>100</v>
      </c>
      <c r="O718" s="258">
        <v>8</v>
      </c>
      <c r="P718" s="70" t="s">
        <v>251</v>
      </c>
      <c r="Q718" s="70" t="s">
        <v>233</v>
      </c>
      <c r="R718" s="70" t="s">
        <v>240</v>
      </c>
      <c r="S718" s="70" t="s">
        <v>233</v>
      </c>
      <c r="T718" s="70" t="s">
        <v>233</v>
      </c>
      <c r="U718" s="70" t="s">
        <v>1427</v>
      </c>
      <c r="V718" s="70" t="s">
        <v>240</v>
      </c>
      <c r="W718" s="12"/>
      <c r="X718" s="242">
        <v>460.05999999999995</v>
      </c>
      <c r="Y718" s="242">
        <v>495.75000000000006</v>
      </c>
      <c r="Z718" s="242">
        <v>72.97</v>
      </c>
      <c r="AA718" s="157" t="s">
        <v>252</v>
      </c>
      <c r="AB718" s="242">
        <v>59.95</v>
      </c>
      <c r="AC718" s="157" t="s">
        <v>252</v>
      </c>
      <c r="AD718" s="242">
        <v>85.28</v>
      </c>
      <c r="AE718" s="157" t="s">
        <v>252</v>
      </c>
      <c r="AF718" s="242">
        <v>45.08</v>
      </c>
      <c r="AG718" s="157" t="s">
        <v>252</v>
      </c>
      <c r="AH718" s="242">
        <v>15.92</v>
      </c>
      <c r="AI718" s="157" t="s">
        <v>252</v>
      </c>
      <c r="AJ718" s="242">
        <v>6.56</v>
      </c>
      <c r="AK718" s="242" t="s">
        <v>252</v>
      </c>
      <c r="AL718" s="242">
        <v>11.12</v>
      </c>
      <c r="AM718" s="242" t="s">
        <v>252</v>
      </c>
      <c r="AN718" s="242">
        <v>5.65</v>
      </c>
      <c r="AO718" s="242" t="s">
        <v>252</v>
      </c>
      <c r="AP718" s="242">
        <v>18.776389999999999</v>
      </c>
      <c r="AQ718" s="242" t="s">
        <v>252</v>
      </c>
      <c r="AR718" s="242">
        <v>56.83</v>
      </c>
      <c r="AS718" s="242" t="s">
        <v>259</v>
      </c>
      <c r="AT718" s="242">
        <v>58.370420000000003</v>
      </c>
      <c r="AU718" s="242" t="s">
        <v>259</v>
      </c>
      <c r="AV718" s="242">
        <v>73.34</v>
      </c>
      <c r="AW718" s="157" t="s">
        <v>259</v>
      </c>
      <c r="AX718" s="157">
        <v>1465.6568099999997</v>
      </c>
      <c r="AY718" s="240">
        <v>0.25</v>
      </c>
      <c r="AZ718" s="156" t="s">
        <v>253</v>
      </c>
      <c r="BA718" s="156" t="s">
        <v>254</v>
      </c>
      <c r="BB718" s="156">
        <v>1</v>
      </c>
      <c r="BC718" s="156" t="s">
        <v>1423</v>
      </c>
      <c r="BD718" s="3"/>
    </row>
    <row r="719" spans="1:56" ht="15.75" hidden="1" customHeight="1" outlineLevel="1">
      <c r="A719" s="58">
        <v>709</v>
      </c>
      <c r="B719" s="11">
        <v>129709</v>
      </c>
      <c r="C719" s="89" t="s">
        <v>364</v>
      </c>
      <c r="D719" s="157">
        <v>94</v>
      </c>
      <c r="E719" s="12" t="s">
        <v>191</v>
      </c>
      <c r="F719" s="11" t="s">
        <v>246</v>
      </c>
      <c r="G719" s="18" t="s">
        <v>247</v>
      </c>
      <c r="H719" s="11" t="s">
        <v>248</v>
      </c>
      <c r="I719" s="87" t="s">
        <v>249</v>
      </c>
      <c r="J719" s="19" t="s">
        <v>139</v>
      </c>
      <c r="K719" s="17" t="s">
        <v>140</v>
      </c>
      <c r="L719" s="257">
        <v>0</v>
      </c>
      <c r="M719" s="70" t="s">
        <v>250</v>
      </c>
      <c r="N719" s="70">
        <v>100</v>
      </c>
      <c r="O719" s="258">
        <v>8</v>
      </c>
      <c r="P719" s="70" t="s">
        <v>251</v>
      </c>
      <c r="Q719" s="70" t="s">
        <v>233</v>
      </c>
      <c r="R719" s="70" t="s">
        <v>240</v>
      </c>
      <c r="S719" s="70" t="s">
        <v>233</v>
      </c>
      <c r="T719" s="70" t="s">
        <v>233</v>
      </c>
      <c r="U719" s="70" t="s">
        <v>1427</v>
      </c>
      <c r="V719" s="70" t="s">
        <v>240</v>
      </c>
      <c r="W719" s="12"/>
      <c r="X719" s="242">
        <v>620.56146894779738</v>
      </c>
      <c r="Y719" s="242">
        <v>709.68086419753104</v>
      </c>
      <c r="Z719" s="242">
        <v>23.726175346243028</v>
      </c>
      <c r="AA719" s="157" t="s">
        <v>252</v>
      </c>
      <c r="AB719" s="242">
        <v>79.332169580748271</v>
      </c>
      <c r="AC719" s="157" t="s">
        <v>252</v>
      </c>
      <c r="AD719" s="242">
        <v>112.58876292536193</v>
      </c>
      <c r="AE719" s="157" t="s">
        <v>252</v>
      </c>
      <c r="AF719" s="242">
        <v>59.536578304192524</v>
      </c>
      <c r="AG719" s="157" t="s">
        <v>252</v>
      </c>
      <c r="AH719" s="242">
        <v>20.701551670113432</v>
      </c>
      <c r="AI719" s="157" t="s">
        <v>252</v>
      </c>
      <c r="AJ719" s="242">
        <v>11.634814188130601</v>
      </c>
      <c r="AK719" s="242" t="s">
        <v>252</v>
      </c>
      <c r="AL719" s="242">
        <v>8.1108422635833808</v>
      </c>
      <c r="AM719" s="242" t="s">
        <v>252</v>
      </c>
      <c r="AN719" s="242">
        <v>9.9084959578868226</v>
      </c>
      <c r="AO719" s="242" t="s">
        <v>252</v>
      </c>
      <c r="AP719" s="242">
        <v>25.995392125712854</v>
      </c>
      <c r="AQ719" s="242" t="s">
        <v>252</v>
      </c>
      <c r="AR719" s="242">
        <v>57.995732280503859</v>
      </c>
      <c r="AS719" s="242" t="s">
        <v>259</v>
      </c>
      <c r="AT719" s="242">
        <v>76.939670852290533</v>
      </c>
      <c r="AU719" s="242" t="s">
        <v>259</v>
      </c>
      <c r="AV719" s="242">
        <v>66.041159923544541</v>
      </c>
      <c r="AW719" s="157" t="s">
        <v>259</v>
      </c>
      <c r="AX719" s="157">
        <v>1882.7536785636403</v>
      </c>
      <c r="AY719" s="240">
        <v>0.30674249545653948</v>
      </c>
      <c r="AZ719" s="156" t="s">
        <v>253</v>
      </c>
      <c r="BA719" s="156" t="s">
        <v>254</v>
      </c>
      <c r="BB719" s="156">
        <v>0</v>
      </c>
      <c r="BC719" s="156" t="s">
        <v>1423</v>
      </c>
      <c r="BD719" s="3"/>
    </row>
    <row r="720" spans="1:56" ht="15.75" hidden="1" customHeight="1" outlineLevel="1">
      <c r="A720" s="58">
        <v>710</v>
      </c>
      <c r="B720" s="11">
        <v>129710</v>
      </c>
      <c r="C720" s="89" t="s">
        <v>364</v>
      </c>
      <c r="D720" s="157">
        <v>94</v>
      </c>
      <c r="E720" s="12" t="s">
        <v>270</v>
      </c>
      <c r="F720" s="11" t="s">
        <v>246</v>
      </c>
      <c r="G720" s="18" t="s">
        <v>247</v>
      </c>
      <c r="H720" s="11" t="s">
        <v>248</v>
      </c>
      <c r="I720" s="87" t="s">
        <v>249</v>
      </c>
      <c r="J720" s="19" t="s">
        <v>139</v>
      </c>
      <c r="K720" s="17" t="s">
        <v>140</v>
      </c>
      <c r="L720" s="257">
        <v>0</v>
      </c>
      <c r="M720" s="70" t="s">
        <v>250</v>
      </c>
      <c r="N720" s="70">
        <v>100</v>
      </c>
      <c r="O720" s="258">
        <v>8</v>
      </c>
      <c r="P720" s="70" t="s">
        <v>251</v>
      </c>
      <c r="Q720" s="70" t="s">
        <v>233</v>
      </c>
      <c r="R720" s="70" t="s">
        <v>240</v>
      </c>
      <c r="S720" s="70" t="s">
        <v>233</v>
      </c>
      <c r="T720" s="70" t="s">
        <v>233</v>
      </c>
      <c r="U720" s="70" t="s">
        <v>1427</v>
      </c>
      <c r="V720" s="70" t="s">
        <v>240</v>
      </c>
      <c r="W720" s="12"/>
      <c r="X720" s="242">
        <v>249.35853105220284</v>
      </c>
      <c r="Y720" s="242">
        <v>285.16913580246916</v>
      </c>
      <c r="Z720" s="242">
        <v>9.5338246537569713</v>
      </c>
      <c r="AA720" s="157" t="s">
        <v>252</v>
      </c>
      <c r="AB720" s="242">
        <v>31.877830419251737</v>
      </c>
      <c r="AC720" s="157" t="s">
        <v>252</v>
      </c>
      <c r="AD720" s="242">
        <v>45.241237074638093</v>
      </c>
      <c r="AE720" s="157" t="s">
        <v>252</v>
      </c>
      <c r="AF720" s="242">
        <v>23.92342169580748</v>
      </c>
      <c r="AG720" s="157" t="s">
        <v>252</v>
      </c>
      <c r="AH720" s="242">
        <v>8.3184483298865697</v>
      </c>
      <c r="AI720" s="157" t="s">
        <v>252</v>
      </c>
      <c r="AJ720" s="242">
        <v>4.6751858118693992</v>
      </c>
      <c r="AK720" s="242" t="s">
        <v>252</v>
      </c>
      <c r="AL720" s="242">
        <v>3.2591577364166198</v>
      </c>
      <c r="AM720" s="242" t="s">
        <v>252</v>
      </c>
      <c r="AN720" s="242">
        <v>3.9815040421131793</v>
      </c>
      <c r="AO720" s="242" t="s">
        <v>252</v>
      </c>
      <c r="AP720" s="242">
        <v>10.445657874287146</v>
      </c>
      <c r="AQ720" s="242" t="s">
        <v>252</v>
      </c>
      <c r="AR720" s="242">
        <v>23.304267719496146</v>
      </c>
      <c r="AS720" s="242" t="s">
        <v>259</v>
      </c>
      <c r="AT720" s="242">
        <v>30.916459147709467</v>
      </c>
      <c r="AU720" s="242" t="s">
        <v>259</v>
      </c>
      <c r="AV720" s="242">
        <v>26.537140076455476</v>
      </c>
      <c r="AW720" s="157" t="s">
        <v>259</v>
      </c>
      <c r="AX720" s="157">
        <v>756.54180143636017</v>
      </c>
      <c r="AY720" s="243">
        <v>0.12325750454346056</v>
      </c>
      <c r="AZ720" s="156" t="s">
        <v>253</v>
      </c>
      <c r="BA720" s="156" t="s">
        <v>254</v>
      </c>
      <c r="BB720" s="156">
        <v>0</v>
      </c>
      <c r="BC720" s="156" t="s">
        <v>1423</v>
      </c>
      <c r="BD720" s="3"/>
    </row>
    <row r="721" spans="1:56" ht="15.75" hidden="1" customHeight="1" outlineLevel="1">
      <c r="A721" s="58">
        <v>711</v>
      </c>
      <c r="B721" s="11">
        <v>129711</v>
      </c>
      <c r="C721" s="89" t="s">
        <v>364</v>
      </c>
      <c r="D721" s="157">
        <v>95</v>
      </c>
      <c r="E721" s="12" t="s">
        <v>191</v>
      </c>
      <c r="F721" s="11" t="s">
        <v>246</v>
      </c>
      <c r="G721" s="18" t="s">
        <v>247</v>
      </c>
      <c r="H721" s="11" t="s">
        <v>248</v>
      </c>
      <c r="I721" s="87" t="s">
        <v>249</v>
      </c>
      <c r="J721" s="19" t="s">
        <v>139</v>
      </c>
      <c r="K721" s="17" t="s">
        <v>140</v>
      </c>
      <c r="L721" s="257">
        <v>0</v>
      </c>
      <c r="M721" s="70" t="s">
        <v>250</v>
      </c>
      <c r="N721" s="70">
        <v>80</v>
      </c>
      <c r="O721" s="258">
        <v>8</v>
      </c>
      <c r="P721" s="70" t="s">
        <v>251</v>
      </c>
      <c r="Q721" s="70" t="s">
        <v>233</v>
      </c>
      <c r="R721" s="70" t="s">
        <v>240</v>
      </c>
      <c r="S721" s="70" t="s">
        <v>233</v>
      </c>
      <c r="T721" s="70" t="s">
        <v>233</v>
      </c>
      <c r="U721" s="70" t="s">
        <v>1427</v>
      </c>
      <c r="V721" s="70" t="s">
        <v>240</v>
      </c>
      <c r="W721" s="12"/>
      <c r="X721" s="242">
        <v>613.85</v>
      </c>
      <c r="Y721" s="242">
        <v>556.85</v>
      </c>
      <c r="Z721" s="242">
        <v>85.57</v>
      </c>
      <c r="AA721" s="157" t="s">
        <v>252</v>
      </c>
      <c r="AB721" s="242">
        <v>68.17</v>
      </c>
      <c r="AC721" s="157" t="s">
        <v>252</v>
      </c>
      <c r="AD721" s="242">
        <v>89.85</v>
      </c>
      <c r="AE721" s="157" t="s">
        <v>252</v>
      </c>
      <c r="AF721" s="242">
        <v>59.43</v>
      </c>
      <c r="AG721" s="157" t="s">
        <v>252</v>
      </c>
      <c r="AH721" s="242">
        <v>22.96</v>
      </c>
      <c r="AI721" s="157" t="s">
        <v>252</v>
      </c>
      <c r="AJ721" s="242">
        <v>8.4600000000000009</v>
      </c>
      <c r="AK721" s="242" t="s">
        <v>252</v>
      </c>
      <c r="AL721" s="242">
        <v>5.14</v>
      </c>
      <c r="AM721" s="242" t="s">
        <v>252</v>
      </c>
      <c r="AN721" s="242">
        <v>5.96</v>
      </c>
      <c r="AO721" s="242" t="s">
        <v>252</v>
      </c>
      <c r="AP721" s="242">
        <v>21.42586</v>
      </c>
      <c r="AQ721" s="242" t="s">
        <v>252</v>
      </c>
      <c r="AR721" s="242">
        <v>76.58</v>
      </c>
      <c r="AS721" s="242" t="s">
        <v>259</v>
      </c>
      <c r="AT721" s="242">
        <v>66.940349999999995</v>
      </c>
      <c r="AU721" s="242" t="s">
        <v>259</v>
      </c>
      <c r="AV721" s="242">
        <v>79.040000000000006</v>
      </c>
      <c r="AW721" s="157" t="s">
        <v>259</v>
      </c>
      <c r="AX721" s="157">
        <v>1760.2262100000003</v>
      </c>
      <c r="AY721" s="240">
        <v>0.28000000000000003</v>
      </c>
      <c r="AZ721" s="156" t="s">
        <v>253</v>
      </c>
      <c r="BA721" s="156" t="s">
        <v>254</v>
      </c>
      <c r="BB721" s="156">
        <v>0</v>
      </c>
      <c r="BC721" s="156" t="s">
        <v>1423</v>
      </c>
      <c r="BD721" s="3"/>
    </row>
    <row r="722" spans="1:56" ht="15.75" hidden="1" customHeight="1" outlineLevel="1">
      <c r="A722" s="58">
        <v>712</v>
      </c>
      <c r="B722" s="11">
        <v>129712</v>
      </c>
      <c r="C722" s="89" t="s">
        <v>364</v>
      </c>
      <c r="D722" s="157">
        <v>96</v>
      </c>
      <c r="E722" s="12" t="s">
        <v>191</v>
      </c>
      <c r="F722" s="11" t="s">
        <v>246</v>
      </c>
      <c r="G722" s="18" t="s">
        <v>247</v>
      </c>
      <c r="H722" s="11" t="s">
        <v>248</v>
      </c>
      <c r="I722" s="87" t="s">
        <v>249</v>
      </c>
      <c r="J722" s="19" t="s">
        <v>139</v>
      </c>
      <c r="K722" s="17" t="s">
        <v>140</v>
      </c>
      <c r="L722" s="260">
        <v>1</v>
      </c>
      <c r="M722" s="70" t="s">
        <v>250</v>
      </c>
      <c r="N722" s="70">
        <v>80</v>
      </c>
      <c r="O722" s="258">
        <v>8</v>
      </c>
      <c r="P722" s="70" t="s">
        <v>251</v>
      </c>
      <c r="Q722" s="70" t="s">
        <v>233</v>
      </c>
      <c r="R722" s="70" t="s">
        <v>240</v>
      </c>
      <c r="S722" s="70" t="s">
        <v>233</v>
      </c>
      <c r="T722" s="70" t="s">
        <v>233</v>
      </c>
      <c r="U722" s="70" t="s">
        <v>1427</v>
      </c>
      <c r="V722" s="70" t="s">
        <v>240</v>
      </c>
      <c r="W722" s="12"/>
      <c r="X722" s="242">
        <v>266.45</v>
      </c>
      <c r="Y722" s="242">
        <v>257.94000000000005</v>
      </c>
      <c r="Z722" s="242">
        <v>42.61</v>
      </c>
      <c r="AA722" s="157" t="s">
        <v>252</v>
      </c>
      <c r="AB722" s="242">
        <v>32.229999999999997</v>
      </c>
      <c r="AC722" s="157" t="s">
        <v>252</v>
      </c>
      <c r="AD722" s="242">
        <v>43.98</v>
      </c>
      <c r="AE722" s="157" t="s">
        <v>252</v>
      </c>
      <c r="AF722" s="242">
        <v>16.2</v>
      </c>
      <c r="AG722" s="157" t="s">
        <v>252</v>
      </c>
      <c r="AH722" s="242">
        <v>5.75</v>
      </c>
      <c r="AI722" s="157" t="s">
        <v>252</v>
      </c>
      <c r="AJ722" s="242">
        <v>5.6</v>
      </c>
      <c r="AK722" s="242" t="s">
        <v>252</v>
      </c>
      <c r="AL722" s="242">
        <v>3.2</v>
      </c>
      <c r="AM722" s="242" t="s">
        <v>252</v>
      </c>
      <c r="AN722" s="242">
        <v>4.9000000000000004</v>
      </c>
      <c r="AO722" s="242" t="s">
        <v>252</v>
      </c>
      <c r="AP722" s="242">
        <v>7.45</v>
      </c>
      <c r="AQ722" s="242" t="s">
        <v>252</v>
      </c>
      <c r="AR722" s="242">
        <v>20.56</v>
      </c>
      <c r="AS722" s="242" t="s">
        <v>252</v>
      </c>
      <c r="AT722" s="242">
        <v>26.2</v>
      </c>
      <c r="AU722" s="242" t="s">
        <v>252</v>
      </c>
      <c r="AV722" s="242">
        <v>33.32</v>
      </c>
      <c r="AW722" s="157" t="s">
        <v>252</v>
      </c>
      <c r="AX722" s="157">
        <v>766.39000000000033</v>
      </c>
      <c r="AY722" s="240">
        <v>0.11</v>
      </c>
      <c r="AZ722" s="156" t="s">
        <v>253</v>
      </c>
      <c r="BA722" s="156" t="s">
        <v>254</v>
      </c>
      <c r="BB722" s="156">
        <v>0</v>
      </c>
      <c r="BC722" s="156" t="s">
        <v>1423</v>
      </c>
      <c r="BD722" s="3"/>
    </row>
    <row r="723" spans="1:56" ht="15.75" hidden="1" customHeight="1" outlineLevel="1">
      <c r="A723" s="58">
        <v>713</v>
      </c>
      <c r="B723" s="11">
        <v>129713</v>
      </c>
      <c r="C723" s="89" t="s">
        <v>364</v>
      </c>
      <c r="D723" s="157">
        <v>97</v>
      </c>
      <c r="E723" s="12" t="s">
        <v>191</v>
      </c>
      <c r="F723" s="11" t="s">
        <v>246</v>
      </c>
      <c r="G723" s="18" t="s">
        <v>247</v>
      </c>
      <c r="H723" s="11" t="s">
        <v>248</v>
      </c>
      <c r="I723" s="87" t="s">
        <v>249</v>
      </c>
      <c r="J723" s="19" t="s">
        <v>139</v>
      </c>
      <c r="K723" s="17" t="s">
        <v>140</v>
      </c>
      <c r="L723" s="260">
        <v>1</v>
      </c>
      <c r="M723" s="70" t="s">
        <v>250</v>
      </c>
      <c r="N723" s="70">
        <v>100</v>
      </c>
      <c r="O723" s="258">
        <v>8</v>
      </c>
      <c r="P723" s="70" t="s">
        <v>251</v>
      </c>
      <c r="Q723" s="70" t="s">
        <v>233</v>
      </c>
      <c r="R723" s="70" t="s">
        <v>240</v>
      </c>
      <c r="S723" s="70" t="s">
        <v>233</v>
      </c>
      <c r="T723" s="70" t="s">
        <v>233</v>
      </c>
      <c r="U723" s="70" t="s">
        <v>1427</v>
      </c>
      <c r="V723" s="70" t="s">
        <v>240</v>
      </c>
      <c r="W723" s="12"/>
      <c r="X723" s="242">
        <v>858.69999999999982</v>
      </c>
      <c r="Y723" s="242">
        <v>751.09999999999991</v>
      </c>
      <c r="Z723" s="242">
        <v>110.75</v>
      </c>
      <c r="AA723" s="157" t="s">
        <v>252</v>
      </c>
      <c r="AB723" s="242">
        <v>88.49</v>
      </c>
      <c r="AC723" s="157" t="s">
        <v>252</v>
      </c>
      <c r="AD723" s="242">
        <v>116.34</v>
      </c>
      <c r="AE723" s="157" t="s">
        <v>252</v>
      </c>
      <c r="AF723" s="242">
        <v>76.97</v>
      </c>
      <c r="AG723" s="157" t="s">
        <v>252</v>
      </c>
      <c r="AH723" s="242">
        <v>28.83</v>
      </c>
      <c r="AI723" s="157" t="s">
        <v>252</v>
      </c>
      <c r="AJ723" s="242">
        <v>19.87</v>
      </c>
      <c r="AK723" s="242" t="s">
        <v>252</v>
      </c>
      <c r="AL723" s="242">
        <v>17.829999999999998</v>
      </c>
      <c r="AM723" s="242" t="s">
        <v>252</v>
      </c>
      <c r="AN723" s="242">
        <v>13.88</v>
      </c>
      <c r="AO723" s="242" t="s">
        <v>252</v>
      </c>
      <c r="AP723" s="242">
        <v>32.935949999999998</v>
      </c>
      <c r="AQ723" s="242" t="s">
        <v>252</v>
      </c>
      <c r="AR723" s="242">
        <v>99.08</v>
      </c>
      <c r="AS723" s="242" t="s">
        <v>259</v>
      </c>
      <c r="AT723" s="242">
        <v>86.485439999999997</v>
      </c>
      <c r="AU723" s="242" t="s">
        <v>259</v>
      </c>
      <c r="AV723" s="242">
        <v>79.709999999999994</v>
      </c>
      <c r="AW723" s="157" t="s">
        <v>259</v>
      </c>
      <c r="AX723" s="157">
        <v>2380.9713899999997</v>
      </c>
      <c r="AY723" s="240">
        <v>0.33500000000000002</v>
      </c>
      <c r="AZ723" s="156" t="s">
        <v>253</v>
      </c>
      <c r="BA723" s="156" t="s">
        <v>254</v>
      </c>
      <c r="BB723" s="156">
        <v>1</v>
      </c>
      <c r="BC723" s="156" t="s">
        <v>1423</v>
      </c>
      <c r="BD723" s="3"/>
    </row>
    <row r="724" spans="1:56" ht="15.75" hidden="1" customHeight="1" outlineLevel="1">
      <c r="A724" s="58">
        <v>714</v>
      </c>
      <c r="B724" s="11">
        <v>129714</v>
      </c>
      <c r="C724" s="89" t="s">
        <v>364</v>
      </c>
      <c r="D724" s="157">
        <v>99</v>
      </c>
      <c r="E724" s="12" t="s">
        <v>191</v>
      </c>
      <c r="F724" s="11" t="s">
        <v>246</v>
      </c>
      <c r="G724" s="18" t="s">
        <v>247</v>
      </c>
      <c r="H724" s="11" t="s">
        <v>248</v>
      </c>
      <c r="I724" s="87" t="s">
        <v>249</v>
      </c>
      <c r="J724" s="19" t="s">
        <v>139</v>
      </c>
      <c r="K724" s="17" t="s">
        <v>140</v>
      </c>
      <c r="L724" s="257">
        <v>0</v>
      </c>
      <c r="M724" s="70" t="s">
        <v>250</v>
      </c>
      <c r="N724" s="70">
        <v>100</v>
      </c>
      <c r="O724" s="258">
        <v>8</v>
      </c>
      <c r="P724" s="70" t="s">
        <v>251</v>
      </c>
      <c r="Q724" s="70" t="s">
        <v>233</v>
      </c>
      <c r="R724" s="70" t="s">
        <v>240</v>
      </c>
      <c r="S724" s="70" t="s">
        <v>233</v>
      </c>
      <c r="T724" s="70" t="s">
        <v>233</v>
      </c>
      <c r="U724" s="70" t="s">
        <v>1427</v>
      </c>
      <c r="V724" s="70" t="s">
        <v>240</v>
      </c>
      <c r="W724" s="12"/>
      <c r="X724" s="242">
        <v>256.04141151639078</v>
      </c>
      <c r="Y724" s="242">
        <v>264.61246619616117</v>
      </c>
      <c r="Z724" s="242">
        <v>39.132257766638084</v>
      </c>
      <c r="AA724" s="157" t="s">
        <v>252</v>
      </c>
      <c r="AB724" s="242">
        <v>30.613394894795857</v>
      </c>
      <c r="AC724" s="157" t="s">
        <v>252</v>
      </c>
      <c r="AD724" s="242">
        <v>40.756002902183234</v>
      </c>
      <c r="AE724" s="157" t="s">
        <v>252</v>
      </c>
      <c r="AF724" s="242">
        <v>26.814991095574168</v>
      </c>
      <c r="AG724" s="157" t="s">
        <v>252</v>
      </c>
      <c r="AH724" s="242">
        <v>10.420964316337971</v>
      </c>
      <c r="AI724" s="157" t="s">
        <v>252</v>
      </c>
      <c r="AJ724" s="242">
        <v>7.0265251104808382</v>
      </c>
      <c r="AK724" s="242" t="s">
        <v>259</v>
      </c>
      <c r="AL724" s="242">
        <v>7.0265251104808382</v>
      </c>
      <c r="AM724" s="242" t="s">
        <v>259</v>
      </c>
      <c r="AN724" s="242">
        <v>7.0265251104808382</v>
      </c>
      <c r="AO724" s="242" t="s">
        <v>259</v>
      </c>
      <c r="AP724" s="242">
        <v>7.5256353696985689</v>
      </c>
      <c r="AQ724" s="242" t="s">
        <v>259</v>
      </c>
      <c r="AR724" s="242">
        <v>35.020703119846971</v>
      </c>
      <c r="AS724" s="242" t="s">
        <v>259</v>
      </c>
      <c r="AT724" s="242">
        <v>29.192617901193852</v>
      </c>
      <c r="AU724" s="242" t="s">
        <v>259</v>
      </c>
      <c r="AV724" s="242">
        <v>32.297230198535715</v>
      </c>
      <c r="AW724" s="157" t="s">
        <v>259</v>
      </c>
      <c r="AX724" s="157">
        <v>793.50725060879904</v>
      </c>
      <c r="AY724" s="240">
        <v>0.10438361585647384</v>
      </c>
      <c r="AZ724" s="156" t="s">
        <v>253</v>
      </c>
      <c r="BA724" s="156" t="s">
        <v>254</v>
      </c>
      <c r="BB724" s="156">
        <v>0</v>
      </c>
      <c r="BC724" s="156" t="s">
        <v>1423</v>
      </c>
      <c r="BD724" s="3"/>
    </row>
    <row r="725" spans="1:56" ht="15.75" hidden="1" customHeight="1" outlineLevel="1">
      <c r="A725" s="58">
        <v>715</v>
      </c>
      <c r="B725" s="11">
        <v>129715</v>
      </c>
      <c r="C725" s="89" t="s">
        <v>364</v>
      </c>
      <c r="D725" s="157">
        <v>99</v>
      </c>
      <c r="E725" s="12" t="s">
        <v>231</v>
      </c>
      <c r="F725" s="11" t="s">
        <v>246</v>
      </c>
      <c r="G725" s="18" t="s">
        <v>247</v>
      </c>
      <c r="H725" s="11" t="s">
        <v>248</v>
      </c>
      <c r="I725" s="87" t="s">
        <v>249</v>
      </c>
      <c r="J725" s="19" t="s">
        <v>139</v>
      </c>
      <c r="K725" s="17" t="s">
        <v>140</v>
      </c>
      <c r="L725" s="257">
        <v>0</v>
      </c>
      <c r="M725" s="70" t="s">
        <v>250</v>
      </c>
      <c r="N725" s="70">
        <v>80</v>
      </c>
      <c r="O725" s="258">
        <v>8</v>
      </c>
      <c r="P725" s="70" t="s">
        <v>251</v>
      </c>
      <c r="Q725" s="70" t="s">
        <v>233</v>
      </c>
      <c r="R725" s="70" t="s">
        <v>240</v>
      </c>
      <c r="S725" s="70" t="s">
        <v>233</v>
      </c>
      <c r="T725" s="70" t="s">
        <v>233</v>
      </c>
      <c r="U725" s="70" t="s">
        <v>1427</v>
      </c>
      <c r="V725" s="70" t="s">
        <v>240</v>
      </c>
      <c r="W725" s="12"/>
      <c r="X725" s="242">
        <v>185.47858848360929</v>
      </c>
      <c r="Y725" s="242">
        <v>191.68753380383876</v>
      </c>
      <c r="Z725" s="242">
        <v>28.347742233361917</v>
      </c>
      <c r="AA725" s="157" t="s">
        <v>252</v>
      </c>
      <c r="AB725" s="242">
        <v>22.176605105204143</v>
      </c>
      <c r="AC725" s="157" t="s">
        <v>252</v>
      </c>
      <c r="AD725" s="242">
        <v>29.523997097816768</v>
      </c>
      <c r="AE725" s="157" t="s">
        <v>252</v>
      </c>
      <c r="AF725" s="242">
        <v>19.42500890442583</v>
      </c>
      <c r="AG725" s="157" t="s">
        <v>252</v>
      </c>
      <c r="AH725" s="242">
        <v>7.5490356836620265</v>
      </c>
      <c r="AI725" s="157" t="s">
        <v>252</v>
      </c>
      <c r="AJ725" s="242">
        <v>5.090074889519161</v>
      </c>
      <c r="AK725" s="242" t="s">
        <v>259</v>
      </c>
      <c r="AL725" s="242">
        <v>5.090074889519161</v>
      </c>
      <c r="AM725" s="242" t="s">
        <v>259</v>
      </c>
      <c r="AN725" s="242">
        <v>5.090074889519161</v>
      </c>
      <c r="AO725" s="242" t="s">
        <v>259</v>
      </c>
      <c r="AP725" s="242">
        <v>5.4516346303014318</v>
      </c>
      <c r="AQ725" s="242" t="s">
        <v>259</v>
      </c>
      <c r="AR725" s="242">
        <v>25.369296880153023</v>
      </c>
      <c r="AS725" s="242" t="s">
        <v>259</v>
      </c>
      <c r="AT725" s="242">
        <v>21.147382098806148</v>
      </c>
      <c r="AU725" s="242" t="s">
        <v>259</v>
      </c>
      <c r="AV725" s="242">
        <v>23.396389801464284</v>
      </c>
      <c r="AW725" s="157" t="s">
        <v>259</v>
      </c>
      <c r="AX725" s="157">
        <v>574.82343939120108</v>
      </c>
      <c r="AY725" s="243">
        <v>7.5616384143526144E-2</v>
      </c>
      <c r="AZ725" s="156" t="s">
        <v>253</v>
      </c>
      <c r="BA725" s="156" t="s">
        <v>254</v>
      </c>
      <c r="BB725" s="156">
        <v>0</v>
      </c>
      <c r="BC725" s="156" t="s">
        <v>1423</v>
      </c>
      <c r="BD725" s="3"/>
    </row>
    <row r="726" spans="1:56" ht="15.75" hidden="1" customHeight="1" outlineLevel="1">
      <c r="A726" s="58">
        <v>716</v>
      </c>
      <c r="B726" s="11">
        <v>129716</v>
      </c>
      <c r="C726" s="89" t="s">
        <v>369</v>
      </c>
      <c r="D726" s="157">
        <v>10</v>
      </c>
      <c r="E726" s="12" t="s">
        <v>191</v>
      </c>
      <c r="F726" s="11" t="s">
        <v>246</v>
      </c>
      <c r="G726" s="18" t="s">
        <v>247</v>
      </c>
      <c r="H726" s="11" t="s">
        <v>248</v>
      </c>
      <c r="I726" s="87" t="s">
        <v>249</v>
      </c>
      <c r="J726" s="19" t="s">
        <v>139</v>
      </c>
      <c r="K726" s="17" t="s">
        <v>140</v>
      </c>
      <c r="L726" s="257">
        <v>0</v>
      </c>
      <c r="M726" s="70" t="s">
        <v>250</v>
      </c>
      <c r="N726" s="70">
        <v>80</v>
      </c>
      <c r="O726" s="258">
        <v>8</v>
      </c>
      <c r="P726" s="70" t="s">
        <v>251</v>
      </c>
      <c r="Q726" s="70" t="s">
        <v>233</v>
      </c>
      <c r="R726" s="70" t="s">
        <v>240</v>
      </c>
      <c r="S726" s="70" t="s">
        <v>233</v>
      </c>
      <c r="T726" s="70" t="s">
        <v>233</v>
      </c>
      <c r="U726" s="70" t="s">
        <v>1427</v>
      </c>
      <c r="V726" s="70" t="s">
        <v>240</v>
      </c>
      <c r="W726" s="12"/>
      <c r="X726" s="242">
        <v>1023.11</v>
      </c>
      <c r="Y726" s="242">
        <v>1057.9100000000001</v>
      </c>
      <c r="Z726" s="242">
        <v>169.12</v>
      </c>
      <c r="AA726" s="157" t="s">
        <v>252</v>
      </c>
      <c r="AB726" s="242">
        <v>131.24</v>
      </c>
      <c r="AC726" s="157" t="s">
        <v>252</v>
      </c>
      <c r="AD726" s="242">
        <v>175.19</v>
      </c>
      <c r="AE726" s="157" t="s">
        <v>252</v>
      </c>
      <c r="AF726" s="242">
        <v>110.29</v>
      </c>
      <c r="AG726" s="157" t="s">
        <v>252</v>
      </c>
      <c r="AH726" s="242">
        <v>50.05</v>
      </c>
      <c r="AI726" s="157" t="s">
        <v>252</v>
      </c>
      <c r="AJ726" s="242">
        <v>23.04</v>
      </c>
      <c r="AK726" s="242" t="s">
        <v>252</v>
      </c>
      <c r="AL726" s="242">
        <v>18.649999999999999</v>
      </c>
      <c r="AM726" s="242" t="s">
        <v>252</v>
      </c>
      <c r="AN726" s="242">
        <v>19.25</v>
      </c>
      <c r="AO726" s="242" t="s">
        <v>252</v>
      </c>
      <c r="AP726" s="242">
        <v>23.19</v>
      </c>
      <c r="AQ726" s="242" t="s">
        <v>252</v>
      </c>
      <c r="AR726" s="242">
        <v>101.86</v>
      </c>
      <c r="AS726" s="242" t="s">
        <v>252</v>
      </c>
      <c r="AT726" s="242">
        <v>99.57</v>
      </c>
      <c r="AU726" s="242" t="s">
        <v>252</v>
      </c>
      <c r="AV726" s="242">
        <v>131.86000000000001</v>
      </c>
      <c r="AW726" s="157" t="s">
        <v>252</v>
      </c>
      <c r="AX726" s="157">
        <v>3134.3300000000008</v>
      </c>
      <c r="AY726" s="240">
        <v>0.432</v>
      </c>
      <c r="AZ726" s="156" t="s">
        <v>253</v>
      </c>
      <c r="BA726" s="156" t="s">
        <v>254</v>
      </c>
      <c r="BB726" s="156">
        <v>0</v>
      </c>
      <c r="BC726" s="156" t="s">
        <v>1423</v>
      </c>
      <c r="BD726" s="3"/>
    </row>
    <row r="727" spans="1:56" ht="15.75" hidden="1" customHeight="1" outlineLevel="1">
      <c r="A727" s="58">
        <v>717</v>
      </c>
      <c r="B727" s="11">
        <v>129717</v>
      </c>
      <c r="C727" s="89" t="s">
        <v>369</v>
      </c>
      <c r="D727" s="157" t="s">
        <v>370</v>
      </c>
      <c r="E727" s="12" t="s">
        <v>191</v>
      </c>
      <c r="F727" s="11" t="s">
        <v>246</v>
      </c>
      <c r="G727" s="18" t="s">
        <v>247</v>
      </c>
      <c r="H727" s="11" t="s">
        <v>248</v>
      </c>
      <c r="I727" s="87" t="s">
        <v>249</v>
      </c>
      <c r="J727" s="19" t="s">
        <v>139</v>
      </c>
      <c r="K727" s="17" t="s">
        <v>140</v>
      </c>
      <c r="L727" s="257">
        <v>0</v>
      </c>
      <c r="M727" s="70" t="s">
        <v>250</v>
      </c>
      <c r="N727" s="70">
        <v>100</v>
      </c>
      <c r="O727" s="258">
        <v>8</v>
      </c>
      <c r="P727" s="70" t="s">
        <v>251</v>
      </c>
      <c r="Q727" s="70" t="s">
        <v>233</v>
      </c>
      <c r="R727" s="70" t="s">
        <v>240</v>
      </c>
      <c r="S727" s="70" t="s">
        <v>233</v>
      </c>
      <c r="T727" s="70" t="s">
        <v>233</v>
      </c>
      <c r="U727" s="70" t="s">
        <v>1427</v>
      </c>
      <c r="V727" s="70" t="s">
        <v>240</v>
      </c>
      <c r="W727" s="12"/>
      <c r="X727" s="242">
        <v>3011.66</v>
      </c>
      <c r="Y727" s="242">
        <v>2803.77</v>
      </c>
      <c r="Z727" s="242">
        <v>435.31</v>
      </c>
      <c r="AA727" s="157" t="s">
        <v>252</v>
      </c>
      <c r="AB727" s="242">
        <v>356.81</v>
      </c>
      <c r="AC727" s="157" t="s">
        <v>252</v>
      </c>
      <c r="AD727" s="242">
        <v>524.71</v>
      </c>
      <c r="AE727" s="157" t="s">
        <v>252</v>
      </c>
      <c r="AF727" s="242">
        <v>280.01</v>
      </c>
      <c r="AG727" s="157" t="s">
        <v>252</v>
      </c>
      <c r="AH727" s="242">
        <v>119.99</v>
      </c>
      <c r="AI727" s="157" t="s">
        <v>252</v>
      </c>
      <c r="AJ727" s="242">
        <v>61.39</v>
      </c>
      <c r="AK727" s="242" t="s">
        <v>252</v>
      </c>
      <c r="AL727" s="242">
        <v>46.98</v>
      </c>
      <c r="AM727" s="242" t="s">
        <v>252</v>
      </c>
      <c r="AN727" s="242">
        <v>47.98</v>
      </c>
      <c r="AO727" s="242" t="s">
        <v>252</v>
      </c>
      <c r="AP727" s="242">
        <v>67.22</v>
      </c>
      <c r="AQ727" s="242" t="s">
        <v>252</v>
      </c>
      <c r="AR727" s="242">
        <v>297.64</v>
      </c>
      <c r="AS727" s="242" t="s">
        <v>252</v>
      </c>
      <c r="AT727" s="242">
        <v>302.10000000000002</v>
      </c>
      <c r="AU727" s="242" t="s">
        <v>259</v>
      </c>
      <c r="AV727" s="242">
        <v>353.69504999999998</v>
      </c>
      <c r="AW727" s="157" t="s">
        <v>259</v>
      </c>
      <c r="AX727" s="157">
        <v>8709.2650500000018</v>
      </c>
      <c r="AY727" s="240">
        <v>1.028</v>
      </c>
      <c r="AZ727" s="156" t="s">
        <v>253</v>
      </c>
      <c r="BA727" s="156" t="s">
        <v>254</v>
      </c>
      <c r="BB727" s="156">
        <v>0</v>
      </c>
      <c r="BC727" s="156" t="s">
        <v>1423</v>
      </c>
      <c r="BD727" s="3"/>
    </row>
    <row r="728" spans="1:56" ht="15.75" hidden="1" customHeight="1" outlineLevel="1">
      <c r="A728" s="58">
        <v>718</v>
      </c>
      <c r="B728" s="11">
        <v>129718</v>
      </c>
      <c r="C728" s="89" t="s">
        <v>369</v>
      </c>
      <c r="D728" s="157">
        <v>17</v>
      </c>
      <c r="E728" s="12" t="s">
        <v>191</v>
      </c>
      <c r="F728" s="11" t="s">
        <v>246</v>
      </c>
      <c r="G728" s="18" t="s">
        <v>247</v>
      </c>
      <c r="H728" s="11" t="s">
        <v>248</v>
      </c>
      <c r="I728" s="87" t="s">
        <v>249</v>
      </c>
      <c r="J728" s="19" t="s">
        <v>139</v>
      </c>
      <c r="K728" s="17" t="s">
        <v>140</v>
      </c>
      <c r="L728" s="260">
        <v>1</v>
      </c>
      <c r="M728" s="70" t="s">
        <v>250</v>
      </c>
      <c r="N728" s="70">
        <v>100</v>
      </c>
      <c r="O728" s="258">
        <v>8</v>
      </c>
      <c r="P728" s="70" t="s">
        <v>251</v>
      </c>
      <c r="Q728" s="70" t="s">
        <v>240</v>
      </c>
      <c r="R728" s="70" t="s">
        <v>240</v>
      </c>
      <c r="S728" s="70" t="s">
        <v>233</v>
      </c>
      <c r="T728" s="70" t="s">
        <v>233</v>
      </c>
      <c r="U728" s="70" t="s">
        <v>1427</v>
      </c>
      <c r="V728" s="70" t="s">
        <v>240</v>
      </c>
      <c r="W728" s="12"/>
      <c r="X728" s="242">
        <v>886.09973482616397</v>
      </c>
      <c r="Y728" s="242">
        <v>1186.905343252799</v>
      </c>
      <c r="Z728" s="242">
        <v>153.63041101944609</v>
      </c>
      <c r="AA728" s="157" t="s">
        <v>252</v>
      </c>
      <c r="AB728" s="242">
        <v>324.28495580436066</v>
      </c>
      <c r="AC728" s="157" t="s">
        <v>252</v>
      </c>
      <c r="AD728" s="242">
        <v>251.36767088980557</v>
      </c>
      <c r="AE728" s="157" t="s">
        <v>252</v>
      </c>
      <c r="AF728" s="242">
        <v>97.360782262816741</v>
      </c>
      <c r="AG728" s="157" t="s">
        <v>252</v>
      </c>
      <c r="AH728" s="242">
        <v>59.492644372421928</v>
      </c>
      <c r="AI728" s="157" t="s">
        <v>252</v>
      </c>
      <c r="AJ728" s="242">
        <v>0</v>
      </c>
      <c r="AK728" s="242" t="s">
        <v>252</v>
      </c>
      <c r="AL728" s="242">
        <v>2.0017589864466707</v>
      </c>
      <c r="AM728" s="242" t="s">
        <v>252</v>
      </c>
      <c r="AN728" s="242">
        <v>0</v>
      </c>
      <c r="AO728" s="242" t="s">
        <v>252</v>
      </c>
      <c r="AP728" s="242">
        <v>0</v>
      </c>
      <c r="AQ728" s="242" t="s">
        <v>252</v>
      </c>
      <c r="AR728" s="242">
        <v>215.65739245727758</v>
      </c>
      <c r="AS728" s="242" t="s">
        <v>252</v>
      </c>
      <c r="AT728" s="242">
        <v>192.20559222156749</v>
      </c>
      <c r="AU728" s="242" t="s">
        <v>252</v>
      </c>
      <c r="AV728" s="242">
        <v>231.29498674130818</v>
      </c>
      <c r="AW728" s="157" t="s">
        <v>252</v>
      </c>
      <c r="AX728" s="157">
        <v>3600.3012728344138</v>
      </c>
      <c r="AY728" s="240">
        <v>0.60328241013553341</v>
      </c>
      <c r="AZ728" s="156" t="s">
        <v>253</v>
      </c>
      <c r="BA728" s="156" t="s">
        <v>254</v>
      </c>
      <c r="BB728" s="156">
        <v>1</v>
      </c>
      <c r="BC728" s="157" t="s">
        <v>255</v>
      </c>
      <c r="BD728" s="3"/>
    </row>
    <row r="729" spans="1:56" ht="15.75" hidden="1" customHeight="1" outlineLevel="1">
      <c r="A729" s="58">
        <v>719</v>
      </c>
      <c r="B729" s="11">
        <v>129719</v>
      </c>
      <c r="C729" s="89" t="s">
        <v>369</v>
      </c>
      <c r="D729" s="157">
        <v>17</v>
      </c>
      <c r="E729" s="12" t="s">
        <v>261</v>
      </c>
      <c r="F729" s="11" t="s">
        <v>246</v>
      </c>
      <c r="G729" s="18" t="s">
        <v>247</v>
      </c>
      <c r="H729" s="11" t="s">
        <v>248</v>
      </c>
      <c r="I729" s="87" t="s">
        <v>249</v>
      </c>
      <c r="J729" s="19" t="s">
        <v>139</v>
      </c>
      <c r="K729" s="17" t="s">
        <v>140</v>
      </c>
      <c r="L729" s="257">
        <v>0</v>
      </c>
      <c r="M729" s="70" t="s">
        <v>250</v>
      </c>
      <c r="N729" s="70">
        <v>80</v>
      </c>
      <c r="O729" s="258">
        <v>8</v>
      </c>
      <c r="P729" s="70" t="s">
        <v>251</v>
      </c>
      <c r="Q729" s="70" t="s">
        <v>240</v>
      </c>
      <c r="R729" s="70" t="s">
        <v>240</v>
      </c>
      <c r="S729" s="70" t="s">
        <v>233</v>
      </c>
      <c r="T729" s="70" t="s">
        <v>233</v>
      </c>
      <c r="U729" s="70" t="s">
        <v>1427</v>
      </c>
      <c r="V729" s="70" t="s">
        <v>240</v>
      </c>
      <c r="W729" s="12"/>
      <c r="X729" s="242">
        <v>78.900265173836189</v>
      </c>
      <c r="Y729" s="242">
        <v>105.68465674720093</v>
      </c>
      <c r="Z729" s="242">
        <v>13.67958898055392</v>
      </c>
      <c r="AA729" s="157" t="s">
        <v>252</v>
      </c>
      <c r="AB729" s="242">
        <v>28.875044195639365</v>
      </c>
      <c r="AC729" s="157" t="s">
        <v>252</v>
      </c>
      <c r="AD729" s="242">
        <v>22.382329110194462</v>
      </c>
      <c r="AE729" s="157" t="s">
        <v>252</v>
      </c>
      <c r="AF729" s="242">
        <v>8.6692177371832653</v>
      </c>
      <c r="AG729" s="157" t="s">
        <v>252</v>
      </c>
      <c r="AH729" s="242">
        <v>5.2973556275780798</v>
      </c>
      <c r="AI729" s="157" t="s">
        <v>252</v>
      </c>
      <c r="AJ729" s="242">
        <v>0</v>
      </c>
      <c r="AK729" s="242" t="s">
        <v>252</v>
      </c>
      <c r="AL729" s="242">
        <v>0.17824101355332941</v>
      </c>
      <c r="AM729" s="242" t="s">
        <v>252</v>
      </c>
      <c r="AN729" s="242">
        <v>0</v>
      </c>
      <c r="AO729" s="242" t="s">
        <v>252</v>
      </c>
      <c r="AP729" s="242">
        <v>0</v>
      </c>
      <c r="AQ729" s="242" t="s">
        <v>252</v>
      </c>
      <c r="AR729" s="242">
        <v>19.202607542722454</v>
      </c>
      <c r="AS729" s="242" t="s">
        <v>252</v>
      </c>
      <c r="AT729" s="242">
        <v>17.114407778432529</v>
      </c>
      <c r="AU729" s="242" t="s">
        <v>252</v>
      </c>
      <c r="AV729" s="242">
        <v>20.595013258691807</v>
      </c>
      <c r="AW729" s="157" t="s">
        <v>252</v>
      </c>
      <c r="AX729" s="157">
        <v>320.57872716558632</v>
      </c>
      <c r="AY729" s="243">
        <v>5.371758986446671E-2</v>
      </c>
      <c r="AZ729" s="156" t="s">
        <v>253</v>
      </c>
      <c r="BA729" s="156" t="s">
        <v>254</v>
      </c>
      <c r="BB729" s="156">
        <v>0</v>
      </c>
      <c r="BC729" s="157" t="s">
        <v>255</v>
      </c>
      <c r="BD729" s="3"/>
    </row>
    <row r="730" spans="1:56" ht="15.75" hidden="1" customHeight="1" outlineLevel="1">
      <c r="A730" s="58">
        <v>720</v>
      </c>
      <c r="B730" s="11">
        <v>129720</v>
      </c>
      <c r="C730" s="89" t="s">
        <v>369</v>
      </c>
      <c r="D730" s="157" t="s">
        <v>357</v>
      </c>
      <c r="E730" s="12" t="s">
        <v>191</v>
      </c>
      <c r="F730" s="11" t="s">
        <v>246</v>
      </c>
      <c r="G730" s="18" t="s">
        <v>247</v>
      </c>
      <c r="H730" s="11" t="s">
        <v>248</v>
      </c>
      <c r="I730" s="87" t="s">
        <v>249</v>
      </c>
      <c r="J730" s="19" t="s">
        <v>139</v>
      </c>
      <c r="K730" s="17" t="s">
        <v>140</v>
      </c>
      <c r="L730" s="260">
        <v>1</v>
      </c>
      <c r="M730" s="70" t="s">
        <v>250</v>
      </c>
      <c r="N730" s="70">
        <v>80</v>
      </c>
      <c r="O730" s="258">
        <v>8</v>
      </c>
      <c r="P730" s="70" t="s">
        <v>251</v>
      </c>
      <c r="Q730" s="70" t="s">
        <v>233</v>
      </c>
      <c r="R730" s="70" t="s">
        <v>240</v>
      </c>
      <c r="S730" s="70" t="s">
        <v>233</v>
      </c>
      <c r="T730" s="70" t="s">
        <v>233</v>
      </c>
      <c r="U730" s="70" t="s">
        <v>1427</v>
      </c>
      <c r="V730" s="70" t="s">
        <v>240</v>
      </c>
      <c r="W730" s="12"/>
      <c r="X730" s="242">
        <v>1699.9074436337428</v>
      </c>
      <c r="Y730" s="242">
        <v>1728.3321403371222</v>
      </c>
      <c r="Z730" s="242">
        <v>107.54433239336883</v>
      </c>
      <c r="AA730" s="157" t="s">
        <v>252</v>
      </c>
      <c r="AB730" s="242">
        <v>242.51632174605783</v>
      </c>
      <c r="AC730" s="157" t="s">
        <v>252</v>
      </c>
      <c r="AD730" s="242">
        <v>278.66354446706544</v>
      </c>
      <c r="AE730" s="157" t="s">
        <v>252</v>
      </c>
      <c r="AF730" s="242">
        <v>222.21296695792921</v>
      </c>
      <c r="AG730" s="157" t="s">
        <v>259</v>
      </c>
      <c r="AH730" s="242">
        <v>224.36113440649461</v>
      </c>
      <c r="AI730" s="157" t="s">
        <v>259</v>
      </c>
      <c r="AJ730" s="242">
        <v>31.766230085608424</v>
      </c>
      <c r="AK730" s="242" t="s">
        <v>259</v>
      </c>
      <c r="AL730" s="242">
        <v>31.766230085608424</v>
      </c>
      <c r="AM730" s="242" t="s">
        <v>259</v>
      </c>
      <c r="AN730" s="242">
        <v>31.766230085608424</v>
      </c>
      <c r="AO730" s="242" t="s">
        <v>259</v>
      </c>
      <c r="AP730" s="242">
        <v>46.997081727848659</v>
      </c>
      <c r="AQ730" s="242" t="s">
        <v>259</v>
      </c>
      <c r="AR730" s="242">
        <v>186.19264020434744</v>
      </c>
      <c r="AS730" s="242" t="s">
        <v>259</v>
      </c>
      <c r="AT730" s="242">
        <v>212.03931843350489</v>
      </c>
      <c r="AU730" s="242" t="s">
        <v>259</v>
      </c>
      <c r="AV730" s="242">
        <v>234.7725497178842</v>
      </c>
      <c r="AW730" s="157" t="s">
        <v>259</v>
      </c>
      <c r="AX730" s="157">
        <v>5278.8381642821914</v>
      </c>
      <c r="AY730" s="240">
        <v>0.75901916515977297</v>
      </c>
      <c r="AZ730" s="156" t="s">
        <v>253</v>
      </c>
      <c r="BA730" s="156" t="s">
        <v>254</v>
      </c>
      <c r="BB730" s="156">
        <v>1</v>
      </c>
      <c r="BC730" s="157" t="s">
        <v>255</v>
      </c>
      <c r="BD730" s="3"/>
    </row>
    <row r="731" spans="1:56" ht="15.75" hidden="1" customHeight="1" outlineLevel="1">
      <c r="A731" s="58">
        <v>721</v>
      </c>
      <c r="B731" s="11">
        <v>129721</v>
      </c>
      <c r="C731" s="89" t="s">
        <v>369</v>
      </c>
      <c r="D731" s="157" t="s">
        <v>357</v>
      </c>
      <c r="E731" s="12" t="s">
        <v>231</v>
      </c>
      <c r="F731" s="11" t="s">
        <v>246</v>
      </c>
      <c r="G731" s="18" t="s">
        <v>247</v>
      </c>
      <c r="H731" s="11" t="s">
        <v>248</v>
      </c>
      <c r="I731" s="87" t="s">
        <v>249</v>
      </c>
      <c r="J731" s="19" t="s">
        <v>139</v>
      </c>
      <c r="K731" s="17" t="s">
        <v>140</v>
      </c>
      <c r="L731" s="257">
        <v>0</v>
      </c>
      <c r="M731" s="70" t="s">
        <v>250</v>
      </c>
      <c r="N731" s="70">
        <v>100</v>
      </c>
      <c r="O731" s="258">
        <v>8</v>
      </c>
      <c r="P731" s="70" t="s">
        <v>251</v>
      </c>
      <c r="Q731" s="70" t="s">
        <v>233</v>
      </c>
      <c r="R731" s="70" t="s">
        <v>240</v>
      </c>
      <c r="S731" s="70" t="s">
        <v>240</v>
      </c>
      <c r="T731" s="70" t="s">
        <v>240</v>
      </c>
      <c r="U731" s="70" t="s">
        <v>1427</v>
      </c>
      <c r="V731" s="70" t="s">
        <v>240</v>
      </c>
      <c r="W731" s="12"/>
      <c r="X731" s="242">
        <v>175.5425563662574</v>
      </c>
      <c r="Y731" s="242">
        <v>178.47785966287725</v>
      </c>
      <c r="Z731" s="242">
        <v>11.105667606631176</v>
      </c>
      <c r="AA731" s="157" t="s">
        <v>252</v>
      </c>
      <c r="AB731" s="242">
        <v>25.043678253942158</v>
      </c>
      <c r="AC731" s="157" t="s">
        <v>252</v>
      </c>
      <c r="AD731" s="242">
        <v>28.776455532934584</v>
      </c>
      <c r="AE731" s="157" t="s">
        <v>252</v>
      </c>
      <c r="AF731" s="242">
        <v>22.947033042070785</v>
      </c>
      <c r="AG731" s="157" t="s">
        <v>259</v>
      </c>
      <c r="AH731" s="242">
        <v>23.168865593505391</v>
      </c>
      <c r="AI731" s="157" t="s">
        <v>259</v>
      </c>
      <c r="AJ731" s="242">
        <v>3.2803699143915726</v>
      </c>
      <c r="AK731" s="242" t="s">
        <v>259</v>
      </c>
      <c r="AL731" s="242">
        <v>3.2803699143915726</v>
      </c>
      <c r="AM731" s="242" t="s">
        <v>259</v>
      </c>
      <c r="AN731" s="242">
        <v>3.2803699143915726</v>
      </c>
      <c r="AO731" s="242" t="s">
        <v>259</v>
      </c>
      <c r="AP731" s="242">
        <v>4.8531982721513378</v>
      </c>
      <c r="AQ731" s="242" t="s">
        <v>259</v>
      </c>
      <c r="AR731" s="242">
        <v>19.227359795652557</v>
      </c>
      <c r="AS731" s="242" t="s">
        <v>259</v>
      </c>
      <c r="AT731" s="242">
        <v>21.89644156649511</v>
      </c>
      <c r="AU731" s="242" t="s">
        <v>259</v>
      </c>
      <c r="AV731" s="242">
        <v>24.244010282115806</v>
      </c>
      <c r="AW731" s="157" t="s">
        <v>259</v>
      </c>
      <c r="AX731" s="157">
        <v>545.12423571780835</v>
      </c>
      <c r="AY731" s="243">
        <v>7.8380834840227107E-2</v>
      </c>
      <c r="AZ731" s="156" t="s">
        <v>253</v>
      </c>
      <c r="BA731" s="156" t="s">
        <v>254</v>
      </c>
      <c r="BB731" s="156">
        <v>0</v>
      </c>
      <c r="BC731" s="156" t="s">
        <v>1423</v>
      </c>
      <c r="BD731" s="3"/>
    </row>
    <row r="732" spans="1:56" ht="15.75" hidden="1" customHeight="1" outlineLevel="1">
      <c r="A732" s="58">
        <v>722</v>
      </c>
      <c r="B732" s="11">
        <v>129722</v>
      </c>
      <c r="C732" s="89" t="s">
        <v>369</v>
      </c>
      <c r="D732" s="157">
        <v>19</v>
      </c>
      <c r="E732" s="12" t="s">
        <v>191</v>
      </c>
      <c r="F732" s="11" t="s">
        <v>246</v>
      </c>
      <c r="G732" s="18" t="s">
        <v>247</v>
      </c>
      <c r="H732" s="11" t="s">
        <v>248</v>
      </c>
      <c r="I732" s="87" t="s">
        <v>249</v>
      </c>
      <c r="J732" s="19" t="s">
        <v>139</v>
      </c>
      <c r="K732" s="17" t="s">
        <v>140</v>
      </c>
      <c r="L732" s="257">
        <v>0</v>
      </c>
      <c r="M732" s="70" t="s">
        <v>250</v>
      </c>
      <c r="N732" s="70">
        <v>100</v>
      </c>
      <c r="O732" s="258">
        <v>8</v>
      </c>
      <c r="P732" s="70" t="s">
        <v>251</v>
      </c>
      <c r="Q732" s="70" t="s">
        <v>233</v>
      </c>
      <c r="R732" s="70" t="s">
        <v>240</v>
      </c>
      <c r="S732" s="70" t="s">
        <v>233</v>
      </c>
      <c r="T732" s="70" t="s">
        <v>233</v>
      </c>
      <c r="U732" s="70" t="s">
        <v>1427</v>
      </c>
      <c r="V732" s="70" t="s">
        <v>240</v>
      </c>
      <c r="W732" s="12"/>
      <c r="X732" s="242">
        <v>723.81000000000006</v>
      </c>
      <c r="Y732" s="242">
        <v>432.72999999999996</v>
      </c>
      <c r="Z732" s="242">
        <v>58.31</v>
      </c>
      <c r="AA732" s="157" t="s">
        <v>259</v>
      </c>
      <c r="AB732" s="242">
        <v>60.62</v>
      </c>
      <c r="AC732" s="157" t="s">
        <v>252</v>
      </c>
      <c r="AD732" s="242">
        <v>77.180000000000007</v>
      </c>
      <c r="AE732" s="157" t="s">
        <v>252</v>
      </c>
      <c r="AF732" s="242">
        <v>37.14</v>
      </c>
      <c r="AG732" s="157" t="s">
        <v>252</v>
      </c>
      <c r="AH732" s="242">
        <v>23.41</v>
      </c>
      <c r="AI732" s="157" t="s">
        <v>252</v>
      </c>
      <c r="AJ732" s="242">
        <v>7.92</v>
      </c>
      <c r="AK732" s="242" t="s">
        <v>252</v>
      </c>
      <c r="AL732" s="242">
        <v>7.6</v>
      </c>
      <c r="AM732" s="242" t="s">
        <v>252</v>
      </c>
      <c r="AN732" s="242">
        <v>6.59</v>
      </c>
      <c r="AO732" s="242" t="s">
        <v>252</v>
      </c>
      <c r="AP732" s="242">
        <v>8.16</v>
      </c>
      <c r="AQ732" s="242" t="s">
        <v>252</v>
      </c>
      <c r="AR732" s="242">
        <v>46.16</v>
      </c>
      <c r="AS732" s="242" t="s">
        <v>252</v>
      </c>
      <c r="AT732" s="242">
        <v>40.6</v>
      </c>
      <c r="AU732" s="242" t="s">
        <v>252</v>
      </c>
      <c r="AV732" s="242">
        <v>49.193370000000002</v>
      </c>
      <c r="AW732" s="157" t="s">
        <v>259</v>
      </c>
      <c r="AX732" s="157">
        <v>1579.42337</v>
      </c>
      <c r="AY732" s="240">
        <v>0.19</v>
      </c>
      <c r="AZ732" s="156" t="s">
        <v>253</v>
      </c>
      <c r="BA732" s="156" t="s">
        <v>254</v>
      </c>
      <c r="BB732" s="156">
        <v>0</v>
      </c>
      <c r="BC732" s="156" t="s">
        <v>1423</v>
      </c>
      <c r="BD732" s="3"/>
    </row>
    <row r="733" spans="1:56" ht="15.75" hidden="1" customHeight="1" outlineLevel="1">
      <c r="A733" s="58">
        <v>723</v>
      </c>
      <c r="B733" s="11">
        <v>129723</v>
      </c>
      <c r="C733" s="89" t="s">
        <v>369</v>
      </c>
      <c r="D733" s="157" t="s">
        <v>229</v>
      </c>
      <c r="E733" s="12" t="s">
        <v>191</v>
      </c>
      <c r="F733" s="11" t="s">
        <v>246</v>
      </c>
      <c r="G733" s="18" t="s">
        <v>247</v>
      </c>
      <c r="H733" s="11" t="s">
        <v>248</v>
      </c>
      <c r="I733" s="87" t="s">
        <v>249</v>
      </c>
      <c r="J733" s="19" t="s">
        <v>139</v>
      </c>
      <c r="K733" s="17" t="s">
        <v>140</v>
      </c>
      <c r="L733" s="260">
        <v>1</v>
      </c>
      <c r="M733" s="70" t="s">
        <v>250</v>
      </c>
      <c r="N733" s="70">
        <v>80</v>
      </c>
      <c r="O733" s="258">
        <v>8</v>
      </c>
      <c r="P733" s="70" t="s">
        <v>251</v>
      </c>
      <c r="Q733" s="70" t="s">
        <v>240</v>
      </c>
      <c r="R733" s="70" t="s">
        <v>240</v>
      </c>
      <c r="S733" s="70" t="s">
        <v>233</v>
      </c>
      <c r="T733" s="70" t="s">
        <v>233</v>
      </c>
      <c r="U733" s="70" t="s">
        <v>1427</v>
      </c>
      <c r="V733" s="70" t="s">
        <v>240</v>
      </c>
      <c r="W733" s="12"/>
      <c r="X733" s="242">
        <v>347.30900281690134</v>
      </c>
      <c r="Y733" s="242">
        <v>253.33196619718305</v>
      </c>
      <c r="Z733" s="242">
        <v>33.256360563380284</v>
      </c>
      <c r="AA733" s="157" t="s">
        <v>259</v>
      </c>
      <c r="AB733" s="242">
        <v>34.634366197183098</v>
      </c>
      <c r="AC733" s="157" t="s">
        <v>252</v>
      </c>
      <c r="AD733" s="242">
        <v>43.919323943661972</v>
      </c>
      <c r="AE733" s="157" t="s">
        <v>252</v>
      </c>
      <c r="AF733" s="242">
        <v>21.22276056338028</v>
      </c>
      <c r="AG733" s="157" t="s">
        <v>252</v>
      </c>
      <c r="AH733" s="242">
        <v>13.927436619718307</v>
      </c>
      <c r="AI733" s="157" t="s">
        <v>252</v>
      </c>
      <c r="AJ733" s="242">
        <v>0</v>
      </c>
      <c r="AK733" s="242" t="s">
        <v>252</v>
      </c>
      <c r="AL733" s="242">
        <v>1.2969464788732394</v>
      </c>
      <c r="AM733" s="242" t="s">
        <v>252</v>
      </c>
      <c r="AN733" s="242">
        <v>0</v>
      </c>
      <c r="AO733" s="242" t="s">
        <v>252</v>
      </c>
      <c r="AP733" s="242">
        <v>0</v>
      </c>
      <c r="AQ733" s="242" t="s">
        <v>252</v>
      </c>
      <c r="AR733" s="242">
        <v>27.191661971830982</v>
      </c>
      <c r="AS733" s="242" t="s">
        <v>252</v>
      </c>
      <c r="AT733" s="242">
        <v>23.728225352112677</v>
      </c>
      <c r="AU733" s="242" t="s">
        <v>252</v>
      </c>
      <c r="AV733" s="242">
        <v>28.404469047887321</v>
      </c>
      <c r="AW733" s="157" t="s">
        <v>259</v>
      </c>
      <c r="AX733" s="157">
        <v>828.22251975211248</v>
      </c>
      <c r="AY733" s="240">
        <v>0.11790422535211267</v>
      </c>
      <c r="AZ733" s="156" t="s">
        <v>253</v>
      </c>
      <c r="BA733" s="156" t="s">
        <v>254</v>
      </c>
      <c r="BB733" s="156">
        <v>1</v>
      </c>
      <c r="BC733" s="156" t="s">
        <v>1423</v>
      </c>
      <c r="BD733" s="3"/>
    </row>
    <row r="734" spans="1:56" ht="15.75" hidden="1" customHeight="1" outlineLevel="1">
      <c r="A734" s="58">
        <v>724</v>
      </c>
      <c r="B734" s="11">
        <v>129724</v>
      </c>
      <c r="C734" s="89" t="s">
        <v>369</v>
      </c>
      <c r="D734" s="157" t="s">
        <v>229</v>
      </c>
      <c r="E734" s="12" t="s">
        <v>231</v>
      </c>
      <c r="F734" s="11" t="s">
        <v>246</v>
      </c>
      <c r="G734" s="18" t="s">
        <v>247</v>
      </c>
      <c r="H734" s="11" t="s">
        <v>248</v>
      </c>
      <c r="I734" s="87" t="s">
        <v>249</v>
      </c>
      <c r="J734" s="19" t="s">
        <v>139</v>
      </c>
      <c r="K734" s="17" t="s">
        <v>140</v>
      </c>
      <c r="L734" s="257">
        <v>0</v>
      </c>
      <c r="M734" s="70" t="s">
        <v>250</v>
      </c>
      <c r="N734" s="70">
        <v>100</v>
      </c>
      <c r="O734" s="258">
        <v>8</v>
      </c>
      <c r="P734" s="70" t="s">
        <v>251</v>
      </c>
      <c r="Q734" s="70" t="s">
        <v>240</v>
      </c>
      <c r="R734" s="70" t="s">
        <v>240</v>
      </c>
      <c r="S734" s="70" t="s">
        <v>233</v>
      </c>
      <c r="T734" s="70" t="s">
        <v>233</v>
      </c>
      <c r="U734" s="70" t="s">
        <v>1427</v>
      </c>
      <c r="V734" s="70" t="s">
        <v>240</v>
      </c>
      <c r="W734" s="12"/>
      <c r="X734" s="242">
        <v>124.00099718309858</v>
      </c>
      <c r="Y734" s="242">
        <v>90.448033802816894</v>
      </c>
      <c r="Z734" s="242">
        <v>11.873639436619719</v>
      </c>
      <c r="AA734" s="157" t="s">
        <v>259</v>
      </c>
      <c r="AB734" s="242">
        <v>12.365633802816902</v>
      </c>
      <c r="AC734" s="157" t="s">
        <v>252</v>
      </c>
      <c r="AD734" s="242">
        <v>15.680676056338028</v>
      </c>
      <c r="AE734" s="157" t="s">
        <v>252</v>
      </c>
      <c r="AF734" s="242">
        <v>7.5772394366197187</v>
      </c>
      <c r="AG734" s="157" t="s">
        <v>252</v>
      </c>
      <c r="AH734" s="242">
        <v>4.9725633802816898</v>
      </c>
      <c r="AI734" s="157" t="s">
        <v>252</v>
      </c>
      <c r="AJ734" s="242">
        <v>0</v>
      </c>
      <c r="AK734" s="242" t="s">
        <v>252</v>
      </c>
      <c r="AL734" s="242">
        <v>0.46305352112676057</v>
      </c>
      <c r="AM734" s="242" t="s">
        <v>252</v>
      </c>
      <c r="AN734" s="242">
        <v>0</v>
      </c>
      <c r="AO734" s="242" t="s">
        <v>252</v>
      </c>
      <c r="AP734" s="242">
        <v>0</v>
      </c>
      <c r="AQ734" s="242" t="s">
        <v>252</v>
      </c>
      <c r="AR734" s="242">
        <v>9.7083380281690133</v>
      </c>
      <c r="AS734" s="242" t="s">
        <v>252</v>
      </c>
      <c r="AT734" s="242">
        <v>8.4717746478873242</v>
      </c>
      <c r="AU734" s="242" t="s">
        <v>252</v>
      </c>
      <c r="AV734" s="242">
        <v>10.141350952112676</v>
      </c>
      <c r="AW734" s="157" t="s">
        <v>259</v>
      </c>
      <c r="AX734" s="157">
        <v>295.7033002478874</v>
      </c>
      <c r="AY734" s="243">
        <v>4.2095774647887323E-2</v>
      </c>
      <c r="AZ734" s="156" t="s">
        <v>253</v>
      </c>
      <c r="BA734" s="156" t="s">
        <v>254</v>
      </c>
      <c r="BB734" s="156">
        <v>0</v>
      </c>
      <c r="BC734" s="156" t="s">
        <v>1423</v>
      </c>
      <c r="BD734" s="3"/>
    </row>
    <row r="735" spans="1:56" ht="15.75" hidden="1" customHeight="1" outlineLevel="1">
      <c r="A735" s="58">
        <v>725</v>
      </c>
      <c r="B735" s="11">
        <v>129725</v>
      </c>
      <c r="C735" s="89" t="s">
        <v>369</v>
      </c>
      <c r="D735" s="157">
        <v>23</v>
      </c>
      <c r="E735" s="12" t="s">
        <v>191</v>
      </c>
      <c r="F735" s="11" t="s">
        <v>246</v>
      </c>
      <c r="G735" s="18" t="s">
        <v>247</v>
      </c>
      <c r="H735" s="11" t="s">
        <v>248</v>
      </c>
      <c r="I735" s="87" t="s">
        <v>249</v>
      </c>
      <c r="J735" s="19" t="s">
        <v>139</v>
      </c>
      <c r="K735" s="17" t="s">
        <v>140</v>
      </c>
      <c r="L735" s="260">
        <v>1</v>
      </c>
      <c r="M735" s="70" t="s">
        <v>250</v>
      </c>
      <c r="N735" s="70">
        <v>100</v>
      </c>
      <c r="O735" s="258">
        <v>8</v>
      </c>
      <c r="P735" s="70" t="s">
        <v>251</v>
      </c>
      <c r="Q735" s="70" t="s">
        <v>233</v>
      </c>
      <c r="R735" s="70" t="s">
        <v>240</v>
      </c>
      <c r="S735" s="70" t="s">
        <v>233</v>
      </c>
      <c r="T735" s="70" t="s">
        <v>233</v>
      </c>
      <c r="U735" s="70" t="s">
        <v>1427</v>
      </c>
      <c r="V735" s="70" t="s">
        <v>240</v>
      </c>
      <c r="W735" s="12"/>
      <c r="X735" s="242">
        <v>802.69</v>
      </c>
      <c r="Y735" s="242">
        <v>823.21999999999991</v>
      </c>
      <c r="Z735" s="242">
        <v>94.57</v>
      </c>
      <c r="AA735" s="157" t="s">
        <v>252</v>
      </c>
      <c r="AB735" s="242">
        <v>59.75</v>
      </c>
      <c r="AC735" s="157" t="s">
        <v>252</v>
      </c>
      <c r="AD735" s="242">
        <v>134.96</v>
      </c>
      <c r="AE735" s="157" t="s">
        <v>252</v>
      </c>
      <c r="AF735" s="242">
        <v>86.84</v>
      </c>
      <c r="AG735" s="157" t="s">
        <v>252</v>
      </c>
      <c r="AH735" s="242">
        <v>19.13</v>
      </c>
      <c r="AI735" s="157" t="s">
        <v>252</v>
      </c>
      <c r="AJ735" s="242">
        <v>11.85</v>
      </c>
      <c r="AK735" s="242" t="s">
        <v>252</v>
      </c>
      <c r="AL735" s="242">
        <v>9.2200000000000006</v>
      </c>
      <c r="AM735" s="242" t="s">
        <v>252</v>
      </c>
      <c r="AN735" s="242">
        <v>9.86</v>
      </c>
      <c r="AO735" s="242" t="s">
        <v>252</v>
      </c>
      <c r="AP735" s="242">
        <v>12.98</v>
      </c>
      <c r="AQ735" s="242" t="s">
        <v>252</v>
      </c>
      <c r="AR735" s="242">
        <v>55.69</v>
      </c>
      <c r="AS735" s="242" t="s">
        <v>252</v>
      </c>
      <c r="AT735" s="242">
        <v>57.27</v>
      </c>
      <c r="AU735" s="242" t="s">
        <v>252</v>
      </c>
      <c r="AV735" s="242">
        <v>71.84</v>
      </c>
      <c r="AW735" s="157" t="s">
        <v>252</v>
      </c>
      <c r="AX735" s="157">
        <v>2249.87</v>
      </c>
      <c r="AY735" s="240">
        <v>0.23300000000000001</v>
      </c>
      <c r="AZ735" s="156" t="s">
        <v>253</v>
      </c>
      <c r="BA735" s="156" t="s">
        <v>254</v>
      </c>
      <c r="BB735" s="156">
        <v>1</v>
      </c>
      <c r="BC735" s="156" t="s">
        <v>1423</v>
      </c>
      <c r="BD735" s="3"/>
    </row>
    <row r="736" spans="1:56" ht="15.75" hidden="1" customHeight="1" outlineLevel="1">
      <c r="A736" s="58">
        <v>726</v>
      </c>
      <c r="B736" s="11">
        <v>129726</v>
      </c>
      <c r="C736" s="89" t="s">
        <v>369</v>
      </c>
      <c r="D736" s="157">
        <v>26</v>
      </c>
      <c r="E736" s="12" t="s">
        <v>191</v>
      </c>
      <c r="F736" s="11" t="s">
        <v>246</v>
      </c>
      <c r="G736" s="18" t="s">
        <v>247</v>
      </c>
      <c r="H736" s="11" t="s">
        <v>248</v>
      </c>
      <c r="I736" s="87" t="s">
        <v>249</v>
      </c>
      <c r="J736" s="19" t="s">
        <v>139</v>
      </c>
      <c r="K736" s="17" t="s">
        <v>140</v>
      </c>
      <c r="L736" s="260">
        <v>1</v>
      </c>
      <c r="M736" s="70" t="s">
        <v>250</v>
      </c>
      <c r="N736" s="70">
        <v>100</v>
      </c>
      <c r="O736" s="258">
        <v>8</v>
      </c>
      <c r="P736" s="70" t="s">
        <v>251</v>
      </c>
      <c r="Q736" s="70" t="s">
        <v>233</v>
      </c>
      <c r="R736" s="70" t="s">
        <v>240</v>
      </c>
      <c r="S736" s="70" t="s">
        <v>233</v>
      </c>
      <c r="T736" s="70" t="s">
        <v>233</v>
      </c>
      <c r="U736" s="70" t="s">
        <v>1427</v>
      </c>
      <c r="V736" s="70" t="s">
        <v>240</v>
      </c>
      <c r="W736" s="12"/>
      <c r="X736" s="242">
        <v>0</v>
      </c>
      <c r="Y736" s="242">
        <v>0</v>
      </c>
      <c r="Z736" s="242">
        <v>27.64</v>
      </c>
      <c r="AA736" s="157" t="s">
        <v>252</v>
      </c>
      <c r="AB736" s="242">
        <v>27.64</v>
      </c>
      <c r="AC736" s="157" t="s">
        <v>252</v>
      </c>
      <c r="AD736" s="242">
        <v>27.64</v>
      </c>
      <c r="AE736" s="157" t="s">
        <v>252</v>
      </c>
      <c r="AF736" s="242">
        <v>27.64</v>
      </c>
      <c r="AG736" s="157" t="s">
        <v>252</v>
      </c>
      <c r="AH736" s="242">
        <v>27.64</v>
      </c>
      <c r="AI736" s="157" t="s">
        <v>252</v>
      </c>
      <c r="AJ736" s="242">
        <v>2.5</v>
      </c>
      <c r="AK736" s="242" t="s">
        <v>252</v>
      </c>
      <c r="AL736" s="242">
        <v>1.18</v>
      </c>
      <c r="AM736" s="242" t="s">
        <v>252</v>
      </c>
      <c r="AN736" s="242">
        <v>7.44</v>
      </c>
      <c r="AO736" s="242" t="s">
        <v>252</v>
      </c>
      <c r="AP736" s="242">
        <v>2.15</v>
      </c>
      <c r="AQ736" s="242" t="s">
        <v>252</v>
      </c>
      <c r="AR736" s="242">
        <v>26.54</v>
      </c>
      <c r="AS736" s="242" t="s">
        <v>252</v>
      </c>
      <c r="AT736" s="242">
        <v>25.02</v>
      </c>
      <c r="AU736" s="242" t="s">
        <v>252</v>
      </c>
      <c r="AV736" s="242">
        <v>31.36</v>
      </c>
      <c r="AW736" s="157" t="s">
        <v>252</v>
      </c>
      <c r="AX736" s="157">
        <v>234.39</v>
      </c>
      <c r="AY736" s="243">
        <v>0.1</v>
      </c>
      <c r="AZ736" s="156" t="s">
        <v>253</v>
      </c>
      <c r="BA736" s="156" t="s">
        <v>254</v>
      </c>
      <c r="BB736" s="156">
        <v>1</v>
      </c>
      <c r="BC736" s="157" t="s">
        <v>255</v>
      </c>
      <c r="BD736" s="3"/>
    </row>
    <row r="737" spans="1:56" ht="15.75" hidden="1" customHeight="1" outlineLevel="1">
      <c r="A737" s="58">
        <v>727</v>
      </c>
      <c r="B737" s="11">
        <v>129727</v>
      </c>
      <c r="C737" s="89" t="s">
        <v>369</v>
      </c>
      <c r="D737" s="157">
        <v>27</v>
      </c>
      <c r="E737" s="12" t="s">
        <v>191</v>
      </c>
      <c r="F737" s="11" t="s">
        <v>246</v>
      </c>
      <c r="G737" s="18" t="s">
        <v>247</v>
      </c>
      <c r="H737" s="11" t="s">
        <v>248</v>
      </c>
      <c r="I737" s="87" t="s">
        <v>249</v>
      </c>
      <c r="J737" s="19" t="s">
        <v>139</v>
      </c>
      <c r="K737" s="17" t="s">
        <v>140</v>
      </c>
      <c r="L737" s="260">
        <v>1</v>
      </c>
      <c r="M737" s="70" t="s">
        <v>250</v>
      </c>
      <c r="N737" s="70">
        <v>100</v>
      </c>
      <c r="O737" s="258">
        <v>8</v>
      </c>
      <c r="P737" s="70" t="s">
        <v>251</v>
      </c>
      <c r="Q737" s="70" t="s">
        <v>233</v>
      </c>
      <c r="R737" s="70" t="s">
        <v>240</v>
      </c>
      <c r="S737" s="70" t="s">
        <v>233</v>
      </c>
      <c r="T737" s="70" t="s">
        <v>233</v>
      </c>
      <c r="U737" s="70" t="s">
        <v>1427</v>
      </c>
      <c r="V737" s="70" t="s">
        <v>240</v>
      </c>
      <c r="W737" s="12"/>
      <c r="X737" s="242">
        <v>1709.4</v>
      </c>
      <c r="Y737" s="242">
        <v>1494.45</v>
      </c>
      <c r="Z737" s="242">
        <v>210.31</v>
      </c>
      <c r="AA737" s="157" t="s">
        <v>252</v>
      </c>
      <c r="AB737" s="242">
        <v>163.63999999999999</v>
      </c>
      <c r="AC737" s="157" t="s">
        <v>252</v>
      </c>
      <c r="AD737" s="242">
        <v>234.52</v>
      </c>
      <c r="AE737" s="157" t="s">
        <v>252</v>
      </c>
      <c r="AF737" s="242">
        <v>155</v>
      </c>
      <c r="AG737" s="157" t="s">
        <v>252</v>
      </c>
      <c r="AH737" s="242">
        <v>61.51</v>
      </c>
      <c r="AI737" s="157" t="s">
        <v>252</v>
      </c>
      <c r="AJ737" s="242">
        <v>32.07</v>
      </c>
      <c r="AK737" s="242" t="s">
        <v>252</v>
      </c>
      <c r="AL737" s="242">
        <v>27.35</v>
      </c>
      <c r="AM737" s="242" t="s">
        <v>252</v>
      </c>
      <c r="AN737" s="242">
        <v>29.09</v>
      </c>
      <c r="AO737" s="242" t="s">
        <v>252</v>
      </c>
      <c r="AP737" s="242">
        <v>36.49</v>
      </c>
      <c r="AQ737" s="242" t="s">
        <v>252</v>
      </c>
      <c r="AR737" s="242">
        <v>134.84</v>
      </c>
      <c r="AS737" s="242" t="s">
        <v>252</v>
      </c>
      <c r="AT737" s="242">
        <v>143.44999999999999</v>
      </c>
      <c r="AU737" s="242" t="s">
        <v>252</v>
      </c>
      <c r="AV737" s="242">
        <v>185.15</v>
      </c>
      <c r="AW737" s="157" t="s">
        <v>252</v>
      </c>
      <c r="AX737" s="157">
        <v>4617.2699999999995</v>
      </c>
      <c r="AY737" s="240">
        <v>0.65</v>
      </c>
      <c r="AZ737" s="156" t="s">
        <v>253</v>
      </c>
      <c r="BA737" s="156" t="s">
        <v>254</v>
      </c>
      <c r="BB737" s="156">
        <v>1</v>
      </c>
      <c r="BC737" s="156" t="s">
        <v>1423</v>
      </c>
      <c r="BD737" s="3"/>
    </row>
    <row r="738" spans="1:56" ht="15.75" hidden="1" customHeight="1" outlineLevel="1">
      <c r="A738" s="58">
        <v>728</v>
      </c>
      <c r="B738" s="11">
        <v>129728</v>
      </c>
      <c r="C738" s="89" t="s">
        <v>369</v>
      </c>
      <c r="D738" s="157">
        <v>29</v>
      </c>
      <c r="E738" s="12" t="s">
        <v>191</v>
      </c>
      <c r="F738" s="11" t="s">
        <v>246</v>
      </c>
      <c r="G738" s="18" t="s">
        <v>247</v>
      </c>
      <c r="H738" s="11" t="s">
        <v>248</v>
      </c>
      <c r="I738" s="87" t="s">
        <v>249</v>
      </c>
      <c r="J738" s="19" t="s">
        <v>139</v>
      </c>
      <c r="K738" s="17" t="s">
        <v>140</v>
      </c>
      <c r="L738" s="257">
        <v>0</v>
      </c>
      <c r="M738" s="70" t="s">
        <v>250</v>
      </c>
      <c r="N738" s="70">
        <v>80</v>
      </c>
      <c r="O738" s="258">
        <v>8</v>
      </c>
      <c r="P738" s="70" t="s">
        <v>251</v>
      </c>
      <c r="Q738" s="70" t="s">
        <v>233</v>
      </c>
      <c r="R738" s="70" t="s">
        <v>240</v>
      </c>
      <c r="S738" s="70" t="s">
        <v>233</v>
      </c>
      <c r="T738" s="70" t="s">
        <v>233</v>
      </c>
      <c r="U738" s="70" t="s">
        <v>1427</v>
      </c>
      <c r="V738" s="70" t="s">
        <v>240</v>
      </c>
      <c r="W738" s="12"/>
      <c r="X738" s="242">
        <v>2115.0300000000002</v>
      </c>
      <c r="Y738" s="242">
        <v>2042.4900000000002</v>
      </c>
      <c r="Z738" s="242">
        <v>362</v>
      </c>
      <c r="AA738" s="157" t="s">
        <v>252</v>
      </c>
      <c r="AB738" s="242">
        <v>276.56</v>
      </c>
      <c r="AC738" s="157" t="s">
        <v>252</v>
      </c>
      <c r="AD738" s="242">
        <v>379.19</v>
      </c>
      <c r="AE738" s="157" t="s">
        <v>252</v>
      </c>
      <c r="AF738" s="242">
        <v>267.08</v>
      </c>
      <c r="AG738" s="157" t="s">
        <v>252</v>
      </c>
      <c r="AH738" s="242">
        <v>108.26</v>
      </c>
      <c r="AI738" s="157" t="s">
        <v>252</v>
      </c>
      <c r="AJ738" s="242">
        <v>48.55</v>
      </c>
      <c r="AK738" s="242" t="s">
        <v>252</v>
      </c>
      <c r="AL738" s="242">
        <v>33.049999999999997</v>
      </c>
      <c r="AM738" s="242" t="s">
        <v>252</v>
      </c>
      <c r="AN738" s="242">
        <v>38.44</v>
      </c>
      <c r="AO738" s="242" t="s">
        <v>252</v>
      </c>
      <c r="AP738" s="242">
        <v>48.75</v>
      </c>
      <c r="AQ738" s="242" t="s">
        <v>252</v>
      </c>
      <c r="AR738" s="242">
        <v>210.05</v>
      </c>
      <c r="AS738" s="242" t="s">
        <v>252</v>
      </c>
      <c r="AT738" s="242">
        <v>212.33</v>
      </c>
      <c r="AU738" s="242" t="s">
        <v>252</v>
      </c>
      <c r="AV738" s="242">
        <v>225.62</v>
      </c>
      <c r="AW738" s="157" t="s">
        <v>252</v>
      </c>
      <c r="AX738" s="157">
        <v>6367.4000000000005</v>
      </c>
      <c r="AY738" s="240">
        <v>0.81</v>
      </c>
      <c r="AZ738" s="156" t="s">
        <v>253</v>
      </c>
      <c r="BA738" s="156" t="s">
        <v>254</v>
      </c>
      <c r="BB738" s="156">
        <v>0</v>
      </c>
      <c r="BC738" s="156" t="s">
        <v>1423</v>
      </c>
      <c r="BD738" s="3"/>
    </row>
    <row r="739" spans="1:56" ht="15.75" hidden="1" customHeight="1" outlineLevel="1">
      <c r="A739" s="58">
        <v>729</v>
      </c>
      <c r="B739" s="11">
        <v>129729</v>
      </c>
      <c r="C739" s="89" t="s">
        <v>369</v>
      </c>
      <c r="D739" s="157">
        <v>3</v>
      </c>
      <c r="E739" s="12" t="s">
        <v>191</v>
      </c>
      <c r="F739" s="11" t="s">
        <v>246</v>
      </c>
      <c r="G739" s="18" t="s">
        <v>247</v>
      </c>
      <c r="H739" s="11" t="s">
        <v>248</v>
      </c>
      <c r="I739" s="87" t="s">
        <v>249</v>
      </c>
      <c r="J739" s="19" t="s">
        <v>139</v>
      </c>
      <c r="K739" s="17" t="s">
        <v>140</v>
      </c>
      <c r="L739" s="260">
        <v>1</v>
      </c>
      <c r="M739" s="70" t="s">
        <v>250</v>
      </c>
      <c r="N739" s="70">
        <v>100</v>
      </c>
      <c r="O739" s="258">
        <v>8</v>
      </c>
      <c r="P739" s="70" t="s">
        <v>251</v>
      </c>
      <c r="Q739" s="70" t="s">
        <v>233</v>
      </c>
      <c r="R739" s="70" t="s">
        <v>240</v>
      </c>
      <c r="S739" s="70" t="s">
        <v>233</v>
      </c>
      <c r="T739" s="70" t="s">
        <v>233</v>
      </c>
      <c r="U739" s="70" t="s">
        <v>1428</v>
      </c>
      <c r="V739" s="70" t="s">
        <v>240</v>
      </c>
      <c r="W739" s="12"/>
      <c r="X739" s="242">
        <v>1188.3999999999999</v>
      </c>
      <c r="Y739" s="242">
        <v>1081.3499999999999</v>
      </c>
      <c r="Z739" s="242">
        <v>229.9</v>
      </c>
      <c r="AA739" s="157" t="s">
        <v>252</v>
      </c>
      <c r="AB739" s="242">
        <v>143.93</v>
      </c>
      <c r="AC739" s="157" t="s">
        <v>252</v>
      </c>
      <c r="AD739" s="242">
        <v>299.35000000000002</v>
      </c>
      <c r="AE739" s="157" t="s">
        <v>252</v>
      </c>
      <c r="AF739" s="242">
        <v>135.51</v>
      </c>
      <c r="AG739" s="157" t="s">
        <v>252</v>
      </c>
      <c r="AH739" s="242">
        <v>37.659999999999997</v>
      </c>
      <c r="AI739" s="157" t="s">
        <v>252</v>
      </c>
      <c r="AJ739" s="242">
        <v>17.61</v>
      </c>
      <c r="AK739" s="242" t="s">
        <v>252</v>
      </c>
      <c r="AL739" s="242">
        <v>11.79</v>
      </c>
      <c r="AM739" s="242" t="s">
        <v>252</v>
      </c>
      <c r="AN739" s="242">
        <v>14.9</v>
      </c>
      <c r="AO739" s="242" t="s">
        <v>252</v>
      </c>
      <c r="AP739" s="242">
        <v>61.913110000000003</v>
      </c>
      <c r="AQ739" s="242" t="s">
        <v>252</v>
      </c>
      <c r="AR739" s="242">
        <v>205.12</v>
      </c>
      <c r="AS739" s="242" t="s">
        <v>252</v>
      </c>
      <c r="AT739" s="242">
        <v>124.87146</v>
      </c>
      <c r="AU739" s="242" t="s">
        <v>252</v>
      </c>
      <c r="AV739" s="242">
        <v>189.47290000000001</v>
      </c>
      <c r="AW739" s="157" t="s">
        <v>252</v>
      </c>
      <c r="AX739" s="157">
        <v>3741.7774699999995</v>
      </c>
      <c r="AY739" s="240">
        <v>0.49199999999999999</v>
      </c>
      <c r="AZ739" s="156" t="s">
        <v>253</v>
      </c>
      <c r="BA739" s="156" t="s">
        <v>254</v>
      </c>
      <c r="BB739" s="156">
        <v>0</v>
      </c>
      <c r="BC739" s="157" t="s">
        <v>255</v>
      </c>
      <c r="BD739" s="3"/>
    </row>
    <row r="740" spans="1:56" ht="15.75" hidden="1" customHeight="1" outlineLevel="1">
      <c r="A740" s="58">
        <v>730</v>
      </c>
      <c r="B740" s="11">
        <v>129730</v>
      </c>
      <c r="C740" s="89" t="s">
        <v>369</v>
      </c>
      <c r="D740" s="157">
        <v>30</v>
      </c>
      <c r="E740" s="12" t="s">
        <v>191</v>
      </c>
      <c r="F740" s="11" t="s">
        <v>246</v>
      </c>
      <c r="G740" s="18" t="s">
        <v>247</v>
      </c>
      <c r="H740" s="11" t="s">
        <v>248</v>
      </c>
      <c r="I740" s="87" t="s">
        <v>249</v>
      </c>
      <c r="J740" s="19" t="s">
        <v>139</v>
      </c>
      <c r="K740" s="17" t="s">
        <v>140</v>
      </c>
      <c r="L740" s="260">
        <v>2</v>
      </c>
      <c r="M740" s="70" t="s">
        <v>250</v>
      </c>
      <c r="N740" s="70">
        <v>100</v>
      </c>
      <c r="O740" s="258">
        <v>8</v>
      </c>
      <c r="P740" s="70" t="s">
        <v>251</v>
      </c>
      <c r="Q740" s="70" t="s">
        <v>233</v>
      </c>
      <c r="R740" s="70" t="s">
        <v>240</v>
      </c>
      <c r="S740" s="70" t="s">
        <v>233</v>
      </c>
      <c r="T740" s="70" t="s">
        <v>233</v>
      </c>
      <c r="U740" s="70" t="s">
        <v>1427</v>
      </c>
      <c r="V740" s="70" t="s">
        <v>240</v>
      </c>
      <c r="W740" s="12"/>
      <c r="X740" s="242">
        <v>655.18000000000006</v>
      </c>
      <c r="Y740" s="242">
        <v>615.56000000000006</v>
      </c>
      <c r="Z740" s="242">
        <v>118.59</v>
      </c>
      <c r="AA740" s="157" t="s">
        <v>252</v>
      </c>
      <c r="AB740" s="242">
        <v>80.08</v>
      </c>
      <c r="AC740" s="157" t="s">
        <v>252</v>
      </c>
      <c r="AD740" s="242">
        <v>55.89</v>
      </c>
      <c r="AE740" s="157" t="s">
        <v>252</v>
      </c>
      <c r="AF740" s="242">
        <v>32.47</v>
      </c>
      <c r="AG740" s="157" t="s">
        <v>252</v>
      </c>
      <c r="AH740" s="242">
        <v>15.74</v>
      </c>
      <c r="AI740" s="157" t="s">
        <v>252</v>
      </c>
      <c r="AJ740" s="242">
        <v>8.44</v>
      </c>
      <c r="AK740" s="242" t="s">
        <v>252</v>
      </c>
      <c r="AL740" s="242">
        <v>4.1399999999999997</v>
      </c>
      <c r="AM740" s="242" t="s">
        <v>252</v>
      </c>
      <c r="AN740" s="242">
        <v>4.9400000000000004</v>
      </c>
      <c r="AO740" s="242" t="s">
        <v>252</v>
      </c>
      <c r="AP740" s="242">
        <v>6.03</v>
      </c>
      <c r="AQ740" s="242" t="s">
        <v>252</v>
      </c>
      <c r="AR740" s="242">
        <v>31.7</v>
      </c>
      <c r="AS740" s="242" t="s">
        <v>252</v>
      </c>
      <c r="AT740" s="242">
        <v>34.01</v>
      </c>
      <c r="AU740" s="242" t="s">
        <v>252</v>
      </c>
      <c r="AV740" s="242">
        <v>58.18</v>
      </c>
      <c r="AW740" s="157" t="s">
        <v>252</v>
      </c>
      <c r="AX740" s="157">
        <v>1720.9500000000005</v>
      </c>
      <c r="AY740" s="240">
        <v>0.249</v>
      </c>
      <c r="AZ740" s="156" t="s">
        <v>253</v>
      </c>
      <c r="BA740" s="156" t="s">
        <v>254</v>
      </c>
      <c r="BB740" s="156">
        <v>2</v>
      </c>
      <c r="BC740" s="156" t="s">
        <v>1423</v>
      </c>
      <c r="BD740" s="3"/>
    </row>
    <row r="741" spans="1:56" ht="15.75" hidden="1" customHeight="1" outlineLevel="1">
      <c r="A741" s="58">
        <v>731</v>
      </c>
      <c r="B741" s="11">
        <v>129731</v>
      </c>
      <c r="C741" s="89" t="s">
        <v>369</v>
      </c>
      <c r="D741" s="157">
        <v>4</v>
      </c>
      <c r="E741" s="12" t="s">
        <v>191</v>
      </c>
      <c r="F741" s="11" t="s">
        <v>246</v>
      </c>
      <c r="G741" s="18" t="s">
        <v>247</v>
      </c>
      <c r="H741" s="11" t="s">
        <v>248</v>
      </c>
      <c r="I741" s="87" t="s">
        <v>249</v>
      </c>
      <c r="J741" s="19" t="s">
        <v>139</v>
      </c>
      <c r="K741" s="17" t="s">
        <v>140</v>
      </c>
      <c r="L741" s="260">
        <v>1</v>
      </c>
      <c r="M741" s="70" t="s">
        <v>250</v>
      </c>
      <c r="N741" s="70">
        <v>80</v>
      </c>
      <c r="O741" s="258">
        <v>8</v>
      </c>
      <c r="P741" s="70" t="s">
        <v>251</v>
      </c>
      <c r="Q741" s="70" t="s">
        <v>233</v>
      </c>
      <c r="R741" s="70" t="s">
        <v>240</v>
      </c>
      <c r="S741" s="70" t="s">
        <v>233</v>
      </c>
      <c r="T741" s="70" t="s">
        <v>233</v>
      </c>
      <c r="U741" s="70" t="s">
        <v>1427</v>
      </c>
      <c r="V741" s="70" t="s">
        <v>240</v>
      </c>
      <c r="W741" s="12"/>
      <c r="X741" s="242">
        <v>1064.2800000000002</v>
      </c>
      <c r="Y741" s="242">
        <v>949.87000000000012</v>
      </c>
      <c r="Z741" s="242">
        <v>119.88</v>
      </c>
      <c r="AA741" s="157" t="s">
        <v>259</v>
      </c>
      <c r="AB741" s="242">
        <v>118.93</v>
      </c>
      <c r="AC741" s="157" t="s">
        <v>259</v>
      </c>
      <c r="AD741" s="242">
        <v>118.89</v>
      </c>
      <c r="AE741" s="157" t="s">
        <v>259</v>
      </c>
      <c r="AF741" s="242">
        <v>120.99</v>
      </c>
      <c r="AG741" s="157" t="s">
        <v>259</v>
      </c>
      <c r="AH741" s="242">
        <v>120.94</v>
      </c>
      <c r="AI741" s="157" t="s">
        <v>259</v>
      </c>
      <c r="AJ741" s="242">
        <v>21.943300000000001</v>
      </c>
      <c r="AK741" s="242" t="s">
        <v>259</v>
      </c>
      <c r="AL741" s="242">
        <v>21.943300000000001</v>
      </c>
      <c r="AM741" s="242" t="s">
        <v>259</v>
      </c>
      <c r="AN741" s="242">
        <v>21.943300000000001</v>
      </c>
      <c r="AO741" s="242" t="s">
        <v>259</v>
      </c>
      <c r="AP741" s="242">
        <v>26.154389999999999</v>
      </c>
      <c r="AQ741" s="242" t="s">
        <v>259</v>
      </c>
      <c r="AR741" s="242">
        <v>86.48</v>
      </c>
      <c r="AS741" s="242" t="s">
        <v>252</v>
      </c>
      <c r="AT741" s="242">
        <v>99.6</v>
      </c>
      <c r="AU741" s="242" t="s">
        <v>252</v>
      </c>
      <c r="AV741" s="242">
        <v>107.97772000000001</v>
      </c>
      <c r="AW741" s="157" t="s">
        <v>259</v>
      </c>
      <c r="AX741" s="157">
        <v>2999.8220099999994</v>
      </c>
      <c r="AY741" s="240">
        <v>0.42</v>
      </c>
      <c r="AZ741" s="156" t="s">
        <v>253</v>
      </c>
      <c r="BA741" s="156" t="s">
        <v>254</v>
      </c>
      <c r="BB741" s="156">
        <v>0</v>
      </c>
      <c r="BC741" s="156" t="s">
        <v>1423</v>
      </c>
      <c r="BD741" s="3"/>
    </row>
    <row r="742" spans="1:56" ht="15.75" hidden="1" customHeight="1" outlineLevel="1">
      <c r="A742" s="58">
        <v>732</v>
      </c>
      <c r="B742" s="11">
        <v>129732</v>
      </c>
      <c r="C742" s="89" t="s">
        <v>369</v>
      </c>
      <c r="D742" s="157">
        <v>5</v>
      </c>
      <c r="E742" s="12" t="s">
        <v>191</v>
      </c>
      <c r="F742" s="11" t="s">
        <v>246</v>
      </c>
      <c r="G742" s="18" t="s">
        <v>247</v>
      </c>
      <c r="H742" s="11" t="s">
        <v>248</v>
      </c>
      <c r="I742" s="87" t="s">
        <v>249</v>
      </c>
      <c r="J742" s="19" t="s">
        <v>139</v>
      </c>
      <c r="K742" s="17" t="s">
        <v>140</v>
      </c>
      <c r="L742" s="257">
        <v>0</v>
      </c>
      <c r="M742" s="70" t="s">
        <v>250</v>
      </c>
      <c r="N742" s="70">
        <v>100</v>
      </c>
      <c r="O742" s="258">
        <v>8</v>
      </c>
      <c r="P742" s="70" t="s">
        <v>251</v>
      </c>
      <c r="Q742" s="70" t="s">
        <v>233</v>
      </c>
      <c r="R742" s="70" t="s">
        <v>240</v>
      </c>
      <c r="S742" s="70" t="s">
        <v>233</v>
      </c>
      <c r="T742" s="70" t="s">
        <v>233</v>
      </c>
      <c r="U742" s="70" t="s">
        <v>1427</v>
      </c>
      <c r="V742" s="70" t="s">
        <v>240</v>
      </c>
      <c r="W742" s="12"/>
      <c r="X742" s="242">
        <v>476.59</v>
      </c>
      <c r="Y742" s="242">
        <v>496.96</v>
      </c>
      <c r="Z742" s="242">
        <v>79.91</v>
      </c>
      <c r="AA742" s="157" t="s">
        <v>252</v>
      </c>
      <c r="AB742" s="242">
        <v>46.29</v>
      </c>
      <c r="AC742" s="157" t="s">
        <v>252</v>
      </c>
      <c r="AD742" s="242">
        <v>61.09</v>
      </c>
      <c r="AE742" s="157" t="s">
        <v>252</v>
      </c>
      <c r="AF742" s="242">
        <v>39.35</v>
      </c>
      <c r="AG742" s="157" t="s">
        <v>252</v>
      </c>
      <c r="AH742" s="242">
        <v>16.559999999999999</v>
      </c>
      <c r="AI742" s="157" t="s">
        <v>252</v>
      </c>
      <c r="AJ742" s="242">
        <v>15.11</v>
      </c>
      <c r="AK742" s="242" t="s">
        <v>252</v>
      </c>
      <c r="AL742" s="242">
        <v>11.1</v>
      </c>
      <c r="AM742" s="242" t="s">
        <v>252</v>
      </c>
      <c r="AN742" s="242">
        <v>12.25</v>
      </c>
      <c r="AO742" s="242" t="s">
        <v>252</v>
      </c>
      <c r="AP742" s="242">
        <v>14.44</v>
      </c>
      <c r="AQ742" s="242" t="s">
        <v>252</v>
      </c>
      <c r="AR742" s="242">
        <v>47.54</v>
      </c>
      <c r="AS742" s="242" t="s">
        <v>252</v>
      </c>
      <c r="AT742" s="242">
        <v>48.92</v>
      </c>
      <c r="AU742" s="242" t="s">
        <v>252</v>
      </c>
      <c r="AV742" s="242">
        <v>62.23</v>
      </c>
      <c r="AW742" s="157" t="s">
        <v>252</v>
      </c>
      <c r="AX742" s="157">
        <v>1428.3399999999997</v>
      </c>
      <c r="AY742" s="240">
        <v>0.248</v>
      </c>
      <c r="AZ742" s="156" t="s">
        <v>253</v>
      </c>
      <c r="BA742" s="156" t="s">
        <v>254</v>
      </c>
      <c r="BB742" s="156">
        <v>0</v>
      </c>
      <c r="BC742" s="156" t="s">
        <v>1423</v>
      </c>
      <c r="BD742" s="3"/>
    </row>
    <row r="743" spans="1:56" ht="15.75" hidden="1" customHeight="1" outlineLevel="1">
      <c r="A743" s="58">
        <v>733</v>
      </c>
      <c r="B743" s="11">
        <v>129733</v>
      </c>
      <c r="C743" s="89" t="s">
        <v>369</v>
      </c>
      <c r="D743" s="157">
        <v>6</v>
      </c>
      <c r="E743" s="12" t="s">
        <v>191</v>
      </c>
      <c r="F743" s="11" t="s">
        <v>246</v>
      </c>
      <c r="G743" s="18" t="s">
        <v>247</v>
      </c>
      <c r="H743" s="11" t="s">
        <v>248</v>
      </c>
      <c r="I743" s="87" t="s">
        <v>249</v>
      </c>
      <c r="J743" s="19" t="s">
        <v>139</v>
      </c>
      <c r="K743" s="17" t="s">
        <v>140</v>
      </c>
      <c r="L743" s="257">
        <v>0</v>
      </c>
      <c r="M743" s="70" t="s">
        <v>250</v>
      </c>
      <c r="N743" s="70">
        <v>100</v>
      </c>
      <c r="O743" s="258">
        <v>8</v>
      </c>
      <c r="P743" s="70" t="s">
        <v>251</v>
      </c>
      <c r="Q743" s="70" t="s">
        <v>233</v>
      </c>
      <c r="R743" s="70" t="s">
        <v>240</v>
      </c>
      <c r="S743" s="70" t="s">
        <v>233</v>
      </c>
      <c r="T743" s="70" t="s">
        <v>233</v>
      </c>
      <c r="U743" s="70" t="s">
        <v>1427</v>
      </c>
      <c r="V743" s="70" t="s">
        <v>240</v>
      </c>
      <c r="W743" s="12"/>
      <c r="X743" s="242">
        <v>437.79999999999995</v>
      </c>
      <c r="Y743" s="242">
        <v>390.07999999999993</v>
      </c>
      <c r="Z743" s="242">
        <v>49.1</v>
      </c>
      <c r="AA743" s="157" t="s">
        <v>259</v>
      </c>
      <c r="AB743" s="242">
        <v>48.79</v>
      </c>
      <c r="AC743" s="157" t="s">
        <v>259</v>
      </c>
      <c r="AD743" s="242">
        <v>49.16</v>
      </c>
      <c r="AE743" s="157" t="s">
        <v>259</v>
      </c>
      <c r="AF743" s="242">
        <v>48.91</v>
      </c>
      <c r="AG743" s="157" t="s">
        <v>259</v>
      </c>
      <c r="AH743" s="242">
        <v>47.48</v>
      </c>
      <c r="AI743" s="157" t="s">
        <v>259</v>
      </c>
      <c r="AJ743" s="242">
        <v>16.82</v>
      </c>
      <c r="AK743" s="242" t="s">
        <v>259</v>
      </c>
      <c r="AL743" s="242">
        <v>10.55</v>
      </c>
      <c r="AM743" s="242" t="s">
        <v>259</v>
      </c>
      <c r="AN743" s="242">
        <v>0.39</v>
      </c>
      <c r="AO743" s="242" t="s">
        <v>259</v>
      </c>
      <c r="AP743" s="242">
        <v>10.841810000000001</v>
      </c>
      <c r="AQ743" s="242" t="s">
        <v>259</v>
      </c>
      <c r="AR743" s="242">
        <v>35.909999999999997</v>
      </c>
      <c r="AS743" s="242" t="s">
        <v>252</v>
      </c>
      <c r="AT743" s="242">
        <v>41.33</v>
      </c>
      <c r="AU743" s="242" t="s">
        <v>252</v>
      </c>
      <c r="AV743" s="242">
        <v>44.78152</v>
      </c>
      <c r="AW743" s="157" t="s">
        <v>259</v>
      </c>
      <c r="AX743" s="157">
        <v>1231.9433299999996</v>
      </c>
      <c r="AY743" s="240">
        <v>0.17</v>
      </c>
      <c r="AZ743" s="156" t="s">
        <v>253</v>
      </c>
      <c r="BA743" s="156" t="s">
        <v>254</v>
      </c>
      <c r="BB743" s="156">
        <v>0</v>
      </c>
      <c r="BC743" s="156" t="s">
        <v>1423</v>
      </c>
      <c r="BD743" s="3"/>
    </row>
    <row r="744" spans="1:56" ht="15.75" hidden="1" customHeight="1" outlineLevel="1">
      <c r="A744" s="58">
        <v>734</v>
      </c>
      <c r="B744" s="11">
        <v>129734</v>
      </c>
      <c r="C744" s="89" t="s">
        <v>369</v>
      </c>
      <c r="D744" s="157">
        <v>7</v>
      </c>
      <c r="E744" s="12" t="s">
        <v>191</v>
      </c>
      <c r="F744" s="11" t="s">
        <v>246</v>
      </c>
      <c r="G744" s="18" t="s">
        <v>247</v>
      </c>
      <c r="H744" s="11" t="s">
        <v>248</v>
      </c>
      <c r="I744" s="87" t="s">
        <v>249</v>
      </c>
      <c r="J744" s="19" t="s">
        <v>139</v>
      </c>
      <c r="K744" s="17" t="s">
        <v>140</v>
      </c>
      <c r="L744" s="260">
        <v>1</v>
      </c>
      <c r="M744" s="70" t="s">
        <v>250</v>
      </c>
      <c r="N744" s="70">
        <v>100</v>
      </c>
      <c r="O744" s="258">
        <v>8</v>
      </c>
      <c r="P744" s="70" t="s">
        <v>251</v>
      </c>
      <c r="Q744" s="70" t="s">
        <v>233</v>
      </c>
      <c r="R744" s="70" t="s">
        <v>240</v>
      </c>
      <c r="S744" s="70" t="s">
        <v>233</v>
      </c>
      <c r="T744" s="70" t="s">
        <v>233</v>
      </c>
      <c r="U744" s="70" t="s">
        <v>1427</v>
      </c>
      <c r="V744" s="70" t="s">
        <v>240</v>
      </c>
      <c r="W744" s="12"/>
      <c r="X744" s="242">
        <v>203.71875325803646</v>
      </c>
      <c r="Y744" s="242">
        <v>203.66809730668987</v>
      </c>
      <c r="Z744" s="242">
        <v>29.851941789748047</v>
      </c>
      <c r="AA744" s="157" t="s">
        <v>252</v>
      </c>
      <c r="AB744" s="242">
        <v>19.529817549956558</v>
      </c>
      <c r="AC744" s="157" t="s">
        <v>252</v>
      </c>
      <c r="AD744" s="242">
        <v>25.760499565595136</v>
      </c>
      <c r="AE744" s="157" t="s">
        <v>252</v>
      </c>
      <c r="AF744" s="242">
        <v>16.622945264986967</v>
      </c>
      <c r="AG744" s="157" t="s">
        <v>252</v>
      </c>
      <c r="AH744" s="242">
        <v>6.9008992180712427</v>
      </c>
      <c r="AI744" s="157" t="s">
        <v>252</v>
      </c>
      <c r="AJ744" s="242">
        <v>6.9632450043440492</v>
      </c>
      <c r="AK744" s="242" t="s">
        <v>252</v>
      </c>
      <c r="AL744" s="242">
        <v>6.6982754126846222</v>
      </c>
      <c r="AM744" s="242" t="s">
        <v>252</v>
      </c>
      <c r="AN744" s="242">
        <v>5.6695699391833196</v>
      </c>
      <c r="AO744" s="242" t="s">
        <v>252</v>
      </c>
      <c r="AP744" s="242">
        <v>6.6203431798436139</v>
      </c>
      <c r="AQ744" s="242" t="s">
        <v>252</v>
      </c>
      <c r="AR744" s="242">
        <v>19.958444830582103</v>
      </c>
      <c r="AS744" s="242" t="s">
        <v>252</v>
      </c>
      <c r="AT744" s="242">
        <v>20.585799304952214</v>
      </c>
      <c r="AU744" s="242" t="s">
        <v>252</v>
      </c>
      <c r="AV744" s="242">
        <v>26.224196350999129</v>
      </c>
      <c r="AW744" s="157" t="s">
        <v>252</v>
      </c>
      <c r="AX744" s="157">
        <v>598.77282797567341</v>
      </c>
      <c r="AY744" s="240">
        <v>0.10364986967854041</v>
      </c>
      <c r="AZ744" s="156" t="s">
        <v>253</v>
      </c>
      <c r="BA744" s="156" t="s">
        <v>254</v>
      </c>
      <c r="BB744" s="156">
        <v>1</v>
      </c>
      <c r="BC744" s="156" t="s">
        <v>1423</v>
      </c>
      <c r="BD744" s="3"/>
    </row>
    <row r="745" spans="1:56" ht="15.75" hidden="1" customHeight="1" outlineLevel="1">
      <c r="A745" s="58">
        <v>735</v>
      </c>
      <c r="B745" s="11">
        <v>129735</v>
      </c>
      <c r="C745" s="89" t="s">
        <v>369</v>
      </c>
      <c r="D745" s="157">
        <v>7</v>
      </c>
      <c r="E745" s="12" t="s">
        <v>231</v>
      </c>
      <c r="F745" s="11" t="s">
        <v>246</v>
      </c>
      <c r="G745" s="18" t="s">
        <v>247</v>
      </c>
      <c r="H745" s="11" t="s">
        <v>248</v>
      </c>
      <c r="I745" s="87" t="s">
        <v>249</v>
      </c>
      <c r="J745" s="19" t="s">
        <v>139</v>
      </c>
      <c r="K745" s="17" t="s">
        <v>140</v>
      </c>
      <c r="L745" s="257">
        <v>0</v>
      </c>
      <c r="M745" s="70" t="s">
        <v>250</v>
      </c>
      <c r="N745" s="70">
        <v>100</v>
      </c>
      <c r="O745" s="258">
        <v>8</v>
      </c>
      <c r="P745" s="70" t="s">
        <v>251</v>
      </c>
      <c r="Q745" s="70" t="s">
        <v>233</v>
      </c>
      <c r="R745" s="70" t="s">
        <v>240</v>
      </c>
      <c r="S745" s="70" t="s">
        <v>233</v>
      </c>
      <c r="T745" s="70" t="s">
        <v>233</v>
      </c>
      <c r="U745" s="70" t="s">
        <v>1427</v>
      </c>
      <c r="V745" s="70" t="s">
        <v>240</v>
      </c>
      <c r="W745" s="12"/>
      <c r="X745" s="242">
        <v>295.24456993918329</v>
      </c>
      <c r="Y745" s="242">
        <v>295.17115551694184</v>
      </c>
      <c r="Z745" s="242">
        <v>43.263683753258043</v>
      </c>
      <c r="AA745" s="157" t="s">
        <v>252</v>
      </c>
      <c r="AB745" s="242">
        <v>28.304083405734143</v>
      </c>
      <c r="AC745" s="157" t="s">
        <v>252</v>
      </c>
      <c r="AD745" s="242">
        <v>37.334057341442225</v>
      </c>
      <c r="AE745" s="157" t="s">
        <v>252</v>
      </c>
      <c r="AF745" s="242">
        <v>24.091225021720245</v>
      </c>
      <c r="AG745" s="157" t="s">
        <v>252</v>
      </c>
      <c r="AH745" s="242">
        <v>10.001303214596005</v>
      </c>
      <c r="AI745" s="157" t="s">
        <v>252</v>
      </c>
      <c r="AJ745" s="242">
        <v>10.091659426585579</v>
      </c>
      <c r="AK745" s="242" t="s">
        <v>252</v>
      </c>
      <c r="AL745" s="242">
        <v>9.7076455256298892</v>
      </c>
      <c r="AM745" s="242" t="s">
        <v>252</v>
      </c>
      <c r="AN745" s="242">
        <v>8.216768027801912</v>
      </c>
      <c r="AO745" s="242" t="s">
        <v>252</v>
      </c>
      <c r="AP745" s="242">
        <v>9.5947002606429184</v>
      </c>
      <c r="AQ745" s="242" t="s">
        <v>252</v>
      </c>
      <c r="AR745" s="242">
        <v>28.92528236316247</v>
      </c>
      <c r="AS745" s="242" t="s">
        <v>252</v>
      </c>
      <c r="AT745" s="242">
        <v>29.83449174630756</v>
      </c>
      <c r="AU745" s="242" t="s">
        <v>252</v>
      </c>
      <c r="AV745" s="242">
        <v>38.006081668114682</v>
      </c>
      <c r="AW745" s="157" t="s">
        <v>252</v>
      </c>
      <c r="AX745" s="157">
        <v>867.78670721112064</v>
      </c>
      <c r="AY745" s="243">
        <v>0.15021720243266726</v>
      </c>
      <c r="AZ745" s="156" t="s">
        <v>253</v>
      </c>
      <c r="BA745" s="156" t="s">
        <v>254</v>
      </c>
      <c r="BB745" s="156">
        <v>0</v>
      </c>
      <c r="BC745" s="156" t="s">
        <v>1423</v>
      </c>
      <c r="BD745" s="3"/>
    </row>
    <row r="746" spans="1:56" ht="15.75" hidden="1" customHeight="1" outlineLevel="1">
      <c r="A746" s="58">
        <v>736</v>
      </c>
      <c r="B746" s="11">
        <v>129736</v>
      </c>
      <c r="C746" s="89" t="s">
        <v>369</v>
      </c>
      <c r="D746" s="157">
        <v>7</v>
      </c>
      <c r="E746" s="12" t="s">
        <v>261</v>
      </c>
      <c r="F746" s="11" t="s">
        <v>246</v>
      </c>
      <c r="G746" s="18" t="s">
        <v>247</v>
      </c>
      <c r="H746" s="11" t="s">
        <v>248</v>
      </c>
      <c r="I746" s="87" t="s">
        <v>249</v>
      </c>
      <c r="J746" s="19" t="s">
        <v>139</v>
      </c>
      <c r="K746" s="17" t="s">
        <v>140</v>
      </c>
      <c r="L746" s="257">
        <v>0</v>
      </c>
      <c r="M746" s="70" t="s">
        <v>250</v>
      </c>
      <c r="N746" s="70">
        <v>100</v>
      </c>
      <c r="O746" s="258">
        <v>8</v>
      </c>
      <c r="P746" s="70" t="s">
        <v>251</v>
      </c>
      <c r="Q746" s="70" t="s">
        <v>233</v>
      </c>
      <c r="R746" s="70" t="s">
        <v>240</v>
      </c>
      <c r="S746" s="70" t="s">
        <v>233</v>
      </c>
      <c r="T746" s="70" t="s">
        <v>233</v>
      </c>
      <c r="U746" s="70" t="s">
        <v>1427</v>
      </c>
      <c r="V746" s="70" t="s">
        <v>240</v>
      </c>
      <c r="W746" s="12"/>
      <c r="X746" s="242">
        <v>23.846676802780191</v>
      </c>
      <c r="Y746" s="242">
        <v>23.840747176368378</v>
      </c>
      <c r="Z746" s="242">
        <v>3.4943744569939184</v>
      </c>
      <c r="AA746" s="157" t="s">
        <v>252</v>
      </c>
      <c r="AB746" s="242">
        <v>2.2860990443092963</v>
      </c>
      <c r="AC746" s="157" t="s">
        <v>252</v>
      </c>
      <c r="AD746" s="242">
        <v>3.0154430929626415</v>
      </c>
      <c r="AE746" s="157" t="s">
        <v>252</v>
      </c>
      <c r="AF746" s="242">
        <v>1.9458297132927889</v>
      </c>
      <c r="AG746" s="157" t="s">
        <v>252</v>
      </c>
      <c r="AH746" s="242">
        <v>0.80779756733275421</v>
      </c>
      <c r="AI746" s="157" t="s">
        <v>252</v>
      </c>
      <c r="AJ746" s="242">
        <v>0.81509556907037373</v>
      </c>
      <c r="AK746" s="242" t="s">
        <v>252</v>
      </c>
      <c r="AL746" s="242">
        <v>0.78407906168549102</v>
      </c>
      <c r="AM746" s="242" t="s">
        <v>252</v>
      </c>
      <c r="AN746" s="242">
        <v>0.66366203301476978</v>
      </c>
      <c r="AO746" s="242" t="s">
        <v>252</v>
      </c>
      <c r="AP746" s="242">
        <v>0.77495655951346654</v>
      </c>
      <c r="AQ746" s="242" t="s">
        <v>252</v>
      </c>
      <c r="AR746" s="242">
        <v>2.3362728062554301</v>
      </c>
      <c r="AS746" s="242" t="s">
        <v>252</v>
      </c>
      <c r="AT746" s="242">
        <v>2.4097089487402261</v>
      </c>
      <c r="AU746" s="242" t="s">
        <v>252</v>
      </c>
      <c r="AV746" s="242">
        <v>3.069721980886186</v>
      </c>
      <c r="AW746" s="157" t="s">
        <v>252</v>
      </c>
      <c r="AX746" s="157">
        <v>70.090464813205912</v>
      </c>
      <c r="AY746" s="243">
        <v>1.2132927888792356E-2</v>
      </c>
      <c r="AZ746" s="156" t="s">
        <v>253</v>
      </c>
      <c r="BA746" s="156" t="s">
        <v>254</v>
      </c>
      <c r="BB746" s="156">
        <v>0</v>
      </c>
      <c r="BC746" s="156" t="s">
        <v>1423</v>
      </c>
      <c r="BD746" s="3"/>
    </row>
    <row r="747" spans="1:56" ht="15.75" hidden="1" customHeight="1" outlineLevel="1">
      <c r="A747" s="58">
        <v>737</v>
      </c>
      <c r="B747" s="11">
        <v>129737</v>
      </c>
      <c r="C747" s="89" t="s">
        <v>369</v>
      </c>
      <c r="D747" s="157">
        <v>8</v>
      </c>
      <c r="E747" s="12" t="s">
        <v>191</v>
      </c>
      <c r="F747" s="11" t="s">
        <v>246</v>
      </c>
      <c r="G747" s="18" t="s">
        <v>247</v>
      </c>
      <c r="H747" s="11" t="s">
        <v>248</v>
      </c>
      <c r="I747" s="87" t="s">
        <v>249</v>
      </c>
      <c r="J747" s="19" t="s">
        <v>139</v>
      </c>
      <c r="K747" s="17" t="s">
        <v>140</v>
      </c>
      <c r="L747" s="260">
        <v>1</v>
      </c>
      <c r="M747" s="70" t="s">
        <v>250</v>
      </c>
      <c r="N747" s="70">
        <v>80</v>
      </c>
      <c r="O747" s="258">
        <v>8</v>
      </c>
      <c r="P747" s="70" t="s">
        <v>251</v>
      </c>
      <c r="Q747" s="70" t="s">
        <v>240</v>
      </c>
      <c r="R747" s="70" t="s">
        <v>240</v>
      </c>
      <c r="S747" s="70" t="s">
        <v>233</v>
      </c>
      <c r="T747" s="70" t="s">
        <v>233</v>
      </c>
      <c r="U747" s="70" t="s">
        <v>1427</v>
      </c>
      <c r="V747" s="70" t="s">
        <v>240</v>
      </c>
      <c r="W747" s="12"/>
      <c r="X747" s="242">
        <v>993.32760903185908</v>
      </c>
      <c r="Y747" s="242">
        <v>519.67124033405503</v>
      </c>
      <c r="Z747" s="242">
        <v>108.10848128673059</v>
      </c>
      <c r="AA747" s="157" t="s">
        <v>252</v>
      </c>
      <c r="AB747" s="242">
        <v>80.582740488710172</v>
      </c>
      <c r="AC747" s="157" t="s">
        <v>252</v>
      </c>
      <c r="AD747" s="242">
        <v>80.582740488710172</v>
      </c>
      <c r="AE747" s="157" t="s">
        <v>252</v>
      </c>
      <c r="AF747" s="242">
        <v>80.582740488710172</v>
      </c>
      <c r="AG747" s="157" t="s">
        <v>252</v>
      </c>
      <c r="AH747" s="242">
        <v>80.582740488710172</v>
      </c>
      <c r="AI747" s="157" t="s">
        <v>252</v>
      </c>
      <c r="AJ747" s="242">
        <v>16.920012372409527</v>
      </c>
      <c r="AK747" s="242" t="s">
        <v>252</v>
      </c>
      <c r="AL747" s="242">
        <v>0</v>
      </c>
      <c r="AM747" s="242" t="s">
        <v>252</v>
      </c>
      <c r="AN747" s="242">
        <v>0</v>
      </c>
      <c r="AO747" s="242" t="s">
        <v>252</v>
      </c>
      <c r="AP747" s="242">
        <v>0</v>
      </c>
      <c r="AQ747" s="242" t="s">
        <v>252</v>
      </c>
      <c r="AR747" s="242">
        <v>63.199554593257034</v>
      </c>
      <c r="AS747" s="242" t="s">
        <v>252</v>
      </c>
      <c r="AT747" s="242">
        <v>74.107763686978046</v>
      </c>
      <c r="AU747" s="242" t="s">
        <v>252</v>
      </c>
      <c r="AV747" s="242">
        <v>94.184918032786882</v>
      </c>
      <c r="AW747" s="157" t="s">
        <v>252</v>
      </c>
      <c r="AX747" s="157">
        <v>2191.8505412929171</v>
      </c>
      <c r="AY747" s="240">
        <v>0.29302814723167336</v>
      </c>
      <c r="AZ747" s="156" t="s">
        <v>253</v>
      </c>
      <c r="BA747" s="156" t="s">
        <v>254</v>
      </c>
      <c r="BB747" s="156">
        <v>1</v>
      </c>
      <c r="BC747" s="156" t="s">
        <v>1423</v>
      </c>
      <c r="BD747" s="3"/>
    </row>
    <row r="748" spans="1:56" ht="15.75" hidden="1" customHeight="1" outlineLevel="1">
      <c r="A748" s="58">
        <v>738</v>
      </c>
      <c r="B748" s="11">
        <v>129738</v>
      </c>
      <c r="C748" s="89" t="s">
        <v>369</v>
      </c>
      <c r="D748" s="157">
        <v>8</v>
      </c>
      <c r="E748" s="12" t="s">
        <v>260</v>
      </c>
      <c r="F748" s="11" t="s">
        <v>246</v>
      </c>
      <c r="G748" s="18" t="s">
        <v>247</v>
      </c>
      <c r="H748" s="11" t="s">
        <v>248</v>
      </c>
      <c r="I748" s="87" t="s">
        <v>249</v>
      </c>
      <c r="J748" s="19" t="s">
        <v>139</v>
      </c>
      <c r="K748" s="17" t="s">
        <v>140</v>
      </c>
      <c r="L748" s="257">
        <v>0</v>
      </c>
      <c r="M748" s="70" t="s">
        <v>250</v>
      </c>
      <c r="N748" s="70">
        <v>80</v>
      </c>
      <c r="O748" s="258">
        <v>8</v>
      </c>
      <c r="P748" s="70" t="s">
        <v>251</v>
      </c>
      <c r="Q748" s="70" t="s">
        <v>240</v>
      </c>
      <c r="R748" s="70" t="s">
        <v>240</v>
      </c>
      <c r="S748" s="70" t="s">
        <v>233</v>
      </c>
      <c r="T748" s="70" t="s">
        <v>233</v>
      </c>
      <c r="U748" s="70" t="s">
        <v>1427</v>
      </c>
      <c r="V748" s="70" t="s">
        <v>240</v>
      </c>
      <c r="W748" s="12"/>
      <c r="X748" s="242">
        <v>57.532390968141051</v>
      </c>
      <c r="Y748" s="242">
        <v>30.098759665944939</v>
      </c>
      <c r="Z748" s="242">
        <v>6.2615187132694095</v>
      </c>
      <c r="AA748" s="157" t="s">
        <v>252</v>
      </c>
      <c r="AB748" s="242">
        <v>4.6672595112898234</v>
      </c>
      <c r="AC748" s="157" t="s">
        <v>252</v>
      </c>
      <c r="AD748" s="242">
        <v>4.6672595112898234</v>
      </c>
      <c r="AE748" s="157" t="s">
        <v>252</v>
      </c>
      <c r="AF748" s="242">
        <v>4.6672595112898234</v>
      </c>
      <c r="AG748" s="157" t="s">
        <v>252</v>
      </c>
      <c r="AH748" s="242">
        <v>4.6672595112898234</v>
      </c>
      <c r="AI748" s="157" t="s">
        <v>252</v>
      </c>
      <c r="AJ748" s="242">
        <v>0.97998762759047309</v>
      </c>
      <c r="AK748" s="242" t="s">
        <v>252</v>
      </c>
      <c r="AL748" s="242">
        <v>0</v>
      </c>
      <c r="AM748" s="242" t="s">
        <v>252</v>
      </c>
      <c r="AN748" s="242">
        <v>0</v>
      </c>
      <c r="AO748" s="242" t="s">
        <v>252</v>
      </c>
      <c r="AP748" s="242">
        <v>0</v>
      </c>
      <c r="AQ748" s="242" t="s">
        <v>252</v>
      </c>
      <c r="AR748" s="242">
        <v>3.660445406742963</v>
      </c>
      <c r="AS748" s="242" t="s">
        <v>252</v>
      </c>
      <c r="AT748" s="242">
        <v>4.2922363130219612</v>
      </c>
      <c r="AU748" s="242" t="s">
        <v>252</v>
      </c>
      <c r="AV748" s="242">
        <v>5.4550819672131148</v>
      </c>
      <c r="AW748" s="157" t="s">
        <v>252</v>
      </c>
      <c r="AX748" s="157">
        <v>126.94945870708324</v>
      </c>
      <c r="AY748" s="243">
        <v>1.6971852768326631E-2</v>
      </c>
      <c r="AZ748" s="156" t="s">
        <v>253</v>
      </c>
      <c r="BA748" s="156" t="s">
        <v>254</v>
      </c>
      <c r="BB748" s="156">
        <v>0</v>
      </c>
      <c r="BC748" s="156" t="s">
        <v>1423</v>
      </c>
      <c r="BD748" s="3"/>
    </row>
    <row r="749" spans="1:56" ht="15.75" hidden="1" customHeight="1" outlineLevel="1">
      <c r="A749" s="58">
        <v>739</v>
      </c>
      <c r="B749" s="11">
        <v>129739</v>
      </c>
      <c r="C749" s="89" t="s">
        <v>369</v>
      </c>
      <c r="D749" s="157" t="s">
        <v>230</v>
      </c>
      <c r="E749" s="12" t="s">
        <v>191</v>
      </c>
      <c r="F749" s="11" t="s">
        <v>246</v>
      </c>
      <c r="G749" s="18" t="s">
        <v>247</v>
      </c>
      <c r="H749" s="11" t="s">
        <v>248</v>
      </c>
      <c r="I749" s="87" t="s">
        <v>249</v>
      </c>
      <c r="J749" s="19" t="s">
        <v>139</v>
      </c>
      <c r="K749" s="17" t="s">
        <v>140</v>
      </c>
      <c r="L749" s="257">
        <v>0</v>
      </c>
      <c r="M749" s="70" t="s">
        <v>250</v>
      </c>
      <c r="N749" s="70">
        <v>80</v>
      </c>
      <c r="O749" s="258">
        <v>8</v>
      </c>
      <c r="P749" s="70" t="s">
        <v>251</v>
      </c>
      <c r="Q749" s="70" t="s">
        <v>233</v>
      </c>
      <c r="R749" s="70" t="s">
        <v>240</v>
      </c>
      <c r="S749" s="70" t="s">
        <v>233</v>
      </c>
      <c r="T749" s="70" t="s">
        <v>233</v>
      </c>
      <c r="U749" s="70" t="s">
        <v>1427</v>
      </c>
      <c r="V749" s="70" t="s">
        <v>240</v>
      </c>
      <c r="W749" s="12"/>
      <c r="X749" s="242">
        <v>562.52</v>
      </c>
      <c r="Y749" s="242">
        <v>506.11000000000007</v>
      </c>
      <c r="Z749" s="242">
        <v>74.52</v>
      </c>
      <c r="AA749" s="157" t="s">
        <v>252</v>
      </c>
      <c r="AB749" s="242">
        <v>51.36</v>
      </c>
      <c r="AC749" s="157" t="s">
        <v>259</v>
      </c>
      <c r="AD749" s="242">
        <v>51.44</v>
      </c>
      <c r="AE749" s="157" t="s">
        <v>259</v>
      </c>
      <c r="AF749" s="242">
        <v>51.53</v>
      </c>
      <c r="AG749" s="157" t="s">
        <v>259</v>
      </c>
      <c r="AH749" s="242">
        <v>51.59</v>
      </c>
      <c r="AI749" s="157" t="s">
        <v>259</v>
      </c>
      <c r="AJ749" s="242">
        <v>8.1632999999999996</v>
      </c>
      <c r="AK749" s="242" t="s">
        <v>259</v>
      </c>
      <c r="AL749" s="242">
        <v>8.1632999999999996</v>
      </c>
      <c r="AM749" s="242" t="s">
        <v>259</v>
      </c>
      <c r="AN749" s="242">
        <v>8.1632999999999996</v>
      </c>
      <c r="AO749" s="242" t="s">
        <v>259</v>
      </c>
      <c r="AP749" s="242">
        <v>14.71087</v>
      </c>
      <c r="AQ749" s="242" t="s">
        <v>259</v>
      </c>
      <c r="AR749" s="242">
        <v>71.400000000000006</v>
      </c>
      <c r="AS749" s="242" t="s">
        <v>259</v>
      </c>
      <c r="AT749" s="242">
        <v>45.353909999999999</v>
      </c>
      <c r="AU749" s="242" t="s">
        <v>259</v>
      </c>
      <c r="AV749" s="242">
        <v>45.45</v>
      </c>
      <c r="AW749" s="157" t="s">
        <v>259</v>
      </c>
      <c r="AX749" s="157">
        <v>1550.4746799999998</v>
      </c>
      <c r="AY749" s="240">
        <v>0.26500000000000001</v>
      </c>
      <c r="AZ749" s="156" t="s">
        <v>253</v>
      </c>
      <c r="BA749" s="156" t="s">
        <v>254</v>
      </c>
      <c r="BB749" s="156">
        <v>0</v>
      </c>
      <c r="BC749" s="156" t="s">
        <v>1423</v>
      </c>
      <c r="BD749" s="3"/>
    </row>
    <row r="750" spans="1:56" ht="15.75" hidden="1" customHeight="1" outlineLevel="1">
      <c r="A750" s="58">
        <v>740</v>
      </c>
      <c r="B750" s="11">
        <v>129740</v>
      </c>
      <c r="C750" s="89" t="s">
        <v>371</v>
      </c>
      <c r="D750" s="157">
        <v>10</v>
      </c>
      <c r="E750" s="12" t="s">
        <v>191</v>
      </c>
      <c r="F750" s="11" t="s">
        <v>246</v>
      </c>
      <c r="G750" s="18" t="s">
        <v>247</v>
      </c>
      <c r="H750" s="11" t="s">
        <v>248</v>
      </c>
      <c r="I750" s="87" t="s">
        <v>249</v>
      </c>
      <c r="J750" s="19" t="s">
        <v>139</v>
      </c>
      <c r="K750" s="17" t="s">
        <v>140</v>
      </c>
      <c r="L750" s="260">
        <v>1</v>
      </c>
      <c r="M750" s="70" t="s">
        <v>250</v>
      </c>
      <c r="N750" s="70">
        <v>100</v>
      </c>
      <c r="O750" s="258">
        <v>8</v>
      </c>
      <c r="P750" s="70" t="s">
        <v>251</v>
      </c>
      <c r="Q750" s="70" t="s">
        <v>233</v>
      </c>
      <c r="R750" s="70" t="s">
        <v>240</v>
      </c>
      <c r="S750" s="70" t="s">
        <v>233</v>
      </c>
      <c r="T750" s="70" t="s">
        <v>233</v>
      </c>
      <c r="U750" s="70" t="s">
        <v>1427</v>
      </c>
      <c r="V750" s="70" t="s">
        <v>240</v>
      </c>
      <c r="W750" s="12"/>
      <c r="X750" s="242">
        <v>639.47</v>
      </c>
      <c r="Y750" s="242">
        <v>631.82999999999993</v>
      </c>
      <c r="Z750" s="242">
        <v>114.75</v>
      </c>
      <c r="AA750" s="157" t="s">
        <v>252</v>
      </c>
      <c r="AB750" s="242">
        <v>67.239999999999995</v>
      </c>
      <c r="AC750" s="157" t="s">
        <v>252</v>
      </c>
      <c r="AD750" s="242">
        <v>77.489999999999995</v>
      </c>
      <c r="AE750" s="157" t="s">
        <v>252</v>
      </c>
      <c r="AF750" s="242">
        <v>58.47</v>
      </c>
      <c r="AG750" s="157" t="s">
        <v>252</v>
      </c>
      <c r="AH750" s="242">
        <v>20.21</v>
      </c>
      <c r="AI750" s="157" t="s">
        <v>252</v>
      </c>
      <c r="AJ750" s="242">
        <v>9.7899999999999991</v>
      </c>
      <c r="AK750" s="242" t="s">
        <v>252</v>
      </c>
      <c r="AL750" s="242">
        <v>7.4</v>
      </c>
      <c r="AM750" s="242" t="s">
        <v>252</v>
      </c>
      <c r="AN750" s="242">
        <v>8.0500000000000007</v>
      </c>
      <c r="AO750" s="242" t="s">
        <v>252</v>
      </c>
      <c r="AP750" s="242">
        <v>13.97</v>
      </c>
      <c r="AQ750" s="242" t="s">
        <v>252</v>
      </c>
      <c r="AR750" s="242">
        <v>62.72</v>
      </c>
      <c r="AS750" s="242" t="s">
        <v>252</v>
      </c>
      <c r="AT750" s="242">
        <v>60.9</v>
      </c>
      <c r="AU750" s="242" t="s">
        <v>252</v>
      </c>
      <c r="AV750" s="242">
        <v>65.77</v>
      </c>
      <c r="AW750" s="157" t="s">
        <v>252</v>
      </c>
      <c r="AX750" s="157">
        <v>1838.0600000000002</v>
      </c>
      <c r="AY750" s="240">
        <v>0.28999999999999998</v>
      </c>
      <c r="AZ750" s="156" t="s">
        <v>253</v>
      </c>
      <c r="BA750" s="156" t="s">
        <v>254</v>
      </c>
      <c r="BB750" s="156">
        <v>1</v>
      </c>
      <c r="BC750" s="156" t="s">
        <v>1423</v>
      </c>
      <c r="BD750" s="3"/>
    </row>
    <row r="751" spans="1:56" ht="15.75" hidden="1" customHeight="1" outlineLevel="1">
      <c r="A751" s="58">
        <v>741</v>
      </c>
      <c r="B751" s="11">
        <v>129741</v>
      </c>
      <c r="C751" s="89" t="s">
        <v>371</v>
      </c>
      <c r="D751" s="157">
        <v>12</v>
      </c>
      <c r="E751" s="12" t="s">
        <v>191</v>
      </c>
      <c r="F751" s="11" t="s">
        <v>246</v>
      </c>
      <c r="G751" s="18" t="s">
        <v>247</v>
      </c>
      <c r="H751" s="11" t="s">
        <v>248</v>
      </c>
      <c r="I751" s="87" t="s">
        <v>249</v>
      </c>
      <c r="J751" s="19" t="s">
        <v>139</v>
      </c>
      <c r="K751" s="17" t="s">
        <v>140</v>
      </c>
      <c r="L751" s="257">
        <v>0</v>
      </c>
      <c r="M751" s="70" t="s">
        <v>250</v>
      </c>
      <c r="N751" s="70">
        <v>100</v>
      </c>
      <c r="O751" s="258">
        <v>8</v>
      </c>
      <c r="P751" s="70" t="s">
        <v>251</v>
      </c>
      <c r="Q751" s="70" t="s">
        <v>233</v>
      </c>
      <c r="R751" s="70" t="s">
        <v>240</v>
      </c>
      <c r="S751" s="70" t="s">
        <v>233</v>
      </c>
      <c r="T751" s="70" t="s">
        <v>233</v>
      </c>
      <c r="U751" s="70" t="s">
        <v>1427</v>
      </c>
      <c r="V751" s="70" t="s">
        <v>240</v>
      </c>
      <c r="W751" s="12"/>
      <c r="X751" s="242">
        <v>194.96</v>
      </c>
      <c r="Y751" s="242">
        <v>210.1</v>
      </c>
      <c r="Z751" s="242">
        <v>41.5</v>
      </c>
      <c r="AA751" s="157" t="s">
        <v>252</v>
      </c>
      <c r="AB751" s="242">
        <v>27.79</v>
      </c>
      <c r="AC751" s="157" t="s">
        <v>252</v>
      </c>
      <c r="AD751" s="242">
        <v>34.99</v>
      </c>
      <c r="AE751" s="157" t="s">
        <v>252</v>
      </c>
      <c r="AF751" s="242">
        <v>24.49</v>
      </c>
      <c r="AG751" s="157" t="s">
        <v>252</v>
      </c>
      <c r="AH751" s="242">
        <v>10.92</v>
      </c>
      <c r="AI751" s="157" t="s">
        <v>252</v>
      </c>
      <c r="AJ751" s="242">
        <v>2.02</v>
      </c>
      <c r="AK751" s="242" t="s">
        <v>252</v>
      </c>
      <c r="AL751" s="242">
        <v>1.65</v>
      </c>
      <c r="AM751" s="242" t="s">
        <v>252</v>
      </c>
      <c r="AN751" s="242">
        <v>2.23</v>
      </c>
      <c r="AO751" s="242" t="s">
        <v>252</v>
      </c>
      <c r="AP751" s="242">
        <v>2.37</v>
      </c>
      <c r="AQ751" s="242" t="s">
        <v>252</v>
      </c>
      <c r="AR751" s="242">
        <v>23.36</v>
      </c>
      <c r="AS751" s="242" t="s">
        <v>252</v>
      </c>
      <c r="AT751" s="242">
        <v>22.5</v>
      </c>
      <c r="AU751" s="242" t="s">
        <v>252</v>
      </c>
      <c r="AV751" s="242">
        <v>24.54</v>
      </c>
      <c r="AW751" s="157" t="s">
        <v>252</v>
      </c>
      <c r="AX751" s="157">
        <v>623.41999999999996</v>
      </c>
      <c r="AY751" s="240">
        <v>0.09</v>
      </c>
      <c r="AZ751" s="156" t="s">
        <v>253</v>
      </c>
      <c r="BA751" s="156" t="s">
        <v>254</v>
      </c>
      <c r="BB751" s="156">
        <v>0</v>
      </c>
      <c r="BC751" s="156" t="s">
        <v>1423</v>
      </c>
      <c r="BD751" s="3"/>
    </row>
    <row r="752" spans="1:56" ht="15.75" hidden="1" customHeight="1" outlineLevel="1">
      <c r="A752" s="58">
        <v>742</v>
      </c>
      <c r="B752" s="11">
        <v>129742</v>
      </c>
      <c r="C752" s="89" t="s">
        <v>371</v>
      </c>
      <c r="D752" s="157">
        <v>14</v>
      </c>
      <c r="E752" s="12" t="s">
        <v>191</v>
      </c>
      <c r="F752" s="11" t="s">
        <v>246</v>
      </c>
      <c r="G752" s="18" t="s">
        <v>247</v>
      </c>
      <c r="H752" s="11" t="s">
        <v>248</v>
      </c>
      <c r="I752" s="87" t="s">
        <v>249</v>
      </c>
      <c r="J752" s="19" t="s">
        <v>139</v>
      </c>
      <c r="K752" s="17" t="s">
        <v>140</v>
      </c>
      <c r="L752" s="260">
        <v>1</v>
      </c>
      <c r="M752" s="70" t="s">
        <v>250</v>
      </c>
      <c r="N752" s="70">
        <v>100</v>
      </c>
      <c r="O752" s="258">
        <v>8</v>
      </c>
      <c r="P752" s="70" t="s">
        <v>251</v>
      </c>
      <c r="Q752" s="70" t="s">
        <v>233</v>
      </c>
      <c r="R752" s="70" t="s">
        <v>240</v>
      </c>
      <c r="S752" s="70" t="s">
        <v>233</v>
      </c>
      <c r="T752" s="70" t="s">
        <v>233</v>
      </c>
      <c r="U752" s="70" t="s">
        <v>1427</v>
      </c>
      <c r="V752" s="70" t="s">
        <v>240</v>
      </c>
      <c r="W752" s="12"/>
      <c r="X752" s="242">
        <v>635.17999999999995</v>
      </c>
      <c r="Y752" s="242">
        <v>666.00000000000011</v>
      </c>
      <c r="Z752" s="242">
        <v>127.88</v>
      </c>
      <c r="AA752" s="157" t="s">
        <v>252</v>
      </c>
      <c r="AB752" s="242">
        <v>85.37</v>
      </c>
      <c r="AC752" s="157" t="s">
        <v>252</v>
      </c>
      <c r="AD752" s="242">
        <v>107.67</v>
      </c>
      <c r="AE752" s="157" t="s">
        <v>252</v>
      </c>
      <c r="AF752" s="242">
        <v>75.540000000000006</v>
      </c>
      <c r="AG752" s="157" t="s">
        <v>252</v>
      </c>
      <c r="AH752" s="242">
        <v>32.96</v>
      </c>
      <c r="AI752" s="157" t="s">
        <v>252</v>
      </c>
      <c r="AJ752" s="242">
        <v>11.32</v>
      </c>
      <c r="AK752" s="242" t="s">
        <v>252</v>
      </c>
      <c r="AL752" s="242">
        <v>16.91</v>
      </c>
      <c r="AM752" s="242" t="s">
        <v>252</v>
      </c>
      <c r="AN752" s="242">
        <v>12.39</v>
      </c>
      <c r="AO752" s="242" t="s">
        <v>252</v>
      </c>
      <c r="AP752" s="242">
        <v>12.99</v>
      </c>
      <c r="AQ752" s="242" t="s">
        <v>252</v>
      </c>
      <c r="AR752" s="242">
        <v>70.47</v>
      </c>
      <c r="AS752" s="242" t="s">
        <v>252</v>
      </c>
      <c r="AT752" s="242">
        <v>68.099999999999994</v>
      </c>
      <c r="AU752" s="242" t="s">
        <v>252</v>
      </c>
      <c r="AV752" s="242">
        <v>75.42</v>
      </c>
      <c r="AW752" s="157" t="s">
        <v>252</v>
      </c>
      <c r="AX752" s="157">
        <v>1998.2</v>
      </c>
      <c r="AY752" s="240">
        <v>0.28000000000000003</v>
      </c>
      <c r="AZ752" s="156" t="s">
        <v>253</v>
      </c>
      <c r="BA752" s="156" t="s">
        <v>254</v>
      </c>
      <c r="BB752" s="156">
        <v>1</v>
      </c>
      <c r="BC752" s="156" t="s">
        <v>1423</v>
      </c>
      <c r="BD752" s="3"/>
    </row>
    <row r="753" spans="1:56" ht="15.75" hidden="1" customHeight="1" outlineLevel="1">
      <c r="A753" s="58">
        <v>743</v>
      </c>
      <c r="B753" s="11">
        <v>129743</v>
      </c>
      <c r="C753" s="89" t="s">
        <v>371</v>
      </c>
      <c r="D753" s="157">
        <v>16</v>
      </c>
      <c r="E753" s="12" t="s">
        <v>191</v>
      </c>
      <c r="F753" s="11" t="s">
        <v>246</v>
      </c>
      <c r="G753" s="18" t="s">
        <v>247</v>
      </c>
      <c r="H753" s="11" t="s">
        <v>248</v>
      </c>
      <c r="I753" s="87" t="s">
        <v>249</v>
      </c>
      <c r="J753" s="19" t="s">
        <v>139</v>
      </c>
      <c r="K753" s="17" t="s">
        <v>140</v>
      </c>
      <c r="L753" s="257">
        <v>0</v>
      </c>
      <c r="M753" s="70" t="s">
        <v>250</v>
      </c>
      <c r="N753" s="70">
        <v>80</v>
      </c>
      <c r="O753" s="258">
        <v>8</v>
      </c>
      <c r="P753" s="70" t="s">
        <v>251</v>
      </c>
      <c r="Q753" s="70" t="s">
        <v>233</v>
      </c>
      <c r="R753" s="70" t="s">
        <v>240</v>
      </c>
      <c r="S753" s="70" t="s">
        <v>233</v>
      </c>
      <c r="T753" s="70" t="s">
        <v>233</v>
      </c>
      <c r="U753" s="70" t="s">
        <v>1427</v>
      </c>
      <c r="V753" s="70" t="s">
        <v>240</v>
      </c>
      <c r="W753" s="12"/>
      <c r="X753" s="242">
        <v>874.62</v>
      </c>
      <c r="Y753" s="242">
        <v>715.7299999999999</v>
      </c>
      <c r="Z753" s="242">
        <v>162</v>
      </c>
      <c r="AA753" s="157" t="s">
        <v>252</v>
      </c>
      <c r="AB753" s="242">
        <v>108.45</v>
      </c>
      <c r="AC753" s="157" t="s">
        <v>252</v>
      </c>
      <c r="AD753" s="242">
        <v>127.74</v>
      </c>
      <c r="AE753" s="157" t="s">
        <v>252</v>
      </c>
      <c r="AF753" s="242">
        <v>79.650000000000006</v>
      </c>
      <c r="AG753" s="157" t="s">
        <v>252</v>
      </c>
      <c r="AH753" s="242">
        <v>3</v>
      </c>
      <c r="AI753" s="157" t="s">
        <v>252</v>
      </c>
      <c r="AJ753" s="242">
        <v>13.42</v>
      </c>
      <c r="AK753" s="242" t="s">
        <v>252</v>
      </c>
      <c r="AL753" s="242">
        <v>11.51</v>
      </c>
      <c r="AM753" s="242" t="s">
        <v>252</v>
      </c>
      <c r="AN753" s="242">
        <v>5.97</v>
      </c>
      <c r="AO753" s="242" t="s">
        <v>252</v>
      </c>
      <c r="AP753" s="242">
        <v>11.1</v>
      </c>
      <c r="AQ753" s="242" t="s">
        <v>252</v>
      </c>
      <c r="AR753" s="242">
        <v>105.43</v>
      </c>
      <c r="AS753" s="242" t="s">
        <v>252</v>
      </c>
      <c r="AT753" s="242">
        <v>90.15</v>
      </c>
      <c r="AU753" s="242" t="s">
        <v>252</v>
      </c>
      <c r="AV753" s="242">
        <v>117.14</v>
      </c>
      <c r="AW753" s="157" t="s">
        <v>252</v>
      </c>
      <c r="AX753" s="157">
        <v>2425.91</v>
      </c>
      <c r="AY753" s="240">
        <v>0.36</v>
      </c>
      <c r="AZ753" s="156" t="s">
        <v>253</v>
      </c>
      <c r="BA753" s="156" t="s">
        <v>254</v>
      </c>
      <c r="BB753" s="156">
        <v>0</v>
      </c>
      <c r="BC753" s="156" t="s">
        <v>1423</v>
      </c>
      <c r="BD753" s="3"/>
    </row>
    <row r="754" spans="1:56" ht="15.75" hidden="1" customHeight="1" outlineLevel="1">
      <c r="A754" s="58">
        <v>744</v>
      </c>
      <c r="B754" s="11">
        <v>129744</v>
      </c>
      <c r="C754" s="89" t="s">
        <v>371</v>
      </c>
      <c r="D754" s="157">
        <v>18</v>
      </c>
      <c r="E754" s="12" t="s">
        <v>191</v>
      </c>
      <c r="F754" s="11" t="s">
        <v>246</v>
      </c>
      <c r="G754" s="18" t="s">
        <v>247</v>
      </c>
      <c r="H754" s="11" t="s">
        <v>248</v>
      </c>
      <c r="I754" s="87" t="s">
        <v>249</v>
      </c>
      <c r="J754" s="19" t="s">
        <v>139</v>
      </c>
      <c r="K754" s="17" t="s">
        <v>140</v>
      </c>
      <c r="L754" s="260">
        <v>1</v>
      </c>
      <c r="M754" s="70" t="s">
        <v>250</v>
      </c>
      <c r="N754" s="70">
        <v>80</v>
      </c>
      <c r="O754" s="258">
        <v>8</v>
      </c>
      <c r="P754" s="70" t="s">
        <v>251</v>
      </c>
      <c r="Q754" s="70" t="s">
        <v>233</v>
      </c>
      <c r="R754" s="70" t="s">
        <v>240</v>
      </c>
      <c r="S754" s="70" t="s">
        <v>233</v>
      </c>
      <c r="T754" s="70" t="s">
        <v>233</v>
      </c>
      <c r="U754" s="70" t="s">
        <v>1427</v>
      </c>
      <c r="V754" s="70" t="s">
        <v>240</v>
      </c>
      <c r="W754" s="12"/>
      <c r="X754" s="242">
        <v>588.57000000000005</v>
      </c>
      <c r="Y754" s="242">
        <v>481.54999999999995</v>
      </c>
      <c r="Z754" s="242">
        <v>110.28</v>
      </c>
      <c r="AA754" s="157" t="s">
        <v>252</v>
      </c>
      <c r="AB754" s="242">
        <v>73.78</v>
      </c>
      <c r="AC754" s="157" t="s">
        <v>252</v>
      </c>
      <c r="AD754" s="242">
        <v>86.88</v>
      </c>
      <c r="AE754" s="157" t="s">
        <v>252</v>
      </c>
      <c r="AF754" s="242">
        <v>54.16</v>
      </c>
      <c r="AG754" s="157" t="s">
        <v>252</v>
      </c>
      <c r="AH754" s="242">
        <v>2.2799999999999998</v>
      </c>
      <c r="AI754" s="157" t="s">
        <v>252</v>
      </c>
      <c r="AJ754" s="242">
        <v>7.79</v>
      </c>
      <c r="AK754" s="242" t="s">
        <v>252</v>
      </c>
      <c r="AL754" s="242">
        <v>10.61</v>
      </c>
      <c r="AM754" s="242" t="s">
        <v>252</v>
      </c>
      <c r="AN754" s="242">
        <v>3.56</v>
      </c>
      <c r="AO754" s="242" t="s">
        <v>252</v>
      </c>
      <c r="AP754" s="242">
        <v>6.4</v>
      </c>
      <c r="AQ754" s="242" t="s">
        <v>252</v>
      </c>
      <c r="AR754" s="242">
        <v>72.22</v>
      </c>
      <c r="AS754" s="242" t="s">
        <v>252</v>
      </c>
      <c r="AT754" s="242">
        <v>61.52</v>
      </c>
      <c r="AU754" s="242" t="s">
        <v>252</v>
      </c>
      <c r="AV754" s="242">
        <v>79.739999999999995</v>
      </c>
      <c r="AW754" s="157" t="s">
        <v>252</v>
      </c>
      <c r="AX754" s="157">
        <v>1639.34</v>
      </c>
      <c r="AY754" s="240">
        <v>0.25</v>
      </c>
      <c r="AZ754" s="156" t="s">
        <v>253</v>
      </c>
      <c r="BA754" s="156" t="s">
        <v>254</v>
      </c>
      <c r="BB754" s="156">
        <v>1</v>
      </c>
      <c r="BC754" s="156" t="s">
        <v>1423</v>
      </c>
      <c r="BD754" s="3"/>
    </row>
    <row r="755" spans="1:56" ht="15.75" hidden="1" customHeight="1" outlineLevel="1">
      <c r="A755" s="58">
        <v>745</v>
      </c>
      <c r="B755" s="11">
        <v>129745</v>
      </c>
      <c r="C755" s="89" t="s">
        <v>371</v>
      </c>
      <c r="D755" s="157" t="s">
        <v>372</v>
      </c>
      <c r="E755" s="12" t="s">
        <v>191</v>
      </c>
      <c r="F755" s="11" t="s">
        <v>246</v>
      </c>
      <c r="G755" s="18" t="s">
        <v>247</v>
      </c>
      <c r="H755" s="11" t="s">
        <v>248</v>
      </c>
      <c r="I755" s="87" t="s">
        <v>249</v>
      </c>
      <c r="J755" s="19" t="s">
        <v>139</v>
      </c>
      <c r="K755" s="17" t="s">
        <v>140</v>
      </c>
      <c r="L755" s="260">
        <v>1</v>
      </c>
      <c r="M755" s="70" t="s">
        <v>250</v>
      </c>
      <c r="N755" s="70">
        <v>100</v>
      </c>
      <c r="O755" s="258">
        <v>8</v>
      </c>
      <c r="P755" s="70" t="s">
        <v>251</v>
      </c>
      <c r="Q755" s="70" t="s">
        <v>240</v>
      </c>
      <c r="R755" s="70" t="s">
        <v>240</v>
      </c>
      <c r="S755" s="70" t="s">
        <v>233</v>
      </c>
      <c r="T755" s="70" t="s">
        <v>233</v>
      </c>
      <c r="U755" s="70" t="s">
        <v>1427</v>
      </c>
      <c r="V755" s="70" t="s">
        <v>240</v>
      </c>
      <c r="W755" s="12"/>
      <c r="X755" s="242">
        <v>363.76</v>
      </c>
      <c r="Y755" s="242">
        <v>337.95000000000005</v>
      </c>
      <c r="Z755" s="242">
        <v>95.82</v>
      </c>
      <c r="AA755" s="157" t="s">
        <v>252</v>
      </c>
      <c r="AB755" s="242">
        <v>60.55</v>
      </c>
      <c r="AC755" s="157" t="s">
        <v>252</v>
      </c>
      <c r="AD755" s="242">
        <v>71.28</v>
      </c>
      <c r="AE755" s="157" t="s">
        <v>252</v>
      </c>
      <c r="AF755" s="242">
        <v>36.409999999999997</v>
      </c>
      <c r="AG755" s="157" t="s">
        <v>252</v>
      </c>
      <c r="AH755" s="242">
        <v>10.43</v>
      </c>
      <c r="AI755" s="157" t="s">
        <v>252</v>
      </c>
      <c r="AJ755" s="242">
        <v>0</v>
      </c>
      <c r="AK755" s="242" t="s">
        <v>252</v>
      </c>
      <c r="AL755" s="242">
        <v>0</v>
      </c>
      <c r="AM755" s="242" t="s">
        <v>252</v>
      </c>
      <c r="AN755" s="242">
        <v>0</v>
      </c>
      <c r="AO755" s="242" t="s">
        <v>252</v>
      </c>
      <c r="AP755" s="242">
        <v>0.53</v>
      </c>
      <c r="AQ755" s="242" t="s">
        <v>252</v>
      </c>
      <c r="AR755" s="242">
        <v>27.08</v>
      </c>
      <c r="AS755" s="242" t="s">
        <v>252</v>
      </c>
      <c r="AT755" s="242">
        <v>46.32</v>
      </c>
      <c r="AU755" s="242" t="s">
        <v>252</v>
      </c>
      <c r="AV755" s="242">
        <v>56.42</v>
      </c>
      <c r="AW755" s="157" t="s">
        <v>252</v>
      </c>
      <c r="AX755" s="157">
        <v>1106.55</v>
      </c>
      <c r="AY755" s="240">
        <v>0.18</v>
      </c>
      <c r="AZ755" s="156" t="s">
        <v>253</v>
      </c>
      <c r="BA755" s="156" t="s">
        <v>254</v>
      </c>
      <c r="BB755" s="156">
        <v>1</v>
      </c>
      <c r="BC755" s="156" t="s">
        <v>1423</v>
      </c>
      <c r="BD755" s="3"/>
    </row>
    <row r="756" spans="1:56" ht="15.75" hidden="1" customHeight="1" outlineLevel="1">
      <c r="A756" s="58">
        <v>746</v>
      </c>
      <c r="B756" s="11">
        <v>129746</v>
      </c>
      <c r="C756" s="89" t="s">
        <v>371</v>
      </c>
      <c r="D756" s="157">
        <v>3</v>
      </c>
      <c r="E756" s="12" t="s">
        <v>191</v>
      </c>
      <c r="F756" s="11" t="s">
        <v>246</v>
      </c>
      <c r="G756" s="18" t="s">
        <v>247</v>
      </c>
      <c r="H756" s="11" t="s">
        <v>248</v>
      </c>
      <c r="I756" s="87" t="s">
        <v>249</v>
      </c>
      <c r="J756" s="19" t="s">
        <v>139</v>
      </c>
      <c r="K756" s="17" t="s">
        <v>140</v>
      </c>
      <c r="L756" s="257">
        <v>0</v>
      </c>
      <c r="M756" s="70" t="s">
        <v>250</v>
      </c>
      <c r="N756" s="70">
        <v>100</v>
      </c>
      <c r="O756" s="258">
        <v>8</v>
      </c>
      <c r="P756" s="70" t="s">
        <v>251</v>
      </c>
      <c r="Q756" s="70" t="s">
        <v>233</v>
      </c>
      <c r="R756" s="70" t="s">
        <v>240</v>
      </c>
      <c r="S756" s="70" t="s">
        <v>233</v>
      </c>
      <c r="T756" s="70" t="s">
        <v>233</v>
      </c>
      <c r="U756" s="70" t="s">
        <v>1427</v>
      </c>
      <c r="V756" s="70" t="s">
        <v>240</v>
      </c>
      <c r="W756" s="12"/>
      <c r="X756" s="242">
        <v>291.51330380214102</v>
      </c>
      <c r="Y756" s="242">
        <v>254.17658545588782</v>
      </c>
      <c r="Z756" s="242">
        <v>39.611317829457363</v>
      </c>
      <c r="AA756" s="157" t="s">
        <v>252</v>
      </c>
      <c r="AB756" s="242">
        <v>32.105932078257659</v>
      </c>
      <c r="AC756" s="157" t="s">
        <v>252</v>
      </c>
      <c r="AD756" s="242">
        <v>32.977729789590256</v>
      </c>
      <c r="AE756" s="157" t="s">
        <v>252</v>
      </c>
      <c r="AF756" s="242">
        <v>26.359992617201918</v>
      </c>
      <c r="AG756" s="157" t="s">
        <v>252</v>
      </c>
      <c r="AH756" s="242">
        <v>21.398671096345513</v>
      </c>
      <c r="AI756" s="157" t="s">
        <v>252</v>
      </c>
      <c r="AJ756" s="242">
        <v>5.7459394610557402</v>
      </c>
      <c r="AK756" s="242" t="s">
        <v>252</v>
      </c>
      <c r="AL756" s="242">
        <v>14.543170911775563</v>
      </c>
      <c r="AM756" s="242" t="s">
        <v>252</v>
      </c>
      <c r="AN756" s="242">
        <v>4.8899926172019192</v>
      </c>
      <c r="AO756" s="242" t="s">
        <v>252</v>
      </c>
      <c r="AP756" s="242">
        <v>6.3561978589885566</v>
      </c>
      <c r="AQ756" s="242" t="s">
        <v>252</v>
      </c>
      <c r="AR756" s="242">
        <v>21.802868217054264</v>
      </c>
      <c r="AS756" s="242" t="s">
        <v>252</v>
      </c>
      <c r="AT756" s="242">
        <v>17.007980804724991</v>
      </c>
      <c r="AU756" s="242" t="s">
        <v>252</v>
      </c>
      <c r="AV756" s="242">
        <v>26.724562569213731</v>
      </c>
      <c r="AW756" s="157" t="s">
        <v>252</v>
      </c>
      <c r="AX756" s="157">
        <v>795.21424510889631</v>
      </c>
      <c r="AY756" s="240">
        <v>0.12680693983019564</v>
      </c>
      <c r="AZ756" s="156" t="s">
        <v>253</v>
      </c>
      <c r="BA756" s="156" t="s">
        <v>254</v>
      </c>
      <c r="BB756" s="156">
        <v>0</v>
      </c>
      <c r="BC756" s="156" t="s">
        <v>1423</v>
      </c>
      <c r="BD756" s="3"/>
    </row>
    <row r="757" spans="1:56" ht="15.75" hidden="1" customHeight="1" outlineLevel="1">
      <c r="A757" s="58">
        <v>747</v>
      </c>
      <c r="B757" s="11">
        <v>129747</v>
      </c>
      <c r="C757" s="89" t="s">
        <v>371</v>
      </c>
      <c r="D757" s="157">
        <v>3</v>
      </c>
      <c r="E757" s="12" t="s">
        <v>231</v>
      </c>
      <c r="F757" s="11" t="s">
        <v>246</v>
      </c>
      <c r="G757" s="18" t="s">
        <v>247</v>
      </c>
      <c r="H757" s="11" t="s">
        <v>248</v>
      </c>
      <c r="I757" s="87" t="s">
        <v>249</v>
      </c>
      <c r="J757" s="19" t="s">
        <v>139</v>
      </c>
      <c r="K757" s="17" t="s">
        <v>140</v>
      </c>
      <c r="L757" s="257">
        <v>0</v>
      </c>
      <c r="M757" s="70" t="s">
        <v>250</v>
      </c>
      <c r="N757" s="70">
        <v>80</v>
      </c>
      <c r="O757" s="258">
        <v>8</v>
      </c>
      <c r="P757" s="70" t="s">
        <v>251</v>
      </c>
      <c r="Q757" s="70" t="s">
        <v>233</v>
      </c>
      <c r="R757" s="70" t="s">
        <v>240</v>
      </c>
      <c r="S757" s="70" t="s">
        <v>233</v>
      </c>
      <c r="T757" s="70" t="s">
        <v>233</v>
      </c>
      <c r="U757" s="70" t="s">
        <v>1427</v>
      </c>
      <c r="V757" s="70" t="s">
        <v>240</v>
      </c>
      <c r="W757" s="12"/>
      <c r="X757" s="242">
        <v>76.306696197858997</v>
      </c>
      <c r="Y757" s="242">
        <v>66.533414544112233</v>
      </c>
      <c r="Z757" s="242">
        <v>10.368682170542636</v>
      </c>
      <c r="AA757" s="157" t="s">
        <v>252</v>
      </c>
      <c r="AB757" s="242">
        <v>8.4040679217423406</v>
      </c>
      <c r="AC757" s="157" t="s">
        <v>252</v>
      </c>
      <c r="AD757" s="242">
        <v>8.6322702104097466</v>
      </c>
      <c r="AE757" s="157" t="s">
        <v>252</v>
      </c>
      <c r="AF757" s="242">
        <v>6.9000073827980808</v>
      </c>
      <c r="AG757" s="157" t="s">
        <v>252</v>
      </c>
      <c r="AH757" s="242">
        <v>5.6013289036544851</v>
      </c>
      <c r="AI757" s="157" t="s">
        <v>252</v>
      </c>
      <c r="AJ757" s="242">
        <v>1.5040605389442601</v>
      </c>
      <c r="AK757" s="242" t="s">
        <v>252</v>
      </c>
      <c r="AL757" s="242">
        <v>3.8068290882244376</v>
      </c>
      <c r="AM757" s="242" t="s">
        <v>252</v>
      </c>
      <c r="AN757" s="242">
        <v>1.2800073827980805</v>
      </c>
      <c r="AO757" s="242" t="s">
        <v>252</v>
      </c>
      <c r="AP757" s="242">
        <v>1.6638021410114434</v>
      </c>
      <c r="AQ757" s="242" t="s">
        <v>252</v>
      </c>
      <c r="AR757" s="242">
        <v>5.7071317829457371</v>
      </c>
      <c r="AS757" s="242" t="s">
        <v>252</v>
      </c>
      <c r="AT757" s="242">
        <v>4.4520191952750094</v>
      </c>
      <c r="AU757" s="242" t="s">
        <v>252</v>
      </c>
      <c r="AV757" s="242">
        <v>6.9954374307862679</v>
      </c>
      <c r="AW757" s="157" t="s">
        <v>252</v>
      </c>
      <c r="AX757" s="157">
        <v>208.15575489110378</v>
      </c>
      <c r="AY757" s="243">
        <v>3.3193060169804361E-2</v>
      </c>
      <c r="AZ757" s="156" t="s">
        <v>253</v>
      </c>
      <c r="BA757" s="156" t="s">
        <v>254</v>
      </c>
      <c r="BB757" s="156">
        <v>0</v>
      </c>
      <c r="BC757" s="156" t="s">
        <v>1423</v>
      </c>
      <c r="BD757" s="3"/>
    </row>
    <row r="758" spans="1:56" ht="15.75" hidden="1" customHeight="1" outlineLevel="1">
      <c r="A758" s="58">
        <v>748</v>
      </c>
      <c r="B758" s="11">
        <v>129748</v>
      </c>
      <c r="C758" s="89" t="s">
        <v>371</v>
      </c>
      <c r="D758" s="157">
        <v>4</v>
      </c>
      <c r="E758" s="12" t="s">
        <v>191</v>
      </c>
      <c r="F758" s="11" t="s">
        <v>246</v>
      </c>
      <c r="G758" s="18" t="s">
        <v>247</v>
      </c>
      <c r="H758" s="11" t="s">
        <v>248</v>
      </c>
      <c r="I758" s="87" t="s">
        <v>249</v>
      </c>
      <c r="J758" s="19" t="s">
        <v>139</v>
      </c>
      <c r="K758" s="17" t="s">
        <v>140</v>
      </c>
      <c r="L758" s="260">
        <v>1</v>
      </c>
      <c r="M758" s="70" t="s">
        <v>250</v>
      </c>
      <c r="N758" s="70">
        <v>100</v>
      </c>
      <c r="O758" s="258">
        <v>8</v>
      </c>
      <c r="P758" s="70" t="s">
        <v>251</v>
      </c>
      <c r="Q758" s="70" t="s">
        <v>233</v>
      </c>
      <c r="R758" s="70" t="s">
        <v>240</v>
      </c>
      <c r="S758" s="70" t="s">
        <v>233</v>
      </c>
      <c r="T758" s="70" t="s">
        <v>233</v>
      </c>
      <c r="U758" s="70" t="s">
        <v>1427</v>
      </c>
      <c r="V758" s="70" t="s">
        <v>240</v>
      </c>
      <c r="W758" s="12"/>
      <c r="X758" s="242">
        <v>386.22655642653535</v>
      </c>
      <c r="Y758" s="242">
        <v>328.40792627623733</v>
      </c>
      <c r="Z758" s="242">
        <v>54.478313682301106</v>
      </c>
      <c r="AA758" s="157" t="s">
        <v>252</v>
      </c>
      <c r="AB758" s="242">
        <v>39.291113306556099</v>
      </c>
      <c r="AC758" s="157" t="s">
        <v>252</v>
      </c>
      <c r="AD758" s="242">
        <v>54.281128530707427</v>
      </c>
      <c r="AE758" s="157" t="s">
        <v>252</v>
      </c>
      <c r="AF758" s="242">
        <v>36.317561220523451</v>
      </c>
      <c r="AG758" s="157" t="s">
        <v>252</v>
      </c>
      <c r="AH758" s="242">
        <v>12.529144532262244</v>
      </c>
      <c r="AI758" s="157" t="s">
        <v>252</v>
      </c>
      <c r="AJ758" s="242">
        <v>3.6242630862917853</v>
      </c>
      <c r="AK758" s="242" t="s">
        <v>252</v>
      </c>
      <c r="AL758" s="242">
        <v>3.1589061285307074</v>
      </c>
      <c r="AM758" s="242" t="s">
        <v>252</v>
      </c>
      <c r="AN758" s="242">
        <v>6.5544344389738276</v>
      </c>
      <c r="AO758" s="242" t="s">
        <v>252</v>
      </c>
      <c r="AP758" s="242">
        <v>6.2704878206789321</v>
      </c>
      <c r="AQ758" s="242" t="s">
        <v>252</v>
      </c>
      <c r="AR758" s="242">
        <v>32.460619655351124</v>
      </c>
      <c r="AS758" s="242" t="s">
        <v>252</v>
      </c>
      <c r="AT758" s="242">
        <v>34.621768916817828</v>
      </c>
      <c r="AU758" s="242" t="s">
        <v>252</v>
      </c>
      <c r="AV758" s="242">
        <v>43.254534853589014</v>
      </c>
      <c r="AW758" s="157" t="s">
        <v>252</v>
      </c>
      <c r="AX758" s="157">
        <v>1041.4767588753559</v>
      </c>
      <c r="AY758" s="240">
        <v>0.1498607152111946</v>
      </c>
      <c r="AZ758" s="156" t="s">
        <v>253</v>
      </c>
      <c r="BA758" s="156" t="s">
        <v>254</v>
      </c>
      <c r="BB758" s="156">
        <v>1</v>
      </c>
      <c r="BC758" s="157" t="s">
        <v>255</v>
      </c>
      <c r="BD758" s="3"/>
    </row>
    <row r="759" spans="1:56" ht="15.75" hidden="1" customHeight="1" outlineLevel="1">
      <c r="A759" s="58">
        <v>749</v>
      </c>
      <c r="B759" s="11">
        <v>129749</v>
      </c>
      <c r="C759" s="89" t="s">
        <v>371</v>
      </c>
      <c r="D759" s="157">
        <v>4</v>
      </c>
      <c r="E759" s="12" t="s">
        <v>231</v>
      </c>
      <c r="F759" s="11" t="s">
        <v>246</v>
      </c>
      <c r="G759" s="18" t="s">
        <v>247</v>
      </c>
      <c r="H759" s="11" t="s">
        <v>248</v>
      </c>
      <c r="I759" s="87" t="s">
        <v>249</v>
      </c>
      <c r="J759" s="19" t="s">
        <v>139</v>
      </c>
      <c r="K759" s="17" t="s">
        <v>140</v>
      </c>
      <c r="L759" s="257">
        <v>0</v>
      </c>
      <c r="M759" s="70" t="s">
        <v>250</v>
      </c>
      <c r="N759" s="70">
        <v>100</v>
      </c>
      <c r="O759" s="258">
        <v>8</v>
      </c>
      <c r="P759" s="70" t="s">
        <v>251</v>
      </c>
      <c r="Q759" s="70" t="s">
        <v>233</v>
      </c>
      <c r="R759" s="70" t="s">
        <v>240</v>
      </c>
      <c r="S759" s="70" t="s">
        <v>233</v>
      </c>
      <c r="T759" s="70" t="s">
        <v>233</v>
      </c>
      <c r="U759" s="70" t="s">
        <v>1427</v>
      </c>
      <c r="V759" s="70" t="s">
        <v>240</v>
      </c>
      <c r="W759" s="12"/>
      <c r="X759" s="242">
        <v>235.27832663902564</v>
      </c>
      <c r="Y759" s="242">
        <v>200.0568476289194</v>
      </c>
      <c r="Z759" s="242">
        <v>33.186652414269666</v>
      </c>
      <c r="AA759" s="157" t="s">
        <v>252</v>
      </c>
      <c r="AB759" s="242">
        <v>23.93503822233739</v>
      </c>
      <c r="AC759" s="157" t="s">
        <v>252</v>
      </c>
      <c r="AD759" s="242">
        <v>33.066532780513079</v>
      </c>
      <c r="AE759" s="157" t="s">
        <v>252</v>
      </c>
      <c r="AF759" s="242">
        <v>22.123634145288069</v>
      </c>
      <c r="AG759" s="157" t="s">
        <v>252</v>
      </c>
      <c r="AH759" s="242">
        <v>7.632401528893495</v>
      </c>
      <c r="AI759" s="157" t="s">
        <v>252</v>
      </c>
      <c r="AJ759" s="242">
        <v>2.2077988684460563</v>
      </c>
      <c r="AK759" s="242" t="s">
        <v>252</v>
      </c>
      <c r="AL759" s="242">
        <v>1.924316532780513</v>
      </c>
      <c r="AM759" s="242" t="s">
        <v>252</v>
      </c>
      <c r="AN759" s="242">
        <v>3.9927766260689297</v>
      </c>
      <c r="AO759" s="242" t="s">
        <v>252</v>
      </c>
      <c r="AP759" s="242">
        <v>3.8198043534594452</v>
      </c>
      <c r="AQ759" s="242" t="s">
        <v>252</v>
      </c>
      <c r="AR759" s="242">
        <v>19.774094109009241</v>
      </c>
      <c r="AS759" s="242" t="s">
        <v>252</v>
      </c>
      <c r="AT759" s="242">
        <v>21.09060529498143</v>
      </c>
      <c r="AU759" s="242" t="s">
        <v>252</v>
      </c>
      <c r="AV759" s="242">
        <v>26.349442860844778</v>
      </c>
      <c r="AW759" s="157" t="s">
        <v>252</v>
      </c>
      <c r="AX759" s="157">
        <v>634.43827200483702</v>
      </c>
      <c r="AY759" s="243">
        <v>9.1290921655005602E-2</v>
      </c>
      <c r="AZ759" s="156" t="s">
        <v>253</v>
      </c>
      <c r="BA759" s="156" t="s">
        <v>254</v>
      </c>
      <c r="BB759" s="156">
        <v>0</v>
      </c>
      <c r="BC759" s="157" t="s">
        <v>255</v>
      </c>
      <c r="BD759" s="3"/>
    </row>
    <row r="760" spans="1:56" ht="15.75" hidden="1" customHeight="1" outlineLevel="1">
      <c r="A760" s="58">
        <v>750</v>
      </c>
      <c r="B760" s="11">
        <v>129750</v>
      </c>
      <c r="C760" s="89" t="s">
        <v>371</v>
      </c>
      <c r="D760" s="157">
        <v>4</v>
      </c>
      <c r="E760" s="12" t="s">
        <v>260</v>
      </c>
      <c r="F760" s="11" t="s">
        <v>246</v>
      </c>
      <c r="G760" s="18" t="s">
        <v>247</v>
      </c>
      <c r="H760" s="11" t="s">
        <v>248</v>
      </c>
      <c r="I760" s="87" t="s">
        <v>249</v>
      </c>
      <c r="J760" s="19" t="s">
        <v>139</v>
      </c>
      <c r="K760" s="17" t="s">
        <v>140</v>
      </c>
      <c r="L760" s="257">
        <v>0</v>
      </c>
      <c r="M760" s="70" t="s">
        <v>250</v>
      </c>
      <c r="N760" s="70">
        <v>80</v>
      </c>
      <c r="O760" s="258">
        <v>8</v>
      </c>
      <c r="P760" s="70" t="s">
        <v>251</v>
      </c>
      <c r="Q760" s="70" t="s">
        <v>233</v>
      </c>
      <c r="R760" s="70" t="s">
        <v>240</v>
      </c>
      <c r="S760" s="70" t="s">
        <v>233</v>
      </c>
      <c r="T760" s="70" t="s">
        <v>233</v>
      </c>
      <c r="U760" s="70" t="s">
        <v>1427</v>
      </c>
      <c r="V760" s="70" t="s">
        <v>240</v>
      </c>
      <c r="W760" s="12"/>
      <c r="X760" s="242">
        <v>353.40390807203937</v>
      </c>
      <c r="Y760" s="242">
        <v>300.49887211712877</v>
      </c>
      <c r="Z760" s="242">
        <v>49.848589228642993</v>
      </c>
      <c r="AA760" s="157" t="s">
        <v>252</v>
      </c>
      <c r="AB760" s="242">
        <v>35.95204100803317</v>
      </c>
      <c r="AC760" s="157" t="s">
        <v>252</v>
      </c>
      <c r="AD760" s="242">
        <v>49.668161440787763</v>
      </c>
      <c r="AE760" s="157" t="s">
        <v>252</v>
      </c>
      <c r="AF760" s="242">
        <v>33.231189967176299</v>
      </c>
      <c r="AG760" s="157" t="s">
        <v>252</v>
      </c>
      <c r="AH760" s="242">
        <v>11.464381640321326</v>
      </c>
      <c r="AI760" s="157" t="s">
        <v>252</v>
      </c>
      <c r="AJ760" s="242">
        <v>3.316262740779131</v>
      </c>
      <c r="AK760" s="242" t="s">
        <v>252</v>
      </c>
      <c r="AL760" s="242">
        <v>2.8904531614407878</v>
      </c>
      <c r="AM760" s="242" t="s">
        <v>252</v>
      </c>
      <c r="AN760" s="242">
        <v>5.9974196683078524</v>
      </c>
      <c r="AO760" s="242" t="s">
        <v>252</v>
      </c>
      <c r="AP760" s="242">
        <v>5.7376036537963202</v>
      </c>
      <c r="AQ760" s="242" t="s">
        <v>252</v>
      </c>
      <c r="AR760" s="242">
        <v>29.702022436727997</v>
      </c>
      <c r="AS760" s="242" t="s">
        <v>252</v>
      </c>
      <c r="AT760" s="242">
        <v>31.679510991621321</v>
      </c>
      <c r="AU760" s="242" t="s">
        <v>252</v>
      </c>
      <c r="AV760" s="242">
        <v>39.578639543923302</v>
      </c>
      <c r="AW760" s="157" t="s">
        <v>252</v>
      </c>
      <c r="AX760" s="157">
        <v>952.96905567072656</v>
      </c>
      <c r="AY760" s="243">
        <v>0.13712511876997496</v>
      </c>
      <c r="AZ760" s="156" t="s">
        <v>253</v>
      </c>
      <c r="BA760" s="156" t="s">
        <v>254</v>
      </c>
      <c r="BB760" s="156">
        <v>0</v>
      </c>
      <c r="BC760" s="157" t="s">
        <v>255</v>
      </c>
      <c r="BD760" s="3"/>
    </row>
    <row r="761" spans="1:56" ht="15.75" hidden="1" customHeight="1" outlineLevel="1">
      <c r="A761" s="58">
        <v>751</v>
      </c>
      <c r="B761" s="11">
        <v>129751</v>
      </c>
      <c r="C761" s="89" t="s">
        <v>371</v>
      </c>
      <c r="D761" s="157">
        <v>4</v>
      </c>
      <c r="E761" s="12" t="s">
        <v>373</v>
      </c>
      <c r="F761" s="11" t="s">
        <v>246</v>
      </c>
      <c r="G761" s="18" t="s">
        <v>247</v>
      </c>
      <c r="H761" s="11" t="s">
        <v>248</v>
      </c>
      <c r="I761" s="87" t="s">
        <v>249</v>
      </c>
      <c r="J761" s="19" t="s">
        <v>139</v>
      </c>
      <c r="K761" s="17" t="s">
        <v>140</v>
      </c>
      <c r="L761" s="257">
        <v>0</v>
      </c>
      <c r="M761" s="70" t="s">
        <v>250</v>
      </c>
      <c r="N761" s="70">
        <v>100</v>
      </c>
      <c r="O761" s="258">
        <v>8</v>
      </c>
      <c r="P761" s="70" t="s">
        <v>251</v>
      </c>
      <c r="Q761" s="70" t="s">
        <v>233</v>
      </c>
      <c r="R761" s="70" t="s">
        <v>240</v>
      </c>
      <c r="S761" s="70" t="s">
        <v>233</v>
      </c>
      <c r="T761" s="70" t="s">
        <v>233</v>
      </c>
      <c r="U761" s="70" t="s">
        <v>1427</v>
      </c>
      <c r="V761" s="70" t="s">
        <v>240</v>
      </c>
      <c r="W761" s="12"/>
      <c r="X761" s="242">
        <v>4.4412088623995851</v>
      </c>
      <c r="Y761" s="242">
        <v>3.7763539777144337</v>
      </c>
      <c r="Z761" s="242">
        <v>0.62644467478621391</v>
      </c>
      <c r="AA761" s="157" t="s">
        <v>252</v>
      </c>
      <c r="AB761" s="242">
        <v>0.45180746307333502</v>
      </c>
      <c r="AC761" s="157" t="s">
        <v>252</v>
      </c>
      <c r="AD761" s="242">
        <v>0.6241772479917076</v>
      </c>
      <c r="AE761" s="157" t="s">
        <v>252</v>
      </c>
      <c r="AF761" s="242">
        <v>0.41761466701217931</v>
      </c>
      <c r="AG761" s="157" t="s">
        <v>252</v>
      </c>
      <c r="AH761" s="242">
        <v>0.14407229852293338</v>
      </c>
      <c r="AI761" s="157" t="s">
        <v>252</v>
      </c>
      <c r="AJ761" s="242">
        <v>4.1675304483026684E-2</v>
      </c>
      <c r="AK761" s="242" t="s">
        <v>252</v>
      </c>
      <c r="AL761" s="242">
        <v>3.6324177247991703E-2</v>
      </c>
      <c r="AM761" s="242" t="s">
        <v>252</v>
      </c>
      <c r="AN761" s="242">
        <v>7.5369266649391031E-2</v>
      </c>
      <c r="AO761" s="242" t="s">
        <v>252</v>
      </c>
      <c r="AP761" s="242">
        <v>7.2104172065301883E-2</v>
      </c>
      <c r="AQ761" s="242" t="s">
        <v>252</v>
      </c>
      <c r="AR761" s="242">
        <v>0.37326379891163514</v>
      </c>
      <c r="AS761" s="242" t="s">
        <v>252</v>
      </c>
      <c r="AT761" s="242">
        <v>0.39811479657942472</v>
      </c>
      <c r="AU761" s="242" t="s">
        <v>252</v>
      </c>
      <c r="AV761" s="242">
        <v>0.49738274164291268</v>
      </c>
      <c r="AW761" s="157" t="s">
        <v>252</v>
      </c>
      <c r="AX761" s="157">
        <v>11.975913449080069</v>
      </c>
      <c r="AY761" s="243">
        <v>1.7232443638248249E-3</v>
      </c>
      <c r="AZ761" s="156" t="s">
        <v>253</v>
      </c>
      <c r="BA761" s="156" t="s">
        <v>254</v>
      </c>
      <c r="BB761" s="156">
        <v>0</v>
      </c>
      <c r="BC761" s="156" t="s">
        <v>1423</v>
      </c>
      <c r="BD761" s="3"/>
    </row>
    <row r="762" spans="1:56" ht="15.75" hidden="1" customHeight="1" outlineLevel="1">
      <c r="A762" s="58">
        <v>752</v>
      </c>
      <c r="B762" s="11">
        <v>129752</v>
      </c>
      <c r="C762" s="89" t="s">
        <v>371</v>
      </c>
      <c r="D762" s="157">
        <v>5</v>
      </c>
      <c r="E762" s="12" t="s">
        <v>191</v>
      </c>
      <c r="F762" s="11" t="s">
        <v>246</v>
      </c>
      <c r="G762" s="18" t="s">
        <v>247</v>
      </c>
      <c r="H762" s="11" t="s">
        <v>248</v>
      </c>
      <c r="I762" s="87" t="s">
        <v>249</v>
      </c>
      <c r="J762" s="19" t="s">
        <v>139</v>
      </c>
      <c r="K762" s="17" t="s">
        <v>140</v>
      </c>
      <c r="L762" s="257">
        <v>0</v>
      </c>
      <c r="M762" s="70" t="s">
        <v>250</v>
      </c>
      <c r="N762" s="70">
        <v>100</v>
      </c>
      <c r="O762" s="258">
        <v>8</v>
      </c>
      <c r="P762" s="70" t="s">
        <v>251</v>
      </c>
      <c r="Q762" s="70" t="s">
        <v>233</v>
      </c>
      <c r="R762" s="70" t="s">
        <v>240</v>
      </c>
      <c r="S762" s="70" t="s">
        <v>233</v>
      </c>
      <c r="T762" s="70" t="s">
        <v>233</v>
      </c>
      <c r="U762" s="70" t="s">
        <v>1427</v>
      </c>
      <c r="V762" s="70" t="s">
        <v>240</v>
      </c>
      <c r="W762" s="12"/>
      <c r="X762" s="242">
        <v>276.63</v>
      </c>
      <c r="Y762" s="242">
        <v>246.09</v>
      </c>
      <c r="Z762" s="242">
        <v>37.89</v>
      </c>
      <c r="AA762" s="157" t="s">
        <v>252</v>
      </c>
      <c r="AB762" s="242">
        <v>30.74</v>
      </c>
      <c r="AC762" s="157" t="s">
        <v>252</v>
      </c>
      <c r="AD762" s="242">
        <v>32.269999999999996</v>
      </c>
      <c r="AE762" s="157" t="s">
        <v>252</v>
      </c>
      <c r="AF762" s="242">
        <v>25.26</v>
      </c>
      <c r="AG762" s="157" t="s">
        <v>252</v>
      </c>
      <c r="AH762" s="242">
        <v>20</v>
      </c>
      <c r="AI762" s="157" t="s">
        <v>252</v>
      </c>
      <c r="AJ762" s="242">
        <v>5.01</v>
      </c>
      <c r="AK762" s="242" t="s">
        <v>252</v>
      </c>
      <c r="AL762" s="242">
        <v>4.5</v>
      </c>
      <c r="AM762" s="242" t="s">
        <v>252</v>
      </c>
      <c r="AN762" s="242">
        <v>4.38</v>
      </c>
      <c r="AO762" s="242" t="s">
        <v>252</v>
      </c>
      <c r="AP762" s="242">
        <v>5.64</v>
      </c>
      <c r="AQ762" s="242" t="s">
        <v>252</v>
      </c>
      <c r="AR762" s="242">
        <v>21</v>
      </c>
      <c r="AS762" s="242" t="s">
        <v>252</v>
      </c>
      <c r="AT762" s="242">
        <v>16.34</v>
      </c>
      <c r="AU762" s="242" t="s">
        <v>252</v>
      </c>
      <c r="AV762" s="242">
        <v>25.61</v>
      </c>
      <c r="AW762" s="157" t="s">
        <v>252</v>
      </c>
      <c r="AX762" s="157">
        <v>751.36</v>
      </c>
      <c r="AY762" s="240">
        <v>0.12</v>
      </c>
      <c r="AZ762" s="156" t="s">
        <v>253</v>
      </c>
      <c r="BA762" s="156" t="s">
        <v>254</v>
      </c>
      <c r="BB762" s="156">
        <v>0</v>
      </c>
      <c r="BC762" s="156" t="s">
        <v>1423</v>
      </c>
      <c r="BD762" s="3"/>
    </row>
    <row r="763" spans="1:56" ht="15.75" hidden="1" customHeight="1" outlineLevel="1">
      <c r="A763" s="58">
        <v>753</v>
      </c>
      <c r="B763" s="11">
        <v>129753</v>
      </c>
      <c r="C763" s="89" t="s">
        <v>371</v>
      </c>
      <c r="D763" s="157">
        <v>7</v>
      </c>
      <c r="E763" s="12" t="s">
        <v>191</v>
      </c>
      <c r="F763" s="11" t="s">
        <v>246</v>
      </c>
      <c r="G763" s="18" t="s">
        <v>247</v>
      </c>
      <c r="H763" s="11" t="s">
        <v>248</v>
      </c>
      <c r="I763" s="87" t="s">
        <v>249</v>
      </c>
      <c r="J763" s="19" t="s">
        <v>139</v>
      </c>
      <c r="K763" s="17" t="s">
        <v>140</v>
      </c>
      <c r="L763" s="260">
        <v>1</v>
      </c>
      <c r="M763" s="70" t="s">
        <v>250</v>
      </c>
      <c r="N763" s="70">
        <v>80</v>
      </c>
      <c r="O763" s="258">
        <v>8</v>
      </c>
      <c r="P763" s="70" t="s">
        <v>251</v>
      </c>
      <c r="Q763" s="70" t="s">
        <v>233</v>
      </c>
      <c r="R763" s="70" t="s">
        <v>240</v>
      </c>
      <c r="S763" s="70" t="s">
        <v>233</v>
      </c>
      <c r="T763" s="70" t="s">
        <v>233</v>
      </c>
      <c r="U763" s="70" t="s">
        <v>1427</v>
      </c>
      <c r="V763" s="70" t="s">
        <v>240</v>
      </c>
      <c r="W763" s="12"/>
      <c r="X763" s="242">
        <v>850.62000000000012</v>
      </c>
      <c r="Y763" s="242">
        <v>751.05</v>
      </c>
      <c r="Z763" s="242">
        <v>135.18</v>
      </c>
      <c r="AA763" s="157" t="s">
        <v>252</v>
      </c>
      <c r="AB763" s="242">
        <v>97.95</v>
      </c>
      <c r="AC763" s="157" t="s">
        <v>252</v>
      </c>
      <c r="AD763" s="242">
        <v>122.26</v>
      </c>
      <c r="AE763" s="157" t="s">
        <v>252</v>
      </c>
      <c r="AF763" s="242">
        <v>74.88</v>
      </c>
      <c r="AG763" s="157" t="s">
        <v>252</v>
      </c>
      <c r="AH763" s="242">
        <v>33.19</v>
      </c>
      <c r="AI763" s="157" t="s">
        <v>252</v>
      </c>
      <c r="AJ763" s="242">
        <v>16.7</v>
      </c>
      <c r="AK763" s="242" t="s">
        <v>252</v>
      </c>
      <c r="AL763" s="242">
        <v>21.72</v>
      </c>
      <c r="AM763" s="242" t="s">
        <v>252</v>
      </c>
      <c r="AN763" s="242">
        <v>13.19</v>
      </c>
      <c r="AO763" s="242" t="s">
        <v>252</v>
      </c>
      <c r="AP763" s="242">
        <v>17.670000000000002</v>
      </c>
      <c r="AQ763" s="242" t="s">
        <v>252</v>
      </c>
      <c r="AR763" s="242">
        <v>87.73</v>
      </c>
      <c r="AS763" s="242" t="s">
        <v>252</v>
      </c>
      <c r="AT763" s="242">
        <v>80.19</v>
      </c>
      <c r="AU763" s="242" t="s">
        <v>252</v>
      </c>
      <c r="AV763" s="242">
        <v>95.86</v>
      </c>
      <c r="AW763" s="157" t="s">
        <v>252</v>
      </c>
      <c r="AX763" s="157">
        <v>2398.19</v>
      </c>
      <c r="AY763" s="240">
        <v>0.35</v>
      </c>
      <c r="AZ763" s="156" t="s">
        <v>253</v>
      </c>
      <c r="BA763" s="156" t="s">
        <v>254</v>
      </c>
      <c r="BB763" s="156">
        <v>1</v>
      </c>
      <c r="BC763" s="156" t="s">
        <v>1423</v>
      </c>
      <c r="BD763" s="3"/>
    </row>
    <row r="764" spans="1:56" ht="15.75" hidden="1" customHeight="1" outlineLevel="1">
      <c r="A764" s="58">
        <v>754</v>
      </c>
      <c r="B764" s="11">
        <v>129754</v>
      </c>
      <c r="C764" s="89" t="s">
        <v>371</v>
      </c>
      <c r="D764" s="157">
        <v>8</v>
      </c>
      <c r="E764" s="12" t="s">
        <v>191</v>
      </c>
      <c r="F764" s="11" t="s">
        <v>246</v>
      </c>
      <c r="G764" s="18" t="s">
        <v>247</v>
      </c>
      <c r="H764" s="11" t="s">
        <v>248</v>
      </c>
      <c r="I764" s="87" t="s">
        <v>249</v>
      </c>
      <c r="J764" s="19" t="s">
        <v>139</v>
      </c>
      <c r="K764" s="17" t="s">
        <v>140</v>
      </c>
      <c r="L764" s="257">
        <v>0</v>
      </c>
      <c r="M764" s="70" t="s">
        <v>250</v>
      </c>
      <c r="N764" s="70">
        <v>100</v>
      </c>
      <c r="O764" s="258">
        <v>8</v>
      </c>
      <c r="P764" s="70" t="s">
        <v>251</v>
      </c>
      <c r="Q764" s="70" t="s">
        <v>233</v>
      </c>
      <c r="R764" s="70" t="s">
        <v>240</v>
      </c>
      <c r="S764" s="70" t="s">
        <v>233</v>
      </c>
      <c r="T764" s="70" t="s">
        <v>233</v>
      </c>
      <c r="U764" s="70" t="s">
        <v>1427</v>
      </c>
      <c r="V764" s="70" t="s">
        <v>240</v>
      </c>
      <c r="W764" s="12"/>
      <c r="X764" s="242">
        <v>500.84</v>
      </c>
      <c r="Y764" s="242">
        <v>492.65000000000009</v>
      </c>
      <c r="Z764" s="242">
        <v>88.88</v>
      </c>
      <c r="AA764" s="157" t="s">
        <v>252</v>
      </c>
      <c r="AB764" s="242">
        <v>52.18</v>
      </c>
      <c r="AC764" s="157" t="s">
        <v>252</v>
      </c>
      <c r="AD764" s="242">
        <v>60.18</v>
      </c>
      <c r="AE764" s="157" t="s">
        <v>252</v>
      </c>
      <c r="AF764" s="242">
        <v>45.36</v>
      </c>
      <c r="AG764" s="157" t="s">
        <v>252</v>
      </c>
      <c r="AH764" s="242">
        <v>15.72</v>
      </c>
      <c r="AI764" s="157" t="s">
        <v>252</v>
      </c>
      <c r="AJ764" s="242">
        <v>8.5500000000000007</v>
      </c>
      <c r="AK764" s="242" t="s">
        <v>252</v>
      </c>
      <c r="AL764" s="242">
        <v>6.41</v>
      </c>
      <c r="AM764" s="242" t="s">
        <v>252</v>
      </c>
      <c r="AN764" s="242">
        <v>6.94</v>
      </c>
      <c r="AO764" s="242" t="s">
        <v>252</v>
      </c>
      <c r="AP764" s="242">
        <v>9.3000000000000007</v>
      </c>
      <c r="AQ764" s="242" t="s">
        <v>252</v>
      </c>
      <c r="AR764" s="242">
        <v>48.34</v>
      </c>
      <c r="AS764" s="242" t="s">
        <v>252</v>
      </c>
      <c r="AT764" s="242">
        <v>47.1</v>
      </c>
      <c r="AU764" s="242" t="s">
        <v>252</v>
      </c>
      <c r="AV764" s="242">
        <v>50.94</v>
      </c>
      <c r="AW764" s="157" t="s">
        <v>252</v>
      </c>
      <c r="AX764" s="157">
        <v>1433.3899999999999</v>
      </c>
      <c r="AY764" s="240">
        <v>0.23</v>
      </c>
      <c r="AZ764" s="156" t="s">
        <v>253</v>
      </c>
      <c r="BA764" s="156" t="s">
        <v>254</v>
      </c>
      <c r="BB764" s="156">
        <v>0</v>
      </c>
      <c r="BC764" s="156" t="s">
        <v>1423</v>
      </c>
      <c r="BD764" s="3"/>
    </row>
    <row r="765" spans="1:56" ht="15.75" hidden="1" customHeight="1" outlineLevel="1">
      <c r="A765" s="58">
        <v>755</v>
      </c>
      <c r="B765" s="11">
        <v>129755</v>
      </c>
      <c r="C765" s="89" t="s">
        <v>374</v>
      </c>
      <c r="D765" s="157">
        <v>11</v>
      </c>
      <c r="E765" s="12" t="s">
        <v>191</v>
      </c>
      <c r="F765" s="11" t="s">
        <v>246</v>
      </c>
      <c r="G765" s="18" t="s">
        <v>247</v>
      </c>
      <c r="H765" s="11" t="s">
        <v>248</v>
      </c>
      <c r="I765" s="87" t="s">
        <v>249</v>
      </c>
      <c r="J765" s="19" t="s">
        <v>139</v>
      </c>
      <c r="K765" s="17" t="s">
        <v>140</v>
      </c>
      <c r="L765" s="257">
        <v>0</v>
      </c>
      <c r="M765" s="70" t="s">
        <v>250</v>
      </c>
      <c r="N765" s="70">
        <v>100</v>
      </c>
      <c r="O765" s="258">
        <v>8</v>
      </c>
      <c r="P765" s="70" t="s">
        <v>251</v>
      </c>
      <c r="Q765" s="70" t="s">
        <v>233</v>
      </c>
      <c r="R765" s="70" t="s">
        <v>240</v>
      </c>
      <c r="S765" s="70" t="s">
        <v>233</v>
      </c>
      <c r="T765" s="70" t="s">
        <v>233</v>
      </c>
      <c r="U765" s="70" t="s">
        <v>1427</v>
      </c>
      <c r="V765" s="70" t="s">
        <v>240</v>
      </c>
      <c r="W765" s="12"/>
      <c r="X765" s="242">
        <v>1245.4100000000001</v>
      </c>
      <c r="Y765" s="242">
        <v>1286.33</v>
      </c>
      <c r="Z765" s="242">
        <v>191.27</v>
      </c>
      <c r="AA765" s="157" t="s">
        <v>252</v>
      </c>
      <c r="AB765" s="242">
        <v>151.71</v>
      </c>
      <c r="AC765" s="157" t="s">
        <v>252</v>
      </c>
      <c r="AD765" s="242">
        <v>189.28</v>
      </c>
      <c r="AE765" s="157" t="s">
        <v>252</v>
      </c>
      <c r="AF765" s="242">
        <v>112.88</v>
      </c>
      <c r="AG765" s="157" t="s">
        <v>252</v>
      </c>
      <c r="AH765" s="242">
        <v>49.75</v>
      </c>
      <c r="AI765" s="157" t="s">
        <v>252</v>
      </c>
      <c r="AJ765" s="242">
        <v>20.8</v>
      </c>
      <c r="AK765" s="242" t="s">
        <v>252</v>
      </c>
      <c r="AL765" s="242">
        <v>20.27</v>
      </c>
      <c r="AM765" s="242" t="s">
        <v>252</v>
      </c>
      <c r="AN765" s="242">
        <v>26.56</v>
      </c>
      <c r="AO765" s="242" t="s">
        <v>252</v>
      </c>
      <c r="AP765" s="242">
        <v>25.06</v>
      </c>
      <c r="AQ765" s="242" t="s">
        <v>252</v>
      </c>
      <c r="AR765" s="242">
        <v>129.63</v>
      </c>
      <c r="AS765" s="242" t="s">
        <v>252</v>
      </c>
      <c r="AT765" s="242">
        <v>105.72</v>
      </c>
      <c r="AU765" s="242" t="s">
        <v>252</v>
      </c>
      <c r="AV765" s="242">
        <v>149.26</v>
      </c>
      <c r="AW765" s="157" t="s">
        <v>252</v>
      </c>
      <c r="AX765" s="157">
        <v>3703.9300000000003</v>
      </c>
      <c r="AY765" s="240">
        <v>0.46</v>
      </c>
      <c r="AZ765" s="156" t="s">
        <v>253</v>
      </c>
      <c r="BA765" s="156" t="s">
        <v>254</v>
      </c>
      <c r="BB765" s="156">
        <v>0</v>
      </c>
      <c r="BC765" s="156" t="s">
        <v>1423</v>
      </c>
      <c r="BD765" s="3"/>
    </row>
    <row r="766" spans="1:56" ht="15.75" hidden="1" customHeight="1" outlineLevel="1">
      <c r="A766" s="58">
        <v>756</v>
      </c>
      <c r="B766" s="11">
        <v>129756</v>
      </c>
      <c r="C766" s="89" t="s">
        <v>374</v>
      </c>
      <c r="D766" s="157">
        <v>3</v>
      </c>
      <c r="E766" s="12" t="s">
        <v>191</v>
      </c>
      <c r="F766" s="11" t="s">
        <v>246</v>
      </c>
      <c r="G766" s="18" t="s">
        <v>247</v>
      </c>
      <c r="H766" s="11" t="s">
        <v>248</v>
      </c>
      <c r="I766" s="87" t="s">
        <v>249</v>
      </c>
      <c r="J766" s="19" t="s">
        <v>139</v>
      </c>
      <c r="K766" s="17" t="s">
        <v>140</v>
      </c>
      <c r="L766" s="260">
        <v>1</v>
      </c>
      <c r="M766" s="70" t="s">
        <v>250</v>
      </c>
      <c r="N766" s="70">
        <v>80</v>
      </c>
      <c r="O766" s="258">
        <v>8</v>
      </c>
      <c r="P766" s="70" t="s">
        <v>251</v>
      </c>
      <c r="Q766" s="70" t="s">
        <v>233</v>
      </c>
      <c r="R766" s="70" t="s">
        <v>240</v>
      </c>
      <c r="S766" s="70" t="s">
        <v>233</v>
      </c>
      <c r="T766" s="70" t="s">
        <v>233</v>
      </c>
      <c r="U766" s="70" t="s">
        <v>1427</v>
      </c>
      <c r="V766" s="70" t="s">
        <v>240</v>
      </c>
      <c r="W766" s="12"/>
      <c r="X766" s="242">
        <v>523.20000000000005</v>
      </c>
      <c r="Y766" s="242">
        <v>473.4</v>
      </c>
      <c r="Z766" s="242">
        <v>81.2</v>
      </c>
      <c r="AA766" s="157" t="s">
        <v>252</v>
      </c>
      <c r="AB766" s="242">
        <v>59.8</v>
      </c>
      <c r="AC766" s="157" t="s">
        <v>252</v>
      </c>
      <c r="AD766" s="242">
        <v>75.599999999999994</v>
      </c>
      <c r="AE766" s="157" t="s">
        <v>252</v>
      </c>
      <c r="AF766" s="242">
        <v>52.8</v>
      </c>
      <c r="AG766" s="157" t="s">
        <v>252</v>
      </c>
      <c r="AH766" s="242">
        <v>22.7</v>
      </c>
      <c r="AI766" s="157" t="s">
        <v>252</v>
      </c>
      <c r="AJ766" s="242">
        <v>0</v>
      </c>
      <c r="AK766" s="242" t="s">
        <v>252</v>
      </c>
      <c r="AL766" s="242">
        <v>4.17</v>
      </c>
      <c r="AM766" s="242" t="s">
        <v>252</v>
      </c>
      <c r="AN766" s="242">
        <v>0</v>
      </c>
      <c r="AO766" s="242" t="s">
        <v>252</v>
      </c>
      <c r="AP766" s="242">
        <v>0</v>
      </c>
      <c r="AQ766" s="242" t="s">
        <v>252</v>
      </c>
      <c r="AR766" s="242">
        <v>52.5</v>
      </c>
      <c r="AS766" s="242" t="s">
        <v>252</v>
      </c>
      <c r="AT766" s="242">
        <v>54.04</v>
      </c>
      <c r="AU766" s="242" t="s">
        <v>252</v>
      </c>
      <c r="AV766" s="242">
        <v>60.39</v>
      </c>
      <c r="AW766" s="157" t="s">
        <v>252</v>
      </c>
      <c r="AX766" s="157">
        <v>1459.8</v>
      </c>
      <c r="AY766" s="240">
        <v>0.25</v>
      </c>
      <c r="AZ766" s="156" t="s">
        <v>253</v>
      </c>
      <c r="BA766" s="156" t="s">
        <v>254</v>
      </c>
      <c r="BB766" s="156">
        <v>2</v>
      </c>
      <c r="BC766" s="156" t="s">
        <v>1423</v>
      </c>
      <c r="BD766" s="3"/>
    </row>
    <row r="767" spans="1:56" ht="15.75" hidden="1" customHeight="1" outlineLevel="1">
      <c r="A767" s="58">
        <v>757</v>
      </c>
      <c r="B767" s="11">
        <v>129757</v>
      </c>
      <c r="C767" s="89" t="s">
        <v>374</v>
      </c>
      <c r="D767" s="157">
        <v>4</v>
      </c>
      <c r="E767" s="12" t="s">
        <v>191</v>
      </c>
      <c r="F767" s="11" t="s">
        <v>246</v>
      </c>
      <c r="G767" s="18" t="s">
        <v>247</v>
      </c>
      <c r="H767" s="11" t="s">
        <v>248</v>
      </c>
      <c r="I767" s="87" t="s">
        <v>249</v>
      </c>
      <c r="J767" s="19" t="s">
        <v>139</v>
      </c>
      <c r="K767" s="17" t="s">
        <v>140</v>
      </c>
      <c r="L767" s="260">
        <v>1</v>
      </c>
      <c r="M767" s="70" t="s">
        <v>250</v>
      </c>
      <c r="N767" s="70">
        <v>100</v>
      </c>
      <c r="O767" s="258">
        <v>8</v>
      </c>
      <c r="P767" s="70" t="s">
        <v>251</v>
      </c>
      <c r="Q767" s="70" t="s">
        <v>233</v>
      </c>
      <c r="R767" s="70" t="s">
        <v>240</v>
      </c>
      <c r="S767" s="70" t="s">
        <v>233</v>
      </c>
      <c r="T767" s="70" t="s">
        <v>233</v>
      </c>
      <c r="U767" s="70" t="s">
        <v>1427</v>
      </c>
      <c r="V767" s="70" t="s">
        <v>240</v>
      </c>
      <c r="W767" s="12"/>
      <c r="X767" s="242">
        <v>947.01999999999987</v>
      </c>
      <c r="Y767" s="242">
        <v>898.59</v>
      </c>
      <c r="Z767" s="242">
        <v>138.96</v>
      </c>
      <c r="AA767" s="157" t="s">
        <v>252</v>
      </c>
      <c r="AB767" s="242">
        <v>106.36</v>
      </c>
      <c r="AC767" s="157" t="s">
        <v>252</v>
      </c>
      <c r="AD767" s="242">
        <v>137.96</v>
      </c>
      <c r="AE767" s="157" t="s">
        <v>252</v>
      </c>
      <c r="AF767" s="242">
        <v>91.51</v>
      </c>
      <c r="AG767" s="157" t="s">
        <v>252</v>
      </c>
      <c r="AH767" s="242">
        <v>36.25</v>
      </c>
      <c r="AI767" s="157" t="s">
        <v>252</v>
      </c>
      <c r="AJ767" s="242">
        <v>17.71</v>
      </c>
      <c r="AK767" s="242" t="s">
        <v>252</v>
      </c>
      <c r="AL767" s="242">
        <v>17.07</v>
      </c>
      <c r="AM767" s="242" t="s">
        <v>252</v>
      </c>
      <c r="AN767" s="242">
        <v>14.61</v>
      </c>
      <c r="AO767" s="242" t="s">
        <v>252</v>
      </c>
      <c r="AP767" s="242">
        <v>19.059999999999999</v>
      </c>
      <c r="AQ767" s="242" t="s">
        <v>252</v>
      </c>
      <c r="AR767" s="242">
        <v>100.72</v>
      </c>
      <c r="AS767" s="242" t="s">
        <v>252</v>
      </c>
      <c r="AT767" s="242">
        <v>73.010000000000005</v>
      </c>
      <c r="AU767" s="242" t="s">
        <v>252</v>
      </c>
      <c r="AV767" s="242">
        <v>110.5</v>
      </c>
      <c r="AW767" s="157" t="s">
        <v>252</v>
      </c>
      <c r="AX767" s="157">
        <v>2709.3300000000004</v>
      </c>
      <c r="AY767" s="240">
        <v>0.39</v>
      </c>
      <c r="AZ767" s="156" t="s">
        <v>253</v>
      </c>
      <c r="BA767" s="156" t="s">
        <v>254</v>
      </c>
      <c r="BB767" s="156">
        <v>2</v>
      </c>
      <c r="BC767" s="156" t="s">
        <v>1423</v>
      </c>
      <c r="BD767" s="3"/>
    </row>
    <row r="768" spans="1:56" ht="15.75" hidden="1" customHeight="1" outlineLevel="1">
      <c r="A768" s="58">
        <v>758</v>
      </c>
      <c r="B768" s="11">
        <v>129758</v>
      </c>
      <c r="C768" s="89" t="s">
        <v>374</v>
      </c>
      <c r="D768" s="157">
        <v>5</v>
      </c>
      <c r="E768" s="12" t="s">
        <v>191</v>
      </c>
      <c r="F768" s="11" t="s">
        <v>246</v>
      </c>
      <c r="G768" s="18" t="s">
        <v>247</v>
      </c>
      <c r="H768" s="11" t="s">
        <v>248</v>
      </c>
      <c r="I768" s="87" t="s">
        <v>249</v>
      </c>
      <c r="J768" s="19" t="s">
        <v>139</v>
      </c>
      <c r="K768" s="17" t="s">
        <v>140</v>
      </c>
      <c r="L768" s="257">
        <v>0</v>
      </c>
      <c r="M768" s="70" t="s">
        <v>250</v>
      </c>
      <c r="N768" s="70">
        <v>100</v>
      </c>
      <c r="O768" s="258">
        <v>8</v>
      </c>
      <c r="P768" s="70" t="s">
        <v>251</v>
      </c>
      <c r="Q768" s="70" t="s">
        <v>233</v>
      </c>
      <c r="R768" s="70" t="s">
        <v>240</v>
      </c>
      <c r="S768" s="70" t="s">
        <v>233</v>
      </c>
      <c r="T768" s="70" t="s">
        <v>233</v>
      </c>
      <c r="U768" s="70" t="s">
        <v>1427</v>
      </c>
      <c r="V768" s="70" t="s">
        <v>240</v>
      </c>
      <c r="W768" s="12"/>
      <c r="X768" s="242">
        <v>478.41</v>
      </c>
      <c r="Y768" s="242">
        <v>470.03</v>
      </c>
      <c r="Z768" s="242">
        <v>81.3</v>
      </c>
      <c r="AA768" s="157" t="s">
        <v>252</v>
      </c>
      <c r="AB768" s="242">
        <v>59.9</v>
      </c>
      <c r="AC768" s="157" t="s">
        <v>252</v>
      </c>
      <c r="AD768" s="242">
        <v>75.7</v>
      </c>
      <c r="AE768" s="157" t="s">
        <v>252</v>
      </c>
      <c r="AF768" s="242">
        <v>52.8</v>
      </c>
      <c r="AG768" s="157" t="s">
        <v>252</v>
      </c>
      <c r="AH768" s="242">
        <v>22.8</v>
      </c>
      <c r="AI768" s="157" t="s">
        <v>252</v>
      </c>
      <c r="AJ768" s="242">
        <v>0</v>
      </c>
      <c r="AK768" s="242" t="s">
        <v>252</v>
      </c>
      <c r="AL768" s="242">
        <v>0</v>
      </c>
      <c r="AM768" s="242" t="s">
        <v>252</v>
      </c>
      <c r="AN768" s="242">
        <v>0</v>
      </c>
      <c r="AO768" s="242" t="s">
        <v>252</v>
      </c>
      <c r="AP768" s="242">
        <v>0</v>
      </c>
      <c r="AQ768" s="242" t="s">
        <v>252</v>
      </c>
      <c r="AR768" s="242">
        <v>52.6</v>
      </c>
      <c r="AS768" s="242" t="s">
        <v>252</v>
      </c>
      <c r="AT768" s="242">
        <v>54.05</v>
      </c>
      <c r="AU768" s="242" t="s">
        <v>252</v>
      </c>
      <c r="AV768" s="242">
        <v>60.39</v>
      </c>
      <c r="AW768" s="157" t="s">
        <v>252</v>
      </c>
      <c r="AX768" s="157">
        <v>1407.98</v>
      </c>
      <c r="AY768" s="240">
        <v>0.25</v>
      </c>
      <c r="AZ768" s="156" t="s">
        <v>253</v>
      </c>
      <c r="BA768" s="156" t="s">
        <v>254</v>
      </c>
      <c r="BB768" s="156">
        <v>0</v>
      </c>
      <c r="BC768" s="156" t="s">
        <v>1423</v>
      </c>
      <c r="BD768" s="3"/>
    </row>
    <row r="769" spans="1:56" ht="15.75" hidden="1" customHeight="1" outlineLevel="1">
      <c r="A769" s="58">
        <v>759</v>
      </c>
      <c r="B769" s="11">
        <v>129759</v>
      </c>
      <c r="C769" s="89" t="s">
        <v>374</v>
      </c>
      <c r="D769" s="157">
        <v>7</v>
      </c>
      <c r="E769" s="12" t="s">
        <v>191</v>
      </c>
      <c r="F769" s="11" t="s">
        <v>246</v>
      </c>
      <c r="G769" s="18" t="s">
        <v>247</v>
      </c>
      <c r="H769" s="11" t="s">
        <v>248</v>
      </c>
      <c r="I769" s="87" t="s">
        <v>249</v>
      </c>
      <c r="J769" s="19" t="s">
        <v>139</v>
      </c>
      <c r="K769" s="17" t="s">
        <v>140</v>
      </c>
      <c r="L769" s="257">
        <v>0</v>
      </c>
      <c r="M769" s="70" t="s">
        <v>250</v>
      </c>
      <c r="N769" s="70">
        <v>80</v>
      </c>
      <c r="O769" s="258">
        <v>8</v>
      </c>
      <c r="P769" s="70" t="s">
        <v>251</v>
      </c>
      <c r="Q769" s="70" t="s">
        <v>233</v>
      </c>
      <c r="R769" s="70" t="s">
        <v>240</v>
      </c>
      <c r="S769" s="70" t="s">
        <v>233</v>
      </c>
      <c r="T769" s="70" t="s">
        <v>233</v>
      </c>
      <c r="U769" s="70" t="s">
        <v>1427</v>
      </c>
      <c r="V769" s="70" t="s">
        <v>240</v>
      </c>
      <c r="W769" s="12"/>
      <c r="X769" s="242">
        <v>478.5</v>
      </c>
      <c r="Y769" s="242">
        <v>469.81999999999994</v>
      </c>
      <c r="Z769" s="242">
        <v>81.2</v>
      </c>
      <c r="AA769" s="157" t="s">
        <v>252</v>
      </c>
      <c r="AB769" s="242">
        <v>59.8</v>
      </c>
      <c r="AC769" s="157" t="s">
        <v>252</v>
      </c>
      <c r="AD769" s="242">
        <v>75.599999999999994</v>
      </c>
      <c r="AE769" s="157" t="s">
        <v>252</v>
      </c>
      <c r="AF769" s="242">
        <v>52.8</v>
      </c>
      <c r="AG769" s="157" t="s">
        <v>252</v>
      </c>
      <c r="AH769" s="242">
        <v>22.7</v>
      </c>
      <c r="AI769" s="157" t="s">
        <v>252</v>
      </c>
      <c r="AJ769" s="242">
        <v>0</v>
      </c>
      <c r="AK769" s="242" t="s">
        <v>252</v>
      </c>
      <c r="AL769" s="242">
        <v>0</v>
      </c>
      <c r="AM769" s="242" t="s">
        <v>252</v>
      </c>
      <c r="AN769" s="242">
        <v>0</v>
      </c>
      <c r="AO769" s="242" t="s">
        <v>252</v>
      </c>
      <c r="AP769" s="242">
        <v>0</v>
      </c>
      <c r="AQ769" s="242" t="s">
        <v>252</v>
      </c>
      <c r="AR769" s="242">
        <v>52.5</v>
      </c>
      <c r="AS769" s="242" t="s">
        <v>252</v>
      </c>
      <c r="AT769" s="242">
        <v>54.04</v>
      </c>
      <c r="AU769" s="242" t="s">
        <v>252</v>
      </c>
      <c r="AV769" s="242">
        <v>60.39</v>
      </c>
      <c r="AW769" s="157" t="s">
        <v>252</v>
      </c>
      <c r="AX769" s="157">
        <v>1407.35</v>
      </c>
      <c r="AY769" s="240">
        <v>0.25</v>
      </c>
      <c r="AZ769" s="156" t="s">
        <v>253</v>
      </c>
      <c r="BA769" s="156" t="s">
        <v>254</v>
      </c>
      <c r="BB769" s="156">
        <v>0</v>
      </c>
      <c r="BC769" s="156" t="s">
        <v>1423</v>
      </c>
      <c r="BD769" s="3"/>
    </row>
    <row r="770" spans="1:56" ht="15.75" hidden="1" customHeight="1" outlineLevel="1">
      <c r="A770" s="58">
        <v>760</v>
      </c>
      <c r="B770" s="11">
        <v>129760</v>
      </c>
      <c r="C770" s="89" t="s">
        <v>374</v>
      </c>
      <c r="D770" s="157">
        <v>9</v>
      </c>
      <c r="E770" s="12" t="s">
        <v>191</v>
      </c>
      <c r="F770" s="11" t="s">
        <v>246</v>
      </c>
      <c r="G770" s="18" t="s">
        <v>247</v>
      </c>
      <c r="H770" s="11" t="s">
        <v>248</v>
      </c>
      <c r="I770" s="87" t="s">
        <v>249</v>
      </c>
      <c r="J770" s="19" t="s">
        <v>139</v>
      </c>
      <c r="K770" s="17" t="s">
        <v>140</v>
      </c>
      <c r="L770" s="257">
        <v>0</v>
      </c>
      <c r="M770" s="70" t="s">
        <v>250</v>
      </c>
      <c r="N770" s="70">
        <v>100</v>
      </c>
      <c r="O770" s="258">
        <v>8</v>
      </c>
      <c r="P770" s="70" t="s">
        <v>251</v>
      </c>
      <c r="Q770" s="70" t="s">
        <v>233</v>
      </c>
      <c r="R770" s="70" t="s">
        <v>240</v>
      </c>
      <c r="S770" s="70" t="s">
        <v>233</v>
      </c>
      <c r="T770" s="70" t="s">
        <v>233</v>
      </c>
      <c r="U770" s="70" t="s">
        <v>1427</v>
      </c>
      <c r="V770" s="70" t="s">
        <v>240</v>
      </c>
      <c r="W770" s="12"/>
      <c r="X770" s="242">
        <v>1029.1599999999999</v>
      </c>
      <c r="Y770" s="242">
        <v>1059.6399999999999</v>
      </c>
      <c r="Z770" s="242">
        <v>159.97</v>
      </c>
      <c r="AA770" s="157" t="s">
        <v>252</v>
      </c>
      <c r="AB770" s="242">
        <v>126.86</v>
      </c>
      <c r="AC770" s="157" t="s">
        <v>252</v>
      </c>
      <c r="AD770" s="242">
        <v>158.26</v>
      </c>
      <c r="AE770" s="157" t="s">
        <v>252</v>
      </c>
      <c r="AF770" s="242">
        <v>94.22</v>
      </c>
      <c r="AG770" s="157" t="s">
        <v>252</v>
      </c>
      <c r="AH770" s="242">
        <v>41.93</v>
      </c>
      <c r="AI770" s="157" t="s">
        <v>252</v>
      </c>
      <c r="AJ770" s="242">
        <v>14.44</v>
      </c>
      <c r="AK770" s="242" t="s">
        <v>252</v>
      </c>
      <c r="AL770" s="242">
        <v>13.92</v>
      </c>
      <c r="AM770" s="242" t="s">
        <v>252</v>
      </c>
      <c r="AN770" s="242">
        <v>18.52</v>
      </c>
      <c r="AO770" s="242" t="s">
        <v>252</v>
      </c>
      <c r="AP770" s="242">
        <v>17.38</v>
      </c>
      <c r="AQ770" s="242" t="s">
        <v>252</v>
      </c>
      <c r="AR770" s="242">
        <v>109.21</v>
      </c>
      <c r="AS770" s="242" t="s">
        <v>252</v>
      </c>
      <c r="AT770" s="242">
        <v>88.86</v>
      </c>
      <c r="AU770" s="242" t="s">
        <v>252</v>
      </c>
      <c r="AV770" s="242">
        <v>125.22</v>
      </c>
      <c r="AW770" s="157" t="s">
        <v>252</v>
      </c>
      <c r="AX770" s="157">
        <v>3057.5899999999992</v>
      </c>
      <c r="AY770" s="240">
        <v>0.3826</v>
      </c>
      <c r="AZ770" s="156" t="s">
        <v>253</v>
      </c>
      <c r="BA770" s="156" t="s">
        <v>254</v>
      </c>
      <c r="BB770" s="156">
        <v>0</v>
      </c>
      <c r="BC770" s="156" t="s">
        <v>1423</v>
      </c>
      <c r="BD770" s="3"/>
    </row>
    <row r="771" spans="1:56" ht="15.75" hidden="1" customHeight="1" outlineLevel="1">
      <c r="A771" s="58">
        <v>761</v>
      </c>
      <c r="B771" s="11">
        <v>129761</v>
      </c>
      <c r="C771" s="89" t="s">
        <v>375</v>
      </c>
      <c r="D771" s="157">
        <v>116</v>
      </c>
      <c r="E771" s="12" t="s">
        <v>191</v>
      </c>
      <c r="F771" s="11" t="s">
        <v>246</v>
      </c>
      <c r="G771" s="18" t="s">
        <v>247</v>
      </c>
      <c r="H771" s="11" t="s">
        <v>248</v>
      </c>
      <c r="I771" s="87" t="s">
        <v>249</v>
      </c>
      <c r="J771" s="19" t="s">
        <v>139</v>
      </c>
      <c r="K771" s="17" t="s">
        <v>140</v>
      </c>
      <c r="L771" s="260">
        <v>1</v>
      </c>
      <c r="M771" s="70" t="s">
        <v>250</v>
      </c>
      <c r="N771" s="70">
        <v>80</v>
      </c>
      <c r="O771" s="258">
        <v>8</v>
      </c>
      <c r="P771" s="70" t="s">
        <v>251</v>
      </c>
      <c r="Q771" s="70" t="s">
        <v>233</v>
      </c>
      <c r="R771" s="70" t="s">
        <v>240</v>
      </c>
      <c r="S771" s="70" t="s">
        <v>233</v>
      </c>
      <c r="T771" s="70" t="s">
        <v>233</v>
      </c>
      <c r="U771" s="70" t="s">
        <v>1427</v>
      </c>
      <c r="V771" s="70" t="s">
        <v>240</v>
      </c>
      <c r="W771" s="12"/>
      <c r="X771" s="242">
        <v>317.70845814387684</v>
      </c>
      <c r="Y771" s="242">
        <v>244.98676210214128</v>
      </c>
      <c r="Z771" s="242">
        <v>39.256254254397334</v>
      </c>
      <c r="AA771" s="157" t="s">
        <v>252</v>
      </c>
      <c r="AB771" s="242">
        <v>31.640581545965361</v>
      </c>
      <c r="AC771" s="157" t="s">
        <v>252</v>
      </c>
      <c r="AD771" s="242">
        <v>40.352911124411534</v>
      </c>
      <c r="AE771" s="157" t="s">
        <v>252</v>
      </c>
      <c r="AF771" s="242">
        <v>26.63309541463066</v>
      </c>
      <c r="AG771" s="157" t="s">
        <v>252</v>
      </c>
      <c r="AH771" s="242">
        <v>8.8022670466219424</v>
      </c>
      <c r="AI771" s="157" t="s">
        <v>252</v>
      </c>
      <c r="AJ771" s="242">
        <v>3.7715712460805948</v>
      </c>
      <c r="AK771" s="242" t="s">
        <v>252</v>
      </c>
      <c r="AL771" s="242">
        <v>3.3712044522658853</v>
      </c>
      <c r="AM771" s="242" t="s">
        <v>252</v>
      </c>
      <c r="AN771" s="242">
        <v>2.4341140580473994</v>
      </c>
      <c r="AO771" s="242" t="s">
        <v>252</v>
      </c>
      <c r="AP771" s="242">
        <v>4.0181739814012492</v>
      </c>
      <c r="AQ771" s="242" t="s">
        <v>252</v>
      </c>
      <c r="AR771" s="242">
        <v>27.663024485675745</v>
      </c>
      <c r="AS771" s="242" t="s">
        <v>252</v>
      </c>
      <c r="AT771" s="242">
        <v>24.407868379443109</v>
      </c>
      <c r="AU771" s="242" t="s">
        <v>252</v>
      </c>
      <c r="AV771" s="242">
        <v>30.050719205309846</v>
      </c>
      <c r="AW771" s="157" t="s">
        <v>252</v>
      </c>
      <c r="AX771" s="157">
        <v>805.09700544026884</v>
      </c>
      <c r="AY771" s="240">
        <v>0.12765318063657399</v>
      </c>
      <c r="AZ771" s="156" t="s">
        <v>253</v>
      </c>
      <c r="BA771" s="156" t="s">
        <v>254</v>
      </c>
      <c r="BB771" s="156">
        <v>1</v>
      </c>
      <c r="BC771" s="157" t="s">
        <v>255</v>
      </c>
      <c r="BD771" s="3"/>
    </row>
    <row r="772" spans="1:56" ht="15.75" hidden="1" customHeight="1" outlineLevel="1">
      <c r="A772" s="58">
        <v>762</v>
      </c>
      <c r="B772" s="11">
        <v>129762</v>
      </c>
      <c r="C772" s="89" t="s">
        <v>375</v>
      </c>
      <c r="D772" s="157">
        <v>116</v>
      </c>
      <c r="E772" s="12" t="s">
        <v>231</v>
      </c>
      <c r="F772" s="11" t="s">
        <v>246</v>
      </c>
      <c r="G772" s="18" t="s">
        <v>247</v>
      </c>
      <c r="H772" s="11" t="s">
        <v>248</v>
      </c>
      <c r="I772" s="87" t="s">
        <v>249</v>
      </c>
      <c r="J772" s="19" t="s">
        <v>139</v>
      </c>
      <c r="K772" s="17" t="s">
        <v>140</v>
      </c>
      <c r="L772" s="257">
        <v>0</v>
      </c>
      <c r="M772" s="70" t="s">
        <v>250</v>
      </c>
      <c r="N772" s="70">
        <v>80</v>
      </c>
      <c r="O772" s="258">
        <v>8</v>
      </c>
      <c r="P772" s="70" t="s">
        <v>251</v>
      </c>
      <c r="Q772" s="70" t="s">
        <v>233</v>
      </c>
      <c r="R772" s="70" t="s">
        <v>240</v>
      </c>
      <c r="S772" s="70" t="s">
        <v>233</v>
      </c>
      <c r="T772" s="70" t="s">
        <v>233</v>
      </c>
      <c r="U772" s="70" t="s">
        <v>1427</v>
      </c>
      <c r="V772" s="70" t="s">
        <v>240</v>
      </c>
      <c r="W772" s="12"/>
      <c r="X772" s="242">
        <v>777.38154185612325</v>
      </c>
      <c r="Y772" s="242">
        <v>599.44323789785858</v>
      </c>
      <c r="Z772" s="242">
        <v>96.053745745602669</v>
      </c>
      <c r="AA772" s="157" t="s">
        <v>252</v>
      </c>
      <c r="AB772" s="242">
        <v>77.419418454034641</v>
      </c>
      <c r="AC772" s="157" t="s">
        <v>252</v>
      </c>
      <c r="AD772" s="242">
        <v>98.737088875588455</v>
      </c>
      <c r="AE772" s="157" t="s">
        <v>252</v>
      </c>
      <c r="AF772" s="242">
        <v>65.166904585369338</v>
      </c>
      <c r="AG772" s="157" t="s">
        <v>252</v>
      </c>
      <c r="AH772" s="242">
        <v>21.537732953378057</v>
      </c>
      <c r="AI772" s="157" t="s">
        <v>252</v>
      </c>
      <c r="AJ772" s="242">
        <v>9.2284287539194043</v>
      </c>
      <c r="AK772" s="242" t="s">
        <v>252</v>
      </c>
      <c r="AL772" s="242">
        <v>8.2487955477341135</v>
      </c>
      <c r="AM772" s="242" t="s">
        <v>252</v>
      </c>
      <c r="AN772" s="242">
        <v>5.9558859419526007</v>
      </c>
      <c r="AO772" s="242" t="s">
        <v>252</v>
      </c>
      <c r="AP772" s="242">
        <v>9.8318260185987505</v>
      </c>
      <c r="AQ772" s="242" t="s">
        <v>252</v>
      </c>
      <c r="AR772" s="242">
        <v>67.686975514324246</v>
      </c>
      <c r="AS772" s="242" t="s">
        <v>252</v>
      </c>
      <c r="AT772" s="242">
        <v>59.72213162055688</v>
      </c>
      <c r="AU772" s="242" t="s">
        <v>252</v>
      </c>
      <c r="AV772" s="242">
        <v>73.529280794690152</v>
      </c>
      <c r="AW772" s="157" t="s">
        <v>252</v>
      </c>
      <c r="AX772" s="157">
        <v>1969.9429945597312</v>
      </c>
      <c r="AY772" s="243">
        <v>0.31234681936342601</v>
      </c>
      <c r="AZ772" s="156" t="s">
        <v>253</v>
      </c>
      <c r="BA772" s="156" t="s">
        <v>254</v>
      </c>
      <c r="BB772" s="156">
        <v>0</v>
      </c>
      <c r="BC772" s="157" t="s">
        <v>255</v>
      </c>
      <c r="BD772" s="3"/>
    </row>
    <row r="773" spans="1:56" ht="15.75" hidden="1" customHeight="1" outlineLevel="1">
      <c r="A773" s="58">
        <v>763</v>
      </c>
      <c r="B773" s="11">
        <v>129763</v>
      </c>
      <c r="C773" s="89" t="s">
        <v>375</v>
      </c>
      <c r="D773" s="157">
        <v>126</v>
      </c>
      <c r="E773" s="12" t="s">
        <v>191</v>
      </c>
      <c r="F773" s="11" t="s">
        <v>246</v>
      </c>
      <c r="G773" s="18" t="s">
        <v>247</v>
      </c>
      <c r="H773" s="11" t="s">
        <v>248</v>
      </c>
      <c r="I773" s="87" t="s">
        <v>249</v>
      </c>
      <c r="J773" s="19" t="s">
        <v>139</v>
      </c>
      <c r="K773" s="17" t="s">
        <v>140</v>
      </c>
      <c r="L773" s="260">
        <v>1</v>
      </c>
      <c r="M773" s="70" t="s">
        <v>250</v>
      </c>
      <c r="N773" s="70">
        <v>100</v>
      </c>
      <c r="O773" s="258">
        <v>8</v>
      </c>
      <c r="P773" s="70" t="s">
        <v>251</v>
      </c>
      <c r="Q773" s="70" t="s">
        <v>233</v>
      </c>
      <c r="R773" s="70" t="s">
        <v>240</v>
      </c>
      <c r="S773" s="70" t="s">
        <v>233</v>
      </c>
      <c r="T773" s="70" t="s">
        <v>233</v>
      </c>
      <c r="U773" s="70" t="s">
        <v>1427</v>
      </c>
      <c r="V773" s="70" t="s">
        <v>240</v>
      </c>
      <c r="W773" s="12"/>
      <c r="X773" s="242">
        <v>3427.29</v>
      </c>
      <c r="Y773" s="242">
        <v>3292.4799999999996</v>
      </c>
      <c r="Z773" s="242">
        <v>522.39</v>
      </c>
      <c r="AA773" s="157" t="s">
        <v>252</v>
      </c>
      <c r="AB773" s="242">
        <v>390.52</v>
      </c>
      <c r="AC773" s="157" t="s">
        <v>252</v>
      </c>
      <c r="AD773" s="242">
        <v>508.55</v>
      </c>
      <c r="AE773" s="157" t="s">
        <v>252</v>
      </c>
      <c r="AF773" s="242">
        <v>336.94</v>
      </c>
      <c r="AG773" s="157" t="s">
        <v>252</v>
      </c>
      <c r="AH773" s="242">
        <v>143.26</v>
      </c>
      <c r="AI773" s="157" t="s">
        <v>252</v>
      </c>
      <c r="AJ773" s="242">
        <v>71.819999999999993</v>
      </c>
      <c r="AK773" s="242" t="s">
        <v>252</v>
      </c>
      <c r="AL773" s="242">
        <v>55.79</v>
      </c>
      <c r="AM773" s="242" t="s">
        <v>252</v>
      </c>
      <c r="AN773" s="242">
        <v>52.65</v>
      </c>
      <c r="AO773" s="242" t="s">
        <v>252</v>
      </c>
      <c r="AP773" s="242">
        <v>70.38</v>
      </c>
      <c r="AQ773" s="242" t="s">
        <v>252</v>
      </c>
      <c r="AR773" s="242">
        <v>309.27999999999997</v>
      </c>
      <c r="AS773" s="242" t="s">
        <v>252</v>
      </c>
      <c r="AT773" s="242">
        <v>302.75</v>
      </c>
      <c r="AU773" s="242" t="s">
        <v>252</v>
      </c>
      <c r="AV773" s="242">
        <v>433.65</v>
      </c>
      <c r="AW773" s="157" t="s">
        <v>252</v>
      </c>
      <c r="AX773" s="157">
        <v>9917.75</v>
      </c>
      <c r="AY773" s="240">
        <v>1.5</v>
      </c>
      <c r="AZ773" s="156" t="s">
        <v>253</v>
      </c>
      <c r="BA773" s="156" t="s">
        <v>254</v>
      </c>
      <c r="BB773" s="156">
        <v>1</v>
      </c>
      <c r="BC773" s="157" t="s">
        <v>255</v>
      </c>
      <c r="BD773" s="3"/>
    </row>
    <row r="774" spans="1:56" ht="15.75" hidden="1" customHeight="1" outlineLevel="1">
      <c r="A774" s="58">
        <v>764</v>
      </c>
      <c r="B774" s="11">
        <v>129764</v>
      </c>
      <c r="C774" s="89" t="s">
        <v>375</v>
      </c>
      <c r="D774" s="157">
        <v>128</v>
      </c>
      <c r="E774" s="12" t="s">
        <v>191</v>
      </c>
      <c r="F774" s="11" t="s">
        <v>246</v>
      </c>
      <c r="G774" s="18" t="s">
        <v>247</v>
      </c>
      <c r="H774" s="11" t="s">
        <v>248</v>
      </c>
      <c r="I774" s="87" t="s">
        <v>249</v>
      </c>
      <c r="J774" s="19" t="s">
        <v>139</v>
      </c>
      <c r="K774" s="17" t="s">
        <v>140</v>
      </c>
      <c r="L774" s="257">
        <v>0</v>
      </c>
      <c r="M774" s="70" t="s">
        <v>250</v>
      </c>
      <c r="N774" s="70">
        <v>80</v>
      </c>
      <c r="O774" s="258">
        <v>8</v>
      </c>
      <c r="P774" s="70" t="s">
        <v>251</v>
      </c>
      <c r="Q774" s="70" t="s">
        <v>233</v>
      </c>
      <c r="R774" s="70" t="s">
        <v>240</v>
      </c>
      <c r="S774" s="70" t="s">
        <v>233</v>
      </c>
      <c r="T774" s="70" t="s">
        <v>233</v>
      </c>
      <c r="U774" s="70" t="s">
        <v>1427</v>
      </c>
      <c r="V774" s="70" t="s">
        <v>240</v>
      </c>
      <c r="W774" s="12"/>
      <c r="X774" s="242">
        <v>533.64</v>
      </c>
      <c r="Y774" s="242">
        <v>524.37</v>
      </c>
      <c r="Z774" s="242">
        <v>76.61</v>
      </c>
      <c r="AA774" s="157" t="s">
        <v>252</v>
      </c>
      <c r="AB774" s="242">
        <v>48.49</v>
      </c>
      <c r="AC774" s="157" t="s">
        <v>252</v>
      </c>
      <c r="AD774" s="242">
        <v>74.95</v>
      </c>
      <c r="AE774" s="157" t="s">
        <v>252</v>
      </c>
      <c r="AF774" s="242">
        <v>36.020000000000003</v>
      </c>
      <c r="AG774" s="157" t="s">
        <v>252</v>
      </c>
      <c r="AH774" s="242">
        <v>19.809999999999999</v>
      </c>
      <c r="AI774" s="157" t="s">
        <v>252</v>
      </c>
      <c r="AJ774" s="242">
        <v>10.41</v>
      </c>
      <c r="AK774" s="242" t="s">
        <v>252</v>
      </c>
      <c r="AL774" s="242">
        <v>8.49</v>
      </c>
      <c r="AM774" s="242" t="s">
        <v>252</v>
      </c>
      <c r="AN774" s="242">
        <v>8.82</v>
      </c>
      <c r="AO774" s="242" t="s">
        <v>252</v>
      </c>
      <c r="AP774" s="242">
        <v>11.59</v>
      </c>
      <c r="AQ774" s="242" t="s">
        <v>252</v>
      </c>
      <c r="AR774" s="242">
        <v>43.74</v>
      </c>
      <c r="AS774" s="242" t="s">
        <v>252</v>
      </c>
      <c r="AT774" s="242">
        <v>46.16</v>
      </c>
      <c r="AU774" s="242" t="s">
        <v>252</v>
      </c>
      <c r="AV774" s="242">
        <v>62.64</v>
      </c>
      <c r="AW774" s="157" t="s">
        <v>252</v>
      </c>
      <c r="AX774" s="157">
        <v>1505.74</v>
      </c>
      <c r="AY774" s="240">
        <v>0.27</v>
      </c>
      <c r="AZ774" s="156" t="s">
        <v>253</v>
      </c>
      <c r="BA774" s="156" t="s">
        <v>254</v>
      </c>
      <c r="BB774" s="156">
        <v>0</v>
      </c>
      <c r="BC774" s="156" t="s">
        <v>1423</v>
      </c>
      <c r="BD774" s="3"/>
    </row>
    <row r="775" spans="1:56" ht="15.75" hidden="1" customHeight="1" outlineLevel="1">
      <c r="A775" s="58">
        <v>765</v>
      </c>
      <c r="B775" s="11">
        <v>129765</v>
      </c>
      <c r="C775" s="89" t="s">
        <v>375</v>
      </c>
      <c r="D775" s="157">
        <v>130</v>
      </c>
      <c r="E775" s="12" t="s">
        <v>191</v>
      </c>
      <c r="F775" s="11" t="s">
        <v>246</v>
      </c>
      <c r="G775" s="18" t="s">
        <v>247</v>
      </c>
      <c r="H775" s="11" t="s">
        <v>248</v>
      </c>
      <c r="I775" s="87" t="s">
        <v>249</v>
      </c>
      <c r="J775" s="19" t="s">
        <v>139</v>
      </c>
      <c r="K775" s="17" t="s">
        <v>140</v>
      </c>
      <c r="L775" s="260">
        <v>1</v>
      </c>
      <c r="M775" s="70" t="s">
        <v>250</v>
      </c>
      <c r="N775" s="70">
        <v>100</v>
      </c>
      <c r="O775" s="258">
        <v>8</v>
      </c>
      <c r="P775" s="70" t="s">
        <v>251</v>
      </c>
      <c r="Q775" s="70" t="s">
        <v>233</v>
      </c>
      <c r="R775" s="70" t="s">
        <v>240</v>
      </c>
      <c r="S775" s="70" t="s">
        <v>233</v>
      </c>
      <c r="T775" s="70" t="s">
        <v>233</v>
      </c>
      <c r="U775" s="70" t="s">
        <v>1427</v>
      </c>
      <c r="V775" s="70" t="s">
        <v>240</v>
      </c>
      <c r="W775" s="12"/>
      <c r="X775" s="242">
        <v>474.33</v>
      </c>
      <c r="Y775" s="242">
        <v>466.79999999999995</v>
      </c>
      <c r="Z775" s="242">
        <v>68.37</v>
      </c>
      <c r="AA775" s="157" t="s">
        <v>252</v>
      </c>
      <c r="AB775" s="242">
        <v>43.18</v>
      </c>
      <c r="AC775" s="157" t="s">
        <v>252</v>
      </c>
      <c r="AD775" s="242">
        <v>66.88</v>
      </c>
      <c r="AE775" s="157" t="s">
        <v>252</v>
      </c>
      <c r="AF775" s="242">
        <v>32.08</v>
      </c>
      <c r="AG775" s="157" t="s">
        <v>252</v>
      </c>
      <c r="AH775" s="242">
        <v>17.850000000000001</v>
      </c>
      <c r="AI775" s="157" t="s">
        <v>252</v>
      </c>
      <c r="AJ775" s="242">
        <v>8.75</v>
      </c>
      <c r="AK775" s="242" t="s">
        <v>252</v>
      </c>
      <c r="AL775" s="242">
        <v>7.25</v>
      </c>
      <c r="AM775" s="242" t="s">
        <v>252</v>
      </c>
      <c r="AN775" s="242">
        <v>17.84</v>
      </c>
      <c r="AO775" s="242" t="s">
        <v>252</v>
      </c>
      <c r="AP775" s="242">
        <v>9.8000000000000007</v>
      </c>
      <c r="AQ775" s="242" t="s">
        <v>252</v>
      </c>
      <c r="AR775" s="242">
        <v>39.15</v>
      </c>
      <c r="AS775" s="242" t="s">
        <v>252</v>
      </c>
      <c r="AT775" s="242">
        <v>41.27</v>
      </c>
      <c r="AU775" s="242" t="s">
        <v>252</v>
      </c>
      <c r="AV775" s="242">
        <v>55.9</v>
      </c>
      <c r="AW775" s="157" t="s">
        <v>252</v>
      </c>
      <c r="AX775" s="157">
        <v>1349.4499999999998</v>
      </c>
      <c r="AY775" s="240">
        <v>0.25</v>
      </c>
      <c r="AZ775" s="156" t="s">
        <v>253</v>
      </c>
      <c r="BA775" s="156" t="s">
        <v>254</v>
      </c>
      <c r="BB775" s="156">
        <v>1</v>
      </c>
      <c r="BC775" s="156" t="s">
        <v>1423</v>
      </c>
      <c r="BD775" s="3"/>
    </row>
    <row r="776" spans="1:56" ht="15.75" hidden="1" customHeight="1" outlineLevel="1">
      <c r="A776" s="58">
        <v>766</v>
      </c>
      <c r="B776" s="11">
        <v>129766</v>
      </c>
      <c r="C776" s="89" t="s">
        <v>375</v>
      </c>
      <c r="D776" s="157">
        <v>134</v>
      </c>
      <c r="E776" s="12" t="s">
        <v>191</v>
      </c>
      <c r="F776" s="11" t="s">
        <v>246</v>
      </c>
      <c r="G776" s="18" t="s">
        <v>247</v>
      </c>
      <c r="H776" s="11" t="s">
        <v>248</v>
      </c>
      <c r="I776" s="87" t="s">
        <v>249</v>
      </c>
      <c r="J776" s="19" t="s">
        <v>139</v>
      </c>
      <c r="K776" s="17" t="s">
        <v>140</v>
      </c>
      <c r="L776" s="260">
        <v>1</v>
      </c>
      <c r="M776" s="70" t="s">
        <v>250</v>
      </c>
      <c r="N776" s="70">
        <v>80</v>
      </c>
      <c r="O776" s="258">
        <v>8</v>
      </c>
      <c r="P776" s="70" t="s">
        <v>251</v>
      </c>
      <c r="Q776" s="70" t="s">
        <v>233</v>
      </c>
      <c r="R776" s="70" t="s">
        <v>240</v>
      </c>
      <c r="S776" s="70" t="s">
        <v>233</v>
      </c>
      <c r="T776" s="70" t="s">
        <v>233</v>
      </c>
      <c r="U776" s="70" t="s">
        <v>1427</v>
      </c>
      <c r="V776" s="70" t="s">
        <v>240</v>
      </c>
      <c r="W776" s="12"/>
      <c r="X776" s="242">
        <v>1306.1399999999999</v>
      </c>
      <c r="Y776" s="242">
        <v>1139.3000000000002</v>
      </c>
      <c r="Z776" s="242">
        <v>184.92</v>
      </c>
      <c r="AA776" s="157" t="s">
        <v>252</v>
      </c>
      <c r="AB776" s="242">
        <v>150.18</v>
      </c>
      <c r="AC776" s="157" t="s">
        <v>252</v>
      </c>
      <c r="AD776" s="242">
        <v>180.23</v>
      </c>
      <c r="AE776" s="157" t="s">
        <v>252</v>
      </c>
      <c r="AF776" s="242">
        <v>124.16</v>
      </c>
      <c r="AG776" s="157" t="s">
        <v>252</v>
      </c>
      <c r="AH776" s="242">
        <v>75.61</v>
      </c>
      <c r="AI776" s="157" t="s">
        <v>252</v>
      </c>
      <c r="AJ776" s="242">
        <v>17.96</v>
      </c>
      <c r="AK776" s="242" t="s">
        <v>252</v>
      </c>
      <c r="AL776" s="242">
        <v>16.75</v>
      </c>
      <c r="AM776" s="242" t="s">
        <v>252</v>
      </c>
      <c r="AN776" s="242">
        <v>15.73</v>
      </c>
      <c r="AO776" s="242" t="s">
        <v>252</v>
      </c>
      <c r="AP776" s="242">
        <v>19.850000000000001</v>
      </c>
      <c r="AQ776" s="242" t="s">
        <v>252</v>
      </c>
      <c r="AR776" s="242">
        <v>103.69</v>
      </c>
      <c r="AS776" s="242" t="s">
        <v>252</v>
      </c>
      <c r="AT776" s="242">
        <v>81.16</v>
      </c>
      <c r="AU776" s="242" t="s">
        <v>252</v>
      </c>
      <c r="AV776" s="242">
        <v>125.48</v>
      </c>
      <c r="AW776" s="157" t="s">
        <v>252</v>
      </c>
      <c r="AX776" s="157">
        <v>3541.16</v>
      </c>
      <c r="AY776" s="240">
        <v>0.61599999999999999</v>
      </c>
      <c r="AZ776" s="156" t="s">
        <v>253</v>
      </c>
      <c r="BA776" s="156" t="s">
        <v>254</v>
      </c>
      <c r="BB776" s="156">
        <v>1</v>
      </c>
      <c r="BC776" s="156" t="s">
        <v>1423</v>
      </c>
      <c r="BD776" s="3"/>
    </row>
    <row r="777" spans="1:56" ht="15.75" hidden="1" customHeight="1" outlineLevel="1">
      <c r="A777" s="58">
        <v>767</v>
      </c>
      <c r="B777" s="11">
        <v>129767</v>
      </c>
      <c r="C777" s="89" t="s">
        <v>375</v>
      </c>
      <c r="D777" s="157" t="s">
        <v>376</v>
      </c>
      <c r="E777" s="12" t="s">
        <v>191</v>
      </c>
      <c r="F777" s="11" t="s">
        <v>246</v>
      </c>
      <c r="G777" s="18" t="s">
        <v>247</v>
      </c>
      <c r="H777" s="11" t="s">
        <v>248</v>
      </c>
      <c r="I777" s="87" t="s">
        <v>249</v>
      </c>
      <c r="J777" s="19" t="s">
        <v>139</v>
      </c>
      <c r="K777" s="17" t="s">
        <v>140</v>
      </c>
      <c r="L777" s="257">
        <v>0</v>
      </c>
      <c r="M777" s="70" t="s">
        <v>250</v>
      </c>
      <c r="N777" s="70">
        <v>100</v>
      </c>
      <c r="O777" s="258">
        <v>8</v>
      </c>
      <c r="P777" s="70" t="s">
        <v>251</v>
      </c>
      <c r="Q777" s="70" t="s">
        <v>233</v>
      </c>
      <c r="R777" s="70" t="s">
        <v>240</v>
      </c>
      <c r="S777" s="70" t="s">
        <v>233</v>
      </c>
      <c r="T777" s="70" t="s">
        <v>233</v>
      </c>
      <c r="U777" s="70" t="s">
        <v>1427</v>
      </c>
      <c r="V777" s="70" t="s">
        <v>240</v>
      </c>
      <c r="W777" s="12"/>
      <c r="X777" s="242">
        <v>274.79229348701745</v>
      </c>
      <c r="Y777" s="242">
        <v>293.45987482183801</v>
      </c>
      <c r="Z777" s="242">
        <v>54.412760736196319</v>
      </c>
      <c r="AA777" s="157" t="s">
        <v>259</v>
      </c>
      <c r="AB777" s="242">
        <v>43.685281031170597</v>
      </c>
      <c r="AC777" s="157" t="s">
        <v>259</v>
      </c>
      <c r="AD777" s="242">
        <v>30.268570366239079</v>
      </c>
      <c r="AE777" s="157" t="s">
        <v>259</v>
      </c>
      <c r="AF777" s="242">
        <v>37.266459688913677</v>
      </c>
      <c r="AG777" s="157" t="s">
        <v>259</v>
      </c>
      <c r="AH777" s="242">
        <v>28.021001425295903</v>
      </c>
      <c r="AI777" s="157" t="s">
        <v>259</v>
      </c>
      <c r="AJ777" s="242">
        <v>0</v>
      </c>
      <c r="AK777" s="242" t="s">
        <v>259</v>
      </c>
      <c r="AL777" s="242">
        <v>3.1210782673359363</v>
      </c>
      <c r="AM777" s="242" t="s">
        <v>259</v>
      </c>
      <c r="AN777" s="242">
        <v>0</v>
      </c>
      <c r="AO777" s="242" t="s">
        <v>259</v>
      </c>
      <c r="AP777" s="242">
        <v>5.4471649005391329</v>
      </c>
      <c r="AQ777" s="242" t="s">
        <v>259</v>
      </c>
      <c r="AR777" s="242">
        <v>36.412579785585919</v>
      </c>
      <c r="AS777" s="242" t="s">
        <v>259</v>
      </c>
      <c r="AT777" s="242">
        <v>33.703719402615107</v>
      </c>
      <c r="AU777" s="242" t="s">
        <v>259</v>
      </c>
      <c r="AV777" s="242">
        <v>40.416982090847121</v>
      </c>
      <c r="AW777" s="157" t="s">
        <v>259</v>
      </c>
      <c r="AX777" s="157">
        <v>881.00776600359427</v>
      </c>
      <c r="AY777" s="240">
        <v>0.13740596145504122</v>
      </c>
      <c r="AZ777" s="156" t="s">
        <v>253</v>
      </c>
      <c r="BA777" s="156" t="s">
        <v>254</v>
      </c>
      <c r="BB777" s="156">
        <v>0</v>
      </c>
      <c r="BC777" s="156" t="s">
        <v>1423</v>
      </c>
      <c r="BD777" s="3"/>
    </row>
    <row r="778" spans="1:56" ht="15.75" hidden="1" customHeight="1" outlineLevel="1">
      <c r="A778" s="58">
        <v>768</v>
      </c>
      <c r="B778" s="11">
        <v>129768</v>
      </c>
      <c r="C778" s="89" t="s">
        <v>375</v>
      </c>
      <c r="D778" s="157" t="s">
        <v>376</v>
      </c>
      <c r="E778" s="12" t="s">
        <v>231</v>
      </c>
      <c r="F778" s="11" t="s">
        <v>246</v>
      </c>
      <c r="G778" s="18" t="s">
        <v>247</v>
      </c>
      <c r="H778" s="11" t="s">
        <v>248</v>
      </c>
      <c r="I778" s="87" t="s">
        <v>249</v>
      </c>
      <c r="J778" s="19" t="s">
        <v>139</v>
      </c>
      <c r="K778" s="17" t="s">
        <v>140</v>
      </c>
      <c r="L778" s="257">
        <v>0</v>
      </c>
      <c r="M778" s="70" t="s">
        <v>250</v>
      </c>
      <c r="N778" s="70">
        <v>80</v>
      </c>
      <c r="O778" s="258">
        <v>8</v>
      </c>
      <c r="P778" s="70" t="s">
        <v>251</v>
      </c>
      <c r="Q778" s="70" t="s">
        <v>233</v>
      </c>
      <c r="R778" s="70" t="s">
        <v>240</v>
      </c>
      <c r="S778" s="70" t="s">
        <v>233</v>
      </c>
      <c r="T778" s="70" t="s">
        <v>233</v>
      </c>
      <c r="U778" s="70" t="s">
        <v>1427</v>
      </c>
      <c r="V778" s="70" t="s">
        <v>240</v>
      </c>
      <c r="W778" s="12"/>
      <c r="X778" s="242">
        <v>5.1877065129825866</v>
      </c>
      <c r="Y778" s="242">
        <v>5.5401251781619871</v>
      </c>
      <c r="Z778" s="242">
        <v>1.0272392638036807</v>
      </c>
      <c r="AA778" s="157" t="s">
        <v>252</v>
      </c>
      <c r="AB778" s="242">
        <v>0.8247189688293981</v>
      </c>
      <c r="AC778" s="157" t="s">
        <v>252</v>
      </c>
      <c r="AD778" s="242">
        <v>0.57142963376092204</v>
      </c>
      <c r="AE778" s="157" t="s">
        <v>252</v>
      </c>
      <c r="AF778" s="242">
        <v>0.7035403110863232</v>
      </c>
      <c r="AG778" s="157" t="s">
        <v>252</v>
      </c>
      <c r="AH778" s="242">
        <v>0.52899857470409617</v>
      </c>
      <c r="AI778" s="157" t="s">
        <v>252</v>
      </c>
      <c r="AJ778" s="242">
        <v>0</v>
      </c>
      <c r="AK778" s="242" t="s">
        <v>252</v>
      </c>
      <c r="AL778" s="242">
        <v>5.8921732664063947E-2</v>
      </c>
      <c r="AM778" s="242" t="s">
        <v>252</v>
      </c>
      <c r="AN778" s="242">
        <v>0</v>
      </c>
      <c r="AO778" s="242" t="s">
        <v>252</v>
      </c>
      <c r="AP778" s="242">
        <v>0.10283509946086632</v>
      </c>
      <c r="AQ778" s="242" t="s">
        <v>252</v>
      </c>
      <c r="AR778" s="242">
        <v>0.68742021441407941</v>
      </c>
      <c r="AS778" s="242" t="s">
        <v>252</v>
      </c>
      <c r="AT778" s="242">
        <v>0.63628059738489184</v>
      </c>
      <c r="AU778" s="242" t="s">
        <v>252</v>
      </c>
      <c r="AV778" s="242">
        <v>0.76301790915287837</v>
      </c>
      <c r="AW778" s="157" t="s">
        <v>252</v>
      </c>
      <c r="AX778" s="157">
        <v>16.63223399640577</v>
      </c>
      <c r="AY778" s="243">
        <v>2.5940385449587902E-3</v>
      </c>
      <c r="AZ778" s="156" t="s">
        <v>253</v>
      </c>
      <c r="BA778" s="156" t="s">
        <v>254</v>
      </c>
      <c r="BB778" s="156">
        <v>0</v>
      </c>
      <c r="BC778" s="156" t="s">
        <v>1423</v>
      </c>
      <c r="BD778" s="3"/>
    </row>
    <row r="779" spans="1:56" ht="15.75" hidden="1" customHeight="1" outlineLevel="1">
      <c r="A779" s="58">
        <v>769</v>
      </c>
      <c r="B779" s="11">
        <v>129769</v>
      </c>
      <c r="C779" s="89" t="s">
        <v>375</v>
      </c>
      <c r="D779" s="157">
        <v>136</v>
      </c>
      <c r="E779" s="12" t="s">
        <v>191</v>
      </c>
      <c r="F779" s="11" t="s">
        <v>246</v>
      </c>
      <c r="G779" s="18" t="s">
        <v>247</v>
      </c>
      <c r="H779" s="11" t="s">
        <v>248</v>
      </c>
      <c r="I779" s="87" t="s">
        <v>249</v>
      </c>
      <c r="J779" s="19" t="s">
        <v>139</v>
      </c>
      <c r="K779" s="17" t="s">
        <v>140</v>
      </c>
      <c r="L779" s="257">
        <v>0</v>
      </c>
      <c r="M779" s="70" t="s">
        <v>250</v>
      </c>
      <c r="N779" s="70">
        <v>80</v>
      </c>
      <c r="O779" s="258">
        <v>8</v>
      </c>
      <c r="P779" s="70" t="s">
        <v>251</v>
      </c>
      <c r="Q779" s="70" t="s">
        <v>233</v>
      </c>
      <c r="R779" s="70" t="s">
        <v>240</v>
      </c>
      <c r="S779" s="70" t="s">
        <v>233</v>
      </c>
      <c r="T779" s="70" t="s">
        <v>233</v>
      </c>
      <c r="U779" s="70" t="s">
        <v>1427</v>
      </c>
      <c r="V779" s="70" t="s">
        <v>240</v>
      </c>
      <c r="W779" s="12"/>
      <c r="X779" s="242">
        <v>799.33</v>
      </c>
      <c r="Y779" s="242">
        <v>707.29</v>
      </c>
      <c r="Z779" s="242">
        <v>129.68</v>
      </c>
      <c r="AA779" s="157" t="s">
        <v>252</v>
      </c>
      <c r="AB779" s="242">
        <v>93.98</v>
      </c>
      <c r="AC779" s="157" t="s">
        <v>252</v>
      </c>
      <c r="AD779" s="242">
        <v>117.38</v>
      </c>
      <c r="AE779" s="157" t="s">
        <v>252</v>
      </c>
      <c r="AF779" s="242">
        <v>71.95</v>
      </c>
      <c r="AG779" s="157" t="s">
        <v>252</v>
      </c>
      <c r="AH779" s="242">
        <v>32.47</v>
      </c>
      <c r="AI779" s="157" t="s">
        <v>252</v>
      </c>
      <c r="AJ779" s="242">
        <v>10.96</v>
      </c>
      <c r="AK779" s="242" t="s">
        <v>252</v>
      </c>
      <c r="AL779" s="242">
        <v>8.24</v>
      </c>
      <c r="AM779" s="242" t="s">
        <v>252</v>
      </c>
      <c r="AN779" s="242">
        <v>8.5399999999999991</v>
      </c>
      <c r="AO779" s="242" t="s">
        <v>252</v>
      </c>
      <c r="AP779" s="242">
        <v>11.58</v>
      </c>
      <c r="AQ779" s="242" t="s">
        <v>252</v>
      </c>
      <c r="AR779" s="242">
        <v>85.4</v>
      </c>
      <c r="AS779" s="242" t="s">
        <v>252</v>
      </c>
      <c r="AT779" s="242">
        <v>77.67</v>
      </c>
      <c r="AU779" s="242" t="s">
        <v>252</v>
      </c>
      <c r="AV779" s="242">
        <v>92.21</v>
      </c>
      <c r="AW779" s="157" t="s">
        <v>252</v>
      </c>
      <c r="AX779" s="157">
        <v>2246.6799999999998</v>
      </c>
      <c r="AY779" s="240">
        <v>0.34</v>
      </c>
      <c r="AZ779" s="156" t="s">
        <v>253</v>
      </c>
      <c r="BA779" s="156" t="s">
        <v>254</v>
      </c>
      <c r="BB779" s="156">
        <v>0</v>
      </c>
      <c r="BC779" s="156" t="s">
        <v>1423</v>
      </c>
      <c r="BD779" s="3"/>
    </row>
    <row r="780" spans="1:56" ht="15.75" hidden="1" customHeight="1" outlineLevel="1">
      <c r="A780" s="58">
        <v>770</v>
      </c>
      <c r="B780" s="11">
        <v>129770</v>
      </c>
      <c r="C780" s="89" t="s">
        <v>375</v>
      </c>
      <c r="D780" s="157">
        <v>149</v>
      </c>
      <c r="E780" s="12" t="s">
        <v>191</v>
      </c>
      <c r="F780" s="11" t="s">
        <v>246</v>
      </c>
      <c r="G780" s="18" t="s">
        <v>247</v>
      </c>
      <c r="H780" s="11" t="s">
        <v>248</v>
      </c>
      <c r="I780" s="87" t="s">
        <v>249</v>
      </c>
      <c r="J780" s="19" t="s">
        <v>139</v>
      </c>
      <c r="K780" s="17" t="s">
        <v>140</v>
      </c>
      <c r="L780" s="257">
        <v>0</v>
      </c>
      <c r="M780" s="70" t="s">
        <v>250</v>
      </c>
      <c r="N780" s="70">
        <v>100</v>
      </c>
      <c r="O780" s="258">
        <v>8</v>
      </c>
      <c r="P780" s="70" t="s">
        <v>251</v>
      </c>
      <c r="Q780" s="70" t="s">
        <v>233</v>
      </c>
      <c r="R780" s="70" t="s">
        <v>240</v>
      </c>
      <c r="S780" s="70" t="s">
        <v>233</v>
      </c>
      <c r="T780" s="70" t="s">
        <v>233</v>
      </c>
      <c r="U780" s="70" t="s">
        <v>1427</v>
      </c>
      <c r="V780" s="70" t="s">
        <v>240</v>
      </c>
      <c r="W780" s="12"/>
      <c r="X780" s="242">
        <v>609.89</v>
      </c>
      <c r="Y780" s="242">
        <v>675.19999999999993</v>
      </c>
      <c r="Z780" s="242">
        <v>63.1</v>
      </c>
      <c r="AA780" s="157" t="s">
        <v>252</v>
      </c>
      <c r="AB780" s="242">
        <v>106.48</v>
      </c>
      <c r="AC780" s="157" t="s">
        <v>252</v>
      </c>
      <c r="AD780" s="242">
        <v>106.69</v>
      </c>
      <c r="AE780" s="157" t="s">
        <v>252</v>
      </c>
      <c r="AF780" s="242">
        <v>106.62</v>
      </c>
      <c r="AG780" s="157" t="s">
        <v>252</v>
      </c>
      <c r="AH780" s="242">
        <v>106.67</v>
      </c>
      <c r="AI780" s="157" t="s">
        <v>252</v>
      </c>
      <c r="AJ780" s="242">
        <v>8.92</v>
      </c>
      <c r="AK780" s="242" t="s">
        <v>252</v>
      </c>
      <c r="AL780" s="242">
        <v>8.92</v>
      </c>
      <c r="AM780" s="242" t="s">
        <v>252</v>
      </c>
      <c r="AN780" s="242">
        <v>8.92</v>
      </c>
      <c r="AO780" s="242" t="s">
        <v>252</v>
      </c>
      <c r="AP780" s="242">
        <v>15.32973</v>
      </c>
      <c r="AQ780" s="242" t="s">
        <v>252</v>
      </c>
      <c r="AR780" s="242">
        <v>55.59</v>
      </c>
      <c r="AS780" s="242" t="s">
        <v>252</v>
      </c>
      <c r="AT780" s="242">
        <v>98.99</v>
      </c>
      <c r="AU780" s="242" t="s">
        <v>252</v>
      </c>
      <c r="AV780" s="242">
        <v>90.4</v>
      </c>
      <c r="AW780" s="157" t="s">
        <v>252</v>
      </c>
      <c r="AX780" s="157">
        <v>2061.7197300000003</v>
      </c>
      <c r="AY780" s="240">
        <v>0.26</v>
      </c>
      <c r="AZ780" s="156" t="s">
        <v>253</v>
      </c>
      <c r="BA780" s="156" t="s">
        <v>254</v>
      </c>
      <c r="BB780" s="157">
        <v>1</v>
      </c>
      <c r="BC780" s="156" t="s">
        <v>1423</v>
      </c>
      <c r="BD780" s="3"/>
    </row>
    <row r="781" spans="1:56" ht="15.75" hidden="1" customHeight="1" outlineLevel="1">
      <c r="A781" s="58">
        <v>771</v>
      </c>
      <c r="B781" s="11">
        <v>129771</v>
      </c>
      <c r="C781" s="89" t="s">
        <v>375</v>
      </c>
      <c r="D781" s="157">
        <v>150</v>
      </c>
      <c r="E781" s="12" t="s">
        <v>191</v>
      </c>
      <c r="F781" s="11" t="s">
        <v>246</v>
      </c>
      <c r="G781" s="18" t="s">
        <v>247</v>
      </c>
      <c r="H781" s="11" t="s">
        <v>248</v>
      </c>
      <c r="I781" s="87" t="s">
        <v>249</v>
      </c>
      <c r="J781" s="19" t="s">
        <v>139</v>
      </c>
      <c r="K781" s="17" t="s">
        <v>140</v>
      </c>
      <c r="L781" s="260">
        <v>1</v>
      </c>
      <c r="M781" s="70" t="s">
        <v>250</v>
      </c>
      <c r="N781" s="70">
        <v>80</v>
      </c>
      <c r="O781" s="258">
        <v>8</v>
      </c>
      <c r="P781" s="70" t="s">
        <v>251</v>
      </c>
      <c r="Q781" s="70" t="s">
        <v>233</v>
      </c>
      <c r="R781" s="70" t="s">
        <v>240</v>
      </c>
      <c r="S781" s="70" t="s">
        <v>233</v>
      </c>
      <c r="T781" s="70" t="s">
        <v>233</v>
      </c>
      <c r="U781" s="70" t="s">
        <v>1427</v>
      </c>
      <c r="V781" s="70" t="s">
        <v>240</v>
      </c>
      <c r="W781" s="12"/>
      <c r="X781" s="242">
        <v>1796.2254801663789</v>
      </c>
      <c r="Y781" s="242">
        <v>1716.6819188394034</v>
      </c>
      <c r="Z781" s="242">
        <v>247.45163082073651</v>
      </c>
      <c r="AA781" s="157" t="s">
        <v>252</v>
      </c>
      <c r="AB781" s="242">
        <v>199.47090240438266</v>
      </c>
      <c r="AC781" s="157" t="s">
        <v>252</v>
      </c>
      <c r="AD781" s="242">
        <v>260.80137090392611</v>
      </c>
      <c r="AE781" s="157" t="s">
        <v>252</v>
      </c>
      <c r="AF781" s="242">
        <v>175.35813837881707</v>
      </c>
      <c r="AG781" s="157" t="s">
        <v>252</v>
      </c>
      <c r="AH781" s="242">
        <v>74.818928375773552</v>
      </c>
      <c r="AI781" s="157" t="s">
        <v>252</v>
      </c>
      <c r="AJ781" s="242">
        <v>29.938995333265694</v>
      </c>
      <c r="AK781" s="242" t="s">
        <v>252</v>
      </c>
      <c r="AL781" s="242">
        <v>31.122193568022723</v>
      </c>
      <c r="AM781" s="242" t="s">
        <v>252</v>
      </c>
      <c r="AN781" s="242">
        <v>29.734995637617931</v>
      </c>
      <c r="AO781" s="242" t="s">
        <v>252</v>
      </c>
      <c r="AP781" s="242">
        <v>34.590188394034691</v>
      </c>
      <c r="AQ781" s="242" t="s">
        <v>252</v>
      </c>
      <c r="AR781" s="242">
        <v>145.9821822055392</v>
      </c>
      <c r="AS781" s="242" t="s">
        <v>252</v>
      </c>
      <c r="AT781" s="242">
        <v>172.63270244496294</v>
      </c>
      <c r="AU781" s="242" t="s">
        <v>252</v>
      </c>
      <c r="AV781" s="242">
        <v>213.48976148929691</v>
      </c>
      <c r="AW781" s="157" t="s">
        <v>252</v>
      </c>
      <c r="AX781" s="157">
        <v>5128.2993889621594</v>
      </c>
      <c r="AY781" s="240">
        <v>0.82415877041696251</v>
      </c>
      <c r="AZ781" s="156" t="s">
        <v>253</v>
      </c>
      <c r="BA781" s="156" t="s">
        <v>254</v>
      </c>
      <c r="BB781" s="156">
        <v>1</v>
      </c>
      <c r="BC781" s="157" t="s">
        <v>255</v>
      </c>
      <c r="BD781" s="3"/>
    </row>
    <row r="782" spans="1:56" ht="15.75" hidden="1" customHeight="1" outlineLevel="1">
      <c r="A782" s="58">
        <v>772</v>
      </c>
      <c r="B782" s="11">
        <v>129772</v>
      </c>
      <c r="C782" s="89" t="s">
        <v>375</v>
      </c>
      <c r="D782" s="157">
        <v>150</v>
      </c>
      <c r="E782" s="12" t="s">
        <v>231</v>
      </c>
      <c r="F782" s="11" t="s">
        <v>246</v>
      </c>
      <c r="G782" s="18" t="s">
        <v>247</v>
      </c>
      <c r="H782" s="11" t="s">
        <v>248</v>
      </c>
      <c r="I782" s="87" t="s">
        <v>249</v>
      </c>
      <c r="J782" s="19" t="s">
        <v>139</v>
      </c>
      <c r="K782" s="17" t="s">
        <v>140</v>
      </c>
      <c r="L782" s="257">
        <v>0</v>
      </c>
      <c r="M782" s="70" t="s">
        <v>250</v>
      </c>
      <c r="N782" s="70">
        <v>100</v>
      </c>
      <c r="O782" s="258">
        <v>8</v>
      </c>
      <c r="P782" s="70" t="s">
        <v>251</v>
      </c>
      <c r="Q782" s="70" t="s">
        <v>233</v>
      </c>
      <c r="R782" s="70" t="s">
        <v>240</v>
      </c>
      <c r="S782" s="70" t="s">
        <v>233</v>
      </c>
      <c r="T782" s="70" t="s">
        <v>233</v>
      </c>
      <c r="U782" s="70" t="s">
        <v>1427</v>
      </c>
      <c r="V782" s="70" t="s">
        <v>240</v>
      </c>
      <c r="W782" s="12"/>
      <c r="X782" s="242">
        <v>108.13128659835648</v>
      </c>
      <c r="Y782" s="242">
        <v>103.34283007000103</v>
      </c>
      <c r="Z782" s="242">
        <v>14.896383280917115</v>
      </c>
      <c r="AA782" s="157" t="s">
        <v>252</v>
      </c>
      <c r="AB782" s="242">
        <v>12.00798315917622</v>
      </c>
      <c r="AC782" s="157" t="s">
        <v>252</v>
      </c>
      <c r="AD782" s="242">
        <v>15.700026580095365</v>
      </c>
      <c r="AE782" s="157" t="s">
        <v>252</v>
      </c>
      <c r="AF782" s="242">
        <v>10.556414730648271</v>
      </c>
      <c r="AG782" s="157" t="s">
        <v>252</v>
      </c>
      <c r="AH782" s="242">
        <v>4.5040375367758951</v>
      </c>
      <c r="AI782" s="157" t="s">
        <v>252</v>
      </c>
      <c r="AJ782" s="242">
        <v>1.8023027290250582</v>
      </c>
      <c r="AK782" s="242" t="s">
        <v>252</v>
      </c>
      <c r="AL782" s="242">
        <v>1.8735302830475804</v>
      </c>
      <c r="AM782" s="242" t="s">
        <v>252</v>
      </c>
      <c r="AN782" s="242">
        <v>1.7900221162625545</v>
      </c>
      <c r="AO782" s="242" t="s">
        <v>252</v>
      </c>
      <c r="AP782" s="242">
        <v>2.082300700010145</v>
      </c>
      <c r="AQ782" s="242" t="s">
        <v>252</v>
      </c>
      <c r="AR782" s="242">
        <v>8.7880064928477228</v>
      </c>
      <c r="AS782" s="242" t="s">
        <v>252</v>
      </c>
      <c r="AT782" s="242">
        <v>10.39234574414122</v>
      </c>
      <c r="AU782" s="242" t="s">
        <v>252</v>
      </c>
      <c r="AV782" s="242">
        <v>12.851906868215481</v>
      </c>
      <c r="AW782" s="157" t="s">
        <v>252</v>
      </c>
      <c r="AX782" s="157">
        <v>308.71937688952011</v>
      </c>
      <c r="AY782" s="243">
        <v>4.9613675560515373E-2</v>
      </c>
      <c r="AZ782" s="156" t="s">
        <v>253</v>
      </c>
      <c r="BA782" s="156" t="s">
        <v>254</v>
      </c>
      <c r="BB782" s="156">
        <v>0</v>
      </c>
      <c r="BC782" s="157" t="s">
        <v>255</v>
      </c>
      <c r="BD782" s="3"/>
    </row>
    <row r="783" spans="1:56" ht="15.75" hidden="1" customHeight="1" outlineLevel="1">
      <c r="A783" s="58">
        <v>773</v>
      </c>
      <c r="B783" s="11">
        <v>129773</v>
      </c>
      <c r="C783" s="89" t="s">
        <v>375</v>
      </c>
      <c r="D783" s="157">
        <v>150</v>
      </c>
      <c r="E783" s="12" t="s">
        <v>348</v>
      </c>
      <c r="F783" s="11" t="s">
        <v>246</v>
      </c>
      <c r="G783" s="18" t="s">
        <v>247</v>
      </c>
      <c r="H783" s="11" t="s">
        <v>248</v>
      </c>
      <c r="I783" s="87" t="s">
        <v>249</v>
      </c>
      <c r="J783" s="19" t="s">
        <v>139</v>
      </c>
      <c r="K783" s="17" t="s">
        <v>140</v>
      </c>
      <c r="L783" s="257">
        <v>0</v>
      </c>
      <c r="M783" s="70" t="s">
        <v>250</v>
      </c>
      <c r="N783" s="70">
        <v>100</v>
      </c>
      <c r="O783" s="258">
        <v>8</v>
      </c>
      <c r="P783" s="70" t="s">
        <v>251</v>
      </c>
      <c r="Q783" s="70" t="s">
        <v>233</v>
      </c>
      <c r="R783" s="70" t="s">
        <v>240</v>
      </c>
      <c r="S783" s="70" t="s">
        <v>233</v>
      </c>
      <c r="T783" s="70" t="s">
        <v>233</v>
      </c>
      <c r="U783" s="70" t="s">
        <v>1427</v>
      </c>
      <c r="V783" s="70" t="s">
        <v>240</v>
      </c>
      <c r="W783" s="12"/>
      <c r="X783" s="242">
        <v>296.90323323526422</v>
      </c>
      <c r="Y783" s="242">
        <v>283.75525109059549</v>
      </c>
      <c r="Z783" s="242">
        <v>40.901985898346346</v>
      </c>
      <c r="AA783" s="157" t="s">
        <v>252</v>
      </c>
      <c r="AB783" s="242">
        <v>32.971114436441106</v>
      </c>
      <c r="AC783" s="157" t="s">
        <v>252</v>
      </c>
      <c r="AD783" s="242">
        <v>43.10860251597849</v>
      </c>
      <c r="AE783" s="157" t="s">
        <v>252</v>
      </c>
      <c r="AF783" s="242">
        <v>28.985446890534643</v>
      </c>
      <c r="AG783" s="157" t="s">
        <v>252</v>
      </c>
      <c r="AH783" s="242">
        <v>12.367034087450541</v>
      </c>
      <c r="AI783" s="157" t="s">
        <v>252</v>
      </c>
      <c r="AJ783" s="242">
        <v>4.9487019377092416</v>
      </c>
      <c r="AK783" s="242" t="s">
        <v>252</v>
      </c>
      <c r="AL783" s="242">
        <v>5.144276148929694</v>
      </c>
      <c r="AM783" s="242" t="s">
        <v>252</v>
      </c>
      <c r="AN783" s="242">
        <v>4.9149822461195081</v>
      </c>
      <c r="AO783" s="242" t="s">
        <v>252</v>
      </c>
      <c r="AP783" s="242">
        <v>5.7175109059551588</v>
      </c>
      <c r="AQ783" s="242" t="s">
        <v>252</v>
      </c>
      <c r="AR783" s="242">
        <v>24.129811301613067</v>
      </c>
      <c r="AS783" s="242" t="s">
        <v>252</v>
      </c>
      <c r="AT783" s="242">
        <v>28.534951810895809</v>
      </c>
      <c r="AU783" s="242" t="s">
        <v>252</v>
      </c>
      <c r="AV783" s="242">
        <v>35.28833164248757</v>
      </c>
      <c r="AW783" s="157" t="s">
        <v>252</v>
      </c>
      <c r="AX783" s="157">
        <v>847.67123414832076</v>
      </c>
      <c r="AY783" s="243">
        <v>0.13622755402252207</v>
      </c>
      <c r="AZ783" s="156" t="s">
        <v>253</v>
      </c>
      <c r="BA783" s="156" t="s">
        <v>254</v>
      </c>
      <c r="BB783" s="156">
        <v>0</v>
      </c>
      <c r="BC783" s="157" t="s">
        <v>255</v>
      </c>
      <c r="BD783" s="3"/>
    </row>
    <row r="784" spans="1:56" ht="15.75" hidden="1" customHeight="1" outlineLevel="1">
      <c r="A784" s="58">
        <v>774</v>
      </c>
      <c r="B784" s="11">
        <v>129774</v>
      </c>
      <c r="C784" s="89" t="s">
        <v>375</v>
      </c>
      <c r="D784" s="157">
        <v>167</v>
      </c>
      <c r="E784" s="12" t="s">
        <v>191</v>
      </c>
      <c r="F784" s="11" t="s">
        <v>246</v>
      </c>
      <c r="G784" s="18" t="s">
        <v>247</v>
      </c>
      <c r="H784" s="11" t="s">
        <v>248</v>
      </c>
      <c r="I784" s="87" t="s">
        <v>249</v>
      </c>
      <c r="J784" s="19" t="s">
        <v>139</v>
      </c>
      <c r="K784" s="17" t="s">
        <v>140</v>
      </c>
      <c r="L784" s="257">
        <v>0</v>
      </c>
      <c r="M784" s="70" t="s">
        <v>250</v>
      </c>
      <c r="N784" s="70">
        <v>100</v>
      </c>
      <c r="O784" s="258">
        <v>8</v>
      </c>
      <c r="P784" s="70" t="s">
        <v>251</v>
      </c>
      <c r="Q784" s="70" t="s">
        <v>233</v>
      </c>
      <c r="R784" s="70" t="s">
        <v>240</v>
      </c>
      <c r="S784" s="70" t="s">
        <v>233</v>
      </c>
      <c r="T784" s="70" t="s">
        <v>233</v>
      </c>
      <c r="U784" s="70" t="s">
        <v>1427</v>
      </c>
      <c r="V784" s="70" t="s">
        <v>240</v>
      </c>
      <c r="W784" s="12"/>
      <c r="X784" s="242">
        <v>457.16725977452626</v>
      </c>
      <c r="Y784" s="242">
        <v>440.06400431758209</v>
      </c>
      <c r="Z784" s="242">
        <v>71.562411609498682</v>
      </c>
      <c r="AA784" s="157" t="s">
        <v>252</v>
      </c>
      <c r="AB784" s="242">
        <v>67.225295754377541</v>
      </c>
      <c r="AC784" s="157" t="s">
        <v>252</v>
      </c>
      <c r="AD784" s="242">
        <v>95.991254977212748</v>
      </c>
      <c r="AE784" s="157" t="s">
        <v>252</v>
      </c>
      <c r="AF784" s="242">
        <v>40.528278723914603</v>
      </c>
      <c r="AG784" s="157" t="s">
        <v>252</v>
      </c>
      <c r="AH784" s="242">
        <v>20.459539457903574</v>
      </c>
      <c r="AI784" s="157" t="s">
        <v>252</v>
      </c>
      <c r="AJ784" s="242">
        <v>10.467314943631566</v>
      </c>
      <c r="AK784" s="242" t="s">
        <v>252</v>
      </c>
      <c r="AL784" s="242">
        <v>8.3830472535380185</v>
      </c>
      <c r="AM784" s="242" t="s">
        <v>252</v>
      </c>
      <c r="AN784" s="242">
        <v>9.3179026145358588</v>
      </c>
      <c r="AO784" s="242" t="s">
        <v>252</v>
      </c>
      <c r="AP784" s="242">
        <v>10.421338450467736</v>
      </c>
      <c r="AQ784" s="242" t="s">
        <v>252</v>
      </c>
      <c r="AR784" s="242">
        <v>44.359653154233627</v>
      </c>
      <c r="AS784" s="242" t="s">
        <v>252</v>
      </c>
      <c r="AT784" s="242">
        <v>41.884585272247534</v>
      </c>
      <c r="AU784" s="242" t="s">
        <v>259</v>
      </c>
      <c r="AV784" s="242">
        <v>58.184493464140076</v>
      </c>
      <c r="AW784" s="157" t="s">
        <v>259</v>
      </c>
      <c r="AX784" s="157">
        <v>1376.0163797678101</v>
      </c>
      <c r="AY784" s="240">
        <v>0.183905972655313</v>
      </c>
      <c r="AZ784" s="156" t="s">
        <v>253</v>
      </c>
      <c r="BA784" s="156" t="s">
        <v>254</v>
      </c>
      <c r="BB784" s="156">
        <v>0</v>
      </c>
      <c r="BC784" s="156" t="s">
        <v>1423</v>
      </c>
      <c r="BD784" s="3"/>
    </row>
    <row r="785" spans="1:56" ht="15.75" hidden="1" customHeight="1" outlineLevel="1">
      <c r="A785" s="58">
        <v>775</v>
      </c>
      <c r="B785" s="11">
        <v>129775</v>
      </c>
      <c r="C785" s="89" t="s">
        <v>375</v>
      </c>
      <c r="D785" s="157">
        <v>167</v>
      </c>
      <c r="E785" s="12" t="s">
        <v>231</v>
      </c>
      <c r="F785" s="11" t="s">
        <v>246</v>
      </c>
      <c r="G785" s="18" t="s">
        <v>247</v>
      </c>
      <c r="H785" s="11" t="s">
        <v>248</v>
      </c>
      <c r="I785" s="87" t="s">
        <v>249</v>
      </c>
      <c r="J785" s="19" t="s">
        <v>139</v>
      </c>
      <c r="K785" s="17" t="s">
        <v>140</v>
      </c>
      <c r="L785" s="257">
        <v>0</v>
      </c>
      <c r="M785" s="70" t="s">
        <v>250</v>
      </c>
      <c r="N785" s="70">
        <v>100</v>
      </c>
      <c r="O785" s="258">
        <v>8</v>
      </c>
      <c r="P785" s="70" t="s">
        <v>251</v>
      </c>
      <c r="Q785" s="70" t="s">
        <v>233</v>
      </c>
      <c r="R785" s="70" t="s">
        <v>240</v>
      </c>
      <c r="S785" s="70" t="s">
        <v>233</v>
      </c>
      <c r="T785" s="70" t="s">
        <v>233</v>
      </c>
      <c r="U785" s="70" t="s">
        <v>1427</v>
      </c>
      <c r="V785" s="70" t="s">
        <v>240</v>
      </c>
      <c r="W785" s="12"/>
      <c r="X785" s="242">
        <v>139.44274022547373</v>
      </c>
      <c r="Y785" s="242">
        <v>134.22599568241782</v>
      </c>
      <c r="Z785" s="242">
        <v>21.827588390501319</v>
      </c>
      <c r="AA785" s="157" t="s">
        <v>252</v>
      </c>
      <c r="AB785" s="242">
        <v>20.504704245622452</v>
      </c>
      <c r="AC785" s="157" t="s">
        <v>252</v>
      </c>
      <c r="AD785" s="242">
        <v>29.278745022787238</v>
      </c>
      <c r="AE785" s="157" t="s">
        <v>252</v>
      </c>
      <c r="AF785" s="242">
        <v>12.361721276085392</v>
      </c>
      <c r="AG785" s="157" t="s">
        <v>252</v>
      </c>
      <c r="AH785" s="242">
        <v>6.2404605420964252</v>
      </c>
      <c r="AI785" s="157" t="s">
        <v>252</v>
      </c>
      <c r="AJ785" s="242">
        <v>3.1926850563684335</v>
      </c>
      <c r="AK785" s="242" t="s">
        <v>252</v>
      </c>
      <c r="AL785" s="242">
        <v>2.556952746461981</v>
      </c>
      <c r="AM785" s="242" t="s">
        <v>252</v>
      </c>
      <c r="AN785" s="242">
        <v>2.84209738546414</v>
      </c>
      <c r="AO785" s="242" t="s">
        <v>252</v>
      </c>
      <c r="AP785" s="242">
        <v>3.1786615495322619</v>
      </c>
      <c r="AQ785" s="242" t="s">
        <v>252</v>
      </c>
      <c r="AR785" s="242">
        <v>13.53034684576637</v>
      </c>
      <c r="AS785" s="242" t="s">
        <v>252</v>
      </c>
      <c r="AT785" s="242">
        <v>12.775414727752457</v>
      </c>
      <c r="AU785" s="242" t="s">
        <v>259</v>
      </c>
      <c r="AV785" s="242">
        <v>17.747126535859916</v>
      </c>
      <c r="AW785" s="157" t="s">
        <v>259</v>
      </c>
      <c r="AX785" s="157">
        <v>419.70524023218991</v>
      </c>
      <c r="AY785" s="243">
        <v>5.6094027344686971E-2</v>
      </c>
      <c r="AZ785" s="156" t="s">
        <v>253</v>
      </c>
      <c r="BA785" s="156" t="s">
        <v>254</v>
      </c>
      <c r="BB785" s="156">
        <v>0</v>
      </c>
      <c r="BC785" s="156" t="s">
        <v>1423</v>
      </c>
      <c r="BD785" s="3"/>
    </row>
    <row r="786" spans="1:56" ht="15.75" hidden="1" customHeight="1" outlineLevel="1">
      <c r="A786" s="58">
        <v>776</v>
      </c>
      <c r="B786" s="11">
        <v>129776</v>
      </c>
      <c r="C786" s="89" t="s">
        <v>375</v>
      </c>
      <c r="D786" s="157">
        <v>171</v>
      </c>
      <c r="E786" s="12" t="s">
        <v>191</v>
      </c>
      <c r="F786" s="11" t="s">
        <v>246</v>
      </c>
      <c r="G786" s="18" t="s">
        <v>247</v>
      </c>
      <c r="H786" s="11" t="s">
        <v>248</v>
      </c>
      <c r="I786" s="87" t="s">
        <v>249</v>
      </c>
      <c r="J786" s="19" t="s">
        <v>139</v>
      </c>
      <c r="K786" s="17" t="s">
        <v>140</v>
      </c>
      <c r="L786" s="257">
        <v>0</v>
      </c>
      <c r="M786" s="70" t="s">
        <v>250</v>
      </c>
      <c r="N786" s="70">
        <v>80</v>
      </c>
      <c r="O786" s="258">
        <v>8</v>
      </c>
      <c r="P786" s="70" t="s">
        <v>251</v>
      </c>
      <c r="Q786" s="70" t="s">
        <v>233</v>
      </c>
      <c r="R786" s="70" t="s">
        <v>240</v>
      </c>
      <c r="S786" s="70" t="s">
        <v>233</v>
      </c>
      <c r="T786" s="70" t="s">
        <v>233</v>
      </c>
      <c r="U786" s="70" t="s">
        <v>1427</v>
      </c>
      <c r="V786" s="70" t="s">
        <v>240</v>
      </c>
      <c r="W786" s="12"/>
      <c r="X786" s="242">
        <v>498.14</v>
      </c>
      <c r="Y786" s="242">
        <v>610.48</v>
      </c>
      <c r="Z786" s="242">
        <v>104.7</v>
      </c>
      <c r="AA786" s="157" t="s">
        <v>252</v>
      </c>
      <c r="AB786" s="242">
        <v>104.4</v>
      </c>
      <c r="AC786" s="157" t="s">
        <v>252</v>
      </c>
      <c r="AD786" s="242">
        <v>106.63</v>
      </c>
      <c r="AE786" s="157" t="s">
        <v>252</v>
      </c>
      <c r="AF786" s="242">
        <v>94.83</v>
      </c>
      <c r="AG786" s="157" t="s">
        <v>252</v>
      </c>
      <c r="AH786" s="242">
        <v>98.14</v>
      </c>
      <c r="AI786" s="157" t="s">
        <v>252</v>
      </c>
      <c r="AJ786" s="242">
        <v>3.05</v>
      </c>
      <c r="AK786" s="242" t="s">
        <v>252</v>
      </c>
      <c r="AL786" s="242">
        <v>0</v>
      </c>
      <c r="AM786" s="242" t="s">
        <v>252</v>
      </c>
      <c r="AN786" s="242">
        <v>0</v>
      </c>
      <c r="AO786" s="242" t="s">
        <v>252</v>
      </c>
      <c r="AP786" s="242">
        <v>0</v>
      </c>
      <c r="AQ786" s="242" t="s">
        <v>252</v>
      </c>
      <c r="AR786" s="242">
        <v>92.39</v>
      </c>
      <c r="AS786" s="242" t="s">
        <v>252</v>
      </c>
      <c r="AT786" s="242">
        <v>27</v>
      </c>
      <c r="AU786" s="242" t="s">
        <v>252</v>
      </c>
      <c r="AV786" s="242">
        <v>42.7</v>
      </c>
      <c r="AW786" s="157" t="s">
        <v>252</v>
      </c>
      <c r="AX786" s="157">
        <v>1782.46</v>
      </c>
      <c r="AY786" s="240">
        <v>0.24</v>
      </c>
      <c r="AZ786" s="156" t="s">
        <v>253</v>
      </c>
      <c r="BA786" s="156" t="s">
        <v>254</v>
      </c>
      <c r="BB786" s="156">
        <v>0</v>
      </c>
      <c r="BC786" s="156" t="s">
        <v>1423</v>
      </c>
      <c r="BD786" s="3"/>
    </row>
    <row r="787" spans="1:56" ht="15.75" hidden="1" customHeight="1" outlineLevel="1">
      <c r="A787" s="58">
        <v>777</v>
      </c>
      <c r="B787" s="11">
        <v>129777</v>
      </c>
      <c r="C787" s="89" t="s">
        <v>375</v>
      </c>
      <c r="D787" s="157">
        <v>179</v>
      </c>
      <c r="E787" s="12" t="s">
        <v>191</v>
      </c>
      <c r="F787" s="11" t="s">
        <v>246</v>
      </c>
      <c r="G787" s="18" t="s">
        <v>247</v>
      </c>
      <c r="H787" s="11" t="s">
        <v>248</v>
      </c>
      <c r="I787" s="87" t="s">
        <v>249</v>
      </c>
      <c r="J787" s="19" t="s">
        <v>139</v>
      </c>
      <c r="K787" s="17" t="s">
        <v>140</v>
      </c>
      <c r="L787" s="257">
        <v>0</v>
      </c>
      <c r="M787" s="70" t="s">
        <v>250</v>
      </c>
      <c r="N787" s="70">
        <v>80</v>
      </c>
      <c r="O787" s="258">
        <v>8</v>
      </c>
      <c r="P787" s="70" t="s">
        <v>251</v>
      </c>
      <c r="Q787" s="70" t="s">
        <v>233</v>
      </c>
      <c r="R787" s="70" t="s">
        <v>240</v>
      </c>
      <c r="S787" s="70" t="s">
        <v>233</v>
      </c>
      <c r="T787" s="70" t="s">
        <v>233</v>
      </c>
      <c r="U787" s="70" t="s">
        <v>1427</v>
      </c>
      <c r="V787" s="70" t="s">
        <v>240</v>
      </c>
      <c r="W787" s="12"/>
      <c r="X787" s="242">
        <v>1100.79</v>
      </c>
      <c r="Y787" s="242">
        <v>1154.75</v>
      </c>
      <c r="Z787" s="242">
        <v>160.38999999999999</v>
      </c>
      <c r="AA787" s="157" t="s">
        <v>252</v>
      </c>
      <c r="AB787" s="242">
        <v>92.94</v>
      </c>
      <c r="AC787" s="157" t="s">
        <v>252</v>
      </c>
      <c r="AD787" s="242">
        <v>168.39</v>
      </c>
      <c r="AE787" s="157" t="s">
        <v>252</v>
      </c>
      <c r="AF787" s="242">
        <v>104.04</v>
      </c>
      <c r="AG787" s="157" t="s">
        <v>252</v>
      </c>
      <c r="AH787" s="242">
        <v>38.520000000000003</v>
      </c>
      <c r="AI787" s="157" t="s">
        <v>252</v>
      </c>
      <c r="AJ787" s="242">
        <v>20.78</v>
      </c>
      <c r="AK787" s="242" t="s">
        <v>252</v>
      </c>
      <c r="AL787" s="242">
        <v>16.760000000000002</v>
      </c>
      <c r="AM787" s="242" t="s">
        <v>252</v>
      </c>
      <c r="AN787" s="242">
        <v>16.809999999999999</v>
      </c>
      <c r="AO787" s="242" t="s">
        <v>252</v>
      </c>
      <c r="AP787" s="242">
        <v>23.71</v>
      </c>
      <c r="AQ787" s="242" t="s">
        <v>252</v>
      </c>
      <c r="AR787" s="242">
        <v>79.650000000000006</v>
      </c>
      <c r="AS787" s="242" t="s">
        <v>252</v>
      </c>
      <c r="AT787" s="242">
        <v>83.44</v>
      </c>
      <c r="AU787" s="242" t="s">
        <v>252</v>
      </c>
      <c r="AV787" s="242">
        <v>108.24</v>
      </c>
      <c r="AW787" s="157" t="s">
        <v>252</v>
      </c>
      <c r="AX787" s="157">
        <v>3169.21</v>
      </c>
      <c r="AY787" s="240">
        <v>0.38</v>
      </c>
      <c r="AZ787" s="156" t="s">
        <v>253</v>
      </c>
      <c r="BA787" s="156" t="s">
        <v>254</v>
      </c>
      <c r="BB787" s="156">
        <v>0</v>
      </c>
      <c r="BC787" s="156" t="s">
        <v>1423</v>
      </c>
      <c r="BD787" s="3"/>
    </row>
    <row r="788" spans="1:56" ht="15.75" hidden="1" customHeight="1" outlineLevel="1">
      <c r="A788" s="58">
        <v>778</v>
      </c>
      <c r="B788" s="11">
        <v>129778</v>
      </c>
      <c r="C788" s="89" t="s">
        <v>375</v>
      </c>
      <c r="D788" s="157" t="s">
        <v>377</v>
      </c>
      <c r="E788" s="12" t="s">
        <v>191</v>
      </c>
      <c r="F788" s="11" t="s">
        <v>246</v>
      </c>
      <c r="G788" s="18" t="s">
        <v>247</v>
      </c>
      <c r="H788" s="11" t="s">
        <v>248</v>
      </c>
      <c r="I788" s="87" t="s">
        <v>249</v>
      </c>
      <c r="J788" s="19" t="s">
        <v>139</v>
      </c>
      <c r="K788" s="17" t="s">
        <v>140</v>
      </c>
      <c r="L788" s="257">
        <v>0</v>
      </c>
      <c r="M788" s="70" t="s">
        <v>250</v>
      </c>
      <c r="N788" s="70">
        <v>80</v>
      </c>
      <c r="O788" s="258">
        <v>8</v>
      </c>
      <c r="P788" s="70" t="s">
        <v>251</v>
      </c>
      <c r="Q788" s="70" t="s">
        <v>233</v>
      </c>
      <c r="R788" s="70" t="s">
        <v>240</v>
      </c>
      <c r="S788" s="70" t="s">
        <v>233</v>
      </c>
      <c r="T788" s="70" t="s">
        <v>233</v>
      </c>
      <c r="U788" s="70" t="s">
        <v>1427</v>
      </c>
      <c r="V788" s="70" t="s">
        <v>240</v>
      </c>
      <c r="W788" s="12"/>
      <c r="X788" s="242">
        <v>576.03</v>
      </c>
      <c r="Y788" s="242">
        <v>614.94999999999993</v>
      </c>
      <c r="Z788" s="242">
        <v>95.62</v>
      </c>
      <c r="AA788" s="157" t="s">
        <v>252</v>
      </c>
      <c r="AB788" s="242">
        <v>55.39</v>
      </c>
      <c r="AC788" s="157" t="s">
        <v>252</v>
      </c>
      <c r="AD788" s="242">
        <v>100.39</v>
      </c>
      <c r="AE788" s="157" t="s">
        <v>252</v>
      </c>
      <c r="AF788" s="242">
        <v>62.06</v>
      </c>
      <c r="AG788" s="157" t="s">
        <v>252</v>
      </c>
      <c r="AH788" s="242">
        <v>23.06</v>
      </c>
      <c r="AI788" s="157" t="s">
        <v>252</v>
      </c>
      <c r="AJ788" s="242">
        <v>12.04</v>
      </c>
      <c r="AK788" s="242" t="s">
        <v>252</v>
      </c>
      <c r="AL788" s="242">
        <v>9.74</v>
      </c>
      <c r="AM788" s="242" t="s">
        <v>252</v>
      </c>
      <c r="AN788" s="242">
        <v>9.69</v>
      </c>
      <c r="AO788" s="242" t="s">
        <v>252</v>
      </c>
      <c r="AP788" s="242">
        <v>13.91</v>
      </c>
      <c r="AQ788" s="242" t="s">
        <v>252</v>
      </c>
      <c r="AR788" s="242">
        <v>47.52</v>
      </c>
      <c r="AS788" s="242" t="s">
        <v>252</v>
      </c>
      <c r="AT788" s="242">
        <v>49.75</v>
      </c>
      <c r="AU788" s="242" t="s">
        <v>252</v>
      </c>
      <c r="AV788" s="242">
        <v>64.53</v>
      </c>
      <c r="AW788" s="157" t="s">
        <v>252</v>
      </c>
      <c r="AX788" s="157">
        <v>1734.68</v>
      </c>
      <c r="AY788" s="240">
        <v>0.22</v>
      </c>
      <c r="AZ788" s="156" t="s">
        <v>253</v>
      </c>
      <c r="BA788" s="156" t="s">
        <v>254</v>
      </c>
      <c r="BB788" s="156">
        <v>0</v>
      </c>
      <c r="BC788" s="156" t="s">
        <v>1423</v>
      </c>
      <c r="BD788" s="3"/>
    </row>
    <row r="789" spans="1:56" ht="15.75" hidden="1" customHeight="1" outlineLevel="1">
      <c r="A789" s="58">
        <v>779</v>
      </c>
      <c r="B789" s="11">
        <v>129779</v>
      </c>
      <c r="C789" s="89" t="s">
        <v>375</v>
      </c>
      <c r="D789" s="157">
        <v>183</v>
      </c>
      <c r="E789" s="12" t="s">
        <v>191</v>
      </c>
      <c r="F789" s="11" t="s">
        <v>246</v>
      </c>
      <c r="G789" s="18" t="s">
        <v>247</v>
      </c>
      <c r="H789" s="11" t="s">
        <v>248</v>
      </c>
      <c r="I789" s="87" t="s">
        <v>249</v>
      </c>
      <c r="J789" s="19" t="s">
        <v>139</v>
      </c>
      <c r="K789" s="17" t="s">
        <v>140</v>
      </c>
      <c r="L789" s="257">
        <v>0</v>
      </c>
      <c r="M789" s="70" t="s">
        <v>250</v>
      </c>
      <c r="N789" s="70">
        <v>100</v>
      </c>
      <c r="O789" s="258">
        <v>8</v>
      </c>
      <c r="P789" s="70" t="s">
        <v>251</v>
      </c>
      <c r="Q789" s="70" t="s">
        <v>233</v>
      </c>
      <c r="R789" s="70" t="s">
        <v>240</v>
      </c>
      <c r="S789" s="70" t="s">
        <v>240</v>
      </c>
      <c r="T789" s="70" t="s">
        <v>240</v>
      </c>
      <c r="U789" s="70" t="s">
        <v>1427</v>
      </c>
      <c r="V789" s="70" t="s">
        <v>240</v>
      </c>
      <c r="W789" s="12"/>
      <c r="X789" s="242">
        <v>1833.1799999999998</v>
      </c>
      <c r="Y789" s="242">
        <v>1835.1099999999997</v>
      </c>
      <c r="Z789" s="242">
        <v>181.07</v>
      </c>
      <c r="AA789" s="157" t="s">
        <v>259</v>
      </c>
      <c r="AB789" s="242">
        <v>181.18</v>
      </c>
      <c r="AC789" s="157" t="s">
        <v>259</v>
      </c>
      <c r="AD789" s="242">
        <v>180.39</v>
      </c>
      <c r="AE789" s="157" t="s">
        <v>259</v>
      </c>
      <c r="AF789" s="242">
        <v>181.08</v>
      </c>
      <c r="AG789" s="157" t="s">
        <v>259</v>
      </c>
      <c r="AH789" s="242">
        <v>179.35</v>
      </c>
      <c r="AI789" s="157" t="s">
        <v>259</v>
      </c>
      <c r="AJ789" s="242">
        <v>58.51</v>
      </c>
      <c r="AK789" s="242" t="s">
        <v>259</v>
      </c>
      <c r="AL789" s="242">
        <v>67.59</v>
      </c>
      <c r="AM789" s="242" t="s">
        <v>259</v>
      </c>
      <c r="AN789" s="242">
        <v>13.17</v>
      </c>
      <c r="AO789" s="242" t="s">
        <v>259</v>
      </c>
      <c r="AP789" s="242">
        <v>44.75</v>
      </c>
      <c r="AQ789" s="242" t="s">
        <v>259</v>
      </c>
      <c r="AR789" s="242">
        <v>170.19</v>
      </c>
      <c r="AS789" s="242" t="s">
        <v>259</v>
      </c>
      <c r="AT789" s="242">
        <v>171.8</v>
      </c>
      <c r="AU789" s="242" t="s">
        <v>259</v>
      </c>
      <c r="AV789" s="242">
        <v>170.56</v>
      </c>
      <c r="AW789" s="157" t="s">
        <v>259</v>
      </c>
      <c r="AX789" s="157">
        <v>5267.93</v>
      </c>
      <c r="AY789" s="240">
        <v>0.63</v>
      </c>
      <c r="AZ789" s="156" t="s">
        <v>253</v>
      </c>
      <c r="BA789" s="156" t="s">
        <v>254</v>
      </c>
      <c r="BB789" s="157">
        <v>1</v>
      </c>
      <c r="BC789" s="156" t="s">
        <v>1423</v>
      </c>
      <c r="BD789" s="3"/>
    </row>
    <row r="790" spans="1:56" ht="15.75" hidden="1" customHeight="1" outlineLevel="1">
      <c r="A790" s="58">
        <v>780</v>
      </c>
      <c r="B790" s="11">
        <v>129780</v>
      </c>
      <c r="C790" s="89" t="s">
        <v>375</v>
      </c>
      <c r="D790" s="157">
        <v>187</v>
      </c>
      <c r="E790" s="12" t="s">
        <v>191</v>
      </c>
      <c r="F790" s="11" t="s">
        <v>246</v>
      </c>
      <c r="G790" s="18" t="s">
        <v>247</v>
      </c>
      <c r="H790" s="11" t="s">
        <v>248</v>
      </c>
      <c r="I790" s="87" t="s">
        <v>249</v>
      </c>
      <c r="J790" s="19" t="s">
        <v>139</v>
      </c>
      <c r="K790" s="17" t="s">
        <v>140</v>
      </c>
      <c r="L790" s="257">
        <v>0</v>
      </c>
      <c r="M790" s="70" t="s">
        <v>250</v>
      </c>
      <c r="N790" s="70">
        <v>80</v>
      </c>
      <c r="O790" s="258">
        <v>8</v>
      </c>
      <c r="P790" s="70" t="s">
        <v>251</v>
      </c>
      <c r="Q790" s="70" t="s">
        <v>240</v>
      </c>
      <c r="R790" s="70" t="s">
        <v>240</v>
      </c>
      <c r="S790" s="70" t="s">
        <v>240</v>
      </c>
      <c r="T790" s="70" t="s">
        <v>240</v>
      </c>
      <c r="U790" s="70" t="s">
        <v>1427</v>
      </c>
      <c r="V790" s="70" t="s">
        <v>240</v>
      </c>
      <c r="W790" s="12"/>
      <c r="X790" s="242">
        <v>320.84999999999997</v>
      </c>
      <c r="Y790" s="242">
        <v>337.64000000000004</v>
      </c>
      <c r="Z790" s="242">
        <v>38.65</v>
      </c>
      <c r="AA790" s="157" t="s">
        <v>259</v>
      </c>
      <c r="AB790" s="242">
        <v>38.65</v>
      </c>
      <c r="AC790" s="157" t="s">
        <v>259</v>
      </c>
      <c r="AD790" s="242">
        <v>38.54</v>
      </c>
      <c r="AE790" s="157" t="s">
        <v>259</v>
      </c>
      <c r="AF790" s="242">
        <v>38.65</v>
      </c>
      <c r="AG790" s="157" t="s">
        <v>259</v>
      </c>
      <c r="AH790" s="242">
        <v>38.65</v>
      </c>
      <c r="AI790" s="157" t="s">
        <v>259</v>
      </c>
      <c r="AJ790" s="242">
        <v>0</v>
      </c>
      <c r="AK790" s="242" t="s">
        <v>259</v>
      </c>
      <c r="AL790" s="242">
        <v>2.1800000000000002</v>
      </c>
      <c r="AM790" s="242" t="s">
        <v>259</v>
      </c>
      <c r="AN790" s="242">
        <v>0</v>
      </c>
      <c r="AO790" s="242" t="s">
        <v>259</v>
      </c>
      <c r="AP790" s="242">
        <v>5.24</v>
      </c>
      <c r="AQ790" s="242" t="s">
        <v>259</v>
      </c>
      <c r="AR790" s="242">
        <v>32.44</v>
      </c>
      <c r="AS790" s="242" t="s">
        <v>259</v>
      </c>
      <c r="AT790" s="242">
        <v>37.450000000000003</v>
      </c>
      <c r="AU790" s="242" t="s">
        <v>259</v>
      </c>
      <c r="AV790" s="242">
        <v>38.299999999999997</v>
      </c>
      <c r="AW790" s="157" t="s">
        <v>259</v>
      </c>
      <c r="AX790" s="157">
        <v>967.23999999999978</v>
      </c>
      <c r="AY790" s="240">
        <v>0.13</v>
      </c>
      <c r="AZ790" s="156" t="s">
        <v>253</v>
      </c>
      <c r="BA790" s="156" t="s">
        <v>254</v>
      </c>
      <c r="BB790" s="156">
        <v>0</v>
      </c>
      <c r="BC790" s="156" t="s">
        <v>1423</v>
      </c>
      <c r="BD790" s="3"/>
    </row>
    <row r="791" spans="1:56" ht="15.75" hidden="1" customHeight="1" outlineLevel="1">
      <c r="A791" s="58">
        <v>781</v>
      </c>
      <c r="B791" s="11">
        <v>129781</v>
      </c>
      <c r="C791" s="89" t="s">
        <v>375</v>
      </c>
      <c r="D791" s="157">
        <v>189</v>
      </c>
      <c r="E791" s="12" t="s">
        <v>191</v>
      </c>
      <c r="F791" s="11" t="s">
        <v>246</v>
      </c>
      <c r="G791" s="18" t="s">
        <v>247</v>
      </c>
      <c r="H791" s="11" t="s">
        <v>248</v>
      </c>
      <c r="I791" s="87" t="s">
        <v>249</v>
      </c>
      <c r="J791" s="19" t="s">
        <v>139</v>
      </c>
      <c r="K791" s="17" t="s">
        <v>140</v>
      </c>
      <c r="L791" s="257">
        <v>0</v>
      </c>
      <c r="M791" s="70" t="s">
        <v>250</v>
      </c>
      <c r="N791" s="70">
        <v>80</v>
      </c>
      <c r="O791" s="258">
        <v>8</v>
      </c>
      <c r="P791" s="70" t="s">
        <v>251</v>
      </c>
      <c r="Q791" s="70" t="s">
        <v>240</v>
      </c>
      <c r="R791" s="70" t="s">
        <v>240</v>
      </c>
      <c r="S791" s="70" t="s">
        <v>240</v>
      </c>
      <c r="T791" s="70" t="s">
        <v>240</v>
      </c>
      <c r="U791" s="70" t="s">
        <v>1427</v>
      </c>
      <c r="V791" s="70" t="s">
        <v>240</v>
      </c>
      <c r="W791" s="12"/>
      <c r="X791" s="242">
        <v>363.39</v>
      </c>
      <c r="Y791" s="242">
        <v>425.92</v>
      </c>
      <c r="Z791" s="242">
        <v>44.99</v>
      </c>
      <c r="AA791" s="157" t="s">
        <v>259</v>
      </c>
      <c r="AB791" s="242">
        <v>44.99</v>
      </c>
      <c r="AC791" s="157" t="s">
        <v>259</v>
      </c>
      <c r="AD791" s="242">
        <v>44.88</v>
      </c>
      <c r="AE791" s="157" t="s">
        <v>259</v>
      </c>
      <c r="AF791" s="242">
        <v>44.99</v>
      </c>
      <c r="AG791" s="157" t="s">
        <v>259</v>
      </c>
      <c r="AH791" s="242">
        <v>44.99</v>
      </c>
      <c r="AI791" s="157" t="s">
        <v>259</v>
      </c>
      <c r="AJ791" s="242">
        <v>0</v>
      </c>
      <c r="AK791" s="242" t="s">
        <v>259</v>
      </c>
      <c r="AL791" s="242">
        <v>3.36</v>
      </c>
      <c r="AM791" s="242" t="s">
        <v>259</v>
      </c>
      <c r="AN791" s="242">
        <v>0</v>
      </c>
      <c r="AO791" s="242" t="s">
        <v>259</v>
      </c>
      <c r="AP791" s="242">
        <v>8.1999999999999993</v>
      </c>
      <c r="AQ791" s="242" t="s">
        <v>259</v>
      </c>
      <c r="AR791" s="242">
        <v>34.18</v>
      </c>
      <c r="AS791" s="242" t="s">
        <v>259</v>
      </c>
      <c r="AT791" s="242">
        <v>42.12</v>
      </c>
      <c r="AU791" s="242" t="s">
        <v>259</v>
      </c>
      <c r="AV791" s="242">
        <v>43.07</v>
      </c>
      <c r="AW791" s="157" t="s">
        <v>259</v>
      </c>
      <c r="AX791" s="157">
        <v>1145.08</v>
      </c>
      <c r="AY791" s="240">
        <v>0.2</v>
      </c>
      <c r="AZ791" s="156" t="s">
        <v>253</v>
      </c>
      <c r="BA791" s="156" t="s">
        <v>254</v>
      </c>
      <c r="BB791" s="156">
        <v>0</v>
      </c>
      <c r="BC791" s="156" t="s">
        <v>1423</v>
      </c>
      <c r="BD791" s="3"/>
    </row>
    <row r="792" spans="1:56" ht="15.75" hidden="1" customHeight="1" outlineLevel="1">
      <c r="A792" s="58">
        <v>782</v>
      </c>
      <c r="B792" s="11">
        <v>129782</v>
      </c>
      <c r="C792" s="89" t="s">
        <v>375</v>
      </c>
      <c r="D792" s="157">
        <v>191</v>
      </c>
      <c r="E792" s="12" t="s">
        <v>191</v>
      </c>
      <c r="F792" s="11" t="s">
        <v>246</v>
      </c>
      <c r="G792" s="18" t="s">
        <v>247</v>
      </c>
      <c r="H792" s="11" t="s">
        <v>248</v>
      </c>
      <c r="I792" s="87" t="s">
        <v>249</v>
      </c>
      <c r="J792" s="19" t="s">
        <v>139</v>
      </c>
      <c r="K792" s="17" t="s">
        <v>140</v>
      </c>
      <c r="L792" s="257">
        <v>0</v>
      </c>
      <c r="M792" s="70" t="s">
        <v>250</v>
      </c>
      <c r="N792" s="70">
        <v>100</v>
      </c>
      <c r="O792" s="258">
        <v>8</v>
      </c>
      <c r="P792" s="70" t="s">
        <v>251</v>
      </c>
      <c r="Q792" s="70" t="s">
        <v>240</v>
      </c>
      <c r="R792" s="70" t="s">
        <v>240</v>
      </c>
      <c r="S792" s="70" t="s">
        <v>240</v>
      </c>
      <c r="T792" s="70" t="s">
        <v>240</v>
      </c>
      <c r="U792" s="70" t="s">
        <v>1427</v>
      </c>
      <c r="V792" s="70" t="s">
        <v>240</v>
      </c>
      <c r="W792" s="12"/>
      <c r="X792" s="242">
        <v>221.62</v>
      </c>
      <c r="Y792" s="242">
        <v>232.65000000000003</v>
      </c>
      <c r="Z792" s="242">
        <v>26.63</v>
      </c>
      <c r="AA792" s="157" t="s">
        <v>259</v>
      </c>
      <c r="AB792" s="242">
        <v>26.63</v>
      </c>
      <c r="AC792" s="157" t="s">
        <v>259</v>
      </c>
      <c r="AD792" s="242">
        <v>26.55</v>
      </c>
      <c r="AE792" s="157" t="s">
        <v>259</v>
      </c>
      <c r="AF792" s="242">
        <v>26.63</v>
      </c>
      <c r="AG792" s="157" t="s">
        <v>259</v>
      </c>
      <c r="AH792" s="242">
        <v>26.63</v>
      </c>
      <c r="AI792" s="157" t="s">
        <v>259</v>
      </c>
      <c r="AJ792" s="242">
        <v>0</v>
      </c>
      <c r="AK792" s="242" t="s">
        <v>259</v>
      </c>
      <c r="AL792" s="242">
        <v>2.5099999999999998</v>
      </c>
      <c r="AM792" s="242" t="s">
        <v>259</v>
      </c>
      <c r="AN792" s="242">
        <v>0</v>
      </c>
      <c r="AO792" s="242" t="s">
        <v>259</v>
      </c>
      <c r="AP792" s="242">
        <v>6.23</v>
      </c>
      <c r="AQ792" s="242" t="s">
        <v>259</v>
      </c>
      <c r="AR792" s="242">
        <v>19.239999999999998</v>
      </c>
      <c r="AS792" s="242" t="s">
        <v>259</v>
      </c>
      <c r="AT792" s="242">
        <v>25.32</v>
      </c>
      <c r="AU792" s="242" t="s">
        <v>259</v>
      </c>
      <c r="AV792" s="242">
        <v>25.89</v>
      </c>
      <c r="AW792" s="157" t="s">
        <v>259</v>
      </c>
      <c r="AX792" s="157">
        <v>666.53000000000009</v>
      </c>
      <c r="AY792" s="240">
        <v>0.15</v>
      </c>
      <c r="AZ792" s="156" t="s">
        <v>253</v>
      </c>
      <c r="BA792" s="156" t="s">
        <v>254</v>
      </c>
      <c r="BB792" s="156">
        <v>0</v>
      </c>
      <c r="BC792" s="156" t="s">
        <v>1423</v>
      </c>
      <c r="BD792" s="3"/>
    </row>
    <row r="793" spans="1:56" ht="15.75" hidden="1" customHeight="1" outlineLevel="1">
      <c r="A793" s="58">
        <v>783</v>
      </c>
      <c r="B793" s="11">
        <v>129783</v>
      </c>
      <c r="C793" s="89" t="s">
        <v>375</v>
      </c>
      <c r="D793" s="157">
        <v>193</v>
      </c>
      <c r="E793" s="12" t="s">
        <v>191</v>
      </c>
      <c r="F793" s="11" t="s">
        <v>246</v>
      </c>
      <c r="G793" s="18" t="s">
        <v>247</v>
      </c>
      <c r="H793" s="11" t="s">
        <v>248</v>
      </c>
      <c r="I793" s="87" t="s">
        <v>249</v>
      </c>
      <c r="J793" s="19" t="s">
        <v>139</v>
      </c>
      <c r="K793" s="17" t="s">
        <v>140</v>
      </c>
      <c r="L793" s="257">
        <v>0</v>
      </c>
      <c r="M793" s="70" t="s">
        <v>250</v>
      </c>
      <c r="N793" s="70">
        <v>80</v>
      </c>
      <c r="O793" s="258">
        <v>8</v>
      </c>
      <c r="P793" s="70" t="s">
        <v>251</v>
      </c>
      <c r="Q793" s="70" t="s">
        <v>233</v>
      </c>
      <c r="R793" s="70" t="s">
        <v>240</v>
      </c>
      <c r="S793" s="70" t="s">
        <v>240</v>
      </c>
      <c r="T793" s="70" t="s">
        <v>240</v>
      </c>
      <c r="U793" s="70" t="s">
        <v>1427</v>
      </c>
      <c r="V793" s="70" t="s">
        <v>240</v>
      </c>
      <c r="W793" s="12"/>
      <c r="X793" s="242">
        <v>0</v>
      </c>
      <c r="Y793" s="242">
        <v>0</v>
      </c>
      <c r="Z793" s="242">
        <v>0</v>
      </c>
      <c r="AA793" s="157" t="s">
        <v>259</v>
      </c>
      <c r="AB793" s="242">
        <v>0</v>
      </c>
      <c r="AC793" s="157" t="s">
        <v>259</v>
      </c>
      <c r="AD793" s="242">
        <v>0</v>
      </c>
      <c r="AE793" s="157" t="s">
        <v>259</v>
      </c>
      <c r="AF793" s="242">
        <v>0</v>
      </c>
      <c r="AG793" s="157" t="s">
        <v>259</v>
      </c>
      <c r="AH793" s="242">
        <v>0</v>
      </c>
      <c r="AI793" s="157"/>
      <c r="AJ793" s="242">
        <v>0</v>
      </c>
      <c r="AK793" s="242"/>
      <c r="AL793" s="242">
        <v>0</v>
      </c>
      <c r="AM793" s="242"/>
      <c r="AN793" s="242">
        <v>0</v>
      </c>
      <c r="AO793" s="242"/>
      <c r="AP793" s="242">
        <v>0</v>
      </c>
      <c r="AQ793" s="242"/>
      <c r="AR793" s="242">
        <v>0</v>
      </c>
      <c r="AS793" s="242"/>
      <c r="AT793" s="242">
        <v>0</v>
      </c>
      <c r="AU793" s="242"/>
      <c r="AV793" s="242">
        <v>0</v>
      </c>
      <c r="AW793" s="157"/>
      <c r="AX793" s="157">
        <v>0</v>
      </c>
      <c r="AY793" s="243">
        <v>0.372</v>
      </c>
      <c r="AZ793" s="156" t="s">
        <v>253</v>
      </c>
      <c r="BA793" s="156" t="s">
        <v>254</v>
      </c>
      <c r="BB793" s="156">
        <v>0</v>
      </c>
      <c r="BC793" s="156" t="s">
        <v>1423</v>
      </c>
      <c r="BD793" s="3"/>
    </row>
    <row r="794" spans="1:56" ht="15.75" hidden="1" customHeight="1" outlineLevel="1">
      <c r="A794" s="58">
        <v>784</v>
      </c>
      <c r="B794" s="11">
        <v>129784</v>
      </c>
      <c r="C794" s="89" t="s">
        <v>378</v>
      </c>
      <c r="D794" s="157">
        <v>14</v>
      </c>
      <c r="E794" s="12" t="s">
        <v>191</v>
      </c>
      <c r="F794" s="11" t="s">
        <v>246</v>
      </c>
      <c r="G794" s="18" t="s">
        <v>247</v>
      </c>
      <c r="H794" s="11" t="s">
        <v>248</v>
      </c>
      <c r="I794" s="87" t="s">
        <v>249</v>
      </c>
      <c r="J794" s="19" t="s">
        <v>139</v>
      </c>
      <c r="K794" s="17" t="s">
        <v>140</v>
      </c>
      <c r="L794" s="257">
        <v>0</v>
      </c>
      <c r="M794" s="70" t="s">
        <v>250</v>
      </c>
      <c r="N794" s="70">
        <v>80</v>
      </c>
      <c r="O794" s="258">
        <v>8</v>
      </c>
      <c r="P794" s="70" t="s">
        <v>251</v>
      </c>
      <c r="Q794" s="70" t="s">
        <v>233</v>
      </c>
      <c r="R794" s="70" t="s">
        <v>240</v>
      </c>
      <c r="S794" s="70" t="s">
        <v>233</v>
      </c>
      <c r="T794" s="70" t="s">
        <v>233</v>
      </c>
      <c r="U794" s="70" t="s">
        <v>1427</v>
      </c>
      <c r="V794" s="70" t="s">
        <v>240</v>
      </c>
      <c r="W794" s="12"/>
      <c r="X794" s="242">
        <v>818.46999999999991</v>
      </c>
      <c r="Y794" s="242">
        <v>752.91000000000008</v>
      </c>
      <c r="Z794" s="242">
        <v>90.09</v>
      </c>
      <c r="AA794" s="157" t="s">
        <v>259</v>
      </c>
      <c r="AB794" s="242">
        <v>89.23</v>
      </c>
      <c r="AC794" s="157" t="s">
        <v>259</v>
      </c>
      <c r="AD794" s="242">
        <v>89.24</v>
      </c>
      <c r="AE794" s="157" t="s">
        <v>259</v>
      </c>
      <c r="AF794" s="242">
        <v>89.2</v>
      </c>
      <c r="AG794" s="157" t="s">
        <v>259</v>
      </c>
      <c r="AH794" s="242">
        <v>89.24</v>
      </c>
      <c r="AI794" s="157" t="s">
        <v>259</v>
      </c>
      <c r="AJ794" s="242">
        <v>15.2766</v>
      </c>
      <c r="AK794" s="242" t="s">
        <v>259</v>
      </c>
      <c r="AL794" s="242">
        <v>15.2766</v>
      </c>
      <c r="AM794" s="242" t="s">
        <v>259</v>
      </c>
      <c r="AN794" s="242">
        <v>15.2766</v>
      </c>
      <c r="AO794" s="242" t="s">
        <v>259</v>
      </c>
      <c r="AP794" s="242">
        <v>18.295559999999998</v>
      </c>
      <c r="AQ794" s="242" t="s">
        <v>259</v>
      </c>
      <c r="AR794" s="242">
        <v>87.65</v>
      </c>
      <c r="AS794" s="242" t="s">
        <v>259</v>
      </c>
      <c r="AT794" s="242">
        <v>86.75</v>
      </c>
      <c r="AU794" s="242" t="s">
        <v>259</v>
      </c>
      <c r="AV794" s="242">
        <v>70.260000000000005</v>
      </c>
      <c r="AW794" s="157" t="s">
        <v>252</v>
      </c>
      <c r="AX794" s="157">
        <v>2327.1653600000004</v>
      </c>
      <c r="AY794" s="240">
        <v>0.35</v>
      </c>
      <c r="AZ794" s="156" t="s">
        <v>253</v>
      </c>
      <c r="BA794" s="156" t="s">
        <v>254</v>
      </c>
      <c r="BB794" s="156">
        <v>0</v>
      </c>
      <c r="BC794" s="156" t="s">
        <v>1423</v>
      </c>
      <c r="BD794" s="3"/>
    </row>
    <row r="795" spans="1:56" ht="15.75" hidden="1" customHeight="1" outlineLevel="1">
      <c r="A795" s="58">
        <v>785</v>
      </c>
      <c r="B795" s="11">
        <v>129785</v>
      </c>
      <c r="C795" s="89" t="s">
        <v>378</v>
      </c>
      <c r="D795" s="157">
        <v>16</v>
      </c>
      <c r="E795" s="12" t="s">
        <v>191</v>
      </c>
      <c r="F795" s="11" t="s">
        <v>246</v>
      </c>
      <c r="G795" s="18" t="s">
        <v>247</v>
      </c>
      <c r="H795" s="11" t="s">
        <v>248</v>
      </c>
      <c r="I795" s="87" t="s">
        <v>249</v>
      </c>
      <c r="J795" s="19" t="s">
        <v>139</v>
      </c>
      <c r="K795" s="17" t="s">
        <v>140</v>
      </c>
      <c r="L795" s="257">
        <v>0</v>
      </c>
      <c r="M795" s="70" t="s">
        <v>250</v>
      </c>
      <c r="N795" s="70">
        <v>100</v>
      </c>
      <c r="O795" s="258">
        <v>8</v>
      </c>
      <c r="P795" s="70" t="s">
        <v>251</v>
      </c>
      <c r="Q795" s="70" t="s">
        <v>233</v>
      </c>
      <c r="R795" s="70" t="s">
        <v>240</v>
      </c>
      <c r="S795" s="70" t="s">
        <v>233</v>
      </c>
      <c r="T795" s="70" t="s">
        <v>233</v>
      </c>
      <c r="U795" s="70" t="s">
        <v>1427</v>
      </c>
      <c r="V795" s="70" t="s">
        <v>240</v>
      </c>
      <c r="W795" s="12"/>
      <c r="X795" s="242">
        <v>118.13</v>
      </c>
      <c r="Y795" s="242">
        <v>126.9</v>
      </c>
      <c r="Z795" s="242">
        <v>25.11</v>
      </c>
      <c r="AA795" s="157" t="s">
        <v>252</v>
      </c>
      <c r="AB795" s="242">
        <v>19.78</v>
      </c>
      <c r="AC795" s="157" t="s">
        <v>252</v>
      </c>
      <c r="AD795" s="242">
        <v>24.51</v>
      </c>
      <c r="AE795" s="157" t="s">
        <v>252</v>
      </c>
      <c r="AF795" s="242">
        <v>16.329999999999998</v>
      </c>
      <c r="AG795" s="157" t="s">
        <v>252</v>
      </c>
      <c r="AH795" s="242">
        <v>2.2400000000000002</v>
      </c>
      <c r="AI795" s="157" t="s">
        <v>252</v>
      </c>
      <c r="AJ795" s="242">
        <v>0</v>
      </c>
      <c r="AK795" s="242" t="s">
        <v>252</v>
      </c>
      <c r="AL795" s="242">
        <v>0</v>
      </c>
      <c r="AM795" s="242" t="s">
        <v>252</v>
      </c>
      <c r="AN795" s="242">
        <v>0</v>
      </c>
      <c r="AO795" s="242" t="s">
        <v>252</v>
      </c>
      <c r="AP795" s="242">
        <v>0.9</v>
      </c>
      <c r="AQ795" s="242" t="s">
        <v>252</v>
      </c>
      <c r="AR795" s="242">
        <v>3.62</v>
      </c>
      <c r="AS795" s="242" t="s">
        <v>252</v>
      </c>
      <c r="AT795" s="242">
        <v>17.170000000000002</v>
      </c>
      <c r="AU795" s="242" t="s">
        <v>252</v>
      </c>
      <c r="AV795" s="242">
        <v>13.3</v>
      </c>
      <c r="AW795" s="157" t="s">
        <v>252</v>
      </c>
      <c r="AX795" s="157">
        <v>367.98999999999995</v>
      </c>
      <c r="AY795" s="240">
        <v>7.0000000000000007E-2</v>
      </c>
      <c r="AZ795" s="156" t="s">
        <v>253</v>
      </c>
      <c r="BA795" s="156" t="s">
        <v>254</v>
      </c>
      <c r="BB795" s="156">
        <v>0</v>
      </c>
      <c r="BC795" s="156" t="s">
        <v>1423</v>
      </c>
      <c r="BD795" s="3"/>
    </row>
    <row r="796" spans="1:56" ht="15.75" hidden="1" customHeight="1" outlineLevel="1">
      <c r="A796" s="58">
        <v>786</v>
      </c>
      <c r="B796" s="11">
        <v>129786</v>
      </c>
      <c r="C796" s="89" t="s">
        <v>378</v>
      </c>
      <c r="D796" s="157">
        <v>2</v>
      </c>
      <c r="E796" s="12" t="s">
        <v>191</v>
      </c>
      <c r="F796" s="11" t="s">
        <v>246</v>
      </c>
      <c r="G796" s="18" t="s">
        <v>247</v>
      </c>
      <c r="H796" s="11" t="s">
        <v>248</v>
      </c>
      <c r="I796" s="87" t="s">
        <v>249</v>
      </c>
      <c r="J796" s="19" t="s">
        <v>139</v>
      </c>
      <c r="K796" s="17" t="s">
        <v>140</v>
      </c>
      <c r="L796" s="260">
        <v>1</v>
      </c>
      <c r="M796" s="70" t="s">
        <v>250</v>
      </c>
      <c r="N796" s="70">
        <v>100</v>
      </c>
      <c r="O796" s="258">
        <v>8</v>
      </c>
      <c r="P796" s="70" t="s">
        <v>251</v>
      </c>
      <c r="Q796" s="70" t="s">
        <v>233</v>
      </c>
      <c r="R796" s="70" t="s">
        <v>240</v>
      </c>
      <c r="S796" s="70" t="s">
        <v>233</v>
      </c>
      <c r="T796" s="70" t="s">
        <v>233</v>
      </c>
      <c r="U796" s="70" t="s">
        <v>1428</v>
      </c>
      <c r="V796" s="70" t="s">
        <v>240</v>
      </c>
      <c r="W796" s="12"/>
      <c r="X796" s="242">
        <v>631.81994843230257</v>
      </c>
      <c r="Y796" s="242">
        <v>756.09334540516079</v>
      </c>
      <c r="Z796" s="242">
        <v>147.04009526246384</v>
      </c>
      <c r="AA796" s="157" t="s">
        <v>252</v>
      </c>
      <c r="AB796" s="242">
        <v>105.23477001200622</v>
      </c>
      <c r="AC796" s="157" t="s">
        <v>252</v>
      </c>
      <c r="AD796" s="242">
        <v>74.084807998897787</v>
      </c>
      <c r="AE796" s="157" t="s">
        <v>252</v>
      </c>
      <c r="AF796" s="242">
        <v>43.639980317672759</v>
      </c>
      <c r="AG796" s="157" t="s">
        <v>252</v>
      </c>
      <c r="AH796" s="242">
        <v>16.165857460586139</v>
      </c>
      <c r="AI796" s="157" t="s">
        <v>252</v>
      </c>
      <c r="AJ796" s="242">
        <v>4.446263703820339</v>
      </c>
      <c r="AK796" s="242" t="s">
        <v>252</v>
      </c>
      <c r="AL796" s="242">
        <v>4.4723797901863911</v>
      </c>
      <c r="AM796" s="242" t="s">
        <v>252</v>
      </c>
      <c r="AN796" s="242">
        <v>4.5964312004251378</v>
      </c>
      <c r="AO796" s="242" t="s">
        <v>252</v>
      </c>
      <c r="AP796" s="242">
        <v>36.178516507567856</v>
      </c>
      <c r="AQ796" s="242" t="s">
        <v>252</v>
      </c>
      <c r="AR796" s="242">
        <v>101.7623294656248</v>
      </c>
      <c r="AS796" s="242" t="s">
        <v>252</v>
      </c>
      <c r="AT796" s="242">
        <v>108.19241679296159</v>
      </c>
      <c r="AU796" s="242" t="s">
        <v>252</v>
      </c>
      <c r="AV796" s="242">
        <v>91.748644999311111</v>
      </c>
      <c r="AW796" s="157" t="s">
        <v>252</v>
      </c>
      <c r="AX796" s="157">
        <v>2125.4757873489871</v>
      </c>
      <c r="AY796" s="240">
        <v>0.34603814435018798</v>
      </c>
      <c r="AZ796" s="156" t="s">
        <v>253</v>
      </c>
      <c r="BA796" s="156" t="s">
        <v>254</v>
      </c>
      <c r="BB796" s="156">
        <v>1</v>
      </c>
      <c r="BC796" s="157" t="s">
        <v>255</v>
      </c>
      <c r="BD796" s="3"/>
    </row>
    <row r="797" spans="1:56" ht="15.75" hidden="1" customHeight="1" outlineLevel="1">
      <c r="A797" s="58">
        <v>787</v>
      </c>
      <c r="B797" s="11">
        <v>129787</v>
      </c>
      <c r="C797" s="89" t="s">
        <v>378</v>
      </c>
      <c r="D797" s="157">
        <v>2</v>
      </c>
      <c r="E797" s="12" t="s">
        <v>231</v>
      </c>
      <c r="F797" s="11" t="s">
        <v>246</v>
      </c>
      <c r="G797" s="18" t="s">
        <v>247</v>
      </c>
      <c r="H797" s="11" t="s">
        <v>248</v>
      </c>
      <c r="I797" s="87" t="s">
        <v>249</v>
      </c>
      <c r="J797" s="19" t="s">
        <v>139</v>
      </c>
      <c r="K797" s="17" t="s">
        <v>140</v>
      </c>
      <c r="L797" s="257">
        <v>0</v>
      </c>
      <c r="M797" s="70" t="s">
        <v>250</v>
      </c>
      <c r="N797" s="70">
        <v>80</v>
      </c>
      <c r="O797" s="258">
        <v>8</v>
      </c>
      <c r="P797" s="70" t="s">
        <v>251</v>
      </c>
      <c r="Q797" s="70" t="s">
        <v>233</v>
      </c>
      <c r="R797" s="70" t="s">
        <v>240</v>
      </c>
      <c r="S797" s="70" t="s">
        <v>233</v>
      </c>
      <c r="T797" s="70" t="s">
        <v>233</v>
      </c>
      <c r="U797" s="70" t="s">
        <v>1428</v>
      </c>
      <c r="V797" s="70" t="s">
        <v>240</v>
      </c>
      <c r="W797" s="12"/>
      <c r="X797" s="242">
        <v>335.89005156769741</v>
      </c>
      <c r="Y797" s="242">
        <v>401.95665459483939</v>
      </c>
      <c r="Z797" s="242">
        <v>78.169904737536172</v>
      </c>
      <c r="AA797" s="157" t="s">
        <v>252</v>
      </c>
      <c r="AB797" s="242">
        <v>55.945229987993791</v>
      </c>
      <c r="AC797" s="157" t="s">
        <v>252</v>
      </c>
      <c r="AD797" s="242">
        <v>39.385192001102212</v>
      </c>
      <c r="AE797" s="157" t="s">
        <v>252</v>
      </c>
      <c r="AF797" s="242">
        <v>23.200019682327241</v>
      </c>
      <c r="AG797" s="157" t="s">
        <v>252</v>
      </c>
      <c r="AH797" s="242">
        <v>8.5941425394138626</v>
      </c>
      <c r="AI797" s="157" t="s">
        <v>252</v>
      </c>
      <c r="AJ797" s="242">
        <v>2.3637362961796602</v>
      </c>
      <c r="AK797" s="242" t="s">
        <v>252</v>
      </c>
      <c r="AL797" s="242">
        <v>2.3776202098136086</v>
      </c>
      <c r="AM797" s="242" t="s">
        <v>252</v>
      </c>
      <c r="AN797" s="242">
        <v>2.4435687995748618</v>
      </c>
      <c r="AO797" s="242" t="s">
        <v>252</v>
      </c>
      <c r="AP797" s="242">
        <v>19.233333492432148</v>
      </c>
      <c r="AQ797" s="242" t="s">
        <v>252</v>
      </c>
      <c r="AR797" s="242">
        <v>54.099200534375186</v>
      </c>
      <c r="AS797" s="242" t="s">
        <v>252</v>
      </c>
      <c r="AT797" s="242">
        <v>57.517583207038406</v>
      </c>
      <c r="AU797" s="242" t="s">
        <v>252</v>
      </c>
      <c r="AV797" s="242">
        <v>48.775695000688884</v>
      </c>
      <c r="AW797" s="157" t="s">
        <v>252</v>
      </c>
      <c r="AX797" s="157">
        <v>1129.9519326510131</v>
      </c>
      <c r="AY797" s="243">
        <v>0.18396185564981207</v>
      </c>
      <c r="AZ797" s="156" t="s">
        <v>253</v>
      </c>
      <c r="BA797" s="156" t="s">
        <v>254</v>
      </c>
      <c r="BB797" s="156">
        <v>0</v>
      </c>
      <c r="BC797" s="157" t="s">
        <v>255</v>
      </c>
      <c r="BD797" s="3"/>
    </row>
    <row r="798" spans="1:56" ht="15.75" hidden="1" customHeight="1" outlineLevel="1">
      <c r="A798" s="58">
        <v>788</v>
      </c>
      <c r="B798" s="11">
        <v>129788</v>
      </c>
      <c r="C798" s="89" t="s">
        <v>378</v>
      </c>
      <c r="D798" s="157">
        <v>20</v>
      </c>
      <c r="E798" s="12" t="s">
        <v>191</v>
      </c>
      <c r="F798" s="11" t="s">
        <v>246</v>
      </c>
      <c r="G798" s="18" t="s">
        <v>247</v>
      </c>
      <c r="H798" s="11" t="s">
        <v>248</v>
      </c>
      <c r="I798" s="87" t="s">
        <v>249</v>
      </c>
      <c r="J798" s="19" t="s">
        <v>139</v>
      </c>
      <c r="K798" s="17" t="s">
        <v>140</v>
      </c>
      <c r="L798" s="257">
        <v>0</v>
      </c>
      <c r="M798" s="70" t="s">
        <v>250</v>
      </c>
      <c r="N798" s="70">
        <v>80</v>
      </c>
      <c r="O798" s="258">
        <v>8</v>
      </c>
      <c r="P798" s="70" t="s">
        <v>251</v>
      </c>
      <c r="Q798" s="70" t="s">
        <v>233</v>
      </c>
      <c r="R798" s="70" t="s">
        <v>240</v>
      </c>
      <c r="S798" s="70" t="s">
        <v>233</v>
      </c>
      <c r="T798" s="70" t="s">
        <v>233</v>
      </c>
      <c r="U798" s="70" t="s">
        <v>1427</v>
      </c>
      <c r="V798" s="70" t="s">
        <v>240</v>
      </c>
      <c r="W798" s="12"/>
      <c r="X798" s="242">
        <v>832.44598318240628</v>
      </c>
      <c r="Y798" s="242">
        <v>600.92991591203111</v>
      </c>
      <c r="Z798" s="242">
        <v>89.07942432082794</v>
      </c>
      <c r="AA798" s="157" t="s">
        <v>252</v>
      </c>
      <c r="AB798" s="242">
        <v>72.527936610608023</v>
      </c>
      <c r="AC798" s="157" t="s">
        <v>252</v>
      </c>
      <c r="AD798" s="242">
        <v>94.266694695989656</v>
      </c>
      <c r="AE798" s="157" t="s">
        <v>252</v>
      </c>
      <c r="AF798" s="242">
        <v>60.276423027166892</v>
      </c>
      <c r="AG798" s="157" t="s">
        <v>252</v>
      </c>
      <c r="AH798" s="242">
        <v>23.556009055627428</v>
      </c>
      <c r="AI798" s="157" t="s">
        <v>252</v>
      </c>
      <c r="AJ798" s="242">
        <v>9.5896248382923677</v>
      </c>
      <c r="AK798" s="242" t="s">
        <v>252</v>
      </c>
      <c r="AL798" s="242">
        <v>7.3372574385510996</v>
      </c>
      <c r="AM798" s="242" t="s">
        <v>252</v>
      </c>
      <c r="AN798" s="242">
        <v>7.9430077619663653</v>
      </c>
      <c r="AO798" s="242" t="s">
        <v>252</v>
      </c>
      <c r="AP798" s="242">
        <v>10.007677878395862</v>
      </c>
      <c r="AQ798" s="242" t="s">
        <v>252</v>
      </c>
      <c r="AR798" s="242">
        <v>58.177626131953431</v>
      </c>
      <c r="AS798" s="242" t="s">
        <v>252</v>
      </c>
      <c r="AT798" s="242">
        <v>53.459598965071152</v>
      </c>
      <c r="AU798" s="242" t="s">
        <v>252</v>
      </c>
      <c r="AV798" s="242">
        <v>75.070381630012932</v>
      </c>
      <c r="AW798" s="157" t="s">
        <v>252</v>
      </c>
      <c r="AX798" s="157">
        <v>1994.6675614489006</v>
      </c>
      <c r="AY798" s="240">
        <v>0.28154592496765851</v>
      </c>
      <c r="AZ798" s="156" t="s">
        <v>253</v>
      </c>
      <c r="BA798" s="156" t="s">
        <v>254</v>
      </c>
      <c r="BB798" s="156">
        <v>0</v>
      </c>
      <c r="BC798" s="156" t="s">
        <v>1423</v>
      </c>
      <c r="BD798" s="3"/>
    </row>
    <row r="799" spans="1:56" ht="15.75" hidden="1" customHeight="1" outlineLevel="1">
      <c r="A799" s="58">
        <v>789</v>
      </c>
      <c r="B799" s="11">
        <v>129789</v>
      </c>
      <c r="C799" s="89" t="s">
        <v>378</v>
      </c>
      <c r="D799" s="157">
        <v>20</v>
      </c>
      <c r="E799" s="12" t="s">
        <v>231</v>
      </c>
      <c r="F799" s="11" t="s">
        <v>246</v>
      </c>
      <c r="G799" s="18" t="s">
        <v>247</v>
      </c>
      <c r="H799" s="11" t="s">
        <v>248</v>
      </c>
      <c r="I799" s="87" t="s">
        <v>249</v>
      </c>
      <c r="J799" s="19" t="s">
        <v>139</v>
      </c>
      <c r="K799" s="17" t="s">
        <v>140</v>
      </c>
      <c r="L799" s="257">
        <v>0</v>
      </c>
      <c r="M799" s="70" t="s">
        <v>250</v>
      </c>
      <c r="N799" s="70">
        <v>100</v>
      </c>
      <c r="O799" s="258">
        <v>8</v>
      </c>
      <c r="P799" s="70" t="s">
        <v>251</v>
      </c>
      <c r="Q799" s="70" t="s">
        <v>233</v>
      </c>
      <c r="R799" s="70" t="s">
        <v>240</v>
      </c>
      <c r="S799" s="70" t="s">
        <v>233</v>
      </c>
      <c r="T799" s="70" t="s">
        <v>233</v>
      </c>
      <c r="U799" s="70" t="s">
        <v>1427</v>
      </c>
      <c r="V799" s="70" t="s">
        <v>240</v>
      </c>
      <c r="W799" s="12"/>
      <c r="X799" s="242">
        <v>143.26401681759381</v>
      </c>
      <c r="Y799" s="242">
        <v>103.42008408796896</v>
      </c>
      <c r="Z799" s="242">
        <v>15.330575679172059</v>
      </c>
      <c r="AA799" s="157" t="s">
        <v>252</v>
      </c>
      <c r="AB799" s="242">
        <v>12.482063389391982</v>
      </c>
      <c r="AC799" s="157" t="s">
        <v>252</v>
      </c>
      <c r="AD799" s="242">
        <v>16.223305304010349</v>
      </c>
      <c r="AE799" s="157" t="s">
        <v>252</v>
      </c>
      <c r="AF799" s="242">
        <v>10.373576972833119</v>
      </c>
      <c r="AG799" s="157" t="s">
        <v>252</v>
      </c>
      <c r="AH799" s="242">
        <v>4.0539909443725746</v>
      </c>
      <c r="AI799" s="157" t="s">
        <v>252</v>
      </c>
      <c r="AJ799" s="242">
        <v>1.6503751617076328</v>
      </c>
      <c r="AK799" s="242" t="s">
        <v>252</v>
      </c>
      <c r="AL799" s="242">
        <v>1.2627425614489005</v>
      </c>
      <c r="AM799" s="242" t="s">
        <v>252</v>
      </c>
      <c r="AN799" s="242">
        <v>1.3669922380336355</v>
      </c>
      <c r="AO799" s="242" t="s">
        <v>252</v>
      </c>
      <c r="AP799" s="242">
        <v>1.72232212160414</v>
      </c>
      <c r="AQ799" s="242" t="s">
        <v>252</v>
      </c>
      <c r="AR799" s="242">
        <v>10.012373868046572</v>
      </c>
      <c r="AS799" s="242" t="s">
        <v>252</v>
      </c>
      <c r="AT799" s="242">
        <v>9.2004010349288485</v>
      </c>
      <c r="AU799" s="242" t="s">
        <v>252</v>
      </c>
      <c r="AV799" s="242">
        <v>12.919618369987063</v>
      </c>
      <c r="AW799" s="157" t="s">
        <v>252</v>
      </c>
      <c r="AX799" s="157">
        <v>343.28243855109963</v>
      </c>
      <c r="AY799" s="243">
        <v>4.8454075032341531E-2</v>
      </c>
      <c r="AZ799" s="156" t="s">
        <v>253</v>
      </c>
      <c r="BA799" s="156" t="s">
        <v>254</v>
      </c>
      <c r="BB799" s="156">
        <v>0</v>
      </c>
      <c r="BC799" s="156" t="s">
        <v>1423</v>
      </c>
      <c r="BD799" s="3"/>
    </row>
    <row r="800" spans="1:56" ht="15.75" hidden="1" customHeight="1" outlineLevel="1">
      <c r="A800" s="58">
        <v>790</v>
      </c>
      <c r="B800" s="11">
        <v>129790</v>
      </c>
      <c r="C800" s="89" t="s">
        <v>378</v>
      </c>
      <c r="D800" s="157">
        <v>22</v>
      </c>
      <c r="E800" s="12" t="s">
        <v>191</v>
      </c>
      <c r="F800" s="11" t="s">
        <v>246</v>
      </c>
      <c r="G800" s="18" t="s">
        <v>247</v>
      </c>
      <c r="H800" s="11" t="s">
        <v>248</v>
      </c>
      <c r="I800" s="87" t="s">
        <v>249</v>
      </c>
      <c r="J800" s="19" t="s">
        <v>139</v>
      </c>
      <c r="K800" s="17" t="s">
        <v>140</v>
      </c>
      <c r="L800" s="260">
        <v>1</v>
      </c>
      <c r="M800" s="70" t="s">
        <v>250</v>
      </c>
      <c r="N800" s="70">
        <v>100</v>
      </c>
      <c r="O800" s="258">
        <v>8</v>
      </c>
      <c r="P800" s="70" t="s">
        <v>251</v>
      </c>
      <c r="Q800" s="70" t="s">
        <v>233</v>
      </c>
      <c r="R800" s="70" t="s">
        <v>240</v>
      </c>
      <c r="S800" s="70" t="s">
        <v>233</v>
      </c>
      <c r="T800" s="70" t="s">
        <v>233</v>
      </c>
      <c r="U800" s="70" t="s">
        <v>1427</v>
      </c>
      <c r="V800" s="70" t="s">
        <v>240</v>
      </c>
      <c r="W800" s="12"/>
      <c r="X800" s="242">
        <v>1111.2561729251754</v>
      </c>
      <c r="Y800" s="242">
        <v>867.30245548990843</v>
      </c>
      <c r="Z800" s="242">
        <v>133.29717871446132</v>
      </c>
      <c r="AA800" s="157" t="s">
        <v>252</v>
      </c>
      <c r="AB800" s="242">
        <v>108.61920972282803</v>
      </c>
      <c r="AC800" s="157" t="s">
        <v>252</v>
      </c>
      <c r="AD800" s="242">
        <v>141.15075340021411</v>
      </c>
      <c r="AE800" s="157" t="s">
        <v>252</v>
      </c>
      <c r="AF800" s="242">
        <v>90.266818668464254</v>
      </c>
      <c r="AG800" s="157" t="s">
        <v>252</v>
      </c>
      <c r="AH800" s="242">
        <v>35.538246956659663</v>
      </c>
      <c r="AI800" s="157" t="s">
        <v>252</v>
      </c>
      <c r="AJ800" s="242">
        <v>13.719110591220904</v>
      </c>
      <c r="AK800" s="242" t="s">
        <v>252</v>
      </c>
      <c r="AL800" s="242">
        <v>10.482386296046631</v>
      </c>
      <c r="AM800" s="242" t="s">
        <v>252</v>
      </c>
      <c r="AN800" s="242">
        <v>11.427115468495975</v>
      </c>
      <c r="AO800" s="242" t="s">
        <v>252</v>
      </c>
      <c r="AP800" s="242">
        <v>14.458463856616044</v>
      </c>
      <c r="AQ800" s="242" t="s">
        <v>252</v>
      </c>
      <c r="AR800" s="242">
        <v>87.432631151116226</v>
      </c>
      <c r="AS800" s="242" t="s">
        <v>252</v>
      </c>
      <c r="AT800" s="242">
        <v>80.236259367936881</v>
      </c>
      <c r="AU800" s="242" t="s">
        <v>252</v>
      </c>
      <c r="AV800" s="242">
        <v>112.50492188429358</v>
      </c>
      <c r="AW800" s="157" t="s">
        <v>252</v>
      </c>
      <c r="AX800" s="157">
        <v>2817.691724493438</v>
      </c>
      <c r="AY800" s="240">
        <v>0.41896685039057852</v>
      </c>
      <c r="AZ800" s="156" t="s">
        <v>253</v>
      </c>
      <c r="BA800" s="156" t="s">
        <v>254</v>
      </c>
      <c r="BB800" s="156">
        <v>1</v>
      </c>
      <c r="BC800" s="156" t="s">
        <v>1423</v>
      </c>
      <c r="BD800" s="3"/>
    </row>
    <row r="801" spans="1:56" ht="15.75" hidden="1" customHeight="1" outlineLevel="1">
      <c r="A801" s="58">
        <v>791</v>
      </c>
      <c r="B801" s="11">
        <v>129791</v>
      </c>
      <c r="C801" s="89" t="s">
        <v>378</v>
      </c>
      <c r="D801" s="157">
        <v>22</v>
      </c>
      <c r="E801" s="12" t="s">
        <v>231</v>
      </c>
      <c r="F801" s="11" t="s">
        <v>246</v>
      </c>
      <c r="G801" s="18" t="s">
        <v>247</v>
      </c>
      <c r="H801" s="11" t="s">
        <v>248</v>
      </c>
      <c r="I801" s="87" t="s">
        <v>249</v>
      </c>
      <c r="J801" s="19" t="s">
        <v>139</v>
      </c>
      <c r="K801" s="17" t="s">
        <v>140</v>
      </c>
      <c r="L801" s="257">
        <v>0</v>
      </c>
      <c r="M801" s="70" t="s">
        <v>250</v>
      </c>
      <c r="N801" s="70">
        <v>100</v>
      </c>
      <c r="O801" s="258">
        <v>8</v>
      </c>
      <c r="P801" s="70" t="s">
        <v>251</v>
      </c>
      <c r="Q801" s="70" t="s">
        <v>233</v>
      </c>
      <c r="R801" s="70" t="s">
        <v>240</v>
      </c>
      <c r="S801" s="70" t="s">
        <v>233</v>
      </c>
      <c r="T801" s="70" t="s">
        <v>233</v>
      </c>
      <c r="U801" s="70" t="s">
        <v>1427</v>
      </c>
      <c r="V801" s="70" t="s">
        <v>240</v>
      </c>
      <c r="W801" s="12"/>
      <c r="X801" s="242">
        <v>198.86483702763789</v>
      </c>
      <c r="Y801" s="242">
        <v>155.20810202625003</v>
      </c>
      <c r="Z801" s="242">
        <v>23.854195249613383</v>
      </c>
      <c r="AA801" s="157" t="s">
        <v>252</v>
      </c>
      <c r="AB801" s="242">
        <v>19.437949561838295</v>
      </c>
      <c r="AC801" s="157" t="s">
        <v>252</v>
      </c>
      <c r="AD801" s="242">
        <v>25.259631626947932</v>
      </c>
      <c r="AE801" s="157" t="s">
        <v>252</v>
      </c>
      <c r="AF801" s="242">
        <v>16.153697608945635</v>
      </c>
      <c r="AG801" s="157" t="s">
        <v>252</v>
      </c>
      <c r="AH801" s="242">
        <v>6.3597466196121966</v>
      </c>
      <c r="AI801" s="157" t="s">
        <v>252</v>
      </c>
      <c r="AJ801" s="242">
        <v>2.4551032951346206</v>
      </c>
      <c r="AK801" s="242" t="s">
        <v>252</v>
      </c>
      <c r="AL801" s="242">
        <v>1.8758753320908836</v>
      </c>
      <c r="AM801" s="242" t="s">
        <v>252</v>
      </c>
      <c r="AN801" s="242">
        <v>2.0449393314564417</v>
      </c>
      <c r="AO801" s="242" t="s">
        <v>252</v>
      </c>
      <c r="AP801" s="242">
        <v>2.5874142511598399</v>
      </c>
      <c r="AQ801" s="242" t="s">
        <v>252</v>
      </c>
      <c r="AR801" s="242">
        <v>15.646505610848964</v>
      </c>
      <c r="AS801" s="242" t="s">
        <v>252</v>
      </c>
      <c r="AT801" s="242">
        <v>14.358678972203498</v>
      </c>
      <c r="AU801" s="242" t="s">
        <v>252</v>
      </c>
      <c r="AV801" s="242">
        <v>20.133317141837502</v>
      </c>
      <c r="AW801" s="157" t="s">
        <v>252</v>
      </c>
      <c r="AX801" s="157">
        <v>504.23999365557705</v>
      </c>
      <c r="AY801" s="243">
        <v>7.4976208414290813E-2</v>
      </c>
      <c r="AZ801" s="156" t="s">
        <v>253</v>
      </c>
      <c r="BA801" s="156" t="s">
        <v>254</v>
      </c>
      <c r="BB801" s="156">
        <v>0</v>
      </c>
      <c r="BC801" s="156" t="s">
        <v>1423</v>
      </c>
      <c r="BD801" s="3"/>
    </row>
    <row r="802" spans="1:56" ht="15.75" hidden="1" customHeight="1" outlineLevel="1">
      <c r="A802" s="58">
        <v>792</v>
      </c>
      <c r="B802" s="11">
        <v>129792</v>
      </c>
      <c r="C802" s="89" t="s">
        <v>378</v>
      </c>
      <c r="D802" s="157">
        <v>22</v>
      </c>
      <c r="E802" s="12" t="s">
        <v>260</v>
      </c>
      <c r="F802" s="11" t="s">
        <v>246</v>
      </c>
      <c r="G802" s="18" t="s">
        <v>247</v>
      </c>
      <c r="H802" s="11" t="s">
        <v>248</v>
      </c>
      <c r="I802" s="87" t="s">
        <v>249</v>
      </c>
      <c r="J802" s="19" t="s">
        <v>139</v>
      </c>
      <c r="K802" s="17" t="s">
        <v>140</v>
      </c>
      <c r="L802" s="257">
        <v>0</v>
      </c>
      <c r="M802" s="70" t="s">
        <v>250</v>
      </c>
      <c r="N802" s="70">
        <v>100</v>
      </c>
      <c r="O802" s="258">
        <v>8</v>
      </c>
      <c r="P802" s="70" t="s">
        <v>251</v>
      </c>
      <c r="Q802" s="70" t="s">
        <v>233</v>
      </c>
      <c r="R802" s="70" t="s">
        <v>240</v>
      </c>
      <c r="S802" s="70" t="s">
        <v>233</v>
      </c>
      <c r="T802" s="70" t="s">
        <v>233</v>
      </c>
      <c r="U802" s="70" t="s">
        <v>1427</v>
      </c>
      <c r="V802" s="70" t="s">
        <v>240</v>
      </c>
      <c r="W802" s="12"/>
      <c r="X802" s="242">
        <v>42.588990047186648</v>
      </c>
      <c r="Y802" s="242">
        <v>33.23944248384155</v>
      </c>
      <c r="Z802" s="242">
        <v>5.108626035925294</v>
      </c>
      <c r="AA802" s="157" t="s">
        <v>252</v>
      </c>
      <c r="AB802" s="242">
        <v>4.1628407153336768</v>
      </c>
      <c r="AC802" s="157" t="s">
        <v>252</v>
      </c>
      <c r="AD802" s="242">
        <v>5.4096149728379395</v>
      </c>
      <c r="AE802" s="157" t="s">
        <v>252</v>
      </c>
      <c r="AF802" s="242">
        <v>3.4594837225901105</v>
      </c>
      <c r="AG802" s="157" t="s">
        <v>252</v>
      </c>
      <c r="AH802" s="242">
        <v>1.3620064237281415</v>
      </c>
      <c r="AI802" s="157" t="s">
        <v>252</v>
      </c>
      <c r="AJ802" s="242">
        <v>0.52578611364447436</v>
      </c>
      <c r="AK802" s="242" t="s">
        <v>252</v>
      </c>
      <c r="AL802" s="242">
        <v>0.40173837186248462</v>
      </c>
      <c r="AM802" s="242" t="s">
        <v>252</v>
      </c>
      <c r="AN802" s="242">
        <v>0.43794520004758319</v>
      </c>
      <c r="AO802" s="242" t="s">
        <v>252</v>
      </c>
      <c r="AP802" s="242">
        <v>0.55412189222411679</v>
      </c>
      <c r="AQ802" s="242" t="s">
        <v>252</v>
      </c>
      <c r="AR802" s="242">
        <v>3.3508632380348153</v>
      </c>
      <c r="AS802" s="242" t="s">
        <v>252</v>
      </c>
      <c r="AT802" s="242">
        <v>3.0750616598596299</v>
      </c>
      <c r="AU802" s="242" t="s">
        <v>252</v>
      </c>
      <c r="AV802" s="242">
        <v>4.3117609738689078</v>
      </c>
      <c r="AW802" s="157" t="s">
        <v>252</v>
      </c>
      <c r="AX802" s="157">
        <v>107.98828185098537</v>
      </c>
      <c r="AY802" s="243">
        <v>1.6056941195130656E-2</v>
      </c>
      <c r="AZ802" s="156" t="s">
        <v>253</v>
      </c>
      <c r="BA802" s="156" t="s">
        <v>254</v>
      </c>
      <c r="BB802" s="156">
        <v>0</v>
      </c>
      <c r="BC802" s="156" t="s">
        <v>1423</v>
      </c>
      <c r="BD802" s="3"/>
    </row>
    <row r="803" spans="1:56" ht="15.6" hidden="1" customHeight="1" outlineLevel="1">
      <c r="A803" s="58">
        <v>793</v>
      </c>
      <c r="B803" s="11">
        <v>129793</v>
      </c>
      <c r="C803" s="89" t="s">
        <v>378</v>
      </c>
      <c r="D803" s="157">
        <v>24</v>
      </c>
      <c r="E803" s="12" t="s">
        <v>191</v>
      </c>
      <c r="F803" s="11" t="s">
        <v>246</v>
      </c>
      <c r="G803" s="18" t="s">
        <v>247</v>
      </c>
      <c r="H803" s="11" t="s">
        <v>248</v>
      </c>
      <c r="I803" s="87" t="s">
        <v>249</v>
      </c>
      <c r="J803" s="19" t="s">
        <v>139</v>
      </c>
      <c r="K803" s="17" t="s">
        <v>140</v>
      </c>
      <c r="L803" s="257">
        <v>0</v>
      </c>
      <c r="M803" s="70" t="s">
        <v>250</v>
      </c>
      <c r="N803" s="70">
        <v>80</v>
      </c>
      <c r="O803" s="258">
        <v>8</v>
      </c>
      <c r="P803" s="70" t="s">
        <v>251</v>
      </c>
      <c r="Q803" s="70" t="s">
        <v>233</v>
      </c>
      <c r="R803" s="70" t="s">
        <v>240</v>
      </c>
      <c r="S803" s="70" t="s">
        <v>233</v>
      </c>
      <c r="T803" s="70" t="s">
        <v>233</v>
      </c>
      <c r="U803" s="70" t="s">
        <v>1427</v>
      </c>
      <c r="V803" s="70" t="s">
        <v>240</v>
      </c>
      <c r="W803" s="12"/>
      <c r="X803" s="242">
        <v>634.25</v>
      </c>
      <c r="Y803" s="242">
        <v>701.56999999999994</v>
      </c>
      <c r="Z803" s="242">
        <v>100.19</v>
      </c>
      <c r="AA803" s="157" t="s">
        <v>252</v>
      </c>
      <c r="AB803" s="242">
        <v>76.53</v>
      </c>
      <c r="AC803" s="157" t="s">
        <v>252</v>
      </c>
      <c r="AD803" s="242">
        <v>95.44</v>
      </c>
      <c r="AE803" s="157" t="s">
        <v>252</v>
      </c>
      <c r="AF803" s="242">
        <v>81.25</v>
      </c>
      <c r="AG803" s="157" t="s">
        <v>252</v>
      </c>
      <c r="AH803" s="242">
        <v>33.97</v>
      </c>
      <c r="AI803" s="157" t="s">
        <v>252</v>
      </c>
      <c r="AJ803" s="242">
        <v>26.82</v>
      </c>
      <c r="AK803" s="242" t="s">
        <v>252</v>
      </c>
      <c r="AL803" s="242">
        <v>27.71</v>
      </c>
      <c r="AM803" s="242" t="s">
        <v>252</v>
      </c>
      <c r="AN803" s="242">
        <v>27.71</v>
      </c>
      <c r="AO803" s="242" t="s">
        <v>252</v>
      </c>
      <c r="AP803" s="242">
        <v>29.82</v>
      </c>
      <c r="AQ803" s="242" t="s">
        <v>252</v>
      </c>
      <c r="AR803" s="242">
        <v>79.27</v>
      </c>
      <c r="AS803" s="242" t="s">
        <v>252</v>
      </c>
      <c r="AT803" s="242">
        <v>84.06</v>
      </c>
      <c r="AU803" s="242" t="s">
        <v>252</v>
      </c>
      <c r="AV803" s="242">
        <v>92.44</v>
      </c>
      <c r="AW803" s="157" t="s">
        <v>252</v>
      </c>
      <c r="AX803" s="157">
        <v>2091.0299999999997</v>
      </c>
      <c r="AY803" s="240">
        <v>0.38</v>
      </c>
      <c r="AZ803" s="156" t="s">
        <v>253</v>
      </c>
      <c r="BA803" s="156" t="s">
        <v>254</v>
      </c>
      <c r="BB803" s="156">
        <v>0</v>
      </c>
      <c r="BC803" s="156" t="s">
        <v>1423</v>
      </c>
      <c r="BD803" s="3"/>
    </row>
    <row r="804" spans="1:56" ht="15.6" hidden="1" customHeight="1">
      <c r="A804" s="121">
        <v>794</v>
      </c>
      <c r="B804" s="4">
        <v>129794</v>
      </c>
      <c r="C804" s="89" t="s">
        <v>378</v>
      </c>
      <c r="D804" s="157">
        <v>8</v>
      </c>
      <c r="E804" s="12" t="s">
        <v>191</v>
      </c>
      <c r="F804" s="11" t="s">
        <v>246</v>
      </c>
      <c r="G804" s="18" t="s">
        <v>247</v>
      </c>
      <c r="H804" s="11" t="s">
        <v>248</v>
      </c>
      <c r="I804" s="87" t="s">
        <v>249</v>
      </c>
      <c r="J804" s="19" t="s">
        <v>139</v>
      </c>
      <c r="K804" s="17" t="s">
        <v>140</v>
      </c>
      <c r="L804" s="257">
        <v>0</v>
      </c>
      <c r="M804" s="70" t="s">
        <v>250</v>
      </c>
      <c r="N804" s="70">
        <v>100</v>
      </c>
      <c r="O804" s="258">
        <v>8</v>
      </c>
      <c r="P804" s="70" t="s">
        <v>251</v>
      </c>
      <c r="Q804" s="70" t="s">
        <v>233</v>
      </c>
      <c r="R804" s="70" t="s">
        <v>240</v>
      </c>
      <c r="S804" s="70" t="s">
        <v>240</v>
      </c>
      <c r="T804" s="70" t="s">
        <v>240</v>
      </c>
      <c r="U804" s="70" t="s">
        <v>1427</v>
      </c>
      <c r="V804" s="70" t="s">
        <v>240</v>
      </c>
      <c r="W804" s="12"/>
      <c r="X804" s="242">
        <v>455.61</v>
      </c>
      <c r="Y804" s="242">
        <v>494.5800000000001</v>
      </c>
      <c r="Z804" s="242">
        <v>64.09</v>
      </c>
      <c r="AA804" s="157" t="s">
        <v>259</v>
      </c>
      <c r="AB804" s="242">
        <v>63.19</v>
      </c>
      <c r="AC804" s="157" t="s">
        <v>259</v>
      </c>
      <c r="AD804" s="242">
        <v>63.61</v>
      </c>
      <c r="AE804" s="157" t="s">
        <v>259</v>
      </c>
      <c r="AF804" s="242">
        <v>63.95</v>
      </c>
      <c r="AG804" s="157" t="s">
        <v>259</v>
      </c>
      <c r="AH804" s="242">
        <v>63.62</v>
      </c>
      <c r="AI804" s="157" t="s">
        <v>259</v>
      </c>
      <c r="AJ804" s="242">
        <v>7.34</v>
      </c>
      <c r="AK804" s="242" t="s">
        <v>259</v>
      </c>
      <c r="AL804" s="242">
        <v>7.34</v>
      </c>
      <c r="AM804" s="242" t="s">
        <v>259</v>
      </c>
      <c r="AN804" s="242">
        <v>7.34</v>
      </c>
      <c r="AO804" s="242" t="s">
        <v>259</v>
      </c>
      <c r="AP804" s="242">
        <v>17.39</v>
      </c>
      <c r="AQ804" s="242" t="s">
        <v>259</v>
      </c>
      <c r="AR804" s="242">
        <v>59.83</v>
      </c>
      <c r="AS804" s="242" t="s">
        <v>259</v>
      </c>
      <c r="AT804" s="242">
        <v>60.46</v>
      </c>
      <c r="AU804" s="242" t="s">
        <v>259</v>
      </c>
      <c r="AV804" s="242">
        <v>60.87</v>
      </c>
      <c r="AW804" s="157" t="s">
        <v>259</v>
      </c>
      <c r="AX804" s="157">
        <v>1489.2199999999996</v>
      </c>
      <c r="AY804" s="240">
        <v>0.26</v>
      </c>
      <c r="AZ804" s="156" t="s">
        <v>253</v>
      </c>
      <c r="BA804" s="156" t="s">
        <v>254</v>
      </c>
      <c r="BB804" s="156">
        <v>0</v>
      </c>
      <c r="BC804" s="156" t="s">
        <v>1423</v>
      </c>
      <c r="BD804" s="3"/>
    </row>
    <row r="805" spans="1:56" ht="15.75" hidden="1" customHeight="1" outlineLevel="1">
      <c r="A805" s="63">
        <v>795</v>
      </c>
      <c r="B805" s="95" t="s">
        <v>382</v>
      </c>
      <c r="C805" s="114"/>
      <c r="D805" s="159"/>
      <c r="E805" s="114"/>
      <c r="F805" s="114"/>
      <c r="G805" s="170"/>
      <c r="H805" s="114"/>
      <c r="I805" s="118"/>
      <c r="J805" s="119"/>
      <c r="K805" s="120"/>
      <c r="L805" s="261"/>
      <c r="M805" s="262"/>
      <c r="N805" s="263"/>
      <c r="O805" s="264"/>
      <c r="P805" s="262"/>
      <c r="Q805" s="262"/>
      <c r="R805" s="262"/>
      <c r="S805" s="262"/>
      <c r="T805" s="262"/>
      <c r="U805" s="262"/>
      <c r="V805" s="262"/>
      <c r="W805" s="117"/>
      <c r="X805" s="246"/>
      <c r="Y805" s="246"/>
      <c r="Z805" s="246"/>
      <c r="AA805" s="160"/>
      <c r="AB805" s="246"/>
      <c r="AC805" s="160"/>
      <c r="AD805" s="246"/>
      <c r="AE805" s="160"/>
      <c r="AF805" s="246"/>
      <c r="AG805" s="160"/>
      <c r="AH805" s="246"/>
      <c r="AI805" s="160"/>
      <c r="AJ805" s="246"/>
      <c r="AK805" s="246"/>
      <c r="AL805" s="246"/>
      <c r="AM805" s="246"/>
      <c r="AN805" s="246"/>
      <c r="AO805" s="246"/>
      <c r="AP805" s="246"/>
      <c r="AQ805" s="246"/>
      <c r="AR805" s="246"/>
      <c r="AS805" s="246"/>
      <c r="AT805" s="246"/>
      <c r="AU805" s="246"/>
      <c r="AV805" s="246"/>
      <c r="AW805" s="160"/>
      <c r="AX805" s="160"/>
      <c r="AY805" s="247"/>
      <c r="AZ805" s="248"/>
      <c r="BA805" s="248"/>
      <c r="BB805" s="248"/>
      <c r="BC805" s="248"/>
      <c r="BD805" s="3"/>
    </row>
    <row r="806" spans="1:56" ht="15.75" hidden="1" customHeight="1" outlineLevel="1">
      <c r="A806" s="63">
        <v>796</v>
      </c>
      <c r="B806" s="95" t="s">
        <v>386</v>
      </c>
      <c r="C806" s="114"/>
      <c r="D806" s="159"/>
      <c r="E806" s="114"/>
      <c r="F806" s="114"/>
      <c r="G806" s="170"/>
      <c r="H806" s="114"/>
      <c r="I806" s="118"/>
      <c r="J806" s="119"/>
      <c r="K806" s="120"/>
      <c r="L806" s="261"/>
      <c r="M806" s="262"/>
      <c r="N806" s="263"/>
      <c r="O806" s="264"/>
      <c r="P806" s="262"/>
      <c r="Q806" s="262"/>
      <c r="R806" s="262"/>
      <c r="S806" s="262"/>
      <c r="T806" s="262"/>
      <c r="U806" s="262"/>
      <c r="V806" s="262"/>
      <c r="W806" s="117"/>
      <c r="X806" s="246"/>
      <c r="Y806" s="246"/>
      <c r="Z806" s="246"/>
      <c r="AA806" s="160"/>
      <c r="AB806" s="246"/>
      <c r="AC806" s="160"/>
      <c r="AD806" s="246"/>
      <c r="AE806" s="160"/>
      <c r="AF806" s="246"/>
      <c r="AG806" s="160"/>
      <c r="AH806" s="246"/>
      <c r="AI806" s="160"/>
      <c r="AJ806" s="246"/>
      <c r="AK806" s="246"/>
      <c r="AL806" s="246"/>
      <c r="AM806" s="246"/>
      <c r="AN806" s="246"/>
      <c r="AO806" s="246"/>
      <c r="AP806" s="246"/>
      <c r="AQ806" s="246"/>
      <c r="AR806" s="246"/>
      <c r="AS806" s="246"/>
      <c r="AT806" s="246"/>
      <c r="AU806" s="246"/>
      <c r="AV806" s="246"/>
      <c r="AW806" s="160"/>
      <c r="AX806" s="160"/>
      <c r="AY806" s="247"/>
      <c r="AZ806" s="248"/>
      <c r="BA806" s="248"/>
      <c r="BB806" s="248"/>
      <c r="BC806" s="248"/>
      <c r="BD806" s="3"/>
    </row>
    <row r="807" spans="1:56" ht="15.75" hidden="1" customHeight="1" outlineLevel="1">
      <c r="A807" s="63">
        <v>797</v>
      </c>
      <c r="B807" s="95" t="s">
        <v>387</v>
      </c>
      <c r="C807" s="114"/>
      <c r="D807" s="159"/>
      <c r="E807" s="114"/>
      <c r="F807" s="114"/>
      <c r="G807" s="170"/>
      <c r="H807" s="114"/>
      <c r="I807" s="118"/>
      <c r="J807" s="119"/>
      <c r="K807" s="120"/>
      <c r="L807" s="261"/>
      <c r="M807" s="262"/>
      <c r="N807" s="263"/>
      <c r="O807" s="264"/>
      <c r="P807" s="262"/>
      <c r="Q807" s="262"/>
      <c r="R807" s="262"/>
      <c r="S807" s="262"/>
      <c r="T807" s="262"/>
      <c r="U807" s="262"/>
      <c r="V807" s="262"/>
      <c r="W807" s="117"/>
      <c r="X807" s="246"/>
      <c r="Y807" s="246"/>
      <c r="Z807" s="246"/>
      <c r="AA807" s="160"/>
      <c r="AB807" s="246"/>
      <c r="AC807" s="160"/>
      <c r="AD807" s="246"/>
      <c r="AE807" s="160"/>
      <c r="AF807" s="246"/>
      <c r="AG807" s="160"/>
      <c r="AH807" s="246"/>
      <c r="AI807" s="160"/>
      <c r="AJ807" s="246"/>
      <c r="AK807" s="246"/>
      <c r="AL807" s="246"/>
      <c r="AM807" s="246"/>
      <c r="AN807" s="246"/>
      <c r="AO807" s="246"/>
      <c r="AP807" s="246"/>
      <c r="AQ807" s="246"/>
      <c r="AR807" s="246"/>
      <c r="AS807" s="246"/>
      <c r="AT807" s="246"/>
      <c r="AU807" s="246"/>
      <c r="AV807" s="246"/>
      <c r="AW807" s="160"/>
      <c r="AX807" s="160"/>
      <c r="AY807" s="247"/>
      <c r="AZ807" s="248"/>
      <c r="BA807" s="248"/>
      <c r="BB807" s="248"/>
      <c r="BC807" s="248"/>
      <c r="BD807" s="3"/>
    </row>
    <row r="808" spans="1:56" ht="15.75" hidden="1" customHeight="1" outlineLevel="1">
      <c r="A808" s="63">
        <v>798</v>
      </c>
      <c r="B808" s="95" t="s">
        <v>388</v>
      </c>
      <c r="C808" s="114"/>
      <c r="D808" s="159"/>
      <c r="E808" s="114"/>
      <c r="F808" s="114"/>
      <c r="G808" s="170"/>
      <c r="H808" s="114"/>
      <c r="I808" s="118"/>
      <c r="J808" s="119"/>
      <c r="K808" s="120"/>
      <c r="L808" s="261"/>
      <c r="M808" s="262"/>
      <c r="N808" s="263"/>
      <c r="O808" s="264"/>
      <c r="P808" s="262"/>
      <c r="Q808" s="262"/>
      <c r="R808" s="262"/>
      <c r="S808" s="262"/>
      <c r="T808" s="262"/>
      <c r="U808" s="262"/>
      <c r="V808" s="262"/>
      <c r="W808" s="117"/>
      <c r="X808" s="246"/>
      <c r="Y808" s="246"/>
      <c r="Z808" s="246"/>
      <c r="AA808" s="160"/>
      <c r="AB808" s="246"/>
      <c r="AC808" s="160"/>
      <c r="AD808" s="246"/>
      <c r="AE808" s="160"/>
      <c r="AF808" s="246"/>
      <c r="AG808" s="160"/>
      <c r="AH808" s="246"/>
      <c r="AI808" s="160"/>
      <c r="AJ808" s="246"/>
      <c r="AK808" s="246"/>
      <c r="AL808" s="246"/>
      <c r="AM808" s="246"/>
      <c r="AN808" s="246"/>
      <c r="AO808" s="246"/>
      <c r="AP808" s="246"/>
      <c r="AQ808" s="246"/>
      <c r="AR808" s="246"/>
      <c r="AS808" s="246"/>
      <c r="AT808" s="246"/>
      <c r="AU808" s="246"/>
      <c r="AV808" s="246"/>
      <c r="AW808" s="160"/>
      <c r="AX808" s="160"/>
      <c r="AY808" s="247"/>
      <c r="AZ808" s="248"/>
      <c r="BA808" s="248"/>
      <c r="BB808" s="248"/>
      <c r="BC808" s="248"/>
      <c r="BD808" s="3"/>
    </row>
    <row r="809" spans="1:56" ht="15.75" hidden="1" customHeight="1" outlineLevel="1">
      <c r="A809" s="63">
        <v>799</v>
      </c>
      <c r="B809" s="95" t="s">
        <v>389</v>
      </c>
      <c r="C809" s="114"/>
      <c r="D809" s="159"/>
      <c r="E809" s="114"/>
      <c r="F809" s="114"/>
      <c r="G809" s="170"/>
      <c r="H809" s="114"/>
      <c r="I809" s="118"/>
      <c r="J809" s="119"/>
      <c r="K809" s="120"/>
      <c r="L809" s="261"/>
      <c r="M809" s="262"/>
      <c r="N809" s="263"/>
      <c r="O809" s="264"/>
      <c r="P809" s="262"/>
      <c r="Q809" s="262"/>
      <c r="R809" s="262"/>
      <c r="S809" s="262"/>
      <c r="T809" s="262"/>
      <c r="U809" s="262"/>
      <c r="V809" s="262"/>
      <c r="W809" s="117"/>
      <c r="X809" s="246"/>
      <c r="Y809" s="246"/>
      <c r="Z809" s="246"/>
      <c r="AA809" s="160"/>
      <c r="AB809" s="246"/>
      <c r="AC809" s="160"/>
      <c r="AD809" s="246"/>
      <c r="AE809" s="160"/>
      <c r="AF809" s="246"/>
      <c r="AG809" s="160"/>
      <c r="AH809" s="246"/>
      <c r="AI809" s="160"/>
      <c r="AJ809" s="246"/>
      <c r="AK809" s="246"/>
      <c r="AL809" s="246"/>
      <c r="AM809" s="246"/>
      <c r="AN809" s="246"/>
      <c r="AO809" s="246"/>
      <c r="AP809" s="246"/>
      <c r="AQ809" s="246"/>
      <c r="AR809" s="246"/>
      <c r="AS809" s="246"/>
      <c r="AT809" s="246"/>
      <c r="AU809" s="246"/>
      <c r="AV809" s="246"/>
      <c r="AW809" s="160"/>
      <c r="AX809" s="160"/>
      <c r="AY809" s="247"/>
      <c r="AZ809" s="248"/>
      <c r="BA809" s="248"/>
      <c r="BB809" s="248"/>
      <c r="BC809" s="248"/>
      <c r="BD809" s="3"/>
    </row>
    <row r="810" spans="1:56" ht="15.75" hidden="1" customHeight="1" outlineLevel="1">
      <c r="A810" s="63">
        <v>800</v>
      </c>
      <c r="B810" s="95" t="s">
        <v>390</v>
      </c>
      <c r="C810" s="114"/>
      <c r="D810" s="159"/>
      <c r="E810" s="114"/>
      <c r="F810" s="114"/>
      <c r="G810" s="170"/>
      <c r="H810" s="114"/>
      <c r="I810" s="118"/>
      <c r="J810" s="119"/>
      <c r="K810" s="120"/>
      <c r="L810" s="261"/>
      <c r="M810" s="262"/>
      <c r="N810" s="263"/>
      <c r="O810" s="264"/>
      <c r="P810" s="262"/>
      <c r="Q810" s="262"/>
      <c r="R810" s="262"/>
      <c r="S810" s="262"/>
      <c r="T810" s="262"/>
      <c r="U810" s="262"/>
      <c r="V810" s="262"/>
      <c r="W810" s="117"/>
      <c r="X810" s="246"/>
      <c r="Y810" s="246"/>
      <c r="Z810" s="246"/>
      <c r="AA810" s="160"/>
      <c r="AB810" s="246"/>
      <c r="AC810" s="160"/>
      <c r="AD810" s="246"/>
      <c r="AE810" s="160"/>
      <c r="AF810" s="246"/>
      <c r="AG810" s="160"/>
      <c r="AH810" s="246"/>
      <c r="AI810" s="160"/>
      <c r="AJ810" s="246"/>
      <c r="AK810" s="246"/>
      <c r="AL810" s="246"/>
      <c r="AM810" s="246"/>
      <c r="AN810" s="246"/>
      <c r="AO810" s="246"/>
      <c r="AP810" s="246"/>
      <c r="AQ810" s="246"/>
      <c r="AR810" s="246"/>
      <c r="AS810" s="246"/>
      <c r="AT810" s="246"/>
      <c r="AU810" s="246"/>
      <c r="AV810" s="246"/>
      <c r="AW810" s="160"/>
      <c r="AX810" s="160"/>
      <c r="AY810" s="247"/>
      <c r="AZ810" s="248"/>
      <c r="BA810" s="248"/>
      <c r="BB810" s="248"/>
      <c r="BC810" s="248"/>
      <c r="BD810" s="3"/>
    </row>
    <row r="811" spans="1:56" ht="15.75" hidden="1" customHeight="1" outlineLevel="1">
      <c r="A811" s="63">
        <v>801</v>
      </c>
      <c r="B811" s="95" t="s">
        <v>392</v>
      </c>
      <c r="C811" s="114"/>
      <c r="D811" s="159"/>
      <c r="E811" s="114"/>
      <c r="F811" s="114"/>
      <c r="G811" s="170"/>
      <c r="H811" s="114"/>
      <c r="I811" s="118"/>
      <c r="J811" s="119"/>
      <c r="K811" s="120"/>
      <c r="L811" s="261"/>
      <c r="M811" s="262"/>
      <c r="N811" s="263"/>
      <c r="O811" s="264"/>
      <c r="P811" s="262"/>
      <c r="Q811" s="262"/>
      <c r="R811" s="262"/>
      <c r="S811" s="262"/>
      <c r="T811" s="262"/>
      <c r="U811" s="262"/>
      <c r="V811" s="262"/>
      <c r="W811" s="117"/>
      <c r="X811" s="246"/>
      <c r="Y811" s="246"/>
      <c r="Z811" s="246"/>
      <c r="AA811" s="160"/>
      <c r="AB811" s="246"/>
      <c r="AC811" s="160"/>
      <c r="AD811" s="246"/>
      <c r="AE811" s="160"/>
      <c r="AF811" s="246"/>
      <c r="AG811" s="160"/>
      <c r="AH811" s="246"/>
      <c r="AI811" s="160"/>
      <c r="AJ811" s="246"/>
      <c r="AK811" s="246"/>
      <c r="AL811" s="246"/>
      <c r="AM811" s="246"/>
      <c r="AN811" s="246"/>
      <c r="AO811" s="246"/>
      <c r="AP811" s="246"/>
      <c r="AQ811" s="246"/>
      <c r="AR811" s="246"/>
      <c r="AS811" s="246"/>
      <c r="AT811" s="246"/>
      <c r="AU811" s="246"/>
      <c r="AV811" s="246"/>
      <c r="AW811" s="160"/>
      <c r="AX811" s="160"/>
      <c r="AY811" s="247"/>
      <c r="AZ811" s="248"/>
      <c r="BA811" s="248"/>
      <c r="BB811" s="248"/>
      <c r="BC811" s="248"/>
      <c r="BD811" s="3"/>
    </row>
    <row r="812" spans="1:56" ht="15.75" hidden="1" customHeight="1" outlineLevel="1">
      <c r="A812" s="63">
        <v>802</v>
      </c>
      <c r="B812" s="95" t="s">
        <v>393</v>
      </c>
      <c r="C812" s="114"/>
      <c r="D812" s="159"/>
      <c r="E812" s="114"/>
      <c r="F812" s="114"/>
      <c r="G812" s="170"/>
      <c r="H812" s="114"/>
      <c r="I812" s="118"/>
      <c r="J812" s="119"/>
      <c r="K812" s="120"/>
      <c r="L812" s="261"/>
      <c r="M812" s="262"/>
      <c r="N812" s="263"/>
      <c r="O812" s="264"/>
      <c r="P812" s="262"/>
      <c r="Q812" s="262"/>
      <c r="R812" s="262"/>
      <c r="S812" s="262"/>
      <c r="T812" s="262"/>
      <c r="U812" s="262"/>
      <c r="V812" s="262"/>
      <c r="W812" s="117"/>
      <c r="X812" s="246"/>
      <c r="Y812" s="246"/>
      <c r="Z812" s="246"/>
      <c r="AA812" s="160"/>
      <c r="AB812" s="246"/>
      <c r="AC812" s="160"/>
      <c r="AD812" s="246"/>
      <c r="AE812" s="160"/>
      <c r="AF812" s="246"/>
      <c r="AG812" s="160"/>
      <c r="AH812" s="246"/>
      <c r="AI812" s="160"/>
      <c r="AJ812" s="246"/>
      <c r="AK812" s="246"/>
      <c r="AL812" s="246"/>
      <c r="AM812" s="246"/>
      <c r="AN812" s="246"/>
      <c r="AO812" s="246"/>
      <c r="AP812" s="246"/>
      <c r="AQ812" s="246"/>
      <c r="AR812" s="246"/>
      <c r="AS812" s="246"/>
      <c r="AT812" s="246"/>
      <c r="AU812" s="246"/>
      <c r="AV812" s="246"/>
      <c r="AW812" s="160"/>
      <c r="AX812" s="160"/>
      <c r="AY812" s="247"/>
      <c r="AZ812" s="248"/>
      <c r="BA812" s="248"/>
      <c r="BB812" s="248"/>
      <c r="BC812" s="248"/>
      <c r="BD812" s="3"/>
    </row>
    <row r="813" spans="1:56" ht="15.75" hidden="1" customHeight="1" outlineLevel="1">
      <c r="A813" s="63">
        <v>803</v>
      </c>
      <c r="B813" s="95" t="s">
        <v>396</v>
      </c>
      <c r="C813" s="114"/>
      <c r="D813" s="159"/>
      <c r="E813" s="114"/>
      <c r="F813" s="114"/>
      <c r="G813" s="170"/>
      <c r="H813" s="114"/>
      <c r="I813" s="118"/>
      <c r="J813" s="119"/>
      <c r="K813" s="120"/>
      <c r="L813" s="261"/>
      <c r="M813" s="262"/>
      <c r="N813" s="263"/>
      <c r="O813" s="264"/>
      <c r="P813" s="262"/>
      <c r="Q813" s="262"/>
      <c r="R813" s="262"/>
      <c r="S813" s="262"/>
      <c r="T813" s="262"/>
      <c r="U813" s="262"/>
      <c r="V813" s="262"/>
      <c r="W813" s="117"/>
      <c r="X813" s="246"/>
      <c r="Y813" s="246"/>
      <c r="Z813" s="246"/>
      <c r="AA813" s="160"/>
      <c r="AB813" s="246"/>
      <c r="AC813" s="160"/>
      <c r="AD813" s="246"/>
      <c r="AE813" s="160"/>
      <c r="AF813" s="246"/>
      <c r="AG813" s="160"/>
      <c r="AH813" s="246"/>
      <c r="AI813" s="160"/>
      <c r="AJ813" s="246"/>
      <c r="AK813" s="246"/>
      <c r="AL813" s="246"/>
      <c r="AM813" s="246"/>
      <c r="AN813" s="246"/>
      <c r="AO813" s="246"/>
      <c r="AP813" s="246"/>
      <c r="AQ813" s="246"/>
      <c r="AR813" s="246"/>
      <c r="AS813" s="246"/>
      <c r="AT813" s="246"/>
      <c r="AU813" s="246"/>
      <c r="AV813" s="246"/>
      <c r="AW813" s="160"/>
      <c r="AX813" s="160"/>
      <c r="AY813" s="247"/>
      <c r="AZ813" s="248"/>
      <c r="BA813" s="248"/>
      <c r="BB813" s="248"/>
      <c r="BC813" s="248"/>
      <c r="BD813" s="3"/>
    </row>
    <row r="814" spans="1:56" ht="15.75" hidden="1" customHeight="1" outlineLevel="1">
      <c r="A814" s="63">
        <v>804</v>
      </c>
      <c r="B814" s="95" t="s">
        <v>397</v>
      </c>
      <c r="C814" s="114"/>
      <c r="D814" s="159"/>
      <c r="E814" s="114"/>
      <c r="F814" s="114"/>
      <c r="G814" s="170"/>
      <c r="H814" s="114"/>
      <c r="I814" s="118"/>
      <c r="J814" s="119"/>
      <c r="K814" s="120"/>
      <c r="L814" s="261"/>
      <c r="M814" s="262"/>
      <c r="N814" s="263"/>
      <c r="O814" s="264"/>
      <c r="P814" s="262"/>
      <c r="Q814" s="262"/>
      <c r="R814" s="262"/>
      <c r="S814" s="262"/>
      <c r="T814" s="262"/>
      <c r="U814" s="262"/>
      <c r="V814" s="262"/>
      <c r="W814" s="117"/>
      <c r="X814" s="246"/>
      <c r="Y814" s="246"/>
      <c r="Z814" s="246"/>
      <c r="AA814" s="160"/>
      <c r="AB814" s="246"/>
      <c r="AC814" s="160"/>
      <c r="AD814" s="246"/>
      <c r="AE814" s="160"/>
      <c r="AF814" s="246"/>
      <c r="AG814" s="160"/>
      <c r="AH814" s="246"/>
      <c r="AI814" s="160"/>
      <c r="AJ814" s="246"/>
      <c r="AK814" s="246"/>
      <c r="AL814" s="246"/>
      <c r="AM814" s="246"/>
      <c r="AN814" s="246"/>
      <c r="AO814" s="246"/>
      <c r="AP814" s="246"/>
      <c r="AQ814" s="246"/>
      <c r="AR814" s="246"/>
      <c r="AS814" s="246"/>
      <c r="AT814" s="246"/>
      <c r="AU814" s="246"/>
      <c r="AV814" s="246"/>
      <c r="AW814" s="160"/>
      <c r="AX814" s="160"/>
      <c r="AY814" s="247"/>
      <c r="AZ814" s="248"/>
      <c r="BA814" s="248"/>
      <c r="BB814" s="248"/>
      <c r="BC814" s="248"/>
      <c r="BD814" s="3"/>
    </row>
    <row r="815" spans="1:56" ht="15.75" hidden="1" customHeight="1" outlineLevel="1">
      <c r="A815" s="63">
        <v>805</v>
      </c>
      <c r="B815" s="95" t="s">
        <v>398</v>
      </c>
      <c r="C815" s="114"/>
      <c r="D815" s="159"/>
      <c r="E815" s="114"/>
      <c r="F815" s="114"/>
      <c r="G815" s="170"/>
      <c r="H815" s="114"/>
      <c r="I815" s="118"/>
      <c r="J815" s="119"/>
      <c r="K815" s="120"/>
      <c r="L815" s="261"/>
      <c r="M815" s="262"/>
      <c r="N815" s="263"/>
      <c r="O815" s="264"/>
      <c r="P815" s="262"/>
      <c r="Q815" s="262"/>
      <c r="R815" s="262"/>
      <c r="S815" s="262"/>
      <c r="T815" s="262"/>
      <c r="U815" s="262"/>
      <c r="V815" s="262"/>
      <c r="W815" s="117"/>
      <c r="X815" s="246"/>
      <c r="Y815" s="246"/>
      <c r="Z815" s="246"/>
      <c r="AA815" s="160"/>
      <c r="AB815" s="246"/>
      <c r="AC815" s="160"/>
      <c r="AD815" s="246"/>
      <c r="AE815" s="160"/>
      <c r="AF815" s="246"/>
      <c r="AG815" s="160"/>
      <c r="AH815" s="246"/>
      <c r="AI815" s="160"/>
      <c r="AJ815" s="246"/>
      <c r="AK815" s="246"/>
      <c r="AL815" s="246"/>
      <c r="AM815" s="246"/>
      <c r="AN815" s="246"/>
      <c r="AO815" s="246"/>
      <c r="AP815" s="246"/>
      <c r="AQ815" s="246"/>
      <c r="AR815" s="246"/>
      <c r="AS815" s="246"/>
      <c r="AT815" s="246"/>
      <c r="AU815" s="246"/>
      <c r="AV815" s="246"/>
      <c r="AW815" s="160"/>
      <c r="AX815" s="160"/>
      <c r="AY815" s="247"/>
      <c r="AZ815" s="248"/>
      <c r="BA815" s="248"/>
      <c r="BB815" s="248"/>
      <c r="BC815" s="248"/>
      <c r="BD815" s="3"/>
    </row>
    <row r="816" spans="1:56" ht="15.75" hidden="1" customHeight="1" outlineLevel="1">
      <c r="A816" s="63">
        <v>806</v>
      </c>
      <c r="B816" s="95" t="s">
        <v>399</v>
      </c>
      <c r="C816" s="114"/>
      <c r="D816" s="159"/>
      <c r="E816" s="114"/>
      <c r="F816" s="114"/>
      <c r="G816" s="170"/>
      <c r="H816" s="114"/>
      <c r="I816" s="118"/>
      <c r="J816" s="119"/>
      <c r="K816" s="120"/>
      <c r="L816" s="261"/>
      <c r="M816" s="262"/>
      <c r="N816" s="263"/>
      <c r="O816" s="264"/>
      <c r="P816" s="262"/>
      <c r="Q816" s="262"/>
      <c r="R816" s="262"/>
      <c r="S816" s="262"/>
      <c r="T816" s="262"/>
      <c r="U816" s="262"/>
      <c r="V816" s="262"/>
      <c r="W816" s="117"/>
      <c r="X816" s="246"/>
      <c r="Y816" s="246"/>
      <c r="Z816" s="246"/>
      <c r="AA816" s="160"/>
      <c r="AB816" s="246"/>
      <c r="AC816" s="160"/>
      <c r="AD816" s="246"/>
      <c r="AE816" s="160"/>
      <c r="AF816" s="246"/>
      <c r="AG816" s="160"/>
      <c r="AH816" s="246"/>
      <c r="AI816" s="160"/>
      <c r="AJ816" s="246"/>
      <c r="AK816" s="246"/>
      <c r="AL816" s="246"/>
      <c r="AM816" s="246"/>
      <c r="AN816" s="246"/>
      <c r="AO816" s="246"/>
      <c r="AP816" s="246"/>
      <c r="AQ816" s="246"/>
      <c r="AR816" s="246"/>
      <c r="AS816" s="246"/>
      <c r="AT816" s="246"/>
      <c r="AU816" s="246"/>
      <c r="AV816" s="246"/>
      <c r="AW816" s="160"/>
      <c r="AX816" s="160"/>
      <c r="AY816" s="247"/>
      <c r="AZ816" s="248"/>
      <c r="BA816" s="248"/>
      <c r="BB816" s="248"/>
      <c r="BC816" s="248"/>
      <c r="BD816" s="3"/>
    </row>
    <row r="817" spans="1:56" ht="15.75" hidden="1" customHeight="1" outlineLevel="1">
      <c r="A817" s="63">
        <v>807</v>
      </c>
      <c r="B817" s="95" t="s">
        <v>402</v>
      </c>
      <c r="C817" s="114"/>
      <c r="D817" s="159"/>
      <c r="E817" s="114"/>
      <c r="F817" s="114"/>
      <c r="G817" s="170"/>
      <c r="H817" s="114"/>
      <c r="I817" s="118"/>
      <c r="J817" s="119"/>
      <c r="K817" s="120"/>
      <c r="L817" s="261"/>
      <c r="M817" s="262"/>
      <c r="N817" s="263"/>
      <c r="O817" s="264"/>
      <c r="P817" s="262"/>
      <c r="Q817" s="262"/>
      <c r="R817" s="262"/>
      <c r="S817" s="262"/>
      <c r="T817" s="262"/>
      <c r="U817" s="262"/>
      <c r="V817" s="262"/>
      <c r="W817" s="117"/>
      <c r="X817" s="246"/>
      <c r="Y817" s="246"/>
      <c r="Z817" s="246"/>
      <c r="AA817" s="160"/>
      <c r="AB817" s="246"/>
      <c r="AC817" s="160"/>
      <c r="AD817" s="246"/>
      <c r="AE817" s="160"/>
      <c r="AF817" s="246"/>
      <c r="AG817" s="160"/>
      <c r="AH817" s="246"/>
      <c r="AI817" s="160"/>
      <c r="AJ817" s="246"/>
      <c r="AK817" s="246"/>
      <c r="AL817" s="246"/>
      <c r="AM817" s="246"/>
      <c r="AN817" s="246"/>
      <c r="AO817" s="246"/>
      <c r="AP817" s="246"/>
      <c r="AQ817" s="246"/>
      <c r="AR817" s="246"/>
      <c r="AS817" s="246"/>
      <c r="AT817" s="246"/>
      <c r="AU817" s="246"/>
      <c r="AV817" s="246"/>
      <c r="AW817" s="160"/>
      <c r="AX817" s="160"/>
      <c r="AY817" s="247"/>
      <c r="AZ817" s="248"/>
      <c r="BA817" s="248"/>
      <c r="BB817" s="248"/>
      <c r="BC817" s="248"/>
      <c r="BD817" s="3"/>
    </row>
    <row r="818" spans="1:56" ht="15.75" hidden="1" customHeight="1" outlineLevel="1">
      <c r="A818" s="63">
        <v>808</v>
      </c>
      <c r="B818" s="95" t="s">
        <v>403</v>
      </c>
      <c r="C818" s="114"/>
      <c r="D818" s="159"/>
      <c r="E818" s="114"/>
      <c r="F818" s="114"/>
      <c r="G818" s="170"/>
      <c r="H818" s="114"/>
      <c r="I818" s="118"/>
      <c r="J818" s="119"/>
      <c r="K818" s="120"/>
      <c r="L818" s="261"/>
      <c r="M818" s="262"/>
      <c r="N818" s="263"/>
      <c r="O818" s="264"/>
      <c r="P818" s="262"/>
      <c r="Q818" s="262"/>
      <c r="R818" s="262"/>
      <c r="S818" s="262"/>
      <c r="T818" s="262"/>
      <c r="U818" s="262"/>
      <c r="V818" s="262"/>
      <c r="W818" s="117"/>
      <c r="X818" s="246"/>
      <c r="Y818" s="246"/>
      <c r="Z818" s="246"/>
      <c r="AA818" s="160"/>
      <c r="AB818" s="246"/>
      <c r="AC818" s="160"/>
      <c r="AD818" s="246"/>
      <c r="AE818" s="160"/>
      <c r="AF818" s="246"/>
      <c r="AG818" s="160"/>
      <c r="AH818" s="246"/>
      <c r="AI818" s="160"/>
      <c r="AJ818" s="246"/>
      <c r="AK818" s="246"/>
      <c r="AL818" s="246"/>
      <c r="AM818" s="246"/>
      <c r="AN818" s="246"/>
      <c r="AO818" s="246"/>
      <c r="AP818" s="246"/>
      <c r="AQ818" s="246"/>
      <c r="AR818" s="246"/>
      <c r="AS818" s="246"/>
      <c r="AT818" s="246"/>
      <c r="AU818" s="246"/>
      <c r="AV818" s="246"/>
      <c r="AW818" s="160"/>
      <c r="AX818" s="160"/>
      <c r="AY818" s="247"/>
      <c r="AZ818" s="248"/>
      <c r="BA818" s="248"/>
      <c r="BB818" s="248"/>
      <c r="BC818" s="248"/>
      <c r="BD818" s="3"/>
    </row>
    <row r="819" spans="1:56" ht="15.75" hidden="1" customHeight="1" outlineLevel="1">
      <c r="A819" s="63">
        <v>809</v>
      </c>
      <c r="B819" s="95" t="s">
        <v>404</v>
      </c>
      <c r="C819" s="114"/>
      <c r="D819" s="159"/>
      <c r="E819" s="114"/>
      <c r="F819" s="114"/>
      <c r="G819" s="170"/>
      <c r="H819" s="114"/>
      <c r="I819" s="118"/>
      <c r="J819" s="119"/>
      <c r="K819" s="120"/>
      <c r="L819" s="261"/>
      <c r="M819" s="262"/>
      <c r="N819" s="263"/>
      <c r="O819" s="264"/>
      <c r="P819" s="262"/>
      <c r="Q819" s="262"/>
      <c r="R819" s="262"/>
      <c r="S819" s="262"/>
      <c r="T819" s="262"/>
      <c r="U819" s="262"/>
      <c r="V819" s="262"/>
      <c r="W819" s="117"/>
      <c r="X819" s="246"/>
      <c r="Y819" s="246"/>
      <c r="Z819" s="246"/>
      <c r="AA819" s="160"/>
      <c r="AB819" s="246"/>
      <c r="AC819" s="160"/>
      <c r="AD819" s="246"/>
      <c r="AE819" s="160"/>
      <c r="AF819" s="246"/>
      <c r="AG819" s="160"/>
      <c r="AH819" s="246"/>
      <c r="AI819" s="160"/>
      <c r="AJ819" s="246"/>
      <c r="AK819" s="246"/>
      <c r="AL819" s="246"/>
      <c r="AM819" s="246"/>
      <c r="AN819" s="246"/>
      <c r="AO819" s="246"/>
      <c r="AP819" s="246"/>
      <c r="AQ819" s="246"/>
      <c r="AR819" s="246"/>
      <c r="AS819" s="246"/>
      <c r="AT819" s="246"/>
      <c r="AU819" s="246"/>
      <c r="AV819" s="246"/>
      <c r="AW819" s="160"/>
      <c r="AX819" s="160"/>
      <c r="AY819" s="247"/>
      <c r="AZ819" s="248"/>
      <c r="BA819" s="248"/>
      <c r="BB819" s="248"/>
      <c r="BC819" s="248"/>
      <c r="BD819" s="3"/>
    </row>
    <row r="820" spans="1:56" ht="15.75" hidden="1" customHeight="1" outlineLevel="1">
      <c r="A820" s="63">
        <v>810</v>
      </c>
      <c r="B820" s="95" t="s">
        <v>405</v>
      </c>
      <c r="C820" s="114"/>
      <c r="D820" s="159"/>
      <c r="E820" s="114"/>
      <c r="F820" s="114"/>
      <c r="G820" s="170"/>
      <c r="H820" s="114"/>
      <c r="I820" s="118"/>
      <c r="J820" s="119"/>
      <c r="K820" s="120"/>
      <c r="L820" s="261"/>
      <c r="M820" s="262"/>
      <c r="N820" s="263"/>
      <c r="O820" s="264"/>
      <c r="P820" s="262"/>
      <c r="Q820" s="262"/>
      <c r="R820" s="262"/>
      <c r="S820" s="262"/>
      <c r="T820" s="262"/>
      <c r="U820" s="262"/>
      <c r="V820" s="262"/>
      <c r="W820" s="117"/>
      <c r="X820" s="246"/>
      <c r="Y820" s="246"/>
      <c r="Z820" s="246"/>
      <c r="AA820" s="160"/>
      <c r="AB820" s="246"/>
      <c r="AC820" s="160"/>
      <c r="AD820" s="246"/>
      <c r="AE820" s="160"/>
      <c r="AF820" s="246"/>
      <c r="AG820" s="160"/>
      <c r="AH820" s="246"/>
      <c r="AI820" s="160"/>
      <c r="AJ820" s="246"/>
      <c r="AK820" s="246"/>
      <c r="AL820" s="246"/>
      <c r="AM820" s="246"/>
      <c r="AN820" s="246"/>
      <c r="AO820" s="246"/>
      <c r="AP820" s="246"/>
      <c r="AQ820" s="246"/>
      <c r="AR820" s="246"/>
      <c r="AS820" s="246"/>
      <c r="AT820" s="246"/>
      <c r="AU820" s="246"/>
      <c r="AV820" s="246"/>
      <c r="AW820" s="160"/>
      <c r="AX820" s="160"/>
      <c r="AY820" s="247"/>
      <c r="AZ820" s="248"/>
      <c r="BA820" s="248"/>
      <c r="BB820" s="248"/>
      <c r="BC820" s="248"/>
      <c r="BD820" s="3"/>
    </row>
    <row r="821" spans="1:56" ht="15.75" hidden="1" customHeight="1" outlineLevel="1">
      <c r="A821" s="63">
        <v>811</v>
      </c>
      <c r="B821" s="95" t="s">
        <v>406</v>
      </c>
      <c r="C821" s="114"/>
      <c r="D821" s="159"/>
      <c r="E821" s="114"/>
      <c r="F821" s="114"/>
      <c r="G821" s="170"/>
      <c r="H821" s="114"/>
      <c r="I821" s="118"/>
      <c r="J821" s="119"/>
      <c r="K821" s="120"/>
      <c r="L821" s="261"/>
      <c r="M821" s="262"/>
      <c r="N821" s="263"/>
      <c r="O821" s="264"/>
      <c r="P821" s="262"/>
      <c r="Q821" s="262"/>
      <c r="R821" s="262"/>
      <c r="S821" s="262"/>
      <c r="T821" s="262"/>
      <c r="U821" s="262"/>
      <c r="V821" s="262"/>
      <c r="W821" s="117"/>
      <c r="X821" s="246"/>
      <c r="Y821" s="246"/>
      <c r="Z821" s="246"/>
      <c r="AA821" s="160"/>
      <c r="AB821" s="246"/>
      <c r="AC821" s="160"/>
      <c r="AD821" s="246"/>
      <c r="AE821" s="160"/>
      <c r="AF821" s="246"/>
      <c r="AG821" s="160"/>
      <c r="AH821" s="246"/>
      <c r="AI821" s="160"/>
      <c r="AJ821" s="246"/>
      <c r="AK821" s="246"/>
      <c r="AL821" s="246"/>
      <c r="AM821" s="246"/>
      <c r="AN821" s="246"/>
      <c r="AO821" s="246"/>
      <c r="AP821" s="246"/>
      <c r="AQ821" s="246"/>
      <c r="AR821" s="246"/>
      <c r="AS821" s="246"/>
      <c r="AT821" s="246"/>
      <c r="AU821" s="246"/>
      <c r="AV821" s="246"/>
      <c r="AW821" s="160"/>
      <c r="AX821" s="160"/>
      <c r="AY821" s="247"/>
      <c r="AZ821" s="248"/>
      <c r="BA821" s="248"/>
      <c r="BB821" s="248"/>
      <c r="BC821" s="248"/>
      <c r="BD821" s="3"/>
    </row>
    <row r="822" spans="1:56" ht="15.75" hidden="1" customHeight="1" outlineLevel="1">
      <c r="A822" s="63">
        <v>812</v>
      </c>
      <c r="B822" s="95" t="s">
        <v>407</v>
      </c>
      <c r="C822" s="114"/>
      <c r="D822" s="159"/>
      <c r="E822" s="114"/>
      <c r="F822" s="114"/>
      <c r="G822" s="170"/>
      <c r="H822" s="114"/>
      <c r="I822" s="118"/>
      <c r="J822" s="119"/>
      <c r="K822" s="120"/>
      <c r="L822" s="261"/>
      <c r="M822" s="262"/>
      <c r="N822" s="263"/>
      <c r="O822" s="264"/>
      <c r="P822" s="262"/>
      <c r="Q822" s="262"/>
      <c r="R822" s="262"/>
      <c r="S822" s="262"/>
      <c r="T822" s="262"/>
      <c r="U822" s="262"/>
      <c r="V822" s="262"/>
      <c r="W822" s="117"/>
      <c r="X822" s="246"/>
      <c r="Y822" s="246"/>
      <c r="Z822" s="246"/>
      <c r="AA822" s="160"/>
      <c r="AB822" s="246"/>
      <c r="AC822" s="160"/>
      <c r="AD822" s="246"/>
      <c r="AE822" s="160"/>
      <c r="AF822" s="246"/>
      <c r="AG822" s="160"/>
      <c r="AH822" s="246"/>
      <c r="AI822" s="160"/>
      <c r="AJ822" s="246"/>
      <c r="AK822" s="246"/>
      <c r="AL822" s="246"/>
      <c r="AM822" s="246"/>
      <c r="AN822" s="246"/>
      <c r="AO822" s="246"/>
      <c r="AP822" s="246"/>
      <c r="AQ822" s="246"/>
      <c r="AR822" s="246"/>
      <c r="AS822" s="246"/>
      <c r="AT822" s="246"/>
      <c r="AU822" s="246"/>
      <c r="AV822" s="246"/>
      <c r="AW822" s="160"/>
      <c r="AX822" s="160"/>
      <c r="AY822" s="247"/>
      <c r="AZ822" s="248"/>
      <c r="BA822" s="248"/>
      <c r="BB822" s="248"/>
      <c r="BC822" s="248"/>
      <c r="BD822" s="3"/>
    </row>
    <row r="823" spans="1:56" ht="15.75" hidden="1" customHeight="1" outlineLevel="1">
      <c r="A823" s="63">
        <v>813</v>
      </c>
      <c r="B823" s="95" t="s">
        <v>409</v>
      </c>
      <c r="C823" s="114"/>
      <c r="D823" s="159"/>
      <c r="E823" s="114"/>
      <c r="F823" s="114"/>
      <c r="G823" s="170"/>
      <c r="H823" s="114"/>
      <c r="I823" s="118"/>
      <c r="J823" s="119"/>
      <c r="K823" s="120"/>
      <c r="L823" s="261"/>
      <c r="M823" s="262"/>
      <c r="N823" s="263"/>
      <c r="O823" s="264"/>
      <c r="P823" s="262"/>
      <c r="Q823" s="262"/>
      <c r="R823" s="262"/>
      <c r="S823" s="262"/>
      <c r="T823" s="262"/>
      <c r="U823" s="262"/>
      <c r="V823" s="262"/>
      <c r="W823" s="117"/>
      <c r="X823" s="246"/>
      <c r="Y823" s="246"/>
      <c r="Z823" s="246"/>
      <c r="AA823" s="160"/>
      <c r="AB823" s="246"/>
      <c r="AC823" s="160"/>
      <c r="AD823" s="246"/>
      <c r="AE823" s="160"/>
      <c r="AF823" s="246"/>
      <c r="AG823" s="160"/>
      <c r="AH823" s="246"/>
      <c r="AI823" s="160"/>
      <c r="AJ823" s="246"/>
      <c r="AK823" s="246"/>
      <c r="AL823" s="246"/>
      <c r="AM823" s="246"/>
      <c r="AN823" s="246"/>
      <c r="AO823" s="246"/>
      <c r="AP823" s="246"/>
      <c r="AQ823" s="246"/>
      <c r="AR823" s="246"/>
      <c r="AS823" s="246"/>
      <c r="AT823" s="246"/>
      <c r="AU823" s="246"/>
      <c r="AV823" s="246"/>
      <c r="AW823" s="160"/>
      <c r="AX823" s="160"/>
      <c r="AY823" s="247"/>
      <c r="AZ823" s="248"/>
      <c r="BA823" s="248"/>
      <c r="BB823" s="248"/>
      <c r="BC823" s="248"/>
      <c r="BD823" s="3"/>
    </row>
    <row r="824" spans="1:56" ht="15.75" hidden="1" customHeight="1" outlineLevel="1">
      <c r="A824" s="63">
        <v>814</v>
      </c>
      <c r="B824" s="95" t="s">
        <v>410</v>
      </c>
      <c r="C824" s="114"/>
      <c r="D824" s="159"/>
      <c r="E824" s="114"/>
      <c r="F824" s="114"/>
      <c r="G824" s="170"/>
      <c r="H824" s="114"/>
      <c r="I824" s="118"/>
      <c r="J824" s="119"/>
      <c r="K824" s="120"/>
      <c r="L824" s="261"/>
      <c r="M824" s="262"/>
      <c r="N824" s="263"/>
      <c r="O824" s="264"/>
      <c r="P824" s="262"/>
      <c r="Q824" s="262"/>
      <c r="R824" s="262"/>
      <c r="S824" s="262"/>
      <c r="T824" s="262"/>
      <c r="U824" s="262"/>
      <c r="V824" s="262"/>
      <c r="W824" s="117"/>
      <c r="X824" s="246"/>
      <c r="Y824" s="246"/>
      <c r="Z824" s="246"/>
      <c r="AA824" s="160"/>
      <c r="AB824" s="246"/>
      <c r="AC824" s="160"/>
      <c r="AD824" s="246"/>
      <c r="AE824" s="160"/>
      <c r="AF824" s="246"/>
      <c r="AG824" s="160"/>
      <c r="AH824" s="246"/>
      <c r="AI824" s="160"/>
      <c r="AJ824" s="246"/>
      <c r="AK824" s="246"/>
      <c r="AL824" s="246"/>
      <c r="AM824" s="246"/>
      <c r="AN824" s="246"/>
      <c r="AO824" s="246"/>
      <c r="AP824" s="246"/>
      <c r="AQ824" s="246"/>
      <c r="AR824" s="246"/>
      <c r="AS824" s="246"/>
      <c r="AT824" s="246"/>
      <c r="AU824" s="246"/>
      <c r="AV824" s="246"/>
      <c r="AW824" s="160"/>
      <c r="AX824" s="160"/>
      <c r="AY824" s="247"/>
      <c r="AZ824" s="248"/>
      <c r="BA824" s="248"/>
      <c r="BB824" s="248"/>
      <c r="BC824" s="248"/>
      <c r="BD824" s="3"/>
    </row>
    <row r="825" spans="1:56" ht="15.75" hidden="1" customHeight="1" outlineLevel="1">
      <c r="A825" s="63">
        <v>815</v>
      </c>
      <c r="B825" s="95" t="s">
        <v>412</v>
      </c>
      <c r="C825" s="114"/>
      <c r="D825" s="159"/>
      <c r="E825" s="114"/>
      <c r="F825" s="114"/>
      <c r="G825" s="170"/>
      <c r="H825" s="114"/>
      <c r="I825" s="118"/>
      <c r="J825" s="119"/>
      <c r="K825" s="120"/>
      <c r="L825" s="261"/>
      <c r="M825" s="262"/>
      <c r="N825" s="263"/>
      <c r="O825" s="264"/>
      <c r="P825" s="262"/>
      <c r="Q825" s="262"/>
      <c r="R825" s="262"/>
      <c r="S825" s="262"/>
      <c r="T825" s="262"/>
      <c r="U825" s="262"/>
      <c r="V825" s="262"/>
      <c r="W825" s="117"/>
      <c r="X825" s="246"/>
      <c r="Y825" s="246"/>
      <c r="Z825" s="246"/>
      <c r="AA825" s="160"/>
      <c r="AB825" s="246"/>
      <c r="AC825" s="160"/>
      <c r="AD825" s="246"/>
      <c r="AE825" s="160"/>
      <c r="AF825" s="246"/>
      <c r="AG825" s="160"/>
      <c r="AH825" s="246"/>
      <c r="AI825" s="160"/>
      <c r="AJ825" s="246"/>
      <c r="AK825" s="246"/>
      <c r="AL825" s="246"/>
      <c r="AM825" s="246"/>
      <c r="AN825" s="246"/>
      <c r="AO825" s="246"/>
      <c r="AP825" s="246"/>
      <c r="AQ825" s="246"/>
      <c r="AR825" s="246"/>
      <c r="AS825" s="246"/>
      <c r="AT825" s="246"/>
      <c r="AU825" s="246"/>
      <c r="AV825" s="246"/>
      <c r="AW825" s="160"/>
      <c r="AX825" s="160"/>
      <c r="AY825" s="247"/>
      <c r="AZ825" s="248"/>
      <c r="BA825" s="248"/>
      <c r="BB825" s="248"/>
      <c r="BC825" s="248"/>
      <c r="BD825" s="3"/>
    </row>
    <row r="826" spans="1:56" ht="15.75" hidden="1" customHeight="1" outlineLevel="1">
      <c r="A826" s="63">
        <v>816</v>
      </c>
      <c r="B826" s="95" t="s">
        <v>414</v>
      </c>
      <c r="C826" s="114"/>
      <c r="D826" s="159"/>
      <c r="E826" s="114"/>
      <c r="F826" s="114"/>
      <c r="G826" s="170"/>
      <c r="H826" s="114"/>
      <c r="I826" s="118"/>
      <c r="J826" s="119"/>
      <c r="K826" s="120"/>
      <c r="L826" s="261"/>
      <c r="M826" s="262"/>
      <c r="N826" s="263"/>
      <c r="O826" s="264"/>
      <c r="P826" s="262"/>
      <c r="Q826" s="262"/>
      <c r="R826" s="262"/>
      <c r="S826" s="262"/>
      <c r="T826" s="262"/>
      <c r="U826" s="262"/>
      <c r="V826" s="262"/>
      <c r="W826" s="117"/>
      <c r="X826" s="246"/>
      <c r="Y826" s="246"/>
      <c r="Z826" s="246"/>
      <c r="AA826" s="160"/>
      <c r="AB826" s="246"/>
      <c r="AC826" s="160"/>
      <c r="AD826" s="246"/>
      <c r="AE826" s="160"/>
      <c r="AF826" s="246"/>
      <c r="AG826" s="160"/>
      <c r="AH826" s="246"/>
      <c r="AI826" s="160"/>
      <c r="AJ826" s="246"/>
      <c r="AK826" s="246"/>
      <c r="AL826" s="246"/>
      <c r="AM826" s="246"/>
      <c r="AN826" s="246"/>
      <c r="AO826" s="246"/>
      <c r="AP826" s="246"/>
      <c r="AQ826" s="246"/>
      <c r="AR826" s="246"/>
      <c r="AS826" s="246"/>
      <c r="AT826" s="246"/>
      <c r="AU826" s="246"/>
      <c r="AV826" s="246"/>
      <c r="AW826" s="160"/>
      <c r="AX826" s="160"/>
      <c r="AY826" s="247"/>
      <c r="AZ826" s="248"/>
      <c r="BA826" s="248"/>
      <c r="BB826" s="248"/>
      <c r="BC826" s="248"/>
      <c r="BD826" s="3"/>
    </row>
    <row r="827" spans="1:56" ht="15.75" hidden="1" customHeight="1" outlineLevel="1">
      <c r="A827" s="63">
        <v>817</v>
      </c>
      <c r="B827" s="95" t="s">
        <v>415</v>
      </c>
      <c r="C827" s="114"/>
      <c r="D827" s="159"/>
      <c r="E827" s="114"/>
      <c r="F827" s="114"/>
      <c r="G827" s="170"/>
      <c r="H827" s="114"/>
      <c r="I827" s="118"/>
      <c r="J827" s="119"/>
      <c r="K827" s="120"/>
      <c r="L827" s="261"/>
      <c r="M827" s="262"/>
      <c r="N827" s="263"/>
      <c r="O827" s="264"/>
      <c r="P827" s="262"/>
      <c r="Q827" s="262"/>
      <c r="R827" s="262"/>
      <c r="S827" s="262"/>
      <c r="T827" s="262"/>
      <c r="U827" s="262"/>
      <c r="V827" s="262"/>
      <c r="W827" s="117"/>
      <c r="X827" s="246"/>
      <c r="Y827" s="246"/>
      <c r="Z827" s="246"/>
      <c r="AA827" s="160"/>
      <c r="AB827" s="246"/>
      <c r="AC827" s="160"/>
      <c r="AD827" s="246"/>
      <c r="AE827" s="160"/>
      <c r="AF827" s="246"/>
      <c r="AG827" s="160"/>
      <c r="AH827" s="246"/>
      <c r="AI827" s="160"/>
      <c r="AJ827" s="246"/>
      <c r="AK827" s="246"/>
      <c r="AL827" s="246"/>
      <c r="AM827" s="246"/>
      <c r="AN827" s="246"/>
      <c r="AO827" s="246"/>
      <c r="AP827" s="246"/>
      <c r="AQ827" s="246"/>
      <c r="AR827" s="246"/>
      <c r="AS827" s="246"/>
      <c r="AT827" s="246"/>
      <c r="AU827" s="246"/>
      <c r="AV827" s="246"/>
      <c r="AW827" s="160"/>
      <c r="AX827" s="160"/>
      <c r="AY827" s="247"/>
      <c r="AZ827" s="248"/>
      <c r="BA827" s="248"/>
      <c r="BB827" s="248"/>
      <c r="BC827" s="248"/>
      <c r="BD827" s="3"/>
    </row>
    <row r="828" spans="1:56" ht="15.75" hidden="1" customHeight="1" outlineLevel="1">
      <c r="A828" s="63">
        <v>818</v>
      </c>
      <c r="B828" s="95" t="s">
        <v>416</v>
      </c>
      <c r="C828" s="114"/>
      <c r="D828" s="159"/>
      <c r="E828" s="114"/>
      <c r="F828" s="114"/>
      <c r="G828" s="170"/>
      <c r="H828" s="114"/>
      <c r="I828" s="118"/>
      <c r="J828" s="119"/>
      <c r="K828" s="120"/>
      <c r="L828" s="261"/>
      <c r="M828" s="262"/>
      <c r="N828" s="263"/>
      <c r="O828" s="264"/>
      <c r="P828" s="262"/>
      <c r="Q828" s="262"/>
      <c r="R828" s="262"/>
      <c r="S828" s="262"/>
      <c r="T828" s="262"/>
      <c r="U828" s="262"/>
      <c r="V828" s="262"/>
      <c r="W828" s="117"/>
      <c r="X828" s="246"/>
      <c r="Y828" s="246"/>
      <c r="Z828" s="246"/>
      <c r="AA828" s="160"/>
      <c r="AB828" s="246"/>
      <c r="AC828" s="160"/>
      <c r="AD828" s="246"/>
      <c r="AE828" s="160"/>
      <c r="AF828" s="246"/>
      <c r="AG828" s="160"/>
      <c r="AH828" s="246"/>
      <c r="AI828" s="160"/>
      <c r="AJ828" s="246"/>
      <c r="AK828" s="246"/>
      <c r="AL828" s="246"/>
      <c r="AM828" s="246"/>
      <c r="AN828" s="246"/>
      <c r="AO828" s="246"/>
      <c r="AP828" s="246"/>
      <c r="AQ828" s="246"/>
      <c r="AR828" s="246"/>
      <c r="AS828" s="246"/>
      <c r="AT828" s="246"/>
      <c r="AU828" s="246"/>
      <c r="AV828" s="246"/>
      <c r="AW828" s="160"/>
      <c r="AX828" s="160"/>
      <c r="AY828" s="247"/>
      <c r="AZ828" s="248"/>
      <c r="BA828" s="248"/>
      <c r="BB828" s="248"/>
      <c r="BC828" s="248"/>
      <c r="BD828" s="3"/>
    </row>
    <row r="829" spans="1:56" ht="15.75" hidden="1" customHeight="1" outlineLevel="1">
      <c r="A829" s="63">
        <v>819</v>
      </c>
      <c r="B829" s="95" t="s">
        <v>417</v>
      </c>
      <c r="C829" s="114"/>
      <c r="D829" s="159"/>
      <c r="E829" s="114"/>
      <c r="F829" s="114"/>
      <c r="G829" s="170"/>
      <c r="H829" s="114"/>
      <c r="I829" s="118"/>
      <c r="J829" s="119"/>
      <c r="K829" s="120"/>
      <c r="L829" s="261"/>
      <c r="M829" s="262"/>
      <c r="N829" s="263"/>
      <c r="O829" s="264"/>
      <c r="P829" s="262"/>
      <c r="Q829" s="262"/>
      <c r="R829" s="262"/>
      <c r="S829" s="262"/>
      <c r="T829" s="262"/>
      <c r="U829" s="262"/>
      <c r="V829" s="262"/>
      <c r="W829" s="117"/>
      <c r="X829" s="246"/>
      <c r="Y829" s="246"/>
      <c r="Z829" s="246"/>
      <c r="AA829" s="160"/>
      <c r="AB829" s="246"/>
      <c r="AC829" s="160"/>
      <c r="AD829" s="246"/>
      <c r="AE829" s="160"/>
      <c r="AF829" s="246"/>
      <c r="AG829" s="160"/>
      <c r="AH829" s="246"/>
      <c r="AI829" s="160"/>
      <c r="AJ829" s="246"/>
      <c r="AK829" s="246"/>
      <c r="AL829" s="246"/>
      <c r="AM829" s="246"/>
      <c r="AN829" s="246"/>
      <c r="AO829" s="246"/>
      <c r="AP829" s="246"/>
      <c r="AQ829" s="246"/>
      <c r="AR829" s="246"/>
      <c r="AS829" s="246"/>
      <c r="AT829" s="246"/>
      <c r="AU829" s="246"/>
      <c r="AV829" s="246"/>
      <c r="AW829" s="160"/>
      <c r="AX829" s="160"/>
      <c r="AY829" s="247"/>
      <c r="AZ829" s="248"/>
      <c r="BA829" s="248"/>
      <c r="BB829" s="248"/>
      <c r="BC829" s="248"/>
      <c r="BD829" s="3"/>
    </row>
    <row r="830" spans="1:56" ht="15.75" hidden="1" customHeight="1" outlineLevel="1">
      <c r="A830" s="63">
        <v>820</v>
      </c>
      <c r="B830" s="95" t="s">
        <v>419</v>
      </c>
      <c r="C830" s="114"/>
      <c r="D830" s="159"/>
      <c r="E830" s="114"/>
      <c r="F830" s="114"/>
      <c r="G830" s="170"/>
      <c r="H830" s="114"/>
      <c r="I830" s="118"/>
      <c r="J830" s="119"/>
      <c r="K830" s="120"/>
      <c r="L830" s="261"/>
      <c r="M830" s="262"/>
      <c r="N830" s="263"/>
      <c r="O830" s="264"/>
      <c r="P830" s="262"/>
      <c r="Q830" s="262"/>
      <c r="R830" s="262"/>
      <c r="S830" s="262"/>
      <c r="T830" s="262"/>
      <c r="U830" s="262"/>
      <c r="V830" s="262"/>
      <c r="W830" s="117"/>
      <c r="X830" s="246"/>
      <c r="Y830" s="246"/>
      <c r="Z830" s="246"/>
      <c r="AA830" s="160"/>
      <c r="AB830" s="246"/>
      <c r="AC830" s="160"/>
      <c r="AD830" s="246"/>
      <c r="AE830" s="160"/>
      <c r="AF830" s="246"/>
      <c r="AG830" s="160"/>
      <c r="AH830" s="246"/>
      <c r="AI830" s="160"/>
      <c r="AJ830" s="246"/>
      <c r="AK830" s="246"/>
      <c r="AL830" s="246"/>
      <c r="AM830" s="246"/>
      <c r="AN830" s="246"/>
      <c r="AO830" s="246"/>
      <c r="AP830" s="246"/>
      <c r="AQ830" s="246"/>
      <c r="AR830" s="246"/>
      <c r="AS830" s="246"/>
      <c r="AT830" s="246"/>
      <c r="AU830" s="246"/>
      <c r="AV830" s="246"/>
      <c r="AW830" s="160"/>
      <c r="AX830" s="160"/>
      <c r="AY830" s="247"/>
      <c r="AZ830" s="248"/>
      <c r="BA830" s="248"/>
      <c r="BB830" s="248"/>
      <c r="BC830" s="248"/>
      <c r="BD830" s="3"/>
    </row>
    <row r="831" spans="1:56" ht="15.75" hidden="1" customHeight="1" outlineLevel="1">
      <c r="A831" s="63">
        <v>821</v>
      </c>
      <c r="B831" s="95" t="s">
        <v>420</v>
      </c>
      <c r="C831" s="116"/>
      <c r="D831" s="160"/>
      <c r="E831" s="117"/>
      <c r="F831" s="115"/>
      <c r="G831" s="171"/>
      <c r="H831" s="115"/>
      <c r="I831" s="118"/>
      <c r="J831" s="119"/>
      <c r="K831" s="120"/>
      <c r="L831" s="261"/>
      <c r="M831" s="262"/>
      <c r="N831" s="263"/>
      <c r="O831" s="264"/>
      <c r="P831" s="262"/>
      <c r="Q831" s="262"/>
      <c r="R831" s="262"/>
      <c r="S831" s="262"/>
      <c r="T831" s="262"/>
      <c r="U831" s="262"/>
      <c r="V831" s="262"/>
      <c r="W831" s="117"/>
      <c r="X831" s="246"/>
      <c r="Y831" s="246"/>
      <c r="Z831" s="246"/>
      <c r="AA831" s="160"/>
      <c r="AB831" s="246"/>
      <c r="AC831" s="160"/>
      <c r="AD831" s="246"/>
      <c r="AE831" s="160"/>
      <c r="AF831" s="246"/>
      <c r="AG831" s="160"/>
      <c r="AH831" s="246"/>
      <c r="AI831" s="160"/>
      <c r="AJ831" s="246"/>
      <c r="AK831" s="246"/>
      <c r="AL831" s="246"/>
      <c r="AM831" s="246"/>
      <c r="AN831" s="246"/>
      <c r="AO831" s="246"/>
      <c r="AP831" s="246"/>
      <c r="AQ831" s="246"/>
      <c r="AR831" s="246"/>
      <c r="AS831" s="246"/>
      <c r="AT831" s="246"/>
      <c r="AU831" s="246"/>
      <c r="AV831" s="246"/>
      <c r="AW831" s="160"/>
      <c r="AX831" s="160"/>
      <c r="AY831" s="247"/>
      <c r="AZ831" s="248"/>
      <c r="BA831" s="248"/>
      <c r="BB831" s="248"/>
      <c r="BC831" s="248"/>
      <c r="BD831" s="3"/>
    </row>
    <row r="832" spans="1:56" ht="15.75" hidden="1" customHeight="1" outlineLevel="1">
      <c r="A832" s="63">
        <v>822</v>
      </c>
      <c r="B832" s="95" t="s">
        <v>421</v>
      </c>
      <c r="C832" s="116"/>
      <c r="D832" s="160"/>
      <c r="E832" s="117"/>
      <c r="F832" s="115"/>
      <c r="G832" s="171"/>
      <c r="H832" s="115"/>
      <c r="I832" s="118"/>
      <c r="J832" s="119"/>
      <c r="K832" s="120"/>
      <c r="L832" s="261"/>
      <c r="M832" s="262"/>
      <c r="N832" s="263"/>
      <c r="O832" s="264"/>
      <c r="P832" s="262"/>
      <c r="Q832" s="262"/>
      <c r="R832" s="262"/>
      <c r="S832" s="262"/>
      <c r="T832" s="262"/>
      <c r="U832" s="262"/>
      <c r="V832" s="262"/>
      <c r="W832" s="117"/>
      <c r="X832" s="246"/>
      <c r="Y832" s="246"/>
      <c r="Z832" s="246"/>
      <c r="AA832" s="160"/>
      <c r="AB832" s="246"/>
      <c r="AC832" s="160"/>
      <c r="AD832" s="246"/>
      <c r="AE832" s="160"/>
      <c r="AF832" s="246"/>
      <c r="AG832" s="160"/>
      <c r="AH832" s="246"/>
      <c r="AI832" s="160"/>
      <c r="AJ832" s="246"/>
      <c r="AK832" s="246"/>
      <c r="AL832" s="246"/>
      <c r="AM832" s="246"/>
      <c r="AN832" s="246"/>
      <c r="AO832" s="246"/>
      <c r="AP832" s="246"/>
      <c r="AQ832" s="246"/>
      <c r="AR832" s="246"/>
      <c r="AS832" s="246"/>
      <c r="AT832" s="246"/>
      <c r="AU832" s="246"/>
      <c r="AV832" s="246"/>
      <c r="AW832" s="160"/>
      <c r="AX832" s="160"/>
      <c r="AY832" s="247"/>
      <c r="AZ832" s="248"/>
      <c r="BA832" s="248"/>
      <c r="BB832" s="248"/>
      <c r="BC832" s="248"/>
      <c r="BD832" s="3"/>
    </row>
    <row r="833" spans="1:56" ht="15.75" hidden="1" customHeight="1" outlineLevel="1">
      <c r="A833" s="63">
        <v>823</v>
      </c>
      <c r="B833" s="95" t="s">
        <v>422</v>
      </c>
      <c r="C833" s="116"/>
      <c r="D833" s="160"/>
      <c r="E833" s="117"/>
      <c r="F833" s="115"/>
      <c r="G833" s="171"/>
      <c r="H833" s="115"/>
      <c r="I833" s="118"/>
      <c r="J833" s="119"/>
      <c r="K833" s="120"/>
      <c r="L833" s="261"/>
      <c r="M833" s="262"/>
      <c r="N833" s="263"/>
      <c r="O833" s="264"/>
      <c r="P833" s="262"/>
      <c r="Q833" s="262"/>
      <c r="R833" s="262"/>
      <c r="S833" s="262"/>
      <c r="T833" s="262"/>
      <c r="U833" s="262"/>
      <c r="V833" s="262"/>
      <c r="W833" s="117"/>
      <c r="X833" s="246"/>
      <c r="Y833" s="246"/>
      <c r="Z833" s="246"/>
      <c r="AA833" s="160"/>
      <c r="AB833" s="246"/>
      <c r="AC833" s="160"/>
      <c r="AD833" s="246"/>
      <c r="AE833" s="160"/>
      <c r="AF833" s="246"/>
      <c r="AG833" s="160"/>
      <c r="AH833" s="246"/>
      <c r="AI833" s="160"/>
      <c r="AJ833" s="246"/>
      <c r="AK833" s="246"/>
      <c r="AL833" s="246"/>
      <c r="AM833" s="246"/>
      <c r="AN833" s="246"/>
      <c r="AO833" s="246"/>
      <c r="AP833" s="246"/>
      <c r="AQ833" s="246"/>
      <c r="AR833" s="246"/>
      <c r="AS833" s="246"/>
      <c r="AT833" s="246"/>
      <c r="AU833" s="246"/>
      <c r="AV833" s="246"/>
      <c r="AW833" s="160"/>
      <c r="AX833" s="160"/>
      <c r="AY833" s="247"/>
      <c r="AZ833" s="248"/>
      <c r="BA833" s="248"/>
      <c r="BB833" s="248"/>
      <c r="BC833" s="248"/>
      <c r="BD833" s="3"/>
    </row>
    <row r="834" spans="1:56" ht="15.75" hidden="1" customHeight="1" outlineLevel="1">
      <c r="A834" s="63">
        <v>824</v>
      </c>
      <c r="B834" s="95" t="s">
        <v>423</v>
      </c>
      <c r="C834" s="116"/>
      <c r="D834" s="160"/>
      <c r="E834" s="117"/>
      <c r="F834" s="115"/>
      <c r="G834" s="171"/>
      <c r="H834" s="115"/>
      <c r="I834" s="118"/>
      <c r="J834" s="119"/>
      <c r="K834" s="120"/>
      <c r="L834" s="261"/>
      <c r="M834" s="262"/>
      <c r="N834" s="263"/>
      <c r="O834" s="264"/>
      <c r="P834" s="262"/>
      <c r="Q834" s="262"/>
      <c r="R834" s="262"/>
      <c r="S834" s="262"/>
      <c r="T834" s="262"/>
      <c r="U834" s="262"/>
      <c r="V834" s="262"/>
      <c r="W834" s="117"/>
      <c r="X834" s="246"/>
      <c r="Y834" s="246"/>
      <c r="Z834" s="246"/>
      <c r="AA834" s="160"/>
      <c r="AB834" s="246"/>
      <c r="AC834" s="160"/>
      <c r="AD834" s="246"/>
      <c r="AE834" s="160"/>
      <c r="AF834" s="246"/>
      <c r="AG834" s="160"/>
      <c r="AH834" s="246"/>
      <c r="AI834" s="160"/>
      <c r="AJ834" s="246"/>
      <c r="AK834" s="246"/>
      <c r="AL834" s="246"/>
      <c r="AM834" s="246"/>
      <c r="AN834" s="246"/>
      <c r="AO834" s="246"/>
      <c r="AP834" s="246"/>
      <c r="AQ834" s="246"/>
      <c r="AR834" s="246"/>
      <c r="AS834" s="246"/>
      <c r="AT834" s="246"/>
      <c r="AU834" s="246"/>
      <c r="AV834" s="246"/>
      <c r="AW834" s="160"/>
      <c r="AX834" s="160"/>
      <c r="AY834" s="247"/>
      <c r="AZ834" s="248"/>
      <c r="BA834" s="248"/>
      <c r="BB834" s="248"/>
      <c r="BC834" s="248"/>
      <c r="BD834" s="3"/>
    </row>
    <row r="835" spans="1:56" ht="15.75" hidden="1" customHeight="1" outlineLevel="1">
      <c r="A835" s="63">
        <v>825</v>
      </c>
      <c r="B835" s="95" t="s">
        <v>424</v>
      </c>
      <c r="C835" s="116"/>
      <c r="D835" s="160"/>
      <c r="E835" s="117"/>
      <c r="F835" s="115"/>
      <c r="G835" s="171"/>
      <c r="H835" s="115"/>
      <c r="I835" s="118"/>
      <c r="J835" s="119"/>
      <c r="K835" s="120"/>
      <c r="L835" s="261"/>
      <c r="M835" s="262"/>
      <c r="N835" s="263"/>
      <c r="O835" s="264"/>
      <c r="P835" s="262"/>
      <c r="Q835" s="262"/>
      <c r="R835" s="262"/>
      <c r="S835" s="262"/>
      <c r="T835" s="262"/>
      <c r="U835" s="262"/>
      <c r="V835" s="262"/>
      <c r="W835" s="117"/>
      <c r="X835" s="246"/>
      <c r="Y835" s="246"/>
      <c r="Z835" s="246"/>
      <c r="AA835" s="160"/>
      <c r="AB835" s="246"/>
      <c r="AC835" s="160"/>
      <c r="AD835" s="246"/>
      <c r="AE835" s="160"/>
      <c r="AF835" s="246"/>
      <c r="AG835" s="160"/>
      <c r="AH835" s="246"/>
      <c r="AI835" s="160"/>
      <c r="AJ835" s="246"/>
      <c r="AK835" s="246"/>
      <c r="AL835" s="246"/>
      <c r="AM835" s="246"/>
      <c r="AN835" s="246"/>
      <c r="AO835" s="246"/>
      <c r="AP835" s="246"/>
      <c r="AQ835" s="246"/>
      <c r="AR835" s="246"/>
      <c r="AS835" s="246"/>
      <c r="AT835" s="246"/>
      <c r="AU835" s="246"/>
      <c r="AV835" s="246"/>
      <c r="AW835" s="160"/>
      <c r="AX835" s="160"/>
      <c r="AY835" s="247"/>
      <c r="AZ835" s="248"/>
      <c r="BA835" s="248"/>
      <c r="BB835" s="248"/>
      <c r="BC835" s="248"/>
      <c r="BD835" s="3"/>
    </row>
    <row r="836" spans="1:56" ht="15.75" hidden="1" customHeight="1" outlineLevel="1">
      <c r="A836" s="63">
        <v>826</v>
      </c>
      <c r="B836" s="95" t="s">
        <v>425</v>
      </c>
      <c r="C836" s="116"/>
      <c r="D836" s="160"/>
      <c r="E836" s="117"/>
      <c r="F836" s="115"/>
      <c r="G836" s="171"/>
      <c r="H836" s="115"/>
      <c r="I836" s="118"/>
      <c r="J836" s="119"/>
      <c r="K836" s="120"/>
      <c r="L836" s="261"/>
      <c r="M836" s="262"/>
      <c r="N836" s="263"/>
      <c r="O836" s="264"/>
      <c r="P836" s="262"/>
      <c r="Q836" s="262"/>
      <c r="R836" s="262"/>
      <c r="S836" s="262"/>
      <c r="T836" s="262"/>
      <c r="U836" s="262"/>
      <c r="V836" s="262"/>
      <c r="W836" s="117"/>
      <c r="X836" s="246"/>
      <c r="Y836" s="246"/>
      <c r="Z836" s="246"/>
      <c r="AA836" s="160"/>
      <c r="AB836" s="246"/>
      <c r="AC836" s="160"/>
      <c r="AD836" s="246"/>
      <c r="AE836" s="160"/>
      <c r="AF836" s="246"/>
      <c r="AG836" s="160"/>
      <c r="AH836" s="246"/>
      <c r="AI836" s="160"/>
      <c r="AJ836" s="246"/>
      <c r="AK836" s="246"/>
      <c r="AL836" s="246"/>
      <c r="AM836" s="246"/>
      <c r="AN836" s="246"/>
      <c r="AO836" s="246"/>
      <c r="AP836" s="246"/>
      <c r="AQ836" s="246"/>
      <c r="AR836" s="246"/>
      <c r="AS836" s="246"/>
      <c r="AT836" s="246"/>
      <c r="AU836" s="246"/>
      <c r="AV836" s="246"/>
      <c r="AW836" s="160"/>
      <c r="AX836" s="160"/>
      <c r="AY836" s="247"/>
      <c r="AZ836" s="248"/>
      <c r="BA836" s="248"/>
      <c r="BB836" s="248"/>
      <c r="BC836" s="248"/>
      <c r="BD836" s="3"/>
    </row>
    <row r="837" spans="1:56" ht="15.75" hidden="1" customHeight="1" outlineLevel="1">
      <c r="A837" s="63">
        <v>827</v>
      </c>
      <c r="B837" s="95" t="s">
        <v>426</v>
      </c>
      <c r="C837" s="116"/>
      <c r="D837" s="160"/>
      <c r="E837" s="117"/>
      <c r="F837" s="115"/>
      <c r="G837" s="171"/>
      <c r="H837" s="115"/>
      <c r="I837" s="118"/>
      <c r="J837" s="119"/>
      <c r="K837" s="120"/>
      <c r="L837" s="261"/>
      <c r="M837" s="262"/>
      <c r="N837" s="263"/>
      <c r="O837" s="264"/>
      <c r="P837" s="262"/>
      <c r="Q837" s="262"/>
      <c r="R837" s="262"/>
      <c r="S837" s="262"/>
      <c r="T837" s="262"/>
      <c r="U837" s="262"/>
      <c r="V837" s="262"/>
      <c r="W837" s="117"/>
      <c r="X837" s="246"/>
      <c r="Y837" s="246"/>
      <c r="Z837" s="246"/>
      <c r="AA837" s="160"/>
      <c r="AB837" s="246"/>
      <c r="AC837" s="160"/>
      <c r="AD837" s="246"/>
      <c r="AE837" s="160"/>
      <c r="AF837" s="246"/>
      <c r="AG837" s="160"/>
      <c r="AH837" s="246"/>
      <c r="AI837" s="160"/>
      <c r="AJ837" s="246"/>
      <c r="AK837" s="246"/>
      <c r="AL837" s="246"/>
      <c r="AM837" s="246"/>
      <c r="AN837" s="246"/>
      <c r="AO837" s="246"/>
      <c r="AP837" s="246"/>
      <c r="AQ837" s="246"/>
      <c r="AR837" s="246"/>
      <c r="AS837" s="246"/>
      <c r="AT837" s="246"/>
      <c r="AU837" s="246"/>
      <c r="AV837" s="246"/>
      <c r="AW837" s="160"/>
      <c r="AX837" s="160"/>
      <c r="AY837" s="247"/>
      <c r="AZ837" s="248"/>
      <c r="BA837" s="248"/>
      <c r="BB837" s="248"/>
      <c r="BC837" s="248"/>
      <c r="BD837" s="3"/>
    </row>
    <row r="838" spans="1:56" ht="15.75" hidden="1" customHeight="1" outlineLevel="1">
      <c r="A838" s="63">
        <v>828</v>
      </c>
      <c r="B838" s="95" t="s">
        <v>428</v>
      </c>
      <c r="C838" s="116"/>
      <c r="D838" s="160"/>
      <c r="E838" s="117"/>
      <c r="F838" s="115"/>
      <c r="G838" s="171"/>
      <c r="H838" s="115"/>
      <c r="I838" s="118"/>
      <c r="J838" s="119"/>
      <c r="K838" s="120"/>
      <c r="L838" s="261"/>
      <c r="M838" s="262"/>
      <c r="N838" s="263"/>
      <c r="O838" s="264"/>
      <c r="P838" s="262"/>
      <c r="Q838" s="262"/>
      <c r="R838" s="262"/>
      <c r="S838" s="262"/>
      <c r="T838" s="262"/>
      <c r="U838" s="262"/>
      <c r="V838" s="262"/>
      <c r="W838" s="117"/>
      <c r="X838" s="246"/>
      <c r="Y838" s="246"/>
      <c r="Z838" s="246"/>
      <c r="AA838" s="160"/>
      <c r="AB838" s="246"/>
      <c r="AC838" s="160"/>
      <c r="AD838" s="246"/>
      <c r="AE838" s="160"/>
      <c r="AF838" s="246"/>
      <c r="AG838" s="160"/>
      <c r="AH838" s="246"/>
      <c r="AI838" s="160"/>
      <c r="AJ838" s="246"/>
      <c r="AK838" s="246"/>
      <c r="AL838" s="246"/>
      <c r="AM838" s="246"/>
      <c r="AN838" s="246"/>
      <c r="AO838" s="246"/>
      <c r="AP838" s="246"/>
      <c r="AQ838" s="246"/>
      <c r="AR838" s="246"/>
      <c r="AS838" s="246"/>
      <c r="AT838" s="246"/>
      <c r="AU838" s="246"/>
      <c r="AV838" s="246"/>
      <c r="AW838" s="160"/>
      <c r="AX838" s="160"/>
      <c r="AY838" s="247"/>
      <c r="AZ838" s="248"/>
      <c r="BA838" s="248"/>
      <c r="BB838" s="248"/>
      <c r="BC838" s="248"/>
      <c r="BD838" s="3"/>
    </row>
    <row r="839" spans="1:56" ht="15.75" hidden="1" customHeight="1" outlineLevel="1">
      <c r="A839" s="63">
        <v>829</v>
      </c>
      <c r="B839" s="95" t="s">
        <v>429</v>
      </c>
      <c r="C839" s="116"/>
      <c r="D839" s="160"/>
      <c r="E839" s="117"/>
      <c r="F839" s="115"/>
      <c r="G839" s="171"/>
      <c r="H839" s="115"/>
      <c r="I839" s="118"/>
      <c r="J839" s="119"/>
      <c r="K839" s="120"/>
      <c r="L839" s="261"/>
      <c r="M839" s="262"/>
      <c r="N839" s="263"/>
      <c r="O839" s="264"/>
      <c r="P839" s="262"/>
      <c r="Q839" s="262"/>
      <c r="R839" s="262"/>
      <c r="S839" s="262"/>
      <c r="T839" s="262"/>
      <c r="U839" s="262"/>
      <c r="V839" s="262"/>
      <c r="W839" s="117"/>
      <c r="X839" s="246"/>
      <c r="Y839" s="246"/>
      <c r="Z839" s="246"/>
      <c r="AA839" s="160"/>
      <c r="AB839" s="246"/>
      <c r="AC839" s="160"/>
      <c r="AD839" s="246"/>
      <c r="AE839" s="160"/>
      <c r="AF839" s="246"/>
      <c r="AG839" s="160"/>
      <c r="AH839" s="246"/>
      <c r="AI839" s="160"/>
      <c r="AJ839" s="246"/>
      <c r="AK839" s="246"/>
      <c r="AL839" s="246"/>
      <c r="AM839" s="246"/>
      <c r="AN839" s="246"/>
      <c r="AO839" s="246"/>
      <c r="AP839" s="246"/>
      <c r="AQ839" s="246"/>
      <c r="AR839" s="246"/>
      <c r="AS839" s="246"/>
      <c r="AT839" s="246"/>
      <c r="AU839" s="246"/>
      <c r="AV839" s="246"/>
      <c r="AW839" s="160"/>
      <c r="AX839" s="160"/>
      <c r="AY839" s="247"/>
      <c r="AZ839" s="248"/>
      <c r="BA839" s="248"/>
      <c r="BB839" s="248"/>
      <c r="BC839" s="248"/>
      <c r="BD839" s="3"/>
    </row>
    <row r="840" spans="1:56" ht="15.75" hidden="1" customHeight="1" outlineLevel="1">
      <c r="A840" s="63">
        <v>830</v>
      </c>
      <c r="B840" s="95" t="s">
        <v>430</v>
      </c>
      <c r="C840" s="116"/>
      <c r="D840" s="160"/>
      <c r="E840" s="117"/>
      <c r="F840" s="115"/>
      <c r="G840" s="171"/>
      <c r="H840" s="115"/>
      <c r="I840" s="118"/>
      <c r="J840" s="119"/>
      <c r="K840" s="120"/>
      <c r="L840" s="261"/>
      <c r="M840" s="262"/>
      <c r="N840" s="263"/>
      <c r="O840" s="264"/>
      <c r="P840" s="262"/>
      <c r="Q840" s="262"/>
      <c r="R840" s="262"/>
      <c r="S840" s="262"/>
      <c r="T840" s="262"/>
      <c r="U840" s="262"/>
      <c r="V840" s="262"/>
      <c r="W840" s="117"/>
      <c r="X840" s="246"/>
      <c r="Y840" s="246"/>
      <c r="Z840" s="246"/>
      <c r="AA840" s="160"/>
      <c r="AB840" s="246"/>
      <c r="AC840" s="160"/>
      <c r="AD840" s="246"/>
      <c r="AE840" s="160"/>
      <c r="AF840" s="246"/>
      <c r="AG840" s="160"/>
      <c r="AH840" s="246"/>
      <c r="AI840" s="160"/>
      <c r="AJ840" s="246"/>
      <c r="AK840" s="246"/>
      <c r="AL840" s="246"/>
      <c r="AM840" s="246"/>
      <c r="AN840" s="246"/>
      <c r="AO840" s="246"/>
      <c r="AP840" s="246"/>
      <c r="AQ840" s="246"/>
      <c r="AR840" s="246"/>
      <c r="AS840" s="246"/>
      <c r="AT840" s="246"/>
      <c r="AU840" s="246"/>
      <c r="AV840" s="246"/>
      <c r="AW840" s="160"/>
      <c r="AX840" s="160"/>
      <c r="AY840" s="247"/>
      <c r="AZ840" s="248"/>
      <c r="BA840" s="248"/>
      <c r="BB840" s="248"/>
      <c r="BC840" s="248"/>
      <c r="BD840" s="3"/>
    </row>
    <row r="841" spans="1:56" ht="15.75" hidden="1" customHeight="1" outlineLevel="1">
      <c r="A841" s="63">
        <v>831</v>
      </c>
      <c r="B841" s="95" t="s">
        <v>431</v>
      </c>
      <c r="C841" s="116"/>
      <c r="D841" s="160"/>
      <c r="E841" s="117"/>
      <c r="F841" s="115"/>
      <c r="G841" s="171"/>
      <c r="H841" s="115"/>
      <c r="I841" s="118"/>
      <c r="J841" s="119"/>
      <c r="K841" s="120"/>
      <c r="L841" s="261"/>
      <c r="M841" s="262"/>
      <c r="N841" s="263"/>
      <c r="O841" s="264"/>
      <c r="P841" s="262"/>
      <c r="Q841" s="262"/>
      <c r="R841" s="262"/>
      <c r="S841" s="262"/>
      <c r="T841" s="262"/>
      <c r="U841" s="262"/>
      <c r="V841" s="262"/>
      <c r="W841" s="117"/>
      <c r="X841" s="246"/>
      <c r="Y841" s="246"/>
      <c r="Z841" s="246"/>
      <c r="AA841" s="160"/>
      <c r="AB841" s="246"/>
      <c r="AC841" s="160"/>
      <c r="AD841" s="246"/>
      <c r="AE841" s="160"/>
      <c r="AF841" s="246"/>
      <c r="AG841" s="160"/>
      <c r="AH841" s="246"/>
      <c r="AI841" s="160"/>
      <c r="AJ841" s="246"/>
      <c r="AK841" s="246"/>
      <c r="AL841" s="246"/>
      <c r="AM841" s="246"/>
      <c r="AN841" s="246"/>
      <c r="AO841" s="246"/>
      <c r="AP841" s="246"/>
      <c r="AQ841" s="246"/>
      <c r="AR841" s="246"/>
      <c r="AS841" s="246"/>
      <c r="AT841" s="246"/>
      <c r="AU841" s="246"/>
      <c r="AV841" s="246"/>
      <c r="AW841" s="160"/>
      <c r="AX841" s="160"/>
      <c r="AY841" s="247"/>
      <c r="AZ841" s="248"/>
      <c r="BA841" s="248"/>
      <c r="BB841" s="248"/>
      <c r="BC841" s="248"/>
      <c r="BD841" s="3"/>
    </row>
    <row r="842" spans="1:56" ht="15.75" hidden="1" customHeight="1" outlineLevel="1">
      <c r="A842" s="63">
        <v>832</v>
      </c>
      <c r="B842" s="95" t="s">
        <v>432</v>
      </c>
      <c r="C842" s="116"/>
      <c r="D842" s="160"/>
      <c r="E842" s="117"/>
      <c r="F842" s="115"/>
      <c r="G842" s="171"/>
      <c r="H842" s="115"/>
      <c r="I842" s="118"/>
      <c r="J842" s="119"/>
      <c r="K842" s="120"/>
      <c r="L842" s="261"/>
      <c r="M842" s="262"/>
      <c r="N842" s="263"/>
      <c r="O842" s="264"/>
      <c r="P842" s="262"/>
      <c r="Q842" s="262"/>
      <c r="R842" s="262"/>
      <c r="S842" s="262"/>
      <c r="T842" s="262"/>
      <c r="U842" s="262"/>
      <c r="V842" s="262"/>
      <c r="W842" s="117"/>
      <c r="X842" s="246"/>
      <c r="Y842" s="246"/>
      <c r="Z842" s="246"/>
      <c r="AA842" s="160"/>
      <c r="AB842" s="246"/>
      <c r="AC842" s="160"/>
      <c r="AD842" s="246"/>
      <c r="AE842" s="160"/>
      <c r="AF842" s="246"/>
      <c r="AG842" s="160"/>
      <c r="AH842" s="246"/>
      <c r="AI842" s="160"/>
      <c r="AJ842" s="246"/>
      <c r="AK842" s="246"/>
      <c r="AL842" s="246"/>
      <c r="AM842" s="246"/>
      <c r="AN842" s="246"/>
      <c r="AO842" s="246"/>
      <c r="AP842" s="246"/>
      <c r="AQ842" s="246"/>
      <c r="AR842" s="246"/>
      <c r="AS842" s="246"/>
      <c r="AT842" s="246"/>
      <c r="AU842" s="246"/>
      <c r="AV842" s="246"/>
      <c r="AW842" s="160"/>
      <c r="AX842" s="160"/>
      <c r="AY842" s="247"/>
      <c r="AZ842" s="248"/>
      <c r="BA842" s="248"/>
      <c r="BB842" s="248"/>
      <c r="BC842" s="248"/>
      <c r="BD842" s="3"/>
    </row>
    <row r="843" spans="1:56" ht="15.75" hidden="1" customHeight="1" outlineLevel="1">
      <c r="A843" s="63">
        <v>833</v>
      </c>
      <c r="B843" s="95" t="s">
        <v>433</v>
      </c>
      <c r="C843" s="116"/>
      <c r="D843" s="160"/>
      <c r="E843" s="117"/>
      <c r="F843" s="115"/>
      <c r="G843" s="171"/>
      <c r="H843" s="115"/>
      <c r="I843" s="118"/>
      <c r="J843" s="119"/>
      <c r="K843" s="120"/>
      <c r="L843" s="261"/>
      <c r="M843" s="262"/>
      <c r="N843" s="263"/>
      <c r="O843" s="264"/>
      <c r="P843" s="262"/>
      <c r="Q843" s="262"/>
      <c r="R843" s="262"/>
      <c r="S843" s="262"/>
      <c r="T843" s="262"/>
      <c r="U843" s="262"/>
      <c r="V843" s="262"/>
      <c r="W843" s="117"/>
      <c r="X843" s="246"/>
      <c r="Y843" s="246"/>
      <c r="Z843" s="246"/>
      <c r="AA843" s="160"/>
      <c r="AB843" s="246"/>
      <c r="AC843" s="160"/>
      <c r="AD843" s="246"/>
      <c r="AE843" s="160"/>
      <c r="AF843" s="246"/>
      <c r="AG843" s="160"/>
      <c r="AH843" s="246"/>
      <c r="AI843" s="160"/>
      <c r="AJ843" s="246"/>
      <c r="AK843" s="246"/>
      <c r="AL843" s="246"/>
      <c r="AM843" s="246"/>
      <c r="AN843" s="246"/>
      <c r="AO843" s="246"/>
      <c r="AP843" s="246"/>
      <c r="AQ843" s="246"/>
      <c r="AR843" s="246"/>
      <c r="AS843" s="246"/>
      <c r="AT843" s="246"/>
      <c r="AU843" s="246"/>
      <c r="AV843" s="246"/>
      <c r="AW843" s="160"/>
      <c r="AX843" s="160"/>
      <c r="AY843" s="247"/>
      <c r="AZ843" s="248"/>
      <c r="BA843" s="248"/>
      <c r="BB843" s="248"/>
      <c r="BC843" s="248"/>
      <c r="BD843" s="3"/>
    </row>
    <row r="844" spans="1:56" ht="15.75" hidden="1" customHeight="1" outlineLevel="1">
      <c r="A844" s="63">
        <v>834</v>
      </c>
      <c r="B844" s="95" t="s">
        <v>435</v>
      </c>
      <c r="C844" s="116"/>
      <c r="D844" s="160"/>
      <c r="E844" s="117"/>
      <c r="F844" s="115"/>
      <c r="G844" s="171"/>
      <c r="H844" s="115"/>
      <c r="I844" s="118"/>
      <c r="J844" s="119"/>
      <c r="K844" s="120"/>
      <c r="L844" s="261"/>
      <c r="M844" s="262"/>
      <c r="N844" s="263"/>
      <c r="O844" s="264"/>
      <c r="P844" s="262"/>
      <c r="Q844" s="262"/>
      <c r="R844" s="262"/>
      <c r="S844" s="262"/>
      <c r="T844" s="262"/>
      <c r="U844" s="262"/>
      <c r="V844" s="262"/>
      <c r="W844" s="117"/>
      <c r="X844" s="246"/>
      <c r="Y844" s="246"/>
      <c r="Z844" s="246"/>
      <c r="AA844" s="160"/>
      <c r="AB844" s="246"/>
      <c r="AC844" s="160"/>
      <c r="AD844" s="246"/>
      <c r="AE844" s="160"/>
      <c r="AF844" s="246"/>
      <c r="AG844" s="160"/>
      <c r="AH844" s="246"/>
      <c r="AI844" s="160"/>
      <c r="AJ844" s="246"/>
      <c r="AK844" s="246"/>
      <c r="AL844" s="246"/>
      <c r="AM844" s="246"/>
      <c r="AN844" s="246"/>
      <c r="AO844" s="246"/>
      <c r="AP844" s="246"/>
      <c r="AQ844" s="246"/>
      <c r="AR844" s="246"/>
      <c r="AS844" s="246"/>
      <c r="AT844" s="246"/>
      <c r="AU844" s="246"/>
      <c r="AV844" s="246"/>
      <c r="AW844" s="160"/>
      <c r="AX844" s="160"/>
      <c r="AY844" s="247"/>
      <c r="AZ844" s="248"/>
      <c r="BA844" s="248"/>
      <c r="BB844" s="248"/>
      <c r="BC844" s="248"/>
      <c r="BD844" s="3"/>
    </row>
    <row r="845" spans="1:56" ht="15.75" hidden="1" customHeight="1" outlineLevel="1">
      <c r="A845" s="63">
        <v>835</v>
      </c>
      <c r="B845" s="95" t="s">
        <v>437</v>
      </c>
      <c r="C845" s="116"/>
      <c r="D845" s="160"/>
      <c r="E845" s="117"/>
      <c r="F845" s="115"/>
      <c r="G845" s="171"/>
      <c r="H845" s="115"/>
      <c r="I845" s="118"/>
      <c r="J845" s="119"/>
      <c r="K845" s="120"/>
      <c r="L845" s="261"/>
      <c r="M845" s="262"/>
      <c r="N845" s="263"/>
      <c r="O845" s="264"/>
      <c r="P845" s="262"/>
      <c r="Q845" s="262"/>
      <c r="R845" s="262"/>
      <c r="S845" s="262"/>
      <c r="T845" s="262"/>
      <c r="U845" s="262"/>
      <c r="V845" s="262"/>
      <c r="W845" s="117"/>
      <c r="X845" s="246"/>
      <c r="Y845" s="246"/>
      <c r="Z845" s="246"/>
      <c r="AA845" s="160"/>
      <c r="AB845" s="246"/>
      <c r="AC845" s="160"/>
      <c r="AD845" s="246"/>
      <c r="AE845" s="160"/>
      <c r="AF845" s="246"/>
      <c r="AG845" s="160"/>
      <c r="AH845" s="246"/>
      <c r="AI845" s="160"/>
      <c r="AJ845" s="246"/>
      <c r="AK845" s="246"/>
      <c r="AL845" s="246"/>
      <c r="AM845" s="246"/>
      <c r="AN845" s="246"/>
      <c r="AO845" s="246"/>
      <c r="AP845" s="246"/>
      <c r="AQ845" s="246"/>
      <c r="AR845" s="246"/>
      <c r="AS845" s="246"/>
      <c r="AT845" s="246"/>
      <c r="AU845" s="246"/>
      <c r="AV845" s="246"/>
      <c r="AW845" s="160"/>
      <c r="AX845" s="160"/>
      <c r="AY845" s="247"/>
      <c r="AZ845" s="248"/>
      <c r="BA845" s="248"/>
      <c r="BB845" s="248"/>
      <c r="BC845" s="248"/>
      <c r="BD845" s="3"/>
    </row>
    <row r="846" spans="1:56" ht="15.75" hidden="1" customHeight="1" outlineLevel="1">
      <c r="A846" s="63">
        <v>836</v>
      </c>
      <c r="B846" s="95" t="s">
        <v>438</v>
      </c>
      <c r="C846" s="116"/>
      <c r="D846" s="160"/>
      <c r="E846" s="117"/>
      <c r="F846" s="115"/>
      <c r="G846" s="171"/>
      <c r="H846" s="115"/>
      <c r="I846" s="118"/>
      <c r="J846" s="119"/>
      <c r="K846" s="120"/>
      <c r="L846" s="261"/>
      <c r="M846" s="262"/>
      <c r="N846" s="263"/>
      <c r="O846" s="264"/>
      <c r="P846" s="262"/>
      <c r="Q846" s="262"/>
      <c r="R846" s="262"/>
      <c r="S846" s="262"/>
      <c r="T846" s="262"/>
      <c r="U846" s="262"/>
      <c r="V846" s="262"/>
      <c r="W846" s="117"/>
      <c r="X846" s="246"/>
      <c r="Y846" s="246"/>
      <c r="Z846" s="246"/>
      <c r="AA846" s="160"/>
      <c r="AB846" s="246"/>
      <c r="AC846" s="160"/>
      <c r="AD846" s="246"/>
      <c r="AE846" s="160"/>
      <c r="AF846" s="246"/>
      <c r="AG846" s="160"/>
      <c r="AH846" s="246"/>
      <c r="AI846" s="160"/>
      <c r="AJ846" s="246"/>
      <c r="AK846" s="246"/>
      <c r="AL846" s="246"/>
      <c r="AM846" s="246"/>
      <c r="AN846" s="246"/>
      <c r="AO846" s="246"/>
      <c r="AP846" s="246"/>
      <c r="AQ846" s="246"/>
      <c r="AR846" s="246"/>
      <c r="AS846" s="246"/>
      <c r="AT846" s="246"/>
      <c r="AU846" s="246"/>
      <c r="AV846" s="246"/>
      <c r="AW846" s="160"/>
      <c r="AX846" s="160"/>
      <c r="AY846" s="247"/>
      <c r="AZ846" s="248"/>
      <c r="BA846" s="248"/>
      <c r="BB846" s="248"/>
      <c r="BC846" s="248"/>
      <c r="BD846" s="3"/>
    </row>
    <row r="847" spans="1:56" ht="15.75" hidden="1" customHeight="1" outlineLevel="1">
      <c r="A847" s="63">
        <v>837</v>
      </c>
      <c r="B847" s="95" t="s">
        <v>439</v>
      </c>
      <c r="C847" s="116"/>
      <c r="D847" s="160"/>
      <c r="E847" s="117"/>
      <c r="F847" s="115"/>
      <c r="G847" s="171"/>
      <c r="H847" s="115"/>
      <c r="I847" s="118"/>
      <c r="J847" s="119"/>
      <c r="K847" s="120"/>
      <c r="L847" s="261"/>
      <c r="M847" s="262"/>
      <c r="N847" s="263"/>
      <c r="O847" s="264"/>
      <c r="P847" s="262"/>
      <c r="Q847" s="262"/>
      <c r="R847" s="262"/>
      <c r="S847" s="262"/>
      <c r="T847" s="262"/>
      <c r="U847" s="262"/>
      <c r="V847" s="262"/>
      <c r="W847" s="117"/>
      <c r="X847" s="246"/>
      <c r="Y847" s="246"/>
      <c r="Z847" s="246"/>
      <c r="AA847" s="160"/>
      <c r="AB847" s="246"/>
      <c r="AC847" s="160"/>
      <c r="AD847" s="246"/>
      <c r="AE847" s="160"/>
      <c r="AF847" s="246"/>
      <c r="AG847" s="160"/>
      <c r="AH847" s="246"/>
      <c r="AI847" s="160"/>
      <c r="AJ847" s="246"/>
      <c r="AK847" s="246"/>
      <c r="AL847" s="246"/>
      <c r="AM847" s="246"/>
      <c r="AN847" s="246"/>
      <c r="AO847" s="246"/>
      <c r="AP847" s="246"/>
      <c r="AQ847" s="246"/>
      <c r="AR847" s="246"/>
      <c r="AS847" s="246"/>
      <c r="AT847" s="246"/>
      <c r="AU847" s="246"/>
      <c r="AV847" s="246"/>
      <c r="AW847" s="160"/>
      <c r="AX847" s="160"/>
      <c r="AY847" s="247"/>
      <c r="AZ847" s="248"/>
      <c r="BA847" s="248"/>
      <c r="BB847" s="248"/>
      <c r="BC847" s="248"/>
      <c r="BD847" s="3"/>
    </row>
    <row r="848" spans="1:56" ht="15.75" hidden="1" customHeight="1" outlineLevel="1">
      <c r="A848" s="63">
        <v>838</v>
      </c>
      <c r="B848" s="95" t="s">
        <v>442</v>
      </c>
      <c r="C848" s="116"/>
      <c r="D848" s="160"/>
      <c r="E848" s="117"/>
      <c r="F848" s="115"/>
      <c r="G848" s="171"/>
      <c r="H848" s="115"/>
      <c r="I848" s="118"/>
      <c r="J848" s="119"/>
      <c r="K848" s="120"/>
      <c r="L848" s="261"/>
      <c r="M848" s="262"/>
      <c r="N848" s="263"/>
      <c r="O848" s="264"/>
      <c r="P848" s="262"/>
      <c r="Q848" s="262"/>
      <c r="R848" s="262"/>
      <c r="S848" s="262"/>
      <c r="T848" s="262"/>
      <c r="U848" s="262"/>
      <c r="V848" s="262"/>
      <c r="W848" s="117"/>
      <c r="X848" s="246"/>
      <c r="Y848" s="246"/>
      <c r="Z848" s="246"/>
      <c r="AA848" s="160"/>
      <c r="AB848" s="246"/>
      <c r="AC848" s="160"/>
      <c r="AD848" s="246"/>
      <c r="AE848" s="160"/>
      <c r="AF848" s="246"/>
      <c r="AG848" s="160"/>
      <c r="AH848" s="246"/>
      <c r="AI848" s="160"/>
      <c r="AJ848" s="246"/>
      <c r="AK848" s="246"/>
      <c r="AL848" s="246"/>
      <c r="AM848" s="246"/>
      <c r="AN848" s="246"/>
      <c r="AO848" s="246"/>
      <c r="AP848" s="246"/>
      <c r="AQ848" s="246"/>
      <c r="AR848" s="246"/>
      <c r="AS848" s="246"/>
      <c r="AT848" s="246"/>
      <c r="AU848" s="246"/>
      <c r="AV848" s="246"/>
      <c r="AW848" s="160"/>
      <c r="AX848" s="160"/>
      <c r="AY848" s="247"/>
      <c r="AZ848" s="248"/>
      <c r="BA848" s="248"/>
      <c r="BB848" s="248"/>
      <c r="BC848" s="248"/>
      <c r="BD848" s="3"/>
    </row>
    <row r="849" spans="1:56" ht="15.75" hidden="1" customHeight="1" outlineLevel="1">
      <c r="A849" s="63">
        <v>839</v>
      </c>
      <c r="B849" s="95" t="s">
        <v>443</v>
      </c>
      <c r="C849" s="116"/>
      <c r="D849" s="160"/>
      <c r="E849" s="117"/>
      <c r="F849" s="115"/>
      <c r="G849" s="171"/>
      <c r="H849" s="115"/>
      <c r="I849" s="118"/>
      <c r="J849" s="119"/>
      <c r="K849" s="120"/>
      <c r="L849" s="261"/>
      <c r="M849" s="262"/>
      <c r="N849" s="263"/>
      <c r="O849" s="264"/>
      <c r="P849" s="262"/>
      <c r="Q849" s="262"/>
      <c r="R849" s="262"/>
      <c r="S849" s="262"/>
      <c r="T849" s="262"/>
      <c r="U849" s="262"/>
      <c r="V849" s="262"/>
      <c r="W849" s="117"/>
      <c r="X849" s="246"/>
      <c r="Y849" s="246"/>
      <c r="Z849" s="246"/>
      <c r="AA849" s="160"/>
      <c r="AB849" s="246"/>
      <c r="AC849" s="160"/>
      <c r="AD849" s="246"/>
      <c r="AE849" s="160"/>
      <c r="AF849" s="246"/>
      <c r="AG849" s="160"/>
      <c r="AH849" s="246"/>
      <c r="AI849" s="160"/>
      <c r="AJ849" s="246"/>
      <c r="AK849" s="246"/>
      <c r="AL849" s="246"/>
      <c r="AM849" s="246"/>
      <c r="AN849" s="246"/>
      <c r="AO849" s="246"/>
      <c r="AP849" s="246"/>
      <c r="AQ849" s="246"/>
      <c r="AR849" s="246"/>
      <c r="AS849" s="246"/>
      <c r="AT849" s="246"/>
      <c r="AU849" s="246"/>
      <c r="AV849" s="246"/>
      <c r="AW849" s="160"/>
      <c r="AX849" s="160"/>
      <c r="AY849" s="247"/>
      <c r="AZ849" s="248"/>
      <c r="BA849" s="248"/>
      <c r="BB849" s="248"/>
      <c r="BC849" s="248"/>
      <c r="BD849" s="3"/>
    </row>
    <row r="850" spans="1:56" ht="15.75" hidden="1" customHeight="1" outlineLevel="1">
      <c r="A850" s="63">
        <v>840</v>
      </c>
      <c r="B850" s="95" t="s">
        <v>444</v>
      </c>
      <c r="C850" s="116"/>
      <c r="D850" s="160"/>
      <c r="E850" s="117"/>
      <c r="F850" s="115"/>
      <c r="G850" s="171"/>
      <c r="H850" s="115"/>
      <c r="I850" s="118"/>
      <c r="J850" s="119"/>
      <c r="K850" s="120"/>
      <c r="L850" s="261"/>
      <c r="M850" s="262"/>
      <c r="N850" s="263"/>
      <c r="O850" s="264"/>
      <c r="P850" s="262"/>
      <c r="Q850" s="262"/>
      <c r="R850" s="262"/>
      <c r="S850" s="262"/>
      <c r="T850" s="262"/>
      <c r="U850" s="262"/>
      <c r="V850" s="262"/>
      <c r="W850" s="117"/>
      <c r="X850" s="246"/>
      <c r="Y850" s="246"/>
      <c r="Z850" s="246"/>
      <c r="AA850" s="160"/>
      <c r="AB850" s="246"/>
      <c r="AC850" s="160"/>
      <c r="AD850" s="246"/>
      <c r="AE850" s="160"/>
      <c r="AF850" s="246"/>
      <c r="AG850" s="160"/>
      <c r="AH850" s="246"/>
      <c r="AI850" s="160"/>
      <c r="AJ850" s="246"/>
      <c r="AK850" s="246"/>
      <c r="AL850" s="246"/>
      <c r="AM850" s="246"/>
      <c r="AN850" s="246"/>
      <c r="AO850" s="246"/>
      <c r="AP850" s="246"/>
      <c r="AQ850" s="246"/>
      <c r="AR850" s="246"/>
      <c r="AS850" s="246"/>
      <c r="AT850" s="246"/>
      <c r="AU850" s="246"/>
      <c r="AV850" s="246"/>
      <c r="AW850" s="160"/>
      <c r="AX850" s="160"/>
      <c r="AY850" s="247"/>
      <c r="AZ850" s="248"/>
      <c r="BA850" s="248"/>
      <c r="BB850" s="248"/>
      <c r="BC850" s="248"/>
      <c r="BD850" s="3"/>
    </row>
    <row r="851" spans="1:56" ht="15.75" hidden="1" customHeight="1" outlineLevel="1">
      <c r="A851" s="63">
        <v>841</v>
      </c>
      <c r="B851" s="95" t="s">
        <v>445</v>
      </c>
      <c r="C851" s="116"/>
      <c r="D851" s="160"/>
      <c r="E851" s="117"/>
      <c r="F851" s="115"/>
      <c r="G851" s="171"/>
      <c r="H851" s="115"/>
      <c r="I851" s="118"/>
      <c r="J851" s="119"/>
      <c r="K851" s="120"/>
      <c r="L851" s="261"/>
      <c r="M851" s="262"/>
      <c r="N851" s="263"/>
      <c r="O851" s="264"/>
      <c r="P851" s="262"/>
      <c r="Q851" s="262"/>
      <c r="R851" s="262"/>
      <c r="S851" s="262"/>
      <c r="T851" s="262"/>
      <c r="U851" s="262"/>
      <c r="V851" s="262"/>
      <c r="W851" s="117"/>
      <c r="X851" s="246"/>
      <c r="Y851" s="246"/>
      <c r="Z851" s="246"/>
      <c r="AA851" s="160"/>
      <c r="AB851" s="246"/>
      <c r="AC851" s="160"/>
      <c r="AD851" s="246"/>
      <c r="AE851" s="160"/>
      <c r="AF851" s="246"/>
      <c r="AG851" s="160"/>
      <c r="AH851" s="246"/>
      <c r="AI851" s="160"/>
      <c r="AJ851" s="246"/>
      <c r="AK851" s="246"/>
      <c r="AL851" s="246"/>
      <c r="AM851" s="246"/>
      <c r="AN851" s="246"/>
      <c r="AO851" s="246"/>
      <c r="AP851" s="246"/>
      <c r="AQ851" s="246"/>
      <c r="AR851" s="246"/>
      <c r="AS851" s="246"/>
      <c r="AT851" s="246"/>
      <c r="AU851" s="246"/>
      <c r="AV851" s="246"/>
      <c r="AW851" s="160"/>
      <c r="AX851" s="160"/>
      <c r="AY851" s="247"/>
      <c r="AZ851" s="248"/>
      <c r="BA851" s="248"/>
      <c r="BB851" s="248"/>
      <c r="BC851" s="248"/>
      <c r="BD851" s="3"/>
    </row>
    <row r="852" spans="1:56" ht="15.75" hidden="1" customHeight="1" outlineLevel="1">
      <c r="A852" s="63">
        <v>842</v>
      </c>
      <c r="B852" s="95" t="s">
        <v>446</v>
      </c>
      <c r="C852" s="116"/>
      <c r="D852" s="160"/>
      <c r="E852" s="117"/>
      <c r="F852" s="115"/>
      <c r="G852" s="171"/>
      <c r="H852" s="115"/>
      <c r="I852" s="118"/>
      <c r="J852" s="119"/>
      <c r="K852" s="120"/>
      <c r="L852" s="261"/>
      <c r="M852" s="262"/>
      <c r="N852" s="263"/>
      <c r="O852" s="264"/>
      <c r="P852" s="262"/>
      <c r="Q852" s="262"/>
      <c r="R852" s="262"/>
      <c r="S852" s="262"/>
      <c r="T852" s="262"/>
      <c r="U852" s="262"/>
      <c r="V852" s="262"/>
      <c r="W852" s="117"/>
      <c r="X852" s="246"/>
      <c r="Y852" s="246"/>
      <c r="Z852" s="246"/>
      <c r="AA852" s="160"/>
      <c r="AB852" s="246"/>
      <c r="AC852" s="160"/>
      <c r="AD852" s="246"/>
      <c r="AE852" s="160"/>
      <c r="AF852" s="246"/>
      <c r="AG852" s="160"/>
      <c r="AH852" s="246"/>
      <c r="AI852" s="160"/>
      <c r="AJ852" s="246"/>
      <c r="AK852" s="246"/>
      <c r="AL852" s="246"/>
      <c r="AM852" s="246"/>
      <c r="AN852" s="246"/>
      <c r="AO852" s="246"/>
      <c r="AP852" s="246"/>
      <c r="AQ852" s="246"/>
      <c r="AR852" s="246"/>
      <c r="AS852" s="246"/>
      <c r="AT852" s="246"/>
      <c r="AU852" s="246"/>
      <c r="AV852" s="246"/>
      <c r="AW852" s="160"/>
      <c r="AX852" s="160"/>
      <c r="AY852" s="247"/>
      <c r="AZ852" s="248"/>
      <c r="BA852" s="248"/>
      <c r="BB852" s="248"/>
      <c r="BC852" s="248"/>
      <c r="BD852" s="3"/>
    </row>
    <row r="853" spans="1:56" ht="15.75" hidden="1" customHeight="1" outlineLevel="1">
      <c r="A853" s="63">
        <v>843</v>
      </c>
      <c r="B853" s="95" t="s">
        <v>447</v>
      </c>
      <c r="C853" s="116"/>
      <c r="D853" s="160"/>
      <c r="E853" s="117"/>
      <c r="F853" s="115"/>
      <c r="G853" s="171"/>
      <c r="H853" s="115"/>
      <c r="I853" s="118"/>
      <c r="J853" s="119"/>
      <c r="K853" s="120"/>
      <c r="L853" s="261"/>
      <c r="M853" s="262"/>
      <c r="N853" s="263"/>
      <c r="O853" s="264"/>
      <c r="P853" s="262"/>
      <c r="Q853" s="262"/>
      <c r="R853" s="262"/>
      <c r="S853" s="262"/>
      <c r="T853" s="262"/>
      <c r="U853" s="262"/>
      <c r="V853" s="262"/>
      <c r="W853" s="117"/>
      <c r="X853" s="246"/>
      <c r="Y853" s="246"/>
      <c r="Z853" s="246"/>
      <c r="AA853" s="160"/>
      <c r="AB853" s="246"/>
      <c r="AC853" s="160"/>
      <c r="AD853" s="246"/>
      <c r="AE853" s="160"/>
      <c r="AF853" s="246"/>
      <c r="AG853" s="160"/>
      <c r="AH853" s="246"/>
      <c r="AI853" s="160"/>
      <c r="AJ853" s="246"/>
      <c r="AK853" s="246"/>
      <c r="AL853" s="246"/>
      <c r="AM853" s="246"/>
      <c r="AN853" s="246"/>
      <c r="AO853" s="246"/>
      <c r="AP853" s="246"/>
      <c r="AQ853" s="246"/>
      <c r="AR853" s="246"/>
      <c r="AS853" s="246"/>
      <c r="AT853" s="246"/>
      <c r="AU853" s="246"/>
      <c r="AV853" s="246"/>
      <c r="AW853" s="160"/>
      <c r="AX853" s="160"/>
      <c r="AY853" s="247"/>
      <c r="AZ853" s="248"/>
      <c r="BA853" s="248"/>
      <c r="BB853" s="248"/>
      <c r="BC853" s="248"/>
      <c r="BD853" s="3"/>
    </row>
    <row r="854" spans="1:56" ht="15.75" hidden="1" customHeight="1" outlineLevel="1">
      <c r="A854" s="63">
        <v>844</v>
      </c>
      <c r="B854" s="95" t="s">
        <v>449</v>
      </c>
      <c r="C854" s="116"/>
      <c r="D854" s="160"/>
      <c r="E854" s="117"/>
      <c r="F854" s="115"/>
      <c r="G854" s="171"/>
      <c r="H854" s="115"/>
      <c r="I854" s="118"/>
      <c r="J854" s="119"/>
      <c r="K854" s="120"/>
      <c r="L854" s="261"/>
      <c r="M854" s="262"/>
      <c r="N854" s="263"/>
      <c r="O854" s="264"/>
      <c r="P854" s="262"/>
      <c r="Q854" s="262"/>
      <c r="R854" s="262"/>
      <c r="S854" s="262"/>
      <c r="T854" s="262"/>
      <c r="U854" s="262"/>
      <c r="V854" s="262"/>
      <c r="W854" s="117"/>
      <c r="X854" s="246"/>
      <c r="Y854" s="246"/>
      <c r="Z854" s="246"/>
      <c r="AA854" s="160"/>
      <c r="AB854" s="246"/>
      <c r="AC854" s="160"/>
      <c r="AD854" s="246"/>
      <c r="AE854" s="160"/>
      <c r="AF854" s="246"/>
      <c r="AG854" s="160"/>
      <c r="AH854" s="246"/>
      <c r="AI854" s="160"/>
      <c r="AJ854" s="246"/>
      <c r="AK854" s="246"/>
      <c r="AL854" s="246"/>
      <c r="AM854" s="246"/>
      <c r="AN854" s="246"/>
      <c r="AO854" s="246"/>
      <c r="AP854" s="246"/>
      <c r="AQ854" s="246"/>
      <c r="AR854" s="246"/>
      <c r="AS854" s="246"/>
      <c r="AT854" s="246"/>
      <c r="AU854" s="246"/>
      <c r="AV854" s="246"/>
      <c r="AW854" s="160"/>
      <c r="AX854" s="160"/>
      <c r="AY854" s="247"/>
      <c r="AZ854" s="248"/>
      <c r="BA854" s="248"/>
      <c r="BB854" s="248"/>
      <c r="BC854" s="248"/>
      <c r="BD854" s="3"/>
    </row>
    <row r="855" spans="1:56" ht="15.75" hidden="1" customHeight="1" outlineLevel="1">
      <c r="A855" s="63">
        <v>845</v>
      </c>
      <c r="B855" s="95" t="s">
        <v>450</v>
      </c>
      <c r="C855" s="116"/>
      <c r="D855" s="160"/>
      <c r="E855" s="117"/>
      <c r="F855" s="115"/>
      <c r="G855" s="171"/>
      <c r="H855" s="115"/>
      <c r="I855" s="118"/>
      <c r="J855" s="119"/>
      <c r="K855" s="120"/>
      <c r="L855" s="261"/>
      <c r="M855" s="262"/>
      <c r="N855" s="263"/>
      <c r="O855" s="264"/>
      <c r="P855" s="262"/>
      <c r="Q855" s="262"/>
      <c r="R855" s="262"/>
      <c r="S855" s="262"/>
      <c r="T855" s="262"/>
      <c r="U855" s="262"/>
      <c r="V855" s="262"/>
      <c r="W855" s="117"/>
      <c r="X855" s="246"/>
      <c r="Y855" s="246"/>
      <c r="Z855" s="246"/>
      <c r="AA855" s="160"/>
      <c r="AB855" s="246"/>
      <c r="AC855" s="160"/>
      <c r="AD855" s="246"/>
      <c r="AE855" s="160"/>
      <c r="AF855" s="246"/>
      <c r="AG855" s="160"/>
      <c r="AH855" s="246"/>
      <c r="AI855" s="160"/>
      <c r="AJ855" s="246"/>
      <c r="AK855" s="246"/>
      <c r="AL855" s="246"/>
      <c r="AM855" s="246"/>
      <c r="AN855" s="246"/>
      <c r="AO855" s="246"/>
      <c r="AP855" s="246"/>
      <c r="AQ855" s="246"/>
      <c r="AR855" s="246"/>
      <c r="AS855" s="246"/>
      <c r="AT855" s="246"/>
      <c r="AU855" s="246"/>
      <c r="AV855" s="246"/>
      <c r="AW855" s="160"/>
      <c r="AX855" s="160"/>
      <c r="AY855" s="247"/>
      <c r="AZ855" s="248"/>
      <c r="BA855" s="248"/>
      <c r="BB855" s="248"/>
      <c r="BC855" s="248"/>
      <c r="BD855" s="3"/>
    </row>
    <row r="856" spans="1:56" ht="15.75" hidden="1" customHeight="1" outlineLevel="1">
      <c r="A856" s="63">
        <v>846</v>
      </c>
      <c r="B856" s="95" t="s">
        <v>451</v>
      </c>
      <c r="C856" s="116"/>
      <c r="D856" s="160"/>
      <c r="E856" s="117"/>
      <c r="F856" s="115"/>
      <c r="G856" s="171"/>
      <c r="H856" s="115"/>
      <c r="I856" s="118"/>
      <c r="J856" s="119"/>
      <c r="K856" s="120"/>
      <c r="L856" s="261"/>
      <c r="M856" s="262"/>
      <c r="N856" s="263"/>
      <c r="O856" s="264"/>
      <c r="P856" s="262"/>
      <c r="Q856" s="262"/>
      <c r="R856" s="262"/>
      <c r="S856" s="262"/>
      <c r="T856" s="262"/>
      <c r="U856" s="262"/>
      <c r="V856" s="262"/>
      <c r="W856" s="117"/>
      <c r="X856" s="246"/>
      <c r="Y856" s="246"/>
      <c r="Z856" s="246"/>
      <c r="AA856" s="160"/>
      <c r="AB856" s="246"/>
      <c r="AC856" s="160"/>
      <c r="AD856" s="246"/>
      <c r="AE856" s="160"/>
      <c r="AF856" s="246"/>
      <c r="AG856" s="160"/>
      <c r="AH856" s="246"/>
      <c r="AI856" s="160"/>
      <c r="AJ856" s="246"/>
      <c r="AK856" s="246"/>
      <c r="AL856" s="246"/>
      <c r="AM856" s="246"/>
      <c r="AN856" s="246"/>
      <c r="AO856" s="246"/>
      <c r="AP856" s="246"/>
      <c r="AQ856" s="246"/>
      <c r="AR856" s="246"/>
      <c r="AS856" s="246"/>
      <c r="AT856" s="246"/>
      <c r="AU856" s="246"/>
      <c r="AV856" s="246"/>
      <c r="AW856" s="160"/>
      <c r="AX856" s="160"/>
      <c r="AY856" s="247"/>
      <c r="AZ856" s="248"/>
      <c r="BA856" s="248"/>
      <c r="BB856" s="248"/>
      <c r="BC856" s="248"/>
      <c r="BD856" s="3"/>
    </row>
    <row r="857" spans="1:56" ht="15.75" hidden="1" customHeight="1" outlineLevel="1">
      <c r="A857" s="63">
        <v>847</v>
      </c>
      <c r="B857" s="95" t="s">
        <v>452</v>
      </c>
      <c r="C857" s="116"/>
      <c r="D857" s="160"/>
      <c r="E857" s="117"/>
      <c r="F857" s="115"/>
      <c r="G857" s="171"/>
      <c r="H857" s="115"/>
      <c r="I857" s="118"/>
      <c r="J857" s="119"/>
      <c r="K857" s="120"/>
      <c r="L857" s="261"/>
      <c r="M857" s="262"/>
      <c r="N857" s="263"/>
      <c r="O857" s="264"/>
      <c r="P857" s="262"/>
      <c r="Q857" s="262"/>
      <c r="R857" s="262"/>
      <c r="S857" s="262"/>
      <c r="T857" s="262"/>
      <c r="U857" s="262"/>
      <c r="V857" s="262"/>
      <c r="W857" s="117"/>
      <c r="X857" s="246"/>
      <c r="Y857" s="246"/>
      <c r="Z857" s="246"/>
      <c r="AA857" s="160"/>
      <c r="AB857" s="246"/>
      <c r="AC857" s="160"/>
      <c r="AD857" s="246"/>
      <c r="AE857" s="160"/>
      <c r="AF857" s="246"/>
      <c r="AG857" s="160"/>
      <c r="AH857" s="246"/>
      <c r="AI857" s="160"/>
      <c r="AJ857" s="246"/>
      <c r="AK857" s="246"/>
      <c r="AL857" s="246"/>
      <c r="AM857" s="246"/>
      <c r="AN857" s="246"/>
      <c r="AO857" s="246"/>
      <c r="AP857" s="246"/>
      <c r="AQ857" s="246"/>
      <c r="AR857" s="246"/>
      <c r="AS857" s="246"/>
      <c r="AT857" s="246"/>
      <c r="AU857" s="246"/>
      <c r="AV857" s="246"/>
      <c r="AW857" s="160"/>
      <c r="AX857" s="160"/>
      <c r="AY857" s="247"/>
      <c r="AZ857" s="248"/>
      <c r="BA857" s="248"/>
      <c r="BB857" s="248"/>
      <c r="BC857" s="248"/>
      <c r="BD857" s="3"/>
    </row>
    <row r="858" spans="1:56" ht="15.75" hidden="1" customHeight="1" outlineLevel="1">
      <c r="A858" s="63">
        <v>848</v>
      </c>
      <c r="B858" s="95" t="s">
        <v>454</v>
      </c>
      <c r="C858" s="116"/>
      <c r="D858" s="160"/>
      <c r="E858" s="117"/>
      <c r="F858" s="115"/>
      <c r="G858" s="171"/>
      <c r="H858" s="115"/>
      <c r="I858" s="118"/>
      <c r="J858" s="119"/>
      <c r="K858" s="120"/>
      <c r="L858" s="261"/>
      <c r="M858" s="262"/>
      <c r="N858" s="263"/>
      <c r="O858" s="264"/>
      <c r="P858" s="262"/>
      <c r="Q858" s="262"/>
      <c r="R858" s="262"/>
      <c r="S858" s="262"/>
      <c r="T858" s="262"/>
      <c r="U858" s="262"/>
      <c r="V858" s="262"/>
      <c r="W858" s="117"/>
      <c r="X858" s="246"/>
      <c r="Y858" s="246"/>
      <c r="Z858" s="246"/>
      <c r="AA858" s="160"/>
      <c r="AB858" s="246"/>
      <c r="AC858" s="160"/>
      <c r="AD858" s="246"/>
      <c r="AE858" s="160"/>
      <c r="AF858" s="246"/>
      <c r="AG858" s="160"/>
      <c r="AH858" s="246"/>
      <c r="AI858" s="160"/>
      <c r="AJ858" s="246"/>
      <c r="AK858" s="246"/>
      <c r="AL858" s="246"/>
      <c r="AM858" s="246"/>
      <c r="AN858" s="246"/>
      <c r="AO858" s="246"/>
      <c r="AP858" s="246"/>
      <c r="AQ858" s="246"/>
      <c r="AR858" s="246"/>
      <c r="AS858" s="246"/>
      <c r="AT858" s="246"/>
      <c r="AU858" s="246"/>
      <c r="AV858" s="246"/>
      <c r="AW858" s="160"/>
      <c r="AX858" s="160"/>
      <c r="AY858" s="247"/>
      <c r="AZ858" s="248"/>
      <c r="BA858" s="248"/>
      <c r="BB858" s="248"/>
      <c r="BC858" s="248"/>
      <c r="BD858" s="3"/>
    </row>
    <row r="859" spans="1:56" ht="15.75" hidden="1" customHeight="1" outlineLevel="1">
      <c r="A859" s="63">
        <v>849</v>
      </c>
      <c r="B859" s="95" t="s">
        <v>455</v>
      </c>
      <c r="C859" s="116"/>
      <c r="D859" s="160"/>
      <c r="E859" s="117"/>
      <c r="F859" s="115"/>
      <c r="G859" s="171"/>
      <c r="H859" s="115"/>
      <c r="I859" s="118"/>
      <c r="J859" s="119"/>
      <c r="K859" s="120"/>
      <c r="L859" s="261"/>
      <c r="M859" s="262"/>
      <c r="N859" s="263"/>
      <c r="O859" s="264"/>
      <c r="P859" s="262"/>
      <c r="Q859" s="262"/>
      <c r="R859" s="262"/>
      <c r="S859" s="262"/>
      <c r="T859" s="262"/>
      <c r="U859" s="262"/>
      <c r="V859" s="262"/>
      <c r="W859" s="117"/>
      <c r="X859" s="246"/>
      <c r="Y859" s="246"/>
      <c r="Z859" s="246"/>
      <c r="AA859" s="160"/>
      <c r="AB859" s="246"/>
      <c r="AC859" s="160"/>
      <c r="AD859" s="246"/>
      <c r="AE859" s="160"/>
      <c r="AF859" s="246"/>
      <c r="AG859" s="160"/>
      <c r="AH859" s="246"/>
      <c r="AI859" s="160"/>
      <c r="AJ859" s="246"/>
      <c r="AK859" s="246"/>
      <c r="AL859" s="246"/>
      <c r="AM859" s="246"/>
      <c r="AN859" s="246"/>
      <c r="AO859" s="246"/>
      <c r="AP859" s="246"/>
      <c r="AQ859" s="246"/>
      <c r="AR859" s="246"/>
      <c r="AS859" s="246"/>
      <c r="AT859" s="246"/>
      <c r="AU859" s="246"/>
      <c r="AV859" s="246"/>
      <c r="AW859" s="160"/>
      <c r="AX859" s="160"/>
      <c r="AY859" s="247"/>
      <c r="AZ859" s="248"/>
      <c r="BA859" s="248"/>
      <c r="BB859" s="248"/>
      <c r="BC859" s="248"/>
      <c r="BD859" s="3"/>
    </row>
    <row r="860" spans="1:56" ht="15.75" hidden="1" customHeight="1" outlineLevel="1">
      <c r="A860" s="63">
        <v>850</v>
      </c>
      <c r="B860" s="95" t="s">
        <v>456</v>
      </c>
      <c r="C860" s="116"/>
      <c r="D860" s="160"/>
      <c r="E860" s="117"/>
      <c r="F860" s="115"/>
      <c r="G860" s="171"/>
      <c r="H860" s="115"/>
      <c r="I860" s="118"/>
      <c r="J860" s="119"/>
      <c r="K860" s="120"/>
      <c r="L860" s="261"/>
      <c r="M860" s="262"/>
      <c r="N860" s="263"/>
      <c r="O860" s="264"/>
      <c r="P860" s="262"/>
      <c r="Q860" s="262"/>
      <c r="R860" s="262"/>
      <c r="S860" s="262"/>
      <c r="T860" s="262"/>
      <c r="U860" s="262"/>
      <c r="V860" s="262"/>
      <c r="W860" s="117"/>
      <c r="X860" s="246"/>
      <c r="Y860" s="246"/>
      <c r="Z860" s="246"/>
      <c r="AA860" s="160"/>
      <c r="AB860" s="246"/>
      <c r="AC860" s="160"/>
      <c r="AD860" s="246"/>
      <c r="AE860" s="160"/>
      <c r="AF860" s="246"/>
      <c r="AG860" s="160"/>
      <c r="AH860" s="246"/>
      <c r="AI860" s="160"/>
      <c r="AJ860" s="246"/>
      <c r="AK860" s="246"/>
      <c r="AL860" s="246"/>
      <c r="AM860" s="246"/>
      <c r="AN860" s="246"/>
      <c r="AO860" s="246"/>
      <c r="AP860" s="246"/>
      <c r="AQ860" s="246"/>
      <c r="AR860" s="246"/>
      <c r="AS860" s="246"/>
      <c r="AT860" s="246"/>
      <c r="AU860" s="246"/>
      <c r="AV860" s="246"/>
      <c r="AW860" s="160"/>
      <c r="AX860" s="160"/>
      <c r="AY860" s="247"/>
      <c r="AZ860" s="248"/>
      <c r="BA860" s="248"/>
      <c r="BB860" s="248"/>
      <c r="BC860" s="248"/>
      <c r="BD860" s="3"/>
    </row>
    <row r="861" spans="1:56" ht="15.75" hidden="1" customHeight="1" outlineLevel="1">
      <c r="A861" s="63">
        <v>851</v>
      </c>
      <c r="B861" s="95" t="s">
        <v>457</v>
      </c>
      <c r="C861" s="116"/>
      <c r="D861" s="160"/>
      <c r="E861" s="117"/>
      <c r="F861" s="115"/>
      <c r="G861" s="171"/>
      <c r="H861" s="115"/>
      <c r="I861" s="118"/>
      <c r="J861" s="119"/>
      <c r="K861" s="120"/>
      <c r="L861" s="261"/>
      <c r="M861" s="262"/>
      <c r="N861" s="263"/>
      <c r="O861" s="264"/>
      <c r="P861" s="262"/>
      <c r="Q861" s="262"/>
      <c r="R861" s="262"/>
      <c r="S861" s="262"/>
      <c r="T861" s="262"/>
      <c r="U861" s="262"/>
      <c r="V861" s="262"/>
      <c r="W861" s="117"/>
      <c r="X861" s="246"/>
      <c r="Y861" s="246"/>
      <c r="Z861" s="246"/>
      <c r="AA861" s="160"/>
      <c r="AB861" s="246"/>
      <c r="AC861" s="160"/>
      <c r="AD861" s="246"/>
      <c r="AE861" s="160"/>
      <c r="AF861" s="246"/>
      <c r="AG861" s="160"/>
      <c r="AH861" s="246"/>
      <c r="AI861" s="160"/>
      <c r="AJ861" s="246"/>
      <c r="AK861" s="246"/>
      <c r="AL861" s="246"/>
      <c r="AM861" s="246"/>
      <c r="AN861" s="246"/>
      <c r="AO861" s="246"/>
      <c r="AP861" s="246"/>
      <c r="AQ861" s="246"/>
      <c r="AR861" s="246"/>
      <c r="AS861" s="246"/>
      <c r="AT861" s="246"/>
      <c r="AU861" s="246"/>
      <c r="AV861" s="246"/>
      <c r="AW861" s="160"/>
      <c r="AX861" s="160"/>
      <c r="AY861" s="247"/>
      <c r="AZ861" s="248"/>
      <c r="BA861" s="248"/>
      <c r="BB861" s="248"/>
      <c r="BC861" s="248"/>
      <c r="BD861" s="3"/>
    </row>
    <row r="862" spans="1:56" ht="15.75" hidden="1" customHeight="1" outlineLevel="1">
      <c r="A862" s="63">
        <v>852</v>
      </c>
      <c r="B862" s="95" t="s">
        <v>458</v>
      </c>
      <c r="C862" s="116"/>
      <c r="D862" s="160"/>
      <c r="E862" s="117"/>
      <c r="F862" s="115"/>
      <c r="G862" s="171"/>
      <c r="H862" s="115"/>
      <c r="I862" s="118"/>
      <c r="J862" s="119"/>
      <c r="K862" s="120"/>
      <c r="L862" s="261"/>
      <c r="M862" s="262"/>
      <c r="N862" s="263"/>
      <c r="O862" s="264"/>
      <c r="P862" s="262"/>
      <c r="Q862" s="262"/>
      <c r="R862" s="262"/>
      <c r="S862" s="262"/>
      <c r="T862" s="262"/>
      <c r="U862" s="262"/>
      <c r="V862" s="262"/>
      <c r="W862" s="117"/>
      <c r="X862" s="246"/>
      <c r="Y862" s="246"/>
      <c r="Z862" s="246"/>
      <c r="AA862" s="160"/>
      <c r="AB862" s="246"/>
      <c r="AC862" s="160"/>
      <c r="AD862" s="246"/>
      <c r="AE862" s="160"/>
      <c r="AF862" s="246"/>
      <c r="AG862" s="160"/>
      <c r="AH862" s="246"/>
      <c r="AI862" s="160"/>
      <c r="AJ862" s="246"/>
      <c r="AK862" s="246"/>
      <c r="AL862" s="246"/>
      <c r="AM862" s="246"/>
      <c r="AN862" s="246"/>
      <c r="AO862" s="246"/>
      <c r="AP862" s="246"/>
      <c r="AQ862" s="246"/>
      <c r="AR862" s="246"/>
      <c r="AS862" s="246"/>
      <c r="AT862" s="246"/>
      <c r="AU862" s="246"/>
      <c r="AV862" s="246"/>
      <c r="AW862" s="160"/>
      <c r="AX862" s="160"/>
      <c r="AY862" s="247"/>
      <c r="AZ862" s="248"/>
      <c r="BA862" s="248"/>
      <c r="BB862" s="248"/>
      <c r="BC862" s="248"/>
      <c r="BD862" s="3"/>
    </row>
    <row r="863" spans="1:56" ht="15.75" hidden="1" customHeight="1" outlineLevel="1">
      <c r="A863" s="63">
        <v>853</v>
      </c>
      <c r="B863" s="95" t="s">
        <v>459</v>
      </c>
      <c r="C863" s="116"/>
      <c r="D863" s="160"/>
      <c r="E863" s="117"/>
      <c r="F863" s="115"/>
      <c r="G863" s="171"/>
      <c r="H863" s="115"/>
      <c r="I863" s="118"/>
      <c r="J863" s="119"/>
      <c r="K863" s="120"/>
      <c r="L863" s="261"/>
      <c r="M863" s="262"/>
      <c r="N863" s="263"/>
      <c r="O863" s="264"/>
      <c r="P863" s="262"/>
      <c r="Q863" s="262"/>
      <c r="R863" s="262"/>
      <c r="S863" s="262"/>
      <c r="T863" s="262"/>
      <c r="U863" s="262"/>
      <c r="V863" s="262"/>
      <c r="W863" s="117"/>
      <c r="X863" s="246"/>
      <c r="Y863" s="246"/>
      <c r="Z863" s="246"/>
      <c r="AA863" s="160"/>
      <c r="AB863" s="246"/>
      <c r="AC863" s="160"/>
      <c r="AD863" s="246"/>
      <c r="AE863" s="160"/>
      <c r="AF863" s="246"/>
      <c r="AG863" s="160"/>
      <c r="AH863" s="246"/>
      <c r="AI863" s="160"/>
      <c r="AJ863" s="246"/>
      <c r="AK863" s="246"/>
      <c r="AL863" s="246"/>
      <c r="AM863" s="246"/>
      <c r="AN863" s="246"/>
      <c r="AO863" s="246"/>
      <c r="AP863" s="246"/>
      <c r="AQ863" s="246"/>
      <c r="AR863" s="246"/>
      <c r="AS863" s="246"/>
      <c r="AT863" s="246"/>
      <c r="AU863" s="246"/>
      <c r="AV863" s="246"/>
      <c r="AW863" s="160"/>
      <c r="AX863" s="160"/>
      <c r="AY863" s="247"/>
      <c r="AZ863" s="248"/>
      <c r="BA863" s="248"/>
      <c r="BB863" s="248"/>
      <c r="BC863" s="248"/>
      <c r="BD863" s="3"/>
    </row>
    <row r="864" spans="1:56" ht="15.75" hidden="1" customHeight="1" outlineLevel="1">
      <c r="A864" s="63">
        <v>854</v>
      </c>
      <c r="B864" s="95" t="s">
        <v>460</v>
      </c>
      <c r="C864" s="116"/>
      <c r="D864" s="160"/>
      <c r="E864" s="117"/>
      <c r="F864" s="115"/>
      <c r="G864" s="171"/>
      <c r="H864" s="115"/>
      <c r="I864" s="118"/>
      <c r="J864" s="119"/>
      <c r="K864" s="120"/>
      <c r="L864" s="261"/>
      <c r="M864" s="262"/>
      <c r="N864" s="263"/>
      <c r="O864" s="264"/>
      <c r="P864" s="262"/>
      <c r="Q864" s="262"/>
      <c r="R864" s="262"/>
      <c r="S864" s="262"/>
      <c r="T864" s="262"/>
      <c r="U864" s="262"/>
      <c r="V864" s="262"/>
      <c r="W864" s="117"/>
      <c r="X864" s="246"/>
      <c r="Y864" s="246"/>
      <c r="Z864" s="246"/>
      <c r="AA864" s="160"/>
      <c r="AB864" s="246"/>
      <c r="AC864" s="160"/>
      <c r="AD864" s="246"/>
      <c r="AE864" s="160"/>
      <c r="AF864" s="246"/>
      <c r="AG864" s="160"/>
      <c r="AH864" s="246"/>
      <c r="AI864" s="160"/>
      <c r="AJ864" s="246"/>
      <c r="AK864" s="246"/>
      <c r="AL864" s="246"/>
      <c r="AM864" s="246"/>
      <c r="AN864" s="246"/>
      <c r="AO864" s="246"/>
      <c r="AP864" s="246"/>
      <c r="AQ864" s="246"/>
      <c r="AR864" s="246"/>
      <c r="AS864" s="246"/>
      <c r="AT864" s="246"/>
      <c r="AU864" s="246"/>
      <c r="AV864" s="246"/>
      <c r="AW864" s="160"/>
      <c r="AX864" s="160"/>
      <c r="AY864" s="247"/>
      <c r="AZ864" s="248"/>
      <c r="BA864" s="248"/>
      <c r="BB864" s="248"/>
      <c r="BC864" s="248"/>
      <c r="BD864" s="3"/>
    </row>
    <row r="865" spans="1:56" ht="15.75" hidden="1" customHeight="1" outlineLevel="1">
      <c r="A865" s="63">
        <v>855</v>
      </c>
      <c r="B865" s="95" t="s">
        <v>462</v>
      </c>
      <c r="C865" s="116"/>
      <c r="D865" s="160"/>
      <c r="E865" s="117"/>
      <c r="F865" s="115"/>
      <c r="G865" s="171"/>
      <c r="H865" s="115"/>
      <c r="I865" s="118"/>
      <c r="J865" s="119"/>
      <c r="K865" s="120"/>
      <c r="L865" s="261"/>
      <c r="M865" s="262"/>
      <c r="N865" s="263"/>
      <c r="O865" s="264"/>
      <c r="P865" s="262"/>
      <c r="Q865" s="262"/>
      <c r="R865" s="262"/>
      <c r="S865" s="262"/>
      <c r="T865" s="262"/>
      <c r="U865" s="262"/>
      <c r="V865" s="262"/>
      <c r="W865" s="117"/>
      <c r="X865" s="246"/>
      <c r="Y865" s="246"/>
      <c r="Z865" s="246"/>
      <c r="AA865" s="160"/>
      <c r="AB865" s="246"/>
      <c r="AC865" s="160"/>
      <c r="AD865" s="246"/>
      <c r="AE865" s="160"/>
      <c r="AF865" s="246"/>
      <c r="AG865" s="160"/>
      <c r="AH865" s="246"/>
      <c r="AI865" s="160"/>
      <c r="AJ865" s="246"/>
      <c r="AK865" s="246"/>
      <c r="AL865" s="246"/>
      <c r="AM865" s="246"/>
      <c r="AN865" s="246"/>
      <c r="AO865" s="246"/>
      <c r="AP865" s="246"/>
      <c r="AQ865" s="246"/>
      <c r="AR865" s="246"/>
      <c r="AS865" s="246"/>
      <c r="AT865" s="246"/>
      <c r="AU865" s="246"/>
      <c r="AV865" s="246"/>
      <c r="AW865" s="160"/>
      <c r="AX865" s="160"/>
      <c r="AY865" s="247"/>
      <c r="AZ865" s="248"/>
      <c r="BA865" s="248"/>
      <c r="BB865" s="248"/>
      <c r="BC865" s="248"/>
      <c r="BD865" s="3"/>
    </row>
    <row r="866" spans="1:56" ht="15.75" hidden="1" customHeight="1" outlineLevel="1">
      <c r="A866" s="63">
        <v>856</v>
      </c>
      <c r="B866" s="95" t="s">
        <v>463</v>
      </c>
      <c r="C866" s="116"/>
      <c r="D866" s="160"/>
      <c r="E866" s="117"/>
      <c r="F866" s="115"/>
      <c r="G866" s="171"/>
      <c r="H866" s="115"/>
      <c r="I866" s="118"/>
      <c r="J866" s="119"/>
      <c r="K866" s="120"/>
      <c r="L866" s="261"/>
      <c r="M866" s="262"/>
      <c r="N866" s="263"/>
      <c r="O866" s="264"/>
      <c r="P866" s="262"/>
      <c r="Q866" s="262"/>
      <c r="R866" s="262"/>
      <c r="S866" s="262"/>
      <c r="T866" s="262"/>
      <c r="U866" s="262"/>
      <c r="V866" s="262"/>
      <c r="W866" s="117"/>
      <c r="X866" s="246"/>
      <c r="Y866" s="246"/>
      <c r="Z866" s="246"/>
      <c r="AA866" s="160"/>
      <c r="AB866" s="246"/>
      <c r="AC866" s="160"/>
      <c r="AD866" s="246"/>
      <c r="AE866" s="160"/>
      <c r="AF866" s="246"/>
      <c r="AG866" s="160"/>
      <c r="AH866" s="246"/>
      <c r="AI866" s="160"/>
      <c r="AJ866" s="246"/>
      <c r="AK866" s="246"/>
      <c r="AL866" s="246"/>
      <c r="AM866" s="246"/>
      <c r="AN866" s="246"/>
      <c r="AO866" s="246"/>
      <c r="AP866" s="246"/>
      <c r="AQ866" s="246"/>
      <c r="AR866" s="246"/>
      <c r="AS866" s="246"/>
      <c r="AT866" s="246"/>
      <c r="AU866" s="246"/>
      <c r="AV866" s="246"/>
      <c r="AW866" s="160"/>
      <c r="AX866" s="160"/>
      <c r="AY866" s="247"/>
      <c r="AZ866" s="248"/>
      <c r="BA866" s="248"/>
      <c r="BB866" s="248"/>
      <c r="BC866" s="248"/>
      <c r="BD866" s="3"/>
    </row>
    <row r="867" spans="1:56" ht="15.75" hidden="1" customHeight="1" outlineLevel="1">
      <c r="A867" s="63">
        <v>857</v>
      </c>
      <c r="B867" s="95" t="s">
        <v>464</v>
      </c>
      <c r="C867" s="116"/>
      <c r="D867" s="160"/>
      <c r="E867" s="117"/>
      <c r="F867" s="115"/>
      <c r="G867" s="171"/>
      <c r="H867" s="115"/>
      <c r="I867" s="118"/>
      <c r="J867" s="119"/>
      <c r="K867" s="120"/>
      <c r="L867" s="261"/>
      <c r="M867" s="262"/>
      <c r="N867" s="263"/>
      <c r="O867" s="264"/>
      <c r="P867" s="262"/>
      <c r="Q867" s="262"/>
      <c r="R867" s="262"/>
      <c r="S867" s="262"/>
      <c r="T867" s="262"/>
      <c r="U867" s="262"/>
      <c r="V867" s="262"/>
      <c r="W867" s="117"/>
      <c r="X867" s="246"/>
      <c r="Y867" s="246"/>
      <c r="Z867" s="246"/>
      <c r="AA867" s="160"/>
      <c r="AB867" s="246"/>
      <c r="AC867" s="160"/>
      <c r="AD867" s="246"/>
      <c r="AE867" s="160"/>
      <c r="AF867" s="246"/>
      <c r="AG867" s="160"/>
      <c r="AH867" s="246"/>
      <c r="AI867" s="160"/>
      <c r="AJ867" s="246"/>
      <c r="AK867" s="246"/>
      <c r="AL867" s="246"/>
      <c r="AM867" s="246"/>
      <c r="AN867" s="246"/>
      <c r="AO867" s="246"/>
      <c r="AP867" s="246"/>
      <c r="AQ867" s="246"/>
      <c r="AR867" s="246"/>
      <c r="AS867" s="246"/>
      <c r="AT867" s="246"/>
      <c r="AU867" s="246"/>
      <c r="AV867" s="246"/>
      <c r="AW867" s="160"/>
      <c r="AX867" s="160"/>
      <c r="AY867" s="247"/>
      <c r="AZ867" s="248"/>
      <c r="BA867" s="248"/>
      <c r="BB867" s="248"/>
      <c r="BC867" s="248"/>
      <c r="BD867" s="3"/>
    </row>
    <row r="868" spans="1:56" ht="15.75" hidden="1" customHeight="1" outlineLevel="1">
      <c r="A868" s="63">
        <v>858</v>
      </c>
      <c r="B868" s="95" t="s">
        <v>466</v>
      </c>
      <c r="C868" s="116"/>
      <c r="D868" s="160"/>
      <c r="E868" s="117"/>
      <c r="F868" s="115"/>
      <c r="G868" s="171"/>
      <c r="H868" s="115"/>
      <c r="I868" s="118"/>
      <c r="J868" s="119"/>
      <c r="K868" s="120"/>
      <c r="L868" s="261"/>
      <c r="M868" s="262"/>
      <c r="N868" s="263"/>
      <c r="O868" s="264"/>
      <c r="P868" s="262"/>
      <c r="Q868" s="262"/>
      <c r="R868" s="262"/>
      <c r="S868" s="262"/>
      <c r="T868" s="262"/>
      <c r="U868" s="262"/>
      <c r="V868" s="262"/>
      <c r="W868" s="117"/>
      <c r="X868" s="246"/>
      <c r="Y868" s="246"/>
      <c r="Z868" s="246"/>
      <c r="AA868" s="160"/>
      <c r="AB868" s="246"/>
      <c r="AC868" s="160"/>
      <c r="AD868" s="246"/>
      <c r="AE868" s="160"/>
      <c r="AF868" s="246"/>
      <c r="AG868" s="160"/>
      <c r="AH868" s="246"/>
      <c r="AI868" s="160"/>
      <c r="AJ868" s="246"/>
      <c r="AK868" s="246"/>
      <c r="AL868" s="246"/>
      <c r="AM868" s="246"/>
      <c r="AN868" s="246"/>
      <c r="AO868" s="246"/>
      <c r="AP868" s="246"/>
      <c r="AQ868" s="246"/>
      <c r="AR868" s="246"/>
      <c r="AS868" s="246"/>
      <c r="AT868" s="246"/>
      <c r="AU868" s="246"/>
      <c r="AV868" s="246"/>
      <c r="AW868" s="160"/>
      <c r="AX868" s="160"/>
      <c r="AY868" s="247"/>
      <c r="AZ868" s="248"/>
      <c r="BA868" s="248"/>
      <c r="BB868" s="248"/>
      <c r="BC868" s="248"/>
      <c r="BD868" s="3"/>
    </row>
    <row r="869" spans="1:56" ht="15.75" hidden="1" customHeight="1" outlineLevel="1">
      <c r="A869" s="63">
        <v>859</v>
      </c>
      <c r="B869" s="95" t="s">
        <v>467</v>
      </c>
      <c r="C869" s="116"/>
      <c r="D869" s="160"/>
      <c r="E869" s="117"/>
      <c r="F869" s="115"/>
      <c r="G869" s="171"/>
      <c r="H869" s="115"/>
      <c r="I869" s="118"/>
      <c r="J869" s="119"/>
      <c r="K869" s="120"/>
      <c r="L869" s="261"/>
      <c r="M869" s="262"/>
      <c r="N869" s="263"/>
      <c r="O869" s="264"/>
      <c r="P869" s="262"/>
      <c r="Q869" s="262"/>
      <c r="R869" s="262"/>
      <c r="S869" s="262"/>
      <c r="T869" s="262"/>
      <c r="U869" s="262"/>
      <c r="V869" s="262"/>
      <c r="W869" s="117"/>
      <c r="X869" s="246"/>
      <c r="Y869" s="246"/>
      <c r="Z869" s="246"/>
      <c r="AA869" s="160"/>
      <c r="AB869" s="246"/>
      <c r="AC869" s="160"/>
      <c r="AD869" s="246"/>
      <c r="AE869" s="160"/>
      <c r="AF869" s="246"/>
      <c r="AG869" s="160"/>
      <c r="AH869" s="246"/>
      <c r="AI869" s="160"/>
      <c r="AJ869" s="246"/>
      <c r="AK869" s="246"/>
      <c r="AL869" s="246"/>
      <c r="AM869" s="246"/>
      <c r="AN869" s="246"/>
      <c r="AO869" s="246"/>
      <c r="AP869" s="246"/>
      <c r="AQ869" s="246"/>
      <c r="AR869" s="246"/>
      <c r="AS869" s="246"/>
      <c r="AT869" s="246"/>
      <c r="AU869" s="246"/>
      <c r="AV869" s="246"/>
      <c r="AW869" s="160"/>
      <c r="AX869" s="160"/>
      <c r="AY869" s="247"/>
      <c r="AZ869" s="248"/>
      <c r="BA869" s="248"/>
      <c r="BB869" s="248"/>
      <c r="BC869" s="248"/>
      <c r="BD869" s="3"/>
    </row>
    <row r="870" spans="1:56" ht="15.75" hidden="1" customHeight="1" outlineLevel="1">
      <c r="A870" s="63">
        <v>860</v>
      </c>
      <c r="B870" s="95" t="s">
        <v>468</v>
      </c>
      <c r="C870" s="116"/>
      <c r="D870" s="160"/>
      <c r="E870" s="117"/>
      <c r="F870" s="115"/>
      <c r="G870" s="171"/>
      <c r="H870" s="115"/>
      <c r="I870" s="118"/>
      <c r="J870" s="119"/>
      <c r="K870" s="120"/>
      <c r="L870" s="261"/>
      <c r="M870" s="262"/>
      <c r="N870" s="263"/>
      <c r="O870" s="264"/>
      <c r="P870" s="262"/>
      <c r="Q870" s="262"/>
      <c r="R870" s="262"/>
      <c r="S870" s="262"/>
      <c r="T870" s="262"/>
      <c r="U870" s="262"/>
      <c r="V870" s="262"/>
      <c r="W870" s="117"/>
      <c r="X870" s="246"/>
      <c r="Y870" s="246"/>
      <c r="Z870" s="246"/>
      <c r="AA870" s="160"/>
      <c r="AB870" s="246"/>
      <c r="AC870" s="160"/>
      <c r="AD870" s="246"/>
      <c r="AE870" s="160"/>
      <c r="AF870" s="246"/>
      <c r="AG870" s="160"/>
      <c r="AH870" s="246"/>
      <c r="AI870" s="160"/>
      <c r="AJ870" s="246"/>
      <c r="AK870" s="246"/>
      <c r="AL870" s="246"/>
      <c r="AM870" s="246"/>
      <c r="AN870" s="246"/>
      <c r="AO870" s="246"/>
      <c r="AP870" s="246"/>
      <c r="AQ870" s="246"/>
      <c r="AR870" s="246"/>
      <c r="AS870" s="246"/>
      <c r="AT870" s="246"/>
      <c r="AU870" s="246"/>
      <c r="AV870" s="246"/>
      <c r="AW870" s="160"/>
      <c r="AX870" s="160"/>
      <c r="AY870" s="247"/>
      <c r="AZ870" s="248"/>
      <c r="BA870" s="248"/>
      <c r="BB870" s="248"/>
      <c r="BC870" s="248"/>
      <c r="BD870" s="3"/>
    </row>
    <row r="871" spans="1:56" ht="15.75" hidden="1" customHeight="1" outlineLevel="1">
      <c r="A871" s="63">
        <v>861</v>
      </c>
      <c r="B871" s="95" t="s">
        <v>470</v>
      </c>
      <c r="C871" s="116"/>
      <c r="D871" s="160"/>
      <c r="E871" s="117"/>
      <c r="F871" s="115"/>
      <c r="G871" s="171"/>
      <c r="H871" s="115"/>
      <c r="I871" s="118"/>
      <c r="J871" s="119"/>
      <c r="K871" s="120"/>
      <c r="L871" s="261"/>
      <c r="M871" s="262"/>
      <c r="N871" s="263"/>
      <c r="O871" s="264"/>
      <c r="P871" s="262"/>
      <c r="Q871" s="262"/>
      <c r="R871" s="262"/>
      <c r="S871" s="262"/>
      <c r="T871" s="262"/>
      <c r="U871" s="262"/>
      <c r="V871" s="262"/>
      <c r="W871" s="117"/>
      <c r="X871" s="246"/>
      <c r="Y871" s="246"/>
      <c r="Z871" s="246"/>
      <c r="AA871" s="160"/>
      <c r="AB871" s="246"/>
      <c r="AC871" s="160"/>
      <c r="AD871" s="246"/>
      <c r="AE871" s="160"/>
      <c r="AF871" s="246"/>
      <c r="AG871" s="160"/>
      <c r="AH871" s="246"/>
      <c r="AI871" s="160"/>
      <c r="AJ871" s="246"/>
      <c r="AK871" s="246"/>
      <c r="AL871" s="246"/>
      <c r="AM871" s="246"/>
      <c r="AN871" s="246"/>
      <c r="AO871" s="246"/>
      <c r="AP871" s="246"/>
      <c r="AQ871" s="246"/>
      <c r="AR871" s="246"/>
      <c r="AS871" s="246"/>
      <c r="AT871" s="246"/>
      <c r="AU871" s="246"/>
      <c r="AV871" s="246"/>
      <c r="AW871" s="160"/>
      <c r="AX871" s="160"/>
      <c r="AY871" s="247"/>
      <c r="AZ871" s="248"/>
      <c r="BA871" s="248"/>
      <c r="BB871" s="248"/>
      <c r="BC871" s="248"/>
      <c r="BD871" s="3"/>
    </row>
    <row r="872" spans="1:56" ht="15.75" hidden="1" customHeight="1" outlineLevel="1">
      <c r="A872" s="63">
        <v>862</v>
      </c>
      <c r="B872" s="95" t="s">
        <v>472</v>
      </c>
      <c r="C872" s="116"/>
      <c r="D872" s="160"/>
      <c r="E872" s="117"/>
      <c r="F872" s="115"/>
      <c r="G872" s="171"/>
      <c r="H872" s="115"/>
      <c r="I872" s="118"/>
      <c r="J872" s="119"/>
      <c r="K872" s="120"/>
      <c r="L872" s="261"/>
      <c r="M872" s="262"/>
      <c r="N872" s="263"/>
      <c r="O872" s="264"/>
      <c r="P872" s="262"/>
      <c r="Q872" s="262"/>
      <c r="R872" s="262"/>
      <c r="S872" s="262"/>
      <c r="T872" s="262"/>
      <c r="U872" s="262"/>
      <c r="V872" s="262"/>
      <c r="W872" s="117"/>
      <c r="X872" s="246"/>
      <c r="Y872" s="246"/>
      <c r="Z872" s="246"/>
      <c r="AA872" s="160"/>
      <c r="AB872" s="246"/>
      <c r="AC872" s="160"/>
      <c r="AD872" s="246"/>
      <c r="AE872" s="160"/>
      <c r="AF872" s="246"/>
      <c r="AG872" s="160"/>
      <c r="AH872" s="246"/>
      <c r="AI872" s="160"/>
      <c r="AJ872" s="246"/>
      <c r="AK872" s="246"/>
      <c r="AL872" s="246"/>
      <c r="AM872" s="246"/>
      <c r="AN872" s="246"/>
      <c r="AO872" s="246"/>
      <c r="AP872" s="246"/>
      <c r="AQ872" s="246"/>
      <c r="AR872" s="246"/>
      <c r="AS872" s="246"/>
      <c r="AT872" s="246"/>
      <c r="AU872" s="246"/>
      <c r="AV872" s="246"/>
      <c r="AW872" s="160"/>
      <c r="AX872" s="160"/>
      <c r="AY872" s="247"/>
      <c r="AZ872" s="248"/>
      <c r="BA872" s="248"/>
      <c r="BB872" s="248"/>
      <c r="BC872" s="248"/>
      <c r="BD872" s="3"/>
    </row>
    <row r="873" spans="1:56" ht="15.75" hidden="1" customHeight="1" outlineLevel="1">
      <c r="A873" s="63">
        <v>863</v>
      </c>
      <c r="B873" s="95" t="s">
        <v>473</v>
      </c>
      <c r="C873" s="116"/>
      <c r="D873" s="160"/>
      <c r="E873" s="117"/>
      <c r="F873" s="115"/>
      <c r="G873" s="171"/>
      <c r="H873" s="115"/>
      <c r="I873" s="118"/>
      <c r="J873" s="119"/>
      <c r="K873" s="120"/>
      <c r="L873" s="261"/>
      <c r="M873" s="262"/>
      <c r="N873" s="263"/>
      <c r="O873" s="264"/>
      <c r="P873" s="262"/>
      <c r="Q873" s="262"/>
      <c r="R873" s="262"/>
      <c r="S873" s="262"/>
      <c r="T873" s="262"/>
      <c r="U873" s="262"/>
      <c r="V873" s="262"/>
      <c r="W873" s="117"/>
      <c r="X873" s="246"/>
      <c r="Y873" s="246"/>
      <c r="Z873" s="246"/>
      <c r="AA873" s="160"/>
      <c r="AB873" s="246"/>
      <c r="AC873" s="160"/>
      <c r="AD873" s="246"/>
      <c r="AE873" s="160"/>
      <c r="AF873" s="246"/>
      <c r="AG873" s="160"/>
      <c r="AH873" s="246"/>
      <c r="AI873" s="160"/>
      <c r="AJ873" s="246"/>
      <c r="AK873" s="246"/>
      <c r="AL873" s="246"/>
      <c r="AM873" s="246"/>
      <c r="AN873" s="246"/>
      <c r="AO873" s="246"/>
      <c r="AP873" s="246"/>
      <c r="AQ873" s="246"/>
      <c r="AR873" s="246"/>
      <c r="AS873" s="246"/>
      <c r="AT873" s="246"/>
      <c r="AU873" s="246"/>
      <c r="AV873" s="246"/>
      <c r="AW873" s="160"/>
      <c r="AX873" s="160"/>
      <c r="AY873" s="247"/>
      <c r="AZ873" s="248"/>
      <c r="BA873" s="248"/>
      <c r="BB873" s="248"/>
      <c r="BC873" s="248"/>
      <c r="BD873" s="3"/>
    </row>
    <row r="874" spans="1:56" ht="15.75" hidden="1" customHeight="1" outlineLevel="1">
      <c r="A874" s="63">
        <v>864</v>
      </c>
      <c r="B874" s="95" t="s">
        <v>474</v>
      </c>
      <c r="C874" s="116"/>
      <c r="D874" s="160"/>
      <c r="E874" s="117"/>
      <c r="F874" s="115"/>
      <c r="G874" s="171"/>
      <c r="H874" s="115"/>
      <c r="I874" s="118"/>
      <c r="J874" s="119"/>
      <c r="K874" s="120"/>
      <c r="L874" s="261"/>
      <c r="M874" s="262"/>
      <c r="N874" s="263"/>
      <c r="O874" s="264"/>
      <c r="P874" s="262"/>
      <c r="Q874" s="262"/>
      <c r="R874" s="262"/>
      <c r="S874" s="262"/>
      <c r="T874" s="262"/>
      <c r="U874" s="262"/>
      <c r="V874" s="262"/>
      <c r="W874" s="117"/>
      <c r="X874" s="246"/>
      <c r="Y874" s="246"/>
      <c r="Z874" s="246"/>
      <c r="AA874" s="160"/>
      <c r="AB874" s="246"/>
      <c r="AC874" s="160"/>
      <c r="AD874" s="246"/>
      <c r="AE874" s="160"/>
      <c r="AF874" s="246"/>
      <c r="AG874" s="160"/>
      <c r="AH874" s="246"/>
      <c r="AI874" s="160"/>
      <c r="AJ874" s="246"/>
      <c r="AK874" s="246"/>
      <c r="AL874" s="246"/>
      <c r="AM874" s="246"/>
      <c r="AN874" s="246"/>
      <c r="AO874" s="246"/>
      <c r="AP874" s="246"/>
      <c r="AQ874" s="246"/>
      <c r="AR874" s="246"/>
      <c r="AS874" s="246"/>
      <c r="AT874" s="246"/>
      <c r="AU874" s="246"/>
      <c r="AV874" s="246"/>
      <c r="AW874" s="160"/>
      <c r="AX874" s="160"/>
      <c r="AY874" s="247"/>
      <c r="AZ874" s="248"/>
      <c r="BA874" s="248"/>
      <c r="BB874" s="248"/>
      <c r="BC874" s="248"/>
      <c r="BD874" s="3"/>
    </row>
    <row r="875" spans="1:56" ht="15.75" hidden="1" customHeight="1" outlineLevel="1">
      <c r="A875" s="63">
        <v>865</v>
      </c>
      <c r="B875" s="95" t="s">
        <v>476</v>
      </c>
      <c r="C875" s="116"/>
      <c r="D875" s="160"/>
      <c r="E875" s="117"/>
      <c r="F875" s="115"/>
      <c r="G875" s="171"/>
      <c r="H875" s="115"/>
      <c r="I875" s="118"/>
      <c r="J875" s="119"/>
      <c r="K875" s="120"/>
      <c r="L875" s="261"/>
      <c r="M875" s="262"/>
      <c r="N875" s="263"/>
      <c r="O875" s="264"/>
      <c r="P875" s="262"/>
      <c r="Q875" s="262"/>
      <c r="R875" s="262"/>
      <c r="S875" s="262"/>
      <c r="T875" s="262"/>
      <c r="U875" s="262"/>
      <c r="V875" s="262"/>
      <c r="W875" s="117"/>
      <c r="X875" s="246"/>
      <c r="Y875" s="246"/>
      <c r="Z875" s="246"/>
      <c r="AA875" s="160"/>
      <c r="AB875" s="246"/>
      <c r="AC875" s="160"/>
      <c r="AD875" s="246"/>
      <c r="AE875" s="160"/>
      <c r="AF875" s="246"/>
      <c r="AG875" s="160"/>
      <c r="AH875" s="246"/>
      <c r="AI875" s="160"/>
      <c r="AJ875" s="246"/>
      <c r="AK875" s="246"/>
      <c r="AL875" s="246"/>
      <c r="AM875" s="246"/>
      <c r="AN875" s="246"/>
      <c r="AO875" s="246"/>
      <c r="AP875" s="246"/>
      <c r="AQ875" s="246"/>
      <c r="AR875" s="246"/>
      <c r="AS875" s="246"/>
      <c r="AT875" s="246"/>
      <c r="AU875" s="246"/>
      <c r="AV875" s="246"/>
      <c r="AW875" s="160"/>
      <c r="AX875" s="160"/>
      <c r="AY875" s="247"/>
      <c r="AZ875" s="248"/>
      <c r="BA875" s="248"/>
      <c r="BB875" s="248"/>
      <c r="BC875" s="248"/>
      <c r="BD875" s="3"/>
    </row>
    <row r="876" spans="1:56" ht="15.75" hidden="1" customHeight="1" outlineLevel="1">
      <c r="A876" s="63">
        <v>866</v>
      </c>
      <c r="B876" s="95" t="s">
        <v>477</v>
      </c>
      <c r="C876" s="116"/>
      <c r="D876" s="160"/>
      <c r="E876" s="117"/>
      <c r="F876" s="115"/>
      <c r="G876" s="171"/>
      <c r="H876" s="115"/>
      <c r="I876" s="118"/>
      <c r="J876" s="119"/>
      <c r="K876" s="120"/>
      <c r="L876" s="261"/>
      <c r="M876" s="262"/>
      <c r="N876" s="263"/>
      <c r="O876" s="264"/>
      <c r="P876" s="262"/>
      <c r="Q876" s="262"/>
      <c r="R876" s="262"/>
      <c r="S876" s="262"/>
      <c r="T876" s="262"/>
      <c r="U876" s="262"/>
      <c r="V876" s="262"/>
      <c r="W876" s="117"/>
      <c r="X876" s="246"/>
      <c r="Y876" s="246"/>
      <c r="Z876" s="246"/>
      <c r="AA876" s="160"/>
      <c r="AB876" s="246"/>
      <c r="AC876" s="160"/>
      <c r="AD876" s="246"/>
      <c r="AE876" s="160"/>
      <c r="AF876" s="246"/>
      <c r="AG876" s="160"/>
      <c r="AH876" s="246"/>
      <c r="AI876" s="160"/>
      <c r="AJ876" s="246"/>
      <c r="AK876" s="246"/>
      <c r="AL876" s="246"/>
      <c r="AM876" s="246"/>
      <c r="AN876" s="246"/>
      <c r="AO876" s="246"/>
      <c r="AP876" s="246"/>
      <c r="AQ876" s="246"/>
      <c r="AR876" s="246"/>
      <c r="AS876" s="246"/>
      <c r="AT876" s="246"/>
      <c r="AU876" s="246"/>
      <c r="AV876" s="246"/>
      <c r="AW876" s="160"/>
      <c r="AX876" s="160"/>
      <c r="AY876" s="247"/>
      <c r="AZ876" s="248"/>
      <c r="BA876" s="248"/>
      <c r="BB876" s="248"/>
      <c r="BC876" s="248"/>
      <c r="BD876" s="3"/>
    </row>
    <row r="877" spans="1:56" ht="15.75" hidden="1" customHeight="1" outlineLevel="1">
      <c r="A877" s="63">
        <v>867</v>
      </c>
      <c r="B877" s="95" t="s">
        <v>478</v>
      </c>
      <c r="C877" s="116"/>
      <c r="D877" s="160"/>
      <c r="E877" s="117"/>
      <c r="F877" s="115"/>
      <c r="G877" s="171"/>
      <c r="H877" s="115"/>
      <c r="I877" s="118"/>
      <c r="J877" s="119"/>
      <c r="K877" s="120"/>
      <c r="L877" s="261"/>
      <c r="M877" s="262"/>
      <c r="N877" s="263"/>
      <c r="O877" s="264"/>
      <c r="P877" s="262"/>
      <c r="Q877" s="262"/>
      <c r="R877" s="262"/>
      <c r="S877" s="262"/>
      <c r="T877" s="262"/>
      <c r="U877" s="262"/>
      <c r="V877" s="262"/>
      <c r="W877" s="117"/>
      <c r="X877" s="246"/>
      <c r="Y877" s="246"/>
      <c r="Z877" s="246"/>
      <c r="AA877" s="160"/>
      <c r="AB877" s="246"/>
      <c r="AC877" s="160"/>
      <c r="AD877" s="246"/>
      <c r="AE877" s="160"/>
      <c r="AF877" s="246"/>
      <c r="AG877" s="160"/>
      <c r="AH877" s="246"/>
      <c r="AI877" s="160"/>
      <c r="AJ877" s="246"/>
      <c r="AK877" s="246"/>
      <c r="AL877" s="246"/>
      <c r="AM877" s="246"/>
      <c r="AN877" s="246"/>
      <c r="AO877" s="246"/>
      <c r="AP877" s="246"/>
      <c r="AQ877" s="246"/>
      <c r="AR877" s="246"/>
      <c r="AS877" s="246"/>
      <c r="AT877" s="246"/>
      <c r="AU877" s="246"/>
      <c r="AV877" s="246"/>
      <c r="AW877" s="160"/>
      <c r="AX877" s="160"/>
      <c r="AY877" s="247"/>
      <c r="AZ877" s="248"/>
      <c r="BA877" s="248"/>
      <c r="BB877" s="248"/>
      <c r="BC877" s="248"/>
      <c r="BD877" s="3"/>
    </row>
    <row r="878" spans="1:56" ht="15.75" hidden="1" customHeight="1" outlineLevel="1">
      <c r="A878" s="63">
        <v>868</v>
      </c>
      <c r="B878" s="95" t="s">
        <v>480</v>
      </c>
      <c r="C878" s="116"/>
      <c r="D878" s="160"/>
      <c r="E878" s="117"/>
      <c r="F878" s="115"/>
      <c r="G878" s="171"/>
      <c r="H878" s="115"/>
      <c r="I878" s="118"/>
      <c r="J878" s="119"/>
      <c r="K878" s="120"/>
      <c r="L878" s="261"/>
      <c r="M878" s="262"/>
      <c r="N878" s="263"/>
      <c r="O878" s="264"/>
      <c r="P878" s="262"/>
      <c r="Q878" s="262"/>
      <c r="R878" s="262"/>
      <c r="S878" s="262"/>
      <c r="T878" s="262"/>
      <c r="U878" s="262"/>
      <c r="V878" s="262"/>
      <c r="W878" s="117"/>
      <c r="X878" s="246"/>
      <c r="Y878" s="246"/>
      <c r="Z878" s="246"/>
      <c r="AA878" s="160"/>
      <c r="AB878" s="246"/>
      <c r="AC878" s="160"/>
      <c r="AD878" s="246"/>
      <c r="AE878" s="160"/>
      <c r="AF878" s="246"/>
      <c r="AG878" s="160"/>
      <c r="AH878" s="246"/>
      <c r="AI878" s="160"/>
      <c r="AJ878" s="246"/>
      <c r="AK878" s="246"/>
      <c r="AL878" s="246"/>
      <c r="AM878" s="246"/>
      <c r="AN878" s="246"/>
      <c r="AO878" s="246"/>
      <c r="AP878" s="246"/>
      <c r="AQ878" s="246"/>
      <c r="AR878" s="246"/>
      <c r="AS878" s="246"/>
      <c r="AT878" s="246"/>
      <c r="AU878" s="246"/>
      <c r="AV878" s="246"/>
      <c r="AW878" s="160"/>
      <c r="AX878" s="160"/>
      <c r="AY878" s="247"/>
      <c r="AZ878" s="248"/>
      <c r="BA878" s="248"/>
      <c r="BB878" s="248"/>
      <c r="BC878" s="248"/>
      <c r="BD878" s="3"/>
    </row>
    <row r="879" spans="1:56" ht="15.75" hidden="1" customHeight="1" outlineLevel="1">
      <c r="A879" s="63">
        <v>869</v>
      </c>
      <c r="B879" s="95" t="s">
        <v>482</v>
      </c>
      <c r="C879" s="116"/>
      <c r="D879" s="160"/>
      <c r="E879" s="117"/>
      <c r="F879" s="115"/>
      <c r="G879" s="171"/>
      <c r="H879" s="115"/>
      <c r="I879" s="118"/>
      <c r="J879" s="119"/>
      <c r="K879" s="120"/>
      <c r="L879" s="261"/>
      <c r="M879" s="262"/>
      <c r="N879" s="263"/>
      <c r="O879" s="264"/>
      <c r="P879" s="262"/>
      <c r="Q879" s="262"/>
      <c r="R879" s="262"/>
      <c r="S879" s="262"/>
      <c r="T879" s="262"/>
      <c r="U879" s="262"/>
      <c r="V879" s="262"/>
      <c r="W879" s="117"/>
      <c r="X879" s="246"/>
      <c r="Y879" s="246"/>
      <c r="Z879" s="246"/>
      <c r="AA879" s="160"/>
      <c r="AB879" s="246"/>
      <c r="AC879" s="160"/>
      <c r="AD879" s="246"/>
      <c r="AE879" s="160"/>
      <c r="AF879" s="246"/>
      <c r="AG879" s="160"/>
      <c r="AH879" s="246"/>
      <c r="AI879" s="160"/>
      <c r="AJ879" s="246"/>
      <c r="AK879" s="246"/>
      <c r="AL879" s="246"/>
      <c r="AM879" s="246"/>
      <c r="AN879" s="246"/>
      <c r="AO879" s="246"/>
      <c r="AP879" s="246"/>
      <c r="AQ879" s="246"/>
      <c r="AR879" s="246"/>
      <c r="AS879" s="246"/>
      <c r="AT879" s="246"/>
      <c r="AU879" s="246"/>
      <c r="AV879" s="246"/>
      <c r="AW879" s="160"/>
      <c r="AX879" s="160"/>
      <c r="AY879" s="247"/>
      <c r="AZ879" s="248"/>
      <c r="BA879" s="248"/>
      <c r="BB879" s="248"/>
      <c r="BC879" s="248"/>
      <c r="BD879" s="3"/>
    </row>
    <row r="880" spans="1:56" ht="15.75" hidden="1" customHeight="1" outlineLevel="1">
      <c r="A880" s="63">
        <v>870</v>
      </c>
      <c r="B880" s="95" t="s">
        <v>484</v>
      </c>
      <c r="C880" s="116"/>
      <c r="D880" s="160"/>
      <c r="E880" s="117"/>
      <c r="F880" s="115"/>
      <c r="G880" s="171"/>
      <c r="H880" s="115"/>
      <c r="I880" s="118"/>
      <c r="J880" s="119"/>
      <c r="K880" s="120"/>
      <c r="L880" s="261"/>
      <c r="M880" s="262"/>
      <c r="N880" s="263"/>
      <c r="O880" s="264"/>
      <c r="P880" s="262"/>
      <c r="Q880" s="262"/>
      <c r="R880" s="262"/>
      <c r="S880" s="262"/>
      <c r="T880" s="262"/>
      <c r="U880" s="262"/>
      <c r="V880" s="262"/>
      <c r="W880" s="117"/>
      <c r="X880" s="246"/>
      <c r="Y880" s="246"/>
      <c r="Z880" s="246"/>
      <c r="AA880" s="160"/>
      <c r="AB880" s="246"/>
      <c r="AC880" s="160"/>
      <c r="AD880" s="246"/>
      <c r="AE880" s="160"/>
      <c r="AF880" s="246"/>
      <c r="AG880" s="160"/>
      <c r="AH880" s="246"/>
      <c r="AI880" s="160"/>
      <c r="AJ880" s="246"/>
      <c r="AK880" s="246"/>
      <c r="AL880" s="246"/>
      <c r="AM880" s="246"/>
      <c r="AN880" s="246"/>
      <c r="AO880" s="246"/>
      <c r="AP880" s="246"/>
      <c r="AQ880" s="246"/>
      <c r="AR880" s="246"/>
      <c r="AS880" s="246"/>
      <c r="AT880" s="246"/>
      <c r="AU880" s="246"/>
      <c r="AV880" s="246"/>
      <c r="AW880" s="160"/>
      <c r="AX880" s="160"/>
      <c r="AY880" s="247"/>
      <c r="AZ880" s="248"/>
      <c r="BA880" s="248"/>
      <c r="BB880" s="248"/>
      <c r="BC880" s="248"/>
      <c r="BD880" s="3"/>
    </row>
    <row r="881" spans="1:56" ht="15.75" hidden="1" customHeight="1" outlineLevel="1">
      <c r="A881" s="63">
        <v>871</v>
      </c>
      <c r="B881" s="95" t="s">
        <v>486</v>
      </c>
      <c r="C881" s="116"/>
      <c r="D881" s="160"/>
      <c r="E881" s="117"/>
      <c r="F881" s="115"/>
      <c r="G881" s="171"/>
      <c r="H881" s="115"/>
      <c r="I881" s="118"/>
      <c r="J881" s="119"/>
      <c r="K881" s="120"/>
      <c r="L881" s="261"/>
      <c r="M881" s="262"/>
      <c r="N881" s="263"/>
      <c r="O881" s="264"/>
      <c r="P881" s="262"/>
      <c r="Q881" s="262"/>
      <c r="R881" s="262"/>
      <c r="S881" s="262"/>
      <c r="T881" s="262"/>
      <c r="U881" s="262"/>
      <c r="V881" s="262"/>
      <c r="W881" s="117"/>
      <c r="X881" s="246"/>
      <c r="Y881" s="246"/>
      <c r="Z881" s="246"/>
      <c r="AA881" s="160"/>
      <c r="AB881" s="246"/>
      <c r="AC881" s="160"/>
      <c r="AD881" s="246"/>
      <c r="AE881" s="160"/>
      <c r="AF881" s="246"/>
      <c r="AG881" s="160"/>
      <c r="AH881" s="246"/>
      <c r="AI881" s="160"/>
      <c r="AJ881" s="246"/>
      <c r="AK881" s="246"/>
      <c r="AL881" s="246"/>
      <c r="AM881" s="246"/>
      <c r="AN881" s="246"/>
      <c r="AO881" s="246"/>
      <c r="AP881" s="246"/>
      <c r="AQ881" s="246"/>
      <c r="AR881" s="246"/>
      <c r="AS881" s="246"/>
      <c r="AT881" s="246"/>
      <c r="AU881" s="246"/>
      <c r="AV881" s="246"/>
      <c r="AW881" s="160"/>
      <c r="AX881" s="160"/>
      <c r="AY881" s="247"/>
      <c r="AZ881" s="248"/>
      <c r="BA881" s="248"/>
      <c r="BB881" s="248"/>
      <c r="BC881" s="248"/>
      <c r="BD881" s="3"/>
    </row>
    <row r="882" spans="1:56" ht="15.75" hidden="1" customHeight="1" outlineLevel="1">
      <c r="A882" s="63">
        <v>872</v>
      </c>
      <c r="B882" s="95" t="s">
        <v>488</v>
      </c>
      <c r="C882" s="116"/>
      <c r="D882" s="160"/>
      <c r="E882" s="117"/>
      <c r="F882" s="115"/>
      <c r="G882" s="171"/>
      <c r="H882" s="115"/>
      <c r="I882" s="118"/>
      <c r="J882" s="119"/>
      <c r="K882" s="120"/>
      <c r="L882" s="261"/>
      <c r="M882" s="262"/>
      <c r="N882" s="263"/>
      <c r="O882" s="264"/>
      <c r="P882" s="262"/>
      <c r="Q882" s="262"/>
      <c r="R882" s="262"/>
      <c r="S882" s="262"/>
      <c r="T882" s="262"/>
      <c r="U882" s="262"/>
      <c r="V882" s="262"/>
      <c r="W882" s="117"/>
      <c r="X882" s="246"/>
      <c r="Y882" s="246"/>
      <c r="Z882" s="246"/>
      <c r="AA882" s="160"/>
      <c r="AB882" s="246"/>
      <c r="AC882" s="160"/>
      <c r="AD882" s="246"/>
      <c r="AE882" s="160"/>
      <c r="AF882" s="246"/>
      <c r="AG882" s="160"/>
      <c r="AH882" s="246"/>
      <c r="AI882" s="160"/>
      <c r="AJ882" s="246"/>
      <c r="AK882" s="246"/>
      <c r="AL882" s="246"/>
      <c r="AM882" s="246"/>
      <c r="AN882" s="246"/>
      <c r="AO882" s="246"/>
      <c r="AP882" s="246"/>
      <c r="AQ882" s="246"/>
      <c r="AR882" s="246"/>
      <c r="AS882" s="246"/>
      <c r="AT882" s="246"/>
      <c r="AU882" s="246"/>
      <c r="AV882" s="246"/>
      <c r="AW882" s="160"/>
      <c r="AX882" s="160"/>
      <c r="AY882" s="247"/>
      <c r="AZ882" s="248"/>
      <c r="BA882" s="248"/>
      <c r="BB882" s="248"/>
      <c r="BC882" s="248"/>
      <c r="BD882" s="3"/>
    </row>
    <row r="883" spans="1:56" ht="15.75" hidden="1" customHeight="1" outlineLevel="1">
      <c r="A883" s="63">
        <v>873</v>
      </c>
      <c r="B883" s="95" t="s">
        <v>490</v>
      </c>
      <c r="C883" s="116"/>
      <c r="D883" s="160"/>
      <c r="E883" s="117"/>
      <c r="F883" s="115"/>
      <c r="G883" s="171"/>
      <c r="H883" s="115"/>
      <c r="I883" s="118"/>
      <c r="J883" s="119"/>
      <c r="K883" s="120"/>
      <c r="L883" s="261"/>
      <c r="M883" s="262"/>
      <c r="N883" s="263"/>
      <c r="O883" s="264"/>
      <c r="P883" s="262"/>
      <c r="Q883" s="262"/>
      <c r="R883" s="262"/>
      <c r="S883" s="262"/>
      <c r="T883" s="262"/>
      <c r="U883" s="262"/>
      <c r="V883" s="262"/>
      <c r="W883" s="117"/>
      <c r="X883" s="246"/>
      <c r="Y883" s="246"/>
      <c r="Z883" s="246"/>
      <c r="AA883" s="160"/>
      <c r="AB883" s="246"/>
      <c r="AC883" s="160"/>
      <c r="AD883" s="246"/>
      <c r="AE883" s="160"/>
      <c r="AF883" s="246"/>
      <c r="AG883" s="160"/>
      <c r="AH883" s="246"/>
      <c r="AI883" s="160"/>
      <c r="AJ883" s="246"/>
      <c r="AK883" s="246"/>
      <c r="AL883" s="246"/>
      <c r="AM883" s="246"/>
      <c r="AN883" s="246"/>
      <c r="AO883" s="246"/>
      <c r="AP883" s="246"/>
      <c r="AQ883" s="246"/>
      <c r="AR883" s="246"/>
      <c r="AS883" s="246"/>
      <c r="AT883" s="246"/>
      <c r="AU883" s="246"/>
      <c r="AV883" s="246"/>
      <c r="AW883" s="160"/>
      <c r="AX883" s="160"/>
      <c r="AY883" s="247"/>
      <c r="AZ883" s="248"/>
      <c r="BA883" s="248"/>
      <c r="BB883" s="248"/>
      <c r="BC883" s="248"/>
      <c r="BD883" s="3"/>
    </row>
    <row r="884" spans="1:56" ht="15.75" hidden="1" customHeight="1" outlineLevel="1">
      <c r="A884" s="63">
        <v>874</v>
      </c>
      <c r="B884" s="95" t="s">
        <v>492</v>
      </c>
      <c r="C884" s="116"/>
      <c r="D884" s="160"/>
      <c r="E884" s="117"/>
      <c r="F884" s="115"/>
      <c r="G884" s="171"/>
      <c r="H884" s="115"/>
      <c r="I884" s="118"/>
      <c r="J884" s="119"/>
      <c r="K884" s="120"/>
      <c r="L884" s="261"/>
      <c r="M884" s="262"/>
      <c r="N884" s="263"/>
      <c r="O884" s="264"/>
      <c r="P884" s="262"/>
      <c r="Q884" s="262"/>
      <c r="R884" s="262"/>
      <c r="S884" s="262"/>
      <c r="T884" s="262"/>
      <c r="U884" s="262"/>
      <c r="V884" s="262"/>
      <c r="W884" s="117"/>
      <c r="X884" s="246"/>
      <c r="Y884" s="246"/>
      <c r="Z884" s="246"/>
      <c r="AA884" s="160"/>
      <c r="AB884" s="246"/>
      <c r="AC884" s="160"/>
      <c r="AD884" s="246"/>
      <c r="AE884" s="160"/>
      <c r="AF884" s="246"/>
      <c r="AG884" s="160"/>
      <c r="AH884" s="246"/>
      <c r="AI884" s="160"/>
      <c r="AJ884" s="246"/>
      <c r="AK884" s="246"/>
      <c r="AL884" s="246"/>
      <c r="AM884" s="246"/>
      <c r="AN884" s="246"/>
      <c r="AO884" s="246"/>
      <c r="AP884" s="246"/>
      <c r="AQ884" s="246"/>
      <c r="AR884" s="246"/>
      <c r="AS884" s="246"/>
      <c r="AT884" s="246"/>
      <c r="AU884" s="246"/>
      <c r="AV884" s="246"/>
      <c r="AW884" s="160"/>
      <c r="AX884" s="160"/>
      <c r="AY884" s="247"/>
      <c r="AZ884" s="248"/>
      <c r="BA884" s="248"/>
      <c r="BB884" s="248"/>
      <c r="BC884" s="248"/>
      <c r="BD884" s="3"/>
    </row>
    <row r="885" spans="1:56" ht="15.75" hidden="1" customHeight="1" outlineLevel="1">
      <c r="A885" s="63">
        <v>875</v>
      </c>
      <c r="B885" s="95" t="s">
        <v>494</v>
      </c>
      <c r="C885" s="116"/>
      <c r="D885" s="160"/>
      <c r="E885" s="117"/>
      <c r="F885" s="115"/>
      <c r="G885" s="171"/>
      <c r="H885" s="115"/>
      <c r="I885" s="118"/>
      <c r="J885" s="119"/>
      <c r="K885" s="120"/>
      <c r="L885" s="261"/>
      <c r="M885" s="262"/>
      <c r="N885" s="263"/>
      <c r="O885" s="264"/>
      <c r="P885" s="262"/>
      <c r="Q885" s="262"/>
      <c r="R885" s="262"/>
      <c r="S885" s="262"/>
      <c r="T885" s="262"/>
      <c r="U885" s="262"/>
      <c r="V885" s="262"/>
      <c r="W885" s="117"/>
      <c r="X885" s="246"/>
      <c r="Y885" s="246"/>
      <c r="Z885" s="246"/>
      <c r="AA885" s="160"/>
      <c r="AB885" s="246"/>
      <c r="AC885" s="160"/>
      <c r="AD885" s="246"/>
      <c r="AE885" s="160"/>
      <c r="AF885" s="246"/>
      <c r="AG885" s="160"/>
      <c r="AH885" s="246"/>
      <c r="AI885" s="160"/>
      <c r="AJ885" s="246"/>
      <c r="AK885" s="246"/>
      <c r="AL885" s="246"/>
      <c r="AM885" s="246"/>
      <c r="AN885" s="246"/>
      <c r="AO885" s="246"/>
      <c r="AP885" s="246"/>
      <c r="AQ885" s="246"/>
      <c r="AR885" s="246"/>
      <c r="AS885" s="246"/>
      <c r="AT885" s="246"/>
      <c r="AU885" s="246"/>
      <c r="AV885" s="246"/>
      <c r="AW885" s="160"/>
      <c r="AX885" s="160"/>
      <c r="AY885" s="247"/>
      <c r="AZ885" s="248"/>
      <c r="BA885" s="248"/>
      <c r="BB885" s="248"/>
      <c r="BC885" s="248"/>
      <c r="BD885" s="3"/>
    </row>
    <row r="886" spans="1:56" ht="15.75" hidden="1" customHeight="1" outlineLevel="1">
      <c r="A886" s="63">
        <v>876</v>
      </c>
      <c r="B886" s="95" t="s">
        <v>496</v>
      </c>
      <c r="C886" s="116"/>
      <c r="D886" s="160"/>
      <c r="E886" s="117"/>
      <c r="F886" s="115"/>
      <c r="G886" s="171"/>
      <c r="H886" s="115"/>
      <c r="I886" s="118"/>
      <c r="J886" s="119"/>
      <c r="K886" s="120"/>
      <c r="L886" s="261"/>
      <c r="M886" s="262"/>
      <c r="N886" s="263"/>
      <c r="O886" s="264"/>
      <c r="P886" s="262"/>
      <c r="Q886" s="262"/>
      <c r="R886" s="262"/>
      <c r="S886" s="262"/>
      <c r="T886" s="262"/>
      <c r="U886" s="262"/>
      <c r="V886" s="262"/>
      <c r="W886" s="117"/>
      <c r="X886" s="246"/>
      <c r="Y886" s="246"/>
      <c r="Z886" s="246"/>
      <c r="AA886" s="160"/>
      <c r="AB886" s="246"/>
      <c r="AC886" s="160"/>
      <c r="AD886" s="246"/>
      <c r="AE886" s="160"/>
      <c r="AF886" s="246"/>
      <c r="AG886" s="160"/>
      <c r="AH886" s="246"/>
      <c r="AI886" s="160"/>
      <c r="AJ886" s="246"/>
      <c r="AK886" s="246"/>
      <c r="AL886" s="246"/>
      <c r="AM886" s="246"/>
      <c r="AN886" s="246"/>
      <c r="AO886" s="246"/>
      <c r="AP886" s="246"/>
      <c r="AQ886" s="246"/>
      <c r="AR886" s="246"/>
      <c r="AS886" s="246"/>
      <c r="AT886" s="246"/>
      <c r="AU886" s="246"/>
      <c r="AV886" s="246"/>
      <c r="AW886" s="160"/>
      <c r="AX886" s="160"/>
      <c r="AY886" s="247"/>
      <c r="AZ886" s="248"/>
      <c r="BA886" s="248"/>
      <c r="BB886" s="248"/>
      <c r="BC886" s="248"/>
      <c r="BD886" s="3"/>
    </row>
    <row r="887" spans="1:56" ht="15.75" hidden="1" customHeight="1" outlineLevel="1">
      <c r="A887" s="63">
        <v>877</v>
      </c>
      <c r="B887" s="95" t="s">
        <v>498</v>
      </c>
      <c r="C887" s="116"/>
      <c r="D887" s="160"/>
      <c r="E887" s="117"/>
      <c r="F887" s="115"/>
      <c r="G887" s="171"/>
      <c r="H887" s="115"/>
      <c r="I887" s="118"/>
      <c r="J887" s="119"/>
      <c r="K887" s="120"/>
      <c r="L887" s="261"/>
      <c r="M887" s="262"/>
      <c r="N887" s="263"/>
      <c r="O887" s="264"/>
      <c r="P887" s="262"/>
      <c r="Q887" s="262"/>
      <c r="R887" s="262"/>
      <c r="S887" s="262"/>
      <c r="T887" s="262"/>
      <c r="U887" s="262"/>
      <c r="V887" s="262"/>
      <c r="W887" s="117"/>
      <c r="X887" s="246"/>
      <c r="Y887" s="246"/>
      <c r="Z887" s="246"/>
      <c r="AA887" s="160"/>
      <c r="AB887" s="246"/>
      <c r="AC887" s="160"/>
      <c r="AD887" s="246"/>
      <c r="AE887" s="160"/>
      <c r="AF887" s="246"/>
      <c r="AG887" s="160"/>
      <c r="AH887" s="246"/>
      <c r="AI887" s="160"/>
      <c r="AJ887" s="246"/>
      <c r="AK887" s="246"/>
      <c r="AL887" s="246"/>
      <c r="AM887" s="246"/>
      <c r="AN887" s="246"/>
      <c r="AO887" s="246"/>
      <c r="AP887" s="246"/>
      <c r="AQ887" s="246"/>
      <c r="AR887" s="246"/>
      <c r="AS887" s="246"/>
      <c r="AT887" s="246"/>
      <c r="AU887" s="246"/>
      <c r="AV887" s="246"/>
      <c r="AW887" s="160"/>
      <c r="AX887" s="160"/>
      <c r="AY887" s="247"/>
      <c r="AZ887" s="248"/>
      <c r="BA887" s="248"/>
      <c r="BB887" s="248"/>
      <c r="BC887" s="248"/>
      <c r="BD887" s="3"/>
    </row>
    <row r="888" spans="1:56" ht="15.75" hidden="1" customHeight="1" outlineLevel="1">
      <c r="A888" s="63">
        <v>878</v>
      </c>
      <c r="B888" s="95" t="s">
        <v>500</v>
      </c>
      <c r="C888" s="116"/>
      <c r="D888" s="160"/>
      <c r="E888" s="117"/>
      <c r="F888" s="115"/>
      <c r="G888" s="171"/>
      <c r="H888" s="115"/>
      <c r="I888" s="118"/>
      <c r="J888" s="119"/>
      <c r="K888" s="120"/>
      <c r="L888" s="261"/>
      <c r="M888" s="262"/>
      <c r="N888" s="263"/>
      <c r="O888" s="264"/>
      <c r="P888" s="262"/>
      <c r="Q888" s="262"/>
      <c r="R888" s="262"/>
      <c r="S888" s="262"/>
      <c r="T888" s="262"/>
      <c r="U888" s="262"/>
      <c r="V888" s="262"/>
      <c r="W888" s="117"/>
      <c r="X888" s="246"/>
      <c r="Y888" s="246"/>
      <c r="Z888" s="246"/>
      <c r="AA888" s="160"/>
      <c r="AB888" s="246"/>
      <c r="AC888" s="160"/>
      <c r="AD888" s="246"/>
      <c r="AE888" s="160"/>
      <c r="AF888" s="246"/>
      <c r="AG888" s="160"/>
      <c r="AH888" s="246"/>
      <c r="AI888" s="160"/>
      <c r="AJ888" s="246"/>
      <c r="AK888" s="246"/>
      <c r="AL888" s="246"/>
      <c r="AM888" s="246"/>
      <c r="AN888" s="246"/>
      <c r="AO888" s="246"/>
      <c r="AP888" s="246"/>
      <c r="AQ888" s="246"/>
      <c r="AR888" s="246"/>
      <c r="AS888" s="246"/>
      <c r="AT888" s="246"/>
      <c r="AU888" s="246"/>
      <c r="AV888" s="246"/>
      <c r="AW888" s="160"/>
      <c r="AX888" s="160"/>
      <c r="AY888" s="247"/>
      <c r="AZ888" s="248"/>
      <c r="BA888" s="248"/>
      <c r="BB888" s="248"/>
      <c r="BC888" s="248"/>
      <c r="BD888" s="3"/>
    </row>
    <row r="889" spans="1:56" ht="15.75" hidden="1" customHeight="1" outlineLevel="1">
      <c r="A889" s="63">
        <v>879</v>
      </c>
      <c r="B889" s="95" t="s">
        <v>501</v>
      </c>
      <c r="C889" s="116"/>
      <c r="D889" s="160"/>
      <c r="E889" s="117"/>
      <c r="F889" s="115"/>
      <c r="G889" s="171"/>
      <c r="H889" s="115"/>
      <c r="I889" s="118"/>
      <c r="J889" s="119"/>
      <c r="K889" s="120"/>
      <c r="L889" s="261"/>
      <c r="M889" s="262"/>
      <c r="N889" s="263"/>
      <c r="O889" s="264"/>
      <c r="P889" s="262"/>
      <c r="Q889" s="262"/>
      <c r="R889" s="262"/>
      <c r="S889" s="262"/>
      <c r="T889" s="262"/>
      <c r="U889" s="262"/>
      <c r="V889" s="262"/>
      <c r="W889" s="117"/>
      <c r="X889" s="246"/>
      <c r="Y889" s="246"/>
      <c r="Z889" s="246"/>
      <c r="AA889" s="160"/>
      <c r="AB889" s="246"/>
      <c r="AC889" s="160"/>
      <c r="AD889" s="246"/>
      <c r="AE889" s="160"/>
      <c r="AF889" s="246"/>
      <c r="AG889" s="160"/>
      <c r="AH889" s="246"/>
      <c r="AI889" s="160"/>
      <c r="AJ889" s="246"/>
      <c r="AK889" s="246"/>
      <c r="AL889" s="246"/>
      <c r="AM889" s="246"/>
      <c r="AN889" s="246"/>
      <c r="AO889" s="246"/>
      <c r="AP889" s="246"/>
      <c r="AQ889" s="246"/>
      <c r="AR889" s="246"/>
      <c r="AS889" s="246"/>
      <c r="AT889" s="246"/>
      <c r="AU889" s="246"/>
      <c r="AV889" s="246"/>
      <c r="AW889" s="160"/>
      <c r="AX889" s="160"/>
      <c r="AY889" s="247"/>
      <c r="AZ889" s="248"/>
      <c r="BA889" s="248"/>
      <c r="BB889" s="248"/>
      <c r="BC889" s="248"/>
      <c r="BD889" s="3"/>
    </row>
    <row r="890" spans="1:56" ht="15.75" hidden="1" customHeight="1" outlineLevel="1">
      <c r="A890" s="63">
        <v>880</v>
      </c>
      <c r="B890" s="95" t="s">
        <v>502</v>
      </c>
      <c r="C890" s="116"/>
      <c r="D890" s="160"/>
      <c r="E890" s="117"/>
      <c r="F890" s="115"/>
      <c r="G890" s="171"/>
      <c r="H890" s="115"/>
      <c r="I890" s="118"/>
      <c r="J890" s="119"/>
      <c r="K890" s="120"/>
      <c r="L890" s="261"/>
      <c r="M890" s="262"/>
      <c r="N890" s="263"/>
      <c r="O890" s="264"/>
      <c r="P890" s="262"/>
      <c r="Q890" s="262"/>
      <c r="R890" s="262"/>
      <c r="S890" s="262"/>
      <c r="T890" s="262"/>
      <c r="U890" s="262"/>
      <c r="V890" s="262"/>
      <c r="W890" s="117"/>
      <c r="X890" s="246"/>
      <c r="Y890" s="246"/>
      <c r="Z890" s="246"/>
      <c r="AA890" s="160"/>
      <c r="AB890" s="246"/>
      <c r="AC890" s="160"/>
      <c r="AD890" s="246"/>
      <c r="AE890" s="160"/>
      <c r="AF890" s="246"/>
      <c r="AG890" s="160"/>
      <c r="AH890" s="246"/>
      <c r="AI890" s="160"/>
      <c r="AJ890" s="246"/>
      <c r="AK890" s="246"/>
      <c r="AL890" s="246"/>
      <c r="AM890" s="246"/>
      <c r="AN890" s="246"/>
      <c r="AO890" s="246"/>
      <c r="AP890" s="246"/>
      <c r="AQ890" s="246"/>
      <c r="AR890" s="246"/>
      <c r="AS890" s="246"/>
      <c r="AT890" s="246"/>
      <c r="AU890" s="246"/>
      <c r="AV890" s="246"/>
      <c r="AW890" s="160"/>
      <c r="AX890" s="160"/>
      <c r="AY890" s="247"/>
      <c r="AZ890" s="248"/>
      <c r="BA890" s="248"/>
      <c r="BB890" s="248"/>
      <c r="BC890" s="248"/>
      <c r="BD890" s="3"/>
    </row>
    <row r="891" spans="1:56" ht="15.75" hidden="1" customHeight="1" outlineLevel="1">
      <c r="A891" s="63">
        <v>881</v>
      </c>
      <c r="B891" s="95" t="s">
        <v>503</v>
      </c>
      <c r="C891" s="116"/>
      <c r="D891" s="160"/>
      <c r="E891" s="117"/>
      <c r="F891" s="115"/>
      <c r="G891" s="171"/>
      <c r="H891" s="115"/>
      <c r="I891" s="118"/>
      <c r="J891" s="119"/>
      <c r="K891" s="120"/>
      <c r="L891" s="261"/>
      <c r="M891" s="262"/>
      <c r="N891" s="263"/>
      <c r="O891" s="264"/>
      <c r="P891" s="262"/>
      <c r="Q891" s="262"/>
      <c r="R891" s="262"/>
      <c r="S891" s="262"/>
      <c r="T891" s="262"/>
      <c r="U891" s="262"/>
      <c r="V891" s="262"/>
      <c r="W891" s="117"/>
      <c r="X891" s="246"/>
      <c r="Y891" s="246"/>
      <c r="Z891" s="246"/>
      <c r="AA891" s="160"/>
      <c r="AB891" s="246"/>
      <c r="AC891" s="160"/>
      <c r="AD891" s="246"/>
      <c r="AE891" s="160"/>
      <c r="AF891" s="246"/>
      <c r="AG891" s="160"/>
      <c r="AH891" s="246"/>
      <c r="AI891" s="160"/>
      <c r="AJ891" s="246"/>
      <c r="AK891" s="246"/>
      <c r="AL891" s="246"/>
      <c r="AM891" s="246"/>
      <c r="AN891" s="246"/>
      <c r="AO891" s="246"/>
      <c r="AP891" s="246"/>
      <c r="AQ891" s="246"/>
      <c r="AR891" s="246"/>
      <c r="AS891" s="246"/>
      <c r="AT891" s="246"/>
      <c r="AU891" s="246"/>
      <c r="AV891" s="246"/>
      <c r="AW891" s="160"/>
      <c r="AX891" s="160"/>
      <c r="AY891" s="247"/>
      <c r="AZ891" s="248"/>
      <c r="BA891" s="248"/>
      <c r="BB891" s="248"/>
      <c r="BC891" s="248"/>
      <c r="BD891" s="3"/>
    </row>
    <row r="892" spans="1:56" ht="15.75" hidden="1" customHeight="1" outlineLevel="1">
      <c r="A892" s="63">
        <v>882</v>
      </c>
      <c r="B892" s="95" t="s">
        <v>504</v>
      </c>
      <c r="C892" s="116"/>
      <c r="D892" s="160"/>
      <c r="E892" s="117"/>
      <c r="F892" s="115"/>
      <c r="G892" s="171"/>
      <c r="H892" s="115"/>
      <c r="I892" s="118"/>
      <c r="J892" s="119"/>
      <c r="K892" s="120"/>
      <c r="L892" s="261"/>
      <c r="M892" s="262"/>
      <c r="N892" s="263"/>
      <c r="O892" s="264"/>
      <c r="P892" s="262"/>
      <c r="Q892" s="262"/>
      <c r="R892" s="262"/>
      <c r="S892" s="262"/>
      <c r="T892" s="262"/>
      <c r="U892" s="262"/>
      <c r="V892" s="262"/>
      <c r="W892" s="117"/>
      <c r="X892" s="246"/>
      <c r="Y892" s="246"/>
      <c r="Z892" s="246"/>
      <c r="AA892" s="160"/>
      <c r="AB892" s="246"/>
      <c r="AC892" s="160"/>
      <c r="AD892" s="246"/>
      <c r="AE892" s="160"/>
      <c r="AF892" s="246"/>
      <c r="AG892" s="160"/>
      <c r="AH892" s="246"/>
      <c r="AI892" s="160"/>
      <c r="AJ892" s="246"/>
      <c r="AK892" s="246"/>
      <c r="AL892" s="246"/>
      <c r="AM892" s="246"/>
      <c r="AN892" s="246"/>
      <c r="AO892" s="246"/>
      <c r="AP892" s="246"/>
      <c r="AQ892" s="246"/>
      <c r="AR892" s="246"/>
      <c r="AS892" s="246"/>
      <c r="AT892" s="246"/>
      <c r="AU892" s="246"/>
      <c r="AV892" s="246"/>
      <c r="AW892" s="160"/>
      <c r="AX892" s="160"/>
      <c r="AY892" s="247"/>
      <c r="AZ892" s="248"/>
      <c r="BA892" s="248"/>
      <c r="BB892" s="248"/>
      <c r="BC892" s="248"/>
      <c r="BD892" s="3"/>
    </row>
    <row r="893" spans="1:56" ht="15.75" hidden="1" customHeight="1" outlineLevel="1">
      <c r="A893" s="63">
        <v>883</v>
      </c>
      <c r="B893" s="95" t="s">
        <v>505</v>
      </c>
      <c r="C893" s="116"/>
      <c r="D893" s="160"/>
      <c r="E893" s="117"/>
      <c r="F893" s="115"/>
      <c r="G893" s="171"/>
      <c r="H893" s="115"/>
      <c r="I893" s="118"/>
      <c r="J893" s="119"/>
      <c r="K893" s="120"/>
      <c r="L893" s="261"/>
      <c r="M893" s="262"/>
      <c r="N893" s="263"/>
      <c r="O893" s="264"/>
      <c r="P893" s="262"/>
      <c r="Q893" s="262"/>
      <c r="R893" s="262"/>
      <c r="S893" s="262"/>
      <c r="T893" s="262"/>
      <c r="U893" s="262"/>
      <c r="V893" s="262"/>
      <c r="W893" s="117"/>
      <c r="X893" s="246"/>
      <c r="Y893" s="246"/>
      <c r="Z893" s="246"/>
      <c r="AA893" s="160"/>
      <c r="AB893" s="246"/>
      <c r="AC893" s="160"/>
      <c r="AD893" s="246"/>
      <c r="AE893" s="160"/>
      <c r="AF893" s="246"/>
      <c r="AG893" s="160"/>
      <c r="AH893" s="246"/>
      <c r="AI893" s="160"/>
      <c r="AJ893" s="246"/>
      <c r="AK893" s="246"/>
      <c r="AL893" s="246"/>
      <c r="AM893" s="246"/>
      <c r="AN893" s="246"/>
      <c r="AO893" s="246"/>
      <c r="AP893" s="246"/>
      <c r="AQ893" s="246"/>
      <c r="AR893" s="246"/>
      <c r="AS893" s="246"/>
      <c r="AT893" s="246"/>
      <c r="AU893" s="246"/>
      <c r="AV893" s="246"/>
      <c r="AW893" s="160"/>
      <c r="AX893" s="160"/>
      <c r="AY893" s="247"/>
      <c r="AZ893" s="248"/>
      <c r="BA893" s="248"/>
      <c r="BB893" s="248"/>
      <c r="BC893" s="248"/>
      <c r="BD893" s="3"/>
    </row>
    <row r="894" spans="1:56" ht="15.75" hidden="1" customHeight="1" outlineLevel="1">
      <c r="A894" s="63">
        <v>884</v>
      </c>
      <c r="B894" s="95" t="s">
        <v>506</v>
      </c>
      <c r="C894" s="116"/>
      <c r="D894" s="160"/>
      <c r="E894" s="117"/>
      <c r="F894" s="115"/>
      <c r="G894" s="171"/>
      <c r="H894" s="115"/>
      <c r="I894" s="118"/>
      <c r="J894" s="119"/>
      <c r="K894" s="120"/>
      <c r="L894" s="261"/>
      <c r="M894" s="262"/>
      <c r="N894" s="263"/>
      <c r="O894" s="264"/>
      <c r="P894" s="262"/>
      <c r="Q894" s="262"/>
      <c r="R894" s="262"/>
      <c r="S894" s="262"/>
      <c r="T894" s="262"/>
      <c r="U894" s="262"/>
      <c r="V894" s="262"/>
      <c r="W894" s="117"/>
      <c r="X894" s="246"/>
      <c r="Y894" s="246"/>
      <c r="Z894" s="246"/>
      <c r="AA894" s="160"/>
      <c r="AB894" s="246"/>
      <c r="AC894" s="160"/>
      <c r="AD894" s="246"/>
      <c r="AE894" s="160"/>
      <c r="AF894" s="246"/>
      <c r="AG894" s="160"/>
      <c r="AH894" s="246"/>
      <c r="AI894" s="160"/>
      <c r="AJ894" s="246"/>
      <c r="AK894" s="246"/>
      <c r="AL894" s="246"/>
      <c r="AM894" s="246"/>
      <c r="AN894" s="246"/>
      <c r="AO894" s="246"/>
      <c r="AP894" s="246"/>
      <c r="AQ894" s="246"/>
      <c r="AR894" s="246"/>
      <c r="AS894" s="246"/>
      <c r="AT894" s="246"/>
      <c r="AU894" s="246"/>
      <c r="AV894" s="246"/>
      <c r="AW894" s="160"/>
      <c r="AX894" s="160"/>
      <c r="AY894" s="247"/>
      <c r="AZ894" s="248"/>
      <c r="BA894" s="248"/>
      <c r="BB894" s="248"/>
      <c r="BC894" s="248"/>
      <c r="BD894" s="3"/>
    </row>
    <row r="895" spans="1:56" ht="15.75" hidden="1" customHeight="1" outlineLevel="1">
      <c r="A895" s="63">
        <v>885</v>
      </c>
      <c r="B895" s="95" t="s">
        <v>507</v>
      </c>
      <c r="C895" s="116"/>
      <c r="D895" s="160"/>
      <c r="E895" s="117"/>
      <c r="F895" s="115"/>
      <c r="G895" s="171"/>
      <c r="H895" s="115"/>
      <c r="I895" s="118"/>
      <c r="J895" s="119"/>
      <c r="K895" s="120"/>
      <c r="L895" s="261"/>
      <c r="M895" s="262"/>
      <c r="N895" s="263"/>
      <c r="O895" s="264"/>
      <c r="P895" s="262"/>
      <c r="Q895" s="262"/>
      <c r="R895" s="262"/>
      <c r="S895" s="262"/>
      <c r="T895" s="262"/>
      <c r="U895" s="262"/>
      <c r="V895" s="262"/>
      <c r="W895" s="117"/>
      <c r="X895" s="246"/>
      <c r="Y895" s="246"/>
      <c r="Z895" s="246"/>
      <c r="AA895" s="160"/>
      <c r="AB895" s="246"/>
      <c r="AC895" s="160"/>
      <c r="AD895" s="246"/>
      <c r="AE895" s="160"/>
      <c r="AF895" s="246"/>
      <c r="AG895" s="160"/>
      <c r="AH895" s="246"/>
      <c r="AI895" s="160"/>
      <c r="AJ895" s="246"/>
      <c r="AK895" s="246"/>
      <c r="AL895" s="246"/>
      <c r="AM895" s="246"/>
      <c r="AN895" s="246"/>
      <c r="AO895" s="246"/>
      <c r="AP895" s="246"/>
      <c r="AQ895" s="246"/>
      <c r="AR895" s="246"/>
      <c r="AS895" s="246"/>
      <c r="AT895" s="246"/>
      <c r="AU895" s="246"/>
      <c r="AV895" s="246"/>
      <c r="AW895" s="160"/>
      <c r="AX895" s="160"/>
      <c r="AY895" s="247"/>
      <c r="AZ895" s="248"/>
      <c r="BA895" s="248"/>
      <c r="BB895" s="248"/>
      <c r="BC895" s="248"/>
      <c r="BD895" s="3"/>
    </row>
    <row r="896" spans="1:56" ht="15.75" hidden="1" customHeight="1" outlineLevel="1">
      <c r="A896" s="63">
        <v>886</v>
      </c>
      <c r="B896" s="95" t="s">
        <v>508</v>
      </c>
      <c r="C896" s="116"/>
      <c r="D896" s="160"/>
      <c r="E896" s="117"/>
      <c r="F896" s="115"/>
      <c r="G896" s="171"/>
      <c r="H896" s="115"/>
      <c r="I896" s="118"/>
      <c r="J896" s="119"/>
      <c r="K896" s="120"/>
      <c r="L896" s="261"/>
      <c r="M896" s="262"/>
      <c r="N896" s="263"/>
      <c r="O896" s="264"/>
      <c r="P896" s="262"/>
      <c r="Q896" s="262"/>
      <c r="R896" s="262"/>
      <c r="S896" s="262"/>
      <c r="T896" s="262"/>
      <c r="U896" s="262"/>
      <c r="V896" s="262"/>
      <c r="W896" s="117"/>
      <c r="X896" s="246"/>
      <c r="Y896" s="246"/>
      <c r="Z896" s="246"/>
      <c r="AA896" s="160"/>
      <c r="AB896" s="246"/>
      <c r="AC896" s="160"/>
      <c r="AD896" s="246"/>
      <c r="AE896" s="160"/>
      <c r="AF896" s="246"/>
      <c r="AG896" s="160"/>
      <c r="AH896" s="246"/>
      <c r="AI896" s="160"/>
      <c r="AJ896" s="246"/>
      <c r="AK896" s="246"/>
      <c r="AL896" s="246"/>
      <c r="AM896" s="246"/>
      <c r="AN896" s="246"/>
      <c r="AO896" s="246"/>
      <c r="AP896" s="246"/>
      <c r="AQ896" s="246"/>
      <c r="AR896" s="246"/>
      <c r="AS896" s="246"/>
      <c r="AT896" s="246"/>
      <c r="AU896" s="246"/>
      <c r="AV896" s="246"/>
      <c r="AW896" s="160"/>
      <c r="AX896" s="160"/>
      <c r="AY896" s="247"/>
      <c r="AZ896" s="248"/>
      <c r="BA896" s="248"/>
      <c r="BB896" s="248"/>
      <c r="BC896" s="248"/>
      <c r="BD896" s="3"/>
    </row>
    <row r="897" spans="1:56" ht="15.75" hidden="1" customHeight="1" outlineLevel="1">
      <c r="A897" s="63">
        <v>887</v>
      </c>
      <c r="B897" s="95" t="s">
        <v>510</v>
      </c>
      <c r="C897" s="116"/>
      <c r="D897" s="160"/>
      <c r="E897" s="117"/>
      <c r="F897" s="115"/>
      <c r="G897" s="171"/>
      <c r="H897" s="115"/>
      <c r="I897" s="118"/>
      <c r="J897" s="119"/>
      <c r="K897" s="120"/>
      <c r="L897" s="261"/>
      <c r="M897" s="262"/>
      <c r="N897" s="263"/>
      <c r="O897" s="264"/>
      <c r="P897" s="262"/>
      <c r="Q897" s="262"/>
      <c r="R897" s="262"/>
      <c r="S897" s="262"/>
      <c r="T897" s="262"/>
      <c r="U897" s="262"/>
      <c r="V897" s="262"/>
      <c r="W897" s="117"/>
      <c r="X897" s="246"/>
      <c r="Y897" s="246"/>
      <c r="Z897" s="246"/>
      <c r="AA897" s="160"/>
      <c r="AB897" s="246"/>
      <c r="AC897" s="160"/>
      <c r="AD897" s="246"/>
      <c r="AE897" s="160"/>
      <c r="AF897" s="246"/>
      <c r="AG897" s="160"/>
      <c r="AH897" s="246"/>
      <c r="AI897" s="160"/>
      <c r="AJ897" s="246"/>
      <c r="AK897" s="246"/>
      <c r="AL897" s="246"/>
      <c r="AM897" s="246"/>
      <c r="AN897" s="246"/>
      <c r="AO897" s="246"/>
      <c r="AP897" s="246"/>
      <c r="AQ897" s="246"/>
      <c r="AR897" s="246"/>
      <c r="AS897" s="246"/>
      <c r="AT897" s="246"/>
      <c r="AU897" s="246"/>
      <c r="AV897" s="246"/>
      <c r="AW897" s="160"/>
      <c r="AX897" s="160"/>
      <c r="AY897" s="247"/>
      <c r="AZ897" s="248"/>
      <c r="BA897" s="248"/>
      <c r="BB897" s="248"/>
      <c r="BC897" s="248"/>
      <c r="BD897" s="3"/>
    </row>
    <row r="898" spans="1:56" ht="15.75" hidden="1" customHeight="1" outlineLevel="1">
      <c r="A898" s="63">
        <v>888</v>
      </c>
      <c r="B898" s="95" t="s">
        <v>511</v>
      </c>
      <c r="C898" s="116"/>
      <c r="D898" s="160"/>
      <c r="E898" s="117"/>
      <c r="F898" s="115"/>
      <c r="G898" s="171"/>
      <c r="H898" s="115"/>
      <c r="I898" s="118"/>
      <c r="J898" s="119"/>
      <c r="K898" s="120"/>
      <c r="L898" s="261"/>
      <c r="M898" s="262"/>
      <c r="N898" s="263"/>
      <c r="O898" s="264"/>
      <c r="P898" s="262"/>
      <c r="Q898" s="262"/>
      <c r="R898" s="262"/>
      <c r="S898" s="262"/>
      <c r="T898" s="262"/>
      <c r="U898" s="262"/>
      <c r="V898" s="262"/>
      <c r="W898" s="117"/>
      <c r="X898" s="246"/>
      <c r="Y898" s="246"/>
      <c r="Z898" s="246"/>
      <c r="AA898" s="160"/>
      <c r="AB898" s="246"/>
      <c r="AC898" s="160"/>
      <c r="AD898" s="246"/>
      <c r="AE898" s="160"/>
      <c r="AF898" s="246"/>
      <c r="AG898" s="160"/>
      <c r="AH898" s="246"/>
      <c r="AI898" s="160"/>
      <c r="AJ898" s="246"/>
      <c r="AK898" s="246"/>
      <c r="AL898" s="246"/>
      <c r="AM898" s="246"/>
      <c r="AN898" s="246"/>
      <c r="AO898" s="246"/>
      <c r="AP898" s="246"/>
      <c r="AQ898" s="246"/>
      <c r="AR898" s="246"/>
      <c r="AS898" s="246"/>
      <c r="AT898" s="246"/>
      <c r="AU898" s="246"/>
      <c r="AV898" s="246"/>
      <c r="AW898" s="160"/>
      <c r="AX898" s="160"/>
      <c r="AY898" s="247"/>
      <c r="AZ898" s="248"/>
      <c r="BA898" s="248"/>
      <c r="BB898" s="248"/>
      <c r="BC898" s="248"/>
      <c r="BD898" s="3"/>
    </row>
    <row r="899" spans="1:56" ht="15.75" hidden="1" customHeight="1" outlineLevel="1">
      <c r="A899" s="63">
        <v>889</v>
      </c>
      <c r="B899" s="95" t="s">
        <v>512</v>
      </c>
      <c r="C899" s="116"/>
      <c r="D899" s="160"/>
      <c r="E899" s="117"/>
      <c r="F899" s="115"/>
      <c r="G899" s="171"/>
      <c r="H899" s="115"/>
      <c r="I899" s="118"/>
      <c r="J899" s="119"/>
      <c r="K899" s="120"/>
      <c r="L899" s="261"/>
      <c r="M899" s="262"/>
      <c r="N899" s="263"/>
      <c r="O899" s="264"/>
      <c r="P899" s="262"/>
      <c r="Q899" s="262"/>
      <c r="R899" s="262"/>
      <c r="S899" s="262"/>
      <c r="T899" s="262"/>
      <c r="U899" s="262"/>
      <c r="V899" s="262"/>
      <c r="W899" s="117"/>
      <c r="X899" s="246"/>
      <c r="Y899" s="246"/>
      <c r="Z899" s="246"/>
      <c r="AA899" s="160"/>
      <c r="AB899" s="246"/>
      <c r="AC899" s="160"/>
      <c r="AD899" s="246"/>
      <c r="AE899" s="160"/>
      <c r="AF899" s="246"/>
      <c r="AG899" s="160"/>
      <c r="AH899" s="246"/>
      <c r="AI899" s="160"/>
      <c r="AJ899" s="246"/>
      <c r="AK899" s="246"/>
      <c r="AL899" s="246"/>
      <c r="AM899" s="246"/>
      <c r="AN899" s="246"/>
      <c r="AO899" s="246"/>
      <c r="AP899" s="246"/>
      <c r="AQ899" s="246"/>
      <c r="AR899" s="246"/>
      <c r="AS899" s="246"/>
      <c r="AT899" s="246"/>
      <c r="AU899" s="246"/>
      <c r="AV899" s="246"/>
      <c r="AW899" s="160"/>
      <c r="AX899" s="160"/>
      <c r="AY899" s="247"/>
      <c r="AZ899" s="248"/>
      <c r="BA899" s="248"/>
      <c r="BB899" s="248"/>
      <c r="BC899" s="248"/>
      <c r="BD899" s="3"/>
    </row>
    <row r="900" spans="1:56" ht="15.75" hidden="1" customHeight="1" outlineLevel="1">
      <c r="A900" s="63">
        <v>890</v>
      </c>
      <c r="B900" s="95" t="s">
        <v>513</v>
      </c>
      <c r="C900" s="116"/>
      <c r="D900" s="160"/>
      <c r="E900" s="117"/>
      <c r="F900" s="115"/>
      <c r="G900" s="171"/>
      <c r="H900" s="115"/>
      <c r="I900" s="118"/>
      <c r="J900" s="119"/>
      <c r="K900" s="120"/>
      <c r="L900" s="261"/>
      <c r="M900" s="262"/>
      <c r="N900" s="263"/>
      <c r="O900" s="264"/>
      <c r="P900" s="262"/>
      <c r="Q900" s="262"/>
      <c r="R900" s="262"/>
      <c r="S900" s="262"/>
      <c r="T900" s="262"/>
      <c r="U900" s="262"/>
      <c r="V900" s="262"/>
      <c r="W900" s="117"/>
      <c r="X900" s="246"/>
      <c r="Y900" s="246"/>
      <c r="Z900" s="246"/>
      <c r="AA900" s="160"/>
      <c r="AB900" s="246"/>
      <c r="AC900" s="160"/>
      <c r="AD900" s="246"/>
      <c r="AE900" s="160"/>
      <c r="AF900" s="246"/>
      <c r="AG900" s="160"/>
      <c r="AH900" s="246"/>
      <c r="AI900" s="160"/>
      <c r="AJ900" s="246"/>
      <c r="AK900" s="246"/>
      <c r="AL900" s="246"/>
      <c r="AM900" s="246"/>
      <c r="AN900" s="246"/>
      <c r="AO900" s="246"/>
      <c r="AP900" s="246"/>
      <c r="AQ900" s="246"/>
      <c r="AR900" s="246"/>
      <c r="AS900" s="246"/>
      <c r="AT900" s="246"/>
      <c r="AU900" s="246"/>
      <c r="AV900" s="246"/>
      <c r="AW900" s="160"/>
      <c r="AX900" s="160"/>
      <c r="AY900" s="247"/>
      <c r="AZ900" s="248"/>
      <c r="BA900" s="248"/>
      <c r="BB900" s="248"/>
      <c r="BC900" s="248"/>
      <c r="BD900" s="3"/>
    </row>
    <row r="901" spans="1:56" ht="15.75" hidden="1" customHeight="1" outlineLevel="1">
      <c r="A901" s="63">
        <v>891</v>
      </c>
      <c r="B901" s="95" t="s">
        <v>514</v>
      </c>
      <c r="C901" s="116"/>
      <c r="D901" s="160"/>
      <c r="E901" s="117"/>
      <c r="F901" s="115"/>
      <c r="G901" s="171"/>
      <c r="H901" s="115"/>
      <c r="I901" s="118"/>
      <c r="J901" s="119"/>
      <c r="K901" s="120"/>
      <c r="L901" s="261"/>
      <c r="M901" s="262"/>
      <c r="N901" s="263"/>
      <c r="O901" s="264"/>
      <c r="P901" s="262"/>
      <c r="Q901" s="262"/>
      <c r="R901" s="262"/>
      <c r="S901" s="262"/>
      <c r="T901" s="262"/>
      <c r="U901" s="262"/>
      <c r="V901" s="262"/>
      <c r="W901" s="117"/>
      <c r="X901" s="246"/>
      <c r="Y901" s="246"/>
      <c r="Z901" s="246"/>
      <c r="AA901" s="160"/>
      <c r="AB901" s="246"/>
      <c r="AC901" s="160"/>
      <c r="AD901" s="246"/>
      <c r="AE901" s="160"/>
      <c r="AF901" s="246"/>
      <c r="AG901" s="160"/>
      <c r="AH901" s="246"/>
      <c r="AI901" s="160"/>
      <c r="AJ901" s="246"/>
      <c r="AK901" s="246"/>
      <c r="AL901" s="246"/>
      <c r="AM901" s="246"/>
      <c r="AN901" s="246"/>
      <c r="AO901" s="246"/>
      <c r="AP901" s="246"/>
      <c r="AQ901" s="246"/>
      <c r="AR901" s="246"/>
      <c r="AS901" s="246"/>
      <c r="AT901" s="246"/>
      <c r="AU901" s="246"/>
      <c r="AV901" s="246"/>
      <c r="AW901" s="160"/>
      <c r="AX901" s="160"/>
      <c r="AY901" s="247"/>
      <c r="AZ901" s="248"/>
      <c r="BA901" s="248"/>
      <c r="BB901" s="248"/>
      <c r="BC901" s="248"/>
      <c r="BD901" s="3"/>
    </row>
    <row r="902" spans="1:56" ht="15.75" hidden="1" customHeight="1" outlineLevel="1">
      <c r="A902" s="63">
        <v>892</v>
      </c>
      <c r="B902" s="95" t="s">
        <v>515</v>
      </c>
      <c r="C902" s="116"/>
      <c r="D902" s="160"/>
      <c r="E902" s="117"/>
      <c r="F902" s="115"/>
      <c r="G902" s="171"/>
      <c r="H902" s="115"/>
      <c r="I902" s="118"/>
      <c r="J902" s="119"/>
      <c r="K902" s="120"/>
      <c r="L902" s="261"/>
      <c r="M902" s="262"/>
      <c r="N902" s="263"/>
      <c r="O902" s="264"/>
      <c r="P902" s="262"/>
      <c r="Q902" s="262"/>
      <c r="R902" s="262"/>
      <c r="S902" s="262"/>
      <c r="T902" s="262"/>
      <c r="U902" s="262"/>
      <c r="V902" s="262"/>
      <c r="W902" s="117"/>
      <c r="X902" s="246"/>
      <c r="Y902" s="246"/>
      <c r="Z902" s="246"/>
      <c r="AA902" s="160"/>
      <c r="AB902" s="246"/>
      <c r="AC902" s="160"/>
      <c r="AD902" s="246"/>
      <c r="AE902" s="160"/>
      <c r="AF902" s="246"/>
      <c r="AG902" s="160"/>
      <c r="AH902" s="246"/>
      <c r="AI902" s="160"/>
      <c r="AJ902" s="246"/>
      <c r="AK902" s="246"/>
      <c r="AL902" s="246"/>
      <c r="AM902" s="246"/>
      <c r="AN902" s="246"/>
      <c r="AO902" s="246"/>
      <c r="AP902" s="246"/>
      <c r="AQ902" s="246"/>
      <c r="AR902" s="246"/>
      <c r="AS902" s="246"/>
      <c r="AT902" s="246"/>
      <c r="AU902" s="246"/>
      <c r="AV902" s="246"/>
      <c r="AW902" s="160"/>
      <c r="AX902" s="160"/>
      <c r="AY902" s="247"/>
      <c r="AZ902" s="248"/>
      <c r="BA902" s="248"/>
      <c r="BB902" s="248"/>
      <c r="BC902" s="248"/>
      <c r="BD902" s="3"/>
    </row>
    <row r="903" spans="1:56" ht="15.75" hidden="1" customHeight="1" outlineLevel="1">
      <c r="A903" s="63">
        <v>893</v>
      </c>
      <c r="B903" s="95" t="s">
        <v>516</v>
      </c>
      <c r="C903" s="116"/>
      <c r="D903" s="160"/>
      <c r="E903" s="117"/>
      <c r="F903" s="115"/>
      <c r="G903" s="171"/>
      <c r="H903" s="115"/>
      <c r="I903" s="118"/>
      <c r="J903" s="119"/>
      <c r="K903" s="120"/>
      <c r="L903" s="261"/>
      <c r="M903" s="262"/>
      <c r="N903" s="263"/>
      <c r="O903" s="264"/>
      <c r="P903" s="262"/>
      <c r="Q903" s="262"/>
      <c r="R903" s="262"/>
      <c r="S903" s="262"/>
      <c r="T903" s="262"/>
      <c r="U903" s="262"/>
      <c r="V903" s="262"/>
      <c r="W903" s="117"/>
      <c r="X903" s="246"/>
      <c r="Y903" s="246"/>
      <c r="Z903" s="246"/>
      <c r="AA903" s="160"/>
      <c r="AB903" s="246"/>
      <c r="AC903" s="160"/>
      <c r="AD903" s="246"/>
      <c r="AE903" s="160"/>
      <c r="AF903" s="246"/>
      <c r="AG903" s="160"/>
      <c r="AH903" s="246"/>
      <c r="AI903" s="160"/>
      <c r="AJ903" s="246"/>
      <c r="AK903" s="246"/>
      <c r="AL903" s="246"/>
      <c r="AM903" s="246"/>
      <c r="AN903" s="246"/>
      <c r="AO903" s="246"/>
      <c r="AP903" s="246"/>
      <c r="AQ903" s="246"/>
      <c r="AR903" s="246"/>
      <c r="AS903" s="246"/>
      <c r="AT903" s="246"/>
      <c r="AU903" s="246"/>
      <c r="AV903" s="246"/>
      <c r="AW903" s="160"/>
      <c r="AX903" s="160"/>
      <c r="AY903" s="247"/>
      <c r="AZ903" s="248"/>
      <c r="BA903" s="248"/>
      <c r="BB903" s="248"/>
      <c r="BC903" s="248"/>
      <c r="BD903" s="3"/>
    </row>
    <row r="904" spans="1:56" ht="15.75" hidden="1" customHeight="1" outlineLevel="1">
      <c r="A904" s="63">
        <v>894</v>
      </c>
      <c r="B904" s="95" t="s">
        <v>517</v>
      </c>
      <c r="C904" s="116"/>
      <c r="D904" s="160"/>
      <c r="E904" s="117"/>
      <c r="F904" s="115"/>
      <c r="G904" s="171"/>
      <c r="H904" s="115"/>
      <c r="I904" s="118"/>
      <c r="J904" s="119"/>
      <c r="K904" s="120"/>
      <c r="L904" s="261"/>
      <c r="M904" s="262"/>
      <c r="N904" s="263"/>
      <c r="O904" s="264"/>
      <c r="P904" s="262"/>
      <c r="Q904" s="262"/>
      <c r="R904" s="262"/>
      <c r="S904" s="262"/>
      <c r="T904" s="262"/>
      <c r="U904" s="262"/>
      <c r="V904" s="262"/>
      <c r="W904" s="117"/>
      <c r="X904" s="246"/>
      <c r="Y904" s="246"/>
      <c r="Z904" s="246"/>
      <c r="AA904" s="160"/>
      <c r="AB904" s="246"/>
      <c r="AC904" s="160"/>
      <c r="AD904" s="246"/>
      <c r="AE904" s="160"/>
      <c r="AF904" s="246"/>
      <c r="AG904" s="160"/>
      <c r="AH904" s="246"/>
      <c r="AI904" s="160"/>
      <c r="AJ904" s="246"/>
      <c r="AK904" s="246"/>
      <c r="AL904" s="246"/>
      <c r="AM904" s="246"/>
      <c r="AN904" s="246"/>
      <c r="AO904" s="246"/>
      <c r="AP904" s="246"/>
      <c r="AQ904" s="246"/>
      <c r="AR904" s="246"/>
      <c r="AS904" s="246"/>
      <c r="AT904" s="246"/>
      <c r="AU904" s="246"/>
      <c r="AV904" s="246"/>
      <c r="AW904" s="160"/>
      <c r="AX904" s="160"/>
      <c r="AY904" s="247"/>
      <c r="AZ904" s="248"/>
      <c r="BA904" s="248"/>
      <c r="BB904" s="248"/>
      <c r="BC904" s="248"/>
      <c r="BD904" s="3"/>
    </row>
    <row r="905" spans="1:56" ht="15.75" hidden="1" customHeight="1" outlineLevel="1">
      <c r="A905" s="63">
        <v>895</v>
      </c>
      <c r="B905" s="95" t="s">
        <v>518</v>
      </c>
      <c r="C905" s="116"/>
      <c r="D905" s="160"/>
      <c r="E905" s="117"/>
      <c r="F905" s="115"/>
      <c r="G905" s="171"/>
      <c r="H905" s="115"/>
      <c r="I905" s="118"/>
      <c r="J905" s="119"/>
      <c r="K905" s="120"/>
      <c r="L905" s="261"/>
      <c r="M905" s="262"/>
      <c r="N905" s="263"/>
      <c r="O905" s="264"/>
      <c r="P905" s="262"/>
      <c r="Q905" s="262"/>
      <c r="R905" s="262"/>
      <c r="S905" s="262"/>
      <c r="T905" s="262"/>
      <c r="U905" s="262"/>
      <c r="V905" s="262"/>
      <c r="W905" s="117"/>
      <c r="X905" s="246"/>
      <c r="Y905" s="246"/>
      <c r="Z905" s="246"/>
      <c r="AA905" s="160"/>
      <c r="AB905" s="246"/>
      <c r="AC905" s="160"/>
      <c r="AD905" s="246"/>
      <c r="AE905" s="160"/>
      <c r="AF905" s="246"/>
      <c r="AG905" s="160"/>
      <c r="AH905" s="246"/>
      <c r="AI905" s="160"/>
      <c r="AJ905" s="246"/>
      <c r="AK905" s="246"/>
      <c r="AL905" s="246"/>
      <c r="AM905" s="246"/>
      <c r="AN905" s="246"/>
      <c r="AO905" s="246"/>
      <c r="AP905" s="246"/>
      <c r="AQ905" s="246"/>
      <c r="AR905" s="246"/>
      <c r="AS905" s="246"/>
      <c r="AT905" s="246"/>
      <c r="AU905" s="246"/>
      <c r="AV905" s="246"/>
      <c r="AW905" s="160"/>
      <c r="AX905" s="160"/>
      <c r="AY905" s="247"/>
      <c r="AZ905" s="248"/>
      <c r="BA905" s="248"/>
      <c r="BB905" s="248"/>
      <c r="BC905" s="248"/>
      <c r="BD905" s="3"/>
    </row>
    <row r="906" spans="1:56" ht="15.75" hidden="1" customHeight="1" outlineLevel="1">
      <c r="A906" s="63">
        <v>896</v>
      </c>
      <c r="B906" s="95" t="s">
        <v>519</v>
      </c>
      <c r="C906" s="116"/>
      <c r="D906" s="160"/>
      <c r="E906" s="117"/>
      <c r="F906" s="115"/>
      <c r="G906" s="171"/>
      <c r="H906" s="115"/>
      <c r="I906" s="118"/>
      <c r="J906" s="119"/>
      <c r="K906" s="120"/>
      <c r="L906" s="261"/>
      <c r="M906" s="262"/>
      <c r="N906" s="263"/>
      <c r="O906" s="264"/>
      <c r="P906" s="262"/>
      <c r="Q906" s="262"/>
      <c r="R906" s="262"/>
      <c r="S906" s="262"/>
      <c r="T906" s="262"/>
      <c r="U906" s="262"/>
      <c r="V906" s="262"/>
      <c r="W906" s="117"/>
      <c r="X906" s="246"/>
      <c r="Y906" s="246"/>
      <c r="Z906" s="246"/>
      <c r="AA906" s="160"/>
      <c r="AB906" s="246"/>
      <c r="AC906" s="160"/>
      <c r="AD906" s="246"/>
      <c r="AE906" s="160"/>
      <c r="AF906" s="246"/>
      <c r="AG906" s="160"/>
      <c r="AH906" s="246"/>
      <c r="AI906" s="160"/>
      <c r="AJ906" s="246"/>
      <c r="AK906" s="246"/>
      <c r="AL906" s="246"/>
      <c r="AM906" s="246"/>
      <c r="AN906" s="246"/>
      <c r="AO906" s="246"/>
      <c r="AP906" s="246"/>
      <c r="AQ906" s="246"/>
      <c r="AR906" s="246"/>
      <c r="AS906" s="246"/>
      <c r="AT906" s="246"/>
      <c r="AU906" s="246"/>
      <c r="AV906" s="246"/>
      <c r="AW906" s="160"/>
      <c r="AX906" s="160"/>
      <c r="AY906" s="247"/>
      <c r="AZ906" s="248"/>
      <c r="BA906" s="248"/>
      <c r="BB906" s="248"/>
      <c r="BC906" s="248"/>
      <c r="BD906" s="3"/>
    </row>
    <row r="907" spans="1:56" ht="15.75" hidden="1" customHeight="1" outlineLevel="1">
      <c r="A907" s="63">
        <v>897</v>
      </c>
      <c r="B907" s="95" t="s">
        <v>520</v>
      </c>
      <c r="C907" s="116"/>
      <c r="D907" s="160"/>
      <c r="E907" s="117"/>
      <c r="F907" s="115"/>
      <c r="G907" s="171"/>
      <c r="H907" s="115"/>
      <c r="I907" s="118"/>
      <c r="J907" s="119"/>
      <c r="K907" s="120"/>
      <c r="L907" s="261"/>
      <c r="M907" s="262"/>
      <c r="N907" s="263"/>
      <c r="O907" s="264"/>
      <c r="P907" s="262"/>
      <c r="Q907" s="262"/>
      <c r="R907" s="262"/>
      <c r="S907" s="262"/>
      <c r="T907" s="262"/>
      <c r="U907" s="262"/>
      <c r="V907" s="262"/>
      <c r="W907" s="117"/>
      <c r="X907" s="246"/>
      <c r="Y907" s="246"/>
      <c r="Z907" s="246"/>
      <c r="AA907" s="160"/>
      <c r="AB907" s="246"/>
      <c r="AC907" s="160"/>
      <c r="AD907" s="246"/>
      <c r="AE907" s="160"/>
      <c r="AF907" s="246"/>
      <c r="AG907" s="160"/>
      <c r="AH907" s="246"/>
      <c r="AI907" s="160"/>
      <c r="AJ907" s="246"/>
      <c r="AK907" s="246"/>
      <c r="AL907" s="246"/>
      <c r="AM907" s="246"/>
      <c r="AN907" s="246"/>
      <c r="AO907" s="246"/>
      <c r="AP907" s="246"/>
      <c r="AQ907" s="246"/>
      <c r="AR907" s="246"/>
      <c r="AS907" s="246"/>
      <c r="AT907" s="246"/>
      <c r="AU907" s="246"/>
      <c r="AV907" s="246"/>
      <c r="AW907" s="160"/>
      <c r="AX907" s="160"/>
      <c r="AY907" s="247"/>
      <c r="AZ907" s="248"/>
      <c r="BA907" s="248"/>
      <c r="BB907" s="248"/>
      <c r="BC907" s="248"/>
      <c r="BD907" s="3"/>
    </row>
    <row r="908" spans="1:56" ht="15.75" hidden="1" customHeight="1" outlineLevel="1">
      <c r="A908" s="63">
        <v>898</v>
      </c>
      <c r="B908" s="95" t="s">
        <v>521</v>
      </c>
      <c r="C908" s="116"/>
      <c r="D908" s="160"/>
      <c r="E908" s="117"/>
      <c r="F908" s="115"/>
      <c r="G908" s="171"/>
      <c r="H908" s="115"/>
      <c r="I908" s="118"/>
      <c r="J908" s="119"/>
      <c r="K908" s="120"/>
      <c r="L908" s="261"/>
      <c r="M908" s="262"/>
      <c r="N908" s="263"/>
      <c r="O908" s="264"/>
      <c r="P908" s="262"/>
      <c r="Q908" s="262"/>
      <c r="R908" s="262"/>
      <c r="S908" s="262"/>
      <c r="T908" s="262"/>
      <c r="U908" s="262"/>
      <c r="V908" s="262"/>
      <c r="W908" s="117"/>
      <c r="X908" s="246"/>
      <c r="Y908" s="246"/>
      <c r="Z908" s="246"/>
      <c r="AA908" s="160"/>
      <c r="AB908" s="246"/>
      <c r="AC908" s="160"/>
      <c r="AD908" s="246"/>
      <c r="AE908" s="160"/>
      <c r="AF908" s="246"/>
      <c r="AG908" s="160"/>
      <c r="AH908" s="246"/>
      <c r="AI908" s="160"/>
      <c r="AJ908" s="246"/>
      <c r="AK908" s="246"/>
      <c r="AL908" s="246"/>
      <c r="AM908" s="246"/>
      <c r="AN908" s="246"/>
      <c r="AO908" s="246"/>
      <c r="AP908" s="246"/>
      <c r="AQ908" s="246"/>
      <c r="AR908" s="246"/>
      <c r="AS908" s="246"/>
      <c r="AT908" s="246"/>
      <c r="AU908" s="246"/>
      <c r="AV908" s="246"/>
      <c r="AW908" s="160"/>
      <c r="AX908" s="160"/>
      <c r="AY908" s="247"/>
      <c r="AZ908" s="248"/>
      <c r="BA908" s="248"/>
      <c r="BB908" s="248"/>
      <c r="BC908" s="248"/>
      <c r="BD908" s="3"/>
    </row>
    <row r="909" spans="1:56" ht="15.75" hidden="1" customHeight="1" outlineLevel="1">
      <c r="A909" s="63">
        <v>899</v>
      </c>
      <c r="B909" s="95" t="s">
        <v>522</v>
      </c>
      <c r="C909" s="116"/>
      <c r="D909" s="160"/>
      <c r="E909" s="117"/>
      <c r="F909" s="115"/>
      <c r="G909" s="171"/>
      <c r="H909" s="115"/>
      <c r="I909" s="118"/>
      <c r="J909" s="119"/>
      <c r="K909" s="120"/>
      <c r="L909" s="261"/>
      <c r="M909" s="262"/>
      <c r="N909" s="263"/>
      <c r="O909" s="264"/>
      <c r="P909" s="262"/>
      <c r="Q909" s="262"/>
      <c r="R909" s="262"/>
      <c r="S909" s="262"/>
      <c r="T909" s="262"/>
      <c r="U909" s="262"/>
      <c r="V909" s="262"/>
      <c r="W909" s="117"/>
      <c r="X909" s="246"/>
      <c r="Y909" s="246"/>
      <c r="Z909" s="246"/>
      <c r="AA909" s="160"/>
      <c r="AB909" s="246"/>
      <c r="AC909" s="160"/>
      <c r="AD909" s="246"/>
      <c r="AE909" s="160"/>
      <c r="AF909" s="246"/>
      <c r="AG909" s="160"/>
      <c r="AH909" s="246"/>
      <c r="AI909" s="160"/>
      <c r="AJ909" s="246"/>
      <c r="AK909" s="246"/>
      <c r="AL909" s="246"/>
      <c r="AM909" s="246"/>
      <c r="AN909" s="246"/>
      <c r="AO909" s="246"/>
      <c r="AP909" s="246"/>
      <c r="AQ909" s="246"/>
      <c r="AR909" s="246"/>
      <c r="AS909" s="246"/>
      <c r="AT909" s="246"/>
      <c r="AU909" s="246"/>
      <c r="AV909" s="246"/>
      <c r="AW909" s="160"/>
      <c r="AX909" s="160"/>
      <c r="AY909" s="247"/>
      <c r="AZ909" s="248"/>
      <c r="BA909" s="248"/>
      <c r="BB909" s="248"/>
      <c r="BC909" s="248"/>
      <c r="BD909" s="3"/>
    </row>
    <row r="910" spans="1:56" ht="15.75" hidden="1" customHeight="1" outlineLevel="1">
      <c r="A910" s="63">
        <v>900</v>
      </c>
      <c r="B910" s="95" t="s">
        <v>523</v>
      </c>
      <c r="C910" s="116"/>
      <c r="D910" s="160"/>
      <c r="E910" s="117"/>
      <c r="F910" s="115"/>
      <c r="G910" s="171"/>
      <c r="H910" s="115"/>
      <c r="I910" s="118"/>
      <c r="J910" s="119"/>
      <c r="K910" s="120"/>
      <c r="L910" s="261"/>
      <c r="M910" s="262"/>
      <c r="N910" s="263"/>
      <c r="O910" s="264"/>
      <c r="P910" s="262"/>
      <c r="Q910" s="262"/>
      <c r="R910" s="262"/>
      <c r="S910" s="262"/>
      <c r="T910" s="262"/>
      <c r="U910" s="262"/>
      <c r="V910" s="262"/>
      <c r="W910" s="117"/>
      <c r="X910" s="246"/>
      <c r="Y910" s="246"/>
      <c r="Z910" s="246"/>
      <c r="AA910" s="160"/>
      <c r="AB910" s="246"/>
      <c r="AC910" s="160"/>
      <c r="AD910" s="246"/>
      <c r="AE910" s="160"/>
      <c r="AF910" s="246"/>
      <c r="AG910" s="160"/>
      <c r="AH910" s="246"/>
      <c r="AI910" s="160"/>
      <c r="AJ910" s="246"/>
      <c r="AK910" s="246"/>
      <c r="AL910" s="246"/>
      <c r="AM910" s="246"/>
      <c r="AN910" s="246"/>
      <c r="AO910" s="246"/>
      <c r="AP910" s="246"/>
      <c r="AQ910" s="246"/>
      <c r="AR910" s="246"/>
      <c r="AS910" s="246"/>
      <c r="AT910" s="246"/>
      <c r="AU910" s="246"/>
      <c r="AV910" s="246"/>
      <c r="AW910" s="160"/>
      <c r="AX910" s="160"/>
      <c r="AY910" s="247"/>
      <c r="AZ910" s="248"/>
      <c r="BA910" s="248"/>
      <c r="BB910" s="248"/>
      <c r="BC910" s="248"/>
      <c r="BD910" s="3"/>
    </row>
    <row r="911" spans="1:56" ht="15.75" hidden="1" customHeight="1" outlineLevel="1">
      <c r="A911" s="63">
        <v>901</v>
      </c>
      <c r="B911" s="95" t="s">
        <v>524</v>
      </c>
      <c r="C911" s="116"/>
      <c r="D911" s="160"/>
      <c r="E911" s="117"/>
      <c r="F911" s="115"/>
      <c r="G911" s="171"/>
      <c r="H911" s="115"/>
      <c r="I911" s="118"/>
      <c r="J911" s="119"/>
      <c r="K911" s="120"/>
      <c r="L911" s="261"/>
      <c r="M911" s="262"/>
      <c r="N911" s="263"/>
      <c r="O911" s="264"/>
      <c r="P911" s="262"/>
      <c r="Q911" s="262"/>
      <c r="R911" s="262"/>
      <c r="S911" s="262"/>
      <c r="T911" s="262"/>
      <c r="U911" s="262"/>
      <c r="V911" s="262"/>
      <c r="W911" s="117"/>
      <c r="X911" s="246"/>
      <c r="Y911" s="246"/>
      <c r="Z911" s="246"/>
      <c r="AA911" s="160"/>
      <c r="AB911" s="246"/>
      <c r="AC911" s="160"/>
      <c r="AD911" s="246"/>
      <c r="AE911" s="160"/>
      <c r="AF911" s="246"/>
      <c r="AG911" s="160"/>
      <c r="AH911" s="246"/>
      <c r="AI911" s="160"/>
      <c r="AJ911" s="246"/>
      <c r="AK911" s="246"/>
      <c r="AL911" s="246"/>
      <c r="AM911" s="246"/>
      <c r="AN911" s="246"/>
      <c r="AO911" s="246"/>
      <c r="AP911" s="246"/>
      <c r="AQ911" s="246"/>
      <c r="AR911" s="246"/>
      <c r="AS911" s="246"/>
      <c r="AT911" s="246"/>
      <c r="AU911" s="246"/>
      <c r="AV911" s="246"/>
      <c r="AW911" s="160"/>
      <c r="AX911" s="160"/>
      <c r="AY911" s="247"/>
      <c r="AZ911" s="248"/>
      <c r="BA911" s="248"/>
      <c r="BB911" s="248"/>
      <c r="BC911" s="248"/>
      <c r="BD911" s="3"/>
    </row>
    <row r="912" spans="1:56" ht="15.75" hidden="1" customHeight="1" outlineLevel="1">
      <c r="A912" s="63">
        <v>902</v>
      </c>
      <c r="B912" s="95" t="s">
        <v>525</v>
      </c>
      <c r="C912" s="116"/>
      <c r="D912" s="160"/>
      <c r="E912" s="117"/>
      <c r="F912" s="115"/>
      <c r="G912" s="171"/>
      <c r="H912" s="115"/>
      <c r="I912" s="118"/>
      <c r="J912" s="119"/>
      <c r="K912" s="120"/>
      <c r="L912" s="261"/>
      <c r="M912" s="262"/>
      <c r="N912" s="263"/>
      <c r="O912" s="264"/>
      <c r="P912" s="262"/>
      <c r="Q912" s="262"/>
      <c r="R912" s="262"/>
      <c r="S912" s="262"/>
      <c r="T912" s="262"/>
      <c r="U912" s="262"/>
      <c r="V912" s="262"/>
      <c r="W912" s="117"/>
      <c r="X912" s="246"/>
      <c r="Y912" s="246"/>
      <c r="Z912" s="246"/>
      <c r="AA912" s="160"/>
      <c r="AB912" s="246"/>
      <c r="AC912" s="160"/>
      <c r="AD912" s="246"/>
      <c r="AE912" s="160"/>
      <c r="AF912" s="246"/>
      <c r="AG912" s="160"/>
      <c r="AH912" s="246"/>
      <c r="AI912" s="160"/>
      <c r="AJ912" s="246"/>
      <c r="AK912" s="246"/>
      <c r="AL912" s="246"/>
      <c r="AM912" s="246"/>
      <c r="AN912" s="246"/>
      <c r="AO912" s="246"/>
      <c r="AP912" s="246"/>
      <c r="AQ912" s="246"/>
      <c r="AR912" s="246"/>
      <c r="AS912" s="246"/>
      <c r="AT912" s="246"/>
      <c r="AU912" s="246"/>
      <c r="AV912" s="246"/>
      <c r="AW912" s="160"/>
      <c r="AX912" s="160"/>
      <c r="AY912" s="247"/>
      <c r="AZ912" s="248"/>
      <c r="BA912" s="248"/>
      <c r="BB912" s="248"/>
      <c r="BC912" s="248"/>
      <c r="BD912" s="3"/>
    </row>
    <row r="913" spans="1:56" ht="15.75" hidden="1" customHeight="1" outlineLevel="1">
      <c r="A913" s="63">
        <v>903</v>
      </c>
      <c r="B913" s="95" t="s">
        <v>526</v>
      </c>
      <c r="C913" s="116"/>
      <c r="D913" s="160"/>
      <c r="E913" s="117"/>
      <c r="F913" s="115"/>
      <c r="G913" s="171"/>
      <c r="H913" s="115"/>
      <c r="I913" s="118"/>
      <c r="J913" s="119"/>
      <c r="K913" s="120"/>
      <c r="L913" s="261"/>
      <c r="M913" s="262"/>
      <c r="N913" s="263"/>
      <c r="O913" s="264"/>
      <c r="P913" s="262"/>
      <c r="Q913" s="262"/>
      <c r="R913" s="262"/>
      <c r="S913" s="262"/>
      <c r="T913" s="262"/>
      <c r="U913" s="262"/>
      <c r="V913" s="262"/>
      <c r="W913" s="117"/>
      <c r="X913" s="246"/>
      <c r="Y913" s="246"/>
      <c r="Z913" s="246"/>
      <c r="AA913" s="160"/>
      <c r="AB913" s="246"/>
      <c r="AC913" s="160"/>
      <c r="AD913" s="246"/>
      <c r="AE913" s="160"/>
      <c r="AF913" s="246"/>
      <c r="AG913" s="160"/>
      <c r="AH913" s="246"/>
      <c r="AI913" s="160"/>
      <c r="AJ913" s="246"/>
      <c r="AK913" s="246"/>
      <c r="AL913" s="246"/>
      <c r="AM913" s="246"/>
      <c r="AN913" s="246"/>
      <c r="AO913" s="246"/>
      <c r="AP913" s="246"/>
      <c r="AQ913" s="246"/>
      <c r="AR913" s="246"/>
      <c r="AS913" s="246"/>
      <c r="AT913" s="246"/>
      <c r="AU913" s="246"/>
      <c r="AV913" s="246"/>
      <c r="AW913" s="160"/>
      <c r="AX913" s="160"/>
      <c r="AY913" s="247"/>
      <c r="AZ913" s="248"/>
      <c r="BA913" s="248"/>
      <c r="BB913" s="248"/>
      <c r="BC913" s="248"/>
      <c r="BD913" s="3"/>
    </row>
    <row r="914" spans="1:56" ht="15.75" hidden="1" customHeight="1" outlineLevel="1">
      <c r="A914" s="63">
        <v>904</v>
      </c>
      <c r="B914" s="95" t="s">
        <v>529</v>
      </c>
      <c r="C914" s="116"/>
      <c r="D914" s="160"/>
      <c r="E914" s="117"/>
      <c r="F914" s="115"/>
      <c r="G914" s="171"/>
      <c r="H914" s="115"/>
      <c r="I914" s="118"/>
      <c r="J914" s="119"/>
      <c r="K914" s="120"/>
      <c r="L914" s="261"/>
      <c r="M914" s="262"/>
      <c r="N914" s="263"/>
      <c r="O914" s="264"/>
      <c r="P914" s="262"/>
      <c r="Q914" s="262"/>
      <c r="R914" s="262"/>
      <c r="S914" s="262"/>
      <c r="T914" s="262"/>
      <c r="U914" s="262"/>
      <c r="V914" s="262"/>
      <c r="W914" s="117"/>
      <c r="X914" s="246"/>
      <c r="Y914" s="246"/>
      <c r="Z914" s="246"/>
      <c r="AA914" s="160"/>
      <c r="AB914" s="246"/>
      <c r="AC914" s="160"/>
      <c r="AD914" s="246"/>
      <c r="AE914" s="160"/>
      <c r="AF914" s="246"/>
      <c r="AG914" s="160"/>
      <c r="AH914" s="246"/>
      <c r="AI914" s="160"/>
      <c r="AJ914" s="246"/>
      <c r="AK914" s="246"/>
      <c r="AL914" s="246"/>
      <c r="AM914" s="246"/>
      <c r="AN914" s="246"/>
      <c r="AO914" s="246"/>
      <c r="AP914" s="246"/>
      <c r="AQ914" s="246"/>
      <c r="AR914" s="246"/>
      <c r="AS914" s="246"/>
      <c r="AT914" s="246"/>
      <c r="AU914" s="246"/>
      <c r="AV914" s="246"/>
      <c r="AW914" s="160"/>
      <c r="AX914" s="160"/>
      <c r="AY914" s="247"/>
      <c r="AZ914" s="248"/>
      <c r="BA914" s="248"/>
      <c r="BB914" s="248"/>
      <c r="BC914" s="248"/>
      <c r="BD914" s="3"/>
    </row>
    <row r="915" spans="1:56" ht="15.75" hidden="1" customHeight="1" outlineLevel="1">
      <c r="A915" s="63">
        <v>905</v>
      </c>
      <c r="B915" s="95" t="s">
        <v>531</v>
      </c>
      <c r="C915" s="116"/>
      <c r="D915" s="160"/>
      <c r="E915" s="117"/>
      <c r="F915" s="115"/>
      <c r="G915" s="171"/>
      <c r="H915" s="115"/>
      <c r="I915" s="118"/>
      <c r="J915" s="119"/>
      <c r="K915" s="120"/>
      <c r="L915" s="261"/>
      <c r="M915" s="262"/>
      <c r="N915" s="263"/>
      <c r="O915" s="264"/>
      <c r="P915" s="262"/>
      <c r="Q915" s="262"/>
      <c r="R915" s="262"/>
      <c r="S915" s="262"/>
      <c r="T915" s="262"/>
      <c r="U915" s="262"/>
      <c r="V915" s="262"/>
      <c r="W915" s="117"/>
      <c r="X915" s="246"/>
      <c r="Y915" s="246"/>
      <c r="Z915" s="246"/>
      <c r="AA915" s="160"/>
      <c r="AB915" s="246"/>
      <c r="AC915" s="160"/>
      <c r="AD915" s="246"/>
      <c r="AE915" s="160"/>
      <c r="AF915" s="246"/>
      <c r="AG915" s="160"/>
      <c r="AH915" s="246"/>
      <c r="AI915" s="160"/>
      <c r="AJ915" s="246"/>
      <c r="AK915" s="246"/>
      <c r="AL915" s="246"/>
      <c r="AM915" s="246"/>
      <c r="AN915" s="246"/>
      <c r="AO915" s="246"/>
      <c r="AP915" s="246"/>
      <c r="AQ915" s="246"/>
      <c r="AR915" s="246"/>
      <c r="AS915" s="246"/>
      <c r="AT915" s="246"/>
      <c r="AU915" s="246"/>
      <c r="AV915" s="246"/>
      <c r="AW915" s="160"/>
      <c r="AX915" s="160"/>
      <c r="AY915" s="247"/>
      <c r="AZ915" s="248"/>
      <c r="BA915" s="248"/>
      <c r="BB915" s="248"/>
      <c r="BC915" s="248"/>
      <c r="BD915" s="3"/>
    </row>
    <row r="916" spans="1:56" ht="15.75" hidden="1" customHeight="1" outlineLevel="1">
      <c r="A916" s="63">
        <v>906</v>
      </c>
      <c r="B916" s="95" t="s">
        <v>532</v>
      </c>
      <c r="C916" s="116"/>
      <c r="D916" s="160"/>
      <c r="E916" s="117"/>
      <c r="F916" s="115"/>
      <c r="G916" s="171"/>
      <c r="H916" s="115"/>
      <c r="I916" s="118"/>
      <c r="J916" s="119"/>
      <c r="K916" s="120"/>
      <c r="L916" s="261"/>
      <c r="M916" s="262"/>
      <c r="N916" s="263"/>
      <c r="O916" s="264"/>
      <c r="P916" s="262"/>
      <c r="Q916" s="262"/>
      <c r="R916" s="262"/>
      <c r="S916" s="262"/>
      <c r="T916" s="262"/>
      <c r="U916" s="262"/>
      <c r="V916" s="262"/>
      <c r="W916" s="117"/>
      <c r="X916" s="246"/>
      <c r="Y916" s="246"/>
      <c r="Z916" s="246"/>
      <c r="AA916" s="160"/>
      <c r="AB916" s="246"/>
      <c r="AC916" s="160"/>
      <c r="AD916" s="246"/>
      <c r="AE916" s="160"/>
      <c r="AF916" s="246"/>
      <c r="AG916" s="160"/>
      <c r="AH916" s="246"/>
      <c r="AI916" s="160"/>
      <c r="AJ916" s="246"/>
      <c r="AK916" s="246"/>
      <c r="AL916" s="246"/>
      <c r="AM916" s="246"/>
      <c r="AN916" s="246"/>
      <c r="AO916" s="246"/>
      <c r="AP916" s="246"/>
      <c r="AQ916" s="246"/>
      <c r="AR916" s="246"/>
      <c r="AS916" s="246"/>
      <c r="AT916" s="246"/>
      <c r="AU916" s="246"/>
      <c r="AV916" s="246"/>
      <c r="AW916" s="160"/>
      <c r="AX916" s="160"/>
      <c r="AY916" s="247"/>
      <c r="AZ916" s="248"/>
      <c r="BA916" s="248"/>
      <c r="BB916" s="248"/>
      <c r="BC916" s="248"/>
      <c r="BD916" s="3"/>
    </row>
    <row r="917" spans="1:56" ht="15.75" hidden="1" customHeight="1" outlineLevel="1">
      <c r="A917" s="63">
        <v>907</v>
      </c>
      <c r="B917" s="95" t="s">
        <v>534</v>
      </c>
      <c r="C917" s="116"/>
      <c r="D917" s="160"/>
      <c r="E917" s="117"/>
      <c r="F917" s="115"/>
      <c r="G917" s="171"/>
      <c r="H917" s="115"/>
      <c r="I917" s="118"/>
      <c r="J917" s="119"/>
      <c r="K917" s="120"/>
      <c r="L917" s="261"/>
      <c r="M917" s="262"/>
      <c r="N917" s="263"/>
      <c r="O917" s="264"/>
      <c r="P917" s="262"/>
      <c r="Q917" s="262"/>
      <c r="R917" s="262"/>
      <c r="S917" s="262"/>
      <c r="T917" s="262"/>
      <c r="U917" s="262"/>
      <c r="V917" s="262"/>
      <c r="W917" s="117"/>
      <c r="X917" s="246"/>
      <c r="Y917" s="246"/>
      <c r="Z917" s="246"/>
      <c r="AA917" s="160"/>
      <c r="AB917" s="246"/>
      <c r="AC917" s="160"/>
      <c r="AD917" s="246"/>
      <c r="AE917" s="160"/>
      <c r="AF917" s="246"/>
      <c r="AG917" s="160"/>
      <c r="AH917" s="246"/>
      <c r="AI917" s="160"/>
      <c r="AJ917" s="246"/>
      <c r="AK917" s="246"/>
      <c r="AL917" s="246"/>
      <c r="AM917" s="246"/>
      <c r="AN917" s="246"/>
      <c r="AO917" s="246"/>
      <c r="AP917" s="246"/>
      <c r="AQ917" s="246"/>
      <c r="AR917" s="246"/>
      <c r="AS917" s="246"/>
      <c r="AT917" s="246"/>
      <c r="AU917" s="246"/>
      <c r="AV917" s="246"/>
      <c r="AW917" s="160"/>
      <c r="AX917" s="160"/>
      <c r="AY917" s="247"/>
      <c r="AZ917" s="248"/>
      <c r="BA917" s="248"/>
      <c r="BB917" s="248"/>
      <c r="BC917" s="248"/>
      <c r="BD917" s="3"/>
    </row>
    <row r="918" spans="1:56" ht="15.75" hidden="1" customHeight="1" outlineLevel="1">
      <c r="A918" s="63">
        <v>908</v>
      </c>
      <c r="B918" s="95" t="s">
        <v>535</v>
      </c>
      <c r="C918" s="116"/>
      <c r="D918" s="160"/>
      <c r="E918" s="117"/>
      <c r="F918" s="115"/>
      <c r="G918" s="171"/>
      <c r="H918" s="115"/>
      <c r="I918" s="118"/>
      <c r="J918" s="119"/>
      <c r="K918" s="120"/>
      <c r="L918" s="261"/>
      <c r="M918" s="262"/>
      <c r="N918" s="263"/>
      <c r="O918" s="264"/>
      <c r="P918" s="262"/>
      <c r="Q918" s="262"/>
      <c r="R918" s="262"/>
      <c r="S918" s="262"/>
      <c r="T918" s="262"/>
      <c r="U918" s="262"/>
      <c r="V918" s="262"/>
      <c r="W918" s="117"/>
      <c r="X918" s="246"/>
      <c r="Y918" s="246"/>
      <c r="Z918" s="246"/>
      <c r="AA918" s="160"/>
      <c r="AB918" s="246"/>
      <c r="AC918" s="160"/>
      <c r="AD918" s="246"/>
      <c r="AE918" s="160"/>
      <c r="AF918" s="246"/>
      <c r="AG918" s="160"/>
      <c r="AH918" s="246"/>
      <c r="AI918" s="160"/>
      <c r="AJ918" s="246"/>
      <c r="AK918" s="246"/>
      <c r="AL918" s="246"/>
      <c r="AM918" s="246"/>
      <c r="AN918" s="246"/>
      <c r="AO918" s="246"/>
      <c r="AP918" s="246"/>
      <c r="AQ918" s="246"/>
      <c r="AR918" s="246"/>
      <c r="AS918" s="246"/>
      <c r="AT918" s="246"/>
      <c r="AU918" s="246"/>
      <c r="AV918" s="246"/>
      <c r="AW918" s="160"/>
      <c r="AX918" s="160"/>
      <c r="AY918" s="247"/>
      <c r="AZ918" s="248"/>
      <c r="BA918" s="248"/>
      <c r="BB918" s="248"/>
      <c r="BC918" s="248"/>
      <c r="BD918" s="3"/>
    </row>
    <row r="919" spans="1:56" ht="15.75" hidden="1" customHeight="1" outlineLevel="1">
      <c r="A919" s="63">
        <v>909</v>
      </c>
      <c r="B919" s="95" t="s">
        <v>537</v>
      </c>
      <c r="C919" s="116"/>
      <c r="D919" s="160"/>
      <c r="E919" s="117"/>
      <c r="F919" s="115"/>
      <c r="G919" s="171"/>
      <c r="H919" s="115"/>
      <c r="I919" s="118"/>
      <c r="J919" s="119"/>
      <c r="K919" s="120"/>
      <c r="L919" s="261"/>
      <c r="M919" s="262"/>
      <c r="N919" s="263"/>
      <c r="O919" s="264"/>
      <c r="P919" s="262"/>
      <c r="Q919" s="262"/>
      <c r="R919" s="262"/>
      <c r="S919" s="262"/>
      <c r="T919" s="262"/>
      <c r="U919" s="262"/>
      <c r="V919" s="262"/>
      <c r="W919" s="117"/>
      <c r="X919" s="246"/>
      <c r="Y919" s="246"/>
      <c r="Z919" s="246"/>
      <c r="AA919" s="160"/>
      <c r="AB919" s="246"/>
      <c r="AC919" s="160"/>
      <c r="AD919" s="246"/>
      <c r="AE919" s="160"/>
      <c r="AF919" s="246"/>
      <c r="AG919" s="160"/>
      <c r="AH919" s="246"/>
      <c r="AI919" s="160"/>
      <c r="AJ919" s="246"/>
      <c r="AK919" s="246"/>
      <c r="AL919" s="246"/>
      <c r="AM919" s="246"/>
      <c r="AN919" s="246"/>
      <c r="AO919" s="246"/>
      <c r="AP919" s="246"/>
      <c r="AQ919" s="246"/>
      <c r="AR919" s="246"/>
      <c r="AS919" s="246"/>
      <c r="AT919" s="246"/>
      <c r="AU919" s="246"/>
      <c r="AV919" s="246"/>
      <c r="AW919" s="160"/>
      <c r="AX919" s="160"/>
      <c r="AY919" s="247"/>
      <c r="AZ919" s="248"/>
      <c r="BA919" s="248"/>
      <c r="BB919" s="248"/>
      <c r="BC919" s="248"/>
      <c r="BD919" s="3"/>
    </row>
    <row r="920" spans="1:56" ht="15.75" hidden="1" customHeight="1" outlineLevel="1">
      <c r="A920" s="63">
        <v>910</v>
      </c>
      <c r="B920" s="95" t="s">
        <v>538</v>
      </c>
      <c r="C920" s="116"/>
      <c r="D920" s="160"/>
      <c r="E920" s="117"/>
      <c r="F920" s="115"/>
      <c r="G920" s="171"/>
      <c r="H920" s="115"/>
      <c r="I920" s="118"/>
      <c r="J920" s="119"/>
      <c r="K920" s="120"/>
      <c r="L920" s="261"/>
      <c r="M920" s="262"/>
      <c r="N920" s="263"/>
      <c r="O920" s="264"/>
      <c r="P920" s="262"/>
      <c r="Q920" s="262"/>
      <c r="R920" s="262"/>
      <c r="S920" s="262"/>
      <c r="T920" s="262"/>
      <c r="U920" s="262"/>
      <c r="V920" s="262"/>
      <c r="W920" s="117"/>
      <c r="X920" s="246"/>
      <c r="Y920" s="246"/>
      <c r="Z920" s="246"/>
      <c r="AA920" s="160"/>
      <c r="AB920" s="246"/>
      <c r="AC920" s="160"/>
      <c r="AD920" s="246"/>
      <c r="AE920" s="160"/>
      <c r="AF920" s="246"/>
      <c r="AG920" s="160"/>
      <c r="AH920" s="246"/>
      <c r="AI920" s="160"/>
      <c r="AJ920" s="246"/>
      <c r="AK920" s="246"/>
      <c r="AL920" s="246"/>
      <c r="AM920" s="246"/>
      <c r="AN920" s="246"/>
      <c r="AO920" s="246"/>
      <c r="AP920" s="246"/>
      <c r="AQ920" s="246"/>
      <c r="AR920" s="246"/>
      <c r="AS920" s="246"/>
      <c r="AT920" s="246"/>
      <c r="AU920" s="246"/>
      <c r="AV920" s="246"/>
      <c r="AW920" s="160"/>
      <c r="AX920" s="160"/>
      <c r="AY920" s="247"/>
      <c r="AZ920" s="248"/>
      <c r="BA920" s="248"/>
      <c r="BB920" s="248"/>
      <c r="BC920" s="248"/>
      <c r="BD920" s="3"/>
    </row>
    <row r="921" spans="1:56" ht="15.75" hidden="1" customHeight="1" outlineLevel="1">
      <c r="A921" s="63">
        <v>911</v>
      </c>
      <c r="B921" s="95" t="s">
        <v>539</v>
      </c>
      <c r="C921" s="116"/>
      <c r="D921" s="160"/>
      <c r="E921" s="117"/>
      <c r="F921" s="115"/>
      <c r="G921" s="171"/>
      <c r="H921" s="115"/>
      <c r="I921" s="118"/>
      <c r="J921" s="119"/>
      <c r="K921" s="120"/>
      <c r="L921" s="261"/>
      <c r="M921" s="262"/>
      <c r="N921" s="263"/>
      <c r="O921" s="264"/>
      <c r="P921" s="262"/>
      <c r="Q921" s="262"/>
      <c r="R921" s="262"/>
      <c r="S921" s="262"/>
      <c r="T921" s="262"/>
      <c r="U921" s="262"/>
      <c r="V921" s="262"/>
      <c r="W921" s="117"/>
      <c r="X921" s="246"/>
      <c r="Y921" s="246"/>
      <c r="Z921" s="246"/>
      <c r="AA921" s="160"/>
      <c r="AB921" s="246"/>
      <c r="AC921" s="160"/>
      <c r="AD921" s="246"/>
      <c r="AE921" s="160"/>
      <c r="AF921" s="246"/>
      <c r="AG921" s="160"/>
      <c r="AH921" s="246"/>
      <c r="AI921" s="160"/>
      <c r="AJ921" s="246"/>
      <c r="AK921" s="246"/>
      <c r="AL921" s="246"/>
      <c r="AM921" s="246"/>
      <c r="AN921" s="246"/>
      <c r="AO921" s="246"/>
      <c r="AP921" s="246"/>
      <c r="AQ921" s="246"/>
      <c r="AR921" s="246"/>
      <c r="AS921" s="246"/>
      <c r="AT921" s="246"/>
      <c r="AU921" s="246"/>
      <c r="AV921" s="246"/>
      <c r="AW921" s="160"/>
      <c r="AX921" s="160"/>
      <c r="AY921" s="247"/>
      <c r="AZ921" s="248"/>
      <c r="BA921" s="248"/>
      <c r="BB921" s="248"/>
      <c r="BC921" s="248"/>
      <c r="BD921" s="3"/>
    </row>
    <row r="922" spans="1:56" ht="15.75" hidden="1" customHeight="1" outlineLevel="1">
      <c r="A922" s="63">
        <v>912</v>
      </c>
      <c r="B922" s="95" t="s">
        <v>541</v>
      </c>
      <c r="C922" s="116"/>
      <c r="D922" s="160"/>
      <c r="E922" s="117"/>
      <c r="F922" s="115"/>
      <c r="G922" s="171"/>
      <c r="H922" s="115"/>
      <c r="I922" s="118"/>
      <c r="J922" s="119"/>
      <c r="K922" s="120"/>
      <c r="L922" s="261"/>
      <c r="M922" s="262"/>
      <c r="N922" s="263"/>
      <c r="O922" s="264"/>
      <c r="P922" s="262"/>
      <c r="Q922" s="262"/>
      <c r="R922" s="262"/>
      <c r="S922" s="262"/>
      <c r="T922" s="262"/>
      <c r="U922" s="262"/>
      <c r="V922" s="262"/>
      <c r="W922" s="117"/>
      <c r="X922" s="246"/>
      <c r="Y922" s="246"/>
      <c r="Z922" s="246"/>
      <c r="AA922" s="160"/>
      <c r="AB922" s="246"/>
      <c r="AC922" s="160"/>
      <c r="AD922" s="246"/>
      <c r="AE922" s="160"/>
      <c r="AF922" s="246"/>
      <c r="AG922" s="160"/>
      <c r="AH922" s="246"/>
      <c r="AI922" s="160"/>
      <c r="AJ922" s="246"/>
      <c r="AK922" s="246"/>
      <c r="AL922" s="246"/>
      <c r="AM922" s="246"/>
      <c r="AN922" s="246"/>
      <c r="AO922" s="246"/>
      <c r="AP922" s="246"/>
      <c r="AQ922" s="246"/>
      <c r="AR922" s="246"/>
      <c r="AS922" s="246"/>
      <c r="AT922" s="246"/>
      <c r="AU922" s="246"/>
      <c r="AV922" s="246"/>
      <c r="AW922" s="160"/>
      <c r="AX922" s="160"/>
      <c r="AY922" s="247"/>
      <c r="AZ922" s="248"/>
      <c r="BA922" s="248"/>
      <c r="BB922" s="248"/>
      <c r="BC922" s="248"/>
      <c r="BD922" s="3"/>
    </row>
    <row r="923" spans="1:56" ht="15.75" hidden="1" customHeight="1" outlineLevel="1">
      <c r="A923" s="63">
        <v>913</v>
      </c>
      <c r="B923" s="95" t="s">
        <v>544</v>
      </c>
      <c r="C923" s="116"/>
      <c r="D923" s="160"/>
      <c r="E923" s="117"/>
      <c r="F923" s="115"/>
      <c r="G923" s="171"/>
      <c r="H923" s="115"/>
      <c r="I923" s="118"/>
      <c r="J923" s="119"/>
      <c r="K923" s="120"/>
      <c r="L923" s="261"/>
      <c r="M923" s="262"/>
      <c r="N923" s="263"/>
      <c r="O923" s="264"/>
      <c r="P923" s="262"/>
      <c r="Q923" s="262"/>
      <c r="R923" s="262"/>
      <c r="S923" s="262"/>
      <c r="T923" s="262"/>
      <c r="U923" s="262"/>
      <c r="V923" s="262"/>
      <c r="W923" s="117"/>
      <c r="X923" s="246"/>
      <c r="Y923" s="246"/>
      <c r="Z923" s="246"/>
      <c r="AA923" s="160"/>
      <c r="AB923" s="246"/>
      <c r="AC923" s="160"/>
      <c r="AD923" s="246"/>
      <c r="AE923" s="160"/>
      <c r="AF923" s="246"/>
      <c r="AG923" s="160"/>
      <c r="AH923" s="246"/>
      <c r="AI923" s="160"/>
      <c r="AJ923" s="246"/>
      <c r="AK923" s="246"/>
      <c r="AL923" s="246"/>
      <c r="AM923" s="246"/>
      <c r="AN923" s="246"/>
      <c r="AO923" s="246"/>
      <c r="AP923" s="246"/>
      <c r="AQ923" s="246"/>
      <c r="AR923" s="246"/>
      <c r="AS923" s="246"/>
      <c r="AT923" s="246"/>
      <c r="AU923" s="246"/>
      <c r="AV923" s="246"/>
      <c r="AW923" s="160"/>
      <c r="AX923" s="160"/>
      <c r="AY923" s="247"/>
      <c r="AZ923" s="248"/>
      <c r="BA923" s="248"/>
      <c r="BB923" s="248"/>
      <c r="BC923" s="248"/>
      <c r="BD923" s="3"/>
    </row>
    <row r="924" spans="1:56" ht="15.75" hidden="1" customHeight="1" outlineLevel="1">
      <c r="A924" s="63">
        <v>914</v>
      </c>
      <c r="B924" s="95" t="s">
        <v>545</v>
      </c>
      <c r="C924" s="116"/>
      <c r="D924" s="160"/>
      <c r="E924" s="117"/>
      <c r="F924" s="115"/>
      <c r="G924" s="171"/>
      <c r="H924" s="115"/>
      <c r="I924" s="118"/>
      <c r="J924" s="119"/>
      <c r="K924" s="120"/>
      <c r="L924" s="261"/>
      <c r="M924" s="262"/>
      <c r="N924" s="263"/>
      <c r="O924" s="264"/>
      <c r="P924" s="262"/>
      <c r="Q924" s="262"/>
      <c r="R924" s="262"/>
      <c r="S924" s="262"/>
      <c r="T924" s="262"/>
      <c r="U924" s="262"/>
      <c r="V924" s="262"/>
      <c r="W924" s="117"/>
      <c r="X924" s="246"/>
      <c r="Y924" s="246"/>
      <c r="Z924" s="246"/>
      <c r="AA924" s="160"/>
      <c r="AB924" s="246"/>
      <c r="AC924" s="160"/>
      <c r="AD924" s="246"/>
      <c r="AE924" s="160"/>
      <c r="AF924" s="246"/>
      <c r="AG924" s="160"/>
      <c r="AH924" s="246"/>
      <c r="AI924" s="160"/>
      <c r="AJ924" s="246"/>
      <c r="AK924" s="246"/>
      <c r="AL924" s="246"/>
      <c r="AM924" s="246"/>
      <c r="AN924" s="246"/>
      <c r="AO924" s="246"/>
      <c r="AP924" s="246"/>
      <c r="AQ924" s="246"/>
      <c r="AR924" s="246"/>
      <c r="AS924" s="246"/>
      <c r="AT924" s="246"/>
      <c r="AU924" s="246"/>
      <c r="AV924" s="246"/>
      <c r="AW924" s="160"/>
      <c r="AX924" s="160"/>
      <c r="AY924" s="247"/>
      <c r="AZ924" s="248"/>
      <c r="BA924" s="248"/>
      <c r="BB924" s="248"/>
      <c r="BC924" s="248"/>
      <c r="BD924" s="3"/>
    </row>
    <row r="925" spans="1:56" ht="15.75" hidden="1" customHeight="1" outlineLevel="1">
      <c r="A925" s="63">
        <v>915</v>
      </c>
      <c r="B925" s="95" t="s">
        <v>546</v>
      </c>
      <c r="C925" s="116"/>
      <c r="D925" s="160"/>
      <c r="E925" s="117"/>
      <c r="F925" s="115"/>
      <c r="G925" s="171"/>
      <c r="H925" s="115"/>
      <c r="I925" s="118"/>
      <c r="J925" s="119"/>
      <c r="K925" s="120"/>
      <c r="L925" s="261"/>
      <c r="M925" s="262"/>
      <c r="N925" s="263"/>
      <c r="O925" s="264"/>
      <c r="P925" s="262"/>
      <c r="Q925" s="262"/>
      <c r="R925" s="262"/>
      <c r="S925" s="262"/>
      <c r="T925" s="262"/>
      <c r="U925" s="262"/>
      <c r="V925" s="262"/>
      <c r="W925" s="117"/>
      <c r="X925" s="246"/>
      <c r="Y925" s="246"/>
      <c r="Z925" s="246"/>
      <c r="AA925" s="160"/>
      <c r="AB925" s="246"/>
      <c r="AC925" s="160"/>
      <c r="AD925" s="246"/>
      <c r="AE925" s="160"/>
      <c r="AF925" s="246"/>
      <c r="AG925" s="160"/>
      <c r="AH925" s="246"/>
      <c r="AI925" s="160"/>
      <c r="AJ925" s="246"/>
      <c r="AK925" s="246"/>
      <c r="AL925" s="246"/>
      <c r="AM925" s="246"/>
      <c r="AN925" s="246"/>
      <c r="AO925" s="246"/>
      <c r="AP925" s="246"/>
      <c r="AQ925" s="246"/>
      <c r="AR925" s="246"/>
      <c r="AS925" s="246"/>
      <c r="AT925" s="246"/>
      <c r="AU925" s="246"/>
      <c r="AV925" s="246"/>
      <c r="AW925" s="160"/>
      <c r="AX925" s="160"/>
      <c r="AY925" s="247"/>
      <c r="AZ925" s="248"/>
      <c r="BA925" s="248"/>
      <c r="BB925" s="248"/>
      <c r="BC925" s="248"/>
      <c r="BD925" s="3"/>
    </row>
    <row r="926" spans="1:56" ht="15.75" hidden="1" customHeight="1" outlineLevel="1">
      <c r="A926" s="63">
        <v>916</v>
      </c>
      <c r="B926" s="95" t="s">
        <v>547</v>
      </c>
      <c r="C926" s="116"/>
      <c r="D926" s="160"/>
      <c r="E926" s="117"/>
      <c r="F926" s="115"/>
      <c r="G926" s="171"/>
      <c r="H926" s="115"/>
      <c r="I926" s="118"/>
      <c r="J926" s="119"/>
      <c r="K926" s="120"/>
      <c r="L926" s="261"/>
      <c r="M926" s="262"/>
      <c r="N926" s="263"/>
      <c r="O926" s="264"/>
      <c r="P926" s="262"/>
      <c r="Q926" s="262"/>
      <c r="R926" s="262"/>
      <c r="S926" s="262"/>
      <c r="T926" s="262"/>
      <c r="U926" s="262"/>
      <c r="V926" s="262"/>
      <c r="W926" s="117"/>
      <c r="X926" s="246"/>
      <c r="Y926" s="246"/>
      <c r="Z926" s="246"/>
      <c r="AA926" s="160"/>
      <c r="AB926" s="246"/>
      <c r="AC926" s="160"/>
      <c r="AD926" s="246"/>
      <c r="AE926" s="160"/>
      <c r="AF926" s="246"/>
      <c r="AG926" s="160"/>
      <c r="AH926" s="246"/>
      <c r="AI926" s="160"/>
      <c r="AJ926" s="246"/>
      <c r="AK926" s="246"/>
      <c r="AL926" s="246"/>
      <c r="AM926" s="246"/>
      <c r="AN926" s="246"/>
      <c r="AO926" s="246"/>
      <c r="AP926" s="246"/>
      <c r="AQ926" s="246"/>
      <c r="AR926" s="246"/>
      <c r="AS926" s="246"/>
      <c r="AT926" s="246"/>
      <c r="AU926" s="246"/>
      <c r="AV926" s="246"/>
      <c r="AW926" s="160"/>
      <c r="AX926" s="160"/>
      <c r="AY926" s="247"/>
      <c r="AZ926" s="248"/>
      <c r="BA926" s="248"/>
      <c r="BB926" s="248"/>
      <c r="BC926" s="248"/>
      <c r="BD926" s="3"/>
    </row>
    <row r="927" spans="1:56" ht="15.75" hidden="1" customHeight="1" outlineLevel="1">
      <c r="A927" s="63">
        <v>917</v>
      </c>
      <c r="B927" s="95" t="s">
        <v>548</v>
      </c>
      <c r="C927" s="116"/>
      <c r="D927" s="160"/>
      <c r="E927" s="117"/>
      <c r="F927" s="115"/>
      <c r="G927" s="171"/>
      <c r="H927" s="115"/>
      <c r="I927" s="118"/>
      <c r="J927" s="119"/>
      <c r="K927" s="120"/>
      <c r="L927" s="261"/>
      <c r="M927" s="262"/>
      <c r="N927" s="263"/>
      <c r="O927" s="264"/>
      <c r="P927" s="262"/>
      <c r="Q927" s="262"/>
      <c r="R927" s="262"/>
      <c r="S927" s="262"/>
      <c r="T927" s="262"/>
      <c r="U927" s="262"/>
      <c r="V927" s="262"/>
      <c r="W927" s="117"/>
      <c r="X927" s="246"/>
      <c r="Y927" s="246"/>
      <c r="Z927" s="246"/>
      <c r="AA927" s="160"/>
      <c r="AB927" s="246"/>
      <c r="AC927" s="160"/>
      <c r="AD927" s="246"/>
      <c r="AE927" s="160"/>
      <c r="AF927" s="246"/>
      <c r="AG927" s="160"/>
      <c r="AH927" s="246"/>
      <c r="AI927" s="160"/>
      <c r="AJ927" s="246"/>
      <c r="AK927" s="246"/>
      <c r="AL927" s="246"/>
      <c r="AM927" s="246"/>
      <c r="AN927" s="246"/>
      <c r="AO927" s="246"/>
      <c r="AP927" s="246"/>
      <c r="AQ927" s="246"/>
      <c r="AR927" s="246"/>
      <c r="AS927" s="246"/>
      <c r="AT927" s="246"/>
      <c r="AU927" s="246"/>
      <c r="AV927" s="246"/>
      <c r="AW927" s="160"/>
      <c r="AX927" s="160"/>
      <c r="AY927" s="247"/>
      <c r="AZ927" s="248"/>
      <c r="BA927" s="248"/>
      <c r="BB927" s="248"/>
      <c r="BC927" s="248"/>
      <c r="BD927" s="3"/>
    </row>
    <row r="928" spans="1:56" ht="15.75" hidden="1" customHeight="1" outlineLevel="1">
      <c r="A928" s="63">
        <v>918</v>
      </c>
      <c r="B928" s="95" t="s">
        <v>549</v>
      </c>
      <c r="C928" s="116"/>
      <c r="D928" s="160"/>
      <c r="E928" s="117"/>
      <c r="F928" s="115"/>
      <c r="G928" s="171"/>
      <c r="H928" s="115"/>
      <c r="I928" s="118"/>
      <c r="J928" s="119"/>
      <c r="K928" s="120"/>
      <c r="L928" s="261"/>
      <c r="M928" s="262"/>
      <c r="N928" s="263"/>
      <c r="O928" s="264"/>
      <c r="P928" s="262"/>
      <c r="Q928" s="262"/>
      <c r="R928" s="262"/>
      <c r="S928" s="262"/>
      <c r="T928" s="262"/>
      <c r="U928" s="262"/>
      <c r="V928" s="262"/>
      <c r="W928" s="117"/>
      <c r="X928" s="246"/>
      <c r="Y928" s="246"/>
      <c r="Z928" s="246"/>
      <c r="AA928" s="160"/>
      <c r="AB928" s="246"/>
      <c r="AC928" s="160"/>
      <c r="AD928" s="246"/>
      <c r="AE928" s="160"/>
      <c r="AF928" s="246"/>
      <c r="AG928" s="160"/>
      <c r="AH928" s="246"/>
      <c r="AI928" s="160"/>
      <c r="AJ928" s="246"/>
      <c r="AK928" s="246"/>
      <c r="AL928" s="246"/>
      <c r="AM928" s="246"/>
      <c r="AN928" s="246"/>
      <c r="AO928" s="246"/>
      <c r="AP928" s="246"/>
      <c r="AQ928" s="246"/>
      <c r="AR928" s="246"/>
      <c r="AS928" s="246"/>
      <c r="AT928" s="246"/>
      <c r="AU928" s="246"/>
      <c r="AV928" s="246"/>
      <c r="AW928" s="160"/>
      <c r="AX928" s="160"/>
      <c r="AY928" s="247"/>
      <c r="AZ928" s="248"/>
      <c r="BA928" s="248"/>
      <c r="BB928" s="248"/>
      <c r="BC928" s="248"/>
      <c r="BD928" s="3"/>
    </row>
    <row r="929" spans="1:56" ht="15.75" hidden="1" customHeight="1" outlineLevel="1">
      <c r="A929" s="63">
        <v>919</v>
      </c>
      <c r="B929" s="95" t="s">
        <v>550</v>
      </c>
      <c r="C929" s="116"/>
      <c r="D929" s="160"/>
      <c r="E929" s="117"/>
      <c r="F929" s="115"/>
      <c r="G929" s="171"/>
      <c r="H929" s="115"/>
      <c r="I929" s="118"/>
      <c r="J929" s="119"/>
      <c r="K929" s="120"/>
      <c r="L929" s="261"/>
      <c r="M929" s="262"/>
      <c r="N929" s="263"/>
      <c r="O929" s="264"/>
      <c r="P929" s="262"/>
      <c r="Q929" s="262"/>
      <c r="R929" s="262"/>
      <c r="S929" s="262"/>
      <c r="T929" s="262"/>
      <c r="U929" s="262"/>
      <c r="V929" s="262"/>
      <c r="W929" s="117"/>
      <c r="X929" s="246"/>
      <c r="Y929" s="246"/>
      <c r="Z929" s="246"/>
      <c r="AA929" s="160"/>
      <c r="AB929" s="246"/>
      <c r="AC929" s="160"/>
      <c r="AD929" s="246"/>
      <c r="AE929" s="160"/>
      <c r="AF929" s="246"/>
      <c r="AG929" s="160"/>
      <c r="AH929" s="246"/>
      <c r="AI929" s="160"/>
      <c r="AJ929" s="246"/>
      <c r="AK929" s="246"/>
      <c r="AL929" s="246"/>
      <c r="AM929" s="246"/>
      <c r="AN929" s="246"/>
      <c r="AO929" s="246"/>
      <c r="AP929" s="246"/>
      <c r="AQ929" s="246"/>
      <c r="AR929" s="246"/>
      <c r="AS929" s="246"/>
      <c r="AT929" s="246"/>
      <c r="AU929" s="246"/>
      <c r="AV929" s="246"/>
      <c r="AW929" s="160"/>
      <c r="AX929" s="160"/>
      <c r="AY929" s="247"/>
      <c r="AZ929" s="248"/>
      <c r="BA929" s="248"/>
      <c r="BB929" s="248"/>
      <c r="BC929" s="248"/>
      <c r="BD929" s="3"/>
    </row>
    <row r="930" spans="1:56" ht="15.75" hidden="1" customHeight="1" outlineLevel="1">
      <c r="A930" s="63">
        <v>920</v>
      </c>
      <c r="B930" s="95" t="s">
        <v>551</v>
      </c>
      <c r="C930" s="116"/>
      <c r="D930" s="160"/>
      <c r="E930" s="117"/>
      <c r="F930" s="115"/>
      <c r="G930" s="171"/>
      <c r="H930" s="115"/>
      <c r="I930" s="118"/>
      <c r="J930" s="119"/>
      <c r="K930" s="120"/>
      <c r="L930" s="261"/>
      <c r="M930" s="262"/>
      <c r="N930" s="263"/>
      <c r="O930" s="264"/>
      <c r="P930" s="262"/>
      <c r="Q930" s="262"/>
      <c r="R930" s="262"/>
      <c r="S930" s="262"/>
      <c r="T930" s="262"/>
      <c r="U930" s="262"/>
      <c r="V930" s="262"/>
      <c r="W930" s="117"/>
      <c r="X930" s="246"/>
      <c r="Y930" s="246"/>
      <c r="Z930" s="246"/>
      <c r="AA930" s="160"/>
      <c r="AB930" s="246"/>
      <c r="AC930" s="160"/>
      <c r="AD930" s="246"/>
      <c r="AE930" s="160"/>
      <c r="AF930" s="246"/>
      <c r="AG930" s="160"/>
      <c r="AH930" s="246"/>
      <c r="AI930" s="160"/>
      <c r="AJ930" s="246"/>
      <c r="AK930" s="246"/>
      <c r="AL930" s="246"/>
      <c r="AM930" s="246"/>
      <c r="AN930" s="246"/>
      <c r="AO930" s="246"/>
      <c r="AP930" s="246"/>
      <c r="AQ930" s="246"/>
      <c r="AR930" s="246"/>
      <c r="AS930" s="246"/>
      <c r="AT930" s="246"/>
      <c r="AU930" s="246"/>
      <c r="AV930" s="246"/>
      <c r="AW930" s="160"/>
      <c r="AX930" s="160"/>
      <c r="AY930" s="247"/>
      <c r="AZ930" s="248"/>
      <c r="BA930" s="248"/>
      <c r="BB930" s="248"/>
      <c r="BC930" s="248"/>
      <c r="BD930" s="3"/>
    </row>
    <row r="931" spans="1:56" ht="15.75" hidden="1" customHeight="1" outlineLevel="1">
      <c r="A931" s="63">
        <v>921</v>
      </c>
      <c r="B931" s="95" t="s">
        <v>552</v>
      </c>
      <c r="C931" s="116"/>
      <c r="D931" s="160"/>
      <c r="E931" s="117"/>
      <c r="F931" s="115"/>
      <c r="G931" s="171"/>
      <c r="H931" s="115"/>
      <c r="I931" s="118"/>
      <c r="J931" s="119"/>
      <c r="K931" s="120"/>
      <c r="L931" s="261"/>
      <c r="M931" s="262"/>
      <c r="N931" s="263"/>
      <c r="O931" s="264"/>
      <c r="P931" s="262"/>
      <c r="Q931" s="262"/>
      <c r="R931" s="262"/>
      <c r="S931" s="262"/>
      <c r="T931" s="262"/>
      <c r="U931" s="262"/>
      <c r="V931" s="262"/>
      <c r="W931" s="117"/>
      <c r="X931" s="246"/>
      <c r="Y931" s="246"/>
      <c r="Z931" s="246"/>
      <c r="AA931" s="160"/>
      <c r="AB931" s="246"/>
      <c r="AC931" s="160"/>
      <c r="AD931" s="246"/>
      <c r="AE931" s="160"/>
      <c r="AF931" s="246"/>
      <c r="AG931" s="160"/>
      <c r="AH931" s="246"/>
      <c r="AI931" s="160"/>
      <c r="AJ931" s="246"/>
      <c r="AK931" s="246"/>
      <c r="AL931" s="246"/>
      <c r="AM931" s="246"/>
      <c r="AN931" s="246"/>
      <c r="AO931" s="246"/>
      <c r="AP931" s="246"/>
      <c r="AQ931" s="246"/>
      <c r="AR931" s="246"/>
      <c r="AS931" s="246"/>
      <c r="AT931" s="246"/>
      <c r="AU931" s="246"/>
      <c r="AV931" s="246"/>
      <c r="AW931" s="160"/>
      <c r="AX931" s="160"/>
      <c r="AY931" s="247"/>
      <c r="AZ931" s="248"/>
      <c r="BA931" s="248"/>
      <c r="BB931" s="248"/>
      <c r="BC931" s="248"/>
      <c r="BD931" s="3"/>
    </row>
    <row r="932" spans="1:56" ht="15.75" hidden="1" customHeight="1" outlineLevel="1">
      <c r="A932" s="63">
        <v>922</v>
      </c>
      <c r="B932" s="95" t="s">
        <v>553</v>
      </c>
      <c r="C932" s="116"/>
      <c r="D932" s="160"/>
      <c r="E932" s="117"/>
      <c r="F932" s="115"/>
      <c r="G932" s="171"/>
      <c r="H932" s="115"/>
      <c r="I932" s="118"/>
      <c r="J932" s="119"/>
      <c r="K932" s="120"/>
      <c r="L932" s="261"/>
      <c r="M932" s="262"/>
      <c r="N932" s="263"/>
      <c r="O932" s="264"/>
      <c r="P932" s="262"/>
      <c r="Q932" s="262"/>
      <c r="R932" s="262"/>
      <c r="S932" s="262"/>
      <c r="T932" s="262"/>
      <c r="U932" s="262"/>
      <c r="V932" s="262"/>
      <c r="W932" s="117"/>
      <c r="X932" s="246"/>
      <c r="Y932" s="246"/>
      <c r="Z932" s="246"/>
      <c r="AA932" s="160"/>
      <c r="AB932" s="246"/>
      <c r="AC932" s="160"/>
      <c r="AD932" s="246"/>
      <c r="AE932" s="160"/>
      <c r="AF932" s="246"/>
      <c r="AG932" s="160"/>
      <c r="AH932" s="246"/>
      <c r="AI932" s="160"/>
      <c r="AJ932" s="246"/>
      <c r="AK932" s="246"/>
      <c r="AL932" s="246"/>
      <c r="AM932" s="246"/>
      <c r="AN932" s="246"/>
      <c r="AO932" s="246"/>
      <c r="AP932" s="246"/>
      <c r="AQ932" s="246"/>
      <c r="AR932" s="246"/>
      <c r="AS932" s="246"/>
      <c r="AT932" s="246"/>
      <c r="AU932" s="246"/>
      <c r="AV932" s="246"/>
      <c r="AW932" s="160"/>
      <c r="AX932" s="160"/>
      <c r="AY932" s="247"/>
      <c r="AZ932" s="248"/>
      <c r="BA932" s="248"/>
      <c r="BB932" s="248"/>
      <c r="BC932" s="248"/>
      <c r="BD932" s="3"/>
    </row>
    <row r="933" spans="1:56" ht="15.75" hidden="1" customHeight="1" outlineLevel="1">
      <c r="A933" s="63">
        <v>923</v>
      </c>
      <c r="B933" s="95" t="s">
        <v>554</v>
      </c>
      <c r="C933" s="116"/>
      <c r="D933" s="160"/>
      <c r="E933" s="117"/>
      <c r="F933" s="115"/>
      <c r="G933" s="171"/>
      <c r="H933" s="115"/>
      <c r="I933" s="118"/>
      <c r="J933" s="119"/>
      <c r="K933" s="120"/>
      <c r="L933" s="261"/>
      <c r="M933" s="262"/>
      <c r="N933" s="263"/>
      <c r="O933" s="264"/>
      <c r="P933" s="262"/>
      <c r="Q933" s="262"/>
      <c r="R933" s="262"/>
      <c r="S933" s="262"/>
      <c r="T933" s="262"/>
      <c r="U933" s="262"/>
      <c r="V933" s="262"/>
      <c r="W933" s="117"/>
      <c r="X933" s="246"/>
      <c r="Y933" s="246"/>
      <c r="Z933" s="246"/>
      <c r="AA933" s="160"/>
      <c r="AB933" s="246"/>
      <c r="AC933" s="160"/>
      <c r="AD933" s="246"/>
      <c r="AE933" s="160"/>
      <c r="AF933" s="246"/>
      <c r="AG933" s="160"/>
      <c r="AH933" s="246"/>
      <c r="AI933" s="160"/>
      <c r="AJ933" s="246"/>
      <c r="AK933" s="246"/>
      <c r="AL933" s="246"/>
      <c r="AM933" s="246"/>
      <c r="AN933" s="246"/>
      <c r="AO933" s="246"/>
      <c r="AP933" s="246"/>
      <c r="AQ933" s="246"/>
      <c r="AR933" s="246"/>
      <c r="AS933" s="246"/>
      <c r="AT933" s="246"/>
      <c r="AU933" s="246"/>
      <c r="AV933" s="246"/>
      <c r="AW933" s="160"/>
      <c r="AX933" s="160"/>
      <c r="AY933" s="247"/>
      <c r="AZ933" s="248"/>
      <c r="BA933" s="248"/>
      <c r="BB933" s="248"/>
      <c r="BC933" s="248"/>
      <c r="BD933" s="3"/>
    </row>
    <row r="934" spans="1:56" ht="15.75" hidden="1" customHeight="1" outlineLevel="1">
      <c r="A934" s="63">
        <v>924</v>
      </c>
      <c r="B934" s="95" t="s">
        <v>555</v>
      </c>
      <c r="C934" s="116"/>
      <c r="D934" s="160"/>
      <c r="E934" s="117"/>
      <c r="F934" s="115"/>
      <c r="G934" s="171"/>
      <c r="H934" s="115"/>
      <c r="I934" s="118"/>
      <c r="J934" s="119"/>
      <c r="K934" s="120"/>
      <c r="L934" s="261"/>
      <c r="M934" s="262"/>
      <c r="N934" s="263"/>
      <c r="O934" s="264"/>
      <c r="P934" s="262"/>
      <c r="Q934" s="262"/>
      <c r="R934" s="262"/>
      <c r="S934" s="262"/>
      <c r="T934" s="262"/>
      <c r="U934" s="262"/>
      <c r="V934" s="262"/>
      <c r="W934" s="117"/>
      <c r="X934" s="246"/>
      <c r="Y934" s="246"/>
      <c r="Z934" s="246"/>
      <c r="AA934" s="160"/>
      <c r="AB934" s="246"/>
      <c r="AC934" s="160"/>
      <c r="AD934" s="246"/>
      <c r="AE934" s="160"/>
      <c r="AF934" s="246"/>
      <c r="AG934" s="160"/>
      <c r="AH934" s="246"/>
      <c r="AI934" s="160"/>
      <c r="AJ934" s="246"/>
      <c r="AK934" s="246"/>
      <c r="AL934" s="246"/>
      <c r="AM934" s="246"/>
      <c r="AN934" s="246"/>
      <c r="AO934" s="246"/>
      <c r="AP934" s="246"/>
      <c r="AQ934" s="246"/>
      <c r="AR934" s="246"/>
      <c r="AS934" s="246"/>
      <c r="AT934" s="246"/>
      <c r="AU934" s="246"/>
      <c r="AV934" s="246"/>
      <c r="AW934" s="160"/>
      <c r="AX934" s="160"/>
      <c r="AY934" s="247"/>
      <c r="AZ934" s="248"/>
      <c r="BA934" s="248"/>
      <c r="BB934" s="248"/>
      <c r="BC934" s="248"/>
      <c r="BD934" s="3"/>
    </row>
    <row r="935" spans="1:56" ht="15.75" hidden="1" customHeight="1" outlineLevel="1">
      <c r="A935" s="63">
        <v>925</v>
      </c>
      <c r="B935" s="95" t="s">
        <v>556</v>
      </c>
      <c r="C935" s="116"/>
      <c r="D935" s="160"/>
      <c r="E935" s="117"/>
      <c r="F935" s="115"/>
      <c r="G935" s="171"/>
      <c r="H935" s="115"/>
      <c r="I935" s="118"/>
      <c r="J935" s="119"/>
      <c r="K935" s="120"/>
      <c r="L935" s="261"/>
      <c r="M935" s="262"/>
      <c r="N935" s="263"/>
      <c r="O935" s="264"/>
      <c r="P935" s="262"/>
      <c r="Q935" s="262"/>
      <c r="R935" s="262"/>
      <c r="S935" s="262"/>
      <c r="T935" s="262"/>
      <c r="U935" s="262"/>
      <c r="V935" s="262"/>
      <c r="W935" s="117"/>
      <c r="X935" s="246"/>
      <c r="Y935" s="246"/>
      <c r="Z935" s="246"/>
      <c r="AA935" s="160"/>
      <c r="AB935" s="246"/>
      <c r="AC935" s="160"/>
      <c r="AD935" s="246"/>
      <c r="AE935" s="160"/>
      <c r="AF935" s="246"/>
      <c r="AG935" s="160"/>
      <c r="AH935" s="246"/>
      <c r="AI935" s="160"/>
      <c r="AJ935" s="246"/>
      <c r="AK935" s="246"/>
      <c r="AL935" s="246"/>
      <c r="AM935" s="246"/>
      <c r="AN935" s="246"/>
      <c r="AO935" s="246"/>
      <c r="AP935" s="246"/>
      <c r="AQ935" s="246"/>
      <c r="AR935" s="246"/>
      <c r="AS935" s="246"/>
      <c r="AT935" s="246"/>
      <c r="AU935" s="246"/>
      <c r="AV935" s="246"/>
      <c r="AW935" s="160"/>
      <c r="AX935" s="160"/>
      <c r="AY935" s="247"/>
      <c r="AZ935" s="248"/>
      <c r="BA935" s="248"/>
      <c r="BB935" s="248"/>
      <c r="BC935" s="248"/>
      <c r="BD935" s="3"/>
    </row>
    <row r="936" spans="1:56" ht="15.75" hidden="1" customHeight="1" outlineLevel="1">
      <c r="A936" s="63">
        <v>926</v>
      </c>
      <c r="B936" s="95" t="s">
        <v>558</v>
      </c>
      <c r="C936" s="116"/>
      <c r="D936" s="160"/>
      <c r="E936" s="117"/>
      <c r="F936" s="115"/>
      <c r="G936" s="171"/>
      <c r="H936" s="115"/>
      <c r="I936" s="118"/>
      <c r="J936" s="119"/>
      <c r="K936" s="120"/>
      <c r="L936" s="261"/>
      <c r="M936" s="262"/>
      <c r="N936" s="263"/>
      <c r="O936" s="264"/>
      <c r="P936" s="262"/>
      <c r="Q936" s="262"/>
      <c r="R936" s="262"/>
      <c r="S936" s="262"/>
      <c r="T936" s="262"/>
      <c r="U936" s="262"/>
      <c r="V936" s="262"/>
      <c r="W936" s="117"/>
      <c r="X936" s="246"/>
      <c r="Y936" s="246"/>
      <c r="Z936" s="246"/>
      <c r="AA936" s="160"/>
      <c r="AB936" s="246"/>
      <c r="AC936" s="160"/>
      <c r="AD936" s="246"/>
      <c r="AE936" s="160"/>
      <c r="AF936" s="246"/>
      <c r="AG936" s="160"/>
      <c r="AH936" s="246"/>
      <c r="AI936" s="160"/>
      <c r="AJ936" s="246"/>
      <c r="AK936" s="246"/>
      <c r="AL936" s="246"/>
      <c r="AM936" s="246"/>
      <c r="AN936" s="246"/>
      <c r="AO936" s="246"/>
      <c r="AP936" s="246"/>
      <c r="AQ936" s="246"/>
      <c r="AR936" s="246"/>
      <c r="AS936" s="246"/>
      <c r="AT936" s="246"/>
      <c r="AU936" s="246"/>
      <c r="AV936" s="246"/>
      <c r="AW936" s="160"/>
      <c r="AX936" s="160"/>
      <c r="AY936" s="247"/>
      <c r="AZ936" s="248"/>
      <c r="BA936" s="248"/>
      <c r="BB936" s="248"/>
      <c r="BC936" s="248"/>
      <c r="BD936" s="3"/>
    </row>
    <row r="937" spans="1:56" ht="15.75" hidden="1" customHeight="1" outlineLevel="1">
      <c r="A937" s="63">
        <v>927</v>
      </c>
      <c r="B937" s="95" t="s">
        <v>560</v>
      </c>
      <c r="C937" s="116"/>
      <c r="D937" s="160"/>
      <c r="E937" s="117"/>
      <c r="F937" s="115"/>
      <c r="G937" s="171"/>
      <c r="H937" s="115"/>
      <c r="I937" s="118"/>
      <c r="J937" s="119"/>
      <c r="K937" s="120"/>
      <c r="L937" s="261"/>
      <c r="M937" s="262"/>
      <c r="N937" s="263"/>
      <c r="O937" s="264"/>
      <c r="P937" s="262"/>
      <c r="Q937" s="262"/>
      <c r="R937" s="262"/>
      <c r="S937" s="262"/>
      <c r="T937" s="262"/>
      <c r="U937" s="262"/>
      <c r="V937" s="262"/>
      <c r="W937" s="117"/>
      <c r="X937" s="246"/>
      <c r="Y937" s="246"/>
      <c r="Z937" s="246"/>
      <c r="AA937" s="160"/>
      <c r="AB937" s="246"/>
      <c r="AC937" s="160"/>
      <c r="AD937" s="246"/>
      <c r="AE937" s="160"/>
      <c r="AF937" s="246"/>
      <c r="AG937" s="160"/>
      <c r="AH937" s="246"/>
      <c r="AI937" s="160"/>
      <c r="AJ937" s="246"/>
      <c r="AK937" s="246"/>
      <c r="AL937" s="246"/>
      <c r="AM937" s="246"/>
      <c r="AN937" s="246"/>
      <c r="AO937" s="246"/>
      <c r="AP937" s="246"/>
      <c r="AQ937" s="246"/>
      <c r="AR937" s="246"/>
      <c r="AS937" s="246"/>
      <c r="AT937" s="246"/>
      <c r="AU937" s="246"/>
      <c r="AV937" s="246"/>
      <c r="AW937" s="160"/>
      <c r="AX937" s="160"/>
      <c r="AY937" s="247"/>
      <c r="AZ937" s="248"/>
      <c r="BA937" s="248"/>
      <c r="BB937" s="248"/>
      <c r="BC937" s="248"/>
      <c r="BD937" s="3"/>
    </row>
    <row r="938" spans="1:56" ht="15.75" hidden="1" customHeight="1" outlineLevel="1">
      <c r="A938" s="63">
        <v>928</v>
      </c>
      <c r="B938" s="95" t="s">
        <v>561</v>
      </c>
      <c r="C938" s="116"/>
      <c r="D938" s="160"/>
      <c r="E938" s="117"/>
      <c r="F938" s="115"/>
      <c r="G938" s="171"/>
      <c r="H938" s="115"/>
      <c r="I938" s="118"/>
      <c r="J938" s="119"/>
      <c r="K938" s="120"/>
      <c r="L938" s="261"/>
      <c r="M938" s="262"/>
      <c r="N938" s="263"/>
      <c r="O938" s="264"/>
      <c r="P938" s="262"/>
      <c r="Q938" s="262"/>
      <c r="R938" s="262"/>
      <c r="S938" s="262"/>
      <c r="T938" s="262"/>
      <c r="U938" s="262"/>
      <c r="V938" s="262"/>
      <c r="W938" s="117"/>
      <c r="X938" s="246"/>
      <c r="Y938" s="246"/>
      <c r="Z938" s="246"/>
      <c r="AA938" s="160"/>
      <c r="AB938" s="246"/>
      <c r="AC938" s="160"/>
      <c r="AD938" s="246"/>
      <c r="AE938" s="160"/>
      <c r="AF938" s="246"/>
      <c r="AG938" s="160"/>
      <c r="AH938" s="246"/>
      <c r="AI938" s="160"/>
      <c r="AJ938" s="246"/>
      <c r="AK938" s="246"/>
      <c r="AL938" s="246"/>
      <c r="AM938" s="246"/>
      <c r="AN938" s="246"/>
      <c r="AO938" s="246"/>
      <c r="AP938" s="246"/>
      <c r="AQ938" s="246"/>
      <c r="AR938" s="246"/>
      <c r="AS938" s="246"/>
      <c r="AT938" s="246"/>
      <c r="AU938" s="246"/>
      <c r="AV938" s="246"/>
      <c r="AW938" s="160"/>
      <c r="AX938" s="160"/>
      <c r="AY938" s="247"/>
      <c r="AZ938" s="248"/>
      <c r="BA938" s="248"/>
      <c r="BB938" s="248"/>
      <c r="BC938" s="248"/>
      <c r="BD938" s="3"/>
    </row>
    <row r="939" spans="1:56" ht="15.75" hidden="1" customHeight="1" outlineLevel="1">
      <c r="A939" s="63">
        <v>929</v>
      </c>
      <c r="B939" s="95" t="s">
        <v>562</v>
      </c>
      <c r="C939" s="116"/>
      <c r="D939" s="160"/>
      <c r="E939" s="117"/>
      <c r="F939" s="115"/>
      <c r="G939" s="171"/>
      <c r="H939" s="115"/>
      <c r="I939" s="118"/>
      <c r="J939" s="119"/>
      <c r="K939" s="120"/>
      <c r="L939" s="261"/>
      <c r="M939" s="262"/>
      <c r="N939" s="263"/>
      <c r="O939" s="264"/>
      <c r="P939" s="262"/>
      <c r="Q939" s="262"/>
      <c r="R939" s="262"/>
      <c r="S939" s="262"/>
      <c r="T939" s="262"/>
      <c r="U939" s="262"/>
      <c r="V939" s="262"/>
      <c r="W939" s="117"/>
      <c r="X939" s="246"/>
      <c r="Y939" s="246"/>
      <c r="Z939" s="246"/>
      <c r="AA939" s="160"/>
      <c r="AB939" s="246"/>
      <c r="AC939" s="160"/>
      <c r="AD939" s="246"/>
      <c r="AE939" s="160"/>
      <c r="AF939" s="246"/>
      <c r="AG939" s="160"/>
      <c r="AH939" s="246"/>
      <c r="AI939" s="160"/>
      <c r="AJ939" s="246"/>
      <c r="AK939" s="246"/>
      <c r="AL939" s="246"/>
      <c r="AM939" s="246"/>
      <c r="AN939" s="246"/>
      <c r="AO939" s="246"/>
      <c r="AP939" s="246"/>
      <c r="AQ939" s="246"/>
      <c r="AR939" s="246"/>
      <c r="AS939" s="246"/>
      <c r="AT939" s="246"/>
      <c r="AU939" s="246"/>
      <c r="AV939" s="246"/>
      <c r="AW939" s="160"/>
      <c r="AX939" s="160"/>
      <c r="AY939" s="247"/>
      <c r="AZ939" s="248"/>
      <c r="BA939" s="248"/>
      <c r="BB939" s="248"/>
      <c r="BC939" s="248"/>
      <c r="BD939" s="3"/>
    </row>
    <row r="940" spans="1:56" ht="15.75" hidden="1" customHeight="1" outlineLevel="1">
      <c r="A940" s="63">
        <v>930</v>
      </c>
      <c r="B940" s="95" t="s">
        <v>563</v>
      </c>
      <c r="C940" s="116"/>
      <c r="D940" s="160"/>
      <c r="E940" s="117"/>
      <c r="F940" s="115"/>
      <c r="G940" s="171"/>
      <c r="H940" s="115"/>
      <c r="I940" s="118"/>
      <c r="J940" s="119"/>
      <c r="K940" s="120"/>
      <c r="L940" s="261"/>
      <c r="M940" s="262"/>
      <c r="N940" s="263"/>
      <c r="O940" s="264"/>
      <c r="P940" s="262"/>
      <c r="Q940" s="262"/>
      <c r="R940" s="262"/>
      <c r="S940" s="262"/>
      <c r="T940" s="262"/>
      <c r="U940" s="262"/>
      <c r="V940" s="262"/>
      <c r="W940" s="117"/>
      <c r="X940" s="246"/>
      <c r="Y940" s="246"/>
      <c r="Z940" s="246"/>
      <c r="AA940" s="160"/>
      <c r="AB940" s="246"/>
      <c r="AC940" s="160"/>
      <c r="AD940" s="246"/>
      <c r="AE940" s="160"/>
      <c r="AF940" s="246"/>
      <c r="AG940" s="160"/>
      <c r="AH940" s="246"/>
      <c r="AI940" s="160"/>
      <c r="AJ940" s="246"/>
      <c r="AK940" s="246"/>
      <c r="AL940" s="246"/>
      <c r="AM940" s="246"/>
      <c r="AN940" s="246"/>
      <c r="AO940" s="246"/>
      <c r="AP940" s="246"/>
      <c r="AQ940" s="246"/>
      <c r="AR940" s="246"/>
      <c r="AS940" s="246"/>
      <c r="AT940" s="246"/>
      <c r="AU940" s="246"/>
      <c r="AV940" s="246"/>
      <c r="AW940" s="160"/>
      <c r="AX940" s="160"/>
      <c r="AY940" s="247"/>
      <c r="AZ940" s="248"/>
      <c r="BA940" s="248"/>
      <c r="BB940" s="248"/>
      <c r="BC940" s="248"/>
      <c r="BD940" s="3"/>
    </row>
    <row r="941" spans="1:56" ht="15.75" hidden="1" customHeight="1" outlineLevel="1">
      <c r="A941" s="63">
        <v>931</v>
      </c>
      <c r="B941" s="95" t="s">
        <v>564</v>
      </c>
      <c r="C941" s="116"/>
      <c r="D941" s="160"/>
      <c r="E941" s="117"/>
      <c r="F941" s="115"/>
      <c r="G941" s="171"/>
      <c r="H941" s="115"/>
      <c r="I941" s="118"/>
      <c r="J941" s="119"/>
      <c r="K941" s="120"/>
      <c r="L941" s="261"/>
      <c r="M941" s="262"/>
      <c r="N941" s="263"/>
      <c r="O941" s="264"/>
      <c r="P941" s="262"/>
      <c r="Q941" s="262"/>
      <c r="R941" s="262"/>
      <c r="S941" s="262"/>
      <c r="T941" s="262"/>
      <c r="U941" s="262"/>
      <c r="V941" s="262"/>
      <c r="W941" s="117"/>
      <c r="X941" s="246"/>
      <c r="Y941" s="246"/>
      <c r="Z941" s="246"/>
      <c r="AA941" s="160"/>
      <c r="AB941" s="246"/>
      <c r="AC941" s="160"/>
      <c r="AD941" s="246"/>
      <c r="AE941" s="160"/>
      <c r="AF941" s="246"/>
      <c r="AG941" s="160"/>
      <c r="AH941" s="246"/>
      <c r="AI941" s="160"/>
      <c r="AJ941" s="246"/>
      <c r="AK941" s="246"/>
      <c r="AL941" s="246"/>
      <c r="AM941" s="246"/>
      <c r="AN941" s="246"/>
      <c r="AO941" s="246"/>
      <c r="AP941" s="246"/>
      <c r="AQ941" s="246"/>
      <c r="AR941" s="246"/>
      <c r="AS941" s="246"/>
      <c r="AT941" s="246"/>
      <c r="AU941" s="246"/>
      <c r="AV941" s="246"/>
      <c r="AW941" s="160"/>
      <c r="AX941" s="160"/>
      <c r="AY941" s="247"/>
      <c r="AZ941" s="248"/>
      <c r="BA941" s="248"/>
      <c r="BB941" s="248"/>
      <c r="BC941" s="248"/>
      <c r="BD941" s="3"/>
    </row>
    <row r="942" spans="1:56" ht="15.75" hidden="1" customHeight="1" outlineLevel="1">
      <c r="A942" s="63">
        <v>932</v>
      </c>
      <c r="B942" s="95" t="s">
        <v>565</v>
      </c>
      <c r="C942" s="116"/>
      <c r="D942" s="160"/>
      <c r="E942" s="117"/>
      <c r="F942" s="115"/>
      <c r="G942" s="171"/>
      <c r="H942" s="115"/>
      <c r="I942" s="118"/>
      <c r="J942" s="119"/>
      <c r="K942" s="120"/>
      <c r="L942" s="261"/>
      <c r="M942" s="262"/>
      <c r="N942" s="263"/>
      <c r="O942" s="264"/>
      <c r="P942" s="262"/>
      <c r="Q942" s="262"/>
      <c r="R942" s="262"/>
      <c r="S942" s="262"/>
      <c r="T942" s="262"/>
      <c r="U942" s="262"/>
      <c r="V942" s="262"/>
      <c r="W942" s="117"/>
      <c r="X942" s="246"/>
      <c r="Y942" s="246"/>
      <c r="Z942" s="246"/>
      <c r="AA942" s="160"/>
      <c r="AB942" s="246"/>
      <c r="AC942" s="160"/>
      <c r="AD942" s="246"/>
      <c r="AE942" s="160"/>
      <c r="AF942" s="246"/>
      <c r="AG942" s="160"/>
      <c r="AH942" s="246"/>
      <c r="AI942" s="160"/>
      <c r="AJ942" s="246"/>
      <c r="AK942" s="246"/>
      <c r="AL942" s="246"/>
      <c r="AM942" s="246"/>
      <c r="AN942" s="246"/>
      <c r="AO942" s="246"/>
      <c r="AP942" s="246"/>
      <c r="AQ942" s="246"/>
      <c r="AR942" s="246"/>
      <c r="AS942" s="246"/>
      <c r="AT942" s="246"/>
      <c r="AU942" s="246"/>
      <c r="AV942" s="246"/>
      <c r="AW942" s="160"/>
      <c r="AX942" s="160"/>
      <c r="AY942" s="247"/>
      <c r="AZ942" s="248"/>
      <c r="BA942" s="248"/>
      <c r="BB942" s="248"/>
      <c r="BC942" s="248"/>
      <c r="BD942" s="3"/>
    </row>
    <row r="943" spans="1:56" ht="15.75" hidden="1" customHeight="1" outlineLevel="1">
      <c r="A943" s="63">
        <v>933</v>
      </c>
      <c r="B943" s="95" t="s">
        <v>566</v>
      </c>
      <c r="C943" s="116"/>
      <c r="D943" s="160"/>
      <c r="E943" s="117"/>
      <c r="F943" s="115"/>
      <c r="G943" s="171"/>
      <c r="H943" s="115"/>
      <c r="I943" s="118"/>
      <c r="J943" s="119"/>
      <c r="K943" s="120"/>
      <c r="L943" s="261"/>
      <c r="M943" s="262"/>
      <c r="N943" s="263"/>
      <c r="O943" s="264"/>
      <c r="P943" s="262"/>
      <c r="Q943" s="262"/>
      <c r="R943" s="262"/>
      <c r="S943" s="262"/>
      <c r="T943" s="262"/>
      <c r="U943" s="262"/>
      <c r="V943" s="262"/>
      <c r="W943" s="117"/>
      <c r="X943" s="246"/>
      <c r="Y943" s="246"/>
      <c r="Z943" s="246"/>
      <c r="AA943" s="160"/>
      <c r="AB943" s="246"/>
      <c r="AC943" s="160"/>
      <c r="AD943" s="246"/>
      <c r="AE943" s="160"/>
      <c r="AF943" s="246"/>
      <c r="AG943" s="160"/>
      <c r="AH943" s="246"/>
      <c r="AI943" s="160"/>
      <c r="AJ943" s="246"/>
      <c r="AK943" s="246"/>
      <c r="AL943" s="246"/>
      <c r="AM943" s="246"/>
      <c r="AN943" s="246"/>
      <c r="AO943" s="246"/>
      <c r="AP943" s="246"/>
      <c r="AQ943" s="246"/>
      <c r="AR943" s="246"/>
      <c r="AS943" s="246"/>
      <c r="AT943" s="246"/>
      <c r="AU943" s="246"/>
      <c r="AV943" s="246"/>
      <c r="AW943" s="160"/>
      <c r="AX943" s="160"/>
      <c r="AY943" s="247"/>
      <c r="AZ943" s="248"/>
      <c r="BA943" s="248"/>
      <c r="BB943" s="248"/>
      <c r="BC943" s="248"/>
      <c r="BD943" s="3"/>
    </row>
    <row r="944" spans="1:56" ht="15.75" hidden="1" customHeight="1" outlineLevel="1">
      <c r="A944" s="63">
        <v>934</v>
      </c>
      <c r="B944" s="95" t="s">
        <v>567</v>
      </c>
      <c r="C944" s="116"/>
      <c r="D944" s="160"/>
      <c r="E944" s="117"/>
      <c r="F944" s="115"/>
      <c r="G944" s="171"/>
      <c r="H944" s="115"/>
      <c r="I944" s="118"/>
      <c r="J944" s="119"/>
      <c r="K944" s="120"/>
      <c r="L944" s="261"/>
      <c r="M944" s="262"/>
      <c r="N944" s="263"/>
      <c r="O944" s="264"/>
      <c r="P944" s="262"/>
      <c r="Q944" s="262"/>
      <c r="R944" s="262"/>
      <c r="S944" s="262"/>
      <c r="T944" s="262"/>
      <c r="U944" s="262"/>
      <c r="V944" s="262"/>
      <c r="W944" s="117"/>
      <c r="X944" s="246"/>
      <c r="Y944" s="246"/>
      <c r="Z944" s="246"/>
      <c r="AA944" s="160"/>
      <c r="AB944" s="246"/>
      <c r="AC944" s="160"/>
      <c r="AD944" s="246"/>
      <c r="AE944" s="160"/>
      <c r="AF944" s="246"/>
      <c r="AG944" s="160"/>
      <c r="AH944" s="246"/>
      <c r="AI944" s="160"/>
      <c r="AJ944" s="246"/>
      <c r="AK944" s="246"/>
      <c r="AL944" s="246"/>
      <c r="AM944" s="246"/>
      <c r="AN944" s="246"/>
      <c r="AO944" s="246"/>
      <c r="AP944" s="246"/>
      <c r="AQ944" s="246"/>
      <c r="AR944" s="246"/>
      <c r="AS944" s="246"/>
      <c r="AT944" s="246"/>
      <c r="AU944" s="246"/>
      <c r="AV944" s="246"/>
      <c r="AW944" s="160"/>
      <c r="AX944" s="160"/>
      <c r="AY944" s="247"/>
      <c r="AZ944" s="248"/>
      <c r="BA944" s="248"/>
      <c r="BB944" s="248"/>
      <c r="BC944" s="248"/>
      <c r="BD944" s="3"/>
    </row>
    <row r="945" spans="1:56" ht="15.75" hidden="1" customHeight="1" outlineLevel="1">
      <c r="A945" s="63">
        <v>935</v>
      </c>
      <c r="B945" s="95" t="s">
        <v>568</v>
      </c>
      <c r="C945" s="116"/>
      <c r="D945" s="160"/>
      <c r="E945" s="117"/>
      <c r="F945" s="115"/>
      <c r="G945" s="171"/>
      <c r="H945" s="115"/>
      <c r="I945" s="118"/>
      <c r="J945" s="119"/>
      <c r="K945" s="120"/>
      <c r="L945" s="261"/>
      <c r="M945" s="262"/>
      <c r="N945" s="263"/>
      <c r="O945" s="264"/>
      <c r="P945" s="262"/>
      <c r="Q945" s="262"/>
      <c r="R945" s="262"/>
      <c r="S945" s="262"/>
      <c r="T945" s="262"/>
      <c r="U945" s="262"/>
      <c r="V945" s="262"/>
      <c r="W945" s="117"/>
      <c r="X945" s="246"/>
      <c r="Y945" s="246"/>
      <c r="Z945" s="246"/>
      <c r="AA945" s="160"/>
      <c r="AB945" s="246"/>
      <c r="AC945" s="160"/>
      <c r="AD945" s="246"/>
      <c r="AE945" s="160"/>
      <c r="AF945" s="246"/>
      <c r="AG945" s="160"/>
      <c r="AH945" s="246"/>
      <c r="AI945" s="160"/>
      <c r="AJ945" s="246"/>
      <c r="AK945" s="246"/>
      <c r="AL945" s="246"/>
      <c r="AM945" s="246"/>
      <c r="AN945" s="246"/>
      <c r="AO945" s="246"/>
      <c r="AP945" s="246"/>
      <c r="AQ945" s="246"/>
      <c r="AR945" s="246"/>
      <c r="AS945" s="246"/>
      <c r="AT945" s="246"/>
      <c r="AU945" s="246"/>
      <c r="AV945" s="246"/>
      <c r="AW945" s="160"/>
      <c r="AX945" s="160"/>
      <c r="AY945" s="247"/>
      <c r="AZ945" s="248"/>
      <c r="BA945" s="248"/>
      <c r="BB945" s="248"/>
      <c r="BC945" s="248"/>
      <c r="BD945" s="3"/>
    </row>
    <row r="946" spans="1:56" ht="15.75" hidden="1" customHeight="1" outlineLevel="1">
      <c r="A946" s="63">
        <v>936</v>
      </c>
      <c r="B946" s="95" t="s">
        <v>569</v>
      </c>
      <c r="C946" s="116"/>
      <c r="D946" s="160"/>
      <c r="E946" s="117"/>
      <c r="F946" s="115"/>
      <c r="G946" s="171"/>
      <c r="H946" s="115"/>
      <c r="I946" s="118"/>
      <c r="J946" s="119"/>
      <c r="K946" s="120"/>
      <c r="L946" s="261"/>
      <c r="M946" s="262"/>
      <c r="N946" s="263"/>
      <c r="O946" s="264"/>
      <c r="P946" s="262"/>
      <c r="Q946" s="262"/>
      <c r="R946" s="262"/>
      <c r="S946" s="262"/>
      <c r="T946" s="262"/>
      <c r="U946" s="262"/>
      <c r="V946" s="262"/>
      <c r="W946" s="117"/>
      <c r="X946" s="246"/>
      <c r="Y946" s="246"/>
      <c r="Z946" s="246"/>
      <c r="AA946" s="160"/>
      <c r="AB946" s="246"/>
      <c r="AC946" s="160"/>
      <c r="AD946" s="246"/>
      <c r="AE946" s="160"/>
      <c r="AF946" s="246"/>
      <c r="AG946" s="160"/>
      <c r="AH946" s="246"/>
      <c r="AI946" s="160"/>
      <c r="AJ946" s="246"/>
      <c r="AK946" s="246"/>
      <c r="AL946" s="246"/>
      <c r="AM946" s="246"/>
      <c r="AN946" s="246"/>
      <c r="AO946" s="246"/>
      <c r="AP946" s="246"/>
      <c r="AQ946" s="246"/>
      <c r="AR946" s="246"/>
      <c r="AS946" s="246"/>
      <c r="AT946" s="246"/>
      <c r="AU946" s="246"/>
      <c r="AV946" s="246"/>
      <c r="AW946" s="160"/>
      <c r="AX946" s="160"/>
      <c r="AY946" s="247"/>
      <c r="AZ946" s="248"/>
      <c r="BA946" s="248"/>
      <c r="BB946" s="248"/>
      <c r="BC946" s="248"/>
      <c r="BD946" s="3"/>
    </row>
    <row r="947" spans="1:56" ht="15.75" hidden="1" customHeight="1" outlineLevel="1">
      <c r="A947" s="63">
        <v>937</v>
      </c>
      <c r="B947" s="95" t="s">
        <v>570</v>
      </c>
      <c r="C947" s="116"/>
      <c r="D947" s="160"/>
      <c r="E947" s="117"/>
      <c r="F947" s="115"/>
      <c r="G947" s="171"/>
      <c r="H947" s="115"/>
      <c r="I947" s="118"/>
      <c r="J947" s="119"/>
      <c r="K947" s="120"/>
      <c r="L947" s="261"/>
      <c r="M947" s="262"/>
      <c r="N947" s="263"/>
      <c r="O947" s="264"/>
      <c r="P947" s="262"/>
      <c r="Q947" s="262"/>
      <c r="R947" s="262"/>
      <c r="S947" s="262"/>
      <c r="T947" s="262"/>
      <c r="U947" s="262"/>
      <c r="V947" s="262"/>
      <c r="W947" s="117"/>
      <c r="X947" s="246"/>
      <c r="Y947" s="246"/>
      <c r="Z947" s="246"/>
      <c r="AA947" s="160"/>
      <c r="AB947" s="246"/>
      <c r="AC947" s="160"/>
      <c r="AD947" s="246"/>
      <c r="AE947" s="160"/>
      <c r="AF947" s="246"/>
      <c r="AG947" s="160"/>
      <c r="AH947" s="246"/>
      <c r="AI947" s="160"/>
      <c r="AJ947" s="246"/>
      <c r="AK947" s="246"/>
      <c r="AL947" s="246"/>
      <c r="AM947" s="246"/>
      <c r="AN947" s="246"/>
      <c r="AO947" s="246"/>
      <c r="AP947" s="246"/>
      <c r="AQ947" s="246"/>
      <c r="AR947" s="246"/>
      <c r="AS947" s="246"/>
      <c r="AT947" s="246"/>
      <c r="AU947" s="246"/>
      <c r="AV947" s="246"/>
      <c r="AW947" s="160"/>
      <c r="AX947" s="160"/>
      <c r="AY947" s="247"/>
      <c r="AZ947" s="248"/>
      <c r="BA947" s="248"/>
      <c r="BB947" s="248"/>
      <c r="BC947" s="248"/>
      <c r="BD947" s="3"/>
    </row>
    <row r="948" spans="1:56" ht="15.75" hidden="1" customHeight="1" outlineLevel="1">
      <c r="A948" s="63">
        <v>938</v>
      </c>
      <c r="B948" s="95" t="s">
        <v>571</v>
      </c>
      <c r="C948" s="116"/>
      <c r="D948" s="160"/>
      <c r="E948" s="117"/>
      <c r="F948" s="115"/>
      <c r="G948" s="171"/>
      <c r="H948" s="115"/>
      <c r="I948" s="118"/>
      <c r="J948" s="119"/>
      <c r="K948" s="120"/>
      <c r="L948" s="261"/>
      <c r="M948" s="262"/>
      <c r="N948" s="263"/>
      <c r="O948" s="264"/>
      <c r="P948" s="262"/>
      <c r="Q948" s="262"/>
      <c r="R948" s="262"/>
      <c r="S948" s="262"/>
      <c r="T948" s="262"/>
      <c r="U948" s="262"/>
      <c r="V948" s="262"/>
      <c r="W948" s="117"/>
      <c r="X948" s="246"/>
      <c r="Y948" s="246"/>
      <c r="Z948" s="246"/>
      <c r="AA948" s="160"/>
      <c r="AB948" s="246"/>
      <c r="AC948" s="160"/>
      <c r="AD948" s="246"/>
      <c r="AE948" s="160"/>
      <c r="AF948" s="246"/>
      <c r="AG948" s="160"/>
      <c r="AH948" s="246"/>
      <c r="AI948" s="160"/>
      <c r="AJ948" s="246"/>
      <c r="AK948" s="246"/>
      <c r="AL948" s="246"/>
      <c r="AM948" s="246"/>
      <c r="AN948" s="246"/>
      <c r="AO948" s="246"/>
      <c r="AP948" s="246"/>
      <c r="AQ948" s="246"/>
      <c r="AR948" s="246"/>
      <c r="AS948" s="246"/>
      <c r="AT948" s="246"/>
      <c r="AU948" s="246"/>
      <c r="AV948" s="246"/>
      <c r="AW948" s="160"/>
      <c r="AX948" s="160"/>
      <c r="AY948" s="247"/>
      <c r="AZ948" s="248"/>
      <c r="BA948" s="248"/>
      <c r="BB948" s="248"/>
      <c r="BC948" s="248"/>
      <c r="BD948" s="3"/>
    </row>
    <row r="949" spans="1:56" ht="15.75" hidden="1" customHeight="1" outlineLevel="1">
      <c r="A949" s="63">
        <v>939</v>
      </c>
      <c r="B949" s="95" t="s">
        <v>572</v>
      </c>
      <c r="C949" s="116"/>
      <c r="D949" s="160"/>
      <c r="E949" s="117"/>
      <c r="F949" s="115"/>
      <c r="G949" s="171"/>
      <c r="H949" s="115"/>
      <c r="I949" s="118"/>
      <c r="J949" s="119"/>
      <c r="K949" s="120"/>
      <c r="L949" s="261"/>
      <c r="M949" s="262"/>
      <c r="N949" s="263"/>
      <c r="O949" s="264"/>
      <c r="P949" s="262"/>
      <c r="Q949" s="262"/>
      <c r="R949" s="262"/>
      <c r="S949" s="262"/>
      <c r="T949" s="262"/>
      <c r="U949" s="262"/>
      <c r="V949" s="262"/>
      <c r="W949" s="117"/>
      <c r="X949" s="246"/>
      <c r="Y949" s="246"/>
      <c r="Z949" s="246"/>
      <c r="AA949" s="160"/>
      <c r="AB949" s="246"/>
      <c r="AC949" s="160"/>
      <c r="AD949" s="246"/>
      <c r="AE949" s="160"/>
      <c r="AF949" s="246"/>
      <c r="AG949" s="160"/>
      <c r="AH949" s="246"/>
      <c r="AI949" s="160"/>
      <c r="AJ949" s="246"/>
      <c r="AK949" s="246"/>
      <c r="AL949" s="246"/>
      <c r="AM949" s="246"/>
      <c r="AN949" s="246"/>
      <c r="AO949" s="246"/>
      <c r="AP949" s="246"/>
      <c r="AQ949" s="246"/>
      <c r="AR949" s="246"/>
      <c r="AS949" s="246"/>
      <c r="AT949" s="246"/>
      <c r="AU949" s="246"/>
      <c r="AV949" s="246"/>
      <c r="AW949" s="160"/>
      <c r="AX949" s="160"/>
      <c r="AY949" s="247"/>
      <c r="AZ949" s="248"/>
      <c r="BA949" s="248"/>
      <c r="BB949" s="248"/>
      <c r="BC949" s="248"/>
      <c r="BD949" s="3"/>
    </row>
    <row r="950" spans="1:56" ht="15.75" hidden="1" customHeight="1" outlineLevel="1">
      <c r="A950" s="63">
        <v>940</v>
      </c>
      <c r="B950" s="95" t="s">
        <v>573</v>
      </c>
      <c r="C950" s="116"/>
      <c r="D950" s="160"/>
      <c r="E950" s="117"/>
      <c r="F950" s="115"/>
      <c r="G950" s="171"/>
      <c r="H950" s="115"/>
      <c r="I950" s="118"/>
      <c r="J950" s="119"/>
      <c r="K950" s="120"/>
      <c r="L950" s="261"/>
      <c r="M950" s="262"/>
      <c r="N950" s="263"/>
      <c r="O950" s="264"/>
      <c r="P950" s="262"/>
      <c r="Q950" s="262"/>
      <c r="R950" s="262"/>
      <c r="S950" s="262"/>
      <c r="T950" s="262"/>
      <c r="U950" s="262"/>
      <c r="V950" s="262"/>
      <c r="W950" s="117"/>
      <c r="X950" s="246"/>
      <c r="Y950" s="246"/>
      <c r="Z950" s="246"/>
      <c r="AA950" s="160"/>
      <c r="AB950" s="246"/>
      <c r="AC950" s="160"/>
      <c r="AD950" s="246"/>
      <c r="AE950" s="160"/>
      <c r="AF950" s="246"/>
      <c r="AG950" s="160"/>
      <c r="AH950" s="246"/>
      <c r="AI950" s="160"/>
      <c r="AJ950" s="246"/>
      <c r="AK950" s="246"/>
      <c r="AL950" s="246"/>
      <c r="AM950" s="246"/>
      <c r="AN950" s="246"/>
      <c r="AO950" s="246"/>
      <c r="AP950" s="246"/>
      <c r="AQ950" s="246"/>
      <c r="AR950" s="246"/>
      <c r="AS950" s="246"/>
      <c r="AT950" s="246"/>
      <c r="AU950" s="246"/>
      <c r="AV950" s="246"/>
      <c r="AW950" s="160"/>
      <c r="AX950" s="160"/>
      <c r="AY950" s="247"/>
      <c r="AZ950" s="248"/>
      <c r="BA950" s="248"/>
      <c r="BB950" s="248"/>
      <c r="BC950" s="248"/>
      <c r="BD950" s="3"/>
    </row>
    <row r="951" spans="1:56" ht="15.75" hidden="1" customHeight="1" outlineLevel="1">
      <c r="A951" s="63">
        <v>941</v>
      </c>
      <c r="B951" s="95" t="s">
        <v>574</v>
      </c>
      <c r="C951" s="116"/>
      <c r="D951" s="160"/>
      <c r="E951" s="117"/>
      <c r="F951" s="115"/>
      <c r="G951" s="171"/>
      <c r="H951" s="115"/>
      <c r="I951" s="118"/>
      <c r="J951" s="119"/>
      <c r="K951" s="120"/>
      <c r="L951" s="261"/>
      <c r="M951" s="262"/>
      <c r="N951" s="263"/>
      <c r="O951" s="264"/>
      <c r="P951" s="262"/>
      <c r="Q951" s="262"/>
      <c r="R951" s="262"/>
      <c r="S951" s="262"/>
      <c r="T951" s="262"/>
      <c r="U951" s="262"/>
      <c r="V951" s="262"/>
      <c r="W951" s="117"/>
      <c r="X951" s="246"/>
      <c r="Y951" s="246"/>
      <c r="Z951" s="246"/>
      <c r="AA951" s="160"/>
      <c r="AB951" s="246"/>
      <c r="AC951" s="160"/>
      <c r="AD951" s="246"/>
      <c r="AE951" s="160"/>
      <c r="AF951" s="246"/>
      <c r="AG951" s="160"/>
      <c r="AH951" s="246"/>
      <c r="AI951" s="160"/>
      <c r="AJ951" s="246"/>
      <c r="AK951" s="246"/>
      <c r="AL951" s="246"/>
      <c r="AM951" s="246"/>
      <c r="AN951" s="246"/>
      <c r="AO951" s="246"/>
      <c r="AP951" s="246"/>
      <c r="AQ951" s="246"/>
      <c r="AR951" s="246"/>
      <c r="AS951" s="246"/>
      <c r="AT951" s="246"/>
      <c r="AU951" s="246"/>
      <c r="AV951" s="246"/>
      <c r="AW951" s="160"/>
      <c r="AX951" s="160"/>
      <c r="AY951" s="247"/>
      <c r="AZ951" s="248"/>
      <c r="BA951" s="248"/>
      <c r="BB951" s="248"/>
      <c r="BC951" s="248"/>
      <c r="BD951" s="3"/>
    </row>
    <row r="952" spans="1:56" ht="15.75" hidden="1" customHeight="1" outlineLevel="1">
      <c r="A952" s="63">
        <v>942</v>
      </c>
      <c r="B952" s="95" t="s">
        <v>575</v>
      </c>
      <c r="C952" s="116"/>
      <c r="D952" s="160"/>
      <c r="E952" s="117"/>
      <c r="F952" s="115"/>
      <c r="G952" s="171"/>
      <c r="H952" s="115"/>
      <c r="I952" s="118"/>
      <c r="J952" s="119"/>
      <c r="K952" s="120"/>
      <c r="L952" s="261"/>
      <c r="M952" s="262"/>
      <c r="N952" s="263"/>
      <c r="O952" s="264"/>
      <c r="P952" s="262"/>
      <c r="Q952" s="262"/>
      <c r="R952" s="262"/>
      <c r="S952" s="262"/>
      <c r="T952" s="262"/>
      <c r="U952" s="262"/>
      <c r="V952" s="262"/>
      <c r="W952" s="117"/>
      <c r="X952" s="246"/>
      <c r="Y952" s="246"/>
      <c r="Z952" s="246"/>
      <c r="AA952" s="160"/>
      <c r="AB952" s="246"/>
      <c r="AC952" s="160"/>
      <c r="AD952" s="246"/>
      <c r="AE952" s="160"/>
      <c r="AF952" s="246"/>
      <c r="AG952" s="160"/>
      <c r="AH952" s="246"/>
      <c r="AI952" s="160"/>
      <c r="AJ952" s="246"/>
      <c r="AK952" s="246"/>
      <c r="AL952" s="246"/>
      <c r="AM952" s="246"/>
      <c r="AN952" s="246"/>
      <c r="AO952" s="246"/>
      <c r="AP952" s="246"/>
      <c r="AQ952" s="246"/>
      <c r="AR952" s="246"/>
      <c r="AS952" s="246"/>
      <c r="AT952" s="246"/>
      <c r="AU952" s="246"/>
      <c r="AV952" s="246"/>
      <c r="AW952" s="160"/>
      <c r="AX952" s="160"/>
      <c r="AY952" s="247"/>
      <c r="AZ952" s="248"/>
      <c r="BA952" s="248"/>
      <c r="BB952" s="248"/>
      <c r="BC952" s="248"/>
      <c r="BD952" s="3"/>
    </row>
    <row r="953" spans="1:56" ht="15.75" hidden="1" customHeight="1" outlineLevel="1">
      <c r="A953" s="63">
        <v>943</v>
      </c>
      <c r="B953" s="95" t="s">
        <v>576</v>
      </c>
      <c r="C953" s="116"/>
      <c r="D953" s="160"/>
      <c r="E953" s="117"/>
      <c r="F953" s="115"/>
      <c r="G953" s="171"/>
      <c r="H953" s="115"/>
      <c r="I953" s="118"/>
      <c r="J953" s="119"/>
      <c r="K953" s="120"/>
      <c r="L953" s="261"/>
      <c r="M953" s="262"/>
      <c r="N953" s="263"/>
      <c r="O953" s="264"/>
      <c r="P953" s="262"/>
      <c r="Q953" s="262"/>
      <c r="R953" s="262"/>
      <c r="S953" s="262"/>
      <c r="T953" s="262"/>
      <c r="U953" s="262"/>
      <c r="V953" s="262"/>
      <c r="W953" s="117"/>
      <c r="X953" s="246"/>
      <c r="Y953" s="246"/>
      <c r="Z953" s="246"/>
      <c r="AA953" s="160"/>
      <c r="AB953" s="246"/>
      <c r="AC953" s="160"/>
      <c r="AD953" s="246"/>
      <c r="AE953" s="160"/>
      <c r="AF953" s="246"/>
      <c r="AG953" s="160"/>
      <c r="AH953" s="246"/>
      <c r="AI953" s="160"/>
      <c r="AJ953" s="246"/>
      <c r="AK953" s="246"/>
      <c r="AL953" s="246"/>
      <c r="AM953" s="246"/>
      <c r="AN953" s="246"/>
      <c r="AO953" s="246"/>
      <c r="AP953" s="246"/>
      <c r="AQ953" s="246"/>
      <c r="AR953" s="246"/>
      <c r="AS953" s="246"/>
      <c r="AT953" s="246"/>
      <c r="AU953" s="246"/>
      <c r="AV953" s="246"/>
      <c r="AW953" s="160"/>
      <c r="AX953" s="160"/>
      <c r="AY953" s="247"/>
      <c r="AZ953" s="248"/>
      <c r="BA953" s="248"/>
      <c r="BB953" s="248"/>
      <c r="BC953" s="248"/>
      <c r="BD953" s="3"/>
    </row>
    <row r="954" spans="1:56" ht="15.75" hidden="1" customHeight="1" outlineLevel="1">
      <c r="A954" s="63">
        <v>944</v>
      </c>
      <c r="B954" s="95" t="s">
        <v>577</v>
      </c>
      <c r="C954" s="116"/>
      <c r="D954" s="160"/>
      <c r="E954" s="117"/>
      <c r="F954" s="115"/>
      <c r="G954" s="171"/>
      <c r="H954" s="115"/>
      <c r="I954" s="118"/>
      <c r="J954" s="119"/>
      <c r="K954" s="120"/>
      <c r="L954" s="261"/>
      <c r="M954" s="262"/>
      <c r="N954" s="263"/>
      <c r="O954" s="264"/>
      <c r="P954" s="262"/>
      <c r="Q954" s="262"/>
      <c r="R954" s="262"/>
      <c r="S954" s="262"/>
      <c r="T954" s="262"/>
      <c r="U954" s="262"/>
      <c r="V954" s="262"/>
      <c r="W954" s="117"/>
      <c r="X954" s="246"/>
      <c r="Y954" s="246"/>
      <c r="Z954" s="246"/>
      <c r="AA954" s="160"/>
      <c r="AB954" s="246"/>
      <c r="AC954" s="160"/>
      <c r="AD954" s="246"/>
      <c r="AE954" s="160"/>
      <c r="AF954" s="246"/>
      <c r="AG954" s="160"/>
      <c r="AH954" s="246"/>
      <c r="AI954" s="160"/>
      <c r="AJ954" s="246"/>
      <c r="AK954" s="246"/>
      <c r="AL954" s="246"/>
      <c r="AM954" s="246"/>
      <c r="AN954" s="246"/>
      <c r="AO954" s="246"/>
      <c r="AP954" s="246"/>
      <c r="AQ954" s="246"/>
      <c r="AR954" s="246"/>
      <c r="AS954" s="246"/>
      <c r="AT954" s="246"/>
      <c r="AU954" s="246"/>
      <c r="AV954" s="246"/>
      <c r="AW954" s="160"/>
      <c r="AX954" s="160"/>
      <c r="AY954" s="247"/>
      <c r="AZ954" s="248"/>
      <c r="BA954" s="248"/>
      <c r="BB954" s="248"/>
      <c r="BC954" s="248"/>
      <c r="BD954" s="3"/>
    </row>
    <row r="955" spans="1:56" ht="15.75" hidden="1" customHeight="1" outlineLevel="1">
      <c r="A955" s="63">
        <v>945</v>
      </c>
      <c r="B955" s="95" t="s">
        <v>578</v>
      </c>
      <c r="C955" s="116"/>
      <c r="D955" s="160"/>
      <c r="E955" s="117"/>
      <c r="F955" s="115"/>
      <c r="G955" s="171"/>
      <c r="H955" s="115"/>
      <c r="I955" s="118"/>
      <c r="J955" s="119"/>
      <c r="K955" s="120"/>
      <c r="L955" s="261"/>
      <c r="M955" s="262"/>
      <c r="N955" s="263"/>
      <c r="O955" s="264"/>
      <c r="P955" s="262"/>
      <c r="Q955" s="262"/>
      <c r="R955" s="262"/>
      <c r="S955" s="262"/>
      <c r="T955" s="262"/>
      <c r="U955" s="262"/>
      <c r="V955" s="262"/>
      <c r="W955" s="117"/>
      <c r="X955" s="246"/>
      <c r="Y955" s="246"/>
      <c r="Z955" s="246"/>
      <c r="AA955" s="160"/>
      <c r="AB955" s="246"/>
      <c r="AC955" s="160"/>
      <c r="AD955" s="246"/>
      <c r="AE955" s="160"/>
      <c r="AF955" s="246"/>
      <c r="AG955" s="160"/>
      <c r="AH955" s="246"/>
      <c r="AI955" s="160"/>
      <c r="AJ955" s="246"/>
      <c r="AK955" s="246"/>
      <c r="AL955" s="246"/>
      <c r="AM955" s="246"/>
      <c r="AN955" s="246"/>
      <c r="AO955" s="246"/>
      <c r="AP955" s="246"/>
      <c r="AQ955" s="246"/>
      <c r="AR955" s="246"/>
      <c r="AS955" s="246"/>
      <c r="AT955" s="246"/>
      <c r="AU955" s="246"/>
      <c r="AV955" s="246"/>
      <c r="AW955" s="160"/>
      <c r="AX955" s="160"/>
      <c r="AY955" s="247"/>
      <c r="AZ955" s="248"/>
      <c r="BA955" s="248"/>
      <c r="BB955" s="248"/>
      <c r="BC955" s="248"/>
      <c r="BD955" s="3"/>
    </row>
    <row r="956" spans="1:56" ht="15.75" hidden="1" customHeight="1" outlineLevel="1">
      <c r="A956" s="63">
        <v>946</v>
      </c>
      <c r="B956" s="95" t="s">
        <v>579</v>
      </c>
      <c r="C956" s="116"/>
      <c r="D956" s="160"/>
      <c r="E956" s="117"/>
      <c r="F956" s="115"/>
      <c r="G956" s="171"/>
      <c r="H956" s="115"/>
      <c r="I956" s="118"/>
      <c r="J956" s="119"/>
      <c r="K956" s="120"/>
      <c r="L956" s="261"/>
      <c r="M956" s="262"/>
      <c r="N956" s="263"/>
      <c r="O956" s="264"/>
      <c r="P956" s="262"/>
      <c r="Q956" s="262"/>
      <c r="R956" s="262"/>
      <c r="S956" s="262"/>
      <c r="T956" s="262"/>
      <c r="U956" s="262"/>
      <c r="V956" s="262"/>
      <c r="W956" s="117"/>
      <c r="X956" s="246"/>
      <c r="Y956" s="246"/>
      <c r="Z956" s="246"/>
      <c r="AA956" s="160"/>
      <c r="AB956" s="246"/>
      <c r="AC956" s="160"/>
      <c r="AD956" s="246"/>
      <c r="AE956" s="160"/>
      <c r="AF956" s="246"/>
      <c r="AG956" s="160"/>
      <c r="AH956" s="246"/>
      <c r="AI956" s="160"/>
      <c r="AJ956" s="246"/>
      <c r="AK956" s="246"/>
      <c r="AL956" s="246"/>
      <c r="AM956" s="246"/>
      <c r="AN956" s="246"/>
      <c r="AO956" s="246"/>
      <c r="AP956" s="246"/>
      <c r="AQ956" s="246"/>
      <c r="AR956" s="246"/>
      <c r="AS956" s="246"/>
      <c r="AT956" s="246"/>
      <c r="AU956" s="246"/>
      <c r="AV956" s="246"/>
      <c r="AW956" s="160"/>
      <c r="AX956" s="160"/>
      <c r="AY956" s="247"/>
      <c r="AZ956" s="248"/>
      <c r="BA956" s="248"/>
      <c r="BB956" s="248"/>
      <c r="BC956" s="248"/>
      <c r="BD956" s="3"/>
    </row>
    <row r="957" spans="1:56" ht="15.75" hidden="1" customHeight="1" outlineLevel="1">
      <c r="A957" s="63">
        <v>947</v>
      </c>
      <c r="B957" s="95" t="s">
        <v>580</v>
      </c>
      <c r="C957" s="116"/>
      <c r="D957" s="160"/>
      <c r="E957" s="117"/>
      <c r="F957" s="115"/>
      <c r="G957" s="171"/>
      <c r="H957" s="115"/>
      <c r="I957" s="118"/>
      <c r="J957" s="119"/>
      <c r="K957" s="120"/>
      <c r="L957" s="261"/>
      <c r="M957" s="262"/>
      <c r="N957" s="263"/>
      <c r="O957" s="264"/>
      <c r="P957" s="262"/>
      <c r="Q957" s="262"/>
      <c r="R957" s="262"/>
      <c r="S957" s="262"/>
      <c r="T957" s="262"/>
      <c r="U957" s="262"/>
      <c r="V957" s="262"/>
      <c r="W957" s="117"/>
      <c r="X957" s="246"/>
      <c r="Y957" s="246"/>
      <c r="Z957" s="246"/>
      <c r="AA957" s="160"/>
      <c r="AB957" s="246"/>
      <c r="AC957" s="160"/>
      <c r="AD957" s="246"/>
      <c r="AE957" s="160"/>
      <c r="AF957" s="246"/>
      <c r="AG957" s="160"/>
      <c r="AH957" s="246"/>
      <c r="AI957" s="160"/>
      <c r="AJ957" s="246"/>
      <c r="AK957" s="246"/>
      <c r="AL957" s="246"/>
      <c r="AM957" s="246"/>
      <c r="AN957" s="246"/>
      <c r="AO957" s="246"/>
      <c r="AP957" s="246"/>
      <c r="AQ957" s="246"/>
      <c r="AR957" s="246"/>
      <c r="AS957" s="246"/>
      <c r="AT957" s="246"/>
      <c r="AU957" s="246"/>
      <c r="AV957" s="246"/>
      <c r="AW957" s="160"/>
      <c r="AX957" s="160"/>
      <c r="AY957" s="247"/>
      <c r="AZ957" s="248"/>
      <c r="BA957" s="248"/>
      <c r="BB957" s="248"/>
      <c r="BC957" s="248"/>
      <c r="BD957" s="3"/>
    </row>
    <row r="958" spans="1:56" ht="15.75" hidden="1" customHeight="1" outlineLevel="1">
      <c r="A958" s="63">
        <v>948</v>
      </c>
      <c r="B958" s="95" t="s">
        <v>581</v>
      </c>
      <c r="C958" s="116"/>
      <c r="D958" s="160"/>
      <c r="E958" s="117"/>
      <c r="F958" s="115"/>
      <c r="G958" s="171"/>
      <c r="H958" s="115"/>
      <c r="I958" s="118"/>
      <c r="J958" s="119"/>
      <c r="K958" s="120"/>
      <c r="L958" s="261"/>
      <c r="M958" s="262"/>
      <c r="N958" s="263"/>
      <c r="O958" s="264"/>
      <c r="P958" s="262"/>
      <c r="Q958" s="262"/>
      <c r="R958" s="262"/>
      <c r="S958" s="262"/>
      <c r="T958" s="262"/>
      <c r="U958" s="262"/>
      <c r="V958" s="262"/>
      <c r="W958" s="117"/>
      <c r="X958" s="246"/>
      <c r="Y958" s="246"/>
      <c r="Z958" s="246"/>
      <c r="AA958" s="160"/>
      <c r="AB958" s="246"/>
      <c r="AC958" s="160"/>
      <c r="AD958" s="246"/>
      <c r="AE958" s="160"/>
      <c r="AF958" s="246"/>
      <c r="AG958" s="160"/>
      <c r="AH958" s="246"/>
      <c r="AI958" s="160"/>
      <c r="AJ958" s="246"/>
      <c r="AK958" s="246"/>
      <c r="AL958" s="246"/>
      <c r="AM958" s="246"/>
      <c r="AN958" s="246"/>
      <c r="AO958" s="246"/>
      <c r="AP958" s="246"/>
      <c r="AQ958" s="246"/>
      <c r="AR958" s="246"/>
      <c r="AS958" s="246"/>
      <c r="AT958" s="246"/>
      <c r="AU958" s="246"/>
      <c r="AV958" s="246"/>
      <c r="AW958" s="160"/>
      <c r="AX958" s="160"/>
      <c r="AY958" s="247"/>
      <c r="AZ958" s="248"/>
      <c r="BA958" s="248"/>
      <c r="BB958" s="248"/>
      <c r="BC958" s="248"/>
      <c r="BD958" s="3"/>
    </row>
    <row r="959" spans="1:56" ht="15.75" hidden="1" customHeight="1" outlineLevel="1">
      <c r="A959" s="63">
        <v>949</v>
      </c>
      <c r="B959" s="95" t="s">
        <v>582</v>
      </c>
      <c r="C959" s="116"/>
      <c r="D959" s="160"/>
      <c r="E959" s="117"/>
      <c r="F959" s="115"/>
      <c r="G959" s="171"/>
      <c r="H959" s="115"/>
      <c r="I959" s="118"/>
      <c r="J959" s="119"/>
      <c r="K959" s="120"/>
      <c r="L959" s="261"/>
      <c r="M959" s="262"/>
      <c r="N959" s="263"/>
      <c r="O959" s="264"/>
      <c r="P959" s="262"/>
      <c r="Q959" s="262"/>
      <c r="R959" s="262"/>
      <c r="S959" s="262"/>
      <c r="T959" s="262"/>
      <c r="U959" s="262"/>
      <c r="V959" s="262"/>
      <c r="W959" s="117"/>
      <c r="X959" s="246"/>
      <c r="Y959" s="246"/>
      <c r="Z959" s="246"/>
      <c r="AA959" s="160"/>
      <c r="AB959" s="246"/>
      <c r="AC959" s="160"/>
      <c r="AD959" s="246"/>
      <c r="AE959" s="160"/>
      <c r="AF959" s="246"/>
      <c r="AG959" s="160"/>
      <c r="AH959" s="246"/>
      <c r="AI959" s="160"/>
      <c r="AJ959" s="246"/>
      <c r="AK959" s="246"/>
      <c r="AL959" s="246"/>
      <c r="AM959" s="246"/>
      <c r="AN959" s="246"/>
      <c r="AO959" s="246"/>
      <c r="AP959" s="246"/>
      <c r="AQ959" s="246"/>
      <c r="AR959" s="246"/>
      <c r="AS959" s="246"/>
      <c r="AT959" s="246"/>
      <c r="AU959" s="246"/>
      <c r="AV959" s="246"/>
      <c r="AW959" s="160"/>
      <c r="AX959" s="160"/>
      <c r="AY959" s="247"/>
      <c r="AZ959" s="248"/>
      <c r="BA959" s="248"/>
      <c r="BB959" s="248"/>
      <c r="BC959" s="248"/>
      <c r="BD959" s="3"/>
    </row>
    <row r="960" spans="1:56" ht="15.75" hidden="1" customHeight="1" outlineLevel="1">
      <c r="A960" s="63">
        <v>950</v>
      </c>
      <c r="B960" s="95" t="s">
        <v>583</v>
      </c>
      <c r="C960" s="116"/>
      <c r="D960" s="160"/>
      <c r="E960" s="117"/>
      <c r="F960" s="115"/>
      <c r="G960" s="171"/>
      <c r="H960" s="115"/>
      <c r="I960" s="118"/>
      <c r="J960" s="119"/>
      <c r="K960" s="120"/>
      <c r="L960" s="261"/>
      <c r="M960" s="262"/>
      <c r="N960" s="263"/>
      <c r="O960" s="264"/>
      <c r="P960" s="262"/>
      <c r="Q960" s="262"/>
      <c r="R960" s="262"/>
      <c r="S960" s="262"/>
      <c r="T960" s="262"/>
      <c r="U960" s="262"/>
      <c r="V960" s="262"/>
      <c r="W960" s="117"/>
      <c r="X960" s="246"/>
      <c r="Y960" s="246"/>
      <c r="Z960" s="246"/>
      <c r="AA960" s="160"/>
      <c r="AB960" s="246"/>
      <c r="AC960" s="160"/>
      <c r="AD960" s="246"/>
      <c r="AE960" s="160"/>
      <c r="AF960" s="246"/>
      <c r="AG960" s="160"/>
      <c r="AH960" s="246"/>
      <c r="AI960" s="160"/>
      <c r="AJ960" s="246"/>
      <c r="AK960" s="246"/>
      <c r="AL960" s="246"/>
      <c r="AM960" s="246"/>
      <c r="AN960" s="246"/>
      <c r="AO960" s="246"/>
      <c r="AP960" s="246"/>
      <c r="AQ960" s="246"/>
      <c r="AR960" s="246"/>
      <c r="AS960" s="246"/>
      <c r="AT960" s="246"/>
      <c r="AU960" s="246"/>
      <c r="AV960" s="246"/>
      <c r="AW960" s="160"/>
      <c r="AX960" s="160"/>
      <c r="AY960" s="247"/>
      <c r="AZ960" s="248"/>
      <c r="BA960" s="248"/>
      <c r="BB960" s="248"/>
      <c r="BC960" s="248"/>
      <c r="BD960" s="3"/>
    </row>
    <row r="961" spans="1:56" ht="15.75" hidden="1" customHeight="1" outlineLevel="1">
      <c r="A961" s="63">
        <v>951</v>
      </c>
      <c r="B961" s="95" t="s">
        <v>584</v>
      </c>
      <c r="C961" s="116"/>
      <c r="D961" s="160"/>
      <c r="E961" s="117"/>
      <c r="F961" s="115"/>
      <c r="G961" s="171"/>
      <c r="H961" s="115"/>
      <c r="I961" s="118"/>
      <c r="J961" s="119"/>
      <c r="K961" s="120"/>
      <c r="L961" s="261"/>
      <c r="M961" s="262"/>
      <c r="N961" s="263"/>
      <c r="O961" s="264"/>
      <c r="P961" s="262"/>
      <c r="Q961" s="262"/>
      <c r="R961" s="262"/>
      <c r="S961" s="262"/>
      <c r="T961" s="262"/>
      <c r="U961" s="262"/>
      <c r="V961" s="262"/>
      <c r="W961" s="117"/>
      <c r="X961" s="246"/>
      <c r="Y961" s="246"/>
      <c r="Z961" s="246"/>
      <c r="AA961" s="160"/>
      <c r="AB961" s="246"/>
      <c r="AC961" s="160"/>
      <c r="AD961" s="246"/>
      <c r="AE961" s="160"/>
      <c r="AF961" s="246"/>
      <c r="AG961" s="160"/>
      <c r="AH961" s="246"/>
      <c r="AI961" s="160"/>
      <c r="AJ961" s="246"/>
      <c r="AK961" s="246"/>
      <c r="AL961" s="246"/>
      <c r="AM961" s="246"/>
      <c r="AN961" s="246"/>
      <c r="AO961" s="246"/>
      <c r="AP961" s="246"/>
      <c r="AQ961" s="246"/>
      <c r="AR961" s="246"/>
      <c r="AS961" s="246"/>
      <c r="AT961" s="246"/>
      <c r="AU961" s="246"/>
      <c r="AV961" s="246"/>
      <c r="AW961" s="160"/>
      <c r="AX961" s="160"/>
      <c r="AY961" s="247"/>
      <c r="AZ961" s="248"/>
      <c r="BA961" s="248"/>
      <c r="BB961" s="248"/>
      <c r="BC961" s="248"/>
      <c r="BD961" s="3"/>
    </row>
    <row r="962" spans="1:56" ht="15.75" hidden="1" customHeight="1" outlineLevel="1">
      <c r="A962" s="63">
        <v>952</v>
      </c>
      <c r="B962" s="95" t="s">
        <v>585</v>
      </c>
      <c r="C962" s="116"/>
      <c r="D962" s="160"/>
      <c r="E962" s="117"/>
      <c r="F962" s="115"/>
      <c r="G962" s="171"/>
      <c r="H962" s="115"/>
      <c r="I962" s="118"/>
      <c r="J962" s="119"/>
      <c r="K962" s="120"/>
      <c r="L962" s="261"/>
      <c r="M962" s="262"/>
      <c r="N962" s="263"/>
      <c r="O962" s="264"/>
      <c r="P962" s="262"/>
      <c r="Q962" s="262"/>
      <c r="R962" s="262"/>
      <c r="S962" s="262"/>
      <c r="T962" s="262"/>
      <c r="U962" s="262"/>
      <c r="V962" s="262"/>
      <c r="W962" s="117"/>
      <c r="X962" s="246"/>
      <c r="Y962" s="246"/>
      <c r="Z962" s="246"/>
      <c r="AA962" s="160"/>
      <c r="AB962" s="246"/>
      <c r="AC962" s="160"/>
      <c r="AD962" s="246"/>
      <c r="AE962" s="160"/>
      <c r="AF962" s="246"/>
      <c r="AG962" s="160"/>
      <c r="AH962" s="246"/>
      <c r="AI962" s="160"/>
      <c r="AJ962" s="246"/>
      <c r="AK962" s="246"/>
      <c r="AL962" s="246"/>
      <c r="AM962" s="246"/>
      <c r="AN962" s="246"/>
      <c r="AO962" s="246"/>
      <c r="AP962" s="246"/>
      <c r="AQ962" s="246"/>
      <c r="AR962" s="246"/>
      <c r="AS962" s="246"/>
      <c r="AT962" s="246"/>
      <c r="AU962" s="246"/>
      <c r="AV962" s="246"/>
      <c r="AW962" s="160"/>
      <c r="AX962" s="160"/>
      <c r="AY962" s="247"/>
      <c r="AZ962" s="248"/>
      <c r="BA962" s="248"/>
      <c r="BB962" s="248"/>
      <c r="BC962" s="248"/>
      <c r="BD962" s="3"/>
    </row>
    <row r="963" spans="1:56" ht="15.75" hidden="1" customHeight="1" outlineLevel="1">
      <c r="A963" s="63">
        <v>953</v>
      </c>
      <c r="B963" s="95" t="s">
        <v>586</v>
      </c>
      <c r="C963" s="116"/>
      <c r="D963" s="160"/>
      <c r="E963" s="117"/>
      <c r="F963" s="115"/>
      <c r="G963" s="171"/>
      <c r="H963" s="115"/>
      <c r="I963" s="118"/>
      <c r="J963" s="119"/>
      <c r="K963" s="120"/>
      <c r="L963" s="261"/>
      <c r="M963" s="262"/>
      <c r="N963" s="263"/>
      <c r="O963" s="264"/>
      <c r="P963" s="262"/>
      <c r="Q963" s="262"/>
      <c r="R963" s="262"/>
      <c r="S963" s="262"/>
      <c r="T963" s="262"/>
      <c r="U963" s="262"/>
      <c r="V963" s="262"/>
      <c r="W963" s="117"/>
      <c r="X963" s="246"/>
      <c r="Y963" s="246"/>
      <c r="Z963" s="246"/>
      <c r="AA963" s="160"/>
      <c r="AB963" s="246"/>
      <c r="AC963" s="160"/>
      <c r="AD963" s="246"/>
      <c r="AE963" s="160"/>
      <c r="AF963" s="246"/>
      <c r="AG963" s="160"/>
      <c r="AH963" s="246"/>
      <c r="AI963" s="160"/>
      <c r="AJ963" s="246"/>
      <c r="AK963" s="246"/>
      <c r="AL963" s="246"/>
      <c r="AM963" s="246"/>
      <c r="AN963" s="246"/>
      <c r="AO963" s="246"/>
      <c r="AP963" s="246"/>
      <c r="AQ963" s="246"/>
      <c r="AR963" s="246"/>
      <c r="AS963" s="246"/>
      <c r="AT963" s="246"/>
      <c r="AU963" s="246"/>
      <c r="AV963" s="246"/>
      <c r="AW963" s="160"/>
      <c r="AX963" s="160"/>
      <c r="AY963" s="247"/>
      <c r="AZ963" s="248"/>
      <c r="BA963" s="248"/>
      <c r="BB963" s="248"/>
      <c r="BC963" s="248"/>
      <c r="BD963" s="3"/>
    </row>
    <row r="964" spans="1:56" ht="15.75" hidden="1" customHeight="1" outlineLevel="1">
      <c r="A964" s="63">
        <v>954</v>
      </c>
      <c r="B964" s="95" t="s">
        <v>587</v>
      </c>
      <c r="C964" s="116"/>
      <c r="D964" s="160"/>
      <c r="E964" s="117"/>
      <c r="F964" s="115"/>
      <c r="G964" s="171"/>
      <c r="H964" s="115"/>
      <c r="I964" s="118"/>
      <c r="J964" s="119"/>
      <c r="K964" s="120"/>
      <c r="L964" s="261"/>
      <c r="M964" s="262"/>
      <c r="N964" s="263"/>
      <c r="O964" s="264"/>
      <c r="P964" s="262"/>
      <c r="Q964" s="262"/>
      <c r="R964" s="262"/>
      <c r="S964" s="262"/>
      <c r="T964" s="262"/>
      <c r="U964" s="262"/>
      <c r="V964" s="262"/>
      <c r="W964" s="117"/>
      <c r="X964" s="246"/>
      <c r="Y964" s="246"/>
      <c r="Z964" s="246"/>
      <c r="AA964" s="160"/>
      <c r="AB964" s="246"/>
      <c r="AC964" s="160"/>
      <c r="AD964" s="246"/>
      <c r="AE964" s="160"/>
      <c r="AF964" s="246"/>
      <c r="AG964" s="160"/>
      <c r="AH964" s="246"/>
      <c r="AI964" s="160"/>
      <c r="AJ964" s="246"/>
      <c r="AK964" s="246"/>
      <c r="AL964" s="246"/>
      <c r="AM964" s="246"/>
      <c r="AN964" s="246"/>
      <c r="AO964" s="246"/>
      <c r="AP964" s="246"/>
      <c r="AQ964" s="246"/>
      <c r="AR964" s="246"/>
      <c r="AS964" s="246"/>
      <c r="AT964" s="246"/>
      <c r="AU964" s="246"/>
      <c r="AV964" s="246"/>
      <c r="AW964" s="160"/>
      <c r="AX964" s="160"/>
      <c r="AY964" s="247"/>
      <c r="AZ964" s="248"/>
      <c r="BA964" s="248"/>
      <c r="BB964" s="248"/>
      <c r="BC964" s="248"/>
      <c r="BD964" s="3"/>
    </row>
    <row r="965" spans="1:56" ht="15.75" hidden="1" customHeight="1" outlineLevel="1">
      <c r="A965" s="63">
        <v>955</v>
      </c>
      <c r="B965" s="95" t="s">
        <v>588</v>
      </c>
      <c r="C965" s="116"/>
      <c r="D965" s="160"/>
      <c r="E965" s="117"/>
      <c r="F965" s="115"/>
      <c r="G965" s="171"/>
      <c r="H965" s="115"/>
      <c r="I965" s="118"/>
      <c r="J965" s="119"/>
      <c r="K965" s="120"/>
      <c r="L965" s="261"/>
      <c r="M965" s="262"/>
      <c r="N965" s="263"/>
      <c r="O965" s="264"/>
      <c r="P965" s="262"/>
      <c r="Q965" s="262"/>
      <c r="R965" s="262"/>
      <c r="S965" s="262"/>
      <c r="T965" s="262"/>
      <c r="U965" s="262"/>
      <c r="V965" s="262"/>
      <c r="W965" s="117"/>
      <c r="X965" s="246"/>
      <c r="Y965" s="246"/>
      <c r="Z965" s="246"/>
      <c r="AA965" s="160"/>
      <c r="AB965" s="246"/>
      <c r="AC965" s="160"/>
      <c r="AD965" s="246"/>
      <c r="AE965" s="160"/>
      <c r="AF965" s="246"/>
      <c r="AG965" s="160"/>
      <c r="AH965" s="246"/>
      <c r="AI965" s="160"/>
      <c r="AJ965" s="246"/>
      <c r="AK965" s="246"/>
      <c r="AL965" s="246"/>
      <c r="AM965" s="246"/>
      <c r="AN965" s="246"/>
      <c r="AO965" s="246"/>
      <c r="AP965" s="246"/>
      <c r="AQ965" s="246"/>
      <c r="AR965" s="246"/>
      <c r="AS965" s="246"/>
      <c r="AT965" s="246"/>
      <c r="AU965" s="246"/>
      <c r="AV965" s="246"/>
      <c r="AW965" s="160"/>
      <c r="AX965" s="160"/>
      <c r="AY965" s="247"/>
      <c r="AZ965" s="248"/>
      <c r="BA965" s="248"/>
      <c r="BB965" s="248"/>
      <c r="BC965" s="248"/>
      <c r="BD965" s="3"/>
    </row>
    <row r="966" spans="1:56" ht="15.75" hidden="1" customHeight="1" outlineLevel="1">
      <c r="A966" s="63">
        <v>956</v>
      </c>
      <c r="B966" s="95" t="s">
        <v>589</v>
      </c>
      <c r="C966" s="116"/>
      <c r="D966" s="160"/>
      <c r="E966" s="117"/>
      <c r="F966" s="115"/>
      <c r="G966" s="171"/>
      <c r="H966" s="115"/>
      <c r="I966" s="118"/>
      <c r="J966" s="119"/>
      <c r="K966" s="120"/>
      <c r="L966" s="261"/>
      <c r="M966" s="262"/>
      <c r="N966" s="263"/>
      <c r="O966" s="264"/>
      <c r="P966" s="262"/>
      <c r="Q966" s="262"/>
      <c r="R966" s="262"/>
      <c r="S966" s="262"/>
      <c r="T966" s="262"/>
      <c r="U966" s="262"/>
      <c r="V966" s="262"/>
      <c r="W966" s="117"/>
      <c r="X966" s="246"/>
      <c r="Y966" s="246"/>
      <c r="Z966" s="246"/>
      <c r="AA966" s="160"/>
      <c r="AB966" s="246"/>
      <c r="AC966" s="160"/>
      <c r="AD966" s="246"/>
      <c r="AE966" s="160"/>
      <c r="AF966" s="246"/>
      <c r="AG966" s="160"/>
      <c r="AH966" s="246"/>
      <c r="AI966" s="160"/>
      <c r="AJ966" s="246"/>
      <c r="AK966" s="246"/>
      <c r="AL966" s="246"/>
      <c r="AM966" s="246"/>
      <c r="AN966" s="246"/>
      <c r="AO966" s="246"/>
      <c r="AP966" s="246"/>
      <c r="AQ966" s="246"/>
      <c r="AR966" s="246"/>
      <c r="AS966" s="246"/>
      <c r="AT966" s="246"/>
      <c r="AU966" s="246"/>
      <c r="AV966" s="246"/>
      <c r="AW966" s="160"/>
      <c r="AX966" s="160"/>
      <c r="AY966" s="247"/>
      <c r="AZ966" s="248"/>
      <c r="BA966" s="248"/>
      <c r="BB966" s="248"/>
      <c r="BC966" s="248"/>
      <c r="BD966" s="3"/>
    </row>
    <row r="967" spans="1:56" ht="15.75" hidden="1" customHeight="1" outlineLevel="1">
      <c r="A967" s="63">
        <v>957</v>
      </c>
      <c r="B967" s="95" t="s">
        <v>591</v>
      </c>
      <c r="C967" s="116"/>
      <c r="D967" s="160"/>
      <c r="E967" s="117"/>
      <c r="F967" s="115"/>
      <c r="G967" s="171"/>
      <c r="H967" s="115"/>
      <c r="I967" s="118"/>
      <c r="J967" s="119"/>
      <c r="K967" s="120"/>
      <c r="L967" s="261"/>
      <c r="M967" s="262"/>
      <c r="N967" s="263"/>
      <c r="O967" s="264"/>
      <c r="P967" s="262"/>
      <c r="Q967" s="262"/>
      <c r="R967" s="262"/>
      <c r="S967" s="262"/>
      <c r="T967" s="262"/>
      <c r="U967" s="262"/>
      <c r="V967" s="262"/>
      <c r="W967" s="117"/>
      <c r="X967" s="246"/>
      <c r="Y967" s="246"/>
      <c r="Z967" s="246"/>
      <c r="AA967" s="160"/>
      <c r="AB967" s="246"/>
      <c r="AC967" s="160"/>
      <c r="AD967" s="246"/>
      <c r="AE967" s="160"/>
      <c r="AF967" s="246"/>
      <c r="AG967" s="160"/>
      <c r="AH967" s="246"/>
      <c r="AI967" s="160"/>
      <c r="AJ967" s="246"/>
      <c r="AK967" s="246"/>
      <c r="AL967" s="246"/>
      <c r="AM967" s="246"/>
      <c r="AN967" s="246"/>
      <c r="AO967" s="246"/>
      <c r="AP967" s="246"/>
      <c r="AQ967" s="246"/>
      <c r="AR967" s="246"/>
      <c r="AS967" s="246"/>
      <c r="AT967" s="246"/>
      <c r="AU967" s="246"/>
      <c r="AV967" s="246"/>
      <c r="AW967" s="160"/>
      <c r="AX967" s="160"/>
      <c r="AY967" s="247"/>
      <c r="AZ967" s="248"/>
      <c r="BA967" s="248"/>
      <c r="BB967" s="248"/>
      <c r="BC967" s="248"/>
      <c r="BD967" s="3"/>
    </row>
    <row r="968" spans="1:56" ht="15.75" hidden="1" customHeight="1" outlineLevel="1">
      <c r="A968" s="63">
        <v>958</v>
      </c>
      <c r="B968" s="95" t="s">
        <v>592</v>
      </c>
      <c r="C968" s="116"/>
      <c r="D968" s="160"/>
      <c r="E968" s="117"/>
      <c r="F968" s="115"/>
      <c r="G968" s="171"/>
      <c r="H968" s="115"/>
      <c r="I968" s="118"/>
      <c r="J968" s="119"/>
      <c r="K968" s="120"/>
      <c r="L968" s="261"/>
      <c r="M968" s="262"/>
      <c r="N968" s="263"/>
      <c r="O968" s="264"/>
      <c r="P968" s="262"/>
      <c r="Q968" s="262"/>
      <c r="R968" s="262"/>
      <c r="S968" s="262"/>
      <c r="T968" s="262"/>
      <c r="U968" s="262"/>
      <c r="V968" s="262"/>
      <c r="W968" s="117"/>
      <c r="X968" s="246"/>
      <c r="Y968" s="246"/>
      <c r="Z968" s="246"/>
      <c r="AA968" s="160"/>
      <c r="AB968" s="246"/>
      <c r="AC968" s="160"/>
      <c r="AD968" s="246"/>
      <c r="AE968" s="160"/>
      <c r="AF968" s="246"/>
      <c r="AG968" s="160"/>
      <c r="AH968" s="246"/>
      <c r="AI968" s="160"/>
      <c r="AJ968" s="246"/>
      <c r="AK968" s="246"/>
      <c r="AL968" s="246"/>
      <c r="AM968" s="246"/>
      <c r="AN968" s="246"/>
      <c r="AO968" s="246"/>
      <c r="AP968" s="246"/>
      <c r="AQ968" s="246"/>
      <c r="AR968" s="246"/>
      <c r="AS968" s="246"/>
      <c r="AT968" s="246"/>
      <c r="AU968" s="246"/>
      <c r="AV968" s="246"/>
      <c r="AW968" s="160"/>
      <c r="AX968" s="160"/>
      <c r="AY968" s="247"/>
      <c r="AZ968" s="248"/>
      <c r="BA968" s="248"/>
      <c r="BB968" s="248"/>
      <c r="BC968" s="248"/>
      <c r="BD968" s="3"/>
    </row>
    <row r="969" spans="1:56" ht="15.75" hidden="1" customHeight="1" outlineLevel="1">
      <c r="A969" s="63">
        <v>959</v>
      </c>
      <c r="B969" s="95" t="s">
        <v>593</v>
      </c>
      <c r="C969" s="116"/>
      <c r="D969" s="160"/>
      <c r="E969" s="117"/>
      <c r="F969" s="115"/>
      <c r="G969" s="171"/>
      <c r="H969" s="115"/>
      <c r="I969" s="118"/>
      <c r="J969" s="119"/>
      <c r="K969" s="120"/>
      <c r="L969" s="261"/>
      <c r="M969" s="262"/>
      <c r="N969" s="263"/>
      <c r="O969" s="264"/>
      <c r="P969" s="262"/>
      <c r="Q969" s="262"/>
      <c r="R969" s="262"/>
      <c r="S969" s="262"/>
      <c r="T969" s="262"/>
      <c r="U969" s="262"/>
      <c r="V969" s="262"/>
      <c r="W969" s="117"/>
      <c r="X969" s="246"/>
      <c r="Y969" s="246"/>
      <c r="Z969" s="246"/>
      <c r="AA969" s="160"/>
      <c r="AB969" s="246"/>
      <c r="AC969" s="160"/>
      <c r="AD969" s="246"/>
      <c r="AE969" s="160"/>
      <c r="AF969" s="246"/>
      <c r="AG969" s="160"/>
      <c r="AH969" s="246"/>
      <c r="AI969" s="160"/>
      <c r="AJ969" s="246"/>
      <c r="AK969" s="246"/>
      <c r="AL969" s="246"/>
      <c r="AM969" s="246"/>
      <c r="AN969" s="246"/>
      <c r="AO969" s="246"/>
      <c r="AP969" s="246"/>
      <c r="AQ969" s="246"/>
      <c r="AR969" s="246"/>
      <c r="AS969" s="246"/>
      <c r="AT969" s="246"/>
      <c r="AU969" s="246"/>
      <c r="AV969" s="246"/>
      <c r="AW969" s="160"/>
      <c r="AX969" s="160"/>
      <c r="AY969" s="247"/>
      <c r="AZ969" s="248"/>
      <c r="BA969" s="248"/>
      <c r="BB969" s="248"/>
      <c r="BC969" s="248"/>
      <c r="BD969" s="3"/>
    </row>
    <row r="970" spans="1:56" ht="15.75" hidden="1" customHeight="1" outlineLevel="1">
      <c r="A970" s="63">
        <v>960</v>
      </c>
      <c r="B970" s="95" t="s">
        <v>594</v>
      </c>
      <c r="C970" s="116"/>
      <c r="D970" s="160"/>
      <c r="E970" s="117"/>
      <c r="F970" s="115"/>
      <c r="G970" s="171"/>
      <c r="H970" s="115"/>
      <c r="I970" s="118"/>
      <c r="J970" s="119"/>
      <c r="K970" s="120"/>
      <c r="L970" s="261"/>
      <c r="M970" s="262"/>
      <c r="N970" s="263"/>
      <c r="O970" s="264"/>
      <c r="P970" s="262"/>
      <c r="Q970" s="262"/>
      <c r="R970" s="262"/>
      <c r="S970" s="262"/>
      <c r="T970" s="262"/>
      <c r="U970" s="262"/>
      <c r="V970" s="262"/>
      <c r="W970" s="117"/>
      <c r="X970" s="246"/>
      <c r="Y970" s="246"/>
      <c r="Z970" s="246"/>
      <c r="AA970" s="160"/>
      <c r="AB970" s="246"/>
      <c r="AC970" s="160"/>
      <c r="AD970" s="246"/>
      <c r="AE970" s="160"/>
      <c r="AF970" s="246"/>
      <c r="AG970" s="160"/>
      <c r="AH970" s="246"/>
      <c r="AI970" s="160"/>
      <c r="AJ970" s="246"/>
      <c r="AK970" s="246"/>
      <c r="AL970" s="246"/>
      <c r="AM970" s="246"/>
      <c r="AN970" s="246"/>
      <c r="AO970" s="246"/>
      <c r="AP970" s="246"/>
      <c r="AQ970" s="246"/>
      <c r="AR970" s="246"/>
      <c r="AS970" s="246"/>
      <c r="AT970" s="246"/>
      <c r="AU970" s="246"/>
      <c r="AV970" s="246"/>
      <c r="AW970" s="160"/>
      <c r="AX970" s="160"/>
      <c r="AY970" s="247"/>
      <c r="AZ970" s="248"/>
      <c r="BA970" s="248"/>
      <c r="BB970" s="248"/>
      <c r="BC970" s="248"/>
      <c r="BD970" s="3"/>
    </row>
    <row r="971" spans="1:56" ht="15.75" hidden="1" customHeight="1" outlineLevel="1">
      <c r="A971" s="63">
        <v>961</v>
      </c>
      <c r="B971" s="95" t="s">
        <v>595</v>
      </c>
      <c r="C971" s="116"/>
      <c r="D971" s="160"/>
      <c r="E971" s="117"/>
      <c r="F971" s="115"/>
      <c r="G971" s="171"/>
      <c r="H971" s="115"/>
      <c r="I971" s="118"/>
      <c r="J971" s="119"/>
      <c r="K971" s="120"/>
      <c r="L971" s="261"/>
      <c r="M971" s="262"/>
      <c r="N971" s="263"/>
      <c r="O971" s="264"/>
      <c r="P971" s="262"/>
      <c r="Q971" s="262"/>
      <c r="R971" s="262"/>
      <c r="S971" s="262"/>
      <c r="T971" s="262"/>
      <c r="U971" s="262"/>
      <c r="V971" s="262"/>
      <c r="W971" s="117"/>
      <c r="X971" s="246"/>
      <c r="Y971" s="246"/>
      <c r="Z971" s="246"/>
      <c r="AA971" s="160"/>
      <c r="AB971" s="246"/>
      <c r="AC971" s="160"/>
      <c r="AD971" s="246"/>
      <c r="AE971" s="160"/>
      <c r="AF971" s="246"/>
      <c r="AG971" s="160"/>
      <c r="AH971" s="246"/>
      <c r="AI971" s="160"/>
      <c r="AJ971" s="246"/>
      <c r="AK971" s="246"/>
      <c r="AL971" s="246"/>
      <c r="AM971" s="246"/>
      <c r="AN971" s="246"/>
      <c r="AO971" s="246"/>
      <c r="AP971" s="246"/>
      <c r="AQ971" s="246"/>
      <c r="AR971" s="246"/>
      <c r="AS971" s="246"/>
      <c r="AT971" s="246"/>
      <c r="AU971" s="246"/>
      <c r="AV971" s="246"/>
      <c r="AW971" s="160"/>
      <c r="AX971" s="160"/>
      <c r="AY971" s="247"/>
      <c r="AZ971" s="248"/>
      <c r="BA971" s="248"/>
      <c r="BB971" s="248"/>
      <c r="BC971" s="248"/>
      <c r="BD971" s="3"/>
    </row>
    <row r="972" spans="1:56" ht="15.75" hidden="1" customHeight="1" outlineLevel="1">
      <c r="A972" s="63">
        <v>962</v>
      </c>
      <c r="B972" s="95" t="s">
        <v>596</v>
      </c>
      <c r="C972" s="116"/>
      <c r="D972" s="160"/>
      <c r="E972" s="117"/>
      <c r="F972" s="115"/>
      <c r="G972" s="171"/>
      <c r="H972" s="115"/>
      <c r="I972" s="118"/>
      <c r="J972" s="119"/>
      <c r="K972" s="120"/>
      <c r="L972" s="261"/>
      <c r="M972" s="262"/>
      <c r="N972" s="263"/>
      <c r="O972" s="264"/>
      <c r="P972" s="262"/>
      <c r="Q972" s="262"/>
      <c r="R972" s="262"/>
      <c r="S972" s="262"/>
      <c r="T972" s="262"/>
      <c r="U972" s="262"/>
      <c r="V972" s="262"/>
      <c r="W972" s="117"/>
      <c r="X972" s="246"/>
      <c r="Y972" s="246"/>
      <c r="Z972" s="246"/>
      <c r="AA972" s="160"/>
      <c r="AB972" s="246"/>
      <c r="AC972" s="160"/>
      <c r="AD972" s="246"/>
      <c r="AE972" s="160"/>
      <c r="AF972" s="246"/>
      <c r="AG972" s="160"/>
      <c r="AH972" s="246"/>
      <c r="AI972" s="160"/>
      <c r="AJ972" s="246"/>
      <c r="AK972" s="246"/>
      <c r="AL972" s="246"/>
      <c r="AM972" s="246"/>
      <c r="AN972" s="246"/>
      <c r="AO972" s="246"/>
      <c r="AP972" s="246"/>
      <c r="AQ972" s="246"/>
      <c r="AR972" s="246"/>
      <c r="AS972" s="246"/>
      <c r="AT972" s="246"/>
      <c r="AU972" s="246"/>
      <c r="AV972" s="246"/>
      <c r="AW972" s="160"/>
      <c r="AX972" s="160"/>
      <c r="AY972" s="247"/>
      <c r="AZ972" s="248"/>
      <c r="BA972" s="248"/>
      <c r="BB972" s="248"/>
      <c r="BC972" s="248"/>
      <c r="BD972" s="3"/>
    </row>
    <row r="973" spans="1:56" ht="15.75" hidden="1" customHeight="1" outlineLevel="1">
      <c r="A973" s="63">
        <v>963</v>
      </c>
      <c r="B973" s="95" t="s">
        <v>597</v>
      </c>
      <c r="C973" s="116"/>
      <c r="D973" s="160"/>
      <c r="E973" s="117"/>
      <c r="F973" s="115"/>
      <c r="G973" s="171"/>
      <c r="H973" s="115"/>
      <c r="I973" s="118"/>
      <c r="J973" s="119"/>
      <c r="K973" s="120"/>
      <c r="L973" s="261"/>
      <c r="M973" s="262"/>
      <c r="N973" s="263"/>
      <c r="O973" s="264"/>
      <c r="P973" s="262"/>
      <c r="Q973" s="262"/>
      <c r="R973" s="262"/>
      <c r="S973" s="262"/>
      <c r="T973" s="262"/>
      <c r="U973" s="262"/>
      <c r="V973" s="262"/>
      <c r="W973" s="117"/>
      <c r="X973" s="246"/>
      <c r="Y973" s="246"/>
      <c r="Z973" s="246"/>
      <c r="AA973" s="160"/>
      <c r="AB973" s="246"/>
      <c r="AC973" s="160"/>
      <c r="AD973" s="246"/>
      <c r="AE973" s="160"/>
      <c r="AF973" s="246"/>
      <c r="AG973" s="160"/>
      <c r="AH973" s="246"/>
      <c r="AI973" s="160"/>
      <c r="AJ973" s="246"/>
      <c r="AK973" s="246"/>
      <c r="AL973" s="246"/>
      <c r="AM973" s="246"/>
      <c r="AN973" s="246"/>
      <c r="AO973" s="246"/>
      <c r="AP973" s="246"/>
      <c r="AQ973" s="246"/>
      <c r="AR973" s="246"/>
      <c r="AS973" s="246"/>
      <c r="AT973" s="246"/>
      <c r="AU973" s="246"/>
      <c r="AV973" s="246"/>
      <c r="AW973" s="160"/>
      <c r="AX973" s="160"/>
      <c r="AY973" s="247"/>
      <c r="AZ973" s="248"/>
      <c r="BA973" s="248"/>
      <c r="BB973" s="248"/>
      <c r="BC973" s="248"/>
      <c r="BD973" s="3"/>
    </row>
    <row r="974" spans="1:56" ht="15.75" hidden="1" customHeight="1" outlineLevel="1">
      <c r="A974" s="63">
        <v>964</v>
      </c>
      <c r="B974" s="95" t="s">
        <v>598</v>
      </c>
      <c r="C974" s="116"/>
      <c r="D974" s="160"/>
      <c r="E974" s="117"/>
      <c r="F974" s="115"/>
      <c r="G974" s="171"/>
      <c r="H974" s="115"/>
      <c r="I974" s="118"/>
      <c r="J974" s="119"/>
      <c r="K974" s="120"/>
      <c r="L974" s="261"/>
      <c r="M974" s="262"/>
      <c r="N974" s="263"/>
      <c r="O974" s="264"/>
      <c r="P974" s="262"/>
      <c r="Q974" s="262"/>
      <c r="R974" s="262"/>
      <c r="S974" s="262"/>
      <c r="T974" s="262"/>
      <c r="U974" s="262"/>
      <c r="V974" s="262"/>
      <c r="W974" s="117"/>
      <c r="X974" s="246"/>
      <c r="Y974" s="246"/>
      <c r="Z974" s="246"/>
      <c r="AA974" s="160"/>
      <c r="AB974" s="246"/>
      <c r="AC974" s="160"/>
      <c r="AD974" s="246"/>
      <c r="AE974" s="160"/>
      <c r="AF974" s="246"/>
      <c r="AG974" s="160"/>
      <c r="AH974" s="246"/>
      <c r="AI974" s="160"/>
      <c r="AJ974" s="246"/>
      <c r="AK974" s="246"/>
      <c r="AL974" s="246"/>
      <c r="AM974" s="246"/>
      <c r="AN974" s="246"/>
      <c r="AO974" s="246"/>
      <c r="AP974" s="246"/>
      <c r="AQ974" s="246"/>
      <c r="AR974" s="246"/>
      <c r="AS974" s="246"/>
      <c r="AT974" s="246"/>
      <c r="AU974" s="246"/>
      <c r="AV974" s="246"/>
      <c r="AW974" s="160"/>
      <c r="AX974" s="160"/>
      <c r="AY974" s="247"/>
      <c r="AZ974" s="248"/>
      <c r="BA974" s="248"/>
      <c r="BB974" s="248"/>
      <c r="BC974" s="248"/>
      <c r="BD974" s="3"/>
    </row>
    <row r="975" spans="1:56" ht="15.75" hidden="1" customHeight="1" outlineLevel="1">
      <c r="A975" s="63">
        <v>965</v>
      </c>
      <c r="B975" s="95" t="s">
        <v>599</v>
      </c>
      <c r="C975" s="116"/>
      <c r="D975" s="160"/>
      <c r="E975" s="117"/>
      <c r="F975" s="115"/>
      <c r="G975" s="171"/>
      <c r="H975" s="115"/>
      <c r="I975" s="118"/>
      <c r="J975" s="119"/>
      <c r="K975" s="120"/>
      <c r="L975" s="261"/>
      <c r="M975" s="262"/>
      <c r="N975" s="263"/>
      <c r="O975" s="264"/>
      <c r="P975" s="262"/>
      <c r="Q975" s="262"/>
      <c r="R975" s="262"/>
      <c r="S975" s="262"/>
      <c r="T975" s="262"/>
      <c r="U975" s="262"/>
      <c r="V975" s="262"/>
      <c r="W975" s="117"/>
      <c r="X975" s="246"/>
      <c r="Y975" s="246"/>
      <c r="Z975" s="246"/>
      <c r="AA975" s="160"/>
      <c r="AB975" s="246"/>
      <c r="AC975" s="160"/>
      <c r="AD975" s="246"/>
      <c r="AE975" s="160"/>
      <c r="AF975" s="246"/>
      <c r="AG975" s="160"/>
      <c r="AH975" s="246"/>
      <c r="AI975" s="160"/>
      <c r="AJ975" s="246"/>
      <c r="AK975" s="246"/>
      <c r="AL975" s="246"/>
      <c r="AM975" s="246"/>
      <c r="AN975" s="246"/>
      <c r="AO975" s="246"/>
      <c r="AP975" s="246"/>
      <c r="AQ975" s="246"/>
      <c r="AR975" s="246"/>
      <c r="AS975" s="246"/>
      <c r="AT975" s="246"/>
      <c r="AU975" s="246"/>
      <c r="AV975" s="246"/>
      <c r="AW975" s="160"/>
      <c r="AX975" s="160"/>
      <c r="AY975" s="247"/>
      <c r="AZ975" s="248"/>
      <c r="BA975" s="248"/>
      <c r="BB975" s="248"/>
      <c r="BC975" s="248"/>
      <c r="BD975" s="3"/>
    </row>
    <row r="976" spans="1:56" ht="15.75" hidden="1" customHeight="1" outlineLevel="1">
      <c r="A976" s="63">
        <v>966</v>
      </c>
      <c r="B976" s="95" t="s">
        <v>601</v>
      </c>
      <c r="C976" s="116"/>
      <c r="D976" s="160"/>
      <c r="E976" s="117"/>
      <c r="F976" s="115"/>
      <c r="G976" s="171"/>
      <c r="H976" s="115"/>
      <c r="I976" s="118"/>
      <c r="J976" s="119"/>
      <c r="K976" s="120"/>
      <c r="L976" s="261"/>
      <c r="M976" s="262"/>
      <c r="N976" s="263"/>
      <c r="O976" s="264"/>
      <c r="P976" s="262"/>
      <c r="Q976" s="262"/>
      <c r="R976" s="262"/>
      <c r="S976" s="262"/>
      <c r="T976" s="262"/>
      <c r="U976" s="262"/>
      <c r="V976" s="262"/>
      <c r="W976" s="117"/>
      <c r="X976" s="246"/>
      <c r="Y976" s="246"/>
      <c r="Z976" s="246"/>
      <c r="AA976" s="160"/>
      <c r="AB976" s="246"/>
      <c r="AC976" s="160"/>
      <c r="AD976" s="246"/>
      <c r="AE976" s="160"/>
      <c r="AF976" s="246"/>
      <c r="AG976" s="160"/>
      <c r="AH976" s="246"/>
      <c r="AI976" s="160"/>
      <c r="AJ976" s="246"/>
      <c r="AK976" s="246"/>
      <c r="AL976" s="246"/>
      <c r="AM976" s="246"/>
      <c r="AN976" s="246"/>
      <c r="AO976" s="246"/>
      <c r="AP976" s="246"/>
      <c r="AQ976" s="246"/>
      <c r="AR976" s="246"/>
      <c r="AS976" s="246"/>
      <c r="AT976" s="246"/>
      <c r="AU976" s="246"/>
      <c r="AV976" s="246"/>
      <c r="AW976" s="160"/>
      <c r="AX976" s="160"/>
      <c r="AY976" s="247"/>
      <c r="AZ976" s="248"/>
      <c r="BA976" s="248"/>
      <c r="BB976" s="248"/>
      <c r="BC976" s="248"/>
      <c r="BD976" s="3"/>
    </row>
    <row r="977" spans="1:56" ht="15.75" hidden="1" customHeight="1" outlineLevel="1">
      <c r="A977" s="63">
        <v>967</v>
      </c>
      <c r="B977" s="95" t="s">
        <v>602</v>
      </c>
      <c r="C977" s="116"/>
      <c r="D977" s="160"/>
      <c r="E977" s="117"/>
      <c r="F977" s="115"/>
      <c r="G977" s="171"/>
      <c r="H977" s="115"/>
      <c r="I977" s="118"/>
      <c r="J977" s="119"/>
      <c r="K977" s="120"/>
      <c r="L977" s="261"/>
      <c r="M977" s="262"/>
      <c r="N977" s="263"/>
      <c r="O977" s="264"/>
      <c r="P977" s="262"/>
      <c r="Q977" s="262"/>
      <c r="R977" s="262"/>
      <c r="S977" s="262"/>
      <c r="T977" s="262"/>
      <c r="U977" s="262"/>
      <c r="V977" s="262"/>
      <c r="W977" s="117"/>
      <c r="X977" s="246"/>
      <c r="Y977" s="246"/>
      <c r="Z977" s="246"/>
      <c r="AA977" s="160"/>
      <c r="AB977" s="246"/>
      <c r="AC977" s="160"/>
      <c r="AD977" s="246"/>
      <c r="AE977" s="160"/>
      <c r="AF977" s="246"/>
      <c r="AG977" s="160"/>
      <c r="AH977" s="246"/>
      <c r="AI977" s="160"/>
      <c r="AJ977" s="246"/>
      <c r="AK977" s="246"/>
      <c r="AL977" s="246"/>
      <c r="AM977" s="246"/>
      <c r="AN977" s="246"/>
      <c r="AO977" s="246"/>
      <c r="AP977" s="246"/>
      <c r="AQ977" s="246"/>
      <c r="AR977" s="246"/>
      <c r="AS977" s="246"/>
      <c r="AT977" s="246"/>
      <c r="AU977" s="246"/>
      <c r="AV977" s="246"/>
      <c r="AW977" s="160"/>
      <c r="AX977" s="160"/>
      <c r="AY977" s="247"/>
      <c r="AZ977" s="248"/>
      <c r="BA977" s="248"/>
      <c r="BB977" s="248"/>
      <c r="BC977" s="248"/>
      <c r="BD977" s="3"/>
    </row>
    <row r="978" spans="1:56" ht="15.75" hidden="1" customHeight="1" outlineLevel="1">
      <c r="A978" s="63">
        <v>968</v>
      </c>
      <c r="B978" s="95" t="s">
        <v>604</v>
      </c>
      <c r="C978" s="116"/>
      <c r="D978" s="160"/>
      <c r="E978" s="117"/>
      <c r="F978" s="115"/>
      <c r="G978" s="171"/>
      <c r="H978" s="115"/>
      <c r="I978" s="118"/>
      <c r="J978" s="119"/>
      <c r="K978" s="120"/>
      <c r="L978" s="261"/>
      <c r="M978" s="262"/>
      <c r="N978" s="263"/>
      <c r="O978" s="264"/>
      <c r="P978" s="262"/>
      <c r="Q978" s="262"/>
      <c r="R978" s="262"/>
      <c r="S978" s="262"/>
      <c r="T978" s="262"/>
      <c r="U978" s="262"/>
      <c r="V978" s="262"/>
      <c r="W978" s="117"/>
      <c r="X978" s="246"/>
      <c r="Y978" s="246"/>
      <c r="Z978" s="246"/>
      <c r="AA978" s="160"/>
      <c r="AB978" s="246"/>
      <c r="AC978" s="160"/>
      <c r="AD978" s="246"/>
      <c r="AE978" s="160"/>
      <c r="AF978" s="246"/>
      <c r="AG978" s="160"/>
      <c r="AH978" s="246"/>
      <c r="AI978" s="160"/>
      <c r="AJ978" s="246"/>
      <c r="AK978" s="246"/>
      <c r="AL978" s="246"/>
      <c r="AM978" s="246"/>
      <c r="AN978" s="246"/>
      <c r="AO978" s="246"/>
      <c r="AP978" s="246"/>
      <c r="AQ978" s="246"/>
      <c r="AR978" s="246"/>
      <c r="AS978" s="246"/>
      <c r="AT978" s="246"/>
      <c r="AU978" s="246"/>
      <c r="AV978" s="246"/>
      <c r="AW978" s="160"/>
      <c r="AX978" s="160"/>
      <c r="AY978" s="247"/>
      <c r="AZ978" s="248"/>
      <c r="BA978" s="248"/>
      <c r="BB978" s="248"/>
      <c r="BC978" s="248"/>
      <c r="BD978" s="3"/>
    </row>
    <row r="979" spans="1:56" ht="15.75" hidden="1" customHeight="1" outlineLevel="1">
      <c r="A979" s="63">
        <v>969</v>
      </c>
      <c r="B979" s="95" t="s">
        <v>606</v>
      </c>
      <c r="C979" s="116"/>
      <c r="D979" s="160"/>
      <c r="E979" s="117"/>
      <c r="F979" s="115"/>
      <c r="G979" s="171"/>
      <c r="H979" s="115"/>
      <c r="I979" s="118"/>
      <c r="J979" s="119"/>
      <c r="K979" s="120"/>
      <c r="L979" s="261"/>
      <c r="M979" s="262"/>
      <c r="N979" s="263"/>
      <c r="O979" s="264"/>
      <c r="P979" s="262"/>
      <c r="Q979" s="262"/>
      <c r="R979" s="262"/>
      <c r="S979" s="262"/>
      <c r="T979" s="262"/>
      <c r="U979" s="262"/>
      <c r="V979" s="262"/>
      <c r="W979" s="117"/>
      <c r="X979" s="246"/>
      <c r="Y979" s="246"/>
      <c r="Z979" s="246"/>
      <c r="AA979" s="160"/>
      <c r="AB979" s="246"/>
      <c r="AC979" s="160"/>
      <c r="AD979" s="246"/>
      <c r="AE979" s="160"/>
      <c r="AF979" s="246"/>
      <c r="AG979" s="160"/>
      <c r="AH979" s="246"/>
      <c r="AI979" s="160"/>
      <c r="AJ979" s="246"/>
      <c r="AK979" s="246"/>
      <c r="AL979" s="246"/>
      <c r="AM979" s="246"/>
      <c r="AN979" s="246"/>
      <c r="AO979" s="246"/>
      <c r="AP979" s="246"/>
      <c r="AQ979" s="246"/>
      <c r="AR979" s="246"/>
      <c r="AS979" s="246"/>
      <c r="AT979" s="246"/>
      <c r="AU979" s="246"/>
      <c r="AV979" s="246"/>
      <c r="AW979" s="160"/>
      <c r="AX979" s="160"/>
      <c r="AY979" s="247"/>
      <c r="AZ979" s="248"/>
      <c r="BA979" s="248"/>
      <c r="BB979" s="248"/>
      <c r="BC979" s="248"/>
      <c r="BD979" s="3"/>
    </row>
    <row r="980" spans="1:56" ht="15.75" hidden="1" customHeight="1" outlineLevel="1">
      <c r="A980" s="63">
        <v>970</v>
      </c>
      <c r="B980" s="95" t="s">
        <v>607</v>
      </c>
      <c r="C980" s="116"/>
      <c r="D980" s="160"/>
      <c r="E980" s="117"/>
      <c r="F980" s="115"/>
      <c r="G980" s="171"/>
      <c r="H980" s="115"/>
      <c r="I980" s="118"/>
      <c r="J980" s="119"/>
      <c r="K980" s="120"/>
      <c r="L980" s="261"/>
      <c r="M980" s="262"/>
      <c r="N980" s="263"/>
      <c r="O980" s="264"/>
      <c r="P980" s="262"/>
      <c r="Q980" s="262"/>
      <c r="R980" s="262"/>
      <c r="S980" s="262"/>
      <c r="T980" s="262"/>
      <c r="U980" s="262"/>
      <c r="V980" s="262"/>
      <c r="W980" s="117"/>
      <c r="X980" s="246"/>
      <c r="Y980" s="246"/>
      <c r="Z980" s="246"/>
      <c r="AA980" s="160"/>
      <c r="AB980" s="246"/>
      <c r="AC980" s="160"/>
      <c r="AD980" s="246"/>
      <c r="AE980" s="160"/>
      <c r="AF980" s="246"/>
      <c r="AG980" s="160"/>
      <c r="AH980" s="246"/>
      <c r="AI980" s="160"/>
      <c r="AJ980" s="246"/>
      <c r="AK980" s="246"/>
      <c r="AL980" s="246"/>
      <c r="AM980" s="246"/>
      <c r="AN980" s="246"/>
      <c r="AO980" s="246"/>
      <c r="AP980" s="246"/>
      <c r="AQ980" s="246"/>
      <c r="AR980" s="246"/>
      <c r="AS980" s="246"/>
      <c r="AT980" s="246"/>
      <c r="AU980" s="246"/>
      <c r="AV980" s="246"/>
      <c r="AW980" s="160"/>
      <c r="AX980" s="160"/>
      <c r="AY980" s="247"/>
      <c r="AZ980" s="248"/>
      <c r="BA980" s="248"/>
      <c r="BB980" s="248"/>
      <c r="BC980" s="248"/>
      <c r="BD980" s="3"/>
    </row>
    <row r="981" spans="1:56" ht="15.75" hidden="1" customHeight="1" outlineLevel="1">
      <c r="A981" s="63">
        <v>971</v>
      </c>
      <c r="B981" s="95" t="s">
        <v>609</v>
      </c>
      <c r="C981" s="116"/>
      <c r="D981" s="160"/>
      <c r="E981" s="117"/>
      <c r="F981" s="115"/>
      <c r="G981" s="171"/>
      <c r="H981" s="115"/>
      <c r="I981" s="118"/>
      <c r="J981" s="119"/>
      <c r="K981" s="120"/>
      <c r="L981" s="261"/>
      <c r="M981" s="262"/>
      <c r="N981" s="263"/>
      <c r="O981" s="264"/>
      <c r="P981" s="262"/>
      <c r="Q981" s="262"/>
      <c r="R981" s="262"/>
      <c r="S981" s="262"/>
      <c r="T981" s="262"/>
      <c r="U981" s="262"/>
      <c r="V981" s="262"/>
      <c r="W981" s="117"/>
      <c r="X981" s="246"/>
      <c r="Y981" s="246"/>
      <c r="Z981" s="246"/>
      <c r="AA981" s="160"/>
      <c r="AB981" s="246"/>
      <c r="AC981" s="160"/>
      <c r="AD981" s="246"/>
      <c r="AE981" s="160"/>
      <c r="AF981" s="246"/>
      <c r="AG981" s="160"/>
      <c r="AH981" s="246"/>
      <c r="AI981" s="160"/>
      <c r="AJ981" s="246"/>
      <c r="AK981" s="246"/>
      <c r="AL981" s="246"/>
      <c r="AM981" s="246"/>
      <c r="AN981" s="246"/>
      <c r="AO981" s="246"/>
      <c r="AP981" s="246"/>
      <c r="AQ981" s="246"/>
      <c r="AR981" s="246"/>
      <c r="AS981" s="246"/>
      <c r="AT981" s="246"/>
      <c r="AU981" s="246"/>
      <c r="AV981" s="246"/>
      <c r="AW981" s="160"/>
      <c r="AX981" s="160"/>
      <c r="AY981" s="247"/>
      <c r="AZ981" s="248"/>
      <c r="BA981" s="248"/>
      <c r="BB981" s="248"/>
      <c r="BC981" s="248"/>
      <c r="BD981" s="3"/>
    </row>
    <row r="982" spans="1:56" ht="15.75" hidden="1" customHeight="1" outlineLevel="1">
      <c r="A982" s="63">
        <v>972</v>
      </c>
      <c r="B982" s="95" t="s">
        <v>610</v>
      </c>
      <c r="C982" s="116"/>
      <c r="D982" s="160"/>
      <c r="E982" s="117"/>
      <c r="F982" s="115"/>
      <c r="G982" s="171"/>
      <c r="H982" s="115"/>
      <c r="I982" s="118"/>
      <c r="J982" s="119"/>
      <c r="K982" s="120"/>
      <c r="L982" s="261"/>
      <c r="M982" s="262"/>
      <c r="N982" s="263"/>
      <c r="O982" s="264"/>
      <c r="P982" s="262"/>
      <c r="Q982" s="262"/>
      <c r="R982" s="262"/>
      <c r="S982" s="262"/>
      <c r="T982" s="262"/>
      <c r="U982" s="262"/>
      <c r="V982" s="262"/>
      <c r="W982" s="117"/>
      <c r="X982" s="246"/>
      <c r="Y982" s="246"/>
      <c r="Z982" s="246"/>
      <c r="AA982" s="160"/>
      <c r="AB982" s="246"/>
      <c r="AC982" s="160"/>
      <c r="AD982" s="246"/>
      <c r="AE982" s="160"/>
      <c r="AF982" s="246"/>
      <c r="AG982" s="160"/>
      <c r="AH982" s="246"/>
      <c r="AI982" s="160"/>
      <c r="AJ982" s="246"/>
      <c r="AK982" s="246"/>
      <c r="AL982" s="246"/>
      <c r="AM982" s="246"/>
      <c r="AN982" s="246"/>
      <c r="AO982" s="246"/>
      <c r="AP982" s="246"/>
      <c r="AQ982" s="246"/>
      <c r="AR982" s="246"/>
      <c r="AS982" s="246"/>
      <c r="AT982" s="246"/>
      <c r="AU982" s="246"/>
      <c r="AV982" s="246"/>
      <c r="AW982" s="160"/>
      <c r="AX982" s="160"/>
      <c r="AY982" s="247"/>
      <c r="AZ982" s="248"/>
      <c r="BA982" s="248"/>
      <c r="BB982" s="248"/>
      <c r="BC982" s="248"/>
      <c r="BD982" s="3"/>
    </row>
    <row r="983" spans="1:56" ht="15.75" hidden="1" customHeight="1" outlineLevel="1">
      <c r="A983" s="63">
        <v>973</v>
      </c>
      <c r="B983" s="95" t="s">
        <v>611</v>
      </c>
      <c r="C983" s="116"/>
      <c r="D983" s="160"/>
      <c r="E983" s="117"/>
      <c r="F983" s="115"/>
      <c r="G983" s="171"/>
      <c r="H983" s="115"/>
      <c r="I983" s="118"/>
      <c r="J983" s="119"/>
      <c r="K983" s="120"/>
      <c r="L983" s="261"/>
      <c r="M983" s="262"/>
      <c r="N983" s="263"/>
      <c r="O983" s="264"/>
      <c r="P983" s="262"/>
      <c r="Q983" s="262"/>
      <c r="R983" s="262"/>
      <c r="S983" s="262"/>
      <c r="T983" s="262"/>
      <c r="U983" s="262"/>
      <c r="V983" s="262"/>
      <c r="W983" s="117"/>
      <c r="X983" s="246"/>
      <c r="Y983" s="246"/>
      <c r="Z983" s="246"/>
      <c r="AA983" s="160"/>
      <c r="AB983" s="246"/>
      <c r="AC983" s="160"/>
      <c r="AD983" s="246"/>
      <c r="AE983" s="160"/>
      <c r="AF983" s="246"/>
      <c r="AG983" s="160"/>
      <c r="AH983" s="246"/>
      <c r="AI983" s="160"/>
      <c r="AJ983" s="246"/>
      <c r="AK983" s="246"/>
      <c r="AL983" s="246"/>
      <c r="AM983" s="246"/>
      <c r="AN983" s="246"/>
      <c r="AO983" s="246"/>
      <c r="AP983" s="246"/>
      <c r="AQ983" s="246"/>
      <c r="AR983" s="246"/>
      <c r="AS983" s="246"/>
      <c r="AT983" s="246"/>
      <c r="AU983" s="246"/>
      <c r="AV983" s="246"/>
      <c r="AW983" s="160"/>
      <c r="AX983" s="160"/>
      <c r="AY983" s="247"/>
      <c r="AZ983" s="248"/>
      <c r="BA983" s="248"/>
      <c r="BB983" s="248"/>
      <c r="BC983" s="248"/>
      <c r="BD983" s="3"/>
    </row>
    <row r="984" spans="1:56" ht="15.75" hidden="1" customHeight="1" outlineLevel="1">
      <c r="A984" s="63">
        <v>974</v>
      </c>
      <c r="B984" s="95" t="s">
        <v>612</v>
      </c>
      <c r="C984" s="116"/>
      <c r="D984" s="160"/>
      <c r="E984" s="117"/>
      <c r="F984" s="115"/>
      <c r="G984" s="171"/>
      <c r="H984" s="115"/>
      <c r="I984" s="118"/>
      <c r="J984" s="119"/>
      <c r="K984" s="120"/>
      <c r="L984" s="261"/>
      <c r="M984" s="262"/>
      <c r="N984" s="263"/>
      <c r="O984" s="264"/>
      <c r="P984" s="262"/>
      <c r="Q984" s="262"/>
      <c r="R984" s="262"/>
      <c r="S984" s="262"/>
      <c r="T984" s="262"/>
      <c r="U984" s="262"/>
      <c r="V984" s="262"/>
      <c r="W984" s="117"/>
      <c r="X984" s="246"/>
      <c r="Y984" s="246"/>
      <c r="Z984" s="246"/>
      <c r="AA984" s="160"/>
      <c r="AB984" s="246"/>
      <c r="AC984" s="160"/>
      <c r="AD984" s="246"/>
      <c r="AE984" s="160"/>
      <c r="AF984" s="246"/>
      <c r="AG984" s="160"/>
      <c r="AH984" s="246"/>
      <c r="AI984" s="160"/>
      <c r="AJ984" s="246"/>
      <c r="AK984" s="246"/>
      <c r="AL984" s="246"/>
      <c r="AM984" s="246"/>
      <c r="AN984" s="246"/>
      <c r="AO984" s="246"/>
      <c r="AP984" s="246"/>
      <c r="AQ984" s="246"/>
      <c r="AR984" s="246"/>
      <c r="AS984" s="246"/>
      <c r="AT984" s="246"/>
      <c r="AU984" s="246"/>
      <c r="AV984" s="246"/>
      <c r="AW984" s="160"/>
      <c r="AX984" s="160"/>
      <c r="AY984" s="247"/>
      <c r="AZ984" s="248"/>
      <c r="BA984" s="248"/>
      <c r="BB984" s="248"/>
      <c r="BC984" s="248"/>
      <c r="BD984" s="3"/>
    </row>
    <row r="985" spans="1:56" ht="15.75" hidden="1" customHeight="1" outlineLevel="1">
      <c r="A985" s="63">
        <v>975</v>
      </c>
      <c r="B985" s="95" t="s">
        <v>613</v>
      </c>
      <c r="C985" s="116"/>
      <c r="D985" s="160"/>
      <c r="E985" s="117"/>
      <c r="F985" s="115"/>
      <c r="G985" s="171"/>
      <c r="H985" s="115"/>
      <c r="I985" s="118"/>
      <c r="J985" s="119"/>
      <c r="K985" s="120"/>
      <c r="L985" s="261"/>
      <c r="M985" s="262"/>
      <c r="N985" s="263"/>
      <c r="O985" s="264"/>
      <c r="P985" s="262"/>
      <c r="Q985" s="262"/>
      <c r="R985" s="262"/>
      <c r="S985" s="262"/>
      <c r="T985" s="262"/>
      <c r="U985" s="262"/>
      <c r="V985" s="262"/>
      <c r="W985" s="117"/>
      <c r="X985" s="246"/>
      <c r="Y985" s="246"/>
      <c r="Z985" s="246"/>
      <c r="AA985" s="160"/>
      <c r="AB985" s="246"/>
      <c r="AC985" s="160"/>
      <c r="AD985" s="246"/>
      <c r="AE985" s="160"/>
      <c r="AF985" s="246"/>
      <c r="AG985" s="160"/>
      <c r="AH985" s="246"/>
      <c r="AI985" s="160"/>
      <c r="AJ985" s="246"/>
      <c r="AK985" s="246"/>
      <c r="AL985" s="246"/>
      <c r="AM985" s="246"/>
      <c r="AN985" s="246"/>
      <c r="AO985" s="246"/>
      <c r="AP985" s="246"/>
      <c r="AQ985" s="246"/>
      <c r="AR985" s="246"/>
      <c r="AS985" s="246"/>
      <c r="AT985" s="246"/>
      <c r="AU985" s="246"/>
      <c r="AV985" s="246"/>
      <c r="AW985" s="160"/>
      <c r="AX985" s="160"/>
      <c r="AY985" s="247"/>
      <c r="AZ985" s="248"/>
      <c r="BA985" s="248"/>
      <c r="BB985" s="248"/>
      <c r="BC985" s="248"/>
      <c r="BD985" s="3"/>
    </row>
    <row r="986" spans="1:56" ht="15.75" hidden="1" customHeight="1" outlineLevel="1">
      <c r="A986" s="63">
        <v>976</v>
      </c>
      <c r="B986" s="95" t="s">
        <v>616</v>
      </c>
      <c r="C986" s="116"/>
      <c r="D986" s="160"/>
      <c r="E986" s="117"/>
      <c r="F986" s="115"/>
      <c r="G986" s="171"/>
      <c r="H986" s="115"/>
      <c r="I986" s="118"/>
      <c r="J986" s="119"/>
      <c r="K986" s="120"/>
      <c r="L986" s="261"/>
      <c r="M986" s="262"/>
      <c r="N986" s="263"/>
      <c r="O986" s="264"/>
      <c r="P986" s="262"/>
      <c r="Q986" s="262"/>
      <c r="R986" s="262"/>
      <c r="S986" s="262"/>
      <c r="T986" s="262"/>
      <c r="U986" s="262"/>
      <c r="V986" s="262"/>
      <c r="W986" s="117"/>
      <c r="X986" s="246"/>
      <c r="Y986" s="246"/>
      <c r="Z986" s="246"/>
      <c r="AA986" s="160"/>
      <c r="AB986" s="246"/>
      <c r="AC986" s="160"/>
      <c r="AD986" s="246"/>
      <c r="AE986" s="160"/>
      <c r="AF986" s="246"/>
      <c r="AG986" s="160"/>
      <c r="AH986" s="246"/>
      <c r="AI986" s="160"/>
      <c r="AJ986" s="246"/>
      <c r="AK986" s="246"/>
      <c r="AL986" s="246"/>
      <c r="AM986" s="246"/>
      <c r="AN986" s="246"/>
      <c r="AO986" s="246"/>
      <c r="AP986" s="246"/>
      <c r="AQ986" s="246"/>
      <c r="AR986" s="246"/>
      <c r="AS986" s="246"/>
      <c r="AT986" s="246"/>
      <c r="AU986" s="246"/>
      <c r="AV986" s="246"/>
      <c r="AW986" s="160"/>
      <c r="AX986" s="160"/>
      <c r="AY986" s="247"/>
      <c r="AZ986" s="248"/>
      <c r="BA986" s="248"/>
      <c r="BB986" s="248"/>
      <c r="BC986" s="248"/>
      <c r="BD986" s="3"/>
    </row>
    <row r="987" spans="1:56" ht="15.75" hidden="1" customHeight="1" outlineLevel="1">
      <c r="A987" s="63">
        <v>977</v>
      </c>
      <c r="B987" s="95" t="s">
        <v>618</v>
      </c>
      <c r="C987" s="116"/>
      <c r="D987" s="160"/>
      <c r="E987" s="117"/>
      <c r="F987" s="115"/>
      <c r="G987" s="171"/>
      <c r="H987" s="115"/>
      <c r="I987" s="118"/>
      <c r="J987" s="119"/>
      <c r="K987" s="120"/>
      <c r="L987" s="261"/>
      <c r="M987" s="262"/>
      <c r="N987" s="263"/>
      <c r="O987" s="264"/>
      <c r="P987" s="262"/>
      <c r="Q987" s="262"/>
      <c r="R987" s="262"/>
      <c r="S987" s="262"/>
      <c r="T987" s="262"/>
      <c r="U987" s="262"/>
      <c r="V987" s="262"/>
      <c r="W987" s="117"/>
      <c r="X987" s="246"/>
      <c r="Y987" s="246"/>
      <c r="Z987" s="246"/>
      <c r="AA987" s="160"/>
      <c r="AB987" s="246"/>
      <c r="AC987" s="160"/>
      <c r="AD987" s="246"/>
      <c r="AE987" s="160"/>
      <c r="AF987" s="246"/>
      <c r="AG987" s="160"/>
      <c r="AH987" s="246"/>
      <c r="AI987" s="160"/>
      <c r="AJ987" s="246"/>
      <c r="AK987" s="246"/>
      <c r="AL987" s="246"/>
      <c r="AM987" s="246"/>
      <c r="AN987" s="246"/>
      <c r="AO987" s="246"/>
      <c r="AP987" s="246"/>
      <c r="AQ987" s="246"/>
      <c r="AR987" s="246"/>
      <c r="AS987" s="246"/>
      <c r="AT987" s="246"/>
      <c r="AU987" s="246"/>
      <c r="AV987" s="246"/>
      <c r="AW987" s="160"/>
      <c r="AX987" s="160"/>
      <c r="AY987" s="247"/>
      <c r="AZ987" s="248"/>
      <c r="BA987" s="248"/>
      <c r="BB987" s="248"/>
      <c r="BC987" s="248"/>
      <c r="BD987" s="3"/>
    </row>
    <row r="988" spans="1:56" ht="15.75" hidden="1" customHeight="1" outlineLevel="1">
      <c r="A988" s="63">
        <v>978</v>
      </c>
      <c r="B988" s="95" t="s">
        <v>619</v>
      </c>
      <c r="C988" s="116"/>
      <c r="D988" s="160"/>
      <c r="E988" s="117"/>
      <c r="F988" s="115"/>
      <c r="G988" s="171"/>
      <c r="H988" s="115"/>
      <c r="I988" s="118"/>
      <c r="J988" s="119"/>
      <c r="K988" s="120"/>
      <c r="L988" s="261"/>
      <c r="M988" s="262"/>
      <c r="N988" s="263"/>
      <c r="O988" s="264"/>
      <c r="P988" s="262"/>
      <c r="Q988" s="262"/>
      <c r="R988" s="262"/>
      <c r="S988" s="262"/>
      <c r="T988" s="262"/>
      <c r="U988" s="262"/>
      <c r="V988" s="262"/>
      <c r="W988" s="117"/>
      <c r="X988" s="246"/>
      <c r="Y988" s="246"/>
      <c r="Z988" s="246"/>
      <c r="AA988" s="160"/>
      <c r="AB988" s="246"/>
      <c r="AC988" s="160"/>
      <c r="AD988" s="246"/>
      <c r="AE988" s="160"/>
      <c r="AF988" s="246"/>
      <c r="AG988" s="160"/>
      <c r="AH988" s="246"/>
      <c r="AI988" s="160"/>
      <c r="AJ988" s="246"/>
      <c r="AK988" s="246"/>
      <c r="AL988" s="246"/>
      <c r="AM988" s="246"/>
      <c r="AN988" s="246"/>
      <c r="AO988" s="246"/>
      <c r="AP988" s="246"/>
      <c r="AQ988" s="246"/>
      <c r="AR988" s="246"/>
      <c r="AS988" s="246"/>
      <c r="AT988" s="246"/>
      <c r="AU988" s="246"/>
      <c r="AV988" s="246"/>
      <c r="AW988" s="160"/>
      <c r="AX988" s="160"/>
      <c r="AY988" s="247"/>
      <c r="AZ988" s="248"/>
      <c r="BA988" s="248"/>
      <c r="BB988" s="248"/>
      <c r="BC988" s="248"/>
      <c r="BD988" s="3"/>
    </row>
    <row r="989" spans="1:56" ht="15.75" hidden="1" customHeight="1" outlineLevel="1">
      <c r="A989" s="63">
        <v>979</v>
      </c>
      <c r="B989" s="95" t="s">
        <v>620</v>
      </c>
      <c r="C989" s="116"/>
      <c r="D989" s="160"/>
      <c r="E989" s="117"/>
      <c r="F989" s="115"/>
      <c r="G989" s="171"/>
      <c r="H989" s="115"/>
      <c r="I989" s="118"/>
      <c r="J989" s="119"/>
      <c r="K989" s="120"/>
      <c r="L989" s="261"/>
      <c r="M989" s="262"/>
      <c r="N989" s="263"/>
      <c r="O989" s="264"/>
      <c r="P989" s="262"/>
      <c r="Q989" s="262"/>
      <c r="R989" s="262"/>
      <c r="S989" s="262"/>
      <c r="T989" s="262"/>
      <c r="U989" s="262"/>
      <c r="V989" s="262"/>
      <c r="W989" s="117"/>
      <c r="X989" s="246"/>
      <c r="Y989" s="246"/>
      <c r="Z989" s="246"/>
      <c r="AA989" s="160"/>
      <c r="AB989" s="246"/>
      <c r="AC989" s="160"/>
      <c r="AD989" s="246"/>
      <c r="AE989" s="160"/>
      <c r="AF989" s="246"/>
      <c r="AG989" s="160"/>
      <c r="AH989" s="246"/>
      <c r="AI989" s="160"/>
      <c r="AJ989" s="246"/>
      <c r="AK989" s="246"/>
      <c r="AL989" s="246"/>
      <c r="AM989" s="246"/>
      <c r="AN989" s="246"/>
      <c r="AO989" s="246"/>
      <c r="AP989" s="246"/>
      <c r="AQ989" s="246"/>
      <c r="AR989" s="246"/>
      <c r="AS989" s="246"/>
      <c r="AT989" s="246"/>
      <c r="AU989" s="246"/>
      <c r="AV989" s="246"/>
      <c r="AW989" s="160"/>
      <c r="AX989" s="160"/>
      <c r="AY989" s="247"/>
      <c r="AZ989" s="248"/>
      <c r="BA989" s="248"/>
      <c r="BB989" s="248"/>
      <c r="BC989" s="248"/>
      <c r="BD989" s="3"/>
    </row>
    <row r="990" spans="1:56" ht="15.75" hidden="1" customHeight="1" outlineLevel="1">
      <c r="A990" s="63">
        <v>980</v>
      </c>
      <c r="B990" s="95" t="s">
        <v>621</v>
      </c>
      <c r="C990" s="116"/>
      <c r="D990" s="160"/>
      <c r="E990" s="117"/>
      <c r="F990" s="115"/>
      <c r="G990" s="171"/>
      <c r="H990" s="115"/>
      <c r="I990" s="118"/>
      <c r="J990" s="119"/>
      <c r="K990" s="120"/>
      <c r="L990" s="261"/>
      <c r="M990" s="262"/>
      <c r="N990" s="263"/>
      <c r="O990" s="264"/>
      <c r="P990" s="262"/>
      <c r="Q990" s="262"/>
      <c r="R990" s="262"/>
      <c r="S990" s="262"/>
      <c r="T990" s="262"/>
      <c r="U990" s="262"/>
      <c r="V990" s="262"/>
      <c r="W990" s="117"/>
      <c r="X990" s="246"/>
      <c r="Y990" s="246"/>
      <c r="Z990" s="246"/>
      <c r="AA990" s="160"/>
      <c r="AB990" s="246"/>
      <c r="AC990" s="160"/>
      <c r="AD990" s="246"/>
      <c r="AE990" s="160"/>
      <c r="AF990" s="246"/>
      <c r="AG990" s="160"/>
      <c r="AH990" s="246"/>
      <c r="AI990" s="160"/>
      <c r="AJ990" s="246"/>
      <c r="AK990" s="246"/>
      <c r="AL990" s="246"/>
      <c r="AM990" s="246"/>
      <c r="AN990" s="246"/>
      <c r="AO990" s="246"/>
      <c r="AP990" s="246"/>
      <c r="AQ990" s="246"/>
      <c r="AR990" s="246"/>
      <c r="AS990" s="246"/>
      <c r="AT990" s="246"/>
      <c r="AU990" s="246"/>
      <c r="AV990" s="246"/>
      <c r="AW990" s="160"/>
      <c r="AX990" s="160"/>
      <c r="AY990" s="247"/>
      <c r="AZ990" s="248"/>
      <c r="BA990" s="248"/>
      <c r="BB990" s="248"/>
      <c r="BC990" s="248"/>
      <c r="BD990" s="3"/>
    </row>
    <row r="991" spans="1:56" ht="15.75" hidden="1" customHeight="1" outlineLevel="1">
      <c r="A991" s="63">
        <v>981</v>
      </c>
      <c r="B991" s="95" t="s">
        <v>622</v>
      </c>
      <c r="C991" s="116"/>
      <c r="D991" s="160"/>
      <c r="E991" s="117"/>
      <c r="F991" s="115"/>
      <c r="G991" s="171"/>
      <c r="H991" s="115"/>
      <c r="I991" s="118"/>
      <c r="J991" s="119"/>
      <c r="K991" s="120"/>
      <c r="L991" s="261"/>
      <c r="M991" s="262"/>
      <c r="N991" s="263"/>
      <c r="O991" s="264"/>
      <c r="P991" s="262"/>
      <c r="Q991" s="262"/>
      <c r="R991" s="262"/>
      <c r="S991" s="262"/>
      <c r="T991" s="262"/>
      <c r="U991" s="262"/>
      <c r="V991" s="262"/>
      <c r="W991" s="117"/>
      <c r="X991" s="246"/>
      <c r="Y991" s="246"/>
      <c r="Z991" s="246"/>
      <c r="AA991" s="160"/>
      <c r="AB991" s="246"/>
      <c r="AC991" s="160"/>
      <c r="AD991" s="246"/>
      <c r="AE991" s="160"/>
      <c r="AF991" s="246"/>
      <c r="AG991" s="160"/>
      <c r="AH991" s="246"/>
      <c r="AI991" s="160"/>
      <c r="AJ991" s="246"/>
      <c r="AK991" s="246"/>
      <c r="AL991" s="246"/>
      <c r="AM991" s="246"/>
      <c r="AN991" s="246"/>
      <c r="AO991" s="246"/>
      <c r="AP991" s="246"/>
      <c r="AQ991" s="246"/>
      <c r="AR991" s="246"/>
      <c r="AS991" s="246"/>
      <c r="AT991" s="246"/>
      <c r="AU991" s="246"/>
      <c r="AV991" s="246"/>
      <c r="AW991" s="160"/>
      <c r="AX991" s="160"/>
      <c r="AY991" s="247"/>
      <c r="AZ991" s="248"/>
      <c r="BA991" s="248"/>
      <c r="BB991" s="248"/>
      <c r="BC991" s="248"/>
      <c r="BD991" s="3"/>
    </row>
    <row r="992" spans="1:56" ht="15.75" hidden="1" customHeight="1" outlineLevel="1">
      <c r="A992" s="63">
        <v>982</v>
      </c>
      <c r="B992" s="95" t="s">
        <v>623</v>
      </c>
      <c r="C992" s="116"/>
      <c r="D992" s="160"/>
      <c r="E992" s="117"/>
      <c r="F992" s="115"/>
      <c r="G992" s="171"/>
      <c r="H992" s="115"/>
      <c r="I992" s="118"/>
      <c r="J992" s="119"/>
      <c r="K992" s="120"/>
      <c r="L992" s="261"/>
      <c r="M992" s="262"/>
      <c r="N992" s="263"/>
      <c r="O992" s="264"/>
      <c r="P992" s="262"/>
      <c r="Q992" s="262"/>
      <c r="R992" s="262"/>
      <c r="S992" s="262"/>
      <c r="T992" s="262"/>
      <c r="U992" s="262"/>
      <c r="V992" s="262"/>
      <c r="W992" s="117"/>
      <c r="X992" s="246"/>
      <c r="Y992" s="246"/>
      <c r="Z992" s="246"/>
      <c r="AA992" s="160"/>
      <c r="AB992" s="246"/>
      <c r="AC992" s="160"/>
      <c r="AD992" s="246"/>
      <c r="AE992" s="160"/>
      <c r="AF992" s="246"/>
      <c r="AG992" s="160"/>
      <c r="AH992" s="246"/>
      <c r="AI992" s="160"/>
      <c r="AJ992" s="246"/>
      <c r="AK992" s="246"/>
      <c r="AL992" s="246"/>
      <c r="AM992" s="246"/>
      <c r="AN992" s="246"/>
      <c r="AO992" s="246"/>
      <c r="AP992" s="246"/>
      <c r="AQ992" s="246"/>
      <c r="AR992" s="246"/>
      <c r="AS992" s="246"/>
      <c r="AT992" s="246"/>
      <c r="AU992" s="246"/>
      <c r="AV992" s="246"/>
      <c r="AW992" s="160"/>
      <c r="AX992" s="160"/>
      <c r="AY992" s="247"/>
      <c r="AZ992" s="248"/>
      <c r="BA992" s="248"/>
      <c r="BB992" s="248"/>
      <c r="BC992" s="248"/>
      <c r="BD992" s="3"/>
    </row>
    <row r="993" spans="1:56" ht="15.75" hidden="1" customHeight="1" outlineLevel="1">
      <c r="A993" s="63">
        <v>983</v>
      </c>
      <c r="B993" s="95" t="s">
        <v>624</v>
      </c>
      <c r="C993" s="116"/>
      <c r="D993" s="160"/>
      <c r="E993" s="117"/>
      <c r="F993" s="115"/>
      <c r="G993" s="171"/>
      <c r="H993" s="115"/>
      <c r="I993" s="118"/>
      <c r="J993" s="119"/>
      <c r="K993" s="120"/>
      <c r="L993" s="261"/>
      <c r="M993" s="262"/>
      <c r="N993" s="263"/>
      <c r="O993" s="264"/>
      <c r="P993" s="262"/>
      <c r="Q993" s="262"/>
      <c r="R993" s="262"/>
      <c r="S993" s="262"/>
      <c r="T993" s="262"/>
      <c r="U993" s="262"/>
      <c r="V993" s="262"/>
      <c r="W993" s="117"/>
      <c r="X993" s="246"/>
      <c r="Y993" s="246"/>
      <c r="Z993" s="246"/>
      <c r="AA993" s="160"/>
      <c r="AB993" s="246"/>
      <c r="AC993" s="160"/>
      <c r="AD993" s="246"/>
      <c r="AE993" s="160"/>
      <c r="AF993" s="246"/>
      <c r="AG993" s="160"/>
      <c r="AH993" s="246"/>
      <c r="AI993" s="160"/>
      <c r="AJ993" s="246"/>
      <c r="AK993" s="246"/>
      <c r="AL993" s="246"/>
      <c r="AM993" s="246"/>
      <c r="AN993" s="246"/>
      <c r="AO993" s="246"/>
      <c r="AP993" s="246"/>
      <c r="AQ993" s="246"/>
      <c r="AR993" s="246"/>
      <c r="AS993" s="246"/>
      <c r="AT993" s="246"/>
      <c r="AU993" s="246"/>
      <c r="AV993" s="246"/>
      <c r="AW993" s="160"/>
      <c r="AX993" s="160"/>
      <c r="AY993" s="247"/>
      <c r="AZ993" s="248"/>
      <c r="BA993" s="248"/>
      <c r="BB993" s="248"/>
      <c r="BC993" s="248"/>
      <c r="BD993" s="3"/>
    </row>
    <row r="994" spans="1:56" ht="15.75" hidden="1" customHeight="1" outlineLevel="1">
      <c r="A994" s="63">
        <v>984</v>
      </c>
      <c r="B994" s="95" t="s">
        <v>625</v>
      </c>
      <c r="C994" s="116"/>
      <c r="D994" s="160"/>
      <c r="E994" s="117"/>
      <c r="F994" s="115"/>
      <c r="G994" s="171"/>
      <c r="H994" s="115"/>
      <c r="I994" s="118"/>
      <c r="J994" s="119"/>
      <c r="K994" s="120"/>
      <c r="L994" s="261"/>
      <c r="M994" s="262"/>
      <c r="N994" s="263"/>
      <c r="O994" s="264"/>
      <c r="P994" s="262"/>
      <c r="Q994" s="262"/>
      <c r="R994" s="262"/>
      <c r="S994" s="262"/>
      <c r="T994" s="262"/>
      <c r="U994" s="262"/>
      <c r="V994" s="262"/>
      <c r="W994" s="117"/>
      <c r="X994" s="246"/>
      <c r="Y994" s="246"/>
      <c r="Z994" s="246"/>
      <c r="AA994" s="160"/>
      <c r="AB994" s="246"/>
      <c r="AC994" s="160"/>
      <c r="AD994" s="246"/>
      <c r="AE994" s="160"/>
      <c r="AF994" s="246"/>
      <c r="AG994" s="160"/>
      <c r="AH994" s="246"/>
      <c r="AI994" s="160"/>
      <c r="AJ994" s="246"/>
      <c r="AK994" s="246"/>
      <c r="AL994" s="246"/>
      <c r="AM994" s="246"/>
      <c r="AN994" s="246"/>
      <c r="AO994" s="246"/>
      <c r="AP994" s="246"/>
      <c r="AQ994" s="246"/>
      <c r="AR994" s="246"/>
      <c r="AS994" s="246"/>
      <c r="AT994" s="246"/>
      <c r="AU994" s="246"/>
      <c r="AV994" s="246"/>
      <c r="AW994" s="160"/>
      <c r="AX994" s="160"/>
      <c r="AY994" s="247"/>
      <c r="AZ994" s="248"/>
      <c r="BA994" s="248"/>
      <c r="BB994" s="248"/>
      <c r="BC994" s="248"/>
      <c r="BD994" s="3"/>
    </row>
    <row r="995" spans="1:56" ht="15.75" hidden="1" customHeight="1" outlineLevel="1">
      <c r="A995" s="63">
        <v>985</v>
      </c>
      <c r="B995" s="95" t="s">
        <v>626</v>
      </c>
      <c r="C995" s="116"/>
      <c r="D995" s="160"/>
      <c r="E995" s="117"/>
      <c r="F995" s="115"/>
      <c r="G995" s="171"/>
      <c r="H995" s="115"/>
      <c r="I995" s="118"/>
      <c r="J995" s="119"/>
      <c r="K995" s="120"/>
      <c r="L995" s="261"/>
      <c r="M995" s="262"/>
      <c r="N995" s="263"/>
      <c r="O995" s="264"/>
      <c r="P995" s="262"/>
      <c r="Q995" s="262"/>
      <c r="R995" s="262"/>
      <c r="S995" s="262"/>
      <c r="T995" s="262"/>
      <c r="U995" s="262"/>
      <c r="V995" s="262"/>
      <c r="W995" s="117"/>
      <c r="X995" s="246"/>
      <c r="Y995" s="246"/>
      <c r="Z995" s="246"/>
      <c r="AA995" s="160"/>
      <c r="AB995" s="246"/>
      <c r="AC995" s="160"/>
      <c r="AD995" s="246"/>
      <c r="AE995" s="160"/>
      <c r="AF995" s="246"/>
      <c r="AG995" s="160"/>
      <c r="AH995" s="246"/>
      <c r="AI995" s="160"/>
      <c r="AJ995" s="246"/>
      <c r="AK995" s="246"/>
      <c r="AL995" s="246"/>
      <c r="AM995" s="246"/>
      <c r="AN995" s="246"/>
      <c r="AO995" s="246"/>
      <c r="AP995" s="246"/>
      <c r="AQ995" s="246"/>
      <c r="AR995" s="246"/>
      <c r="AS995" s="246"/>
      <c r="AT995" s="246"/>
      <c r="AU995" s="246"/>
      <c r="AV995" s="246"/>
      <c r="AW995" s="160"/>
      <c r="AX995" s="160"/>
      <c r="AY995" s="247"/>
      <c r="AZ995" s="248"/>
      <c r="BA995" s="248"/>
      <c r="BB995" s="248"/>
      <c r="BC995" s="248"/>
      <c r="BD995" s="3"/>
    </row>
    <row r="996" spans="1:56" ht="15.75" hidden="1" customHeight="1" outlineLevel="1">
      <c r="A996" s="63">
        <v>986</v>
      </c>
      <c r="B996" s="95" t="s">
        <v>627</v>
      </c>
      <c r="C996" s="116"/>
      <c r="D996" s="160"/>
      <c r="E996" s="117"/>
      <c r="F996" s="115"/>
      <c r="G996" s="171"/>
      <c r="H996" s="115"/>
      <c r="I996" s="118"/>
      <c r="J996" s="119"/>
      <c r="K996" s="120"/>
      <c r="L996" s="261"/>
      <c r="M996" s="262"/>
      <c r="N996" s="263"/>
      <c r="O996" s="264"/>
      <c r="P996" s="262"/>
      <c r="Q996" s="262"/>
      <c r="R996" s="262"/>
      <c r="S996" s="262"/>
      <c r="T996" s="262"/>
      <c r="U996" s="262"/>
      <c r="V996" s="262"/>
      <c r="W996" s="117"/>
      <c r="X996" s="246"/>
      <c r="Y996" s="246"/>
      <c r="Z996" s="246"/>
      <c r="AA996" s="160"/>
      <c r="AB996" s="246"/>
      <c r="AC996" s="160"/>
      <c r="AD996" s="246"/>
      <c r="AE996" s="160"/>
      <c r="AF996" s="246"/>
      <c r="AG996" s="160"/>
      <c r="AH996" s="246"/>
      <c r="AI996" s="160"/>
      <c r="AJ996" s="246"/>
      <c r="AK996" s="246"/>
      <c r="AL996" s="246"/>
      <c r="AM996" s="246"/>
      <c r="AN996" s="246"/>
      <c r="AO996" s="246"/>
      <c r="AP996" s="246"/>
      <c r="AQ996" s="246"/>
      <c r="AR996" s="246"/>
      <c r="AS996" s="246"/>
      <c r="AT996" s="246"/>
      <c r="AU996" s="246"/>
      <c r="AV996" s="246"/>
      <c r="AW996" s="160"/>
      <c r="AX996" s="160"/>
      <c r="AY996" s="247"/>
      <c r="AZ996" s="248"/>
      <c r="BA996" s="248"/>
      <c r="BB996" s="248"/>
      <c r="BC996" s="248"/>
      <c r="BD996" s="3"/>
    </row>
    <row r="997" spans="1:56" ht="15.75" hidden="1" customHeight="1" outlineLevel="1">
      <c r="A997" s="63">
        <v>987</v>
      </c>
      <c r="B997" s="95" t="s">
        <v>628</v>
      </c>
      <c r="C997" s="116"/>
      <c r="D997" s="160"/>
      <c r="E997" s="117"/>
      <c r="F997" s="115"/>
      <c r="G997" s="171"/>
      <c r="H997" s="115"/>
      <c r="I997" s="118"/>
      <c r="J997" s="119"/>
      <c r="K997" s="120"/>
      <c r="L997" s="261"/>
      <c r="M997" s="262"/>
      <c r="N997" s="263"/>
      <c r="O997" s="264"/>
      <c r="P997" s="262"/>
      <c r="Q997" s="262"/>
      <c r="R997" s="262"/>
      <c r="S997" s="262"/>
      <c r="T997" s="262"/>
      <c r="U997" s="262"/>
      <c r="V997" s="262"/>
      <c r="W997" s="117"/>
      <c r="X997" s="246"/>
      <c r="Y997" s="246"/>
      <c r="Z997" s="246"/>
      <c r="AA997" s="160"/>
      <c r="AB997" s="246"/>
      <c r="AC997" s="160"/>
      <c r="AD997" s="246"/>
      <c r="AE997" s="160"/>
      <c r="AF997" s="246"/>
      <c r="AG997" s="160"/>
      <c r="AH997" s="246"/>
      <c r="AI997" s="160"/>
      <c r="AJ997" s="246"/>
      <c r="AK997" s="246"/>
      <c r="AL997" s="246"/>
      <c r="AM997" s="246"/>
      <c r="AN997" s="246"/>
      <c r="AO997" s="246"/>
      <c r="AP997" s="246"/>
      <c r="AQ997" s="246"/>
      <c r="AR997" s="246"/>
      <c r="AS997" s="246"/>
      <c r="AT997" s="246"/>
      <c r="AU997" s="246"/>
      <c r="AV997" s="246"/>
      <c r="AW997" s="160"/>
      <c r="AX997" s="160"/>
      <c r="AY997" s="247"/>
      <c r="AZ997" s="248"/>
      <c r="BA997" s="248"/>
      <c r="BB997" s="248"/>
      <c r="BC997" s="248"/>
      <c r="BD997" s="3"/>
    </row>
    <row r="998" spans="1:56" ht="15.75" hidden="1" customHeight="1" outlineLevel="1">
      <c r="A998" s="63">
        <v>988</v>
      </c>
      <c r="B998" s="95" t="s">
        <v>629</v>
      </c>
      <c r="C998" s="116"/>
      <c r="D998" s="160"/>
      <c r="E998" s="117"/>
      <c r="F998" s="115"/>
      <c r="G998" s="171"/>
      <c r="H998" s="115"/>
      <c r="I998" s="118"/>
      <c r="J998" s="119"/>
      <c r="K998" s="120"/>
      <c r="L998" s="261"/>
      <c r="M998" s="262"/>
      <c r="N998" s="263"/>
      <c r="O998" s="264"/>
      <c r="P998" s="262"/>
      <c r="Q998" s="262"/>
      <c r="R998" s="262"/>
      <c r="S998" s="262"/>
      <c r="T998" s="262"/>
      <c r="U998" s="262"/>
      <c r="V998" s="262"/>
      <c r="W998" s="117"/>
      <c r="X998" s="246"/>
      <c r="Y998" s="246"/>
      <c r="Z998" s="246"/>
      <c r="AA998" s="160"/>
      <c r="AB998" s="246"/>
      <c r="AC998" s="160"/>
      <c r="AD998" s="246"/>
      <c r="AE998" s="160"/>
      <c r="AF998" s="246"/>
      <c r="AG998" s="160"/>
      <c r="AH998" s="246"/>
      <c r="AI998" s="160"/>
      <c r="AJ998" s="246"/>
      <c r="AK998" s="246"/>
      <c r="AL998" s="246"/>
      <c r="AM998" s="246"/>
      <c r="AN998" s="246"/>
      <c r="AO998" s="246"/>
      <c r="AP998" s="246"/>
      <c r="AQ998" s="246"/>
      <c r="AR998" s="246"/>
      <c r="AS998" s="246"/>
      <c r="AT998" s="246"/>
      <c r="AU998" s="246"/>
      <c r="AV998" s="246"/>
      <c r="AW998" s="160"/>
      <c r="AX998" s="160"/>
      <c r="AY998" s="247"/>
      <c r="AZ998" s="248"/>
      <c r="BA998" s="248"/>
      <c r="BB998" s="248"/>
      <c r="BC998" s="248"/>
      <c r="BD998" s="3"/>
    </row>
    <row r="999" spans="1:56" ht="15.75" hidden="1" customHeight="1" outlineLevel="1">
      <c r="A999" s="63">
        <v>989</v>
      </c>
      <c r="B999" s="95" t="s">
        <v>630</v>
      </c>
      <c r="C999" s="116"/>
      <c r="D999" s="160"/>
      <c r="E999" s="117"/>
      <c r="F999" s="115"/>
      <c r="G999" s="171"/>
      <c r="H999" s="115"/>
      <c r="I999" s="118"/>
      <c r="J999" s="119"/>
      <c r="K999" s="120"/>
      <c r="L999" s="261"/>
      <c r="M999" s="262"/>
      <c r="N999" s="263"/>
      <c r="O999" s="264"/>
      <c r="P999" s="262"/>
      <c r="Q999" s="262"/>
      <c r="R999" s="262"/>
      <c r="S999" s="262"/>
      <c r="T999" s="262"/>
      <c r="U999" s="262"/>
      <c r="V999" s="262"/>
      <c r="W999" s="117"/>
      <c r="X999" s="246"/>
      <c r="Y999" s="246"/>
      <c r="Z999" s="246"/>
      <c r="AA999" s="160"/>
      <c r="AB999" s="246"/>
      <c r="AC999" s="160"/>
      <c r="AD999" s="246"/>
      <c r="AE999" s="160"/>
      <c r="AF999" s="246"/>
      <c r="AG999" s="160"/>
      <c r="AH999" s="246"/>
      <c r="AI999" s="160"/>
      <c r="AJ999" s="246"/>
      <c r="AK999" s="246"/>
      <c r="AL999" s="246"/>
      <c r="AM999" s="246"/>
      <c r="AN999" s="246"/>
      <c r="AO999" s="246"/>
      <c r="AP999" s="246"/>
      <c r="AQ999" s="246"/>
      <c r="AR999" s="246"/>
      <c r="AS999" s="246"/>
      <c r="AT999" s="246"/>
      <c r="AU999" s="246"/>
      <c r="AV999" s="246"/>
      <c r="AW999" s="160"/>
      <c r="AX999" s="160"/>
      <c r="AY999" s="247"/>
      <c r="AZ999" s="248"/>
      <c r="BA999" s="248"/>
      <c r="BB999" s="248"/>
      <c r="BC999" s="248"/>
      <c r="BD999" s="3"/>
    </row>
    <row r="1000" spans="1:56" ht="15.75" hidden="1" customHeight="1" outlineLevel="1">
      <c r="A1000" s="63">
        <v>990</v>
      </c>
      <c r="B1000" s="95" t="s">
        <v>632</v>
      </c>
      <c r="C1000" s="116"/>
      <c r="D1000" s="160"/>
      <c r="E1000" s="117"/>
      <c r="F1000" s="115"/>
      <c r="G1000" s="171"/>
      <c r="H1000" s="115"/>
      <c r="I1000" s="118"/>
      <c r="J1000" s="119"/>
      <c r="K1000" s="120"/>
      <c r="L1000" s="261"/>
      <c r="M1000" s="262"/>
      <c r="N1000" s="263"/>
      <c r="O1000" s="264"/>
      <c r="P1000" s="262"/>
      <c r="Q1000" s="262"/>
      <c r="R1000" s="262"/>
      <c r="S1000" s="262"/>
      <c r="T1000" s="262"/>
      <c r="U1000" s="262"/>
      <c r="V1000" s="262"/>
      <c r="W1000" s="117"/>
      <c r="X1000" s="246"/>
      <c r="Y1000" s="246"/>
      <c r="Z1000" s="246"/>
      <c r="AA1000" s="160"/>
      <c r="AB1000" s="246"/>
      <c r="AC1000" s="160"/>
      <c r="AD1000" s="246"/>
      <c r="AE1000" s="160"/>
      <c r="AF1000" s="246"/>
      <c r="AG1000" s="160"/>
      <c r="AH1000" s="246"/>
      <c r="AI1000" s="160"/>
      <c r="AJ1000" s="246"/>
      <c r="AK1000" s="246"/>
      <c r="AL1000" s="246"/>
      <c r="AM1000" s="246"/>
      <c r="AN1000" s="246"/>
      <c r="AO1000" s="246"/>
      <c r="AP1000" s="246"/>
      <c r="AQ1000" s="246"/>
      <c r="AR1000" s="246"/>
      <c r="AS1000" s="246"/>
      <c r="AT1000" s="246"/>
      <c r="AU1000" s="246"/>
      <c r="AV1000" s="246"/>
      <c r="AW1000" s="160"/>
      <c r="AX1000" s="160"/>
      <c r="AY1000" s="247"/>
      <c r="AZ1000" s="248"/>
      <c r="BA1000" s="248"/>
      <c r="BB1000" s="248"/>
      <c r="BC1000" s="248"/>
      <c r="BD1000" s="3"/>
    </row>
    <row r="1001" spans="1:56" ht="15.75" hidden="1" customHeight="1" outlineLevel="1">
      <c r="A1001" s="63">
        <v>991</v>
      </c>
      <c r="B1001" s="95" t="s">
        <v>633</v>
      </c>
      <c r="C1001" s="116"/>
      <c r="D1001" s="160"/>
      <c r="E1001" s="117"/>
      <c r="F1001" s="115"/>
      <c r="G1001" s="171"/>
      <c r="H1001" s="115"/>
      <c r="I1001" s="118"/>
      <c r="J1001" s="119"/>
      <c r="K1001" s="120"/>
      <c r="L1001" s="261"/>
      <c r="M1001" s="262"/>
      <c r="N1001" s="263"/>
      <c r="O1001" s="264"/>
      <c r="P1001" s="262"/>
      <c r="Q1001" s="262"/>
      <c r="R1001" s="262"/>
      <c r="S1001" s="262"/>
      <c r="T1001" s="262"/>
      <c r="U1001" s="262"/>
      <c r="V1001" s="262"/>
      <c r="W1001" s="117"/>
      <c r="X1001" s="246"/>
      <c r="Y1001" s="246"/>
      <c r="Z1001" s="246"/>
      <c r="AA1001" s="160"/>
      <c r="AB1001" s="246"/>
      <c r="AC1001" s="160"/>
      <c r="AD1001" s="246"/>
      <c r="AE1001" s="160"/>
      <c r="AF1001" s="246"/>
      <c r="AG1001" s="160"/>
      <c r="AH1001" s="246"/>
      <c r="AI1001" s="160"/>
      <c r="AJ1001" s="246"/>
      <c r="AK1001" s="246"/>
      <c r="AL1001" s="246"/>
      <c r="AM1001" s="246"/>
      <c r="AN1001" s="246"/>
      <c r="AO1001" s="246"/>
      <c r="AP1001" s="246"/>
      <c r="AQ1001" s="246"/>
      <c r="AR1001" s="246"/>
      <c r="AS1001" s="246"/>
      <c r="AT1001" s="246"/>
      <c r="AU1001" s="246"/>
      <c r="AV1001" s="246"/>
      <c r="AW1001" s="160"/>
      <c r="AX1001" s="160"/>
      <c r="AY1001" s="247"/>
      <c r="AZ1001" s="248"/>
      <c r="BA1001" s="248"/>
      <c r="BB1001" s="248"/>
      <c r="BC1001" s="248"/>
      <c r="BD1001" s="3"/>
    </row>
    <row r="1002" spans="1:56" ht="15.75" hidden="1" customHeight="1" outlineLevel="1">
      <c r="A1002" s="63">
        <v>992</v>
      </c>
      <c r="B1002" s="95" t="s">
        <v>634</v>
      </c>
      <c r="C1002" s="116"/>
      <c r="D1002" s="160"/>
      <c r="E1002" s="117"/>
      <c r="F1002" s="115"/>
      <c r="G1002" s="171"/>
      <c r="H1002" s="115"/>
      <c r="I1002" s="118"/>
      <c r="J1002" s="119"/>
      <c r="K1002" s="120"/>
      <c r="L1002" s="261"/>
      <c r="M1002" s="262"/>
      <c r="N1002" s="263"/>
      <c r="O1002" s="264"/>
      <c r="P1002" s="262"/>
      <c r="Q1002" s="262"/>
      <c r="R1002" s="262"/>
      <c r="S1002" s="262"/>
      <c r="T1002" s="262"/>
      <c r="U1002" s="262"/>
      <c r="V1002" s="262"/>
      <c r="W1002" s="117"/>
      <c r="X1002" s="246"/>
      <c r="Y1002" s="246"/>
      <c r="Z1002" s="246"/>
      <c r="AA1002" s="160"/>
      <c r="AB1002" s="246"/>
      <c r="AC1002" s="160"/>
      <c r="AD1002" s="246"/>
      <c r="AE1002" s="160"/>
      <c r="AF1002" s="246"/>
      <c r="AG1002" s="160"/>
      <c r="AH1002" s="246"/>
      <c r="AI1002" s="160"/>
      <c r="AJ1002" s="246"/>
      <c r="AK1002" s="246"/>
      <c r="AL1002" s="246"/>
      <c r="AM1002" s="246"/>
      <c r="AN1002" s="246"/>
      <c r="AO1002" s="246"/>
      <c r="AP1002" s="246"/>
      <c r="AQ1002" s="246"/>
      <c r="AR1002" s="246"/>
      <c r="AS1002" s="246"/>
      <c r="AT1002" s="246"/>
      <c r="AU1002" s="246"/>
      <c r="AV1002" s="246"/>
      <c r="AW1002" s="160"/>
      <c r="AX1002" s="160"/>
      <c r="AY1002" s="247"/>
      <c r="AZ1002" s="248"/>
      <c r="BA1002" s="248"/>
      <c r="BB1002" s="248"/>
      <c r="BC1002" s="248"/>
      <c r="BD1002" s="3"/>
    </row>
    <row r="1003" spans="1:56" ht="15.75" hidden="1" customHeight="1" outlineLevel="1">
      <c r="A1003" s="63">
        <v>993</v>
      </c>
      <c r="B1003" s="95" t="s">
        <v>635</v>
      </c>
      <c r="C1003" s="116"/>
      <c r="D1003" s="160"/>
      <c r="E1003" s="117"/>
      <c r="F1003" s="115"/>
      <c r="G1003" s="171"/>
      <c r="H1003" s="115"/>
      <c r="I1003" s="118"/>
      <c r="J1003" s="119"/>
      <c r="K1003" s="120"/>
      <c r="L1003" s="261"/>
      <c r="M1003" s="262"/>
      <c r="N1003" s="263"/>
      <c r="O1003" s="264"/>
      <c r="P1003" s="262"/>
      <c r="Q1003" s="262"/>
      <c r="R1003" s="262"/>
      <c r="S1003" s="262"/>
      <c r="T1003" s="262"/>
      <c r="U1003" s="262"/>
      <c r="V1003" s="262"/>
      <c r="W1003" s="117"/>
      <c r="X1003" s="246"/>
      <c r="Y1003" s="246"/>
      <c r="Z1003" s="246"/>
      <c r="AA1003" s="160"/>
      <c r="AB1003" s="246"/>
      <c r="AC1003" s="160"/>
      <c r="AD1003" s="246"/>
      <c r="AE1003" s="160"/>
      <c r="AF1003" s="246"/>
      <c r="AG1003" s="160"/>
      <c r="AH1003" s="246"/>
      <c r="AI1003" s="160"/>
      <c r="AJ1003" s="246"/>
      <c r="AK1003" s="246"/>
      <c r="AL1003" s="246"/>
      <c r="AM1003" s="246"/>
      <c r="AN1003" s="246"/>
      <c r="AO1003" s="246"/>
      <c r="AP1003" s="246"/>
      <c r="AQ1003" s="246"/>
      <c r="AR1003" s="246"/>
      <c r="AS1003" s="246"/>
      <c r="AT1003" s="246"/>
      <c r="AU1003" s="246"/>
      <c r="AV1003" s="246"/>
      <c r="AW1003" s="160"/>
      <c r="AX1003" s="160"/>
      <c r="AY1003" s="247"/>
      <c r="AZ1003" s="248"/>
      <c r="BA1003" s="248"/>
      <c r="BB1003" s="248"/>
      <c r="BC1003" s="248"/>
      <c r="BD1003" s="3"/>
    </row>
    <row r="1004" spans="1:56" ht="15.75" hidden="1" customHeight="1" outlineLevel="1">
      <c r="A1004" s="63">
        <v>994</v>
      </c>
      <c r="B1004" s="95" t="s">
        <v>636</v>
      </c>
      <c r="C1004" s="116"/>
      <c r="D1004" s="160"/>
      <c r="E1004" s="117"/>
      <c r="F1004" s="115"/>
      <c r="G1004" s="171"/>
      <c r="H1004" s="115"/>
      <c r="I1004" s="118"/>
      <c r="J1004" s="119"/>
      <c r="K1004" s="120"/>
      <c r="L1004" s="261"/>
      <c r="M1004" s="262"/>
      <c r="N1004" s="263"/>
      <c r="O1004" s="264"/>
      <c r="P1004" s="262"/>
      <c r="Q1004" s="262"/>
      <c r="R1004" s="262"/>
      <c r="S1004" s="262"/>
      <c r="T1004" s="262"/>
      <c r="U1004" s="262"/>
      <c r="V1004" s="262"/>
      <c r="W1004" s="117"/>
      <c r="X1004" s="246"/>
      <c r="Y1004" s="246"/>
      <c r="Z1004" s="246"/>
      <c r="AA1004" s="160"/>
      <c r="AB1004" s="246"/>
      <c r="AC1004" s="160"/>
      <c r="AD1004" s="246"/>
      <c r="AE1004" s="160"/>
      <c r="AF1004" s="246"/>
      <c r="AG1004" s="160"/>
      <c r="AH1004" s="246"/>
      <c r="AI1004" s="160"/>
      <c r="AJ1004" s="246"/>
      <c r="AK1004" s="246"/>
      <c r="AL1004" s="246"/>
      <c r="AM1004" s="246"/>
      <c r="AN1004" s="246"/>
      <c r="AO1004" s="246"/>
      <c r="AP1004" s="246"/>
      <c r="AQ1004" s="246"/>
      <c r="AR1004" s="246"/>
      <c r="AS1004" s="246"/>
      <c r="AT1004" s="246"/>
      <c r="AU1004" s="246"/>
      <c r="AV1004" s="246"/>
      <c r="AW1004" s="160"/>
      <c r="AX1004" s="160"/>
      <c r="AY1004" s="247"/>
      <c r="AZ1004" s="248"/>
      <c r="BA1004" s="248"/>
      <c r="BB1004" s="248"/>
      <c r="BC1004" s="248"/>
      <c r="BD1004" s="3"/>
    </row>
    <row r="1005" spans="1:56" ht="15.75" hidden="1" customHeight="1" outlineLevel="1">
      <c r="A1005" s="63">
        <v>995</v>
      </c>
      <c r="B1005" s="95" t="s">
        <v>637</v>
      </c>
      <c r="C1005" s="116"/>
      <c r="D1005" s="160"/>
      <c r="E1005" s="117"/>
      <c r="F1005" s="115"/>
      <c r="G1005" s="171"/>
      <c r="H1005" s="115"/>
      <c r="I1005" s="118"/>
      <c r="J1005" s="119"/>
      <c r="K1005" s="120"/>
      <c r="L1005" s="261"/>
      <c r="M1005" s="262"/>
      <c r="N1005" s="263"/>
      <c r="O1005" s="264"/>
      <c r="P1005" s="262"/>
      <c r="Q1005" s="262"/>
      <c r="R1005" s="262"/>
      <c r="S1005" s="262"/>
      <c r="T1005" s="262"/>
      <c r="U1005" s="262"/>
      <c r="V1005" s="262"/>
      <c r="W1005" s="117"/>
      <c r="X1005" s="246"/>
      <c r="Y1005" s="246"/>
      <c r="Z1005" s="246"/>
      <c r="AA1005" s="160"/>
      <c r="AB1005" s="246"/>
      <c r="AC1005" s="160"/>
      <c r="AD1005" s="246"/>
      <c r="AE1005" s="160"/>
      <c r="AF1005" s="246"/>
      <c r="AG1005" s="160"/>
      <c r="AH1005" s="246"/>
      <c r="AI1005" s="160"/>
      <c r="AJ1005" s="246"/>
      <c r="AK1005" s="246"/>
      <c r="AL1005" s="246"/>
      <c r="AM1005" s="246"/>
      <c r="AN1005" s="246"/>
      <c r="AO1005" s="246"/>
      <c r="AP1005" s="246"/>
      <c r="AQ1005" s="246"/>
      <c r="AR1005" s="246"/>
      <c r="AS1005" s="246"/>
      <c r="AT1005" s="246"/>
      <c r="AU1005" s="246"/>
      <c r="AV1005" s="246"/>
      <c r="AW1005" s="160"/>
      <c r="AX1005" s="160"/>
      <c r="AY1005" s="247"/>
      <c r="AZ1005" s="248"/>
      <c r="BA1005" s="248"/>
      <c r="BB1005" s="248"/>
      <c r="BC1005" s="248"/>
      <c r="BD1005" s="3"/>
    </row>
    <row r="1006" spans="1:56" ht="15.75" hidden="1" customHeight="1" outlineLevel="1">
      <c r="A1006" s="63">
        <v>996</v>
      </c>
      <c r="B1006" s="95" t="s">
        <v>638</v>
      </c>
      <c r="C1006" s="116"/>
      <c r="D1006" s="160"/>
      <c r="E1006" s="117"/>
      <c r="F1006" s="115"/>
      <c r="G1006" s="171"/>
      <c r="H1006" s="115"/>
      <c r="I1006" s="118"/>
      <c r="J1006" s="119"/>
      <c r="K1006" s="120"/>
      <c r="L1006" s="261"/>
      <c r="M1006" s="262"/>
      <c r="N1006" s="263"/>
      <c r="O1006" s="264"/>
      <c r="P1006" s="262"/>
      <c r="Q1006" s="262"/>
      <c r="R1006" s="262"/>
      <c r="S1006" s="262"/>
      <c r="T1006" s="262"/>
      <c r="U1006" s="262"/>
      <c r="V1006" s="262"/>
      <c r="W1006" s="117"/>
      <c r="X1006" s="246"/>
      <c r="Y1006" s="246"/>
      <c r="Z1006" s="246"/>
      <c r="AA1006" s="160"/>
      <c r="AB1006" s="246"/>
      <c r="AC1006" s="160"/>
      <c r="AD1006" s="246"/>
      <c r="AE1006" s="160"/>
      <c r="AF1006" s="246"/>
      <c r="AG1006" s="160"/>
      <c r="AH1006" s="246"/>
      <c r="AI1006" s="160"/>
      <c r="AJ1006" s="246"/>
      <c r="AK1006" s="246"/>
      <c r="AL1006" s="246"/>
      <c r="AM1006" s="246"/>
      <c r="AN1006" s="246"/>
      <c r="AO1006" s="246"/>
      <c r="AP1006" s="246"/>
      <c r="AQ1006" s="246"/>
      <c r="AR1006" s="246"/>
      <c r="AS1006" s="246"/>
      <c r="AT1006" s="246"/>
      <c r="AU1006" s="246"/>
      <c r="AV1006" s="246"/>
      <c r="AW1006" s="160"/>
      <c r="AX1006" s="160"/>
      <c r="AY1006" s="247"/>
      <c r="AZ1006" s="248"/>
      <c r="BA1006" s="248"/>
      <c r="BB1006" s="248"/>
      <c r="BC1006" s="248"/>
      <c r="BD1006" s="3"/>
    </row>
    <row r="1007" spans="1:56" ht="15.75" hidden="1" customHeight="1" outlineLevel="1">
      <c r="A1007" s="63">
        <v>997</v>
      </c>
      <c r="B1007" s="95" t="s">
        <v>640</v>
      </c>
      <c r="C1007" s="116"/>
      <c r="D1007" s="160"/>
      <c r="E1007" s="117"/>
      <c r="F1007" s="115"/>
      <c r="G1007" s="171"/>
      <c r="H1007" s="115"/>
      <c r="I1007" s="118"/>
      <c r="J1007" s="119"/>
      <c r="K1007" s="120"/>
      <c r="L1007" s="261"/>
      <c r="M1007" s="262"/>
      <c r="N1007" s="263"/>
      <c r="O1007" s="264"/>
      <c r="P1007" s="262"/>
      <c r="Q1007" s="262"/>
      <c r="R1007" s="262"/>
      <c r="S1007" s="262"/>
      <c r="T1007" s="262"/>
      <c r="U1007" s="262"/>
      <c r="V1007" s="262"/>
      <c r="W1007" s="117"/>
      <c r="X1007" s="246"/>
      <c r="Y1007" s="246"/>
      <c r="Z1007" s="246"/>
      <c r="AA1007" s="160"/>
      <c r="AB1007" s="246"/>
      <c r="AC1007" s="160"/>
      <c r="AD1007" s="246"/>
      <c r="AE1007" s="160"/>
      <c r="AF1007" s="246"/>
      <c r="AG1007" s="160"/>
      <c r="AH1007" s="246"/>
      <c r="AI1007" s="160"/>
      <c r="AJ1007" s="246"/>
      <c r="AK1007" s="246"/>
      <c r="AL1007" s="246"/>
      <c r="AM1007" s="246"/>
      <c r="AN1007" s="246"/>
      <c r="AO1007" s="246"/>
      <c r="AP1007" s="246"/>
      <c r="AQ1007" s="246"/>
      <c r="AR1007" s="246"/>
      <c r="AS1007" s="246"/>
      <c r="AT1007" s="246"/>
      <c r="AU1007" s="246"/>
      <c r="AV1007" s="246"/>
      <c r="AW1007" s="160"/>
      <c r="AX1007" s="160"/>
      <c r="AY1007" s="247"/>
      <c r="AZ1007" s="248"/>
      <c r="BA1007" s="248"/>
      <c r="BB1007" s="248"/>
      <c r="BC1007" s="248"/>
      <c r="BD1007" s="3"/>
    </row>
    <row r="1008" spans="1:56" ht="15.75" hidden="1" customHeight="1" outlineLevel="1">
      <c r="A1008" s="63">
        <v>998</v>
      </c>
      <c r="B1008" s="95" t="s">
        <v>641</v>
      </c>
      <c r="C1008" s="116"/>
      <c r="D1008" s="160"/>
      <c r="E1008" s="117"/>
      <c r="F1008" s="115"/>
      <c r="G1008" s="171"/>
      <c r="H1008" s="115"/>
      <c r="I1008" s="118"/>
      <c r="J1008" s="119"/>
      <c r="K1008" s="120"/>
      <c r="L1008" s="261"/>
      <c r="M1008" s="262"/>
      <c r="N1008" s="263"/>
      <c r="O1008" s="264"/>
      <c r="P1008" s="262"/>
      <c r="Q1008" s="262"/>
      <c r="R1008" s="262"/>
      <c r="S1008" s="262"/>
      <c r="T1008" s="262"/>
      <c r="U1008" s="262"/>
      <c r="V1008" s="262"/>
      <c r="W1008" s="117"/>
      <c r="X1008" s="246"/>
      <c r="Y1008" s="246"/>
      <c r="Z1008" s="246"/>
      <c r="AA1008" s="160"/>
      <c r="AB1008" s="246"/>
      <c r="AC1008" s="160"/>
      <c r="AD1008" s="246"/>
      <c r="AE1008" s="160"/>
      <c r="AF1008" s="246"/>
      <c r="AG1008" s="160"/>
      <c r="AH1008" s="246"/>
      <c r="AI1008" s="160"/>
      <c r="AJ1008" s="246"/>
      <c r="AK1008" s="246"/>
      <c r="AL1008" s="246"/>
      <c r="AM1008" s="246"/>
      <c r="AN1008" s="246"/>
      <c r="AO1008" s="246"/>
      <c r="AP1008" s="246"/>
      <c r="AQ1008" s="246"/>
      <c r="AR1008" s="246"/>
      <c r="AS1008" s="246"/>
      <c r="AT1008" s="246"/>
      <c r="AU1008" s="246"/>
      <c r="AV1008" s="246"/>
      <c r="AW1008" s="160"/>
      <c r="AX1008" s="160"/>
      <c r="AY1008" s="247"/>
      <c r="AZ1008" s="248"/>
      <c r="BA1008" s="248"/>
      <c r="BB1008" s="248"/>
      <c r="BC1008" s="248"/>
      <c r="BD1008" s="3"/>
    </row>
    <row r="1009" spans="1:56" ht="15.75" hidden="1" customHeight="1" outlineLevel="1">
      <c r="A1009" s="63">
        <v>999</v>
      </c>
      <c r="B1009" s="95" t="s">
        <v>643</v>
      </c>
      <c r="C1009" s="116"/>
      <c r="D1009" s="160"/>
      <c r="E1009" s="117"/>
      <c r="F1009" s="115"/>
      <c r="G1009" s="171"/>
      <c r="H1009" s="115"/>
      <c r="I1009" s="118"/>
      <c r="J1009" s="119"/>
      <c r="K1009" s="120"/>
      <c r="L1009" s="261"/>
      <c r="M1009" s="262"/>
      <c r="N1009" s="263"/>
      <c r="O1009" s="264"/>
      <c r="P1009" s="262"/>
      <c r="Q1009" s="262"/>
      <c r="R1009" s="262"/>
      <c r="S1009" s="262"/>
      <c r="T1009" s="262"/>
      <c r="U1009" s="262"/>
      <c r="V1009" s="262"/>
      <c r="W1009" s="117"/>
      <c r="X1009" s="246"/>
      <c r="Y1009" s="246"/>
      <c r="Z1009" s="246"/>
      <c r="AA1009" s="160"/>
      <c r="AB1009" s="246"/>
      <c r="AC1009" s="160"/>
      <c r="AD1009" s="246"/>
      <c r="AE1009" s="160"/>
      <c r="AF1009" s="246"/>
      <c r="AG1009" s="160"/>
      <c r="AH1009" s="246"/>
      <c r="AI1009" s="160"/>
      <c r="AJ1009" s="246"/>
      <c r="AK1009" s="246"/>
      <c r="AL1009" s="246"/>
      <c r="AM1009" s="246"/>
      <c r="AN1009" s="246"/>
      <c r="AO1009" s="246"/>
      <c r="AP1009" s="246"/>
      <c r="AQ1009" s="246"/>
      <c r="AR1009" s="246"/>
      <c r="AS1009" s="246"/>
      <c r="AT1009" s="246"/>
      <c r="AU1009" s="246"/>
      <c r="AV1009" s="246"/>
      <c r="AW1009" s="160"/>
      <c r="AX1009" s="160"/>
      <c r="AY1009" s="247"/>
      <c r="AZ1009" s="248"/>
      <c r="BA1009" s="248"/>
      <c r="BB1009" s="248"/>
      <c r="BC1009" s="248"/>
      <c r="BD1009" s="3"/>
    </row>
    <row r="1010" spans="1:56" ht="15.75" hidden="1" customHeight="1" outlineLevel="1">
      <c r="A1010" s="63">
        <v>1000</v>
      </c>
      <c r="B1010" s="95" t="s">
        <v>644</v>
      </c>
      <c r="C1010" s="116"/>
      <c r="D1010" s="160"/>
      <c r="E1010" s="117"/>
      <c r="F1010" s="115"/>
      <c r="G1010" s="171"/>
      <c r="H1010" s="115"/>
      <c r="I1010" s="118"/>
      <c r="J1010" s="119"/>
      <c r="K1010" s="120"/>
      <c r="L1010" s="261"/>
      <c r="M1010" s="262"/>
      <c r="N1010" s="263"/>
      <c r="O1010" s="264"/>
      <c r="P1010" s="262"/>
      <c r="Q1010" s="262"/>
      <c r="R1010" s="262"/>
      <c r="S1010" s="262"/>
      <c r="T1010" s="262"/>
      <c r="U1010" s="262"/>
      <c r="V1010" s="262"/>
      <c r="W1010" s="117"/>
      <c r="X1010" s="246"/>
      <c r="Y1010" s="246"/>
      <c r="Z1010" s="246"/>
      <c r="AA1010" s="160"/>
      <c r="AB1010" s="246"/>
      <c r="AC1010" s="160"/>
      <c r="AD1010" s="246"/>
      <c r="AE1010" s="160"/>
      <c r="AF1010" s="246"/>
      <c r="AG1010" s="160"/>
      <c r="AH1010" s="246"/>
      <c r="AI1010" s="160"/>
      <c r="AJ1010" s="246"/>
      <c r="AK1010" s="246"/>
      <c r="AL1010" s="246"/>
      <c r="AM1010" s="246"/>
      <c r="AN1010" s="246"/>
      <c r="AO1010" s="246"/>
      <c r="AP1010" s="246"/>
      <c r="AQ1010" s="246"/>
      <c r="AR1010" s="246"/>
      <c r="AS1010" s="246"/>
      <c r="AT1010" s="246"/>
      <c r="AU1010" s="246"/>
      <c r="AV1010" s="246"/>
      <c r="AW1010" s="160"/>
      <c r="AX1010" s="160"/>
      <c r="AY1010" s="247"/>
      <c r="AZ1010" s="248"/>
      <c r="BA1010" s="248"/>
      <c r="BB1010" s="248"/>
      <c r="BC1010" s="248"/>
      <c r="BD1010" s="3"/>
    </row>
    <row r="1011" spans="1:56" ht="15.75" hidden="1" customHeight="1" outlineLevel="1">
      <c r="A1011" s="63">
        <v>1001</v>
      </c>
      <c r="B1011" s="95" t="s">
        <v>645</v>
      </c>
      <c r="C1011" s="116"/>
      <c r="D1011" s="160"/>
      <c r="E1011" s="117"/>
      <c r="F1011" s="115"/>
      <c r="G1011" s="171"/>
      <c r="H1011" s="115"/>
      <c r="I1011" s="118"/>
      <c r="J1011" s="119"/>
      <c r="K1011" s="120"/>
      <c r="L1011" s="261"/>
      <c r="M1011" s="262"/>
      <c r="N1011" s="263"/>
      <c r="O1011" s="264"/>
      <c r="P1011" s="262"/>
      <c r="Q1011" s="262"/>
      <c r="R1011" s="262"/>
      <c r="S1011" s="262"/>
      <c r="T1011" s="262"/>
      <c r="U1011" s="262"/>
      <c r="V1011" s="262"/>
      <c r="W1011" s="117"/>
      <c r="X1011" s="246"/>
      <c r="Y1011" s="246"/>
      <c r="Z1011" s="246"/>
      <c r="AA1011" s="160"/>
      <c r="AB1011" s="246"/>
      <c r="AC1011" s="160"/>
      <c r="AD1011" s="246"/>
      <c r="AE1011" s="160"/>
      <c r="AF1011" s="246"/>
      <c r="AG1011" s="160"/>
      <c r="AH1011" s="246"/>
      <c r="AI1011" s="160"/>
      <c r="AJ1011" s="246"/>
      <c r="AK1011" s="246"/>
      <c r="AL1011" s="246"/>
      <c r="AM1011" s="246"/>
      <c r="AN1011" s="246"/>
      <c r="AO1011" s="246"/>
      <c r="AP1011" s="246"/>
      <c r="AQ1011" s="246"/>
      <c r="AR1011" s="246"/>
      <c r="AS1011" s="246"/>
      <c r="AT1011" s="246"/>
      <c r="AU1011" s="246"/>
      <c r="AV1011" s="246"/>
      <c r="AW1011" s="160"/>
      <c r="AX1011" s="160"/>
      <c r="AY1011" s="247"/>
      <c r="AZ1011" s="248"/>
      <c r="BA1011" s="248"/>
      <c r="BB1011" s="248"/>
      <c r="BC1011" s="248"/>
      <c r="BD1011" s="3"/>
    </row>
    <row r="1012" spans="1:56" ht="15.75" hidden="1" customHeight="1" outlineLevel="1">
      <c r="A1012" s="63">
        <v>1002</v>
      </c>
      <c r="B1012" s="95" t="s">
        <v>646</v>
      </c>
      <c r="C1012" s="116"/>
      <c r="D1012" s="160"/>
      <c r="E1012" s="117"/>
      <c r="F1012" s="115"/>
      <c r="G1012" s="171"/>
      <c r="H1012" s="115"/>
      <c r="I1012" s="118"/>
      <c r="J1012" s="119"/>
      <c r="K1012" s="120"/>
      <c r="L1012" s="261"/>
      <c r="M1012" s="262"/>
      <c r="N1012" s="263"/>
      <c r="O1012" s="264"/>
      <c r="P1012" s="262"/>
      <c r="Q1012" s="262"/>
      <c r="R1012" s="262"/>
      <c r="S1012" s="262"/>
      <c r="T1012" s="262"/>
      <c r="U1012" s="262"/>
      <c r="V1012" s="262"/>
      <c r="W1012" s="117"/>
      <c r="X1012" s="246"/>
      <c r="Y1012" s="246"/>
      <c r="Z1012" s="246"/>
      <c r="AA1012" s="160"/>
      <c r="AB1012" s="246"/>
      <c r="AC1012" s="160"/>
      <c r="AD1012" s="246"/>
      <c r="AE1012" s="160"/>
      <c r="AF1012" s="246"/>
      <c r="AG1012" s="160"/>
      <c r="AH1012" s="246"/>
      <c r="AI1012" s="160"/>
      <c r="AJ1012" s="246"/>
      <c r="AK1012" s="246"/>
      <c r="AL1012" s="246"/>
      <c r="AM1012" s="246"/>
      <c r="AN1012" s="246"/>
      <c r="AO1012" s="246"/>
      <c r="AP1012" s="246"/>
      <c r="AQ1012" s="246"/>
      <c r="AR1012" s="246"/>
      <c r="AS1012" s="246"/>
      <c r="AT1012" s="246"/>
      <c r="AU1012" s="246"/>
      <c r="AV1012" s="246"/>
      <c r="AW1012" s="160"/>
      <c r="AX1012" s="160"/>
      <c r="AY1012" s="247"/>
      <c r="AZ1012" s="248"/>
      <c r="BA1012" s="248"/>
      <c r="BB1012" s="248"/>
      <c r="BC1012" s="248"/>
      <c r="BD1012" s="3"/>
    </row>
    <row r="1013" spans="1:56" ht="15.75" hidden="1" customHeight="1" outlineLevel="1">
      <c r="A1013" s="63">
        <v>1003</v>
      </c>
      <c r="B1013" s="95" t="s">
        <v>647</v>
      </c>
      <c r="C1013" s="116"/>
      <c r="D1013" s="160"/>
      <c r="E1013" s="117"/>
      <c r="F1013" s="115"/>
      <c r="G1013" s="171"/>
      <c r="H1013" s="115"/>
      <c r="I1013" s="118"/>
      <c r="J1013" s="119"/>
      <c r="K1013" s="120"/>
      <c r="L1013" s="261"/>
      <c r="M1013" s="262"/>
      <c r="N1013" s="263"/>
      <c r="O1013" s="264"/>
      <c r="P1013" s="262"/>
      <c r="Q1013" s="262"/>
      <c r="R1013" s="262"/>
      <c r="S1013" s="262"/>
      <c r="T1013" s="262"/>
      <c r="U1013" s="262"/>
      <c r="V1013" s="262"/>
      <c r="W1013" s="117"/>
      <c r="X1013" s="246"/>
      <c r="Y1013" s="246"/>
      <c r="Z1013" s="246"/>
      <c r="AA1013" s="160"/>
      <c r="AB1013" s="246"/>
      <c r="AC1013" s="160"/>
      <c r="AD1013" s="246"/>
      <c r="AE1013" s="160"/>
      <c r="AF1013" s="246"/>
      <c r="AG1013" s="160"/>
      <c r="AH1013" s="246"/>
      <c r="AI1013" s="160"/>
      <c r="AJ1013" s="246"/>
      <c r="AK1013" s="246"/>
      <c r="AL1013" s="246"/>
      <c r="AM1013" s="246"/>
      <c r="AN1013" s="246"/>
      <c r="AO1013" s="246"/>
      <c r="AP1013" s="246"/>
      <c r="AQ1013" s="246"/>
      <c r="AR1013" s="246"/>
      <c r="AS1013" s="246"/>
      <c r="AT1013" s="246"/>
      <c r="AU1013" s="246"/>
      <c r="AV1013" s="246"/>
      <c r="AW1013" s="160"/>
      <c r="AX1013" s="160"/>
      <c r="AY1013" s="247"/>
      <c r="AZ1013" s="248"/>
      <c r="BA1013" s="248"/>
      <c r="BB1013" s="248"/>
      <c r="BC1013" s="248"/>
      <c r="BD1013" s="3"/>
    </row>
    <row r="1014" spans="1:56" ht="15.75" hidden="1" customHeight="1" outlineLevel="1">
      <c r="A1014" s="63">
        <v>1004</v>
      </c>
      <c r="B1014" s="95" t="s">
        <v>648</v>
      </c>
      <c r="C1014" s="116"/>
      <c r="D1014" s="160"/>
      <c r="E1014" s="117"/>
      <c r="F1014" s="115"/>
      <c r="G1014" s="171"/>
      <c r="H1014" s="115"/>
      <c r="I1014" s="118"/>
      <c r="J1014" s="119"/>
      <c r="K1014" s="120"/>
      <c r="L1014" s="261"/>
      <c r="M1014" s="262"/>
      <c r="N1014" s="263"/>
      <c r="O1014" s="264"/>
      <c r="P1014" s="262"/>
      <c r="Q1014" s="262"/>
      <c r="R1014" s="262"/>
      <c r="S1014" s="262"/>
      <c r="T1014" s="262"/>
      <c r="U1014" s="262"/>
      <c r="V1014" s="262"/>
      <c r="W1014" s="117"/>
      <c r="X1014" s="246"/>
      <c r="Y1014" s="246"/>
      <c r="Z1014" s="246"/>
      <c r="AA1014" s="160"/>
      <c r="AB1014" s="246"/>
      <c r="AC1014" s="160"/>
      <c r="AD1014" s="246"/>
      <c r="AE1014" s="160"/>
      <c r="AF1014" s="246"/>
      <c r="AG1014" s="160"/>
      <c r="AH1014" s="246"/>
      <c r="AI1014" s="160"/>
      <c r="AJ1014" s="246"/>
      <c r="AK1014" s="246"/>
      <c r="AL1014" s="246"/>
      <c r="AM1014" s="246"/>
      <c r="AN1014" s="246"/>
      <c r="AO1014" s="246"/>
      <c r="AP1014" s="246"/>
      <c r="AQ1014" s="246"/>
      <c r="AR1014" s="246"/>
      <c r="AS1014" s="246"/>
      <c r="AT1014" s="246"/>
      <c r="AU1014" s="246"/>
      <c r="AV1014" s="246"/>
      <c r="AW1014" s="160"/>
      <c r="AX1014" s="160"/>
      <c r="AY1014" s="247"/>
      <c r="AZ1014" s="248"/>
      <c r="BA1014" s="248"/>
      <c r="BB1014" s="248"/>
      <c r="BC1014" s="248"/>
      <c r="BD1014" s="3"/>
    </row>
    <row r="1015" spans="1:56" ht="15.75" hidden="1" customHeight="1" outlineLevel="1">
      <c r="A1015" s="63">
        <v>1005</v>
      </c>
      <c r="B1015" s="95" t="s">
        <v>650</v>
      </c>
      <c r="C1015" s="116"/>
      <c r="D1015" s="160"/>
      <c r="E1015" s="117"/>
      <c r="F1015" s="115"/>
      <c r="G1015" s="171"/>
      <c r="H1015" s="115"/>
      <c r="I1015" s="118"/>
      <c r="J1015" s="119"/>
      <c r="K1015" s="120"/>
      <c r="L1015" s="261"/>
      <c r="M1015" s="262"/>
      <c r="N1015" s="263"/>
      <c r="O1015" s="264"/>
      <c r="P1015" s="262"/>
      <c r="Q1015" s="262"/>
      <c r="R1015" s="262"/>
      <c r="S1015" s="262"/>
      <c r="T1015" s="262"/>
      <c r="U1015" s="262"/>
      <c r="V1015" s="262"/>
      <c r="W1015" s="117"/>
      <c r="X1015" s="246"/>
      <c r="Y1015" s="246"/>
      <c r="Z1015" s="246"/>
      <c r="AA1015" s="160"/>
      <c r="AB1015" s="246"/>
      <c r="AC1015" s="160"/>
      <c r="AD1015" s="246"/>
      <c r="AE1015" s="160"/>
      <c r="AF1015" s="246"/>
      <c r="AG1015" s="160"/>
      <c r="AH1015" s="246"/>
      <c r="AI1015" s="160"/>
      <c r="AJ1015" s="246"/>
      <c r="AK1015" s="246"/>
      <c r="AL1015" s="246"/>
      <c r="AM1015" s="246"/>
      <c r="AN1015" s="246"/>
      <c r="AO1015" s="246"/>
      <c r="AP1015" s="246"/>
      <c r="AQ1015" s="246"/>
      <c r="AR1015" s="246"/>
      <c r="AS1015" s="246"/>
      <c r="AT1015" s="246"/>
      <c r="AU1015" s="246"/>
      <c r="AV1015" s="246"/>
      <c r="AW1015" s="160"/>
      <c r="AX1015" s="160"/>
      <c r="AY1015" s="247"/>
      <c r="AZ1015" s="248"/>
      <c r="BA1015" s="248"/>
      <c r="BB1015" s="248"/>
      <c r="BC1015" s="248"/>
      <c r="BD1015" s="3"/>
    </row>
    <row r="1016" spans="1:56" ht="15.75" hidden="1" customHeight="1" outlineLevel="1">
      <c r="A1016" s="63">
        <v>1006</v>
      </c>
      <c r="B1016" s="95" t="s">
        <v>651</v>
      </c>
      <c r="C1016" s="116"/>
      <c r="D1016" s="160"/>
      <c r="E1016" s="117"/>
      <c r="F1016" s="115"/>
      <c r="G1016" s="171"/>
      <c r="H1016" s="115"/>
      <c r="I1016" s="118"/>
      <c r="J1016" s="119"/>
      <c r="K1016" s="120"/>
      <c r="L1016" s="261"/>
      <c r="M1016" s="262"/>
      <c r="N1016" s="263"/>
      <c r="O1016" s="264"/>
      <c r="P1016" s="262"/>
      <c r="Q1016" s="262"/>
      <c r="R1016" s="262"/>
      <c r="S1016" s="262"/>
      <c r="T1016" s="262"/>
      <c r="U1016" s="262"/>
      <c r="V1016" s="262"/>
      <c r="W1016" s="117"/>
      <c r="X1016" s="246"/>
      <c r="Y1016" s="246"/>
      <c r="Z1016" s="246"/>
      <c r="AA1016" s="160"/>
      <c r="AB1016" s="246"/>
      <c r="AC1016" s="160"/>
      <c r="AD1016" s="246"/>
      <c r="AE1016" s="160"/>
      <c r="AF1016" s="246"/>
      <c r="AG1016" s="160"/>
      <c r="AH1016" s="246"/>
      <c r="AI1016" s="160"/>
      <c r="AJ1016" s="246"/>
      <c r="AK1016" s="246"/>
      <c r="AL1016" s="246"/>
      <c r="AM1016" s="246"/>
      <c r="AN1016" s="246"/>
      <c r="AO1016" s="246"/>
      <c r="AP1016" s="246"/>
      <c r="AQ1016" s="246"/>
      <c r="AR1016" s="246"/>
      <c r="AS1016" s="246"/>
      <c r="AT1016" s="246"/>
      <c r="AU1016" s="246"/>
      <c r="AV1016" s="246"/>
      <c r="AW1016" s="160"/>
      <c r="AX1016" s="160"/>
      <c r="AY1016" s="247"/>
      <c r="AZ1016" s="248"/>
      <c r="BA1016" s="248"/>
      <c r="BB1016" s="248"/>
      <c r="BC1016" s="248"/>
      <c r="BD1016" s="3"/>
    </row>
    <row r="1017" spans="1:56" ht="15.75" hidden="1" customHeight="1" outlineLevel="1">
      <c r="A1017" s="63">
        <v>1007</v>
      </c>
      <c r="B1017" s="95" t="s">
        <v>652</v>
      </c>
      <c r="C1017" s="116"/>
      <c r="D1017" s="160"/>
      <c r="E1017" s="117"/>
      <c r="F1017" s="115"/>
      <c r="G1017" s="171"/>
      <c r="H1017" s="115"/>
      <c r="I1017" s="118"/>
      <c r="J1017" s="119"/>
      <c r="K1017" s="120"/>
      <c r="L1017" s="261"/>
      <c r="M1017" s="262"/>
      <c r="N1017" s="263"/>
      <c r="O1017" s="264"/>
      <c r="P1017" s="262"/>
      <c r="Q1017" s="262"/>
      <c r="R1017" s="262"/>
      <c r="S1017" s="262"/>
      <c r="T1017" s="262"/>
      <c r="U1017" s="262"/>
      <c r="V1017" s="262"/>
      <c r="W1017" s="117"/>
      <c r="X1017" s="246"/>
      <c r="Y1017" s="246"/>
      <c r="Z1017" s="246"/>
      <c r="AA1017" s="160"/>
      <c r="AB1017" s="246"/>
      <c r="AC1017" s="160"/>
      <c r="AD1017" s="246"/>
      <c r="AE1017" s="160"/>
      <c r="AF1017" s="246"/>
      <c r="AG1017" s="160"/>
      <c r="AH1017" s="246"/>
      <c r="AI1017" s="160"/>
      <c r="AJ1017" s="246"/>
      <c r="AK1017" s="246"/>
      <c r="AL1017" s="246"/>
      <c r="AM1017" s="246"/>
      <c r="AN1017" s="246"/>
      <c r="AO1017" s="246"/>
      <c r="AP1017" s="246"/>
      <c r="AQ1017" s="246"/>
      <c r="AR1017" s="246"/>
      <c r="AS1017" s="246"/>
      <c r="AT1017" s="246"/>
      <c r="AU1017" s="246"/>
      <c r="AV1017" s="246"/>
      <c r="AW1017" s="160"/>
      <c r="AX1017" s="160"/>
      <c r="AY1017" s="247"/>
      <c r="AZ1017" s="248"/>
      <c r="BA1017" s="248"/>
      <c r="BB1017" s="248"/>
      <c r="BC1017" s="248"/>
      <c r="BD1017" s="3"/>
    </row>
    <row r="1018" spans="1:56" ht="15.75" hidden="1" customHeight="1" outlineLevel="1">
      <c r="A1018" s="63">
        <v>1008</v>
      </c>
      <c r="B1018" s="95" t="s">
        <v>653</v>
      </c>
      <c r="C1018" s="116"/>
      <c r="D1018" s="160"/>
      <c r="E1018" s="117"/>
      <c r="F1018" s="115"/>
      <c r="G1018" s="171"/>
      <c r="H1018" s="115"/>
      <c r="I1018" s="118"/>
      <c r="J1018" s="119"/>
      <c r="K1018" s="120"/>
      <c r="L1018" s="261"/>
      <c r="M1018" s="262"/>
      <c r="N1018" s="263"/>
      <c r="O1018" s="264"/>
      <c r="P1018" s="262"/>
      <c r="Q1018" s="262"/>
      <c r="R1018" s="262"/>
      <c r="S1018" s="262"/>
      <c r="T1018" s="262"/>
      <c r="U1018" s="262"/>
      <c r="V1018" s="262"/>
      <c r="W1018" s="117"/>
      <c r="X1018" s="246"/>
      <c r="Y1018" s="246"/>
      <c r="Z1018" s="246"/>
      <c r="AA1018" s="160"/>
      <c r="AB1018" s="246"/>
      <c r="AC1018" s="160"/>
      <c r="AD1018" s="246"/>
      <c r="AE1018" s="160"/>
      <c r="AF1018" s="246"/>
      <c r="AG1018" s="160"/>
      <c r="AH1018" s="246"/>
      <c r="AI1018" s="160"/>
      <c r="AJ1018" s="246"/>
      <c r="AK1018" s="246"/>
      <c r="AL1018" s="246"/>
      <c r="AM1018" s="246"/>
      <c r="AN1018" s="246"/>
      <c r="AO1018" s="246"/>
      <c r="AP1018" s="246"/>
      <c r="AQ1018" s="246"/>
      <c r="AR1018" s="246"/>
      <c r="AS1018" s="246"/>
      <c r="AT1018" s="246"/>
      <c r="AU1018" s="246"/>
      <c r="AV1018" s="246"/>
      <c r="AW1018" s="160"/>
      <c r="AX1018" s="160"/>
      <c r="AY1018" s="247"/>
      <c r="AZ1018" s="248"/>
      <c r="BA1018" s="248"/>
      <c r="BB1018" s="248"/>
      <c r="BC1018" s="248"/>
      <c r="BD1018" s="3"/>
    </row>
    <row r="1019" spans="1:56" ht="15.75" hidden="1" customHeight="1" outlineLevel="1">
      <c r="A1019" s="63">
        <v>1009</v>
      </c>
      <c r="B1019" s="95" t="s">
        <v>655</v>
      </c>
      <c r="C1019" s="116"/>
      <c r="D1019" s="160"/>
      <c r="E1019" s="117"/>
      <c r="F1019" s="115"/>
      <c r="G1019" s="171"/>
      <c r="H1019" s="115"/>
      <c r="I1019" s="118"/>
      <c r="J1019" s="119"/>
      <c r="K1019" s="120"/>
      <c r="L1019" s="261"/>
      <c r="M1019" s="262"/>
      <c r="N1019" s="263"/>
      <c r="O1019" s="264"/>
      <c r="P1019" s="262"/>
      <c r="Q1019" s="262"/>
      <c r="R1019" s="262"/>
      <c r="S1019" s="262"/>
      <c r="T1019" s="262"/>
      <c r="U1019" s="262"/>
      <c r="V1019" s="262"/>
      <c r="W1019" s="117"/>
      <c r="X1019" s="246"/>
      <c r="Y1019" s="246"/>
      <c r="Z1019" s="246"/>
      <c r="AA1019" s="160"/>
      <c r="AB1019" s="246"/>
      <c r="AC1019" s="160"/>
      <c r="AD1019" s="246"/>
      <c r="AE1019" s="160"/>
      <c r="AF1019" s="246"/>
      <c r="AG1019" s="160"/>
      <c r="AH1019" s="246"/>
      <c r="AI1019" s="160"/>
      <c r="AJ1019" s="246"/>
      <c r="AK1019" s="246"/>
      <c r="AL1019" s="246"/>
      <c r="AM1019" s="246"/>
      <c r="AN1019" s="246"/>
      <c r="AO1019" s="246"/>
      <c r="AP1019" s="246"/>
      <c r="AQ1019" s="246"/>
      <c r="AR1019" s="246"/>
      <c r="AS1019" s="246"/>
      <c r="AT1019" s="246"/>
      <c r="AU1019" s="246"/>
      <c r="AV1019" s="246"/>
      <c r="AW1019" s="160"/>
      <c r="AX1019" s="160"/>
      <c r="AY1019" s="247"/>
      <c r="AZ1019" s="248"/>
      <c r="BA1019" s="248"/>
      <c r="BB1019" s="248"/>
      <c r="BC1019" s="248"/>
      <c r="BD1019" s="3"/>
    </row>
    <row r="1020" spans="1:56" ht="15.75" hidden="1" customHeight="1" outlineLevel="1">
      <c r="A1020" s="63">
        <v>1010</v>
      </c>
      <c r="B1020" s="95" t="s">
        <v>656</v>
      </c>
      <c r="C1020" s="116"/>
      <c r="D1020" s="160"/>
      <c r="E1020" s="117"/>
      <c r="F1020" s="115"/>
      <c r="G1020" s="171"/>
      <c r="H1020" s="115"/>
      <c r="I1020" s="118"/>
      <c r="J1020" s="119"/>
      <c r="K1020" s="120"/>
      <c r="L1020" s="261"/>
      <c r="M1020" s="262"/>
      <c r="N1020" s="263"/>
      <c r="O1020" s="264"/>
      <c r="P1020" s="262"/>
      <c r="Q1020" s="262"/>
      <c r="R1020" s="262"/>
      <c r="S1020" s="262"/>
      <c r="T1020" s="262"/>
      <c r="U1020" s="262"/>
      <c r="V1020" s="262"/>
      <c r="W1020" s="117"/>
      <c r="X1020" s="246"/>
      <c r="Y1020" s="246"/>
      <c r="Z1020" s="246"/>
      <c r="AA1020" s="160"/>
      <c r="AB1020" s="246"/>
      <c r="AC1020" s="160"/>
      <c r="AD1020" s="246"/>
      <c r="AE1020" s="160"/>
      <c r="AF1020" s="246"/>
      <c r="AG1020" s="160"/>
      <c r="AH1020" s="246"/>
      <c r="AI1020" s="160"/>
      <c r="AJ1020" s="246"/>
      <c r="AK1020" s="246"/>
      <c r="AL1020" s="246"/>
      <c r="AM1020" s="246"/>
      <c r="AN1020" s="246"/>
      <c r="AO1020" s="246"/>
      <c r="AP1020" s="246"/>
      <c r="AQ1020" s="246"/>
      <c r="AR1020" s="246"/>
      <c r="AS1020" s="246"/>
      <c r="AT1020" s="246"/>
      <c r="AU1020" s="246"/>
      <c r="AV1020" s="246"/>
      <c r="AW1020" s="160"/>
      <c r="AX1020" s="160"/>
      <c r="AY1020" s="247"/>
      <c r="AZ1020" s="248"/>
      <c r="BA1020" s="248"/>
      <c r="BB1020" s="248"/>
      <c r="BC1020" s="248"/>
      <c r="BD1020" s="3"/>
    </row>
    <row r="1021" spans="1:56" ht="15.75" hidden="1" customHeight="1" outlineLevel="1">
      <c r="A1021" s="63">
        <v>1011</v>
      </c>
      <c r="B1021" s="95" t="s">
        <v>657</v>
      </c>
      <c r="C1021" s="116"/>
      <c r="D1021" s="160"/>
      <c r="E1021" s="117"/>
      <c r="F1021" s="115"/>
      <c r="G1021" s="171"/>
      <c r="H1021" s="115"/>
      <c r="I1021" s="118"/>
      <c r="J1021" s="119"/>
      <c r="K1021" s="120"/>
      <c r="L1021" s="261"/>
      <c r="M1021" s="262"/>
      <c r="N1021" s="263"/>
      <c r="O1021" s="264"/>
      <c r="P1021" s="262"/>
      <c r="Q1021" s="262"/>
      <c r="R1021" s="262"/>
      <c r="S1021" s="262"/>
      <c r="T1021" s="262"/>
      <c r="U1021" s="262"/>
      <c r="V1021" s="262"/>
      <c r="W1021" s="117"/>
      <c r="X1021" s="246"/>
      <c r="Y1021" s="246"/>
      <c r="Z1021" s="246"/>
      <c r="AA1021" s="160"/>
      <c r="AB1021" s="246"/>
      <c r="AC1021" s="160"/>
      <c r="AD1021" s="246"/>
      <c r="AE1021" s="160"/>
      <c r="AF1021" s="246"/>
      <c r="AG1021" s="160"/>
      <c r="AH1021" s="246"/>
      <c r="AI1021" s="160"/>
      <c r="AJ1021" s="246"/>
      <c r="AK1021" s="246"/>
      <c r="AL1021" s="246"/>
      <c r="AM1021" s="246"/>
      <c r="AN1021" s="246"/>
      <c r="AO1021" s="246"/>
      <c r="AP1021" s="246"/>
      <c r="AQ1021" s="246"/>
      <c r="AR1021" s="246"/>
      <c r="AS1021" s="246"/>
      <c r="AT1021" s="246"/>
      <c r="AU1021" s="246"/>
      <c r="AV1021" s="246"/>
      <c r="AW1021" s="160"/>
      <c r="AX1021" s="160"/>
      <c r="AY1021" s="247"/>
      <c r="AZ1021" s="248"/>
      <c r="BA1021" s="248"/>
      <c r="BB1021" s="248"/>
      <c r="BC1021" s="248"/>
      <c r="BD1021" s="3"/>
    </row>
    <row r="1022" spans="1:56" ht="15.75" hidden="1" customHeight="1" outlineLevel="1">
      <c r="A1022" s="63">
        <v>1012</v>
      </c>
      <c r="B1022" s="95" t="s">
        <v>658</v>
      </c>
      <c r="C1022" s="116"/>
      <c r="D1022" s="160"/>
      <c r="E1022" s="117"/>
      <c r="F1022" s="115"/>
      <c r="G1022" s="171"/>
      <c r="H1022" s="115"/>
      <c r="I1022" s="118"/>
      <c r="J1022" s="119"/>
      <c r="K1022" s="120"/>
      <c r="L1022" s="261"/>
      <c r="M1022" s="262"/>
      <c r="N1022" s="263"/>
      <c r="O1022" s="264"/>
      <c r="P1022" s="262"/>
      <c r="Q1022" s="262"/>
      <c r="R1022" s="262"/>
      <c r="S1022" s="262"/>
      <c r="T1022" s="262"/>
      <c r="U1022" s="262"/>
      <c r="V1022" s="262"/>
      <c r="W1022" s="117"/>
      <c r="X1022" s="246"/>
      <c r="Y1022" s="246"/>
      <c r="Z1022" s="246"/>
      <c r="AA1022" s="160"/>
      <c r="AB1022" s="246"/>
      <c r="AC1022" s="160"/>
      <c r="AD1022" s="246"/>
      <c r="AE1022" s="160"/>
      <c r="AF1022" s="246"/>
      <c r="AG1022" s="160"/>
      <c r="AH1022" s="246"/>
      <c r="AI1022" s="160"/>
      <c r="AJ1022" s="246"/>
      <c r="AK1022" s="246"/>
      <c r="AL1022" s="246"/>
      <c r="AM1022" s="246"/>
      <c r="AN1022" s="246"/>
      <c r="AO1022" s="246"/>
      <c r="AP1022" s="246"/>
      <c r="AQ1022" s="246"/>
      <c r="AR1022" s="246"/>
      <c r="AS1022" s="246"/>
      <c r="AT1022" s="246"/>
      <c r="AU1022" s="246"/>
      <c r="AV1022" s="246"/>
      <c r="AW1022" s="160"/>
      <c r="AX1022" s="160"/>
      <c r="AY1022" s="247"/>
      <c r="AZ1022" s="248"/>
      <c r="BA1022" s="248"/>
      <c r="BB1022" s="248"/>
      <c r="BC1022" s="248"/>
      <c r="BD1022" s="3"/>
    </row>
    <row r="1023" spans="1:56" ht="15.75" hidden="1" customHeight="1" outlineLevel="1">
      <c r="A1023" s="63">
        <v>1013</v>
      </c>
      <c r="B1023" s="95" t="s">
        <v>659</v>
      </c>
      <c r="C1023" s="116"/>
      <c r="D1023" s="160"/>
      <c r="E1023" s="117"/>
      <c r="F1023" s="115"/>
      <c r="G1023" s="171"/>
      <c r="H1023" s="115"/>
      <c r="I1023" s="118"/>
      <c r="J1023" s="119"/>
      <c r="K1023" s="120"/>
      <c r="L1023" s="261"/>
      <c r="M1023" s="262"/>
      <c r="N1023" s="263"/>
      <c r="O1023" s="264"/>
      <c r="P1023" s="262"/>
      <c r="Q1023" s="262"/>
      <c r="R1023" s="262"/>
      <c r="S1023" s="262"/>
      <c r="T1023" s="262"/>
      <c r="U1023" s="262"/>
      <c r="V1023" s="262"/>
      <c r="W1023" s="117"/>
      <c r="X1023" s="246"/>
      <c r="Y1023" s="246"/>
      <c r="Z1023" s="246"/>
      <c r="AA1023" s="160"/>
      <c r="AB1023" s="246"/>
      <c r="AC1023" s="160"/>
      <c r="AD1023" s="246"/>
      <c r="AE1023" s="160"/>
      <c r="AF1023" s="246"/>
      <c r="AG1023" s="160"/>
      <c r="AH1023" s="246"/>
      <c r="AI1023" s="160"/>
      <c r="AJ1023" s="246"/>
      <c r="AK1023" s="246"/>
      <c r="AL1023" s="246"/>
      <c r="AM1023" s="246"/>
      <c r="AN1023" s="246"/>
      <c r="AO1023" s="246"/>
      <c r="AP1023" s="246"/>
      <c r="AQ1023" s="246"/>
      <c r="AR1023" s="246"/>
      <c r="AS1023" s="246"/>
      <c r="AT1023" s="246"/>
      <c r="AU1023" s="246"/>
      <c r="AV1023" s="246"/>
      <c r="AW1023" s="160"/>
      <c r="AX1023" s="160"/>
      <c r="AY1023" s="247"/>
      <c r="AZ1023" s="248"/>
      <c r="BA1023" s="248"/>
      <c r="BB1023" s="248"/>
      <c r="BC1023" s="248"/>
      <c r="BD1023" s="3"/>
    </row>
    <row r="1024" spans="1:56" ht="15.75" hidden="1" customHeight="1" outlineLevel="1">
      <c r="A1024" s="63">
        <v>1014</v>
      </c>
      <c r="B1024" s="95" t="s">
        <v>660</v>
      </c>
      <c r="C1024" s="116"/>
      <c r="D1024" s="160"/>
      <c r="E1024" s="117"/>
      <c r="F1024" s="115"/>
      <c r="G1024" s="171"/>
      <c r="H1024" s="115"/>
      <c r="I1024" s="118"/>
      <c r="J1024" s="119"/>
      <c r="K1024" s="120"/>
      <c r="L1024" s="261"/>
      <c r="M1024" s="262"/>
      <c r="N1024" s="263"/>
      <c r="O1024" s="264"/>
      <c r="P1024" s="262"/>
      <c r="Q1024" s="262"/>
      <c r="R1024" s="262"/>
      <c r="S1024" s="262"/>
      <c r="T1024" s="262"/>
      <c r="U1024" s="262"/>
      <c r="V1024" s="262"/>
      <c r="W1024" s="117"/>
      <c r="X1024" s="246"/>
      <c r="Y1024" s="246"/>
      <c r="Z1024" s="246"/>
      <c r="AA1024" s="160"/>
      <c r="AB1024" s="246"/>
      <c r="AC1024" s="160"/>
      <c r="AD1024" s="246"/>
      <c r="AE1024" s="160"/>
      <c r="AF1024" s="246"/>
      <c r="AG1024" s="160"/>
      <c r="AH1024" s="246"/>
      <c r="AI1024" s="160"/>
      <c r="AJ1024" s="246"/>
      <c r="AK1024" s="246"/>
      <c r="AL1024" s="246"/>
      <c r="AM1024" s="246"/>
      <c r="AN1024" s="246"/>
      <c r="AO1024" s="246"/>
      <c r="AP1024" s="246"/>
      <c r="AQ1024" s="246"/>
      <c r="AR1024" s="246"/>
      <c r="AS1024" s="246"/>
      <c r="AT1024" s="246"/>
      <c r="AU1024" s="246"/>
      <c r="AV1024" s="246"/>
      <c r="AW1024" s="160"/>
      <c r="AX1024" s="160"/>
      <c r="AY1024" s="247"/>
      <c r="AZ1024" s="248"/>
      <c r="BA1024" s="248"/>
      <c r="BB1024" s="248"/>
      <c r="BC1024" s="248"/>
      <c r="BD1024" s="3"/>
    </row>
    <row r="1025" spans="1:56" ht="15.75" hidden="1" customHeight="1" outlineLevel="1">
      <c r="A1025" s="63">
        <v>1015</v>
      </c>
      <c r="B1025" s="95" t="s">
        <v>661</v>
      </c>
      <c r="C1025" s="116"/>
      <c r="D1025" s="160"/>
      <c r="E1025" s="117"/>
      <c r="F1025" s="115"/>
      <c r="G1025" s="171"/>
      <c r="H1025" s="115"/>
      <c r="I1025" s="118"/>
      <c r="J1025" s="119"/>
      <c r="K1025" s="120"/>
      <c r="L1025" s="261"/>
      <c r="M1025" s="262"/>
      <c r="N1025" s="263"/>
      <c r="O1025" s="264"/>
      <c r="P1025" s="262"/>
      <c r="Q1025" s="262"/>
      <c r="R1025" s="262"/>
      <c r="S1025" s="262"/>
      <c r="T1025" s="262"/>
      <c r="U1025" s="262"/>
      <c r="V1025" s="262"/>
      <c r="W1025" s="117"/>
      <c r="X1025" s="246"/>
      <c r="Y1025" s="246"/>
      <c r="Z1025" s="246"/>
      <c r="AA1025" s="160"/>
      <c r="AB1025" s="246"/>
      <c r="AC1025" s="160"/>
      <c r="AD1025" s="246"/>
      <c r="AE1025" s="160"/>
      <c r="AF1025" s="246"/>
      <c r="AG1025" s="160"/>
      <c r="AH1025" s="246"/>
      <c r="AI1025" s="160"/>
      <c r="AJ1025" s="246"/>
      <c r="AK1025" s="246"/>
      <c r="AL1025" s="246"/>
      <c r="AM1025" s="246"/>
      <c r="AN1025" s="246"/>
      <c r="AO1025" s="246"/>
      <c r="AP1025" s="246"/>
      <c r="AQ1025" s="246"/>
      <c r="AR1025" s="246"/>
      <c r="AS1025" s="246"/>
      <c r="AT1025" s="246"/>
      <c r="AU1025" s="246"/>
      <c r="AV1025" s="246"/>
      <c r="AW1025" s="160"/>
      <c r="AX1025" s="160"/>
      <c r="AY1025" s="247"/>
      <c r="AZ1025" s="248"/>
      <c r="BA1025" s="248"/>
      <c r="BB1025" s="248"/>
      <c r="BC1025" s="248"/>
      <c r="BD1025" s="3"/>
    </row>
    <row r="1026" spans="1:56" ht="15.75" hidden="1" customHeight="1" outlineLevel="1">
      <c r="A1026" s="63">
        <v>1016</v>
      </c>
      <c r="B1026" s="95" t="s">
        <v>662</v>
      </c>
      <c r="C1026" s="116"/>
      <c r="D1026" s="160"/>
      <c r="E1026" s="117"/>
      <c r="F1026" s="115"/>
      <c r="G1026" s="171"/>
      <c r="H1026" s="115"/>
      <c r="I1026" s="118"/>
      <c r="J1026" s="119"/>
      <c r="K1026" s="120"/>
      <c r="L1026" s="261"/>
      <c r="M1026" s="262"/>
      <c r="N1026" s="263"/>
      <c r="O1026" s="264"/>
      <c r="P1026" s="262"/>
      <c r="Q1026" s="262"/>
      <c r="R1026" s="262"/>
      <c r="S1026" s="262"/>
      <c r="T1026" s="262"/>
      <c r="U1026" s="262"/>
      <c r="V1026" s="262"/>
      <c r="W1026" s="117"/>
      <c r="X1026" s="246"/>
      <c r="Y1026" s="246"/>
      <c r="Z1026" s="246"/>
      <c r="AA1026" s="160"/>
      <c r="AB1026" s="246"/>
      <c r="AC1026" s="160"/>
      <c r="AD1026" s="246"/>
      <c r="AE1026" s="160"/>
      <c r="AF1026" s="246"/>
      <c r="AG1026" s="160"/>
      <c r="AH1026" s="246"/>
      <c r="AI1026" s="160"/>
      <c r="AJ1026" s="246"/>
      <c r="AK1026" s="246"/>
      <c r="AL1026" s="246"/>
      <c r="AM1026" s="246"/>
      <c r="AN1026" s="246"/>
      <c r="AO1026" s="246"/>
      <c r="AP1026" s="246"/>
      <c r="AQ1026" s="246"/>
      <c r="AR1026" s="246"/>
      <c r="AS1026" s="246"/>
      <c r="AT1026" s="246"/>
      <c r="AU1026" s="246"/>
      <c r="AV1026" s="246"/>
      <c r="AW1026" s="160"/>
      <c r="AX1026" s="160"/>
      <c r="AY1026" s="247"/>
      <c r="AZ1026" s="248"/>
      <c r="BA1026" s="248"/>
      <c r="BB1026" s="248"/>
      <c r="BC1026" s="248"/>
      <c r="BD1026" s="3"/>
    </row>
    <row r="1027" spans="1:56" ht="15.75" hidden="1" customHeight="1" outlineLevel="1">
      <c r="A1027" s="63">
        <v>1017</v>
      </c>
      <c r="B1027" s="95" t="s">
        <v>663</v>
      </c>
      <c r="C1027" s="116"/>
      <c r="D1027" s="160"/>
      <c r="E1027" s="117"/>
      <c r="F1027" s="115"/>
      <c r="G1027" s="171"/>
      <c r="H1027" s="115"/>
      <c r="I1027" s="118"/>
      <c r="J1027" s="119"/>
      <c r="K1027" s="120"/>
      <c r="L1027" s="261"/>
      <c r="M1027" s="262"/>
      <c r="N1027" s="263"/>
      <c r="O1027" s="264"/>
      <c r="P1027" s="262"/>
      <c r="Q1027" s="262"/>
      <c r="R1027" s="262"/>
      <c r="S1027" s="262"/>
      <c r="T1027" s="262"/>
      <c r="U1027" s="262"/>
      <c r="V1027" s="262"/>
      <c r="W1027" s="117"/>
      <c r="X1027" s="246"/>
      <c r="Y1027" s="246"/>
      <c r="Z1027" s="246"/>
      <c r="AA1027" s="160"/>
      <c r="AB1027" s="246"/>
      <c r="AC1027" s="160"/>
      <c r="AD1027" s="246"/>
      <c r="AE1027" s="160"/>
      <c r="AF1027" s="246"/>
      <c r="AG1027" s="160"/>
      <c r="AH1027" s="246"/>
      <c r="AI1027" s="160"/>
      <c r="AJ1027" s="246"/>
      <c r="AK1027" s="246"/>
      <c r="AL1027" s="246"/>
      <c r="AM1027" s="246"/>
      <c r="AN1027" s="246"/>
      <c r="AO1027" s="246"/>
      <c r="AP1027" s="246"/>
      <c r="AQ1027" s="246"/>
      <c r="AR1027" s="246"/>
      <c r="AS1027" s="246"/>
      <c r="AT1027" s="246"/>
      <c r="AU1027" s="246"/>
      <c r="AV1027" s="246"/>
      <c r="AW1027" s="160"/>
      <c r="AX1027" s="160"/>
      <c r="AY1027" s="247"/>
      <c r="AZ1027" s="248"/>
      <c r="BA1027" s="248"/>
      <c r="BB1027" s="248"/>
      <c r="BC1027" s="248"/>
      <c r="BD1027" s="3"/>
    </row>
    <row r="1028" spans="1:56" ht="15.75" hidden="1" customHeight="1" outlineLevel="1">
      <c r="A1028" s="63">
        <v>1018</v>
      </c>
      <c r="B1028" s="95" t="s">
        <v>664</v>
      </c>
      <c r="C1028" s="116"/>
      <c r="D1028" s="160"/>
      <c r="E1028" s="117"/>
      <c r="F1028" s="115"/>
      <c r="G1028" s="171"/>
      <c r="H1028" s="115"/>
      <c r="I1028" s="118"/>
      <c r="J1028" s="119"/>
      <c r="K1028" s="120"/>
      <c r="L1028" s="261"/>
      <c r="M1028" s="262"/>
      <c r="N1028" s="263"/>
      <c r="O1028" s="264"/>
      <c r="P1028" s="262"/>
      <c r="Q1028" s="262"/>
      <c r="R1028" s="262"/>
      <c r="S1028" s="262"/>
      <c r="T1028" s="262"/>
      <c r="U1028" s="262"/>
      <c r="V1028" s="262"/>
      <c r="W1028" s="117"/>
      <c r="X1028" s="246"/>
      <c r="Y1028" s="246"/>
      <c r="Z1028" s="246"/>
      <c r="AA1028" s="160"/>
      <c r="AB1028" s="246"/>
      <c r="AC1028" s="160"/>
      <c r="AD1028" s="246"/>
      <c r="AE1028" s="160"/>
      <c r="AF1028" s="246"/>
      <c r="AG1028" s="160"/>
      <c r="AH1028" s="246"/>
      <c r="AI1028" s="160"/>
      <c r="AJ1028" s="246"/>
      <c r="AK1028" s="246"/>
      <c r="AL1028" s="246"/>
      <c r="AM1028" s="246"/>
      <c r="AN1028" s="246"/>
      <c r="AO1028" s="246"/>
      <c r="AP1028" s="246"/>
      <c r="AQ1028" s="246"/>
      <c r="AR1028" s="246"/>
      <c r="AS1028" s="246"/>
      <c r="AT1028" s="246"/>
      <c r="AU1028" s="246"/>
      <c r="AV1028" s="246"/>
      <c r="AW1028" s="160"/>
      <c r="AX1028" s="160"/>
      <c r="AY1028" s="247"/>
      <c r="AZ1028" s="248"/>
      <c r="BA1028" s="248"/>
      <c r="BB1028" s="248"/>
      <c r="BC1028" s="248"/>
      <c r="BD1028" s="3"/>
    </row>
    <row r="1029" spans="1:56" ht="15.75" hidden="1" customHeight="1" outlineLevel="1">
      <c r="A1029" s="63">
        <v>1019</v>
      </c>
      <c r="B1029" s="95" t="s">
        <v>666</v>
      </c>
      <c r="C1029" s="116"/>
      <c r="D1029" s="160"/>
      <c r="E1029" s="117"/>
      <c r="F1029" s="115"/>
      <c r="G1029" s="171"/>
      <c r="H1029" s="115"/>
      <c r="I1029" s="118"/>
      <c r="J1029" s="119"/>
      <c r="K1029" s="120"/>
      <c r="L1029" s="261"/>
      <c r="M1029" s="262"/>
      <c r="N1029" s="263"/>
      <c r="O1029" s="264"/>
      <c r="P1029" s="262"/>
      <c r="Q1029" s="262"/>
      <c r="R1029" s="262"/>
      <c r="S1029" s="262"/>
      <c r="T1029" s="262"/>
      <c r="U1029" s="262"/>
      <c r="V1029" s="262"/>
      <c r="W1029" s="117"/>
      <c r="X1029" s="246"/>
      <c r="Y1029" s="246"/>
      <c r="Z1029" s="246"/>
      <c r="AA1029" s="160"/>
      <c r="AB1029" s="246"/>
      <c r="AC1029" s="160"/>
      <c r="AD1029" s="246"/>
      <c r="AE1029" s="160"/>
      <c r="AF1029" s="246"/>
      <c r="AG1029" s="160"/>
      <c r="AH1029" s="246"/>
      <c r="AI1029" s="160"/>
      <c r="AJ1029" s="246"/>
      <c r="AK1029" s="246"/>
      <c r="AL1029" s="246"/>
      <c r="AM1029" s="246"/>
      <c r="AN1029" s="246"/>
      <c r="AO1029" s="246"/>
      <c r="AP1029" s="246"/>
      <c r="AQ1029" s="246"/>
      <c r="AR1029" s="246"/>
      <c r="AS1029" s="246"/>
      <c r="AT1029" s="246"/>
      <c r="AU1029" s="246"/>
      <c r="AV1029" s="246"/>
      <c r="AW1029" s="160"/>
      <c r="AX1029" s="160"/>
      <c r="AY1029" s="247"/>
      <c r="AZ1029" s="248"/>
      <c r="BA1029" s="248"/>
      <c r="BB1029" s="248"/>
      <c r="BC1029" s="248"/>
      <c r="BD1029" s="3"/>
    </row>
    <row r="1030" spans="1:56" ht="15.75" hidden="1" customHeight="1" outlineLevel="1">
      <c r="A1030" s="63">
        <v>1020</v>
      </c>
      <c r="B1030" s="95" t="s">
        <v>667</v>
      </c>
      <c r="C1030" s="116"/>
      <c r="D1030" s="160"/>
      <c r="E1030" s="117"/>
      <c r="F1030" s="115"/>
      <c r="G1030" s="171"/>
      <c r="H1030" s="115"/>
      <c r="I1030" s="118"/>
      <c r="J1030" s="119"/>
      <c r="K1030" s="120"/>
      <c r="L1030" s="261"/>
      <c r="M1030" s="262"/>
      <c r="N1030" s="263"/>
      <c r="O1030" s="264"/>
      <c r="P1030" s="262"/>
      <c r="Q1030" s="262"/>
      <c r="R1030" s="262"/>
      <c r="S1030" s="262"/>
      <c r="T1030" s="262"/>
      <c r="U1030" s="262"/>
      <c r="V1030" s="262"/>
      <c r="W1030" s="117"/>
      <c r="X1030" s="246"/>
      <c r="Y1030" s="246"/>
      <c r="Z1030" s="246"/>
      <c r="AA1030" s="160"/>
      <c r="AB1030" s="246"/>
      <c r="AC1030" s="160"/>
      <c r="AD1030" s="246"/>
      <c r="AE1030" s="160"/>
      <c r="AF1030" s="246"/>
      <c r="AG1030" s="160"/>
      <c r="AH1030" s="246"/>
      <c r="AI1030" s="160"/>
      <c r="AJ1030" s="246"/>
      <c r="AK1030" s="246"/>
      <c r="AL1030" s="246"/>
      <c r="AM1030" s="246"/>
      <c r="AN1030" s="246"/>
      <c r="AO1030" s="246"/>
      <c r="AP1030" s="246"/>
      <c r="AQ1030" s="246"/>
      <c r="AR1030" s="246"/>
      <c r="AS1030" s="246"/>
      <c r="AT1030" s="246"/>
      <c r="AU1030" s="246"/>
      <c r="AV1030" s="246"/>
      <c r="AW1030" s="160"/>
      <c r="AX1030" s="160"/>
      <c r="AY1030" s="247"/>
      <c r="AZ1030" s="248"/>
      <c r="BA1030" s="248"/>
      <c r="BB1030" s="248"/>
      <c r="BC1030" s="248"/>
      <c r="BD1030" s="3"/>
    </row>
    <row r="1031" spans="1:56" ht="15.75" hidden="1" customHeight="1" outlineLevel="1">
      <c r="A1031" s="63">
        <v>1021</v>
      </c>
      <c r="B1031" s="95" t="s">
        <v>668</v>
      </c>
      <c r="C1031" s="116"/>
      <c r="D1031" s="160"/>
      <c r="E1031" s="117"/>
      <c r="F1031" s="115"/>
      <c r="G1031" s="171"/>
      <c r="H1031" s="115"/>
      <c r="I1031" s="118"/>
      <c r="J1031" s="119"/>
      <c r="K1031" s="120"/>
      <c r="L1031" s="261"/>
      <c r="M1031" s="262"/>
      <c r="N1031" s="263"/>
      <c r="O1031" s="264"/>
      <c r="P1031" s="262"/>
      <c r="Q1031" s="262"/>
      <c r="R1031" s="262"/>
      <c r="S1031" s="262"/>
      <c r="T1031" s="262"/>
      <c r="U1031" s="262"/>
      <c r="V1031" s="262"/>
      <c r="W1031" s="117"/>
      <c r="X1031" s="246"/>
      <c r="Y1031" s="246"/>
      <c r="Z1031" s="246"/>
      <c r="AA1031" s="160"/>
      <c r="AB1031" s="246"/>
      <c r="AC1031" s="160"/>
      <c r="AD1031" s="246"/>
      <c r="AE1031" s="160"/>
      <c r="AF1031" s="246"/>
      <c r="AG1031" s="160"/>
      <c r="AH1031" s="246"/>
      <c r="AI1031" s="160"/>
      <c r="AJ1031" s="246"/>
      <c r="AK1031" s="246"/>
      <c r="AL1031" s="246"/>
      <c r="AM1031" s="246"/>
      <c r="AN1031" s="246"/>
      <c r="AO1031" s="246"/>
      <c r="AP1031" s="246"/>
      <c r="AQ1031" s="246"/>
      <c r="AR1031" s="246"/>
      <c r="AS1031" s="246"/>
      <c r="AT1031" s="246"/>
      <c r="AU1031" s="246"/>
      <c r="AV1031" s="246"/>
      <c r="AW1031" s="160"/>
      <c r="AX1031" s="160"/>
      <c r="AY1031" s="247"/>
      <c r="AZ1031" s="248"/>
      <c r="BA1031" s="248"/>
      <c r="BB1031" s="248"/>
      <c r="BC1031" s="248"/>
      <c r="BD1031" s="3"/>
    </row>
    <row r="1032" spans="1:56" ht="15.75" hidden="1" customHeight="1" outlineLevel="1">
      <c r="A1032" s="63">
        <v>1022</v>
      </c>
      <c r="B1032" s="95" t="s">
        <v>669</v>
      </c>
      <c r="C1032" s="116"/>
      <c r="D1032" s="160"/>
      <c r="E1032" s="117"/>
      <c r="F1032" s="115"/>
      <c r="G1032" s="171"/>
      <c r="H1032" s="115"/>
      <c r="I1032" s="118"/>
      <c r="J1032" s="119"/>
      <c r="K1032" s="120"/>
      <c r="L1032" s="261"/>
      <c r="M1032" s="262"/>
      <c r="N1032" s="263"/>
      <c r="O1032" s="264"/>
      <c r="P1032" s="262"/>
      <c r="Q1032" s="262"/>
      <c r="R1032" s="262"/>
      <c r="S1032" s="262"/>
      <c r="T1032" s="262"/>
      <c r="U1032" s="262"/>
      <c r="V1032" s="262"/>
      <c r="W1032" s="117"/>
      <c r="X1032" s="246"/>
      <c r="Y1032" s="246"/>
      <c r="Z1032" s="246"/>
      <c r="AA1032" s="160"/>
      <c r="AB1032" s="246"/>
      <c r="AC1032" s="160"/>
      <c r="AD1032" s="246"/>
      <c r="AE1032" s="160"/>
      <c r="AF1032" s="246"/>
      <c r="AG1032" s="160"/>
      <c r="AH1032" s="246"/>
      <c r="AI1032" s="160"/>
      <c r="AJ1032" s="246"/>
      <c r="AK1032" s="246"/>
      <c r="AL1032" s="246"/>
      <c r="AM1032" s="246"/>
      <c r="AN1032" s="246"/>
      <c r="AO1032" s="246"/>
      <c r="AP1032" s="246"/>
      <c r="AQ1032" s="246"/>
      <c r="AR1032" s="246"/>
      <c r="AS1032" s="246"/>
      <c r="AT1032" s="246"/>
      <c r="AU1032" s="246"/>
      <c r="AV1032" s="246"/>
      <c r="AW1032" s="160"/>
      <c r="AX1032" s="160"/>
      <c r="AY1032" s="247"/>
      <c r="AZ1032" s="248"/>
      <c r="BA1032" s="248"/>
      <c r="BB1032" s="248"/>
      <c r="BC1032" s="248"/>
      <c r="BD1032" s="3"/>
    </row>
    <row r="1033" spans="1:56" ht="15.75" hidden="1" customHeight="1" outlineLevel="1">
      <c r="A1033" s="63">
        <v>1023</v>
      </c>
      <c r="B1033" s="95" t="s">
        <v>670</v>
      </c>
      <c r="C1033" s="116"/>
      <c r="D1033" s="160"/>
      <c r="E1033" s="117"/>
      <c r="F1033" s="115"/>
      <c r="G1033" s="171"/>
      <c r="H1033" s="115"/>
      <c r="I1033" s="118"/>
      <c r="J1033" s="119"/>
      <c r="K1033" s="120"/>
      <c r="L1033" s="261"/>
      <c r="M1033" s="262"/>
      <c r="N1033" s="263"/>
      <c r="O1033" s="264"/>
      <c r="P1033" s="262"/>
      <c r="Q1033" s="262"/>
      <c r="R1033" s="262"/>
      <c r="S1033" s="262"/>
      <c r="T1033" s="262"/>
      <c r="U1033" s="262"/>
      <c r="V1033" s="262"/>
      <c r="W1033" s="117"/>
      <c r="X1033" s="246"/>
      <c r="Y1033" s="246"/>
      <c r="Z1033" s="246"/>
      <c r="AA1033" s="160"/>
      <c r="AB1033" s="246"/>
      <c r="AC1033" s="160"/>
      <c r="AD1033" s="246"/>
      <c r="AE1033" s="160"/>
      <c r="AF1033" s="246"/>
      <c r="AG1033" s="160"/>
      <c r="AH1033" s="246"/>
      <c r="AI1033" s="160"/>
      <c r="AJ1033" s="246"/>
      <c r="AK1033" s="246"/>
      <c r="AL1033" s="246"/>
      <c r="AM1033" s="246"/>
      <c r="AN1033" s="246"/>
      <c r="AO1033" s="246"/>
      <c r="AP1033" s="246"/>
      <c r="AQ1033" s="246"/>
      <c r="AR1033" s="246"/>
      <c r="AS1033" s="246"/>
      <c r="AT1033" s="246"/>
      <c r="AU1033" s="246"/>
      <c r="AV1033" s="246"/>
      <c r="AW1033" s="160"/>
      <c r="AX1033" s="160"/>
      <c r="AY1033" s="247"/>
      <c r="AZ1033" s="248"/>
      <c r="BA1033" s="248"/>
      <c r="BB1033" s="248"/>
      <c r="BC1033" s="248"/>
      <c r="BD1033" s="3"/>
    </row>
    <row r="1034" spans="1:56" ht="15.75" hidden="1" customHeight="1" outlineLevel="1">
      <c r="A1034" s="63">
        <v>1024</v>
      </c>
      <c r="B1034" s="95" t="s">
        <v>671</v>
      </c>
      <c r="C1034" s="116"/>
      <c r="D1034" s="160"/>
      <c r="E1034" s="117"/>
      <c r="F1034" s="115"/>
      <c r="G1034" s="171"/>
      <c r="H1034" s="115"/>
      <c r="I1034" s="118"/>
      <c r="J1034" s="119"/>
      <c r="K1034" s="120"/>
      <c r="L1034" s="261"/>
      <c r="M1034" s="262"/>
      <c r="N1034" s="263"/>
      <c r="O1034" s="264"/>
      <c r="P1034" s="262"/>
      <c r="Q1034" s="262"/>
      <c r="R1034" s="262"/>
      <c r="S1034" s="262"/>
      <c r="T1034" s="262"/>
      <c r="U1034" s="262"/>
      <c r="V1034" s="262"/>
      <c r="W1034" s="117"/>
      <c r="X1034" s="246"/>
      <c r="Y1034" s="246"/>
      <c r="Z1034" s="246"/>
      <c r="AA1034" s="160"/>
      <c r="AB1034" s="246"/>
      <c r="AC1034" s="160"/>
      <c r="AD1034" s="246"/>
      <c r="AE1034" s="160"/>
      <c r="AF1034" s="246"/>
      <c r="AG1034" s="160"/>
      <c r="AH1034" s="246"/>
      <c r="AI1034" s="160"/>
      <c r="AJ1034" s="246"/>
      <c r="AK1034" s="246"/>
      <c r="AL1034" s="246"/>
      <c r="AM1034" s="246"/>
      <c r="AN1034" s="246"/>
      <c r="AO1034" s="246"/>
      <c r="AP1034" s="246"/>
      <c r="AQ1034" s="246"/>
      <c r="AR1034" s="246"/>
      <c r="AS1034" s="246"/>
      <c r="AT1034" s="246"/>
      <c r="AU1034" s="246"/>
      <c r="AV1034" s="246"/>
      <c r="AW1034" s="160"/>
      <c r="AX1034" s="160"/>
      <c r="AY1034" s="247"/>
      <c r="AZ1034" s="248"/>
      <c r="BA1034" s="248"/>
      <c r="BB1034" s="248"/>
      <c r="BC1034" s="248"/>
      <c r="BD1034" s="3"/>
    </row>
    <row r="1035" spans="1:56" ht="15.75" hidden="1" customHeight="1" outlineLevel="1">
      <c r="A1035" s="63">
        <v>1025</v>
      </c>
      <c r="B1035" s="95" t="s">
        <v>672</v>
      </c>
      <c r="C1035" s="116"/>
      <c r="D1035" s="160"/>
      <c r="E1035" s="117"/>
      <c r="F1035" s="115"/>
      <c r="G1035" s="171"/>
      <c r="H1035" s="115"/>
      <c r="I1035" s="118"/>
      <c r="J1035" s="119"/>
      <c r="K1035" s="120"/>
      <c r="L1035" s="261"/>
      <c r="M1035" s="262"/>
      <c r="N1035" s="263"/>
      <c r="O1035" s="264"/>
      <c r="P1035" s="262"/>
      <c r="Q1035" s="262"/>
      <c r="R1035" s="262"/>
      <c r="S1035" s="262"/>
      <c r="T1035" s="262"/>
      <c r="U1035" s="262"/>
      <c r="V1035" s="262"/>
      <c r="W1035" s="117"/>
      <c r="X1035" s="246"/>
      <c r="Y1035" s="246"/>
      <c r="Z1035" s="246"/>
      <c r="AA1035" s="160"/>
      <c r="AB1035" s="246"/>
      <c r="AC1035" s="160"/>
      <c r="AD1035" s="246"/>
      <c r="AE1035" s="160"/>
      <c r="AF1035" s="246"/>
      <c r="AG1035" s="160"/>
      <c r="AH1035" s="246"/>
      <c r="AI1035" s="160"/>
      <c r="AJ1035" s="246"/>
      <c r="AK1035" s="246"/>
      <c r="AL1035" s="246"/>
      <c r="AM1035" s="246"/>
      <c r="AN1035" s="246"/>
      <c r="AO1035" s="246"/>
      <c r="AP1035" s="246"/>
      <c r="AQ1035" s="246"/>
      <c r="AR1035" s="246"/>
      <c r="AS1035" s="246"/>
      <c r="AT1035" s="246"/>
      <c r="AU1035" s="246"/>
      <c r="AV1035" s="246"/>
      <c r="AW1035" s="160"/>
      <c r="AX1035" s="160"/>
      <c r="AY1035" s="247"/>
      <c r="AZ1035" s="248"/>
      <c r="BA1035" s="248"/>
      <c r="BB1035" s="248"/>
      <c r="BC1035" s="248"/>
      <c r="BD1035" s="3"/>
    </row>
    <row r="1036" spans="1:56" ht="15.75" hidden="1" customHeight="1" outlineLevel="1">
      <c r="A1036" s="63">
        <v>1026</v>
      </c>
      <c r="B1036" s="95" t="s">
        <v>673</v>
      </c>
      <c r="C1036" s="116"/>
      <c r="D1036" s="160"/>
      <c r="E1036" s="117"/>
      <c r="F1036" s="115"/>
      <c r="G1036" s="171"/>
      <c r="H1036" s="115"/>
      <c r="I1036" s="118"/>
      <c r="J1036" s="119"/>
      <c r="K1036" s="120"/>
      <c r="L1036" s="261"/>
      <c r="M1036" s="262"/>
      <c r="N1036" s="263"/>
      <c r="O1036" s="264"/>
      <c r="P1036" s="262"/>
      <c r="Q1036" s="262"/>
      <c r="R1036" s="262"/>
      <c r="S1036" s="262"/>
      <c r="T1036" s="262"/>
      <c r="U1036" s="262"/>
      <c r="V1036" s="262"/>
      <c r="W1036" s="117"/>
      <c r="X1036" s="246"/>
      <c r="Y1036" s="246"/>
      <c r="Z1036" s="246"/>
      <c r="AA1036" s="160"/>
      <c r="AB1036" s="246"/>
      <c r="AC1036" s="160"/>
      <c r="AD1036" s="246"/>
      <c r="AE1036" s="160"/>
      <c r="AF1036" s="246"/>
      <c r="AG1036" s="160"/>
      <c r="AH1036" s="246"/>
      <c r="AI1036" s="160"/>
      <c r="AJ1036" s="246"/>
      <c r="AK1036" s="246"/>
      <c r="AL1036" s="246"/>
      <c r="AM1036" s="246"/>
      <c r="AN1036" s="246"/>
      <c r="AO1036" s="246"/>
      <c r="AP1036" s="246"/>
      <c r="AQ1036" s="246"/>
      <c r="AR1036" s="246"/>
      <c r="AS1036" s="246"/>
      <c r="AT1036" s="246"/>
      <c r="AU1036" s="246"/>
      <c r="AV1036" s="246"/>
      <c r="AW1036" s="160"/>
      <c r="AX1036" s="160"/>
      <c r="AY1036" s="247"/>
      <c r="AZ1036" s="248"/>
      <c r="BA1036" s="248"/>
      <c r="BB1036" s="248"/>
      <c r="BC1036" s="248"/>
      <c r="BD1036" s="3"/>
    </row>
    <row r="1037" spans="1:56" ht="15.75" hidden="1" customHeight="1" outlineLevel="1">
      <c r="A1037" s="63">
        <v>1027</v>
      </c>
      <c r="B1037" s="95" t="s">
        <v>674</v>
      </c>
      <c r="C1037" s="116"/>
      <c r="D1037" s="160"/>
      <c r="E1037" s="117"/>
      <c r="F1037" s="115"/>
      <c r="G1037" s="171"/>
      <c r="H1037" s="115"/>
      <c r="I1037" s="118"/>
      <c r="J1037" s="119"/>
      <c r="K1037" s="120"/>
      <c r="L1037" s="261"/>
      <c r="M1037" s="262"/>
      <c r="N1037" s="263"/>
      <c r="O1037" s="264"/>
      <c r="P1037" s="262"/>
      <c r="Q1037" s="262"/>
      <c r="R1037" s="262"/>
      <c r="S1037" s="262"/>
      <c r="T1037" s="262"/>
      <c r="U1037" s="262"/>
      <c r="V1037" s="262"/>
      <c r="W1037" s="117"/>
      <c r="X1037" s="246"/>
      <c r="Y1037" s="246"/>
      <c r="Z1037" s="246"/>
      <c r="AA1037" s="160"/>
      <c r="AB1037" s="246"/>
      <c r="AC1037" s="160"/>
      <c r="AD1037" s="246"/>
      <c r="AE1037" s="160"/>
      <c r="AF1037" s="246"/>
      <c r="AG1037" s="160"/>
      <c r="AH1037" s="246"/>
      <c r="AI1037" s="160"/>
      <c r="AJ1037" s="246"/>
      <c r="AK1037" s="246"/>
      <c r="AL1037" s="246"/>
      <c r="AM1037" s="246"/>
      <c r="AN1037" s="246"/>
      <c r="AO1037" s="246"/>
      <c r="AP1037" s="246"/>
      <c r="AQ1037" s="246"/>
      <c r="AR1037" s="246"/>
      <c r="AS1037" s="246"/>
      <c r="AT1037" s="246"/>
      <c r="AU1037" s="246"/>
      <c r="AV1037" s="246"/>
      <c r="AW1037" s="160"/>
      <c r="AX1037" s="160"/>
      <c r="AY1037" s="247"/>
      <c r="AZ1037" s="248"/>
      <c r="BA1037" s="248"/>
      <c r="BB1037" s="248"/>
      <c r="BC1037" s="248"/>
      <c r="BD1037" s="3"/>
    </row>
    <row r="1038" spans="1:56" ht="15.75" hidden="1" customHeight="1" outlineLevel="1">
      <c r="A1038" s="63">
        <v>1028</v>
      </c>
      <c r="B1038" s="95" t="s">
        <v>675</v>
      </c>
      <c r="C1038" s="116"/>
      <c r="D1038" s="160"/>
      <c r="E1038" s="117"/>
      <c r="F1038" s="115"/>
      <c r="G1038" s="171"/>
      <c r="H1038" s="115"/>
      <c r="I1038" s="118"/>
      <c r="J1038" s="119"/>
      <c r="K1038" s="120"/>
      <c r="L1038" s="261"/>
      <c r="M1038" s="262"/>
      <c r="N1038" s="263"/>
      <c r="O1038" s="264"/>
      <c r="P1038" s="262"/>
      <c r="Q1038" s="262"/>
      <c r="R1038" s="262"/>
      <c r="S1038" s="262"/>
      <c r="T1038" s="262"/>
      <c r="U1038" s="262"/>
      <c r="V1038" s="262"/>
      <c r="W1038" s="117"/>
      <c r="X1038" s="246"/>
      <c r="Y1038" s="246"/>
      <c r="Z1038" s="246"/>
      <c r="AA1038" s="160"/>
      <c r="AB1038" s="246"/>
      <c r="AC1038" s="160"/>
      <c r="AD1038" s="246"/>
      <c r="AE1038" s="160"/>
      <c r="AF1038" s="246"/>
      <c r="AG1038" s="160"/>
      <c r="AH1038" s="246"/>
      <c r="AI1038" s="160"/>
      <c r="AJ1038" s="246"/>
      <c r="AK1038" s="246"/>
      <c r="AL1038" s="246"/>
      <c r="AM1038" s="246"/>
      <c r="AN1038" s="246"/>
      <c r="AO1038" s="246"/>
      <c r="AP1038" s="246"/>
      <c r="AQ1038" s="246"/>
      <c r="AR1038" s="246"/>
      <c r="AS1038" s="246"/>
      <c r="AT1038" s="246"/>
      <c r="AU1038" s="246"/>
      <c r="AV1038" s="246"/>
      <c r="AW1038" s="160"/>
      <c r="AX1038" s="160"/>
      <c r="AY1038" s="247"/>
      <c r="AZ1038" s="248"/>
      <c r="BA1038" s="248"/>
      <c r="BB1038" s="248"/>
      <c r="BC1038" s="248"/>
      <c r="BD1038" s="3"/>
    </row>
    <row r="1039" spans="1:56" ht="15.75" hidden="1" customHeight="1" outlineLevel="1">
      <c r="A1039" s="63">
        <v>1029</v>
      </c>
      <c r="B1039" s="95" t="s">
        <v>676</v>
      </c>
      <c r="C1039" s="116"/>
      <c r="D1039" s="160"/>
      <c r="E1039" s="117"/>
      <c r="F1039" s="115"/>
      <c r="G1039" s="171"/>
      <c r="H1039" s="115"/>
      <c r="I1039" s="118"/>
      <c r="J1039" s="119"/>
      <c r="K1039" s="120"/>
      <c r="L1039" s="261"/>
      <c r="M1039" s="262"/>
      <c r="N1039" s="263"/>
      <c r="O1039" s="264"/>
      <c r="P1039" s="262"/>
      <c r="Q1039" s="262"/>
      <c r="R1039" s="262"/>
      <c r="S1039" s="262"/>
      <c r="T1039" s="262"/>
      <c r="U1039" s="262"/>
      <c r="V1039" s="262"/>
      <c r="W1039" s="117"/>
      <c r="X1039" s="246"/>
      <c r="Y1039" s="246"/>
      <c r="Z1039" s="246"/>
      <c r="AA1039" s="160"/>
      <c r="AB1039" s="246"/>
      <c r="AC1039" s="160"/>
      <c r="AD1039" s="246"/>
      <c r="AE1039" s="160"/>
      <c r="AF1039" s="246"/>
      <c r="AG1039" s="160"/>
      <c r="AH1039" s="246"/>
      <c r="AI1039" s="160"/>
      <c r="AJ1039" s="246"/>
      <c r="AK1039" s="246"/>
      <c r="AL1039" s="246"/>
      <c r="AM1039" s="246"/>
      <c r="AN1039" s="246"/>
      <c r="AO1039" s="246"/>
      <c r="AP1039" s="246"/>
      <c r="AQ1039" s="246"/>
      <c r="AR1039" s="246"/>
      <c r="AS1039" s="246"/>
      <c r="AT1039" s="246"/>
      <c r="AU1039" s="246"/>
      <c r="AV1039" s="246"/>
      <c r="AW1039" s="160"/>
      <c r="AX1039" s="160"/>
      <c r="AY1039" s="247"/>
      <c r="AZ1039" s="248"/>
      <c r="BA1039" s="248"/>
      <c r="BB1039" s="248"/>
      <c r="BC1039" s="248"/>
      <c r="BD1039" s="3"/>
    </row>
    <row r="1040" spans="1:56" ht="15.75" hidden="1" customHeight="1" outlineLevel="1">
      <c r="A1040" s="63">
        <v>1030</v>
      </c>
      <c r="B1040" s="95" t="s">
        <v>677</v>
      </c>
      <c r="C1040" s="116"/>
      <c r="D1040" s="160"/>
      <c r="E1040" s="117"/>
      <c r="F1040" s="115"/>
      <c r="G1040" s="171"/>
      <c r="H1040" s="115"/>
      <c r="I1040" s="118"/>
      <c r="J1040" s="119"/>
      <c r="K1040" s="120"/>
      <c r="L1040" s="261"/>
      <c r="M1040" s="262"/>
      <c r="N1040" s="263"/>
      <c r="O1040" s="264"/>
      <c r="P1040" s="262"/>
      <c r="Q1040" s="262"/>
      <c r="R1040" s="262"/>
      <c r="S1040" s="262"/>
      <c r="T1040" s="262"/>
      <c r="U1040" s="262"/>
      <c r="V1040" s="262"/>
      <c r="W1040" s="117"/>
      <c r="X1040" s="246"/>
      <c r="Y1040" s="246"/>
      <c r="Z1040" s="246"/>
      <c r="AA1040" s="160"/>
      <c r="AB1040" s="246"/>
      <c r="AC1040" s="160"/>
      <c r="AD1040" s="246"/>
      <c r="AE1040" s="160"/>
      <c r="AF1040" s="246"/>
      <c r="AG1040" s="160"/>
      <c r="AH1040" s="246"/>
      <c r="AI1040" s="160"/>
      <c r="AJ1040" s="246"/>
      <c r="AK1040" s="246"/>
      <c r="AL1040" s="246"/>
      <c r="AM1040" s="246"/>
      <c r="AN1040" s="246"/>
      <c r="AO1040" s="246"/>
      <c r="AP1040" s="246"/>
      <c r="AQ1040" s="246"/>
      <c r="AR1040" s="246"/>
      <c r="AS1040" s="246"/>
      <c r="AT1040" s="246"/>
      <c r="AU1040" s="246"/>
      <c r="AV1040" s="246"/>
      <c r="AW1040" s="160"/>
      <c r="AX1040" s="160"/>
      <c r="AY1040" s="247"/>
      <c r="AZ1040" s="248"/>
      <c r="BA1040" s="248"/>
      <c r="BB1040" s="248"/>
      <c r="BC1040" s="248"/>
      <c r="BD1040" s="3"/>
    </row>
    <row r="1041" spans="1:56" ht="15.75" hidden="1" customHeight="1" outlineLevel="1">
      <c r="A1041" s="63">
        <v>1031</v>
      </c>
      <c r="B1041" s="95" t="s">
        <v>678</v>
      </c>
      <c r="C1041" s="116"/>
      <c r="D1041" s="160"/>
      <c r="E1041" s="117"/>
      <c r="F1041" s="115"/>
      <c r="G1041" s="171"/>
      <c r="H1041" s="115"/>
      <c r="I1041" s="118"/>
      <c r="J1041" s="119"/>
      <c r="K1041" s="120"/>
      <c r="L1041" s="261"/>
      <c r="M1041" s="262"/>
      <c r="N1041" s="263"/>
      <c r="O1041" s="264"/>
      <c r="P1041" s="262"/>
      <c r="Q1041" s="262"/>
      <c r="R1041" s="262"/>
      <c r="S1041" s="262"/>
      <c r="T1041" s="262"/>
      <c r="U1041" s="262"/>
      <c r="V1041" s="262"/>
      <c r="W1041" s="117"/>
      <c r="X1041" s="246"/>
      <c r="Y1041" s="246"/>
      <c r="Z1041" s="246"/>
      <c r="AA1041" s="160"/>
      <c r="AB1041" s="246"/>
      <c r="AC1041" s="160"/>
      <c r="AD1041" s="246"/>
      <c r="AE1041" s="160"/>
      <c r="AF1041" s="246"/>
      <c r="AG1041" s="160"/>
      <c r="AH1041" s="246"/>
      <c r="AI1041" s="160"/>
      <c r="AJ1041" s="246"/>
      <c r="AK1041" s="246"/>
      <c r="AL1041" s="246"/>
      <c r="AM1041" s="246"/>
      <c r="AN1041" s="246"/>
      <c r="AO1041" s="246"/>
      <c r="AP1041" s="246"/>
      <c r="AQ1041" s="246"/>
      <c r="AR1041" s="246"/>
      <c r="AS1041" s="246"/>
      <c r="AT1041" s="246"/>
      <c r="AU1041" s="246"/>
      <c r="AV1041" s="246"/>
      <c r="AW1041" s="160"/>
      <c r="AX1041" s="160"/>
      <c r="AY1041" s="247"/>
      <c r="AZ1041" s="248"/>
      <c r="BA1041" s="248"/>
      <c r="BB1041" s="248"/>
      <c r="BC1041" s="248"/>
      <c r="BD1041" s="3"/>
    </row>
    <row r="1042" spans="1:56" ht="15.75" hidden="1" customHeight="1" outlineLevel="1">
      <c r="A1042" s="63">
        <v>1032</v>
      </c>
      <c r="B1042" s="95" t="s">
        <v>679</v>
      </c>
      <c r="C1042" s="116"/>
      <c r="D1042" s="160"/>
      <c r="E1042" s="117"/>
      <c r="F1042" s="115"/>
      <c r="G1042" s="171"/>
      <c r="H1042" s="115"/>
      <c r="I1042" s="118"/>
      <c r="J1042" s="119"/>
      <c r="K1042" s="120"/>
      <c r="L1042" s="261"/>
      <c r="M1042" s="262"/>
      <c r="N1042" s="263"/>
      <c r="O1042" s="264"/>
      <c r="P1042" s="262"/>
      <c r="Q1042" s="262"/>
      <c r="R1042" s="262"/>
      <c r="S1042" s="262"/>
      <c r="T1042" s="262"/>
      <c r="U1042" s="262"/>
      <c r="V1042" s="262"/>
      <c r="W1042" s="117"/>
      <c r="X1042" s="246"/>
      <c r="Y1042" s="246"/>
      <c r="Z1042" s="246"/>
      <c r="AA1042" s="160"/>
      <c r="AB1042" s="246"/>
      <c r="AC1042" s="160"/>
      <c r="AD1042" s="246"/>
      <c r="AE1042" s="160"/>
      <c r="AF1042" s="246"/>
      <c r="AG1042" s="160"/>
      <c r="AH1042" s="246"/>
      <c r="AI1042" s="160"/>
      <c r="AJ1042" s="246"/>
      <c r="AK1042" s="246"/>
      <c r="AL1042" s="246"/>
      <c r="AM1042" s="246"/>
      <c r="AN1042" s="246"/>
      <c r="AO1042" s="246"/>
      <c r="AP1042" s="246"/>
      <c r="AQ1042" s="246"/>
      <c r="AR1042" s="246"/>
      <c r="AS1042" s="246"/>
      <c r="AT1042" s="246"/>
      <c r="AU1042" s="246"/>
      <c r="AV1042" s="246"/>
      <c r="AW1042" s="160"/>
      <c r="AX1042" s="160"/>
      <c r="AY1042" s="247"/>
      <c r="AZ1042" s="248"/>
      <c r="BA1042" s="248"/>
      <c r="BB1042" s="248"/>
      <c r="BC1042" s="248"/>
      <c r="BD1042" s="3"/>
    </row>
    <row r="1043" spans="1:56" ht="15.75" hidden="1" customHeight="1" outlineLevel="1">
      <c r="A1043" s="63">
        <v>1033</v>
      </c>
      <c r="B1043" s="95" t="s">
        <v>682</v>
      </c>
      <c r="C1043" s="116"/>
      <c r="D1043" s="160"/>
      <c r="E1043" s="117"/>
      <c r="F1043" s="115"/>
      <c r="G1043" s="171"/>
      <c r="H1043" s="115"/>
      <c r="I1043" s="118"/>
      <c r="J1043" s="119"/>
      <c r="K1043" s="120"/>
      <c r="L1043" s="261"/>
      <c r="M1043" s="262"/>
      <c r="N1043" s="263"/>
      <c r="O1043" s="264"/>
      <c r="P1043" s="262"/>
      <c r="Q1043" s="262"/>
      <c r="R1043" s="262"/>
      <c r="S1043" s="262"/>
      <c r="T1043" s="262"/>
      <c r="U1043" s="262"/>
      <c r="V1043" s="262"/>
      <c r="W1043" s="117"/>
      <c r="X1043" s="246"/>
      <c r="Y1043" s="246"/>
      <c r="Z1043" s="246"/>
      <c r="AA1043" s="160"/>
      <c r="AB1043" s="246"/>
      <c r="AC1043" s="160"/>
      <c r="AD1043" s="246"/>
      <c r="AE1043" s="160"/>
      <c r="AF1043" s="246"/>
      <c r="AG1043" s="160"/>
      <c r="AH1043" s="246"/>
      <c r="AI1043" s="160"/>
      <c r="AJ1043" s="246"/>
      <c r="AK1043" s="246"/>
      <c r="AL1043" s="246"/>
      <c r="AM1043" s="246"/>
      <c r="AN1043" s="246"/>
      <c r="AO1043" s="246"/>
      <c r="AP1043" s="246"/>
      <c r="AQ1043" s="246"/>
      <c r="AR1043" s="246"/>
      <c r="AS1043" s="246"/>
      <c r="AT1043" s="246"/>
      <c r="AU1043" s="246"/>
      <c r="AV1043" s="246"/>
      <c r="AW1043" s="160"/>
      <c r="AX1043" s="160"/>
      <c r="AY1043" s="247"/>
      <c r="AZ1043" s="248"/>
      <c r="BA1043" s="248"/>
      <c r="BB1043" s="248"/>
      <c r="BC1043" s="248"/>
      <c r="BD1043" s="3"/>
    </row>
    <row r="1044" spans="1:56" ht="15.75" hidden="1" customHeight="1" outlineLevel="1">
      <c r="A1044" s="63">
        <v>1034</v>
      </c>
      <c r="B1044" s="95" t="s">
        <v>683</v>
      </c>
      <c r="C1044" s="116"/>
      <c r="D1044" s="160"/>
      <c r="E1044" s="117"/>
      <c r="F1044" s="115"/>
      <c r="G1044" s="171"/>
      <c r="H1044" s="115"/>
      <c r="I1044" s="118"/>
      <c r="J1044" s="119"/>
      <c r="K1044" s="120"/>
      <c r="L1044" s="261"/>
      <c r="M1044" s="262"/>
      <c r="N1044" s="263"/>
      <c r="O1044" s="264"/>
      <c r="P1044" s="262"/>
      <c r="Q1044" s="262"/>
      <c r="R1044" s="262"/>
      <c r="S1044" s="262"/>
      <c r="T1044" s="262"/>
      <c r="U1044" s="262"/>
      <c r="V1044" s="262"/>
      <c r="W1044" s="117"/>
      <c r="X1044" s="246"/>
      <c r="Y1044" s="246"/>
      <c r="Z1044" s="246"/>
      <c r="AA1044" s="160"/>
      <c r="AB1044" s="246"/>
      <c r="AC1044" s="160"/>
      <c r="AD1044" s="246"/>
      <c r="AE1044" s="160"/>
      <c r="AF1044" s="246"/>
      <c r="AG1044" s="160"/>
      <c r="AH1044" s="246"/>
      <c r="AI1044" s="160"/>
      <c r="AJ1044" s="246"/>
      <c r="AK1044" s="246"/>
      <c r="AL1044" s="246"/>
      <c r="AM1044" s="246"/>
      <c r="AN1044" s="246"/>
      <c r="AO1044" s="246"/>
      <c r="AP1044" s="246"/>
      <c r="AQ1044" s="246"/>
      <c r="AR1044" s="246"/>
      <c r="AS1044" s="246"/>
      <c r="AT1044" s="246"/>
      <c r="AU1044" s="246"/>
      <c r="AV1044" s="246"/>
      <c r="AW1044" s="160"/>
      <c r="AX1044" s="160"/>
      <c r="AY1044" s="247"/>
      <c r="AZ1044" s="248"/>
      <c r="BA1044" s="248"/>
      <c r="BB1044" s="248"/>
      <c r="BC1044" s="248"/>
      <c r="BD1044" s="3"/>
    </row>
    <row r="1045" spans="1:56" ht="15.75" hidden="1" customHeight="1" outlineLevel="1">
      <c r="A1045" s="63">
        <v>1035</v>
      </c>
      <c r="B1045" s="95" t="s">
        <v>684</v>
      </c>
      <c r="C1045" s="116"/>
      <c r="D1045" s="160"/>
      <c r="E1045" s="117"/>
      <c r="F1045" s="115"/>
      <c r="G1045" s="171"/>
      <c r="H1045" s="115"/>
      <c r="I1045" s="118"/>
      <c r="J1045" s="119"/>
      <c r="K1045" s="120"/>
      <c r="L1045" s="261"/>
      <c r="M1045" s="262"/>
      <c r="N1045" s="263"/>
      <c r="O1045" s="264"/>
      <c r="P1045" s="262"/>
      <c r="Q1045" s="262"/>
      <c r="R1045" s="262"/>
      <c r="S1045" s="262"/>
      <c r="T1045" s="262"/>
      <c r="U1045" s="262"/>
      <c r="V1045" s="262"/>
      <c r="W1045" s="117"/>
      <c r="X1045" s="246"/>
      <c r="Y1045" s="246"/>
      <c r="Z1045" s="246"/>
      <c r="AA1045" s="160"/>
      <c r="AB1045" s="246"/>
      <c r="AC1045" s="160"/>
      <c r="AD1045" s="246"/>
      <c r="AE1045" s="160"/>
      <c r="AF1045" s="246"/>
      <c r="AG1045" s="160"/>
      <c r="AH1045" s="246"/>
      <c r="AI1045" s="160"/>
      <c r="AJ1045" s="246"/>
      <c r="AK1045" s="246"/>
      <c r="AL1045" s="246"/>
      <c r="AM1045" s="246"/>
      <c r="AN1045" s="246"/>
      <c r="AO1045" s="246"/>
      <c r="AP1045" s="246"/>
      <c r="AQ1045" s="246"/>
      <c r="AR1045" s="246"/>
      <c r="AS1045" s="246"/>
      <c r="AT1045" s="246"/>
      <c r="AU1045" s="246"/>
      <c r="AV1045" s="246"/>
      <c r="AW1045" s="160"/>
      <c r="AX1045" s="160"/>
      <c r="AY1045" s="247"/>
      <c r="AZ1045" s="248"/>
      <c r="BA1045" s="248"/>
      <c r="BB1045" s="248"/>
      <c r="BC1045" s="248"/>
      <c r="BD1045" s="3"/>
    </row>
    <row r="1046" spans="1:56" ht="15.75" hidden="1" customHeight="1" outlineLevel="1">
      <c r="A1046" s="63">
        <v>1036</v>
      </c>
      <c r="B1046" s="95" t="s">
        <v>685</v>
      </c>
      <c r="C1046" s="116"/>
      <c r="D1046" s="160"/>
      <c r="E1046" s="117"/>
      <c r="F1046" s="115"/>
      <c r="G1046" s="171"/>
      <c r="H1046" s="115"/>
      <c r="I1046" s="118"/>
      <c r="J1046" s="119"/>
      <c r="K1046" s="120"/>
      <c r="L1046" s="261"/>
      <c r="M1046" s="262"/>
      <c r="N1046" s="263"/>
      <c r="O1046" s="264"/>
      <c r="P1046" s="262"/>
      <c r="Q1046" s="262"/>
      <c r="R1046" s="262"/>
      <c r="S1046" s="262"/>
      <c r="T1046" s="262"/>
      <c r="U1046" s="262"/>
      <c r="V1046" s="262"/>
      <c r="W1046" s="117"/>
      <c r="X1046" s="246"/>
      <c r="Y1046" s="246"/>
      <c r="Z1046" s="246"/>
      <c r="AA1046" s="160"/>
      <c r="AB1046" s="246"/>
      <c r="AC1046" s="160"/>
      <c r="AD1046" s="246"/>
      <c r="AE1046" s="160"/>
      <c r="AF1046" s="246"/>
      <c r="AG1046" s="160"/>
      <c r="AH1046" s="246"/>
      <c r="AI1046" s="160"/>
      <c r="AJ1046" s="246"/>
      <c r="AK1046" s="246"/>
      <c r="AL1046" s="246"/>
      <c r="AM1046" s="246"/>
      <c r="AN1046" s="246"/>
      <c r="AO1046" s="246"/>
      <c r="AP1046" s="246"/>
      <c r="AQ1046" s="246"/>
      <c r="AR1046" s="246"/>
      <c r="AS1046" s="246"/>
      <c r="AT1046" s="246"/>
      <c r="AU1046" s="246"/>
      <c r="AV1046" s="246"/>
      <c r="AW1046" s="160"/>
      <c r="AX1046" s="160"/>
      <c r="AY1046" s="247"/>
      <c r="AZ1046" s="248"/>
      <c r="BA1046" s="248"/>
      <c r="BB1046" s="248"/>
      <c r="BC1046" s="248"/>
      <c r="BD1046" s="3"/>
    </row>
    <row r="1047" spans="1:56" ht="15.75" hidden="1" customHeight="1" outlineLevel="1">
      <c r="A1047" s="63">
        <v>1037</v>
      </c>
      <c r="B1047" s="95" t="s">
        <v>686</v>
      </c>
      <c r="C1047" s="116"/>
      <c r="D1047" s="160"/>
      <c r="E1047" s="117"/>
      <c r="F1047" s="115"/>
      <c r="G1047" s="171"/>
      <c r="H1047" s="115"/>
      <c r="I1047" s="118"/>
      <c r="J1047" s="119"/>
      <c r="K1047" s="120"/>
      <c r="L1047" s="261"/>
      <c r="M1047" s="262"/>
      <c r="N1047" s="263"/>
      <c r="O1047" s="264"/>
      <c r="P1047" s="262"/>
      <c r="Q1047" s="262"/>
      <c r="R1047" s="262"/>
      <c r="S1047" s="262"/>
      <c r="T1047" s="262"/>
      <c r="U1047" s="262"/>
      <c r="V1047" s="262"/>
      <c r="W1047" s="117"/>
      <c r="X1047" s="246"/>
      <c r="Y1047" s="246"/>
      <c r="Z1047" s="246"/>
      <c r="AA1047" s="160"/>
      <c r="AB1047" s="246"/>
      <c r="AC1047" s="160"/>
      <c r="AD1047" s="246"/>
      <c r="AE1047" s="160"/>
      <c r="AF1047" s="246"/>
      <c r="AG1047" s="160"/>
      <c r="AH1047" s="246"/>
      <c r="AI1047" s="160"/>
      <c r="AJ1047" s="246"/>
      <c r="AK1047" s="246"/>
      <c r="AL1047" s="246"/>
      <c r="AM1047" s="246"/>
      <c r="AN1047" s="246"/>
      <c r="AO1047" s="246"/>
      <c r="AP1047" s="246"/>
      <c r="AQ1047" s="246"/>
      <c r="AR1047" s="246"/>
      <c r="AS1047" s="246"/>
      <c r="AT1047" s="246"/>
      <c r="AU1047" s="246"/>
      <c r="AV1047" s="246"/>
      <c r="AW1047" s="160"/>
      <c r="AX1047" s="160"/>
      <c r="AY1047" s="247"/>
      <c r="AZ1047" s="248"/>
      <c r="BA1047" s="248"/>
      <c r="BB1047" s="248"/>
      <c r="BC1047" s="248"/>
      <c r="BD1047" s="3"/>
    </row>
    <row r="1048" spans="1:56" ht="15.75" hidden="1" customHeight="1" outlineLevel="1">
      <c r="A1048" s="63">
        <v>1038</v>
      </c>
      <c r="B1048" s="95" t="s">
        <v>687</v>
      </c>
      <c r="C1048" s="116"/>
      <c r="D1048" s="160"/>
      <c r="E1048" s="117"/>
      <c r="F1048" s="115"/>
      <c r="G1048" s="171"/>
      <c r="H1048" s="115"/>
      <c r="I1048" s="118"/>
      <c r="J1048" s="119"/>
      <c r="K1048" s="120"/>
      <c r="L1048" s="261"/>
      <c r="M1048" s="262"/>
      <c r="N1048" s="263"/>
      <c r="O1048" s="264"/>
      <c r="P1048" s="262"/>
      <c r="Q1048" s="262"/>
      <c r="R1048" s="262"/>
      <c r="S1048" s="262"/>
      <c r="T1048" s="262"/>
      <c r="U1048" s="262"/>
      <c r="V1048" s="262"/>
      <c r="W1048" s="117"/>
      <c r="X1048" s="246"/>
      <c r="Y1048" s="246"/>
      <c r="Z1048" s="246"/>
      <c r="AA1048" s="160"/>
      <c r="AB1048" s="246"/>
      <c r="AC1048" s="160"/>
      <c r="AD1048" s="246"/>
      <c r="AE1048" s="160"/>
      <c r="AF1048" s="246"/>
      <c r="AG1048" s="160"/>
      <c r="AH1048" s="246"/>
      <c r="AI1048" s="160"/>
      <c r="AJ1048" s="246"/>
      <c r="AK1048" s="246"/>
      <c r="AL1048" s="246"/>
      <c r="AM1048" s="246"/>
      <c r="AN1048" s="246"/>
      <c r="AO1048" s="246"/>
      <c r="AP1048" s="246"/>
      <c r="AQ1048" s="246"/>
      <c r="AR1048" s="246"/>
      <c r="AS1048" s="246"/>
      <c r="AT1048" s="246"/>
      <c r="AU1048" s="246"/>
      <c r="AV1048" s="246"/>
      <c r="AW1048" s="160"/>
      <c r="AX1048" s="160"/>
      <c r="AY1048" s="247"/>
      <c r="AZ1048" s="248"/>
      <c r="BA1048" s="248"/>
      <c r="BB1048" s="248"/>
      <c r="BC1048" s="248"/>
      <c r="BD1048" s="3"/>
    </row>
    <row r="1049" spans="1:56" ht="15.75" hidden="1" customHeight="1" outlineLevel="1">
      <c r="A1049" s="63">
        <v>1039</v>
      </c>
      <c r="B1049" s="95" t="s">
        <v>688</v>
      </c>
      <c r="C1049" s="116"/>
      <c r="D1049" s="160"/>
      <c r="E1049" s="117"/>
      <c r="F1049" s="115"/>
      <c r="G1049" s="171"/>
      <c r="H1049" s="115"/>
      <c r="I1049" s="118"/>
      <c r="J1049" s="119"/>
      <c r="K1049" s="120"/>
      <c r="L1049" s="261"/>
      <c r="M1049" s="262"/>
      <c r="N1049" s="263"/>
      <c r="O1049" s="264"/>
      <c r="P1049" s="262"/>
      <c r="Q1049" s="262"/>
      <c r="R1049" s="262"/>
      <c r="S1049" s="262"/>
      <c r="T1049" s="262"/>
      <c r="U1049" s="262"/>
      <c r="V1049" s="262"/>
      <c r="W1049" s="117"/>
      <c r="X1049" s="246"/>
      <c r="Y1049" s="246"/>
      <c r="Z1049" s="246"/>
      <c r="AA1049" s="160"/>
      <c r="AB1049" s="246"/>
      <c r="AC1049" s="160"/>
      <c r="AD1049" s="246"/>
      <c r="AE1049" s="160"/>
      <c r="AF1049" s="246"/>
      <c r="AG1049" s="160"/>
      <c r="AH1049" s="246"/>
      <c r="AI1049" s="160"/>
      <c r="AJ1049" s="246"/>
      <c r="AK1049" s="246"/>
      <c r="AL1049" s="246"/>
      <c r="AM1049" s="246"/>
      <c r="AN1049" s="246"/>
      <c r="AO1049" s="246"/>
      <c r="AP1049" s="246"/>
      <c r="AQ1049" s="246"/>
      <c r="AR1049" s="246"/>
      <c r="AS1049" s="246"/>
      <c r="AT1049" s="246"/>
      <c r="AU1049" s="246"/>
      <c r="AV1049" s="246"/>
      <c r="AW1049" s="160"/>
      <c r="AX1049" s="160"/>
      <c r="AY1049" s="247"/>
      <c r="AZ1049" s="248"/>
      <c r="BA1049" s="248"/>
      <c r="BB1049" s="248"/>
      <c r="BC1049" s="248"/>
      <c r="BD1049" s="3"/>
    </row>
    <row r="1050" spans="1:56" ht="15.75" hidden="1" customHeight="1" outlineLevel="1">
      <c r="A1050" s="63">
        <v>1040</v>
      </c>
      <c r="B1050" s="95" t="s">
        <v>689</v>
      </c>
      <c r="C1050" s="116"/>
      <c r="D1050" s="160"/>
      <c r="E1050" s="117"/>
      <c r="F1050" s="115"/>
      <c r="G1050" s="171"/>
      <c r="H1050" s="115"/>
      <c r="I1050" s="118"/>
      <c r="J1050" s="119"/>
      <c r="K1050" s="120"/>
      <c r="L1050" s="261"/>
      <c r="M1050" s="262"/>
      <c r="N1050" s="263"/>
      <c r="O1050" s="264"/>
      <c r="P1050" s="262"/>
      <c r="Q1050" s="262"/>
      <c r="R1050" s="262"/>
      <c r="S1050" s="262"/>
      <c r="T1050" s="262"/>
      <c r="U1050" s="262"/>
      <c r="V1050" s="262"/>
      <c r="W1050" s="117"/>
      <c r="X1050" s="246"/>
      <c r="Y1050" s="246"/>
      <c r="Z1050" s="246"/>
      <c r="AA1050" s="160"/>
      <c r="AB1050" s="246"/>
      <c r="AC1050" s="160"/>
      <c r="AD1050" s="246"/>
      <c r="AE1050" s="160"/>
      <c r="AF1050" s="246"/>
      <c r="AG1050" s="160"/>
      <c r="AH1050" s="246"/>
      <c r="AI1050" s="160"/>
      <c r="AJ1050" s="246"/>
      <c r="AK1050" s="246"/>
      <c r="AL1050" s="246"/>
      <c r="AM1050" s="246"/>
      <c r="AN1050" s="246"/>
      <c r="AO1050" s="246"/>
      <c r="AP1050" s="246"/>
      <c r="AQ1050" s="246"/>
      <c r="AR1050" s="246"/>
      <c r="AS1050" s="246"/>
      <c r="AT1050" s="246"/>
      <c r="AU1050" s="246"/>
      <c r="AV1050" s="246"/>
      <c r="AW1050" s="160"/>
      <c r="AX1050" s="160"/>
      <c r="AY1050" s="247"/>
      <c r="AZ1050" s="248"/>
      <c r="BA1050" s="248"/>
      <c r="BB1050" s="248"/>
      <c r="BC1050" s="248"/>
      <c r="BD1050" s="3"/>
    </row>
    <row r="1051" spans="1:56" ht="15.75" hidden="1" customHeight="1" outlineLevel="1">
      <c r="A1051" s="63">
        <v>1041</v>
      </c>
      <c r="B1051" s="95" t="s">
        <v>690</v>
      </c>
      <c r="C1051" s="116"/>
      <c r="D1051" s="160"/>
      <c r="E1051" s="117"/>
      <c r="F1051" s="115"/>
      <c r="G1051" s="171"/>
      <c r="H1051" s="115"/>
      <c r="I1051" s="118"/>
      <c r="J1051" s="119"/>
      <c r="K1051" s="120"/>
      <c r="L1051" s="261"/>
      <c r="M1051" s="262"/>
      <c r="N1051" s="263"/>
      <c r="O1051" s="264"/>
      <c r="P1051" s="262"/>
      <c r="Q1051" s="262"/>
      <c r="R1051" s="262"/>
      <c r="S1051" s="262"/>
      <c r="T1051" s="262"/>
      <c r="U1051" s="262"/>
      <c r="V1051" s="262"/>
      <c r="W1051" s="117"/>
      <c r="X1051" s="246"/>
      <c r="Y1051" s="246"/>
      <c r="Z1051" s="246"/>
      <c r="AA1051" s="160"/>
      <c r="AB1051" s="246"/>
      <c r="AC1051" s="160"/>
      <c r="AD1051" s="246"/>
      <c r="AE1051" s="160"/>
      <c r="AF1051" s="246"/>
      <c r="AG1051" s="160"/>
      <c r="AH1051" s="246"/>
      <c r="AI1051" s="160"/>
      <c r="AJ1051" s="246"/>
      <c r="AK1051" s="246"/>
      <c r="AL1051" s="246"/>
      <c r="AM1051" s="246"/>
      <c r="AN1051" s="246"/>
      <c r="AO1051" s="246"/>
      <c r="AP1051" s="246"/>
      <c r="AQ1051" s="246"/>
      <c r="AR1051" s="246"/>
      <c r="AS1051" s="246"/>
      <c r="AT1051" s="246"/>
      <c r="AU1051" s="246"/>
      <c r="AV1051" s="246"/>
      <c r="AW1051" s="160"/>
      <c r="AX1051" s="160"/>
      <c r="AY1051" s="247"/>
      <c r="AZ1051" s="248"/>
      <c r="BA1051" s="248"/>
      <c r="BB1051" s="248"/>
      <c r="BC1051" s="248"/>
      <c r="BD1051" s="3"/>
    </row>
    <row r="1052" spans="1:56" ht="15.75" hidden="1" customHeight="1" outlineLevel="1">
      <c r="A1052" s="63">
        <v>1042</v>
      </c>
      <c r="B1052" s="95" t="s">
        <v>691</v>
      </c>
      <c r="C1052" s="116"/>
      <c r="D1052" s="160"/>
      <c r="E1052" s="117"/>
      <c r="F1052" s="115"/>
      <c r="G1052" s="171"/>
      <c r="H1052" s="115"/>
      <c r="I1052" s="118"/>
      <c r="J1052" s="119"/>
      <c r="K1052" s="120"/>
      <c r="L1052" s="261"/>
      <c r="M1052" s="262"/>
      <c r="N1052" s="263"/>
      <c r="O1052" s="264"/>
      <c r="P1052" s="262"/>
      <c r="Q1052" s="262"/>
      <c r="R1052" s="262"/>
      <c r="S1052" s="262"/>
      <c r="T1052" s="262"/>
      <c r="U1052" s="262"/>
      <c r="V1052" s="262"/>
      <c r="W1052" s="117"/>
      <c r="X1052" s="246"/>
      <c r="Y1052" s="246"/>
      <c r="Z1052" s="246"/>
      <c r="AA1052" s="160"/>
      <c r="AB1052" s="246"/>
      <c r="AC1052" s="160"/>
      <c r="AD1052" s="246"/>
      <c r="AE1052" s="160"/>
      <c r="AF1052" s="246"/>
      <c r="AG1052" s="160"/>
      <c r="AH1052" s="246"/>
      <c r="AI1052" s="160"/>
      <c r="AJ1052" s="246"/>
      <c r="AK1052" s="246"/>
      <c r="AL1052" s="246"/>
      <c r="AM1052" s="246"/>
      <c r="AN1052" s="246"/>
      <c r="AO1052" s="246"/>
      <c r="AP1052" s="246"/>
      <c r="AQ1052" s="246"/>
      <c r="AR1052" s="246"/>
      <c r="AS1052" s="246"/>
      <c r="AT1052" s="246"/>
      <c r="AU1052" s="246"/>
      <c r="AV1052" s="246"/>
      <c r="AW1052" s="160"/>
      <c r="AX1052" s="160"/>
      <c r="AY1052" s="247"/>
      <c r="AZ1052" s="248"/>
      <c r="BA1052" s="248"/>
      <c r="BB1052" s="248"/>
      <c r="BC1052" s="248"/>
      <c r="BD1052" s="3"/>
    </row>
    <row r="1053" spans="1:56" ht="15.75" hidden="1" customHeight="1" outlineLevel="1">
      <c r="A1053" s="63">
        <v>1043</v>
      </c>
      <c r="B1053" s="95" t="s">
        <v>692</v>
      </c>
      <c r="C1053" s="116"/>
      <c r="D1053" s="160"/>
      <c r="E1053" s="117"/>
      <c r="F1053" s="115"/>
      <c r="G1053" s="171"/>
      <c r="H1053" s="115"/>
      <c r="I1053" s="118"/>
      <c r="J1053" s="119"/>
      <c r="K1053" s="120"/>
      <c r="L1053" s="261"/>
      <c r="M1053" s="262"/>
      <c r="N1053" s="263"/>
      <c r="O1053" s="264"/>
      <c r="P1053" s="262"/>
      <c r="Q1053" s="262"/>
      <c r="R1053" s="262"/>
      <c r="S1053" s="262"/>
      <c r="T1053" s="262"/>
      <c r="U1053" s="262"/>
      <c r="V1053" s="262"/>
      <c r="W1053" s="117"/>
      <c r="X1053" s="246"/>
      <c r="Y1053" s="246"/>
      <c r="Z1053" s="246"/>
      <c r="AA1053" s="160"/>
      <c r="AB1053" s="246"/>
      <c r="AC1053" s="160"/>
      <c r="AD1053" s="246"/>
      <c r="AE1053" s="160"/>
      <c r="AF1053" s="246"/>
      <c r="AG1053" s="160"/>
      <c r="AH1053" s="246"/>
      <c r="AI1053" s="160"/>
      <c r="AJ1053" s="246"/>
      <c r="AK1053" s="246"/>
      <c r="AL1053" s="246"/>
      <c r="AM1053" s="246"/>
      <c r="AN1053" s="246"/>
      <c r="AO1053" s="246"/>
      <c r="AP1053" s="246"/>
      <c r="AQ1053" s="246"/>
      <c r="AR1053" s="246"/>
      <c r="AS1053" s="246"/>
      <c r="AT1053" s="246"/>
      <c r="AU1053" s="246"/>
      <c r="AV1053" s="246"/>
      <c r="AW1053" s="160"/>
      <c r="AX1053" s="160"/>
      <c r="AY1053" s="247"/>
      <c r="AZ1053" s="248"/>
      <c r="BA1053" s="248"/>
      <c r="BB1053" s="248"/>
      <c r="BC1053" s="248"/>
      <c r="BD1053" s="3"/>
    </row>
    <row r="1054" spans="1:56" ht="15.75" hidden="1" customHeight="1" outlineLevel="1">
      <c r="A1054" s="63">
        <v>1044</v>
      </c>
      <c r="B1054" s="95" t="s">
        <v>693</v>
      </c>
      <c r="C1054" s="116"/>
      <c r="D1054" s="160"/>
      <c r="E1054" s="117"/>
      <c r="F1054" s="115"/>
      <c r="G1054" s="171"/>
      <c r="H1054" s="115"/>
      <c r="I1054" s="118"/>
      <c r="J1054" s="119"/>
      <c r="K1054" s="120"/>
      <c r="L1054" s="261"/>
      <c r="M1054" s="262"/>
      <c r="N1054" s="263"/>
      <c r="O1054" s="264"/>
      <c r="P1054" s="262"/>
      <c r="Q1054" s="262"/>
      <c r="R1054" s="262"/>
      <c r="S1054" s="262"/>
      <c r="T1054" s="262"/>
      <c r="U1054" s="262"/>
      <c r="V1054" s="262"/>
      <c r="W1054" s="117"/>
      <c r="X1054" s="246"/>
      <c r="Y1054" s="246"/>
      <c r="Z1054" s="246"/>
      <c r="AA1054" s="160"/>
      <c r="AB1054" s="246"/>
      <c r="AC1054" s="160"/>
      <c r="AD1054" s="246"/>
      <c r="AE1054" s="160"/>
      <c r="AF1054" s="246"/>
      <c r="AG1054" s="160"/>
      <c r="AH1054" s="246"/>
      <c r="AI1054" s="160"/>
      <c r="AJ1054" s="246"/>
      <c r="AK1054" s="246"/>
      <c r="AL1054" s="246"/>
      <c r="AM1054" s="246"/>
      <c r="AN1054" s="246"/>
      <c r="AO1054" s="246"/>
      <c r="AP1054" s="246"/>
      <c r="AQ1054" s="246"/>
      <c r="AR1054" s="246"/>
      <c r="AS1054" s="246"/>
      <c r="AT1054" s="246"/>
      <c r="AU1054" s="246"/>
      <c r="AV1054" s="246"/>
      <c r="AW1054" s="160"/>
      <c r="AX1054" s="160"/>
      <c r="AY1054" s="247"/>
      <c r="AZ1054" s="248"/>
      <c r="BA1054" s="248"/>
      <c r="BB1054" s="248"/>
      <c r="BC1054" s="248"/>
      <c r="BD1054" s="3"/>
    </row>
    <row r="1055" spans="1:56" ht="15.75" hidden="1" customHeight="1" outlineLevel="1">
      <c r="A1055" s="63">
        <v>1045</v>
      </c>
      <c r="B1055" s="95" t="s">
        <v>694</v>
      </c>
      <c r="C1055" s="116"/>
      <c r="D1055" s="160"/>
      <c r="E1055" s="117"/>
      <c r="F1055" s="115"/>
      <c r="G1055" s="171"/>
      <c r="H1055" s="115"/>
      <c r="I1055" s="118"/>
      <c r="J1055" s="119"/>
      <c r="K1055" s="120"/>
      <c r="L1055" s="261"/>
      <c r="M1055" s="262"/>
      <c r="N1055" s="263"/>
      <c r="O1055" s="264"/>
      <c r="P1055" s="262"/>
      <c r="Q1055" s="262"/>
      <c r="R1055" s="262"/>
      <c r="S1055" s="262"/>
      <c r="T1055" s="262"/>
      <c r="U1055" s="262"/>
      <c r="V1055" s="262"/>
      <c r="W1055" s="117"/>
      <c r="X1055" s="246"/>
      <c r="Y1055" s="246"/>
      <c r="Z1055" s="246"/>
      <c r="AA1055" s="160"/>
      <c r="AB1055" s="246"/>
      <c r="AC1055" s="160"/>
      <c r="AD1055" s="246"/>
      <c r="AE1055" s="160"/>
      <c r="AF1055" s="246"/>
      <c r="AG1055" s="160"/>
      <c r="AH1055" s="246"/>
      <c r="AI1055" s="160"/>
      <c r="AJ1055" s="246"/>
      <c r="AK1055" s="246"/>
      <c r="AL1055" s="246"/>
      <c r="AM1055" s="246"/>
      <c r="AN1055" s="246"/>
      <c r="AO1055" s="246"/>
      <c r="AP1055" s="246"/>
      <c r="AQ1055" s="246"/>
      <c r="AR1055" s="246"/>
      <c r="AS1055" s="246"/>
      <c r="AT1055" s="246"/>
      <c r="AU1055" s="246"/>
      <c r="AV1055" s="246"/>
      <c r="AW1055" s="160"/>
      <c r="AX1055" s="160"/>
      <c r="AY1055" s="247"/>
      <c r="AZ1055" s="248"/>
      <c r="BA1055" s="248"/>
      <c r="BB1055" s="248"/>
      <c r="BC1055" s="248"/>
      <c r="BD1055" s="3"/>
    </row>
    <row r="1056" spans="1:56" ht="15.75" hidden="1" customHeight="1" outlineLevel="1">
      <c r="A1056" s="63">
        <v>1046</v>
      </c>
      <c r="B1056" s="95" t="s">
        <v>695</v>
      </c>
      <c r="C1056" s="116"/>
      <c r="D1056" s="160"/>
      <c r="E1056" s="117"/>
      <c r="F1056" s="115"/>
      <c r="G1056" s="171"/>
      <c r="H1056" s="115"/>
      <c r="I1056" s="118"/>
      <c r="J1056" s="119"/>
      <c r="K1056" s="120"/>
      <c r="L1056" s="261"/>
      <c r="M1056" s="262"/>
      <c r="N1056" s="263"/>
      <c r="O1056" s="264"/>
      <c r="P1056" s="262"/>
      <c r="Q1056" s="262"/>
      <c r="R1056" s="262"/>
      <c r="S1056" s="262"/>
      <c r="T1056" s="262"/>
      <c r="U1056" s="262"/>
      <c r="V1056" s="262"/>
      <c r="W1056" s="117"/>
      <c r="X1056" s="246"/>
      <c r="Y1056" s="246"/>
      <c r="Z1056" s="246"/>
      <c r="AA1056" s="160"/>
      <c r="AB1056" s="246"/>
      <c r="AC1056" s="160"/>
      <c r="AD1056" s="246"/>
      <c r="AE1056" s="160"/>
      <c r="AF1056" s="246"/>
      <c r="AG1056" s="160"/>
      <c r="AH1056" s="246"/>
      <c r="AI1056" s="160"/>
      <c r="AJ1056" s="246"/>
      <c r="AK1056" s="246"/>
      <c r="AL1056" s="246"/>
      <c r="AM1056" s="246"/>
      <c r="AN1056" s="246"/>
      <c r="AO1056" s="246"/>
      <c r="AP1056" s="246"/>
      <c r="AQ1056" s="246"/>
      <c r="AR1056" s="246"/>
      <c r="AS1056" s="246"/>
      <c r="AT1056" s="246"/>
      <c r="AU1056" s="246"/>
      <c r="AV1056" s="246"/>
      <c r="AW1056" s="160"/>
      <c r="AX1056" s="160"/>
      <c r="AY1056" s="247"/>
      <c r="AZ1056" s="248"/>
      <c r="BA1056" s="248"/>
      <c r="BB1056" s="248"/>
      <c r="BC1056" s="248"/>
      <c r="BD1056" s="3"/>
    </row>
    <row r="1057" spans="1:56" ht="15.75" hidden="1" customHeight="1" outlineLevel="1">
      <c r="A1057" s="63">
        <v>1047</v>
      </c>
      <c r="B1057" s="95" t="s">
        <v>697</v>
      </c>
      <c r="C1057" s="116"/>
      <c r="D1057" s="160"/>
      <c r="E1057" s="117"/>
      <c r="F1057" s="115"/>
      <c r="G1057" s="171"/>
      <c r="H1057" s="115"/>
      <c r="I1057" s="118"/>
      <c r="J1057" s="119"/>
      <c r="K1057" s="120"/>
      <c r="L1057" s="261"/>
      <c r="M1057" s="262"/>
      <c r="N1057" s="263"/>
      <c r="O1057" s="264"/>
      <c r="P1057" s="262"/>
      <c r="Q1057" s="262"/>
      <c r="R1057" s="262"/>
      <c r="S1057" s="262"/>
      <c r="T1057" s="262"/>
      <c r="U1057" s="262"/>
      <c r="V1057" s="262"/>
      <c r="W1057" s="117"/>
      <c r="X1057" s="246"/>
      <c r="Y1057" s="246"/>
      <c r="Z1057" s="246"/>
      <c r="AA1057" s="160"/>
      <c r="AB1057" s="246"/>
      <c r="AC1057" s="160"/>
      <c r="AD1057" s="246"/>
      <c r="AE1057" s="160"/>
      <c r="AF1057" s="246"/>
      <c r="AG1057" s="160"/>
      <c r="AH1057" s="246"/>
      <c r="AI1057" s="160"/>
      <c r="AJ1057" s="246"/>
      <c r="AK1057" s="246"/>
      <c r="AL1057" s="246"/>
      <c r="AM1057" s="246"/>
      <c r="AN1057" s="246"/>
      <c r="AO1057" s="246"/>
      <c r="AP1057" s="246"/>
      <c r="AQ1057" s="246"/>
      <c r="AR1057" s="246"/>
      <c r="AS1057" s="246"/>
      <c r="AT1057" s="246"/>
      <c r="AU1057" s="246"/>
      <c r="AV1057" s="246"/>
      <c r="AW1057" s="160"/>
      <c r="AX1057" s="160"/>
      <c r="AY1057" s="247"/>
      <c r="AZ1057" s="248"/>
      <c r="BA1057" s="248"/>
      <c r="BB1057" s="248"/>
      <c r="BC1057" s="248"/>
      <c r="BD1057" s="3"/>
    </row>
    <row r="1058" spans="1:56" ht="15.75" hidden="1" customHeight="1" outlineLevel="1">
      <c r="A1058" s="63">
        <v>1048</v>
      </c>
      <c r="B1058" s="95" t="s">
        <v>698</v>
      </c>
      <c r="C1058" s="116"/>
      <c r="D1058" s="160"/>
      <c r="E1058" s="117"/>
      <c r="F1058" s="115"/>
      <c r="G1058" s="171"/>
      <c r="H1058" s="115"/>
      <c r="I1058" s="118"/>
      <c r="J1058" s="119"/>
      <c r="K1058" s="120"/>
      <c r="L1058" s="261"/>
      <c r="M1058" s="262"/>
      <c r="N1058" s="263"/>
      <c r="O1058" s="264"/>
      <c r="P1058" s="262"/>
      <c r="Q1058" s="262"/>
      <c r="R1058" s="262"/>
      <c r="S1058" s="262"/>
      <c r="T1058" s="262"/>
      <c r="U1058" s="262"/>
      <c r="V1058" s="262"/>
      <c r="W1058" s="117"/>
      <c r="X1058" s="246"/>
      <c r="Y1058" s="246"/>
      <c r="Z1058" s="246"/>
      <c r="AA1058" s="160"/>
      <c r="AB1058" s="246"/>
      <c r="AC1058" s="160"/>
      <c r="AD1058" s="246"/>
      <c r="AE1058" s="160"/>
      <c r="AF1058" s="246"/>
      <c r="AG1058" s="160"/>
      <c r="AH1058" s="246"/>
      <c r="AI1058" s="160"/>
      <c r="AJ1058" s="246"/>
      <c r="AK1058" s="246"/>
      <c r="AL1058" s="246"/>
      <c r="AM1058" s="246"/>
      <c r="AN1058" s="246"/>
      <c r="AO1058" s="246"/>
      <c r="AP1058" s="246"/>
      <c r="AQ1058" s="246"/>
      <c r="AR1058" s="246"/>
      <c r="AS1058" s="246"/>
      <c r="AT1058" s="246"/>
      <c r="AU1058" s="246"/>
      <c r="AV1058" s="246"/>
      <c r="AW1058" s="160"/>
      <c r="AX1058" s="160"/>
      <c r="AY1058" s="247"/>
      <c r="AZ1058" s="248"/>
      <c r="BA1058" s="248"/>
      <c r="BB1058" s="248"/>
      <c r="BC1058" s="248"/>
      <c r="BD1058" s="3"/>
    </row>
    <row r="1059" spans="1:56" ht="15.75" hidden="1" customHeight="1" outlineLevel="1">
      <c r="A1059" s="63">
        <v>1049</v>
      </c>
      <c r="B1059" s="95" t="s">
        <v>699</v>
      </c>
      <c r="C1059" s="116"/>
      <c r="D1059" s="160"/>
      <c r="E1059" s="117"/>
      <c r="F1059" s="115"/>
      <c r="G1059" s="171"/>
      <c r="H1059" s="115"/>
      <c r="I1059" s="118"/>
      <c r="J1059" s="119"/>
      <c r="K1059" s="120"/>
      <c r="L1059" s="261"/>
      <c r="M1059" s="262"/>
      <c r="N1059" s="263"/>
      <c r="O1059" s="264"/>
      <c r="P1059" s="262"/>
      <c r="Q1059" s="262"/>
      <c r="R1059" s="262"/>
      <c r="S1059" s="262"/>
      <c r="T1059" s="262"/>
      <c r="U1059" s="262"/>
      <c r="V1059" s="262"/>
      <c r="W1059" s="117"/>
      <c r="X1059" s="246"/>
      <c r="Y1059" s="246"/>
      <c r="Z1059" s="246"/>
      <c r="AA1059" s="160"/>
      <c r="AB1059" s="246"/>
      <c r="AC1059" s="160"/>
      <c r="AD1059" s="246"/>
      <c r="AE1059" s="160"/>
      <c r="AF1059" s="246"/>
      <c r="AG1059" s="160"/>
      <c r="AH1059" s="246"/>
      <c r="AI1059" s="160"/>
      <c r="AJ1059" s="246"/>
      <c r="AK1059" s="246"/>
      <c r="AL1059" s="246"/>
      <c r="AM1059" s="246"/>
      <c r="AN1059" s="246"/>
      <c r="AO1059" s="246"/>
      <c r="AP1059" s="246"/>
      <c r="AQ1059" s="246"/>
      <c r="AR1059" s="246"/>
      <c r="AS1059" s="246"/>
      <c r="AT1059" s="246"/>
      <c r="AU1059" s="246"/>
      <c r="AV1059" s="246"/>
      <c r="AW1059" s="160"/>
      <c r="AX1059" s="160"/>
      <c r="AY1059" s="247"/>
      <c r="AZ1059" s="248"/>
      <c r="BA1059" s="248"/>
      <c r="BB1059" s="248"/>
      <c r="BC1059" s="248"/>
      <c r="BD1059" s="3"/>
    </row>
    <row r="1060" spans="1:56" ht="15.75" hidden="1" customHeight="1" outlineLevel="1">
      <c r="A1060" s="63">
        <v>1050</v>
      </c>
      <c r="B1060" s="95" t="s">
        <v>700</v>
      </c>
      <c r="C1060" s="116"/>
      <c r="D1060" s="160"/>
      <c r="E1060" s="117"/>
      <c r="F1060" s="115"/>
      <c r="G1060" s="171"/>
      <c r="H1060" s="115"/>
      <c r="I1060" s="118"/>
      <c r="J1060" s="119"/>
      <c r="K1060" s="120"/>
      <c r="L1060" s="261"/>
      <c r="M1060" s="262"/>
      <c r="N1060" s="263"/>
      <c r="O1060" s="264"/>
      <c r="P1060" s="262"/>
      <c r="Q1060" s="262"/>
      <c r="R1060" s="262"/>
      <c r="S1060" s="262"/>
      <c r="T1060" s="262"/>
      <c r="U1060" s="262"/>
      <c r="V1060" s="262"/>
      <c r="W1060" s="117"/>
      <c r="X1060" s="246"/>
      <c r="Y1060" s="246"/>
      <c r="Z1060" s="246"/>
      <c r="AA1060" s="160"/>
      <c r="AB1060" s="246"/>
      <c r="AC1060" s="160"/>
      <c r="AD1060" s="246"/>
      <c r="AE1060" s="160"/>
      <c r="AF1060" s="246"/>
      <c r="AG1060" s="160"/>
      <c r="AH1060" s="246"/>
      <c r="AI1060" s="160"/>
      <c r="AJ1060" s="246"/>
      <c r="AK1060" s="246"/>
      <c r="AL1060" s="246"/>
      <c r="AM1060" s="246"/>
      <c r="AN1060" s="246"/>
      <c r="AO1060" s="246"/>
      <c r="AP1060" s="246"/>
      <c r="AQ1060" s="246"/>
      <c r="AR1060" s="246"/>
      <c r="AS1060" s="246"/>
      <c r="AT1060" s="246"/>
      <c r="AU1060" s="246"/>
      <c r="AV1060" s="246"/>
      <c r="AW1060" s="160"/>
      <c r="AX1060" s="160"/>
      <c r="AY1060" s="247"/>
      <c r="AZ1060" s="248"/>
      <c r="BA1060" s="248"/>
      <c r="BB1060" s="248"/>
      <c r="BC1060" s="248"/>
      <c r="BD1060" s="3"/>
    </row>
    <row r="1061" spans="1:56" ht="15.75" hidden="1" customHeight="1" outlineLevel="1">
      <c r="A1061" s="63">
        <v>1051</v>
      </c>
      <c r="B1061" s="95" t="s">
        <v>701</v>
      </c>
      <c r="C1061" s="116"/>
      <c r="D1061" s="160"/>
      <c r="E1061" s="117"/>
      <c r="F1061" s="115"/>
      <c r="G1061" s="171"/>
      <c r="H1061" s="115"/>
      <c r="I1061" s="118"/>
      <c r="J1061" s="119"/>
      <c r="K1061" s="120"/>
      <c r="L1061" s="261"/>
      <c r="M1061" s="262"/>
      <c r="N1061" s="263"/>
      <c r="O1061" s="264"/>
      <c r="P1061" s="262"/>
      <c r="Q1061" s="262"/>
      <c r="R1061" s="262"/>
      <c r="S1061" s="262"/>
      <c r="T1061" s="262"/>
      <c r="U1061" s="262"/>
      <c r="V1061" s="262"/>
      <c r="W1061" s="117"/>
      <c r="X1061" s="246"/>
      <c r="Y1061" s="246"/>
      <c r="Z1061" s="246"/>
      <c r="AA1061" s="160"/>
      <c r="AB1061" s="246"/>
      <c r="AC1061" s="160"/>
      <c r="AD1061" s="246"/>
      <c r="AE1061" s="160"/>
      <c r="AF1061" s="246"/>
      <c r="AG1061" s="160"/>
      <c r="AH1061" s="246"/>
      <c r="AI1061" s="160"/>
      <c r="AJ1061" s="246"/>
      <c r="AK1061" s="246"/>
      <c r="AL1061" s="246"/>
      <c r="AM1061" s="246"/>
      <c r="AN1061" s="246"/>
      <c r="AO1061" s="246"/>
      <c r="AP1061" s="246"/>
      <c r="AQ1061" s="246"/>
      <c r="AR1061" s="246"/>
      <c r="AS1061" s="246"/>
      <c r="AT1061" s="246"/>
      <c r="AU1061" s="246"/>
      <c r="AV1061" s="246"/>
      <c r="AW1061" s="160"/>
      <c r="AX1061" s="160"/>
      <c r="AY1061" s="247"/>
      <c r="AZ1061" s="248"/>
      <c r="BA1061" s="248"/>
      <c r="BB1061" s="248"/>
      <c r="BC1061" s="248"/>
      <c r="BD1061" s="3"/>
    </row>
    <row r="1062" spans="1:56" ht="15.75" hidden="1" customHeight="1" outlineLevel="1">
      <c r="A1062" s="63">
        <v>1052</v>
      </c>
      <c r="B1062" s="95" t="s">
        <v>702</v>
      </c>
      <c r="C1062" s="116"/>
      <c r="D1062" s="160"/>
      <c r="E1062" s="117"/>
      <c r="F1062" s="115"/>
      <c r="G1062" s="171"/>
      <c r="H1062" s="115"/>
      <c r="I1062" s="118"/>
      <c r="J1062" s="119"/>
      <c r="K1062" s="120"/>
      <c r="L1062" s="261"/>
      <c r="M1062" s="262"/>
      <c r="N1062" s="263"/>
      <c r="O1062" s="264"/>
      <c r="P1062" s="262"/>
      <c r="Q1062" s="262"/>
      <c r="R1062" s="262"/>
      <c r="S1062" s="262"/>
      <c r="T1062" s="262"/>
      <c r="U1062" s="262"/>
      <c r="V1062" s="262"/>
      <c r="W1062" s="117"/>
      <c r="X1062" s="246"/>
      <c r="Y1062" s="246"/>
      <c r="Z1062" s="246"/>
      <c r="AA1062" s="160"/>
      <c r="AB1062" s="246"/>
      <c r="AC1062" s="160"/>
      <c r="AD1062" s="246"/>
      <c r="AE1062" s="160"/>
      <c r="AF1062" s="246"/>
      <c r="AG1062" s="160"/>
      <c r="AH1062" s="246"/>
      <c r="AI1062" s="160"/>
      <c r="AJ1062" s="246"/>
      <c r="AK1062" s="246"/>
      <c r="AL1062" s="246"/>
      <c r="AM1062" s="246"/>
      <c r="AN1062" s="246"/>
      <c r="AO1062" s="246"/>
      <c r="AP1062" s="246"/>
      <c r="AQ1062" s="246"/>
      <c r="AR1062" s="246"/>
      <c r="AS1062" s="246"/>
      <c r="AT1062" s="246"/>
      <c r="AU1062" s="246"/>
      <c r="AV1062" s="246"/>
      <c r="AW1062" s="160"/>
      <c r="AX1062" s="160"/>
      <c r="AY1062" s="247"/>
      <c r="AZ1062" s="248"/>
      <c r="BA1062" s="248"/>
      <c r="BB1062" s="248"/>
      <c r="BC1062" s="248"/>
      <c r="BD1062" s="3"/>
    </row>
    <row r="1063" spans="1:56" ht="15.75" hidden="1" customHeight="1" outlineLevel="1">
      <c r="A1063" s="63">
        <v>1053</v>
      </c>
      <c r="B1063" s="95" t="s">
        <v>703</v>
      </c>
      <c r="C1063" s="116"/>
      <c r="D1063" s="160"/>
      <c r="E1063" s="117"/>
      <c r="F1063" s="115"/>
      <c r="G1063" s="171"/>
      <c r="H1063" s="115"/>
      <c r="I1063" s="118"/>
      <c r="J1063" s="119"/>
      <c r="K1063" s="120"/>
      <c r="L1063" s="261"/>
      <c r="M1063" s="262"/>
      <c r="N1063" s="263"/>
      <c r="O1063" s="264"/>
      <c r="P1063" s="262"/>
      <c r="Q1063" s="262"/>
      <c r="R1063" s="262"/>
      <c r="S1063" s="262"/>
      <c r="T1063" s="262"/>
      <c r="U1063" s="262"/>
      <c r="V1063" s="262"/>
      <c r="W1063" s="117"/>
      <c r="X1063" s="246"/>
      <c r="Y1063" s="246"/>
      <c r="Z1063" s="246"/>
      <c r="AA1063" s="160"/>
      <c r="AB1063" s="246"/>
      <c r="AC1063" s="160"/>
      <c r="AD1063" s="246"/>
      <c r="AE1063" s="160"/>
      <c r="AF1063" s="246"/>
      <c r="AG1063" s="160"/>
      <c r="AH1063" s="246"/>
      <c r="AI1063" s="160"/>
      <c r="AJ1063" s="246"/>
      <c r="AK1063" s="246"/>
      <c r="AL1063" s="246"/>
      <c r="AM1063" s="246"/>
      <c r="AN1063" s="246"/>
      <c r="AO1063" s="246"/>
      <c r="AP1063" s="246"/>
      <c r="AQ1063" s="246"/>
      <c r="AR1063" s="246"/>
      <c r="AS1063" s="246"/>
      <c r="AT1063" s="246"/>
      <c r="AU1063" s="246"/>
      <c r="AV1063" s="246"/>
      <c r="AW1063" s="160"/>
      <c r="AX1063" s="160"/>
      <c r="AY1063" s="247"/>
      <c r="AZ1063" s="248"/>
      <c r="BA1063" s="248"/>
      <c r="BB1063" s="248"/>
      <c r="BC1063" s="248"/>
      <c r="BD1063" s="3"/>
    </row>
    <row r="1064" spans="1:56" ht="15.75" hidden="1" customHeight="1" outlineLevel="1">
      <c r="A1064" s="63">
        <v>1054</v>
      </c>
      <c r="B1064" s="95" t="s">
        <v>705</v>
      </c>
      <c r="C1064" s="116"/>
      <c r="D1064" s="160"/>
      <c r="E1064" s="117"/>
      <c r="F1064" s="115"/>
      <c r="G1064" s="171"/>
      <c r="H1064" s="115"/>
      <c r="I1064" s="118"/>
      <c r="J1064" s="119"/>
      <c r="K1064" s="120"/>
      <c r="L1064" s="261"/>
      <c r="M1064" s="262"/>
      <c r="N1064" s="263"/>
      <c r="O1064" s="264"/>
      <c r="P1064" s="262"/>
      <c r="Q1064" s="262"/>
      <c r="R1064" s="262"/>
      <c r="S1064" s="262"/>
      <c r="T1064" s="262"/>
      <c r="U1064" s="262"/>
      <c r="V1064" s="262"/>
      <c r="W1064" s="117"/>
      <c r="X1064" s="246"/>
      <c r="Y1064" s="246"/>
      <c r="Z1064" s="246"/>
      <c r="AA1064" s="160"/>
      <c r="AB1064" s="246"/>
      <c r="AC1064" s="160"/>
      <c r="AD1064" s="246"/>
      <c r="AE1064" s="160"/>
      <c r="AF1064" s="246"/>
      <c r="AG1064" s="160"/>
      <c r="AH1064" s="246"/>
      <c r="AI1064" s="160"/>
      <c r="AJ1064" s="246"/>
      <c r="AK1064" s="246"/>
      <c r="AL1064" s="246"/>
      <c r="AM1064" s="246"/>
      <c r="AN1064" s="246"/>
      <c r="AO1064" s="246"/>
      <c r="AP1064" s="246"/>
      <c r="AQ1064" s="246"/>
      <c r="AR1064" s="246"/>
      <c r="AS1064" s="246"/>
      <c r="AT1064" s="246"/>
      <c r="AU1064" s="246"/>
      <c r="AV1064" s="246"/>
      <c r="AW1064" s="160"/>
      <c r="AX1064" s="160"/>
      <c r="AY1064" s="247"/>
      <c r="AZ1064" s="248"/>
      <c r="BA1064" s="248"/>
      <c r="BB1064" s="248"/>
      <c r="BC1064" s="248"/>
      <c r="BD1064" s="3"/>
    </row>
    <row r="1065" spans="1:56" ht="15.75" hidden="1" customHeight="1" outlineLevel="1">
      <c r="A1065" s="63">
        <v>1055</v>
      </c>
      <c r="B1065" s="95" t="s">
        <v>706</v>
      </c>
      <c r="C1065" s="116"/>
      <c r="D1065" s="160"/>
      <c r="E1065" s="117"/>
      <c r="F1065" s="115"/>
      <c r="G1065" s="171"/>
      <c r="H1065" s="115"/>
      <c r="I1065" s="118"/>
      <c r="J1065" s="119"/>
      <c r="K1065" s="120"/>
      <c r="L1065" s="261"/>
      <c r="M1065" s="262"/>
      <c r="N1065" s="263"/>
      <c r="O1065" s="264"/>
      <c r="P1065" s="262"/>
      <c r="Q1065" s="262"/>
      <c r="R1065" s="262"/>
      <c r="S1065" s="262"/>
      <c r="T1065" s="262"/>
      <c r="U1065" s="262"/>
      <c r="V1065" s="262"/>
      <c r="W1065" s="117"/>
      <c r="X1065" s="246"/>
      <c r="Y1065" s="246"/>
      <c r="Z1065" s="246"/>
      <c r="AA1065" s="160"/>
      <c r="AB1065" s="246"/>
      <c r="AC1065" s="160"/>
      <c r="AD1065" s="246"/>
      <c r="AE1065" s="160"/>
      <c r="AF1065" s="246"/>
      <c r="AG1065" s="160"/>
      <c r="AH1065" s="246"/>
      <c r="AI1065" s="160"/>
      <c r="AJ1065" s="246"/>
      <c r="AK1065" s="246"/>
      <c r="AL1065" s="246"/>
      <c r="AM1065" s="246"/>
      <c r="AN1065" s="246"/>
      <c r="AO1065" s="246"/>
      <c r="AP1065" s="246"/>
      <c r="AQ1065" s="246"/>
      <c r="AR1065" s="246"/>
      <c r="AS1065" s="246"/>
      <c r="AT1065" s="246"/>
      <c r="AU1065" s="246"/>
      <c r="AV1065" s="246"/>
      <c r="AW1065" s="160"/>
      <c r="AX1065" s="160"/>
      <c r="AY1065" s="247"/>
      <c r="AZ1065" s="248"/>
      <c r="BA1065" s="248"/>
      <c r="BB1065" s="248"/>
      <c r="BC1065" s="248"/>
      <c r="BD1065" s="3"/>
    </row>
    <row r="1066" spans="1:56" ht="15.75" hidden="1" customHeight="1" outlineLevel="1">
      <c r="A1066" s="63">
        <v>1056</v>
      </c>
      <c r="B1066" s="95" t="s">
        <v>707</v>
      </c>
      <c r="C1066" s="116"/>
      <c r="D1066" s="160"/>
      <c r="E1066" s="117"/>
      <c r="F1066" s="115"/>
      <c r="G1066" s="171"/>
      <c r="H1066" s="115"/>
      <c r="I1066" s="118"/>
      <c r="J1066" s="119"/>
      <c r="K1066" s="120"/>
      <c r="L1066" s="261"/>
      <c r="M1066" s="262"/>
      <c r="N1066" s="263"/>
      <c r="O1066" s="264"/>
      <c r="P1066" s="262"/>
      <c r="Q1066" s="262"/>
      <c r="R1066" s="262"/>
      <c r="S1066" s="262"/>
      <c r="T1066" s="262"/>
      <c r="U1066" s="262"/>
      <c r="V1066" s="262"/>
      <c r="W1066" s="117"/>
      <c r="X1066" s="246"/>
      <c r="Y1066" s="246"/>
      <c r="Z1066" s="246"/>
      <c r="AA1066" s="160"/>
      <c r="AB1066" s="246"/>
      <c r="AC1066" s="160"/>
      <c r="AD1066" s="246"/>
      <c r="AE1066" s="160"/>
      <c r="AF1066" s="246"/>
      <c r="AG1066" s="160"/>
      <c r="AH1066" s="246"/>
      <c r="AI1066" s="160"/>
      <c r="AJ1066" s="246"/>
      <c r="AK1066" s="246"/>
      <c r="AL1066" s="246"/>
      <c r="AM1066" s="246"/>
      <c r="AN1066" s="246"/>
      <c r="AO1066" s="246"/>
      <c r="AP1066" s="246"/>
      <c r="AQ1066" s="246"/>
      <c r="AR1066" s="246"/>
      <c r="AS1066" s="246"/>
      <c r="AT1066" s="246"/>
      <c r="AU1066" s="246"/>
      <c r="AV1066" s="246"/>
      <c r="AW1066" s="160"/>
      <c r="AX1066" s="160"/>
      <c r="AY1066" s="247"/>
      <c r="AZ1066" s="248"/>
      <c r="BA1066" s="248"/>
      <c r="BB1066" s="248"/>
      <c r="BC1066" s="248"/>
      <c r="BD1066" s="3"/>
    </row>
    <row r="1067" spans="1:56" ht="15.75" hidden="1" customHeight="1" outlineLevel="1">
      <c r="A1067" s="63">
        <v>1057</v>
      </c>
      <c r="B1067" s="95" t="s">
        <v>708</v>
      </c>
      <c r="C1067" s="116"/>
      <c r="D1067" s="160"/>
      <c r="E1067" s="117"/>
      <c r="F1067" s="115"/>
      <c r="G1067" s="171"/>
      <c r="H1067" s="115"/>
      <c r="I1067" s="118"/>
      <c r="J1067" s="119"/>
      <c r="K1067" s="120"/>
      <c r="L1067" s="261"/>
      <c r="M1067" s="262"/>
      <c r="N1067" s="263"/>
      <c r="O1067" s="264"/>
      <c r="P1067" s="262"/>
      <c r="Q1067" s="262"/>
      <c r="R1067" s="262"/>
      <c r="S1067" s="262"/>
      <c r="T1067" s="262"/>
      <c r="U1067" s="262"/>
      <c r="V1067" s="262"/>
      <c r="W1067" s="117"/>
      <c r="X1067" s="246"/>
      <c r="Y1067" s="246"/>
      <c r="Z1067" s="246"/>
      <c r="AA1067" s="160"/>
      <c r="AB1067" s="246"/>
      <c r="AC1067" s="160"/>
      <c r="AD1067" s="246"/>
      <c r="AE1067" s="160"/>
      <c r="AF1067" s="246"/>
      <c r="AG1067" s="160"/>
      <c r="AH1067" s="246"/>
      <c r="AI1067" s="160"/>
      <c r="AJ1067" s="246"/>
      <c r="AK1067" s="246"/>
      <c r="AL1067" s="246"/>
      <c r="AM1067" s="246"/>
      <c r="AN1067" s="246"/>
      <c r="AO1067" s="246"/>
      <c r="AP1067" s="246"/>
      <c r="AQ1067" s="246"/>
      <c r="AR1067" s="246"/>
      <c r="AS1067" s="246"/>
      <c r="AT1067" s="246"/>
      <c r="AU1067" s="246"/>
      <c r="AV1067" s="246"/>
      <c r="AW1067" s="160"/>
      <c r="AX1067" s="160"/>
      <c r="AY1067" s="247"/>
      <c r="AZ1067" s="248"/>
      <c r="BA1067" s="248"/>
      <c r="BB1067" s="248"/>
      <c r="BC1067" s="248"/>
      <c r="BD1067" s="3"/>
    </row>
    <row r="1068" spans="1:56" ht="15.75" hidden="1" customHeight="1" outlineLevel="1">
      <c r="A1068" s="63">
        <v>1058</v>
      </c>
      <c r="B1068" s="95" t="s">
        <v>709</v>
      </c>
      <c r="C1068" s="116"/>
      <c r="D1068" s="160"/>
      <c r="E1068" s="117"/>
      <c r="F1068" s="115"/>
      <c r="G1068" s="171"/>
      <c r="H1068" s="115"/>
      <c r="I1068" s="118"/>
      <c r="J1068" s="119"/>
      <c r="K1068" s="120"/>
      <c r="L1068" s="261"/>
      <c r="M1068" s="262"/>
      <c r="N1068" s="263"/>
      <c r="O1068" s="264"/>
      <c r="P1068" s="262"/>
      <c r="Q1068" s="262"/>
      <c r="R1068" s="262"/>
      <c r="S1068" s="262"/>
      <c r="T1068" s="262"/>
      <c r="U1068" s="262"/>
      <c r="V1068" s="262"/>
      <c r="W1068" s="117"/>
      <c r="X1068" s="246"/>
      <c r="Y1068" s="246"/>
      <c r="Z1068" s="246"/>
      <c r="AA1068" s="160"/>
      <c r="AB1068" s="246"/>
      <c r="AC1068" s="160"/>
      <c r="AD1068" s="246"/>
      <c r="AE1068" s="160"/>
      <c r="AF1068" s="246"/>
      <c r="AG1068" s="160"/>
      <c r="AH1068" s="246"/>
      <c r="AI1068" s="160"/>
      <c r="AJ1068" s="246"/>
      <c r="AK1068" s="246"/>
      <c r="AL1068" s="246"/>
      <c r="AM1068" s="246"/>
      <c r="AN1068" s="246"/>
      <c r="AO1068" s="246"/>
      <c r="AP1068" s="246"/>
      <c r="AQ1068" s="246"/>
      <c r="AR1068" s="246"/>
      <c r="AS1068" s="246"/>
      <c r="AT1068" s="246"/>
      <c r="AU1068" s="246"/>
      <c r="AV1068" s="246"/>
      <c r="AW1068" s="160"/>
      <c r="AX1068" s="160"/>
      <c r="AY1068" s="247"/>
      <c r="AZ1068" s="248"/>
      <c r="BA1068" s="248"/>
      <c r="BB1068" s="248"/>
      <c r="BC1068" s="248"/>
      <c r="BD1068" s="3"/>
    </row>
    <row r="1069" spans="1:56" ht="15.75" hidden="1" customHeight="1" outlineLevel="1">
      <c r="A1069" s="63">
        <v>1059</v>
      </c>
      <c r="B1069" s="95" t="s">
        <v>710</v>
      </c>
      <c r="C1069" s="116"/>
      <c r="D1069" s="160"/>
      <c r="E1069" s="117"/>
      <c r="F1069" s="115"/>
      <c r="G1069" s="171"/>
      <c r="H1069" s="115"/>
      <c r="I1069" s="118"/>
      <c r="J1069" s="119"/>
      <c r="K1069" s="120"/>
      <c r="L1069" s="261"/>
      <c r="M1069" s="262"/>
      <c r="N1069" s="263"/>
      <c r="O1069" s="264"/>
      <c r="P1069" s="262"/>
      <c r="Q1069" s="262"/>
      <c r="R1069" s="262"/>
      <c r="S1069" s="262"/>
      <c r="T1069" s="262"/>
      <c r="U1069" s="262"/>
      <c r="V1069" s="262"/>
      <c r="W1069" s="117"/>
      <c r="X1069" s="246"/>
      <c r="Y1069" s="246"/>
      <c r="Z1069" s="246"/>
      <c r="AA1069" s="160"/>
      <c r="AB1069" s="246"/>
      <c r="AC1069" s="160"/>
      <c r="AD1069" s="246"/>
      <c r="AE1069" s="160"/>
      <c r="AF1069" s="246"/>
      <c r="AG1069" s="160"/>
      <c r="AH1069" s="246"/>
      <c r="AI1069" s="160"/>
      <c r="AJ1069" s="246"/>
      <c r="AK1069" s="246"/>
      <c r="AL1069" s="246"/>
      <c r="AM1069" s="246"/>
      <c r="AN1069" s="246"/>
      <c r="AO1069" s="246"/>
      <c r="AP1069" s="246"/>
      <c r="AQ1069" s="246"/>
      <c r="AR1069" s="246"/>
      <c r="AS1069" s="246"/>
      <c r="AT1069" s="246"/>
      <c r="AU1069" s="246"/>
      <c r="AV1069" s="246"/>
      <c r="AW1069" s="160"/>
      <c r="AX1069" s="160"/>
      <c r="AY1069" s="247"/>
      <c r="AZ1069" s="248"/>
      <c r="BA1069" s="248"/>
      <c r="BB1069" s="248"/>
      <c r="BC1069" s="248"/>
      <c r="BD1069" s="3"/>
    </row>
    <row r="1070" spans="1:56" ht="15.75" hidden="1" customHeight="1" outlineLevel="1">
      <c r="A1070" s="63">
        <v>1060</v>
      </c>
      <c r="B1070" s="95" t="s">
        <v>712</v>
      </c>
      <c r="C1070" s="116"/>
      <c r="D1070" s="160"/>
      <c r="E1070" s="117"/>
      <c r="F1070" s="115"/>
      <c r="G1070" s="171"/>
      <c r="H1070" s="115"/>
      <c r="I1070" s="118"/>
      <c r="J1070" s="119"/>
      <c r="K1070" s="120"/>
      <c r="L1070" s="261"/>
      <c r="M1070" s="262"/>
      <c r="N1070" s="263"/>
      <c r="O1070" s="264"/>
      <c r="P1070" s="262"/>
      <c r="Q1070" s="262"/>
      <c r="R1070" s="262"/>
      <c r="S1070" s="262"/>
      <c r="T1070" s="262"/>
      <c r="U1070" s="262"/>
      <c r="V1070" s="262"/>
      <c r="W1070" s="117"/>
      <c r="X1070" s="246"/>
      <c r="Y1070" s="246"/>
      <c r="Z1070" s="246"/>
      <c r="AA1070" s="160"/>
      <c r="AB1070" s="246"/>
      <c r="AC1070" s="160"/>
      <c r="AD1070" s="246"/>
      <c r="AE1070" s="160"/>
      <c r="AF1070" s="246"/>
      <c r="AG1070" s="160"/>
      <c r="AH1070" s="246"/>
      <c r="AI1070" s="160"/>
      <c r="AJ1070" s="246"/>
      <c r="AK1070" s="246"/>
      <c r="AL1070" s="246"/>
      <c r="AM1070" s="246"/>
      <c r="AN1070" s="246"/>
      <c r="AO1070" s="246"/>
      <c r="AP1070" s="246"/>
      <c r="AQ1070" s="246"/>
      <c r="AR1070" s="246"/>
      <c r="AS1070" s="246"/>
      <c r="AT1070" s="246"/>
      <c r="AU1070" s="246"/>
      <c r="AV1070" s="246"/>
      <c r="AW1070" s="160"/>
      <c r="AX1070" s="160"/>
      <c r="AY1070" s="247"/>
      <c r="AZ1070" s="248"/>
      <c r="BA1070" s="248"/>
      <c r="BB1070" s="248"/>
      <c r="BC1070" s="248"/>
      <c r="BD1070" s="3"/>
    </row>
    <row r="1071" spans="1:56" ht="15.75" hidden="1" customHeight="1" outlineLevel="1">
      <c r="A1071" s="63">
        <v>1061</v>
      </c>
      <c r="B1071" s="95" t="s">
        <v>714</v>
      </c>
      <c r="C1071" s="116"/>
      <c r="D1071" s="160"/>
      <c r="E1071" s="117"/>
      <c r="F1071" s="115"/>
      <c r="G1071" s="171"/>
      <c r="H1071" s="115"/>
      <c r="I1071" s="118"/>
      <c r="J1071" s="119"/>
      <c r="K1071" s="120"/>
      <c r="L1071" s="261"/>
      <c r="M1071" s="262"/>
      <c r="N1071" s="263"/>
      <c r="O1071" s="264"/>
      <c r="P1071" s="262"/>
      <c r="Q1071" s="262"/>
      <c r="R1071" s="262"/>
      <c r="S1071" s="262"/>
      <c r="T1071" s="262"/>
      <c r="U1071" s="262"/>
      <c r="V1071" s="262"/>
      <c r="W1071" s="117"/>
      <c r="X1071" s="246"/>
      <c r="Y1071" s="246"/>
      <c r="Z1071" s="246"/>
      <c r="AA1071" s="160"/>
      <c r="AB1071" s="246"/>
      <c r="AC1071" s="160"/>
      <c r="AD1071" s="246"/>
      <c r="AE1071" s="160"/>
      <c r="AF1071" s="246"/>
      <c r="AG1071" s="160"/>
      <c r="AH1071" s="246"/>
      <c r="AI1071" s="160"/>
      <c r="AJ1071" s="246"/>
      <c r="AK1071" s="246"/>
      <c r="AL1071" s="246"/>
      <c r="AM1071" s="246"/>
      <c r="AN1071" s="246"/>
      <c r="AO1071" s="246"/>
      <c r="AP1071" s="246"/>
      <c r="AQ1071" s="246"/>
      <c r="AR1071" s="246"/>
      <c r="AS1071" s="246"/>
      <c r="AT1071" s="246"/>
      <c r="AU1071" s="246"/>
      <c r="AV1071" s="246"/>
      <c r="AW1071" s="160"/>
      <c r="AX1071" s="160"/>
      <c r="AY1071" s="247"/>
      <c r="AZ1071" s="248"/>
      <c r="BA1071" s="248"/>
      <c r="BB1071" s="248"/>
      <c r="BC1071" s="248"/>
      <c r="BD1071" s="3"/>
    </row>
    <row r="1072" spans="1:56" ht="15.75" hidden="1" customHeight="1" outlineLevel="1">
      <c r="A1072" s="63">
        <v>1062</v>
      </c>
      <c r="B1072" s="95" t="s">
        <v>716</v>
      </c>
      <c r="C1072" s="116"/>
      <c r="D1072" s="160"/>
      <c r="E1072" s="117"/>
      <c r="F1072" s="115"/>
      <c r="G1072" s="171"/>
      <c r="H1072" s="115"/>
      <c r="I1072" s="118"/>
      <c r="J1072" s="119"/>
      <c r="K1072" s="120"/>
      <c r="L1072" s="261"/>
      <c r="M1072" s="262"/>
      <c r="N1072" s="263"/>
      <c r="O1072" s="264"/>
      <c r="P1072" s="262"/>
      <c r="Q1072" s="262"/>
      <c r="R1072" s="262"/>
      <c r="S1072" s="262"/>
      <c r="T1072" s="262"/>
      <c r="U1072" s="262"/>
      <c r="V1072" s="262"/>
      <c r="W1072" s="117"/>
      <c r="X1072" s="246"/>
      <c r="Y1072" s="246"/>
      <c r="Z1072" s="246"/>
      <c r="AA1072" s="160"/>
      <c r="AB1072" s="246"/>
      <c r="AC1072" s="160"/>
      <c r="AD1072" s="246"/>
      <c r="AE1072" s="160"/>
      <c r="AF1072" s="246"/>
      <c r="AG1072" s="160"/>
      <c r="AH1072" s="246"/>
      <c r="AI1072" s="160"/>
      <c r="AJ1072" s="246"/>
      <c r="AK1072" s="246"/>
      <c r="AL1072" s="246"/>
      <c r="AM1072" s="246"/>
      <c r="AN1072" s="246"/>
      <c r="AO1072" s="246"/>
      <c r="AP1072" s="246"/>
      <c r="AQ1072" s="246"/>
      <c r="AR1072" s="246"/>
      <c r="AS1072" s="246"/>
      <c r="AT1072" s="246"/>
      <c r="AU1072" s="246"/>
      <c r="AV1072" s="246"/>
      <c r="AW1072" s="160"/>
      <c r="AX1072" s="160"/>
      <c r="AY1072" s="247"/>
      <c r="AZ1072" s="248"/>
      <c r="BA1072" s="248"/>
      <c r="BB1072" s="248"/>
      <c r="BC1072" s="248"/>
      <c r="BD1072" s="3"/>
    </row>
    <row r="1073" spans="1:56" ht="15.75" hidden="1" customHeight="1" outlineLevel="1">
      <c r="A1073" s="63">
        <v>1063</v>
      </c>
      <c r="B1073" s="95" t="s">
        <v>717</v>
      </c>
      <c r="C1073" s="116"/>
      <c r="D1073" s="160"/>
      <c r="E1073" s="117"/>
      <c r="F1073" s="115"/>
      <c r="G1073" s="171"/>
      <c r="H1073" s="115"/>
      <c r="I1073" s="118"/>
      <c r="J1073" s="119"/>
      <c r="K1073" s="120"/>
      <c r="L1073" s="261"/>
      <c r="M1073" s="262"/>
      <c r="N1073" s="263"/>
      <c r="O1073" s="264"/>
      <c r="P1073" s="262"/>
      <c r="Q1073" s="262"/>
      <c r="R1073" s="262"/>
      <c r="S1073" s="262"/>
      <c r="T1073" s="262"/>
      <c r="U1073" s="262"/>
      <c r="V1073" s="262"/>
      <c r="W1073" s="117"/>
      <c r="X1073" s="246"/>
      <c r="Y1073" s="246"/>
      <c r="Z1073" s="246"/>
      <c r="AA1073" s="160"/>
      <c r="AB1073" s="246"/>
      <c r="AC1073" s="160"/>
      <c r="AD1073" s="246"/>
      <c r="AE1073" s="160"/>
      <c r="AF1073" s="246"/>
      <c r="AG1073" s="160"/>
      <c r="AH1073" s="246"/>
      <c r="AI1073" s="160"/>
      <c r="AJ1073" s="246"/>
      <c r="AK1073" s="246"/>
      <c r="AL1073" s="246"/>
      <c r="AM1073" s="246"/>
      <c r="AN1073" s="246"/>
      <c r="AO1073" s="246"/>
      <c r="AP1073" s="246"/>
      <c r="AQ1073" s="246"/>
      <c r="AR1073" s="246"/>
      <c r="AS1073" s="246"/>
      <c r="AT1073" s="246"/>
      <c r="AU1073" s="246"/>
      <c r="AV1073" s="246"/>
      <c r="AW1073" s="160"/>
      <c r="AX1073" s="160"/>
      <c r="AY1073" s="247"/>
      <c r="AZ1073" s="248"/>
      <c r="BA1073" s="248"/>
      <c r="BB1073" s="248"/>
      <c r="BC1073" s="248"/>
      <c r="BD1073" s="3"/>
    </row>
    <row r="1074" spans="1:56" ht="15.75" hidden="1" customHeight="1" outlineLevel="1">
      <c r="A1074" s="63">
        <v>1064</v>
      </c>
      <c r="B1074" s="95" t="s">
        <v>718</v>
      </c>
      <c r="C1074" s="116"/>
      <c r="D1074" s="160"/>
      <c r="E1074" s="117"/>
      <c r="F1074" s="115"/>
      <c r="G1074" s="171"/>
      <c r="H1074" s="115"/>
      <c r="I1074" s="118"/>
      <c r="J1074" s="119"/>
      <c r="K1074" s="120"/>
      <c r="L1074" s="261"/>
      <c r="M1074" s="262"/>
      <c r="N1074" s="263"/>
      <c r="O1074" s="264"/>
      <c r="P1074" s="262"/>
      <c r="Q1074" s="262"/>
      <c r="R1074" s="262"/>
      <c r="S1074" s="262"/>
      <c r="T1074" s="262"/>
      <c r="U1074" s="262"/>
      <c r="V1074" s="262"/>
      <c r="W1074" s="117"/>
      <c r="X1074" s="246"/>
      <c r="Y1074" s="246"/>
      <c r="Z1074" s="246"/>
      <c r="AA1074" s="160"/>
      <c r="AB1074" s="246"/>
      <c r="AC1074" s="160"/>
      <c r="AD1074" s="246"/>
      <c r="AE1074" s="160"/>
      <c r="AF1074" s="246"/>
      <c r="AG1074" s="160"/>
      <c r="AH1074" s="246"/>
      <c r="AI1074" s="160"/>
      <c r="AJ1074" s="246"/>
      <c r="AK1074" s="246"/>
      <c r="AL1074" s="246"/>
      <c r="AM1074" s="246"/>
      <c r="AN1074" s="246"/>
      <c r="AO1074" s="246"/>
      <c r="AP1074" s="246"/>
      <c r="AQ1074" s="246"/>
      <c r="AR1074" s="246"/>
      <c r="AS1074" s="246"/>
      <c r="AT1074" s="246"/>
      <c r="AU1074" s="246"/>
      <c r="AV1074" s="246"/>
      <c r="AW1074" s="160"/>
      <c r="AX1074" s="160"/>
      <c r="AY1074" s="247"/>
      <c r="AZ1074" s="248"/>
      <c r="BA1074" s="248"/>
      <c r="BB1074" s="248"/>
      <c r="BC1074" s="248"/>
      <c r="BD1074" s="3"/>
    </row>
    <row r="1075" spans="1:56" ht="15.75" hidden="1" customHeight="1" outlineLevel="1">
      <c r="A1075" s="63">
        <v>1065</v>
      </c>
      <c r="B1075" s="95" t="s">
        <v>719</v>
      </c>
      <c r="C1075" s="116"/>
      <c r="D1075" s="160"/>
      <c r="E1075" s="117"/>
      <c r="F1075" s="115"/>
      <c r="G1075" s="171"/>
      <c r="H1075" s="115"/>
      <c r="I1075" s="118"/>
      <c r="J1075" s="119"/>
      <c r="K1075" s="120"/>
      <c r="L1075" s="261"/>
      <c r="M1075" s="262"/>
      <c r="N1075" s="263"/>
      <c r="O1075" s="264"/>
      <c r="P1075" s="262"/>
      <c r="Q1075" s="262"/>
      <c r="R1075" s="262"/>
      <c r="S1075" s="262"/>
      <c r="T1075" s="262"/>
      <c r="U1075" s="262"/>
      <c r="V1075" s="262"/>
      <c r="W1075" s="117"/>
      <c r="X1075" s="246"/>
      <c r="Y1075" s="246"/>
      <c r="Z1075" s="246"/>
      <c r="AA1075" s="160"/>
      <c r="AB1075" s="246"/>
      <c r="AC1075" s="160"/>
      <c r="AD1075" s="246"/>
      <c r="AE1075" s="160"/>
      <c r="AF1075" s="246"/>
      <c r="AG1075" s="160"/>
      <c r="AH1075" s="246"/>
      <c r="AI1075" s="160"/>
      <c r="AJ1075" s="246"/>
      <c r="AK1075" s="246"/>
      <c r="AL1075" s="246"/>
      <c r="AM1075" s="246"/>
      <c r="AN1075" s="246"/>
      <c r="AO1075" s="246"/>
      <c r="AP1075" s="246"/>
      <c r="AQ1075" s="246"/>
      <c r="AR1075" s="246"/>
      <c r="AS1075" s="246"/>
      <c r="AT1075" s="246"/>
      <c r="AU1075" s="246"/>
      <c r="AV1075" s="246"/>
      <c r="AW1075" s="160"/>
      <c r="AX1075" s="160"/>
      <c r="AY1075" s="247"/>
      <c r="AZ1075" s="248"/>
      <c r="BA1075" s="248"/>
      <c r="BB1075" s="248"/>
      <c r="BC1075" s="248"/>
      <c r="BD1075" s="3"/>
    </row>
    <row r="1076" spans="1:56" ht="15.75" hidden="1" customHeight="1" outlineLevel="1">
      <c r="A1076" s="63">
        <v>1066</v>
      </c>
      <c r="B1076" s="95" t="s">
        <v>720</v>
      </c>
      <c r="C1076" s="116"/>
      <c r="D1076" s="160"/>
      <c r="E1076" s="117"/>
      <c r="F1076" s="115"/>
      <c r="G1076" s="171"/>
      <c r="H1076" s="115"/>
      <c r="I1076" s="118"/>
      <c r="J1076" s="119"/>
      <c r="K1076" s="120"/>
      <c r="L1076" s="261"/>
      <c r="M1076" s="262"/>
      <c r="N1076" s="263"/>
      <c r="O1076" s="264"/>
      <c r="P1076" s="262"/>
      <c r="Q1076" s="262"/>
      <c r="R1076" s="262"/>
      <c r="S1076" s="262"/>
      <c r="T1076" s="262"/>
      <c r="U1076" s="262"/>
      <c r="V1076" s="262"/>
      <c r="W1076" s="117"/>
      <c r="X1076" s="246"/>
      <c r="Y1076" s="246"/>
      <c r="Z1076" s="246"/>
      <c r="AA1076" s="160"/>
      <c r="AB1076" s="246"/>
      <c r="AC1076" s="160"/>
      <c r="AD1076" s="246"/>
      <c r="AE1076" s="160"/>
      <c r="AF1076" s="246"/>
      <c r="AG1076" s="160"/>
      <c r="AH1076" s="246"/>
      <c r="AI1076" s="160"/>
      <c r="AJ1076" s="246"/>
      <c r="AK1076" s="246"/>
      <c r="AL1076" s="246"/>
      <c r="AM1076" s="246"/>
      <c r="AN1076" s="246"/>
      <c r="AO1076" s="246"/>
      <c r="AP1076" s="246"/>
      <c r="AQ1076" s="246"/>
      <c r="AR1076" s="246"/>
      <c r="AS1076" s="246"/>
      <c r="AT1076" s="246"/>
      <c r="AU1076" s="246"/>
      <c r="AV1076" s="246"/>
      <c r="AW1076" s="160"/>
      <c r="AX1076" s="160"/>
      <c r="AY1076" s="247"/>
      <c r="AZ1076" s="248"/>
      <c r="BA1076" s="248"/>
      <c r="BB1076" s="248"/>
      <c r="BC1076" s="248"/>
      <c r="BD1076" s="3"/>
    </row>
    <row r="1077" spans="1:56" ht="15.75" hidden="1" customHeight="1" outlineLevel="1">
      <c r="A1077" s="63">
        <v>1067</v>
      </c>
      <c r="B1077" s="95" t="s">
        <v>721</v>
      </c>
      <c r="C1077" s="116"/>
      <c r="D1077" s="160"/>
      <c r="E1077" s="117"/>
      <c r="F1077" s="115"/>
      <c r="G1077" s="171"/>
      <c r="H1077" s="115"/>
      <c r="I1077" s="118"/>
      <c r="J1077" s="119"/>
      <c r="K1077" s="120"/>
      <c r="L1077" s="261"/>
      <c r="M1077" s="262"/>
      <c r="N1077" s="263"/>
      <c r="O1077" s="264"/>
      <c r="P1077" s="262"/>
      <c r="Q1077" s="262"/>
      <c r="R1077" s="262"/>
      <c r="S1077" s="262"/>
      <c r="T1077" s="262"/>
      <c r="U1077" s="262"/>
      <c r="V1077" s="262"/>
      <c r="W1077" s="117"/>
      <c r="X1077" s="246"/>
      <c r="Y1077" s="246"/>
      <c r="Z1077" s="246"/>
      <c r="AA1077" s="160"/>
      <c r="AB1077" s="246"/>
      <c r="AC1077" s="160"/>
      <c r="AD1077" s="246"/>
      <c r="AE1077" s="160"/>
      <c r="AF1077" s="246"/>
      <c r="AG1077" s="160"/>
      <c r="AH1077" s="246"/>
      <c r="AI1077" s="160"/>
      <c r="AJ1077" s="246"/>
      <c r="AK1077" s="246"/>
      <c r="AL1077" s="246"/>
      <c r="AM1077" s="246"/>
      <c r="AN1077" s="246"/>
      <c r="AO1077" s="246"/>
      <c r="AP1077" s="246"/>
      <c r="AQ1077" s="246"/>
      <c r="AR1077" s="246"/>
      <c r="AS1077" s="246"/>
      <c r="AT1077" s="246"/>
      <c r="AU1077" s="246"/>
      <c r="AV1077" s="246"/>
      <c r="AW1077" s="160"/>
      <c r="AX1077" s="160"/>
      <c r="AY1077" s="247"/>
      <c r="AZ1077" s="248"/>
      <c r="BA1077" s="248"/>
      <c r="BB1077" s="248"/>
      <c r="BC1077" s="248"/>
      <c r="BD1077" s="3"/>
    </row>
    <row r="1078" spans="1:56" ht="15.75" hidden="1" customHeight="1" outlineLevel="1">
      <c r="A1078" s="63">
        <v>1068</v>
      </c>
      <c r="B1078" s="95" t="s">
        <v>722</v>
      </c>
      <c r="C1078" s="116"/>
      <c r="D1078" s="160"/>
      <c r="E1078" s="117"/>
      <c r="F1078" s="115"/>
      <c r="G1078" s="171"/>
      <c r="H1078" s="115"/>
      <c r="I1078" s="118"/>
      <c r="J1078" s="119"/>
      <c r="K1078" s="120"/>
      <c r="L1078" s="261"/>
      <c r="M1078" s="262"/>
      <c r="N1078" s="263"/>
      <c r="O1078" s="264"/>
      <c r="P1078" s="262"/>
      <c r="Q1078" s="262"/>
      <c r="R1078" s="262"/>
      <c r="S1078" s="262"/>
      <c r="T1078" s="262"/>
      <c r="U1078" s="262"/>
      <c r="V1078" s="262"/>
      <c r="W1078" s="117"/>
      <c r="X1078" s="246"/>
      <c r="Y1078" s="246"/>
      <c r="Z1078" s="246"/>
      <c r="AA1078" s="160"/>
      <c r="AB1078" s="246"/>
      <c r="AC1078" s="160"/>
      <c r="AD1078" s="246"/>
      <c r="AE1078" s="160"/>
      <c r="AF1078" s="246"/>
      <c r="AG1078" s="160"/>
      <c r="AH1078" s="246"/>
      <c r="AI1078" s="160"/>
      <c r="AJ1078" s="246"/>
      <c r="AK1078" s="246"/>
      <c r="AL1078" s="246"/>
      <c r="AM1078" s="246"/>
      <c r="AN1078" s="246"/>
      <c r="AO1078" s="246"/>
      <c r="AP1078" s="246"/>
      <c r="AQ1078" s="246"/>
      <c r="AR1078" s="246"/>
      <c r="AS1078" s="246"/>
      <c r="AT1078" s="246"/>
      <c r="AU1078" s="246"/>
      <c r="AV1078" s="246"/>
      <c r="AW1078" s="160"/>
      <c r="AX1078" s="160"/>
      <c r="AY1078" s="247"/>
      <c r="AZ1078" s="248"/>
      <c r="BA1078" s="248"/>
      <c r="BB1078" s="248"/>
      <c r="BC1078" s="248"/>
      <c r="BD1078" s="3"/>
    </row>
    <row r="1079" spans="1:56" ht="15.75" hidden="1" customHeight="1" outlineLevel="1">
      <c r="A1079" s="63">
        <v>1069</v>
      </c>
      <c r="B1079" s="95" t="s">
        <v>723</v>
      </c>
      <c r="C1079" s="116"/>
      <c r="D1079" s="160"/>
      <c r="E1079" s="117"/>
      <c r="F1079" s="115"/>
      <c r="G1079" s="171"/>
      <c r="H1079" s="115"/>
      <c r="I1079" s="118"/>
      <c r="J1079" s="119"/>
      <c r="K1079" s="120"/>
      <c r="L1079" s="261"/>
      <c r="M1079" s="262"/>
      <c r="N1079" s="263"/>
      <c r="O1079" s="264"/>
      <c r="P1079" s="262"/>
      <c r="Q1079" s="262"/>
      <c r="R1079" s="262"/>
      <c r="S1079" s="262"/>
      <c r="T1079" s="262"/>
      <c r="U1079" s="262"/>
      <c r="V1079" s="262"/>
      <c r="W1079" s="117"/>
      <c r="X1079" s="246"/>
      <c r="Y1079" s="246"/>
      <c r="Z1079" s="246"/>
      <c r="AA1079" s="160"/>
      <c r="AB1079" s="246"/>
      <c r="AC1079" s="160"/>
      <c r="AD1079" s="246"/>
      <c r="AE1079" s="160"/>
      <c r="AF1079" s="246"/>
      <c r="AG1079" s="160"/>
      <c r="AH1079" s="246"/>
      <c r="AI1079" s="160"/>
      <c r="AJ1079" s="246"/>
      <c r="AK1079" s="246"/>
      <c r="AL1079" s="246"/>
      <c r="AM1079" s="246"/>
      <c r="AN1079" s="246"/>
      <c r="AO1079" s="246"/>
      <c r="AP1079" s="246"/>
      <c r="AQ1079" s="246"/>
      <c r="AR1079" s="246"/>
      <c r="AS1079" s="246"/>
      <c r="AT1079" s="246"/>
      <c r="AU1079" s="246"/>
      <c r="AV1079" s="246"/>
      <c r="AW1079" s="160"/>
      <c r="AX1079" s="160"/>
      <c r="AY1079" s="247"/>
      <c r="AZ1079" s="248"/>
      <c r="BA1079" s="248"/>
      <c r="BB1079" s="248"/>
      <c r="BC1079" s="248"/>
      <c r="BD1079" s="3"/>
    </row>
    <row r="1080" spans="1:56" ht="15.75" hidden="1" customHeight="1" outlineLevel="1">
      <c r="A1080" s="63">
        <v>1070</v>
      </c>
      <c r="B1080" s="95" t="s">
        <v>724</v>
      </c>
      <c r="C1080" s="116"/>
      <c r="D1080" s="160"/>
      <c r="E1080" s="117"/>
      <c r="F1080" s="115"/>
      <c r="G1080" s="171"/>
      <c r="H1080" s="115"/>
      <c r="I1080" s="118"/>
      <c r="J1080" s="119"/>
      <c r="K1080" s="120"/>
      <c r="L1080" s="261"/>
      <c r="M1080" s="262"/>
      <c r="N1080" s="263"/>
      <c r="O1080" s="264"/>
      <c r="P1080" s="262"/>
      <c r="Q1080" s="262"/>
      <c r="R1080" s="262"/>
      <c r="S1080" s="262"/>
      <c r="T1080" s="262"/>
      <c r="U1080" s="262"/>
      <c r="V1080" s="262"/>
      <c r="W1080" s="117"/>
      <c r="X1080" s="246"/>
      <c r="Y1080" s="246"/>
      <c r="Z1080" s="246"/>
      <c r="AA1080" s="160"/>
      <c r="AB1080" s="246"/>
      <c r="AC1080" s="160"/>
      <c r="AD1080" s="246"/>
      <c r="AE1080" s="160"/>
      <c r="AF1080" s="246"/>
      <c r="AG1080" s="160"/>
      <c r="AH1080" s="246"/>
      <c r="AI1080" s="160"/>
      <c r="AJ1080" s="246"/>
      <c r="AK1080" s="246"/>
      <c r="AL1080" s="246"/>
      <c r="AM1080" s="246"/>
      <c r="AN1080" s="246"/>
      <c r="AO1080" s="246"/>
      <c r="AP1080" s="246"/>
      <c r="AQ1080" s="246"/>
      <c r="AR1080" s="246"/>
      <c r="AS1080" s="246"/>
      <c r="AT1080" s="246"/>
      <c r="AU1080" s="246"/>
      <c r="AV1080" s="246"/>
      <c r="AW1080" s="160"/>
      <c r="AX1080" s="160"/>
      <c r="AY1080" s="247"/>
      <c r="AZ1080" s="248"/>
      <c r="BA1080" s="248"/>
      <c r="BB1080" s="248"/>
      <c r="BC1080" s="248"/>
      <c r="BD1080" s="3"/>
    </row>
    <row r="1081" spans="1:56" ht="15.75" hidden="1" customHeight="1" outlineLevel="1">
      <c r="A1081" s="63">
        <v>1071</v>
      </c>
      <c r="B1081" s="95" t="s">
        <v>725</v>
      </c>
      <c r="C1081" s="116"/>
      <c r="D1081" s="160"/>
      <c r="E1081" s="117"/>
      <c r="F1081" s="115"/>
      <c r="G1081" s="171"/>
      <c r="H1081" s="115"/>
      <c r="I1081" s="118"/>
      <c r="J1081" s="119"/>
      <c r="K1081" s="120"/>
      <c r="L1081" s="261"/>
      <c r="M1081" s="262"/>
      <c r="N1081" s="263"/>
      <c r="O1081" s="264"/>
      <c r="P1081" s="262"/>
      <c r="Q1081" s="262"/>
      <c r="R1081" s="262"/>
      <c r="S1081" s="262"/>
      <c r="T1081" s="262"/>
      <c r="U1081" s="262"/>
      <c r="V1081" s="262"/>
      <c r="W1081" s="117"/>
      <c r="X1081" s="246"/>
      <c r="Y1081" s="246"/>
      <c r="Z1081" s="246"/>
      <c r="AA1081" s="160"/>
      <c r="AB1081" s="246"/>
      <c r="AC1081" s="160"/>
      <c r="AD1081" s="246"/>
      <c r="AE1081" s="160"/>
      <c r="AF1081" s="246"/>
      <c r="AG1081" s="160"/>
      <c r="AH1081" s="246"/>
      <c r="AI1081" s="160"/>
      <c r="AJ1081" s="246"/>
      <c r="AK1081" s="246"/>
      <c r="AL1081" s="246"/>
      <c r="AM1081" s="246"/>
      <c r="AN1081" s="246"/>
      <c r="AO1081" s="246"/>
      <c r="AP1081" s="246"/>
      <c r="AQ1081" s="246"/>
      <c r="AR1081" s="246"/>
      <c r="AS1081" s="246"/>
      <c r="AT1081" s="246"/>
      <c r="AU1081" s="246"/>
      <c r="AV1081" s="246"/>
      <c r="AW1081" s="160"/>
      <c r="AX1081" s="160"/>
      <c r="AY1081" s="247"/>
      <c r="AZ1081" s="248"/>
      <c r="BA1081" s="248"/>
      <c r="BB1081" s="248"/>
      <c r="BC1081" s="248"/>
      <c r="BD1081" s="3"/>
    </row>
    <row r="1082" spans="1:56" ht="15.75" hidden="1" customHeight="1" outlineLevel="1">
      <c r="A1082" s="63">
        <v>1072</v>
      </c>
      <c r="B1082" s="95" t="s">
        <v>726</v>
      </c>
      <c r="C1082" s="116"/>
      <c r="D1082" s="160"/>
      <c r="E1082" s="117"/>
      <c r="F1082" s="115"/>
      <c r="G1082" s="171"/>
      <c r="H1082" s="115"/>
      <c r="I1082" s="118"/>
      <c r="J1082" s="119"/>
      <c r="K1082" s="120"/>
      <c r="L1082" s="261"/>
      <c r="M1082" s="262"/>
      <c r="N1082" s="263"/>
      <c r="O1082" s="264"/>
      <c r="P1082" s="262"/>
      <c r="Q1082" s="262"/>
      <c r="R1082" s="262"/>
      <c r="S1082" s="262"/>
      <c r="T1082" s="262"/>
      <c r="U1082" s="262"/>
      <c r="V1082" s="262"/>
      <c r="W1082" s="117"/>
      <c r="X1082" s="246"/>
      <c r="Y1082" s="246"/>
      <c r="Z1082" s="246"/>
      <c r="AA1082" s="160"/>
      <c r="AB1082" s="246"/>
      <c r="AC1082" s="160"/>
      <c r="AD1082" s="246"/>
      <c r="AE1082" s="160"/>
      <c r="AF1082" s="246"/>
      <c r="AG1082" s="160"/>
      <c r="AH1082" s="246"/>
      <c r="AI1082" s="160"/>
      <c r="AJ1082" s="246"/>
      <c r="AK1082" s="246"/>
      <c r="AL1082" s="246"/>
      <c r="AM1082" s="246"/>
      <c r="AN1082" s="246"/>
      <c r="AO1082" s="246"/>
      <c r="AP1082" s="246"/>
      <c r="AQ1082" s="246"/>
      <c r="AR1082" s="246"/>
      <c r="AS1082" s="246"/>
      <c r="AT1082" s="246"/>
      <c r="AU1082" s="246"/>
      <c r="AV1082" s="246"/>
      <c r="AW1082" s="160"/>
      <c r="AX1082" s="160"/>
      <c r="AY1082" s="247"/>
      <c r="AZ1082" s="248"/>
      <c r="BA1082" s="248"/>
      <c r="BB1082" s="248"/>
      <c r="BC1082" s="248"/>
      <c r="BD1082" s="3"/>
    </row>
    <row r="1083" spans="1:56" ht="15.75" hidden="1" customHeight="1" outlineLevel="1">
      <c r="A1083" s="63">
        <v>1073</v>
      </c>
      <c r="B1083" s="95" t="s">
        <v>727</v>
      </c>
      <c r="C1083" s="116"/>
      <c r="D1083" s="160"/>
      <c r="E1083" s="117"/>
      <c r="F1083" s="115"/>
      <c r="G1083" s="171"/>
      <c r="H1083" s="115"/>
      <c r="I1083" s="118"/>
      <c r="J1083" s="119"/>
      <c r="K1083" s="120"/>
      <c r="L1083" s="261"/>
      <c r="M1083" s="262"/>
      <c r="N1083" s="263"/>
      <c r="O1083" s="264"/>
      <c r="P1083" s="262"/>
      <c r="Q1083" s="262"/>
      <c r="R1083" s="262"/>
      <c r="S1083" s="262"/>
      <c r="T1083" s="262"/>
      <c r="U1083" s="262"/>
      <c r="V1083" s="262"/>
      <c r="W1083" s="117"/>
      <c r="X1083" s="246"/>
      <c r="Y1083" s="246"/>
      <c r="Z1083" s="246"/>
      <c r="AA1083" s="160"/>
      <c r="AB1083" s="246"/>
      <c r="AC1083" s="160"/>
      <c r="AD1083" s="246"/>
      <c r="AE1083" s="160"/>
      <c r="AF1083" s="246"/>
      <c r="AG1083" s="160"/>
      <c r="AH1083" s="246"/>
      <c r="AI1083" s="160"/>
      <c r="AJ1083" s="246"/>
      <c r="AK1083" s="246"/>
      <c r="AL1083" s="246"/>
      <c r="AM1083" s="246"/>
      <c r="AN1083" s="246"/>
      <c r="AO1083" s="246"/>
      <c r="AP1083" s="246"/>
      <c r="AQ1083" s="246"/>
      <c r="AR1083" s="246"/>
      <c r="AS1083" s="246"/>
      <c r="AT1083" s="246"/>
      <c r="AU1083" s="246"/>
      <c r="AV1083" s="246"/>
      <c r="AW1083" s="160"/>
      <c r="AX1083" s="160"/>
      <c r="AY1083" s="247"/>
      <c r="AZ1083" s="248"/>
      <c r="BA1083" s="248"/>
      <c r="BB1083" s="248"/>
      <c r="BC1083" s="248"/>
      <c r="BD1083" s="3"/>
    </row>
    <row r="1084" spans="1:56" ht="15.75" hidden="1" customHeight="1" outlineLevel="1">
      <c r="A1084" s="63">
        <v>1074</v>
      </c>
      <c r="B1084" s="95" t="s">
        <v>728</v>
      </c>
      <c r="C1084" s="116"/>
      <c r="D1084" s="160"/>
      <c r="E1084" s="117"/>
      <c r="F1084" s="115"/>
      <c r="G1084" s="171"/>
      <c r="H1084" s="115"/>
      <c r="I1084" s="118"/>
      <c r="J1084" s="119"/>
      <c r="K1084" s="120"/>
      <c r="L1084" s="261"/>
      <c r="M1084" s="262"/>
      <c r="N1084" s="263"/>
      <c r="O1084" s="264"/>
      <c r="P1084" s="262"/>
      <c r="Q1084" s="262"/>
      <c r="R1084" s="262"/>
      <c r="S1084" s="262"/>
      <c r="T1084" s="262"/>
      <c r="U1084" s="262"/>
      <c r="V1084" s="262"/>
      <c r="W1084" s="117"/>
      <c r="X1084" s="246"/>
      <c r="Y1084" s="246"/>
      <c r="Z1084" s="246"/>
      <c r="AA1084" s="160"/>
      <c r="AB1084" s="246"/>
      <c r="AC1084" s="160"/>
      <c r="AD1084" s="246"/>
      <c r="AE1084" s="160"/>
      <c r="AF1084" s="246"/>
      <c r="AG1084" s="160"/>
      <c r="AH1084" s="246"/>
      <c r="AI1084" s="160"/>
      <c r="AJ1084" s="246"/>
      <c r="AK1084" s="246"/>
      <c r="AL1084" s="246"/>
      <c r="AM1084" s="246"/>
      <c r="AN1084" s="246"/>
      <c r="AO1084" s="246"/>
      <c r="AP1084" s="246"/>
      <c r="AQ1084" s="246"/>
      <c r="AR1084" s="246"/>
      <c r="AS1084" s="246"/>
      <c r="AT1084" s="246"/>
      <c r="AU1084" s="246"/>
      <c r="AV1084" s="246"/>
      <c r="AW1084" s="160"/>
      <c r="AX1084" s="160"/>
      <c r="AY1084" s="247"/>
      <c r="AZ1084" s="248"/>
      <c r="BA1084" s="248"/>
      <c r="BB1084" s="248"/>
      <c r="BC1084" s="248"/>
      <c r="BD1084" s="3"/>
    </row>
    <row r="1085" spans="1:56" ht="15.75" hidden="1" customHeight="1" outlineLevel="1">
      <c r="A1085" s="63">
        <v>1075</v>
      </c>
      <c r="B1085" s="95" t="s">
        <v>730</v>
      </c>
      <c r="C1085" s="116"/>
      <c r="D1085" s="160"/>
      <c r="E1085" s="117"/>
      <c r="F1085" s="115"/>
      <c r="G1085" s="171"/>
      <c r="H1085" s="115"/>
      <c r="I1085" s="118"/>
      <c r="J1085" s="119"/>
      <c r="K1085" s="120"/>
      <c r="L1085" s="261"/>
      <c r="M1085" s="262"/>
      <c r="N1085" s="263"/>
      <c r="O1085" s="264"/>
      <c r="P1085" s="262"/>
      <c r="Q1085" s="262"/>
      <c r="R1085" s="262"/>
      <c r="S1085" s="262"/>
      <c r="T1085" s="262"/>
      <c r="U1085" s="262"/>
      <c r="V1085" s="262"/>
      <c r="W1085" s="117"/>
      <c r="X1085" s="246"/>
      <c r="Y1085" s="246"/>
      <c r="Z1085" s="246"/>
      <c r="AA1085" s="160"/>
      <c r="AB1085" s="246"/>
      <c r="AC1085" s="160"/>
      <c r="AD1085" s="246"/>
      <c r="AE1085" s="160"/>
      <c r="AF1085" s="246"/>
      <c r="AG1085" s="160"/>
      <c r="AH1085" s="246"/>
      <c r="AI1085" s="160"/>
      <c r="AJ1085" s="246"/>
      <c r="AK1085" s="246"/>
      <c r="AL1085" s="246"/>
      <c r="AM1085" s="246"/>
      <c r="AN1085" s="246"/>
      <c r="AO1085" s="246"/>
      <c r="AP1085" s="246"/>
      <c r="AQ1085" s="246"/>
      <c r="AR1085" s="246"/>
      <c r="AS1085" s="246"/>
      <c r="AT1085" s="246"/>
      <c r="AU1085" s="246"/>
      <c r="AV1085" s="246"/>
      <c r="AW1085" s="160"/>
      <c r="AX1085" s="160"/>
      <c r="AY1085" s="247"/>
      <c r="AZ1085" s="248"/>
      <c r="BA1085" s="248"/>
      <c r="BB1085" s="248"/>
      <c r="BC1085" s="248"/>
      <c r="BD1085" s="3"/>
    </row>
    <row r="1086" spans="1:56" ht="15.75" hidden="1" customHeight="1">
      <c r="A1086" s="63">
        <v>1076</v>
      </c>
      <c r="B1086" s="95" t="s">
        <v>731</v>
      </c>
      <c r="C1086" s="117"/>
      <c r="D1086" s="160"/>
      <c r="E1086" s="117"/>
      <c r="F1086" s="115"/>
      <c r="G1086" s="171"/>
      <c r="H1086" s="115"/>
      <c r="I1086" s="118"/>
      <c r="J1086" s="119"/>
      <c r="K1086" s="120"/>
      <c r="L1086" s="261"/>
      <c r="M1086" s="262"/>
      <c r="N1086" s="263"/>
      <c r="O1086" s="264"/>
      <c r="P1086" s="262"/>
      <c r="Q1086" s="262"/>
      <c r="R1086" s="262"/>
      <c r="S1086" s="262"/>
      <c r="T1086" s="262"/>
      <c r="U1086" s="262"/>
      <c r="V1086" s="262"/>
      <c r="W1086" s="117"/>
      <c r="X1086" s="246"/>
      <c r="Y1086" s="246"/>
      <c r="Z1086" s="246"/>
      <c r="AA1086" s="160"/>
      <c r="AB1086" s="246"/>
      <c r="AC1086" s="160"/>
      <c r="AD1086" s="246"/>
      <c r="AE1086" s="160"/>
      <c r="AF1086" s="246"/>
      <c r="AG1086" s="160"/>
      <c r="AH1086" s="246"/>
      <c r="AI1086" s="160"/>
      <c r="AJ1086" s="246"/>
      <c r="AK1086" s="246"/>
      <c r="AL1086" s="246"/>
      <c r="AM1086" s="246"/>
      <c r="AN1086" s="246"/>
      <c r="AO1086" s="246"/>
      <c r="AP1086" s="246"/>
      <c r="AQ1086" s="246"/>
      <c r="AR1086" s="246"/>
      <c r="AS1086" s="246"/>
      <c r="AT1086" s="246"/>
      <c r="AU1086" s="246"/>
      <c r="AV1086" s="246"/>
      <c r="AW1086" s="160"/>
      <c r="AX1086" s="160"/>
      <c r="AY1086" s="247"/>
      <c r="AZ1086" s="248"/>
      <c r="BA1086" s="248"/>
      <c r="BB1086" s="248"/>
      <c r="BC1086" s="248"/>
      <c r="BD1086" s="3"/>
    </row>
    <row r="1087" spans="1:56" ht="16.350000000000001" customHeight="1" outlineLevel="1">
      <c r="A1087" s="92">
        <v>1077</v>
      </c>
      <c r="B1087" s="99" t="s">
        <v>735</v>
      </c>
      <c r="C1087" s="122" t="s">
        <v>732</v>
      </c>
      <c r="D1087" s="161" t="s">
        <v>733</v>
      </c>
      <c r="E1087" s="123" t="s">
        <v>734</v>
      </c>
      <c r="F1087" s="124" t="s">
        <v>1425</v>
      </c>
      <c r="G1087" s="124" t="s">
        <v>247</v>
      </c>
      <c r="H1087" s="334" t="s">
        <v>1424</v>
      </c>
      <c r="I1087" s="334" t="s">
        <v>1426</v>
      </c>
      <c r="J1087" s="317" t="s">
        <v>139</v>
      </c>
      <c r="K1087" s="317" t="s">
        <v>140</v>
      </c>
      <c r="L1087" s="334">
        <v>1</v>
      </c>
      <c r="M1087" s="334" t="s">
        <v>250</v>
      </c>
      <c r="N1087" s="315">
        <v>80</v>
      </c>
      <c r="O1087" s="315">
        <v>6</v>
      </c>
      <c r="P1087" s="315" t="s">
        <v>1429</v>
      </c>
      <c r="Q1087" s="317" t="s">
        <v>240</v>
      </c>
      <c r="R1087" s="348" t="s">
        <v>240</v>
      </c>
      <c r="S1087" s="320" t="s">
        <v>233</v>
      </c>
      <c r="T1087" s="320" t="s">
        <v>240</v>
      </c>
      <c r="U1087" s="334" t="s">
        <v>1427</v>
      </c>
      <c r="V1087" s="320" t="s">
        <v>240</v>
      </c>
      <c r="W1087" s="189"/>
      <c r="X1087" s="292">
        <v>2389.83</v>
      </c>
      <c r="Y1087" s="295">
        <v>2529.9499999999998</v>
      </c>
      <c r="Z1087" s="297">
        <v>305.24</v>
      </c>
      <c r="AA1087" s="299" t="s">
        <v>259</v>
      </c>
      <c r="AB1087" s="292">
        <v>305.24</v>
      </c>
      <c r="AC1087" s="299" t="s">
        <v>259</v>
      </c>
      <c r="AD1087" s="301">
        <v>305.24</v>
      </c>
      <c r="AE1087" s="292" t="s">
        <v>259</v>
      </c>
      <c r="AF1087" s="292">
        <v>305.24</v>
      </c>
      <c r="AG1087" s="292" t="s">
        <v>259</v>
      </c>
      <c r="AH1087" s="292">
        <v>305.24</v>
      </c>
      <c r="AI1087" s="292" t="s">
        <v>259</v>
      </c>
      <c r="AJ1087" s="292">
        <v>0</v>
      </c>
      <c r="AK1087" s="292">
        <v>0</v>
      </c>
      <c r="AL1087" s="292">
        <v>0</v>
      </c>
      <c r="AM1087" s="292">
        <v>0</v>
      </c>
      <c r="AN1087" s="292">
        <v>0</v>
      </c>
      <c r="AO1087" s="292">
        <v>0</v>
      </c>
      <c r="AP1087" s="292">
        <v>0</v>
      </c>
      <c r="AQ1087" s="292">
        <v>0</v>
      </c>
      <c r="AR1087" s="292">
        <v>296.69</v>
      </c>
      <c r="AS1087" s="292" t="s">
        <v>259</v>
      </c>
      <c r="AT1087" s="292">
        <v>292.14999999999998</v>
      </c>
      <c r="AU1087" s="292" t="s">
        <v>259</v>
      </c>
      <c r="AV1087" s="292">
        <v>327.07</v>
      </c>
      <c r="AW1087" s="292" t="s">
        <v>252</v>
      </c>
      <c r="AX1087" s="297">
        <f>Z1087+AB1087+AD1087+AF1087+AH1087+AR1087+AT1087+AV1087</f>
        <v>2442.11</v>
      </c>
      <c r="AY1087" s="338">
        <f>0.0163+0.0014+0.0113+0.5569+0.0019+0.0026+0.0093+0.017+0.001+0.005+0.001+0.0029+0.0055+0.0227+0.0042+0.0157+0.0018+0.0214+0.0021</f>
        <v>0.70000000000000007</v>
      </c>
      <c r="AZ1087" s="312" t="s">
        <v>1429</v>
      </c>
      <c r="BA1087" s="312" t="s">
        <v>254</v>
      </c>
      <c r="BB1087" s="312">
        <v>1</v>
      </c>
      <c r="BC1087" s="336" t="s">
        <v>255</v>
      </c>
    </row>
    <row r="1088" spans="1:56" ht="16.350000000000001" customHeight="1" outlineLevel="1">
      <c r="A1088" s="92">
        <v>1078</v>
      </c>
      <c r="B1088" s="99" t="s">
        <v>738</v>
      </c>
      <c r="C1088" s="122" t="s">
        <v>732</v>
      </c>
      <c r="D1088" s="161" t="s">
        <v>733</v>
      </c>
      <c r="E1088" s="123" t="s">
        <v>737</v>
      </c>
      <c r="F1088" s="124" t="s">
        <v>1425</v>
      </c>
      <c r="G1088" s="133" t="s">
        <v>247</v>
      </c>
      <c r="H1088" s="335"/>
      <c r="I1088" s="335"/>
      <c r="J1088" s="319" t="s">
        <v>139</v>
      </c>
      <c r="K1088" s="319" t="s">
        <v>140</v>
      </c>
      <c r="L1088" s="335"/>
      <c r="M1088" s="335"/>
      <c r="N1088" s="315"/>
      <c r="O1088" s="315"/>
      <c r="P1088" s="315"/>
      <c r="Q1088" s="319"/>
      <c r="R1088" s="349"/>
      <c r="S1088" s="320"/>
      <c r="T1088" s="320"/>
      <c r="U1088" s="335"/>
      <c r="V1088" s="320"/>
      <c r="W1088" s="190"/>
      <c r="X1088" s="294"/>
      <c r="Y1088" s="296"/>
      <c r="Z1088" s="298"/>
      <c r="AA1088" s="300"/>
      <c r="AB1088" s="294"/>
      <c r="AC1088" s="300"/>
      <c r="AD1088" s="302"/>
      <c r="AE1088" s="294"/>
      <c r="AF1088" s="294"/>
      <c r="AG1088" s="294"/>
      <c r="AH1088" s="294"/>
      <c r="AI1088" s="294"/>
      <c r="AJ1088" s="294"/>
      <c r="AK1088" s="294"/>
      <c r="AL1088" s="294"/>
      <c r="AM1088" s="294"/>
      <c r="AN1088" s="294"/>
      <c r="AO1088" s="294"/>
      <c r="AP1088" s="294"/>
      <c r="AQ1088" s="294"/>
      <c r="AR1088" s="294"/>
      <c r="AS1088" s="294"/>
      <c r="AT1088" s="294"/>
      <c r="AU1088" s="294"/>
      <c r="AV1088" s="294"/>
      <c r="AW1088" s="294"/>
      <c r="AX1088" s="294"/>
      <c r="AY1088" s="339"/>
      <c r="AZ1088" s="312"/>
      <c r="BA1088" s="312"/>
      <c r="BB1088" s="312"/>
      <c r="BC1088" s="337"/>
    </row>
    <row r="1089" spans="1:55" ht="16.350000000000001" customHeight="1" outlineLevel="1">
      <c r="A1089" s="92">
        <v>1079</v>
      </c>
      <c r="B1089" s="99" t="s">
        <v>740</v>
      </c>
      <c r="C1089" s="122" t="s">
        <v>739</v>
      </c>
      <c r="D1089" s="161">
        <v>10</v>
      </c>
      <c r="E1089" s="123" t="s">
        <v>734</v>
      </c>
      <c r="F1089" s="124" t="s">
        <v>1234</v>
      </c>
      <c r="G1089" s="133" t="s">
        <v>281</v>
      </c>
      <c r="H1089" s="173" t="s">
        <v>1424</v>
      </c>
      <c r="I1089" s="173" t="s">
        <v>1426</v>
      </c>
      <c r="J1089" s="177" t="s">
        <v>139</v>
      </c>
      <c r="K1089" s="124" t="s">
        <v>140</v>
      </c>
      <c r="L1089" s="178">
        <v>0</v>
      </c>
      <c r="M1089" s="178" t="s">
        <v>250</v>
      </c>
      <c r="N1089" s="265">
        <v>89</v>
      </c>
      <c r="O1089" s="265">
        <v>5.5</v>
      </c>
      <c r="P1089" s="265" t="s">
        <v>253</v>
      </c>
      <c r="Q1089" s="124" t="s">
        <v>240</v>
      </c>
      <c r="R1089" s="275" t="s">
        <v>240</v>
      </c>
      <c r="S1089" s="275" t="s">
        <v>240</v>
      </c>
      <c r="T1089" s="275" t="s">
        <v>233</v>
      </c>
      <c r="U1089" s="178" t="s">
        <v>1428</v>
      </c>
      <c r="V1089" s="275" t="s">
        <v>240</v>
      </c>
      <c r="W1089" s="93"/>
      <c r="X1089" s="216">
        <v>493.66</v>
      </c>
      <c r="Y1089" s="217">
        <v>765.48</v>
      </c>
      <c r="Z1089" s="127">
        <f>21.87+77.85</f>
        <v>99.72</v>
      </c>
      <c r="AA1089" s="128" t="s">
        <v>259</v>
      </c>
      <c r="AB1089" s="125">
        <f>21.87+77.85</f>
        <v>99.72</v>
      </c>
      <c r="AC1089" s="128" t="s">
        <v>259</v>
      </c>
      <c r="AD1089" s="129">
        <f>21.87+77.85</f>
        <v>99.72</v>
      </c>
      <c r="AE1089" s="125" t="s">
        <v>259</v>
      </c>
      <c r="AF1089" s="125">
        <f>21.87+77.85</f>
        <v>99.72</v>
      </c>
      <c r="AG1089" s="125" t="s">
        <v>259</v>
      </c>
      <c r="AH1089" s="125">
        <f>6.35+22.61</f>
        <v>28.96</v>
      </c>
      <c r="AI1089" s="125" t="s">
        <v>259</v>
      </c>
      <c r="AJ1089" s="125">
        <v>0</v>
      </c>
      <c r="AK1089" s="125">
        <v>0</v>
      </c>
      <c r="AL1089" s="125">
        <v>0</v>
      </c>
      <c r="AM1089" s="125">
        <v>0</v>
      </c>
      <c r="AN1089" s="125">
        <v>0</v>
      </c>
      <c r="AO1089" s="125">
        <v>0</v>
      </c>
      <c r="AP1089" s="125">
        <f>4.88+17.39</f>
        <v>22.27</v>
      </c>
      <c r="AQ1089" s="125" t="s">
        <v>259</v>
      </c>
      <c r="AR1089" s="125">
        <f>20.93+74.51</f>
        <v>95.44</v>
      </c>
      <c r="AS1089" s="125" t="s">
        <v>259</v>
      </c>
      <c r="AT1089" s="125">
        <f>20.93+74.51</f>
        <v>95.44</v>
      </c>
      <c r="AU1089" s="125" t="s">
        <v>259</v>
      </c>
      <c r="AV1089" s="125">
        <f>20.93+74.51</f>
        <v>95.44</v>
      </c>
      <c r="AW1089" s="125" t="s">
        <v>259</v>
      </c>
      <c r="AX1089" s="125">
        <f>Z1089+AB1089+AD1089+AF1089+AH1089+AJ1089+AL1089+AN1089+AP1089+AR1089+AT1089+AV1089</f>
        <v>736.43000000000006</v>
      </c>
      <c r="AY1089" s="125">
        <v>0.26496999999999998</v>
      </c>
      <c r="AZ1089" s="249" t="s">
        <v>253</v>
      </c>
      <c r="BA1089" s="180" t="s">
        <v>254</v>
      </c>
      <c r="BB1089" s="180" t="s">
        <v>1430</v>
      </c>
      <c r="BC1089" s="179" t="s">
        <v>255</v>
      </c>
    </row>
    <row r="1090" spans="1:55" ht="16.350000000000001" customHeight="1" outlineLevel="1">
      <c r="A1090" s="92">
        <v>1080</v>
      </c>
      <c r="B1090" s="99" t="s">
        <v>741</v>
      </c>
      <c r="C1090" s="122" t="s">
        <v>739</v>
      </c>
      <c r="D1090" s="161">
        <v>3</v>
      </c>
      <c r="E1090" s="123" t="s">
        <v>734</v>
      </c>
      <c r="F1090" s="124" t="s">
        <v>1425</v>
      </c>
      <c r="G1090" s="133" t="s">
        <v>247</v>
      </c>
      <c r="H1090" s="134" t="s">
        <v>248</v>
      </c>
      <c r="I1090" s="134" t="s">
        <v>1426</v>
      </c>
      <c r="J1090" s="177" t="s">
        <v>139</v>
      </c>
      <c r="K1090" s="124" t="s">
        <v>140</v>
      </c>
      <c r="L1090" s="174">
        <v>1</v>
      </c>
      <c r="M1090" s="178" t="s">
        <v>250</v>
      </c>
      <c r="N1090" s="265">
        <v>89</v>
      </c>
      <c r="O1090" s="265">
        <v>6</v>
      </c>
      <c r="P1090" s="265" t="s">
        <v>1429</v>
      </c>
      <c r="Q1090" s="124" t="s">
        <v>233</v>
      </c>
      <c r="R1090" s="275" t="s">
        <v>240</v>
      </c>
      <c r="S1090" s="276" t="s">
        <v>233</v>
      </c>
      <c r="T1090" s="275" t="s">
        <v>240</v>
      </c>
      <c r="U1090" s="178" t="s">
        <v>1427</v>
      </c>
      <c r="V1090" s="275" t="s">
        <v>240</v>
      </c>
      <c r="W1090" s="93"/>
      <c r="X1090" s="125">
        <v>998.8</v>
      </c>
      <c r="Y1090" s="126">
        <v>1117.98</v>
      </c>
      <c r="Z1090" s="127">
        <v>166.59121919999998</v>
      </c>
      <c r="AA1090" s="128" t="s">
        <v>252</v>
      </c>
      <c r="AB1090" s="125">
        <v>110.143125</v>
      </c>
      <c r="AC1090" s="128" t="s">
        <v>252</v>
      </c>
      <c r="AD1090" s="129">
        <v>149.42406600000001</v>
      </c>
      <c r="AE1090" s="125" t="s">
        <v>252</v>
      </c>
      <c r="AF1090" s="125">
        <v>90.302331999999993</v>
      </c>
      <c r="AG1090" s="125" t="s">
        <v>252</v>
      </c>
      <c r="AH1090" s="125">
        <v>22.337140000000002</v>
      </c>
      <c r="AI1090" s="125" t="s">
        <v>252</v>
      </c>
      <c r="AJ1090" s="125">
        <v>0</v>
      </c>
      <c r="AK1090" s="125">
        <v>0</v>
      </c>
      <c r="AL1090" s="125">
        <v>0</v>
      </c>
      <c r="AM1090" s="125">
        <v>0</v>
      </c>
      <c r="AN1090" s="125">
        <v>0</v>
      </c>
      <c r="AO1090" s="125">
        <v>0</v>
      </c>
      <c r="AP1090" s="125">
        <v>0</v>
      </c>
      <c r="AQ1090" s="125">
        <v>0</v>
      </c>
      <c r="AR1090" s="125">
        <v>90.655715999999998</v>
      </c>
      <c r="AS1090" s="125" t="s">
        <v>252</v>
      </c>
      <c r="AT1090" s="125">
        <v>75.220289999999991</v>
      </c>
      <c r="AU1090" s="125" t="s">
        <v>252</v>
      </c>
      <c r="AV1090" s="125">
        <v>96.791424000000006</v>
      </c>
      <c r="AW1090" s="125" t="s">
        <v>252</v>
      </c>
      <c r="AX1090" s="125">
        <f>Z1090+AB1090+AD1090+AF1090+AH1090+AJ1090+AL1090+AN1090+AP1090+AR1090+AT1090+AV1090</f>
        <v>801.46531219999997</v>
      </c>
      <c r="AY1090" s="125">
        <f>0.31</f>
        <v>0.31</v>
      </c>
      <c r="AZ1090" s="249" t="s">
        <v>1429</v>
      </c>
      <c r="BA1090" s="181" t="s">
        <v>254</v>
      </c>
      <c r="BB1090" s="181">
        <v>1</v>
      </c>
      <c r="BC1090" s="125" t="s">
        <v>255</v>
      </c>
    </row>
    <row r="1091" spans="1:55" ht="16.350000000000001" customHeight="1" outlineLevel="1">
      <c r="A1091" s="92">
        <v>1081</v>
      </c>
      <c r="B1091" s="99" t="s">
        <v>742</v>
      </c>
      <c r="C1091" s="122" t="s">
        <v>743</v>
      </c>
      <c r="D1091" s="161">
        <v>4</v>
      </c>
      <c r="E1091" s="123" t="s">
        <v>734</v>
      </c>
      <c r="F1091" s="124" t="s">
        <v>1425</v>
      </c>
      <c r="G1091" s="133" t="s">
        <v>247</v>
      </c>
      <c r="H1091" s="334" t="s">
        <v>248</v>
      </c>
      <c r="I1091" s="334" t="s">
        <v>1426</v>
      </c>
      <c r="J1091" s="317" t="s">
        <v>139</v>
      </c>
      <c r="K1091" s="317" t="s">
        <v>140</v>
      </c>
      <c r="L1091" s="334">
        <v>1</v>
      </c>
      <c r="M1091" s="334" t="s">
        <v>250</v>
      </c>
      <c r="N1091" s="315">
        <v>100</v>
      </c>
      <c r="O1091" s="315">
        <v>6</v>
      </c>
      <c r="P1091" s="315" t="s">
        <v>1429</v>
      </c>
      <c r="Q1091" s="317" t="s">
        <v>233</v>
      </c>
      <c r="R1091" s="320" t="s">
        <v>240</v>
      </c>
      <c r="S1091" s="320" t="s">
        <v>233</v>
      </c>
      <c r="T1091" s="320" t="s">
        <v>240</v>
      </c>
      <c r="U1091" s="334" t="s">
        <v>1427</v>
      </c>
      <c r="V1091" s="320" t="s">
        <v>240</v>
      </c>
      <c r="W1091" s="189"/>
      <c r="X1091" s="292">
        <v>3271.27</v>
      </c>
      <c r="Y1091" s="295">
        <v>3256.54</v>
      </c>
      <c r="Z1091" s="297">
        <v>498.95211660000001</v>
      </c>
      <c r="AA1091" s="299" t="s">
        <v>252</v>
      </c>
      <c r="AB1091" s="292">
        <v>343.86889500000001</v>
      </c>
      <c r="AC1091" s="299" t="s">
        <v>252</v>
      </c>
      <c r="AD1091" s="301">
        <v>478.80748800000003</v>
      </c>
      <c r="AE1091" s="292" t="s">
        <v>252</v>
      </c>
      <c r="AF1091" s="292">
        <v>277.33457400000003</v>
      </c>
      <c r="AG1091" s="292" t="s">
        <v>252</v>
      </c>
      <c r="AH1091" s="292">
        <v>61.087221999999997</v>
      </c>
      <c r="AI1091" s="292" t="s">
        <v>252</v>
      </c>
      <c r="AJ1091" s="292">
        <v>0</v>
      </c>
      <c r="AK1091" s="292">
        <v>0</v>
      </c>
      <c r="AL1091" s="292">
        <v>0</v>
      </c>
      <c r="AM1091" s="292">
        <v>0</v>
      </c>
      <c r="AN1091" s="292">
        <v>0</v>
      </c>
      <c r="AO1091" s="292">
        <v>0</v>
      </c>
      <c r="AP1091" s="292">
        <v>0</v>
      </c>
      <c r="AQ1091" s="292">
        <v>0</v>
      </c>
      <c r="AR1091" s="292">
        <v>280.554216</v>
      </c>
      <c r="AS1091" s="292" t="s">
        <v>252</v>
      </c>
      <c r="AT1091" s="292">
        <v>221.00399999999999</v>
      </c>
      <c r="AU1091" s="292" t="s">
        <v>252</v>
      </c>
      <c r="AV1091" s="292">
        <v>340.13184000000001</v>
      </c>
      <c r="AW1091" s="292" t="s">
        <v>252</v>
      </c>
      <c r="AX1091" s="363">
        <f>Z1091+AB1091+AD1091+AF1091+AH1091+AJ1091+AL1091+AN1091+AP1091+AR1091+AT1091+AV1091</f>
        <v>2501.7403515999999</v>
      </c>
      <c r="AY1091" s="338">
        <f>0.993+0.027</f>
        <v>1.02</v>
      </c>
      <c r="AZ1091" s="312" t="s">
        <v>1429</v>
      </c>
      <c r="BA1091" s="312" t="s">
        <v>254</v>
      </c>
      <c r="BB1091" s="312">
        <v>1</v>
      </c>
      <c r="BC1091" s="336" t="s">
        <v>255</v>
      </c>
    </row>
    <row r="1092" spans="1:55" ht="16.350000000000001" customHeight="1" outlineLevel="1">
      <c r="A1092" s="92">
        <v>1082</v>
      </c>
      <c r="B1092" s="99" t="s">
        <v>744</v>
      </c>
      <c r="C1092" s="122" t="s">
        <v>743</v>
      </c>
      <c r="D1092" s="161">
        <v>4</v>
      </c>
      <c r="E1092" s="123" t="s">
        <v>745</v>
      </c>
      <c r="F1092" s="124" t="s">
        <v>1425</v>
      </c>
      <c r="G1092" s="133" t="s">
        <v>247</v>
      </c>
      <c r="H1092" s="335"/>
      <c r="I1092" s="335"/>
      <c r="J1092" s="319" t="s">
        <v>139</v>
      </c>
      <c r="K1092" s="319" t="s">
        <v>140</v>
      </c>
      <c r="L1092" s="335"/>
      <c r="M1092" s="335"/>
      <c r="N1092" s="315"/>
      <c r="O1092" s="315"/>
      <c r="P1092" s="315"/>
      <c r="Q1092" s="319"/>
      <c r="R1092" s="320"/>
      <c r="S1092" s="320"/>
      <c r="T1092" s="320"/>
      <c r="U1092" s="335"/>
      <c r="V1092" s="320"/>
      <c r="W1092" s="190"/>
      <c r="X1092" s="294"/>
      <c r="Y1092" s="296"/>
      <c r="Z1092" s="298"/>
      <c r="AA1092" s="300"/>
      <c r="AB1092" s="294"/>
      <c r="AC1092" s="300"/>
      <c r="AD1092" s="302"/>
      <c r="AE1092" s="294"/>
      <c r="AF1092" s="294"/>
      <c r="AG1092" s="294"/>
      <c r="AH1092" s="294"/>
      <c r="AI1092" s="294"/>
      <c r="AJ1092" s="294"/>
      <c r="AK1092" s="294"/>
      <c r="AL1092" s="294"/>
      <c r="AM1092" s="294"/>
      <c r="AN1092" s="294"/>
      <c r="AO1092" s="294"/>
      <c r="AP1092" s="294"/>
      <c r="AQ1092" s="294"/>
      <c r="AR1092" s="294"/>
      <c r="AS1092" s="294"/>
      <c r="AT1092" s="294"/>
      <c r="AU1092" s="294"/>
      <c r="AV1092" s="294"/>
      <c r="AW1092" s="294"/>
      <c r="AX1092" s="364"/>
      <c r="AY1092" s="339"/>
      <c r="AZ1092" s="312"/>
      <c r="BA1092" s="312"/>
      <c r="BB1092" s="312"/>
      <c r="BC1092" s="337"/>
    </row>
    <row r="1093" spans="1:55" ht="16.350000000000001" customHeight="1" outlineLevel="1">
      <c r="A1093" s="92">
        <v>1083</v>
      </c>
      <c r="B1093" s="99" t="s">
        <v>746</v>
      </c>
      <c r="C1093" s="122" t="s">
        <v>743</v>
      </c>
      <c r="D1093" s="161">
        <v>6</v>
      </c>
      <c r="E1093" s="123" t="s">
        <v>734</v>
      </c>
      <c r="F1093" s="124" t="s">
        <v>1425</v>
      </c>
      <c r="G1093" s="133" t="s">
        <v>247</v>
      </c>
      <c r="H1093" s="317" t="s">
        <v>248</v>
      </c>
      <c r="I1093" s="317" t="s">
        <v>1426</v>
      </c>
      <c r="J1093" s="317" t="s">
        <v>139</v>
      </c>
      <c r="K1093" s="317" t="s">
        <v>140</v>
      </c>
      <c r="L1093" s="317">
        <v>2</v>
      </c>
      <c r="M1093" s="317" t="s">
        <v>250</v>
      </c>
      <c r="N1093" s="314">
        <v>100</v>
      </c>
      <c r="O1093" s="314">
        <v>6</v>
      </c>
      <c r="P1093" s="314" t="s">
        <v>1429</v>
      </c>
      <c r="Q1093" s="360" t="s">
        <v>233</v>
      </c>
      <c r="R1093" s="321" t="s">
        <v>240</v>
      </c>
      <c r="S1093" s="321" t="s">
        <v>233</v>
      </c>
      <c r="T1093" s="321" t="s">
        <v>240</v>
      </c>
      <c r="U1093" s="317" t="s">
        <v>1427</v>
      </c>
      <c r="V1093" s="321" t="s">
        <v>240</v>
      </c>
      <c r="W1093" s="165"/>
      <c r="X1093" s="292">
        <v>998.43</v>
      </c>
      <c r="Y1093" s="295">
        <v>795.31</v>
      </c>
      <c r="Z1093" s="297">
        <v>67.470135599999992</v>
      </c>
      <c r="AA1093" s="299" t="s">
        <v>259</v>
      </c>
      <c r="AB1093" s="292">
        <v>65.040030000000002</v>
      </c>
      <c r="AC1093" s="299" t="s">
        <v>259</v>
      </c>
      <c r="AD1093" s="301">
        <v>70.120692000000005</v>
      </c>
      <c r="AE1093" s="292" t="s">
        <v>259</v>
      </c>
      <c r="AF1093" s="292">
        <v>60.986883999999996</v>
      </c>
      <c r="AG1093" s="292" t="s">
        <v>259</v>
      </c>
      <c r="AH1093" s="292">
        <v>53.754812999999999</v>
      </c>
      <c r="AI1093" s="292" t="s">
        <v>259</v>
      </c>
      <c r="AJ1093" s="292">
        <v>0</v>
      </c>
      <c r="AK1093" s="363">
        <v>0</v>
      </c>
      <c r="AL1093" s="292">
        <v>0</v>
      </c>
      <c r="AM1093" s="363">
        <v>0</v>
      </c>
      <c r="AN1093" s="292">
        <v>0</v>
      </c>
      <c r="AO1093" s="363">
        <v>0</v>
      </c>
      <c r="AP1093" s="363">
        <v>0</v>
      </c>
      <c r="AQ1093" s="363">
        <v>0</v>
      </c>
      <c r="AR1093" s="292">
        <v>57.452928</v>
      </c>
      <c r="AS1093" s="292" t="s">
        <v>259</v>
      </c>
      <c r="AT1093" s="292">
        <v>60.192018000000004</v>
      </c>
      <c r="AU1093" s="292" t="s">
        <v>259</v>
      </c>
      <c r="AV1093" s="292">
        <v>60.145872000000004</v>
      </c>
      <c r="AW1093" s="292" t="s">
        <v>259</v>
      </c>
      <c r="AX1093" s="367">
        <f>Z1093+AB1093+AD1093+AF1093+AH1093+AJ1093+AL1093+AN1093+AP1093+AR1093+AT1093+AV1093</f>
        <v>495.1633726</v>
      </c>
      <c r="AY1093" s="338">
        <f>0.17+0.35</f>
        <v>0.52</v>
      </c>
      <c r="AZ1093" s="313" t="s">
        <v>1429</v>
      </c>
      <c r="BA1093" s="313" t="s">
        <v>254</v>
      </c>
      <c r="BB1093" s="313">
        <v>1</v>
      </c>
      <c r="BC1093" s="292" t="s">
        <v>255</v>
      </c>
    </row>
    <row r="1094" spans="1:55" ht="16.350000000000001" customHeight="1" outlineLevel="1">
      <c r="A1094" s="92">
        <v>1084</v>
      </c>
      <c r="B1094" s="99" t="s">
        <v>747</v>
      </c>
      <c r="C1094" s="122" t="s">
        <v>1203</v>
      </c>
      <c r="D1094" s="161">
        <v>119</v>
      </c>
      <c r="E1094" s="123" t="s">
        <v>734</v>
      </c>
      <c r="F1094" s="124" t="s">
        <v>1425</v>
      </c>
      <c r="G1094" s="133" t="s">
        <v>247</v>
      </c>
      <c r="H1094" s="318"/>
      <c r="I1094" s="318"/>
      <c r="J1094" s="318" t="s">
        <v>139</v>
      </c>
      <c r="K1094" s="318" t="s">
        <v>140</v>
      </c>
      <c r="L1094" s="318"/>
      <c r="M1094" s="318"/>
      <c r="N1094" s="314"/>
      <c r="O1094" s="314"/>
      <c r="P1094" s="314"/>
      <c r="Q1094" s="361"/>
      <c r="R1094" s="321"/>
      <c r="S1094" s="321"/>
      <c r="T1094" s="321"/>
      <c r="U1094" s="318"/>
      <c r="V1094" s="321"/>
      <c r="W1094" s="169"/>
      <c r="X1094" s="293"/>
      <c r="Y1094" s="308"/>
      <c r="Z1094" s="309"/>
      <c r="AA1094" s="310"/>
      <c r="AB1094" s="293"/>
      <c r="AC1094" s="310"/>
      <c r="AD1094" s="311"/>
      <c r="AE1094" s="293"/>
      <c r="AF1094" s="293"/>
      <c r="AG1094" s="293"/>
      <c r="AH1094" s="293"/>
      <c r="AI1094" s="293"/>
      <c r="AJ1094" s="293">
        <v>0</v>
      </c>
      <c r="AK1094" s="365"/>
      <c r="AL1094" s="293">
        <v>0</v>
      </c>
      <c r="AM1094" s="365"/>
      <c r="AN1094" s="293">
        <v>0</v>
      </c>
      <c r="AO1094" s="365"/>
      <c r="AP1094" s="365"/>
      <c r="AQ1094" s="365"/>
      <c r="AR1094" s="293"/>
      <c r="AS1094" s="293"/>
      <c r="AT1094" s="293"/>
      <c r="AU1094" s="293"/>
      <c r="AV1094" s="293"/>
      <c r="AW1094" s="293"/>
      <c r="AX1094" s="365"/>
      <c r="AY1094" s="366"/>
      <c r="AZ1094" s="313"/>
      <c r="BA1094" s="313"/>
      <c r="BB1094" s="313"/>
      <c r="BC1094" s="293"/>
    </row>
    <row r="1095" spans="1:55" ht="16.350000000000001" customHeight="1" outlineLevel="1">
      <c r="A1095" s="92">
        <v>1085</v>
      </c>
      <c r="B1095" s="99" t="s">
        <v>749</v>
      </c>
      <c r="C1095" s="122" t="s">
        <v>1203</v>
      </c>
      <c r="D1095" s="161">
        <v>119</v>
      </c>
      <c r="E1095" s="123" t="s">
        <v>737</v>
      </c>
      <c r="F1095" s="124" t="s">
        <v>1425</v>
      </c>
      <c r="G1095" s="133" t="s">
        <v>247</v>
      </c>
      <c r="H1095" s="319"/>
      <c r="I1095" s="319"/>
      <c r="J1095" s="319"/>
      <c r="K1095" s="319"/>
      <c r="L1095" s="319"/>
      <c r="M1095" s="319"/>
      <c r="N1095" s="314"/>
      <c r="O1095" s="314"/>
      <c r="P1095" s="314"/>
      <c r="Q1095" s="362"/>
      <c r="R1095" s="321"/>
      <c r="S1095" s="321"/>
      <c r="T1095" s="321"/>
      <c r="U1095" s="319"/>
      <c r="V1095" s="321"/>
      <c r="W1095" s="166"/>
      <c r="X1095" s="294"/>
      <c r="Y1095" s="296"/>
      <c r="Z1095" s="298"/>
      <c r="AA1095" s="300"/>
      <c r="AB1095" s="294"/>
      <c r="AC1095" s="300"/>
      <c r="AD1095" s="302"/>
      <c r="AE1095" s="294"/>
      <c r="AF1095" s="294"/>
      <c r="AG1095" s="294"/>
      <c r="AH1095" s="294"/>
      <c r="AI1095" s="294"/>
      <c r="AJ1095" s="294"/>
      <c r="AK1095" s="364"/>
      <c r="AL1095" s="294"/>
      <c r="AM1095" s="364"/>
      <c r="AN1095" s="294"/>
      <c r="AO1095" s="364"/>
      <c r="AP1095" s="364"/>
      <c r="AQ1095" s="364"/>
      <c r="AR1095" s="294"/>
      <c r="AS1095" s="294"/>
      <c r="AT1095" s="294"/>
      <c r="AU1095" s="294"/>
      <c r="AV1095" s="294"/>
      <c r="AW1095" s="294"/>
      <c r="AX1095" s="364"/>
      <c r="AY1095" s="339"/>
      <c r="AZ1095" s="313"/>
      <c r="BA1095" s="313"/>
      <c r="BB1095" s="313"/>
      <c r="BC1095" s="294"/>
    </row>
    <row r="1096" spans="1:55" ht="16.350000000000001" customHeight="1" outlineLevel="1">
      <c r="A1096" s="92">
        <v>1086</v>
      </c>
      <c r="B1096" s="99" t="s">
        <v>751</v>
      </c>
      <c r="C1096" s="122" t="s">
        <v>748</v>
      </c>
      <c r="D1096" s="161">
        <v>4</v>
      </c>
      <c r="E1096" s="123" t="s">
        <v>734</v>
      </c>
      <c r="F1096" s="124" t="s">
        <v>1234</v>
      </c>
      <c r="G1096" s="133" t="s">
        <v>281</v>
      </c>
      <c r="H1096" s="134" t="s">
        <v>1424</v>
      </c>
      <c r="I1096" s="134" t="s">
        <v>1426</v>
      </c>
      <c r="J1096" s="177" t="s">
        <v>139</v>
      </c>
      <c r="K1096" s="124" t="s">
        <v>140</v>
      </c>
      <c r="L1096" s="174">
        <v>0</v>
      </c>
      <c r="M1096" s="178" t="s">
        <v>250</v>
      </c>
      <c r="N1096" s="265">
        <v>76</v>
      </c>
      <c r="O1096" s="265">
        <v>5.5</v>
      </c>
      <c r="P1096" s="265" t="s">
        <v>253</v>
      </c>
      <c r="Q1096" s="124" t="s">
        <v>240</v>
      </c>
      <c r="R1096" s="275" t="s">
        <v>240</v>
      </c>
      <c r="S1096" s="276" t="s">
        <v>240</v>
      </c>
      <c r="T1096" s="275" t="s">
        <v>233</v>
      </c>
      <c r="U1096" s="178" t="s">
        <v>1428</v>
      </c>
      <c r="V1096" s="275" t="s">
        <v>240</v>
      </c>
      <c r="W1096" s="93"/>
      <c r="X1096" s="125">
        <v>289.23</v>
      </c>
      <c r="Y1096" s="126">
        <v>423.94</v>
      </c>
      <c r="Z1096" s="127">
        <f>6.76+43.35</f>
        <v>50.11</v>
      </c>
      <c r="AA1096" s="128" t="s">
        <v>259</v>
      </c>
      <c r="AB1096" s="125">
        <f>6.76+43.35</f>
        <v>50.11</v>
      </c>
      <c r="AC1096" s="128" t="s">
        <v>259</v>
      </c>
      <c r="AD1096" s="129">
        <v>50.11</v>
      </c>
      <c r="AE1096" s="125" t="s">
        <v>259</v>
      </c>
      <c r="AF1096" s="125">
        <f>6.76+43.35</f>
        <v>50.11</v>
      </c>
      <c r="AG1096" s="125" t="s">
        <v>259</v>
      </c>
      <c r="AH1096" s="125">
        <f>1.97+12.59</f>
        <v>14.56</v>
      </c>
      <c r="AI1096" s="125" t="s">
        <v>259</v>
      </c>
      <c r="AJ1096" s="125">
        <v>0</v>
      </c>
      <c r="AK1096" s="125">
        <v>0</v>
      </c>
      <c r="AL1096" s="125">
        <v>0</v>
      </c>
      <c r="AM1096" s="125">
        <v>0</v>
      </c>
      <c r="AN1096" s="125">
        <v>0</v>
      </c>
      <c r="AO1096" s="125">
        <v>0</v>
      </c>
      <c r="AP1096" s="125">
        <f>1.54+9.85</f>
        <v>11.39</v>
      </c>
      <c r="AQ1096" s="125" t="s">
        <v>259</v>
      </c>
      <c r="AR1096" s="125">
        <f>6.59+42.22</f>
        <v>48.81</v>
      </c>
      <c r="AS1096" s="125" t="s">
        <v>259</v>
      </c>
      <c r="AT1096" s="125">
        <f>6.59+42.22</f>
        <v>48.81</v>
      </c>
      <c r="AU1096" s="125" t="s">
        <v>259</v>
      </c>
      <c r="AV1096" s="125">
        <f>6.59+42.22</f>
        <v>48.81</v>
      </c>
      <c r="AW1096" s="125" t="s">
        <v>259</v>
      </c>
      <c r="AX1096" s="125">
        <f t="shared" ref="AX1096:AX1159" si="0">Z1096+AB1096+AD1096+AF1096+AH1096+AJ1096+AL1096+AN1096+AP1096+AR1096+AT1096+AV1096</f>
        <v>372.82</v>
      </c>
      <c r="AY1096" s="125">
        <v>0.15456</v>
      </c>
      <c r="AZ1096" s="249" t="s">
        <v>253</v>
      </c>
      <c r="BA1096" s="181" t="s">
        <v>254</v>
      </c>
      <c r="BB1096" s="181"/>
      <c r="BC1096" s="125" t="s">
        <v>255</v>
      </c>
    </row>
    <row r="1097" spans="1:55" ht="16.350000000000001" customHeight="1" outlineLevel="1">
      <c r="A1097" s="92">
        <v>1087</v>
      </c>
      <c r="B1097" s="99" t="s">
        <v>752</v>
      </c>
      <c r="C1097" s="122" t="s">
        <v>750</v>
      </c>
      <c r="D1097" s="161">
        <v>18</v>
      </c>
      <c r="E1097" s="123" t="s">
        <v>734</v>
      </c>
      <c r="F1097" s="124" t="s">
        <v>1425</v>
      </c>
      <c r="G1097" s="133" t="s">
        <v>247</v>
      </c>
      <c r="H1097" s="134" t="s">
        <v>248</v>
      </c>
      <c r="I1097" s="134" t="s">
        <v>1426</v>
      </c>
      <c r="J1097" s="177" t="s">
        <v>139</v>
      </c>
      <c r="K1097" s="124" t="s">
        <v>140</v>
      </c>
      <c r="L1097" s="174">
        <v>1</v>
      </c>
      <c r="M1097" s="178" t="s">
        <v>250</v>
      </c>
      <c r="N1097" s="265">
        <v>89</v>
      </c>
      <c r="O1097" s="265">
        <v>6</v>
      </c>
      <c r="P1097" s="265" t="s">
        <v>1429</v>
      </c>
      <c r="Q1097" s="124" t="s">
        <v>233</v>
      </c>
      <c r="R1097" s="275" t="s">
        <v>240</v>
      </c>
      <c r="S1097" s="276" t="s">
        <v>233</v>
      </c>
      <c r="T1097" s="275" t="s">
        <v>240</v>
      </c>
      <c r="U1097" s="178" t="s">
        <v>1427</v>
      </c>
      <c r="V1097" s="275" t="s">
        <v>240</v>
      </c>
      <c r="W1097" s="93"/>
      <c r="X1097" s="125">
        <v>1631.31</v>
      </c>
      <c r="Y1097" s="126">
        <v>1655.27</v>
      </c>
      <c r="Z1097" s="127">
        <v>220.0346232</v>
      </c>
      <c r="AA1097" s="128" t="s">
        <v>252</v>
      </c>
      <c r="AB1097" s="125">
        <v>161.66128499999999</v>
      </c>
      <c r="AC1097" s="128" t="s">
        <v>252</v>
      </c>
      <c r="AD1097" s="129">
        <v>214.33917600000001</v>
      </c>
      <c r="AE1097" s="125" t="s">
        <v>252</v>
      </c>
      <c r="AF1097" s="125">
        <v>129.08126200000001</v>
      </c>
      <c r="AG1097" s="125" t="s">
        <v>252</v>
      </c>
      <c r="AH1097" s="125">
        <v>38.833326</v>
      </c>
      <c r="AI1097" s="125" t="s">
        <v>252</v>
      </c>
      <c r="AJ1097" s="125">
        <v>0</v>
      </c>
      <c r="AK1097" s="125">
        <v>0</v>
      </c>
      <c r="AL1097" s="125">
        <v>0</v>
      </c>
      <c r="AM1097" s="125">
        <v>0</v>
      </c>
      <c r="AN1097" s="125">
        <v>0</v>
      </c>
      <c r="AO1097" s="125">
        <v>0</v>
      </c>
      <c r="AP1097" s="125">
        <v>0</v>
      </c>
      <c r="AQ1097" s="125">
        <v>0</v>
      </c>
      <c r="AR1097" s="125">
        <v>139.52157600000001</v>
      </c>
      <c r="AS1097" s="125" t="s">
        <v>252</v>
      </c>
      <c r="AT1097" s="125">
        <v>102.49849800000001</v>
      </c>
      <c r="AU1097" s="125" t="s">
        <v>252</v>
      </c>
      <c r="AV1097" s="125">
        <v>163.05734400000003</v>
      </c>
      <c r="AW1097" s="125" t="s">
        <v>252</v>
      </c>
      <c r="AX1097" s="125">
        <f t="shared" si="0"/>
        <v>1169.0270902000002</v>
      </c>
      <c r="AY1097" s="125">
        <f>0.002+0.4453+0.0074+0.0206+0.0056+0.0091</f>
        <v>0.49</v>
      </c>
      <c r="AZ1097" s="249" t="s">
        <v>1429</v>
      </c>
      <c r="BA1097" s="181" t="s">
        <v>254</v>
      </c>
      <c r="BB1097" s="181">
        <v>1</v>
      </c>
      <c r="BC1097" s="125" t="s">
        <v>255</v>
      </c>
    </row>
    <row r="1098" spans="1:55" ht="16.350000000000001" customHeight="1" outlineLevel="1">
      <c r="A1098" s="92">
        <v>1088</v>
      </c>
      <c r="B1098" s="99" t="s">
        <v>753</v>
      </c>
      <c r="C1098" s="122" t="s">
        <v>750</v>
      </c>
      <c r="D1098" s="161">
        <v>21</v>
      </c>
      <c r="E1098" s="123" t="s">
        <v>734</v>
      </c>
      <c r="F1098" s="124" t="s">
        <v>1425</v>
      </c>
      <c r="G1098" s="133" t="s">
        <v>281</v>
      </c>
      <c r="H1098" s="134" t="s">
        <v>248</v>
      </c>
      <c r="I1098" s="134" t="s">
        <v>1426</v>
      </c>
      <c r="J1098" s="177" t="s">
        <v>139</v>
      </c>
      <c r="K1098" s="124" t="s">
        <v>140</v>
      </c>
      <c r="L1098" s="174">
        <v>1</v>
      </c>
      <c r="M1098" s="178" t="s">
        <v>250</v>
      </c>
      <c r="N1098" s="265">
        <v>89</v>
      </c>
      <c r="O1098" s="265">
        <v>6</v>
      </c>
      <c r="P1098" s="265" t="s">
        <v>1429</v>
      </c>
      <c r="Q1098" s="124" t="s">
        <v>233</v>
      </c>
      <c r="R1098" s="275" t="s">
        <v>240</v>
      </c>
      <c r="S1098" s="276" t="s">
        <v>233</v>
      </c>
      <c r="T1098" s="275" t="s">
        <v>240</v>
      </c>
      <c r="U1098" s="178" t="s">
        <v>1427</v>
      </c>
      <c r="V1098" s="275" t="s">
        <v>240</v>
      </c>
      <c r="W1098" s="93"/>
      <c r="X1098" s="125">
        <v>857.9</v>
      </c>
      <c r="Y1098" s="126">
        <v>947.66</v>
      </c>
      <c r="Z1098" s="127">
        <v>149.1572544</v>
      </c>
      <c r="AA1098" s="128" t="s">
        <v>252</v>
      </c>
      <c r="AB1098" s="125">
        <v>101.60343</v>
      </c>
      <c r="AC1098" s="128" t="s">
        <v>252</v>
      </c>
      <c r="AD1098" s="129">
        <v>42.157260000000015</v>
      </c>
      <c r="AE1098" s="125" t="s">
        <v>252</v>
      </c>
      <c r="AF1098" s="125">
        <v>69.343525999999997</v>
      </c>
      <c r="AG1098" s="125" t="s">
        <v>252</v>
      </c>
      <c r="AH1098" s="125">
        <v>16.683485000000001</v>
      </c>
      <c r="AI1098" s="125" t="s">
        <v>252</v>
      </c>
      <c r="AJ1098" s="125">
        <v>0</v>
      </c>
      <c r="AK1098" s="125">
        <v>0</v>
      </c>
      <c r="AL1098" s="125">
        <v>0</v>
      </c>
      <c r="AM1098" s="125">
        <v>0</v>
      </c>
      <c r="AN1098" s="125">
        <v>0</v>
      </c>
      <c r="AO1098" s="125">
        <v>0</v>
      </c>
      <c r="AP1098" s="125">
        <v>0</v>
      </c>
      <c r="AQ1098" s="125">
        <v>0</v>
      </c>
      <c r="AR1098" s="125">
        <v>73.245983999999993</v>
      </c>
      <c r="AS1098" s="125" t="s">
        <v>252</v>
      </c>
      <c r="AT1098" s="125">
        <v>65.196179999999998</v>
      </c>
      <c r="AU1098" s="125" t="s">
        <v>252</v>
      </c>
      <c r="AV1098" s="125">
        <v>98.294448000000003</v>
      </c>
      <c r="AW1098" s="125" t="s">
        <v>252</v>
      </c>
      <c r="AX1098" s="125">
        <f t="shared" si="0"/>
        <v>615.68156740000006</v>
      </c>
      <c r="AY1098" s="125">
        <f>0.289+0.021</f>
        <v>0.31</v>
      </c>
      <c r="AZ1098" s="249" t="s">
        <v>1429</v>
      </c>
      <c r="BA1098" s="181" t="s">
        <v>254</v>
      </c>
      <c r="BB1098" s="181">
        <v>1</v>
      </c>
      <c r="BC1098" s="125" t="s">
        <v>255</v>
      </c>
    </row>
    <row r="1099" spans="1:55" ht="16.350000000000001" customHeight="1" outlineLevel="1">
      <c r="A1099" s="92">
        <v>1089</v>
      </c>
      <c r="B1099" s="99" t="s">
        <v>754</v>
      </c>
      <c r="C1099" s="122" t="s">
        <v>750</v>
      </c>
      <c r="D1099" s="161">
        <v>25</v>
      </c>
      <c r="E1099" s="123" t="s">
        <v>734</v>
      </c>
      <c r="F1099" s="124" t="s">
        <v>1425</v>
      </c>
      <c r="G1099" s="133" t="s">
        <v>281</v>
      </c>
      <c r="H1099" s="134" t="s">
        <v>248</v>
      </c>
      <c r="I1099" s="134" t="s">
        <v>1426</v>
      </c>
      <c r="J1099" s="177" t="s">
        <v>139</v>
      </c>
      <c r="K1099" s="124" t="s">
        <v>140</v>
      </c>
      <c r="L1099" s="174">
        <v>0</v>
      </c>
      <c r="M1099" s="178" t="s">
        <v>250</v>
      </c>
      <c r="N1099" s="265">
        <v>89</v>
      </c>
      <c r="O1099" s="265">
        <v>6</v>
      </c>
      <c r="P1099" s="265" t="s">
        <v>1429</v>
      </c>
      <c r="Q1099" s="124" t="s">
        <v>233</v>
      </c>
      <c r="R1099" s="275"/>
      <c r="S1099" s="276" t="s">
        <v>240</v>
      </c>
      <c r="T1099" s="275" t="s">
        <v>233</v>
      </c>
      <c r="U1099" s="178" t="s">
        <v>1427</v>
      </c>
      <c r="V1099" s="275"/>
      <c r="W1099" s="93"/>
      <c r="X1099" s="125">
        <v>423.53</v>
      </c>
      <c r="Y1099" s="126">
        <v>573.13</v>
      </c>
      <c r="Z1099" s="127">
        <v>72.459916200000009</v>
      </c>
      <c r="AA1099" s="128" t="s">
        <v>259</v>
      </c>
      <c r="AB1099" s="125">
        <v>69.034004999999993</v>
      </c>
      <c r="AC1099" s="128" t="s">
        <v>259</v>
      </c>
      <c r="AD1099" s="129">
        <v>74.053602000000012</v>
      </c>
      <c r="AE1099" s="125" t="s">
        <v>259</v>
      </c>
      <c r="AF1099" s="125">
        <v>67.21681199999999</v>
      </c>
      <c r="AG1099" s="125" t="s">
        <v>259</v>
      </c>
      <c r="AH1099" s="125">
        <v>46.942678999999998</v>
      </c>
      <c r="AI1099" s="125" t="s">
        <v>259</v>
      </c>
      <c r="AJ1099" s="125">
        <v>0</v>
      </c>
      <c r="AK1099" s="125">
        <v>0</v>
      </c>
      <c r="AL1099" s="125">
        <v>0</v>
      </c>
      <c r="AM1099" s="125">
        <v>0</v>
      </c>
      <c r="AN1099" s="125">
        <v>0</v>
      </c>
      <c r="AO1099" s="125">
        <v>0</v>
      </c>
      <c r="AP1099" s="125">
        <v>0</v>
      </c>
      <c r="AQ1099" s="125">
        <v>0</v>
      </c>
      <c r="AR1099" s="125">
        <v>68.90776799999999</v>
      </c>
      <c r="AS1099" s="125" t="s">
        <v>259</v>
      </c>
      <c r="AT1099" s="125">
        <v>65.338254000000006</v>
      </c>
      <c r="AU1099" s="125" t="s">
        <v>259</v>
      </c>
      <c r="AV1099" s="125">
        <v>67.619472000000002</v>
      </c>
      <c r="AW1099" s="125" t="s">
        <v>259</v>
      </c>
      <c r="AX1099" s="125">
        <f t="shared" si="0"/>
        <v>531.57250820000002</v>
      </c>
      <c r="AY1099" s="125">
        <f>0.0114+0.0014+0.0872+0.0425+0.0075</f>
        <v>0.15000000000000002</v>
      </c>
      <c r="AZ1099" s="249" t="s">
        <v>1429</v>
      </c>
      <c r="BA1099" s="181" t="s">
        <v>254</v>
      </c>
      <c r="BB1099" s="181">
        <v>1</v>
      </c>
      <c r="BC1099" s="125" t="s">
        <v>255</v>
      </c>
    </row>
    <row r="1100" spans="1:55" ht="16.350000000000001" customHeight="1" outlineLevel="1">
      <c r="A1100" s="92">
        <v>1090</v>
      </c>
      <c r="B1100" s="99" t="s">
        <v>755</v>
      </c>
      <c r="C1100" s="122" t="s">
        <v>750</v>
      </c>
      <c r="D1100" s="161">
        <v>28</v>
      </c>
      <c r="E1100" s="123" t="s">
        <v>734</v>
      </c>
      <c r="F1100" s="124" t="s">
        <v>1425</v>
      </c>
      <c r="G1100" s="133" t="s">
        <v>281</v>
      </c>
      <c r="H1100" s="134" t="s">
        <v>248</v>
      </c>
      <c r="I1100" s="134" t="s">
        <v>1426</v>
      </c>
      <c r="J1100" s="177" t="s">
        <v>139</v>
      </c>
      <c r="K1100" s="124" t="s">
        <v>140</v>
      </c>
      <c r="L1100" s="174">
        <v>1</v>
      </c>
      <c r="M1100" s="178" t="s">
        <v>250</v>
      </c>
      <c r="N1100" s="265">
        <v>80</v>
      </c>
      <c r="O1100" s="265">
        <v>6</v>
      </c>
      <c r="P1100" s="265" t="s">
        <v>1429</v>
      </c>
      <c r="Q1100" s="124" t="s">
        <v>233</v>
      </c>
      <c r="R1100" s="275" t="s">
        <v>240</v>
      </c>
      <c r="S1100" s="276" t="s">
        <v>233</v>
      </c>
      <c r="T1100" s="275" t="s">
        <v>240</v>
      </c>
      <c r="U1100" s="178" t="s">
        <v>1427</v>
      </c>
      <c r="V1100" s="275" t="s">
        <v>240</v>
      </c>
      <c r="W1100" s="93"/>
      <c r="X1100" s="125">
        <v>451.93</v>
      </c>
      <c r="Y1100" s="126">
        <v>510.39</v>
      </c>
      <c r="Z1100" s="127">
        <v>63.414317399999995</v>
      </c>
      <c r="AA1100" s="128" t="s">
        <v>252</v>
      </c>
      <c r="AB1100" s="125">
        <v>46.223055000000002</v>
      </c>
      <c r="AC1100" s="128" t="s">
        <v>252</v>
      </c>
      <c r="AD1100" s="129">
        <v>66.762252000000004</v>
      </c>
      <c r="AE1100" s="125" t="s">
        <v>252</v>
      </c>
      <c r="AF1100" s="125">
        <v>37.774867999999998</v>
      </c>
      <c r="AG1100" s="125" t="s">
        <v>252</v>
      </c>
      <c r="AH1100" s="125">
        <v>10.100272</v>
      </c>
      <c r="AI1100" s="125" t="s">
        <v>252</v>
      </c>
      <c r="AJ1100" s="125">
        <v>0</v>
      </c>
      <c r="AK1100" s="125">
        <v>0</v>
      </c>
      <c r="AL1100" s="125">
        <v>0</v>
      </c>
      <c r="AM1100" s="125">
        <v>0</v>
      </c>
      <c r="AN1100" s="125">
        <v>0</v>
      </c>
      <c r="AO1100" s="125">
        <v>0</v>
      </c>
      <c r="AP1100" s="125">
        <v>0</v>
      </c>
      <c r="AQ1100" s="125">
        <v>0</v>
      </c>
      <c r="AR1100" s="125">
        <v>36.151800000000001</v>
      </c>
      <c r="AS1100" s="125" t="s">
        <v>252</v>
      </c>
      <c r="AT1100" s="125">
        <v>31.303637999999996</v>
      </c>
      <c r="AU1100" s="125" t="s">
        <v>252</v>
      </c>
      <c r="AV1100" s="125">
        <v>47.465663999999997</v>
      </c>
      <c r="AW1100" s="125" t="s">
        <v>252</v>
      </c>
      <c r="AX1100" s="125">
        <f t="shared" si="0"/>
        <v>339.19586639999994</v>
      </c>
      <c r="AY1100" s="125">
        <f>0.0146+0.1554</f>
        <v>0.17</v>
      </c>
      <c r="AZ1100" s="249" t="s">
        <v>1429</v>
      </c>
      <c r="BA1100" s="181" t="s">
        <v>254</v>
      </c>
      <c r="BB1100" s="181">
        <v>1</v>
      </c>
      <c r="BC1100" s="125" t="s">
        <v>255</v>
      </c>
    </row>
    <row r="1101" spans="1:55" ht="16.350000000000001" customHeight="1" outlineLevel="1">
      <c r="A1101" s="92">
        <v>1091</v>
      </c>
      <c r="B1101" s="99" t="s">
        <v>756</v>
      </c>
      <c r="C1101" s="122" t="s">
        <v>750</v>
      </c>
      <c r="D1101" s="161">
        <v>29</v>
      </c>
      <c r="E1101" s="123" t="s">
        <v>734</v>
      </c>
      <c r="F1101" s="124" t="s">
        <v>1425</v>
      </c>
      <c r="G1101" s="133" t="s">
        <v>247</v>
      </c>
      <c r="H1101" s="134" t="s">
        <v>248</v>
      </c>
      <c r="I1101" s="134" t="s">
        <v>1426</v>
      </c>
      <c r="J1101" s="177" t="s">
        <v>139</v>
      </c>
      <c r="K1101" s="124" t="s">
        <v>140</v>
      </c>
      <c r="L1101" s="174">
        <v>1</v>
      </c>
      <c r="M1101" s="178" t="s">
        <v>250</v>
      </c>
      <c r="N1101" s="265">
        <v>89</v>
      </c>
      <c r="O1101" s="265">
        <v>6</v>
      </c>
      <c r="P1101" s="265" t="s">
        <v>1429</v>
      </c>
      <c r="Q1101" s="124" t="s">
        <v>233</v>
      </c>
      <c r="R1101" s="275" t="s">
        <v>240</v>
      </c>
      <c r="S1101" s="276" t="s">
        <v>233</v>
      </c>
      <c r="T1101" s="275" t="s">
        <v>240</v>
      </c>
      <c r="U1101" s="178" t="s">
        <v>1427</v>
      </c>
      <c r="V1101" s="275" t="s">
        <v>240</v>
      </c>
      <c r="W1101" s="93"/>
      <c r="X1101" s="125">
        <v>942.33</v>
      </c>
      <c r="Y1101" s="126">
        <v>1222.81</v>
      </c>
      <c r="Z1101" s="127">
        <v>137.81134080000001</v>
      </c>
      <c r="AA1101" s="128" t="s">
        <v>252</v>
      </c>
      <c r="AB1101" s="125">
        <v>95.657759999999996</v>
      </c>
      <c r="AC1101" s="128" t="s">
        <v>252</v>
      </c>
      <c r="AD1101" s="129">
        <v>130.42236600000001</v>
      </c>
      <c r="AE1101" s="125" t="s">
        <v>252</v>
      </c>
      <c r="AF1101" s="125">
        <v>134.56011999999998</v>
      </c>
      <c r="AG1101" s="125" t="s">
        <v>252</v>
      </c>
      <c r="AH1101" s="125">
        <v>9.7881070000000001</v>
      </c>
      <c r="AI1101" s="125" t="s">
        <v>252</v>
      </c>
      <c r="AJ1101" s="125">
        <v>0</v>
      </c>
      <c r="AK1101" s="125">
        <v>0</v>
      </c>
      <c r="AL1101" s="125">
        <v>0</v>
      </c>
      <c r="AM1101" s="125">
        <v>0</v>
      </c>
      <c r="AN1101" s="125">
        <v>0</v>
      </c>
      <c r="AO1101" s="125">
        <v>0</v>
      </c>
      <c r="AP1101" s="125">
        <v>0</v>
      </c>
      <c r="AQ1101" s="125">
        <v>0</v>
      </c>
      <c r="AR1101" s="125">
        <v>67.746036000000004</v>
      </c>
      <c r="AS1101" s="125" t="s">
        <v>252</v>
      </c>
      <c r="AT1101" s="125">
        <v>72.718209000000002</v>
      </c>
      <c r="AU1101" s="125" t="s">
        <v>252</v>
      </c>
      <c r="AV1101" s="125">
        <v>86.61902400000001</v>
      </c>
      <c r="AW1101" s="125" t="s">
        <v>252</v>
      </c>
      <c r="AX1101" s="125">
        <f t="shared" si="0"/>
        <v>735.32296279999991</v>
      </c>
      <c r="AY1101" s="125">
        <f>0.007+0.1869+0.0493+0.0068</f>
        <v>0.25</v>
      </c>
      <c r="AZ1101" s="249" t="s">
        <v>1429</v>
      </c>
      <c r="BA1101" s="181" t="s">
        <v>254</v>
      </c>
      <c r="BB1101" s="181">
        <v>1</v>
      </c>
      <c r="BC1101" s="125" t="s">
        <v>255</v>
      </c>
    </row>
    <row r="1102" spans="1:55" ht="16.350000000000001" customHeight="1" outlineLevel="1">
      <c r="A1102" s="92">
        <v>1092</v>
      </c>
      <c r="B1102" s="99" t="s">
        <v>757</v>
      </c>
      <c r="C1102" s="122" t="s">
        <v>750</v>
      </c>
      <c r="D1102" s="161">
        <v>31</v>
      </c>
      <c r="E1102" s="123" t="s">
        <v>734</v>
      </c>
      <c r="F1102" s="124" t="s">
        <v>1425</v>
      </c>
      <c r="G1102" s="133" t="s">
        <v>281</v>
      </c>
      <c r="H1102" s="134" t="s">
        <v>248</v>
      </c>
      <c r="I1102" s="134" t="s">
        <v>1426</v>
      </c>
      <c r="J1102" s="177" t="s">
        <v>139</v>
      </c>
      <c r="K1102" s="124" t="s">
        <v>140</v>
      </c>
      <c r="L1102" s="174">
        <v>1</v>
      </c>
      <c r="M1102" s="178" t="s">
        <v>250</v>
      </c>
      <c r="N1102" s="265">
        <v>89</v>
      </c>
      <c r="O1102" s="265">
        <v>6</v>
      </c>
      <c r="P1102" s="265" t="s">
        <v>1429</v>
      </c>
      <c r="Q1102" s="124" t="s">
        <v>233</v>
      </c>
      <c r="R1102" s="275" t="s">
        <v>240</v>
      </c>
      <c r="S1102" s="276" t="s">
        <v>233</v>
      </c>
      <c r="T1102" s="275" t="s">
        <v>240</v>
      </c>
      <c r="U1102" s="178" t="s">
        <v>1427</v>
      </c>
      <c r="V1102" s="275" t="s">
        <v>240</v>
      </c>
      <c r="W1102" s="93"/>
      <c r="X1102" s="125">
        <v>1385.78</v>
      </c>
      <c r="Y1102" s="126">
        <v>1172.2</v>
      </c>
      <c r="Z1102" s="127">
        <v>190.294839</v>
      </c>
      <c r="AA1102" s="128" t="s">
        <v>252</v>
      </c>
      <c r="AB1102" s="125">
        <v>126.201375</v>
      </c>
      <c r="AC1102" s="128" t="s">
        <v>252</v>
      </c>
      <c r="AD1102" s="129">
        <v>175.11613199999999</v>
      </c>
      <c r="AE1102" s="125" t="s">
        <v>252</v>
      </c>
      <c r="AF1102" s="125">
        <v>90.824127999999988</v>
      </c>
      <c r="AG1102" s="125" t="s">
        <v>252</v>
      </c>
      <c r="AH1102" s="125">
        <v>32.763450999999996</v>
      </c>
      <c r="AI1102" s="125" t="s">
        <v>252</v>
      </c>
      <c r="AJ1102" s="125">
        <v>0</v>
      </c>
      <c r="AK1102" s="125">
        <v>0</v>
      </c>
      <c r="AL1102" s="125">
        <v>0</v>
      </c>
      <c r="AM1102" s="125">
        <v>0</v>
      </c>
      <c r="AN1102" s="125">
        <v>0</v>
      </c>
      <c r="AO1102" s="125">
        <v>0</v>
      </c>
      <c r="AP1102" s="125">
        <v>0</v>
      </c>
      <c r="AQ1102" s="125">
        <v>0</v>
      </c>
      <c r="AR1102" s="125">
        <v>99.169668000000001</v>
      </c>
      <c r="AS1102" s="125" t="s">
        <v>252</v>
      </c>
      <c r="AT1102" s="125">
        <v>95.615802000000002</v>
      </c>
      <c r="AU1102" s="125" t="s">
        <v>252</v>
      </c>
      <c r="AV1102" s="125">
        <v>130.57209600000002</v>
      </c>
      <c r="AW1102" s="125" t="s">
        <v>252</v>
      </c>
      <c r="AX1102" s="125">
        <f t="shared" si="0"/>
        <v>940.55749100000003</v>
      </c>
      <c r="AY1102" s="125">
        <f>0.3321+0.0022+0.0071+0.0013+0.0273</f>
        <v>0.37</v>
      </c>
      <c r="AZ1102" s="249" t="s">
        <v>1429</v>
      </c>
      <c r="BA1102" s="181" t="s">
        <v>254</v>
      </c>
      <c r="BB1102" s="181">
        <v>1</v>
      </c>
      <c r="BC1102" s="125" t="s">
        <v>255</v>
      </c>
    </row>
    <row r="1103" spans="1:55" ht="16.350000000000001" customHeight="1" outlineLevel="1">
      <c r="A1103" s="92">
        <v>1093</v>
      </c>
      <c r="B1103" s="99" t="s">
        <v>758</v>
      </c>
      <c r="C1103" s="122" t="s">
        <v>750</v>
      </c>
      <c r="D1103" s="161">
        <v>33</v>
      </c>
      <c r="E1103" s="123" t="s">
        <v>734</v>
      </c>
      <c r="F1103" s="124" t="s">
        <v>1425</v>
      </c>
      <c r="G1103" s="133" t="s">
        <v>281</v>
      </c>
      <c r="H1103" s="334" t="s">
        <v>248</v>
      </c>
      <c r="I1103" s="334" t="s">
        <v>1426</v>
      </c>
      <c r="J1103" s="317" t="s">
        <v>139</v>
      </c>
      <c r="K1103" s="317" t="s">
        <v>140</v>
      </c>
      <c r="L1103" s="334">
        <v>1</v>
      </c>
      <c r="M1103" s="334" t="s">
        <v>250</v>
      </c>
      <c r="N1103" s="315">
        <v>89</v>
      </c>
      <c r="O1103" s="315">
        <v>6</v>
      </c>
      <c r="P1103" s="315" t="s">
        <v>1429</v>
      </c>
      <c r="Q1103" s="317" t="s">
        <v>233</v>
      </c>
      <c r="R1103" s="320" t="s">
        <v>240</v>
      </c>
      <c r="S1103" s="320" t="s">
        <v>233</v>
      </c>
      <c r="T1103" s="320" t="s">
        <v>240</v>
      </c>
      <c r="U1103" s="334" t="s">
        <v>1427</v>
      </c>
      <c r="V1103" s="320" t="s">
        <v>240</v>
      </c>
      <c r="W1103" s="189"/>
      <c r="X1103" s="292">
        <v>1091.3499999999999</v>
      </c>
      <c r="Y1103" s="295">
        <v>1187.04</v>
      </c>
      <c r="Z1103" s="297">
        <v>149.32156260000002</v>
      </c>
      <c r="AA1103" s="299" t="s">
        <v>252</v>
      </c>
      <c r="AB1103" s="292">
        <v>114.277095</v>
      </c>
      <c r="AC1103" s="299" t="s">
        <v>252</v>
      </c>
      <c r="AD1103" s="301">
        <v>160.551108</v>
      </c>
      <c r="AE1103" s="292" t="s">
        <v>252</v>
      </c>
      <c r="AF1103" s="292">
        <v>79.700385999999995</v>
      </c>
      <c r="AG1103" s="292" t="s">
        <v>252</v>
      </c>
      <c r="AH1103" s="292">
        <v>27.331779999999998</v>
      </c>
      <c r="AI1103" s="292" t="s">
        <v>252</v>
      </c>
      <c r="AJ1103" s="292">
        <v>0</v>
      </c>
      <c r="AK1103" s="292">
        <v>0</v>
      </c>
      <c r="AL1103" s="292">
        <v>0</v>
      </c>
      <c r="AM1103" s="292">
        <v>0</v>
      </c>
      <c r="AN1103" s="292">
        <v>0</v>
      </c>
      <c r="AO1103" s="292">
        <v>0</v>
      </c>
      <c r="AP1103" s="292">
        <v>0</v>
      </c>
      <c r="AQ1103" s="292">
        <v>0</v>
      </c>
      <c r="AR1103" s="292">
        <v>95.692595999999995</v>
      </c>
      <c r="AS1103" s="292" t="s">
        <v>252</v>
      </c>
      <c r="AT1103" s="292">
        <v>87.793838999999991</v>
      </c>
      <c r="AU1103" s="292" t="s">
        <v>252</v>
      </c>
      <c r="AV1103" s="292">
        <v>114.48724800000001</v>
      </c>
      <c r="AW1103" s="292" t="s">
        <v>252</v>
      </c>
      <c r="AX1103" s="292">
        <f t="shared" si="0"/>
        <v>829.15561459999992</v>
      </c>
      <c r="AY1103" s="338">
        <f>0.0303+0.0013+0.0028+0.0087+0.2569+0.5</f>
        <v>0.8</v>
      </c>
      <c r="AZ1103" s="312" t="s">
        <v>1429</v>
      </c>
      <c r="BA1103" s="312" t="s">
        <v>254</v>
      </c>
      <c r="BB1103" s="312">
        <v>1</v>
      </c>
      <c r="BC1103" s="336" t="s">
        <v>255</v>
      </c>
    </row>
    <row r="1104" spans="1:55" ht="16.350000000000001" customHeight="1" outlineLevel="1">
      <c r="A1104" s="92">
        <v>1094</v>
      </c>
      <c r="B1104" s="99" t="s">
        <v>759</v>
      </c>
      <c r="C1104" s="122" t="s">
        <v>750</v>
      </c>
      <c r="D1104" s="161">
        <v>33</v>
      </c>
      <c r="E1104" s="123" t="s">
        <v>745</v>
      </c>
      <c r="F1104" s="124" t="s">
        <v>1425</v>
      </c>
      <c r="G1104" s="133" t="s">
        <v>281</v>
      </c>
      <c r="H1104" s="335"/>
      <c r="I1104" s="335"/>
      <c r="J1104" s="319" t="s">
        <v>139</v>
      </c>
      <c r="K1104" s="319" t="s">
        <v>140</v>
      </c>
      <c r="L1104" s="335"/>
      <c r="M1104" s="335"/>
      <c r="N1104" s="315"/>
      <c r="O1104" s="315"/>
      <c r="P1104" s="315"/>
      <c r="Q1104" s="319"/>
      <c r="R1104" s="320"/>
      <c r="S1104" s="320"/>
      <c r="T1104" s="320"/>
      <c r="U1104" s="335"/>
      <c r="V1104" s="320"/>
      <c r="W1104" s="190"/>
      <c r="X1104" s="294"/>
      <c r="Y1104" s="296"/>
      <c r="Z1104" s="298"/>
      <c r="AA1104" s="300"/>
      <c r="AB1104" s="294"/>
      <c r="AC1104" s="300"/>
      <c r="AD1104" s="302"/>
      <c r="AE1104" s="294"/>
      <c r="AF1104" s="294"/>
      <c r="AG1104" s="294"/>
      <c r="AH1104" s="294"/>
      <c r="AI1104" s="294"/>
      <c r="AJ1104" s="294"/>
      <c r="AK1104" s="294"/>
      <c r="AL1104" s="294"/>
      <c r="AM1104" s="294"/>
      <c r="AN1104" s="294"/>
      <c r="AO1104" s="294"/>
      <c r="AP1104" s="294"/>
      <c r="AQ1104" s="294"/>
      <c r="AR1104" s="294"/>
      <c r="AS1104" s="294"/>
      <c r="AT1104" s="294"/>
      <c r="AU1104" s="294"/>
      <c r="AV1104" s="294"/>
      <c r="AW1104" s="294"/>
      <c r="AX1104" s="294">
        <f t="shared" si="0"/>
        <v>0</v>
      </c>
      <c r="AY1104" s="368"/>
      <c r="AZ1104" s="312"/>
      <c r="BA1104" s="312"/>
      <c r="BB1104" s="312"/>
      <c r="BC1104" s="337"/>
    </row>
    <row r="1105" spans="1:55" ht="16.350000000000001" customHeight="1" outlineLevel="1">
      <c r="A1105" s="92">
        <v>1095</v>
      </c>
      <c r="B1105" s="99" t="s">
        <v>761</v>
      </c>
      <c r="C1105" s="122" t="s">
        <v>750</v>
      </c>
      <c r="D1105" s="161">
        <v>34</v>
      </c>
      <c r="E1105" s="123" t="s">
        <v>745</v>
      </c>
      <c r="F1105" s="124" t="s">
        <v>1425</v>
      </c>
      <c r="G1105" s="133" t="s">
        <v>281</v>
      </c>
      <c r="H1105" s="334" t="s">
        <v>248</v>
      </c>
      <c r="I1105" s="334" t="s">
        <v>1426</v>
      </c>
      <c r="J1105" s="317" t="s">
        <v>139</v>
      </c>
      <c r="K1105" s="317" t="s">
        <v>140</v>
      </c>
      <c r="L1105" s="334">
        <v>1</v>
      </c>
      <c r="M1105" s="334" t="s">
        <v>250</v>
      </c>
      <c r="N1105" s="315">
        <v>80</v>
      </c>
      <c r="O1105" s="315">
        <v>6</v>
      </c>
      <c r="P1105" s="315" t="s">
        <v>1429</v>
      </c>
      <c r="Q1105" s="317" t="s">
        <v>233</v>
      </c>
      <c r="R1105" s="320" t="s">
        <v>240</v>
      </c>
      <c r="S1105" s="320" t="s">
        <v>233</v>
      </c>
      <c r="T1105" s="320" t="s">
        <v>240</v>
      </c>
      <c r="U1105" s="334" t="s">
        <v>1427</v>
      </c>
      <c r="V1105" s="320" t="s">
        <v>240</v>
      </c>
      <c r="W1105" s="189"/>
      <c r="X1105" s="292">
        <v>1454.65</v>
      </c>
      <c r="Y1105" s="295">
        <v>1679.02</v>
      </c>
      <c r="Z1105" s="297">
        <v>202.35852</v>
      </c>
      <c r="AA1105" s="299" t="s">
        <v>252</v>
      </c>
      <c r="AB1105" s="292">
        <v>157.7826</v>
      </c>
      <c r="AC1105" s="299" t="s">
        <v>252</v>
      </c>
      <c r="AD1105" s="301">
        <v>229.92940800000002</v>
      </c>
      <c r="AE1105" s="292" t="s">
        <v>252</v>
      </c>
      <c r="AF1105" s="292">
        <v>131.64280599999998</v>
      </c>
      <c r="AG1105" s="292" t="s">
        <v>252</v>
      </c>
      <c r="AH1105" s="292">
        <v>16.926279999999998</v>
      </c>
      <c r="AI1105" s="292" t="s">
        <v>252</v>
      </c>
      <c r="AJ1105" s="292">
        <v>0</v>
      </c>
      <c r="AK1105" s="292">
        <v>0</v>
      </c>
      <c r="AL1105" s="292">
        <v>0</v>
      </c>
      <c r="AM1105" s="292">
        <v>0</v>
      </c>
      <c r="AN1105" s="292">
        <v>0</v>
      </c>
      <c r="AO1105" s="292">
        <v>0</v>
      </c>
      <c r="AP1105" s="292">
        <v>0</v>
      </c>
      <c r="AQ1105" s="292">
        <v>0</v>
      </c>
      <c r="AR1105" s="292">
        <v>100.19874889079999</v>
      </c>
      <c r="AS1105" s="292" t="s">
        <v>252</v>
      </c>
      <c r="AT1105" s="292">
        <v>122.49236838060001</v>
      </c>
      <c r="AU1105" s="292" t="s">
        <v>252</v>
      </c>
      <c r="AV1105" s="292">
        <v>146.77164964319999</v>
      </c>
      <c r="AW1105" s="292" t="s">
        <v>252</v>
      </c>
      <c r="AX1105" s="292">
        <f t="shared" si="0"/>
        <v>1108.1023809146</v>
      </c>
      <c r="AY1105" s="338">
        <f>0.1958+0.0788+0.0154</f>
        <v>0.29000000000000004</v>
      </c>
      <c r="AZ1105" s="312" t="s">
        <v>1429</v>
      </c>
      <c r="BA1105" s="312" t="s">
        <v>254</v>
      </c>
      <c r="BB1105" s="312">
        <v>1</v>
      </c>
      <c r="BC1105" s="336" t="s">
        <v>255</v>
      </c>
    </row>
    <row r="1106" spans="1:55" ht="16.350000000000001" customHeight="1" outlineLevel="1">
      <c r="A1106" s="92">
        <v>1096</v>
      </c>
      <c r="B1106" s="99" t="s">
        <v>762</v>
      </c>
      <c r="C1106" s="122" t="s">
        <v>750</v>
      </c>
      <c r="D1106" s="161">
        <v>34</v>
      </c>
      <c r="E1106" s="123" t="s">
        <v>760</v>
      </c>
      <c r="F1106" s="124" t="s">
        <v>1425</v>
      </c>
      <c r="G1106" s="133" t="s">
        <v>281</v>
      </c>
      <c r="H1106" s="335"/>
      <c r="I1106" s="335"/>
      <c r="J1106" s="319" t="s">
        <v>139</v>
      </c>
      <c r="K1106" s="319" t="s">
        <v>140</v>
      </c>
      <c r="L1106" s="335"/>
      <c r="M1106" s="335"/>
      <c r="N1106" s="315"/>
      <c r="O1106" s="315"/>
      <c r="P1106" s="315"/>
      <c r="Q1106" s="319"/>
      <c r="R1106" s="320"/>
      <c r="S1106" s="320"/>
      <c r="T1106" s="320"/>
      <c r="U1106" s="335"/>
      <c r="V1106" s="320"/>
      <c r="W1106" s="190"/>
      <c r="X1106" s="294"/>
      <c r="Y1106" s="296"/>
      <c r="Z1106" s="298"/>
      <c r="AA1106" s="300"/>
      <c r="AB1106" s="294"/>
      <c r="AC1106" s="300"/>
      <c r="AD1106" s="302"/>
      <c r="AE1106" s="294"/>
      <c r="AF1106" s="294"/>
      <c r="AG1106" s="294"/>
      <c r="AH1106" s="294"/>
      <c r="AI1106" s="294"/>
      <c r="AJ1106" s="294"/>
      <c r="AK1106" s="294"/>
      <c r="AL1106" s="294"/>
      <c r="AM1106" s="294"/>
      <c r="AN1106" s="294"/>
      <c r="AO1106" s="294"/>
      <c r="AP1106" s="294"/>
      <c r="AQ1106" s="294"/>
      <c r="AR1106" s="294"/>
      <c r="AS1106" s="294"/>
      <c r="AT1106" s="294"/>
      <c r="AU1106" s="294"/>
      <c r="AV1106" s="294"/>
      <c r="AW1106" s="294"/>
      <c r="AX1106" s="294">
        <f t="shared" si="0"/>
        <v>0</v>
      </c>
      <c r="AY1106" s="368"/>
      <c r="AZ1106" s="312"/>
      <c r="BA1106" s="312"/>
      <c r="BB1106" s="312"/>
      <c r="BC1106" s="337"/>
    </row>
    <row r="1107" spans="1:55" ht="16.350000000000001" customHeight="1" outlineLevel="1">
      <c r="A1107" s="92">
        <v>1097</v>
      </c>
      <c r="B1107" s="99" t="s">
        <v>764</v>
      </c>
      <c r="C1107" s="122" t="s">
        <v>750</v>
      </c>
      <c r="D1107" s="161">
        <v>35</v>
      </c>
      <c r="E1107" s="123" t="s">
        <v>734</v>
      </c>
      <c r="F1107" s="124" t="s">
        <v>1425</v>
      </c>
      <c r="G1107" s="133" t="s">
        <v>281</v>
      </c>
      <c r="H1107" s="134" t="s">
        <v>248</v>
      </c>
      <c r="I1107" s="134" t="s">
        <v>1426</v>
      </c>
      <c r="J1107" s="177" t="s">
        <v>139</v>
      </c>
      <c r="K1107" s="124" t="s">
        <v>140</v>
      </c>
      <c r="L1107" s="174">
        <v>1</v>
      </c>
      <c r="M1107" s="178" t="s">
        <v>250</v>
      </c>
      <c r="N1107" s="265">
        <v>89</v>
      </c>
      <c r="O1107" s="265">
        <v>6</v>
      </c>
      <c r="P1107" s="265" t="s">
        <v>1429</v>
      </c>
      <c r="Q1107" s="124" t="s">
        <v>233</v>
      </c>
      <c r="R1107" s="275" t="s">
        <v>240</v>
      </c>
      <c r="S1107" s="276" t="s">
        <v>233</v>
      </c>
      <c r="T1107" s="275" t="s">
        <v>240</v>
      </c>
      <c r="U1107" s="178" t="s">
        <v>1427</v>
      </c>
      <c r="V1107" s="275" t="s">
        <v>240</v>
      </c>
      <c r="W1107" s="93"/>
      <c r="X1107" s="125">
        <v>441.66</v>
      </c>
      <c r="Y1107" s="126">
        <v>475.86</v>
      </c>
      <c r="Z1107" s="127">
        <v>61.304254200000003</v>
      </c>
      <c r="AA1107" s="128" t="s">
        <v>252</v>
      </c>
      <c r="AB1107" s="125">
        <v>48.248865000000002</v>
      </c>
      <c r="AC1107" s="128" t="s">
        <v>252</v>
      </c>
      <c r="AD1107" s="129">
        <v>67.42510200000001</v>
      </c>
      <c r="AE1107" s="125" t="s">
        <v>252</v>
      </c>
      <c r="AF1107" s="125">
        <v>33.505628000000002</v>
      </c>
      <c r="AG1107" s="125" t="s">
        <v>252</v>
      </c>
      <c r="AH1107" s="125">
        <v>11.58479</v>
      </c>
      <c r="AI1107" s="125" t="s">
        <v>252</v>
      </c>
      <c r="AJ1107" s="125">
        <v>0</v>
      </c>
      <c r="AK1107" s="125">
        <v>0</v>
      </c>
      <c r="AL1107" s="125">
        <v>0</v>
      </c>
      <c r="AM1107" s="125">
        <v>0</v>
      </c>
      <c r="AN1107" s="125">
        <v>0</v>
      </c>
      <c r="AO1107" s="125">
        <v>0</v>
      </c>
      <c r="AP1107" s="125">
        <v>0</v>
      </c>
      <c r="AQ1107" s="125">
        <v>0</v>
      </c>
      <c r="AR1107" s="125">
        <v>41.196804</v>
      </c>
      <c r="AS1107" s="125" t="s">
        <v>252</v>
      </c>
      <c r="AT1107" s="125">
        <v>37.381247999999999</v>
      </c>
      <c r="AU1107" s="125" t="s">
        <v>252</v>
      </c>
      <c r="AV1107" s="125">
        <v>48.105072</v>
      </c>
      <c r="AW1107" s="125" t="s">
        <v>252</v>
      </c>
      <c r="AX1107" s="125">
        <f t="shared" si="0"/>
        <v>348.75176319999997</v>
      </c>
      <c r="AY1107" s="125">
        <f>0.1424+0.0173+0.012+0.0019+0.0064</f>
        <v>0.18000000000000002</v>
      </c>
      <c r="AZ1107" s="249" t="s">
        <v>1429</v>
      </c>
      <c r="BA1107" s="181" t="s">
        <v>254</v>
      </c>
      <c r="BB1107" s="181">
        <v>1</v>
      </c>
      <c r="BC1107" s="125" t="s">
        <v>255</v>
      </c>
    </row>
    <row r="1108" spans="1:55" ht="16.350000000000001" customHeight="1" outlineLevel="1">
      <c r="A1108" s="92">
        <v>1098</v>
      </c>
      <c r="B1108" s="99" t="s">
        <v>765</v>
      </c>
      <c r="C1108" s="122" t="s">
        <v>750</v>
      </c>
      <c r="D1108" s="161" t="s">
        <v>763</v>
      </c>
      <c r="E1108" s="123" t="s">
        <v>734</v>
      </c>
      <c r="F1108" s="124" t="s">
        <v>1425</v>
      </c>
      <c r="G1108" s="133" t="s">
        <v>247</v>
      </c>
      <c r="H1108" s="134" t="s">
        <v>248</v>
      </c>
      <c r="I1108" s="134" t="s">
        <v>1426</v>
      </c>
      <c r="J1108" s="177" t="s">
        <v>139</v>
      </c>
      <c r="K1108" s="124" t="s">
        <v>140</v>
      </c>
      <c r="L1108" s="174">
        <v>2</v>
      </c>
      <c r="M1108" s="178" t="s">
        <v>250</v>
      </c>
      <c r="N1108" s="265">
        <v>89</v>
      </c>
      <c r="O1108" s="265">
        <v>6</v>
      </c>
      <c r="P1108" s="265" t="s">
        <v>1429</v>
      </c>
      <c r="Q1108" s="124" t="s">
        <v>233</v>
      </c>
      <c r="R1108" s="275" t="s">
        <v>240</v>
      </c>
      <c r="S1108" s="276" t="s">
        <v>233</v>
      </c>
      <c r="T1108" s="275" t="s">
        <v>240</v>
      </c>
      <c r="U1108" s="178" t="s">
        <v>1427</v>
      </c>
      <c r="V1108" s="275" t="s">
        <v>233</v>
      </c>
      <c r="W1108" s="93"/>
      <c r="X1108" s="125">
        <f>521.83+1251.62</f>
        <v>1773.4499999999998</v>
      </c>
      <c r="Y1108" s="126">
        <v>1989.92</v>
      </c>
      <c r="Z1108" s="127">
        <v>150.30741180000001</v>
      </c>
      <c r="AA1108" s="128" t="s">
        <v>259</v>
      </c>
      <c r="AB1108" s="125">
        <v>142.23491999999999</v>
      </c>
      <c r="AC1108" s="128" t="s">
        <v>259</v>
      </c>
      <c r="AD1108" s="129">
        <v>153.40116599999999</v>
      </c>
      <c r="AE1108" s="125" t="s">
        <v>259</v>
      </c>
      <c r="AF1108" s="125">
        <v>136.90820200000002</v>
      </c>
      <c r="AG1108" s="125" t="s">
        <v>259</v>
      </c>
      <c r="AH1108" s="125">
        <v>106.871422</v>
      </c>
      <c r="AI1108" s="125" t="s">
        <v>259</v>
      </c>
      <c r="AJ1108" s="125">
        <v>0</v>
      </c>
      <c r="AK1108" s="125">
        <v>0</v>
      </c>
      <c r="AL1108" s="125">
        <v>0</v>
      </c>
      <c r="AM1108" s="125">
        <v>0</v>
      </c>
      <c r="AN1108" s="125">
        <v>0</v>
      </c>
      <c r="AO1108" s="125">
        <v>0</v>
      </c>
      <c r="AP1108" s="125">
        <v>0</v>
      </c>
      <c r="AQ1108" s="125">
        <v>0</v>
      </c>
      <c r="AR1108" s="125">
        <v>127.774272</v>
      </c>
      <c r="AS1108" s="125" t="s">
        <v>259</v>
      </c>
      <c r="AT1108" s="125">
        <v>126.437967</v>
      </c>
      <c r="AU1108" s="125" t="s">
        <v>259</v>
      </c>
      <c r="AV1108" s="125">
        <v>137.93774400000001</v>
      </c>
      <c r="AW1108" s="125" t="s">
        <v>252</v>
      </c>
      <c r="AX1108" s="125">
        <f t="shared" si="0"/>
        <v>1081.8731048</v>
      </c>
      <c r="AY1108" s="125">
        <f>0.1024+0.1076+0.29</f>
        <v>0.5</v>
      </c>
      <c r="AZ1108" s="249" t="s">
        <v>1429</v>
      </c>
      <c r="BA1108" s="181" t="s">
        <v>254</v>
      </c>
      <c r="BB1108" s="181">
        <v>1</v>
      </c>
      <c r="BC1108" s="125" t="s">
        <v>255</v>
      </c>
    </row>
    <row r="1109" spans="1:55" ht="16.350000000000001" customHeight="1" outlineLevel="1">
      <c r="A1109" s="92">
        <v>1099</v>
      </c>
      <c r="B1109" s="99" t="s">
        <v>768</v>
      </c>
      <c r="C1109" s="122" t="s">
        <v>750</v>
      </c>
      <c r="D1109" s="161" t="s">
        <v>766</v>
      </c>
      <c r="E1109" s="123" t="s">
        <v>767</v>
      </c>
      <c r="F1109" s="124" t="s">
        <v>1425</v>
      </c>
      <c r="G1109" s="133" t="s">
        <v>247</v>
      </c>
      <c r="H1109" s="134" t="s">
        <v>1424</v>
      </c>
      <c r="I1109" s="134" t="s">
        <v>1426</v>
      </c>
      <c r="J1109" s="177" t="s">
        <v>139</v>
      </c>
      <c r="K1109" s="124" t="s">
        <v>140</v>
      </c>
      <c r="L1109" s="174">
        <v>1</v>
      </c>
      <c r="M1109" s="178" t="s">
        <v>250</v>
      </c>
      <c r="N1109" s="265">
        <v>65</v>
      </c>
      <c r="O1109" s="265">
        <v>6</v>
      </c>
      <c r="P1109" s="265" t="s">
        <v>1429</v>
      </c>
      <c r="Q1109" s="124" t="s">
        <v>233</v>
      </c>
      <c r="R1109" s="275" t="s">
        <v>240</v>
      </c>
      <c r="S1109" s="276" t="s">
        <v>233</v>
      </c>
      <c r="T1109" s="275" t="s">
        <v>240</v>
      </c>
      <c r="U1109" s="178" t="s">
        <v>1427</v>
      </c>
      <c r="V1109" s="275" t="s">
        <v>240</v>
      </c>
      <c r="W1109" s="93"/>
      <c r="X1109" s="125">
        <v>2138.29</v>
      </c>
      <c r="Y1109" s="126">
        <v>2151.63</v>
      </c>
      <c r="Z1109" s="127">
        <v>334.17693539999999</v>
      </c>
      <c r="AA1109" s="128" t="s">
        <v>252</v>
      </c>
      <c r="AB1109" s="125">
        <v>209.10311999999999</v>
      </c>
      <c r="AC1109" s="128" t="s">
        <v>252</v>
      </c>
      <c r="AD1109" s="129">
        <v>301.74699600000002</v>
      </c>
      <c r="AE1109" s="125" t="s">
        <v>252</v>
      </c>
      <c r="AF1109" s="125">
        <v>153.40802399999998</v>
      </c>
      <c r="AG1109" s="125" t="s">
        <v>252</v>
      </c>
      <c r="AH1109" s="125">
        <v>42.260204000000002</v>
      </c>
      <c r="AI1109" s="125" t="s">
        <v>252</v>
      </c>
      <c r="AJ1109" s="125">
        <v>0</v>
      </c>
      <c r="AK1109" s="125">
        <v>0</v>
      </c>
      <c r="AL1109" s="125">
        <v>0</v>
      </c>
      <c r="AM1109" s="125">
        <v>0</v>
      </c>
      <c r="AN1109" s="125">
        <v>0</v>
      </c>
      <c r="AO1109" s="125">
        <v>0</v>
      </c>
      <c r="AP1109" s="125">
        <v>0</v>
      </c>
      <c r="AQ1109" s="125">
        <v>0</v>
      </c>
      <c r="AR1109" s="125">
        <v>154.908432</v>
      </c>
      <c r="AS1109" s="125" t="s">
        <v>252</v>
      </c>
      <c r="AT1109" s="125">
        <v>128.88479699999999</v>
      </c>
      <c r="AU1109" s="125" t="s">
        <v>252</v>
      </c>
      <c r="AV1109" s="125">
        <v>197.02070399999999</v>
      </c>
      <c r="AW1109" s="125" t="s">
        <v>252</v>
      </c>
      <c r="AX1109" s="125">
        <f t="shared" si="0"/>
        <v>1521.5092124</v>
      </c>
      <c r="AY1109" s="125">
        <f>0.5997+0.0379+0.0476+0.0048</f>
        <v>0.69000000000000006</v>
      </c>
      <c r="AZ1109" s="249" t="s">
        <v>1429</v>
      </c>
      <c r="BA1109" s="181" t="s">
        <v>254</v>
      </c>
      <c r="BB1109" s="181">
        <v>1</v>
      </c>
      <c r="BC1109" s="125" t="s">
        <v>255</v>
      </c>
    </row>
    <row r="1110" spans="1:55" ht="16.350000000000001" customHeight="1" outlineLevel="1">
      <c r="A1110" s="92">
        <v>1100</v>
      </c>
      <c r="B1110" s="99" t="s">
        <v>769</v>
      </c>
      <c r="C1110" s="122" t="s">
        <v>750</v>
      </c>
      <c r="D1110" s="161">
        <v>39</v>
      </c>
      <c r="E1110" s="123" t="s">
        <v>745</v>
      </c>
      <c r="F1110" s="124" t="s">
        <v>1425</v>
      </c>
      <c r="G1110" s="133" t="s">
        <v>247</v>
      </c>
      <c r="H1110" s="134" t="s">
        <v>248</v>
      </c>
      <c r="I1110" s="134" t="s">
        <v>1426</v>
      </c>
      <c r="J1110" s="177" t="s">
        <v>139</v>
      </c>
      <c r="K1110" s="124" t="s">
        <v>140</v>
      </c>
      <c r="L1110" s="174">
        <v>1</v>
      </c>
      <c r="M1110" s="178" t="s">
        <v>250</v>
      </c>
      <c r="N1110" s="265">
        <v>65</v>
      </c>
      <c r="O1110" s="265">
        <v>6</v>
      </c>
      <c r="P1110" s="265" t="s">
        <v>1429</v>
      </c>
      <c r="Q1110" s="124" t="s">
        <v>233</v>
      </c>
      <c r="R1110" s="275" t="s">
        <v>240</v>
      </c>
      <c r="S1110" s="276" t="s">
        <v>233</v>
      </c>
      <c r="T1110" s="275" t="s">
        <v>240</v>
      </c>
      <c r="U1110" s="178" t="s">
        <v>1427</v>
      </c>
      <c r="V1110" s="275" t="s">
        <v>240</v>
      </c>
      <c r="W1110" s="93"/>
      <c r="X1110" s="125">
        <v>381.01</v>
      </c>
      <c r="Y1110" s="126">
        <v>413.07</v>
      </c>
      <c r="Z1110" s="127">
        <v>39.347490000000001</v>
      </c>
      <c r="AA1110" s="128" t="s">
        <v>252</v>
      </c>
      <c r="AB1110" s="125">
        <v>24.62265</v>
      </c>
      <c r="AC1110" s="128" t="s">
        <v>252</v>
      </c>
      <c r="AD1110" s="129">
        <v>35.528760000000005</v>
      </c>
      <c r="AE1110" s="125" t="s">
        <v>252</v>
      </c>
      <c r="AF1110" s="125">
        <v>18.096834000000001</v>
      </c>
      <c r="AG1110" s="125" t="s">
        <v>252</v>
      </c>
      <c r="AH1110" s="125">
        <v>5.1819389999999999</v>
      </c>
      <c r="AI1110" s="125" t="s">
        <v>252</v>
      </c>
      <c r="AJ1110" s="125">
        <v>0</v>
      </c>
      <c r="AK1110" s="125">
        <v>0</v>
      </c>
      <c r="AL1110" s="125">
        <v>0</v>
      </c>
      <c r="AM1110" s="125">
        <v>0</v>
      </c>
      <c r="AN1110" s="125">
        <v>0</v>
      </c>
      <c r="AO1110" s="125">
        <v>0</v>
      </c>
      <c r="AP1110" s="125">
        <v>0</v>
      </c>
      <c r="AQ1110" s="125">
        <v>0</v>
      </c>
      <c r="AR1110" s="125">
        <v>18.945167999999999</v>
      </c>
      <c r="AS1110" s="125" t="s">
        <v>252</v>
      </c>
      <c r="AT1110" s="125">
        <v>15.667605000000002</v>
      </c>
      <c r="AU1110" s="125" t="s">
        <v>252</v>
      </c>
      <c r="AV1110" s="125">
        <v>23.325936000000002</v>
      </c>
      <c r="AW1110" s="125" t="s">
        <v>252</v>
      </c>
      <c r="AX1110" s="125">
        <f t="shared" si="0"/>
        <v>180.71638200000004</v>
      </c>
      <c r="AY1110" s="125">
        <f>0.12</f>
        <v>0.12</v>
      </c>
      <c r="AZ1110" s="249" t="s">
        <v>1429</v>
      </c>
      <c r="BA1110" s="181" t="s">
        <v>254</v>
      </c>
      <c r="BB1110" s="181">
        <v>1</v>
      </c>
      <c r="BC1110" s="125" t="s">
        <v>255</v>
      </c>
    </row>
    <row r="1111" spans="1:55" ht="16.350000000000001" customHeight="1" outlineLevel="1">
      <c r="A1111" s="92">
        <v>1101</v>
      </c>
      <c r="B1111" s="99" t="s">
        <v>770</v>
      </c>
      <c r="C1111" s="122" t="s">
        <v>750</v>
      </c>
      <c r="D1111" s="161">
        <v>41</v>
      </c>
      <c r="E1111" s="123" t="s">
        <v>734</v>
      </c>
      <c r="F1111" s="124" t="s">
        <v>1425</v>
      </c>
      <c r="G1111" s="133" t="s">
        <v>281</v>
      </c>
      <c r="H1111" s="134" t="s">
        <v>248</v>
      </c>
      <c r="I1111" s="134" t="s">
        <v>1426</v>
      </c>
      <c r="J1111" s="177" t="s">
        <v>139</v>
      </c>
      <c r="K1111" s="124" t="s">
        <v>140</v>
      </c>
      <c r="L1111" s="174">
        <v>1</v>
      </c>
      <c r="M1111" s="178" t="s">
        <v>250</v>
      </c>
      <c r="N1111" s="265">
        <v>80</v>
      </c>
      <c r="O1111" s="265">
        <v>6</v>
      </c>
      <c r="P1111" s="265" t="s">
        <v>1429</v>
      </c>
      <c r="Q1111" s="124" t="s">
        <v>233</v>
      </c>
      <c r="R1111" s="275" t="s">
        <v>240</v>
      </c>
      <c r="S1111" s="276" t="s">
        <v>233</v>
      </c>
      <c r="T1111" s="275" t="s">
        <v>240</v>
      </c>
      <c r="U1111" s="178" t="s">
        <v>1427</v>
      </c>
      <c r="V1111" s="275" t="s">
        <v>240</v>
      </c>
      <c r="W1111" s="93"/>
      <c r="X1111" s="125">
        <v>1236.02</v>
      </c>
      <c r="Y1111" s="126">
        <v>1161.31</v>
      </c>
      <c r="Z1111" s="127">
        <v>184.75159919999999</v>
      </c>
      <c r="AA1111" s="128" t="s">
        <v>252</v>
      </c>
      <c r="AB1111" s="125">
        <v>131.88352500000002</v>
      </c>
      <c r="AC1111" s="128" t="s">
        <v>252</v>
      </c>
      <c r="AD1111" s="129">
        <v>200.98495800000001</v>
      </c>
      <c r="AE1111" s="125" t="s">
        <v>252</v>
      </c>
      <c r="AF1111" s="125">
        <v>91.930967999999993</v>
      </c>
      <c r="AG1111" s="125" t="s">
        <v>252</v>
      </c>
      <c r="AH1111" s="125">
        <v>30.446493</v>
      </c>
      <c r="AI1111" s="125" t="s">
        <v>252</v>
      </c>
      <c r="AJ1111" s="125">
        <v>0</v>
      </c>
      <c r="AK1111" s="125">
        <v>0</v>
      </c>
      <c r="AL1111" s="125">
        <v>0</v>
      </c>
      <c r="AM1111" s="125">
        <v>0</v>
      </c>
      <c r="AN1111" s="125">
        <v>0</v>
      </c>
      <c r="AO1111" s="125">
        <v>0</v>
      </c>
      <c r="AP1111" s="125">
        <v>0</v>
      </c>
      <c r="AQ1111" s="125">
        <v>0</v>
      </c>
      <c r="AR1111" s="125">
        <v>92.832948000000002</v>
      </c>
      <c r="AS1111" s="125" t="s">
        <v>252</v>
      </c>
      <c r="AT1111" s="125">
        <v>72.291987000000006</v>
      </c>
      <c r="AU1111" s="125" t="s">
        <v>252</v>
      </c>
      <c r="AV1111" s="125">
        <v>114.55368</v>
      </c>
      <c r="AW1111" s="125" t="s">
        <v>252</v>
      </c>
      <c r="AX1111" s="125">
        <f t="shared" si="0"/>
        <v>919.67615820000015</v>
      </c>
      <c r="AY1111" s="125">
        <f>0.1037+0.2763</f>
        <v>0.38</v>
      </c>
      <c r="AZ1111" s="249" t="s">
        <v>1429</v>
      </c>
      <c r="BA1111" s="181" t="s">
        <v>254</v>
      </c>
      <c r="BB1111" s="181">
        <v>1</v>
      </c>
      <c r="BC1111" s="125" t="s">
        <v>255</v>
      </c>
    </row>
    <row r="1112" spans="1:55" ht="16.350000000000001" customHeight="1" outlineLevel="1">
      <c r="A1112" s="92">
        <v>1102</v>
      </c>
      <c r="B1112" s="99" t="s">
        <v>771</v>
      </c>
      <c r="C1112" s="122" t="s">
        <v>750</v>
      </c>
      <c r="D1112" s="161">
        <v>45</v>
      </c>
      <c r="E1112" s="123" t="s">
        <v>734</v>
      </c>
      <c r="F1112" s="124" t="s">
        <v>1425</v>
      </c>
      <c r="G1112" s="133" t="s">
        <v>281</v>
      </c>
      <c r="H1112" s="134" t="s">
        <v>248</v>
      </c>
      <c r="I1112" s="134" t="s">
        <v>1426</v>
      </c>
      <c r="J1112" s="177" t="s">
        <v>139</v>
      </c>
      <c r="K1112" s="124" t="s">
        <v>140</v>
      </c>
      <c r="L1112" s="174">
        <v>1</v>
      </c>
      <c r="M1112" s="178" t="s">
        <v>250</v>
      </c>
      <c r="N1112" s="265">
        <v>100</v>
      </c>
      <c r="O1112" s="265">
        <v>6</v>
      </c>
      <c r="P1112" s="265" t="s">
        <v>1429</v>
      </c>
      <c r="Q1112" s="124" t="s">
        <v>233</v>
      </c>
      <c r="R1112" s="275" t="s">
        <v>240</v>
      </c>
      <c r="S1112" s="276" t="s">
        <v>233</v>
      </c>
      <c r="T1112" s="275" t="s">
        <v>240</v>
      </c>
      <c r="U1112" s="178" t="s">
        <v>1427</v>
      </c>
      <c r="V1112" s="275" t="s">
        <v>240</v>
      </c>
      <c r="W1112" s="93"/>
      <c r="X1112" s="125">
        <v>1654.87</v>
      </c>
      <c r="Y1112" s="126">
        <v>1572.11</v>
      </c>
      <c r="Z1112" s="127">
        <v>219.57628979999998</v>
      </c>
      <c r="AA1112" s="128" t="s">
        <v>252</v>
      </c>
      <c r="AB1112" s="125">
        <v>132.17998499999999</v>
      </c>
      <c r="AC1112" s="128" t="s">
        <v>252</v>
      </c>
      <c r="AD1112" s="129">
        <v>215.73558</v>
      </c>
      <c r="AE1112" s="125" t="s">
        <v>252</v>
      </c>
      <c r="AF1112" s="125">
        <v>113.60921999999999</v>
      </c>
      <c r="AG1112" s="125" t="s">
        <v>252</v>
      </c>
      <c r="AH1112" s="125">
        <v>31.785333999999999</v>
      </c>
      <c r="AI1112" s="125" t="s">
        <v>252</v>
      </c>
      <c r="AJ1112" s="125">
        <v>0</v>
      </c>
      <c r="AK1112" s="125">
        <v>0</v>
      </c>
      <c r="AL1112" s="125">
        <v>0</v>
      </c>
      <c r="AM1112" s="125">
        <v>0</v>
      </c>
      <c r="AN1112" s="125">
        <v>0</v>
      </c>
      <c r="AO1112" s="125">
        <v>0</v>
      </c>
      <c r="AP1112" s="125">
        <v>0</v>
      </c>
      <c r="AQ1112" s="125">
        <v>0</v>
      </c>
      <c r="AR1112" s="125">
        <v>126.149472</v>
      </c>
      <c r="AS1112" s="125" t="s">
        <v>252</v>
      </c>
      <c r="AT1112" s="125">
        <v>102.59321399999999</v>
      </c>
      <c r="AU1112" s="125" t="s">
        <v>252</v>
      </c>
      <c r="AV1112" s="125">
        <v>147.46243200000001</v>
      </c>
      <c r="AW1112" s="125" t="s">
        <v>252</v>
      </c>
      <c r="AX1112" s="125">
        <f t="shared" si="0"/>
        <v>1089.0915267999999</v>
      </c>
      <c r="AY1112" s="125">
        <f>0.3005+0.0795</f>
        <v>0.38</v>
      </c>
      <c r="AZ1112" s="249" t="s">
        <v>1429</v>
      </c>
      <c r="BA1112" s="181" t="s">
        <v>254</v>
      </c>
      <c r="BB1112" s="181">
        <v>1</v>
      </c>
      <c r="BC1112" s="125" t="s">
        <v>255</v>
      </c>
    </row>
    <row r="1113" spans="1:55" ht="16.350000000000001" customHeight="1" outlineLevel="1">
      <c r="A1113" s="92">
        <v>1103</v>
      </c>
      <c r="B1113" s="99" t="s">
        <v>772</v>
      </c>
      <c r="C1113" s="122" t="s">
        <v>750</v>
      </c>
      <c r="D1113" s="161">
        <v>47</v>
      </c>
      <c r="E1113" s="123" t="s">
        <v>734</v>
      </c>
      <c r="F1113" s="124" t="s">
        <v>1425</v>
      </c>
      <c r="G1113" s="133" t="s">
        <v>247</v>
      </c>
      <c r="H1113" s="134" t="s">
        <v>248</v>
      </c>
      <c r="I1113" s="134" t="s">
        <v>1426</v>
      </c>
      <c r="J1113" s="134" t="s">
        <v>139</v>
      </c>
      <c r="K1113" s="124" t="s">
        <v>140</v>
      </c>
      <c r="L1113" s="174">
        <v>1</v>
      </c>
      <c r="M1113" s="174" t="s">
        <v>250</v>
      </c>
      <c r="N1113" s="184">
        <v>100</v>
      </c>
      <c r="O1113" s="184">
        <v>6</v>
      </c>
      <c r="P1113" s="184" t="s">
        <v>1429</v>
      </c>
      <c r="Q1113" s="174" t="s">
        <v>240</v>
      </c>
      <c r="R1113" s="276" t="s">
        <v>240</v>
      </c>
      <c r="S1113" s="276" t="s">
        <v>233</v>
      </c>
      <c r="T1113" s="276" t="s">
        <v>240</v>
      </c>
      <c r="U1113" s="174" t="s">
        <v>1427</v>
      </c>
      <c r="V1113" s="276" t="s">
        <v>240</v>
      </c>
      <c r="W1113" s="130"/>
      <c r="X1113" s="125">
        <v>901.32</v>
      </c>
      <c r="Y1113" s="126">
        <v>1056.47</v>
      </c>
      <c r="Z1113" s="131">
        <v>119.2012752</v>
      </c>
      <c r="AA1113" s="128" t="s">
        <v>259</v>
      </c>
      <c r="AB1113" s="132">
        <v>113.025375</v>
      </c>
      <c r="AC1113" s="128" t="s">
        <v>259</v>
      </c>
      <c r="AD1113" s="129">
        <v>121.21317000000001</v>
      </c>
      <c r="AE1113" s="125" t="s">
        <v>259</v>
      </c>
      <c r="AF1113" s="125">
        <v>108.29638799999999</v>
      </c>
      <c r="AG1113" s="125" t="s">
        <v>259</v>
      </c>
      <c r="AH1113" s="125">
        <v>76.549794999999989</v>
      </c>
      <c r="AI1113" s="125" t="s">
        <v>259</v>
      </c>
      <c r="AJ1113" s="125">
        <v>0</v>
      </c>
      <c r="AK1113" s="125">
        <v>0</v>
      </c>
      <c r="AL1113" s="125">
        <v>0</v>
      </c>
      <c r="AM1113" s="125">
        <v>0</v>
      </c>
      <c r="AN1113" s="125">
        <v>0</v>
      </c>
      <c r="AO1113" s="125">
        <v>0</v>
      </c>
      <c r="AP1113" s="125">
        <v>0</v>
      </c>
      <c r="AQ1113" s="125">
        <v>0</v>
      </c>
      <c r="AR1113" s="125">
        <v>93.775332000000006</v>
      </c>
      <c r="AS1113" s="125" t="s">
        <v>259</v>
      </c>
      <c r="AT1113" s="125">
        <v>101.298762</v>
      </c>
      <c r="AU1113" s="125" t="s">
        <v>259</v>
      </c>
      <c r="AV1113" s="125">
        <v>104.44771200000001</v>
      </c>
      <c r="AW1113" s="125" t="s">
        <v>259</v>
      </c>
      <c r="AX1113" s="125">
        <f t="shared" si="0"/>
        <v>837.80780920000007</v>
      </c>
      <c r="AY1113" s="125">
        <v>0.43</v>
      </c>
      <c r="AZ1113" s="181" t="s">
        <v>1429</v>
      </c>
      <c r="BA1113" s="181" t="s">
        <v>254</v>
      </c>
      <c r="BB1113" s="181">
        <v>1</v>
      </c>
      <c r="BC1113" s="125" t="s">
        <v>255</v>
      </c>
    </row>
    <row r="1114" spans="1:55" ht="16.350000000000001" customHeight="1" outlineLevel="1">
      <c r="A1114" s="92">
        <v>1104</v>
      </c>
      <c r="B1114" s="99" t="s">
        <v>773</v>
      </c>
      <c r="C1114" s="122" t="s">
        <v>750</v>
      </c>
      <c r="D1114" s="161">
        <v>49</v>
      </c>
      <c r="E1114" s="123" t="s">
        <v>734</v>
      </c>
      <c r="F1114" s="124" t="s">
        <v>1425</v>
      </c>
      <c r="G1114" s="133" t="s">
        <v>247</v>
      </c>
      <c r="H1114" s="134" t="s">
        <v>248</v>
      </c>
      <c r="I1114" s="134" t="s">
        <v>1426</v>
      </c>
      <c r="J1114" s="134" t="s">
        <v>139</v>
      </c>
      <c r="K1114" s="124" t="s">
        <v>140</v>
      </c>
      <c r="L1114" s="174">
        <v>1</v>
      </c>
      <c r="M1114" s="174" t="s">
        <v>250</v>
      </c>
      <c r="N1114" s="184">
        <v>100</v>
      </c>
      <c r="O1114" s="184">
        <v>6</v>
      </c>
      <c r="P1114" s="184" t="s">
        <v>1429</v>
      </c>
      <c r="Q1114" s="174" t="s">
        <v>240</v>
      </c>
      <c r="R1114" s="276" t="s">
        <v>240</v>
      </c>
      <c r="S1114" s="276" t="s">
        <v>233</v>
      </c>
      <c r="T1114" s="276" t="s">
        <v>240</v>
      </c>
      <c r="U1114" s="174" t="s">
        <v>1427</v>
      </c>
      <c r="V1114" s="276" t="s">
        <v>240</v>
      </c>
      <c r="W1114" s="130"/>
      <c r="X1114" s="125">
        <v>777.08</v>
      </c>
      <c r="Y1114" s="126">
        <v>929.07</v>
      </c>
      <c r="Z1114" s="127">
        <v>112.78460759999999</v>
      </c>
      <c r="AA1114" s="128" t="s">
        <v>259</v>
      </c>
      <c r="AB1114" s="125">
        <v>106.24797000000001</v>
      </c>
      <c r="AC1114" s="128" t="s">
        <v>259</v>
      </c>
      <c r="AD1114" s="129">
        <v>114.92935199999999</v>
      </c>
      <c r="AE1114" s="125" t="s">
        <v>259</v>
      </c>
      <c r="AF1114" s="125">
        <v>102.572444</v>
      </c>
      <c r="AG1114" s="125" t="s">
        <v>259</v>
      </c>
      <c r="AH1114" s="125">
        <v>74.461758000000003</v>
      </c>
      <c r="AI1114" s="125" t="s">
        <v>259</v>
      </c>
      <c r="AJ1114" s="125">
        <v>0</v>
      </c>
      <c r="AK1114" s="125">
        <v>0</v>
      </c>
      <c r="AL1114" s="125">
        <v>0</v>
      </c>
      <c r="AM1114" s="125">
        <v>0</v>
      </c>
      <c r="AN1114" s="125">
        <v>0</v>
      </c>
      <c r="AO1114" s="125">
        <v>0</v>
      </c>
      <c r="AP1114" s="125">
        <v>0</v>
      </c>
      <c r="AQ1114" s="125">
        <v>0</v>
      </c>
      <c r="AR1114" s="125">
        <v>88.827815999999999</v>
      </c>
      <c r="AS1114" s="125" t="s">
        <v>259</v>
      </c>
      <c r="AT1114" s="125">
        <v>92.498066999999992</v>
      </c>
      <c r="AU1114" s="125" t="s">
        <v>259</v>
      </c>
      <c r="AV1114" s="125">
        <v>96.857855999999998</v>
      </c>
      <c r="AW1114" s="125" t="s">
        <v>259</v>
      </c>
      <c r="AX1114" s="125">
        <f t="shared" si="0"/>
        <v>789.17987059999996</v>
      </c>
      <c r="AY1114" s="125">
        <f>0.2777+0.0123</f>
        <v>0.28999999999999998</v>
      </c>
      <c r="AZ1114" s="181" t="s">
        <v>1429</v>
      </c>
      <c r="BA1114" s="181" t="s">
        <v>254</v>
      </c>
      <c r="BB1114" s="181">
        <v>1</v>
      </c>
      <c r="BC1114" s="125" t="s">
        <v>255</v>
      </c>
    </row>
    <row r="1115" spans="1:55" ht="16.350000000000001" customHeight="1" outlineLevel="1">
      <c r="A1115" s="92">
        <v>1105</v>
      </c>
      <c r="B1115" s="99" t="s">
        <v>774</v>
      </c>
      <c r="C1115" s="122" t="s">
        <v>750</v>
      </c>
      <c r="D1115" s="161">
        <v>51</v>
      </c>
      <c r="E1115" s="123" t="s">
        <v>734</v>
      </c>
      <c r="F1115" s="124" t="s">
        <v>1425</v>
      </c>
      <c r="G1115" s="133" t="s">
        <v>281</v>
      </c>
      <c r="H1115" s="134" t="s">
        <v>248</v>
      </c>
      <c r="I1115" s="134" t="s">
        <v>1426</v>
      </c>
      <c r="J1115" s="134" t="s">
        <v>139</v>
      </c>
      <c r="K1115" s="124" t="s">
        <v>140</v>
      </c>
      <c r="L1115" s="174">
        <v>1</v>
      </c>
      <c r="M1115" s="174" t="s">
        <v>250</v>
      </c>
      <c r="N1115" s="184">
        <v>80</v>
      </c>
      <c r="O1115" s="184">
        <v>6</v>
      </c>
      <c r="P1115" s="184" t="s">
        <v>1429</v>
      </c>
      <c r="Q1115" s="174" t="s">
        <v>233</v>
      </c>
      <c r="R1115" s="276" t="s">
        <v>240</v>
      </c>
      <c r="S1115" s="276" t="s">
        <v>233</v>
      </c>
      <c r="T1115" s="276" t="s">
        <v>240</v>
      </c>
      <c r="U1115" s="174" t="s">
        <v>1427</v>
      </c>
      <c r="V1115" s="276" t="s">
        <v>240</v>
      </c>
      <c r="W1115" s="130"/>
      <c r="X1115" s="125">
        <v>602.13</v>
      </c>
      <c r="Y1115" s="126">
        <v>584.21</v>
      </c>
      <c r="Z1115" s="127">
        <v>87.239006399999994</v>
      </c>
      <c r="AA1115" s="128" t="s">
        <v>252</v>
      </c>
      <c r="AB1115" s="125">
        <v>69.981030000000004</v>
      </c>
      <c r="AC1115" s="128" t="s">
        <v>259</v>
      </c>
      <c r="AD1115" s="129">
        <v>76.33380600000001</v>
      </c>
      <c r="AE1115" s="125" t="s">
        <v>259</v>
      </c>
      <c r="AF1115" s="125">
        <v>67.667454000000006</v>
      </c>
      <c r="AG1115" s="125" t="s">
        <v>259</v>
      </c>
      <c r="AH1115" s="125">
        <v>14.657881</v>
      </c>
      <c r="AI1115" s="125" t="s">
        <v>252</v>
      </c>
      <c r="AJ1115" s="125">
        <v>0</v>
      </c>
      <c r="AK1115" s="125">
        <v>0</v>
      </c>
      <c r="AL1115" s="125">
        <v>0</v>
      </c>
      <c r="AM1115" s="125">
        <v>0</v>
      </c>
      <c r="AN1115" s="125">
        <v>0</v>
      </c>
      <c r="AO1115" s="125">
        <v>0</v>
      </c>
      <c r="AP1115" s="125">
        <v>0</v>
      </c>
      <c r="AQ1115" s="125">
        <v>0</v>
      </c>
      <c r="AR1115" s="125">
        <v>69.393971527199994</v>
      </c>
      <c r="AS1115" s="125" t="s">
        <v>312</v>
      </c>
      <c r="AT1115" s="125">
        <v>51.779177126999997</v>
      </c>
      <c r="AU1115" s="125" t="s">
        <v>312</v>
      </c>
      <c r="AV1115" s="125">
        <v>55.528848000000004</v>
      </c>
      <c r="AW1115" s="125" t="s">
        <v>252</v>
      </c>
      <c r="AX1115" s="125">
        <f t="shared" si="0"/>
        <v>492.58117405419995</v>
      </c>
      <c r="AY1115" s="125">
        <f>0.18</f>
        <v>0.18</v>
      </c>
      <c r="AZ1115" s="181" t="s">
        <v>1429</v>
      </c>
      <c r="BA1115" s="181" t="s">
        <v>254</v>
      </c>
      <c r="BB1115" s="181">
        <v>1</v>
      </c>
      <c r="BC1115" s="125" t="s">
        <v>255</v>
      </c>
    </row>
    <row r="1116" spans="1:55" ht="16.350000000000001" customHeight="1" outlineLevel="1">
      <c r="A1116" s="92">
        <v>1106</v>
      </c>
      <c r="B1116" s="99" t="s">
        <v>775</v>
      </c>
      <c r="C1116" s="122" t="s">
        <v>750</v>
      </c>
      <c r="D1116" s="161">
        <v>53</v>
      </c>
      <c r="E1116" s="123" t="s">
        <v>734</v>
      </c>
      <c r="F1116" s="124" t="s">
        <v>1425</v>
      </c>
      <c r="G1116" s="133" t="s">
        <v>281</v>
      </c>
      <c r="H1116" s="134" t="s">
        <v>248</v>
      </c>
      <c r="I1116" s="134" t="s">
        <v>1426</v>
      </c>
      <c r="J1116" s="134" t="s">
        <v>139</v>
      </c>
      <c r="K1116" s="124" t="s">
        <v>140</v>
      </c>
      <c r="L1116" s="174">
        <v>1</v>
      </c>
      <c r="M1116" s="174" t="s">
        <v>250</v>
      </c>
      <c r="N1116" s="184">
        <v>80</v>
      </c>
      <c r="O1116" s="184">
        <v>6</v>
      </c>
      <c r="P1116" s="184" t="s">
        <v>1429</v>
      </c>
      <c r="Q1116" s="174" t="s">
        <v>233</v>
      </c>
      <c r="R1116" s="276" t="s">
        <v>240</v>
      </c>
      <c r="S1116" s="276" t="s">
        <v>233</v>
      </c>
      <c r="T1116" s="276" t="s">
        <v>240</v>
      </c>
      <c r="U1116" s="174" t="s">
        <v>1427</v>
      </c>
      <c r="V1116" s="276" t="s">
        <v>240</v>
      </c>
      <c r="W1116" s="130"/>
      <c r="X1116" s="125">
        <v>551.11</v>
      </c>
      <c r="Y1116" s="126">
        <v>533.55999999999995</v>
      </c>
      <c r="Z1116" s="127">
        <v>80.320766399999997</v>
      </c>
      <c r="AA1116" s="128" t="s">
        <v>252</v>
      </c>
      <c r="AB1116" s="125">
        <v>54.787455000000001</v>
      </c>
      <c r="AC1116" s="128" t="s">
        <v>259</v>
      </c>
      <c r="AD1116" s="129">
        <v>57.508865999999998</v>
      </c>
      <c r="AE1116" s="125" t="s">
        <v>259</v>
      </c>
      <c r="AF1116" s="125">
        <v>52.962293999999993</v>
      </c>
      <c r="AG1116" s="125" t="s">
        <v>259</v>
      </c>
      <c r="AH1116" s="125">
        <v>13.603456999999999</v>
      </c>
      <c r="AI1116" s="125" t="s">
        <v>252</v>
      </c>
      <c r="AJ1116" s="125">
        <v>0</v>
      </c>
      <c r="AK1116" s="125">
        <v>0</v>
      </c>
      <c r="AL1116" s="125">
        <v>0</v>
      </c>
      <c r="AM1116" s="125">
        <v>0</v>
      </c>
      <c r="AN1116" s="125">
        <v>0</v>
      </c>
      <c r="AO1116" s="125">
        <v>0</v>
      </c>
      <c r="AP1116" s="125">
        <v>0</v>
      </c>
      <c r="AQ1116" s="125">
        <v>0</v>
      </c>
      <c r="AR1116" s="125">
        <v>63.938264394000001</v>
      </c>
      <c r="AS1116" s="125" t="s">
        <v>312</v>
      </c>
      <c r="AT1116" s="125">
        <v>47.734959419100001</v>
      </c>
      <c r="AU1116" s="125" t="s">
        <v>312</v>
      </c>
      <c r="AV1116" s="125">
        <v>54.034127999999995</v>
      </c>
      <c r="AW1116" s="125" t="s">
        <v>252</v>
      </c>
      <c r="AX1116" s="125">
        <f t="shared" si="0"/>
        <v>424.89019021309997</v>
      </c>
      <c r="AY1116" s="125">
        <v>0.18</v>
      </c>
      <c r="AZ1116" s="181" t="s">
        <v>1429</v>
      </c>
      <c r="BA1116" s="181" t="s">
        <v>254</v>
      </c>
      <c r="BB1116" s="181">
        <v>1</v>
      </c>
      <c r="BC1116" s="125" t="s">
        <v>255</v>
      </c>
    </row>
    <row r="1117" spans="1:55" ht="16.350000000000001" customHeight="1" outlineLevel="1">
      <c r="A1117" s="92">
        <v>1107</v>
      </c>
      <c r="B1117" s="99" t="s">
        <v>776</v>
      </c>
      <c r="C1117" s="122" t="s">
        <v>750</v>
      </c>
      <c r="D1117" s="161">
        <v>55</v>
      </c>
      <c r="E1117" s="123" t="s">
        <v>734</v>
      </c>
      <c r="F1117" s="124" t="s">
        <v>1425</v>
      </c>
      <c r="G1117" s="133" t="s">
        <v>281</v>
      </c>
      <c r="H1117" s="134" t="s">
        <v>248</v>
      </c>
      <c r="I1117" s="134" t="s">
        <v>1426</v>
      </c>
      <c r="J1117" s="134" t="s">
        <v>139</v>
      </c>
      <c r="K1117" s="124" t="s">
        <v>140</v>
      </c>
      <c r="L1117" s="266">
        <v>1</v>
      </c>
      <c r="M1117" s="174" t="s">
        <v>250</v>
      </c>
      <c r="N1117" s="184">
        <v>80</v>
      </c>
      <c r="O1117" s="184">
        <v>6</v>
      </c>
      <c r="P1117" s="184" t="s">
        <v>1429</v>
      </c>
      <c r="Q1117" s="174" t="s">
        <v>233</v>
      </c>
      <c r="R1117" s="276" t="s">
        <v>240</v>
      </c>
      <c r="S1117" s="279" t="s">
        <v>233</v>
      </c>
      <c r="T1117" s="276" t="s">
        <v>240</v>
      </c>
      <c r="U1117" s="174" t="s">
        <v>1427</v>
      </c>
      <c r="V1117" s="276" t="s">
        <v>240</v>
      </c>
      <c r="W1117" s="130"/>
      <c r="X1117" s="125">
        <v>3675.57</v>
      </c>
      <c r="Y1117" s="126">
        <v>3575.51</v>
      </c>
      <c r="Z1117" s="127">
        <v>530.41281300000003</v>
      </c>
      <c r="AA1117" s="128" t="s">
        <v>252</v>
      </c>
      <c r="AB1117" s="125">
        <v>326.05659000000003</v>
      </c>
      <c r="AC1117" s="128" t="s">
        <v>259</v>
      </c>
      <c r="AD1117" s="129">
        <v>351.17793000000006</v>
      </c>
      <c r="AE1117" s="125" t="s">
        <v>259</v>
      </c>
      <c r="AF1117" s="125">
        <v>233.09259799999998</v>
      </c>
      <c r="AG1117" s="125" t="s">
        <v>259</v>
      </c>
      <c r="AH1117" s="125">
        <v>88.509183000000007</v>
      </c>
      <c r="AI1117" s="125" t="s">
        <v>252</v>
      </c>
      <c r="AJ1117" s="125">
        <v>0</v>
      </c>
      <c r="AK1117" s="125">
        <v>0</v>
      </c>
      <c r="AL1117" s="125">
        <v>0</v>
      </c>
      <c r="AM1117" s="125">
        <v>0</v>
      </c>
      <c r="AN1117" s="125">
        <v>0</v>
      </c>
      <c r="AO1117" s="125">
        <v>0</v>
      </c>
      <c r="AP1117" s="125">
        <v>0</v>
      </c>
      <c r="AQ1117" s="125">
        <v>0</v>
      </c>
      <c r="AR1117" s="125">
        <v>421.78395155159996</v>
      </c>
      <c r="AS1117" s="125" t="s">
        <v>312</v>
      </c>
      <c r="AT1117" s="125">
        <v>314.56090347840001</v>
      </c>
      <c r="AU1117" s="125" t="s">
        <v>312</v>
      </c>
      <c r="AV1117" s="125">
        <v>339.48412800000006</v>
      </c>
      <c r="AW1117" s="125" t="s">
        <v>252</v>
      </c>
      <c r="AX1117" s="125">
        <f t="shared" si="0"/>
        <v>2605.0780970300002</v>
      </c>
      <c r="AY1117" s="125">
        <v>1.01</v>
      </c>
      <c r="AZ1117" s="181" t="s">
        <v>1429</v>
      </c>
      <c r="BA1117" s="181" t="s">
        <v>254</v>
      </c>
      <c r="BB1117" s="181">
        <v>1</v>
      </c>
      <c r="BC1117" s="125" t="s">
        <v>255</v>
      </c>
    </row>
    <row r="1118" spans="1:55" ht="16.350000000000001" customHeight="1" outlineLevel="1">
      <c r="A1118" s="92">
        <v>1108</v>
      </c>
      <c r="B1118" s="99" t="s">
        <v>777</v>
      </c>
      <c r="C1118" s="122" t="s">
        <v>750</v>
      </c>
      <c r="D1118" s="161">
        <v>7</v>
      </c>
      <c r="E1118" s="123" t="s">
        <v>734</v>
      </c>
      <c r="F1118" s="124" t="s">
        <v>1425</v>
      </c>
      <c r="G1118" s="133" t="s">
        <v>281</v>
      </c>
      <c r="H1118" s="134" t="s">
        <v>248</v>
      </c>
      <c r="I1118" s="134" t="s">
        <v>1426</v>
      </c>
      <c r="J1118" s="134" t="s">
        <v>139</v>
      </c>
      <c r="K1118" s="124" t="s">
        <v>140</v>
      </c>
      <c r="L1118" s="174">
        <v>0</v>
      </c>
      <c r="M1118" s="174" t="s">
        <v>250</v>
      </c>
      <c r="N1118" s="184">
        <v>89</v>
      </c>
      <c r="O1118" s="184">
        <v>6</v>
      </c>
      <c r="P1118" s="184" t="s">
        <v>1429</v>
      </c>
      <c r="Q1118" s="174" t="s">
        <v>233</v>
      </c>
      <c r="R1118" s="276"/>
      <c r="S1118" s="276" t="s">
        <v>240</v>
      </c>
      <c r="T1118" s="276" t="s">
        <v>233</v>
      </c>
      <c r="U1118" s="174" t="s">
        <v>1427</v>
      </c>
      <c r="V1118" s="276"/>
      <c r="W1118" s="130"/>
      <c r="X1118" s="125">
        <v>379.51</v>
      </c>
      <c r="Y1118" s="126">
        <v>394.6</v>
      </c>
      <c r="Z1118" s="127">
        <v>37.799533799999999</v>
      </c>
      <c r="AA1118" s="128" t="s">
        <v>259</v>
      </c>
      <c r="AB1118" s="125">
        <v>35.879894999999998</v>
      </c>
      <c r="AC1118" s="128" t="s">
        <v>259</v>
      </c>
      <c r="AD1118" s="129">
        <v>38.843010000000007</v>
      </c>
      <c r="AE1118" s="125" t="s">
        <v>259</v>
      </c>
      <c r="AF1118" s="125">
        <v>34.335757999999998</v>
      </c>
      <c r="AG1118" s="125" t="s">
        <v>259</v>
      </c>
      <c r="AH1118" s="125">
        <v>25.770954999999997</v>
      </c>
      <c r="AI1118" s="125" t="s">
        <v>259</v>
      </c>
      <c r="AJ1118" s="125">
        <v>0</v>
      </c>
      <c r="AK1118" s="125">
        <v>0</v>
      </c>
      <c r="AL1118" s="125">
        <v>0</v>
      </c>
      <c r="AM1118" s="125">
        <v>0</v>
      </c>
      <c r="AN1118" s="125">
        <v>0</v>
      </c>
      <c r="AO1118" s="125">
        <v>0</v>
      </c>
      <c r="AP1118" s="125">
        <v>0</v>
      </c>
      <c r="AQ1118" s="125">
        <v>0</v>
      </c>
      <c r="AR1118" s="125">
        <v>31.691723999999997</v>
      </c>
      <c r="AS1118" s="125" t="s">
        <v>259</v>
      </c>
      <c r="AT1118" s="125">
        <v>31.429926000000002</v>
      </c>
      <c r="AU1118" s="125" t="s">
        <v>259</v>
      </c>
      <c r="AV1118" s="125">
        <v>30.841056000000002</v>
      </c>
      <c r="AW1118" s="125" t="s">
        <v>259</v>
      </c>
      <c r="AX1118" s="125">
        <f t="shared" si="0"/>
        <v>266.59185779999996</v>
      </c>
      <c r="AY1118" s="125">
        <f>0.1155+0.0245</f>
        <v>0.14000000000000001</v>
      </c>
      <c r="AZ1118" s="181" t="s">
        <v>1429</v>
      </c>
      <c r="BA1118" s="181" t="s">
        <v>254</v>
      </c>
      <c r="BB1118" s="181">
        <v>1</v>
      </c>
      <c r="BC1118" s="125" t="s">
        <v>255</v>
      </c>
    </row>
    <row r="1119" spans="1:55" ht="16.350000000000001" customHeight="1" outlineLevel="1">
      <c r="A1119" s="92">
        <v>1109</v>
      </c>
      <c r="B1119" s="99" t="s">
        <v>779</v>
      </c>
      <c r="C1119" s="122" t="s">
        <v>778</v>
      </c>
      <c r="D1119" s="161">
        <v>1</v>
      </c>
      <c r="E1119" s="123" t="s">
        <v>734</v>
      </c>
      <c r="F1119" s="124" t="s">
        <v>1425</v>
      </c>
      <c r="G1119" s="133" t="s">
        <v>247</v>
      </c>
      <c r="H1119" s="134" t="s">
        <v>248</v>
      </c>
      <c r="I1119" s="134" t="s">
        <v>1426</v>
      </c>
      <c r="J1119" s="134" t="s">
        <v>139</v>
      </c>
      <c r="K1119" s="124" t="s">
        <v>140</v>
      </c>
      <c r="L1119" s="174">
        <v>1</v>
      </c>
      <c r="M1119" s="174" t="s">
        <v>250</v>
      </c>
      <c r="N1119" s="184">
        <v>80</v>
      </c>
      <c r="O1119" s="184">
        <v>6</v>
      </c>
      <c r="P1119" s="184" t="s">
        <v>1429</v>
      </c>
      <c r="Q1119" s="174" t="s">
        <v>233</v>
      </c>
      <c r="R1119" s="276" t="s">
        <v>240</v>
      </c>
      <c r="S1119" s="276" t="s">
        <v>233</v>
      </c>
      <c r="T1119" s="276" t="s">
        <v>240</v>
      </c>
      <c r="U1119" s="174" t="s">
        <v>1427</v>
      </c>
      <c r="V1119" s="276" t="s">
        <v>240</v>
      </c>
      <c r="W1119" s="130"/>
      <c r="X1119" s="125">
        <v>1542.01</v>
      </c>
      <c r="Y1119" s="126">
        <v>1584.96</v>
      </c>
      <c r="Z1119" s="127">
        <v>217.69971720000001</v>
      </c>
      <c r="AA1119" s="128" t="s">
        <v>252</v>
      </c>
      <c r="AB1119" s="125">
        <v>161.15071499999999</v>
      </c>
      <c r="AC1119" s="128" t="s">
        <v>252</v>
      </c>
      <c r="AD1119" s="129">
        <v>241.66627199999999</v>
      </c>
      <c r="AE1119" s="125" t="s">
        <v>252</v>
      </c>
      <c r="AF1119" s="125">
        <v>102.22458</v>
      </c>
      <c r="AG1119" s="125" t="s">
        <v>252</v>
      </c>
      <c r="AH1119" s="125">
        <v>9.3094540000000006</v>
      </c>
      <c r="AI1119" s="125" t="s">
        <v>252</v>
      </c>
      <c r="AJ1119" s="125">
        <v>0</v>
      </c>
      <c r="AK1119" s="125">
        <v>0</v>
      </c>
      <c r="AL1119" s="125">
        <v>0</v>
      </c>
      <c r="AM1119" s="125">
        <v>0</v>
      </c>
      <c r="AN1119" s="125">
        <v>0</v>
      </c>
      <c r="AO1119" s="125">
        <v>0</v>
      </c>
      <c r="AP1119" s="125">
        <v>0</v>
      </c>
      <c r="AQ1119" s="125">
        <v>0</v>
      </c>
      <c r="AR1119" s="125">
        <v>129.71590799999998</v>
      </c>
      <c r="AS1119" s="125" t="s">
        <v>252</v>
      </c>
      <c r="AT1119" s="125">
        <v>96.578748000000004</v>
      </c>
      <c r="AU1119" s="125" t="s">
        <v>252</v>
      </c>
      <c r="AV1119" s="125">
        <v>155.268192</v>
      </c>
      <c r="AW1119" s="125" t="s">
        <v>252</v>
      </c>
      <c r="AX1119" s="125">
        <f t="shared" si="0"/>
        <v>1113.6135862000001</v>
      </c>
      <c r="AY1119" s="125">
        <f>0.0125+0.4775</f>
        <v>0.49</v>
      </c>
      <c r="AZ1119" s="181" t="s">
        <v>1429</v>
      </c>
      <c r="BA1119" s="181" t="s">
        <v>254</v>
      </c>
      <c r="BB1119" s="181">
        <v>1</v>
      </c>
      <c r="BC1119" s="125" t="s">
        <v>255</v>
      </c>
    </row>
    <row r="1120" spans="1:55" ht="16.350000000000001" customHeight="1" outlineLevel="1">
      <c r="A1120" s="92">
        <v>1110</v>
      </c>
      <c r="B1120" s="99" t="s">
        <v>780</v>
      </c>
      <c r="C1120" s="122" t="s">
        <v>778</v>
      </c>
      <c r="D1120" s="161">
        <v>13</v>
      </c>
      <c r="E1120" s="123" t="s">
        <v>734</v>
      </c>
      <c r="F1120" s="124" t="s">
        <v>1425</v>
      </c>
      <c r="G1120" s="133" t="s">
        <v>281</v>
      </c>
      <c r="H1120" s="134" t="s">
        <v>248</v>
      </c>
      <c r="I1120" s="134" t="s">
        <v>1426</v>
      </c>
      <c r="J1120" s="134" t="s">
        <v>139</v>
      </c>
      <c r="K1120" s="124" t="s">
        <v>140</v>
      </c>
      <c r="L1120" s="174">
        <v>1</v>
      </c>
      <c r="M1120" s="174" t="s">
        <v>250</v>
      </c>
      <c r="N1120" s="184">
        <v>100</v>
      </c>
      <c r="O1120" s="184">
        <v>6</v>
      </c>
      <c r="P1120" s="184" t="s">
        <v>1429</v>
      </c>
      <c r="Q1120" s="174" t="s">
        <v>233</v>
      </c>
      <c r="R1120" s="276" t="s">
        <v>240</v>
      </c>
      <c r="S1120" s="276" t="s">
        <v>233</v>
      </c>
      <c r="T1120" s="276" t="s">
        <v>240</v>
      </c>
      <c r="U1120" s="174" t="s">
        <v>1427</v>
      </c>
      <c r="V1120" s="276" t="s">
        <v>240</v>
      </c>
      <c r="W1120" s="130"/>
      <c r="X1120" s="125">
        <v>356.18</v>
      </c>
      <c r="Y1120" s="126">
        <v>407.06</v>
      </c>
      <c r="Z1120" s="127">
        <v>39.7712322</v>
      </c>
      <c r="AA1120" s="128" t="s">
        <v>259</v>
      </c>
      <c r="AB1120" s="125">
        <v>37.436309999999999</v>
      </c>
      <c r="AC1120" s="128" t="s">
        <v>259</v>
      </c>
      <c r="AD1120" s="129">
        <v>40.442687999999997</v>
      </c>
      <c r="AE1120" s="125" t="s">
        <v>259</v>
      </c>
      <c r="AF1120" s="125">
        <v>36.035547999999999</v>
      </c>
      <c r="AG1120" s="125" t="s">
        <v>259</v>
      </c>
      <c r="AH1120" s="125">
        <v>31.480105999999999</v>
      </c>
      <c r="AI1120" s="125" t="s">
        <v>259</v>
      </c>
      <c r="AJ1120" s="125">
        <v>0</v>
      </c>
      <c r="AK1120" s="125">
        <v>0</v>
      </c>
      <c r="AL1120" s="125">
        <v>0</v>
      </c>
      <c r="AM1120" s="125">
        <v>0</v>
      </c>
      <c r="AN1120" s="125">
        <v>0</v>
      </c>
      <c r="AO1120" s="125">
        <v>0</v>
      </c>
      <c r="AP1120" s="125">
        <v>0</v>
      </c>
      <c r="AQ1120" s="125">
        <v>0</v>
      </c>
      <c r="AR1120" s="125">
        <v>36.127428000000002</v>
      </c>
      <c r="AS1120" s="125" t="s">
        <v>259</v>
      </c>
      <c r="AT1120" s="125">
        <v>36.268335</v>
      </c>
      <c r="AU1120" s="125" t="s">
        <v>252</v>
      </c>
      <c r="AV1120" s="125">
        <v>44.185583999999999</v>
      </c>
      <c r="AW1120" s="125" t="s">
        <v>252</v>
      </c>
      <c r="AX1120" s="125">
        <f t="shared" si="0"/>
        <v>301.74723120000004</v>
      </c>
      <c r="AY1120" s="125">
        <f>0.0015+0.0428+0.0043+0.0032+0.0682</f>
        <v>0.12</v>
      </c>
      <c r="AZ1120" s="181" t="s">
        <v>1429</v>
      </c>
      <c r="BA1120" s="181" t="s">
        <v>254</v>
      </c>
      <c r="BB1120" s="181">
        <v>1</v>
      </c>
      <c r="BC1120" s="125" t="s">
        <v>255</v>
      </c>
    </row>
    <row r="1121" spans="1:55" ht="16.350000000000001" customHeight="1" outlineLevel="1">
      <c r="A1121" s="92">
        <v>1111</v>
      </c>
      <c r="B1121" s="99" t="s">
        <v>782</v>
      </c>
      <c r="C1121" s="122" t="s">
        <v>778</v>
      </c>
      <c r="D1121" s="161" t="s">
        <v>781</v>
      </c>
      <c r="E1121" s="123" t="s">
        <v>734</v>
      </c>
      <c r="F1121" s="124" t="s">
        <v>1425</v>
      </c>
      <c r="G1121" s="133" t="s">
        <v>247</v>
      </c>
      <c r="H1121" s="134" t="s">
        <v>248</v>
      </c>
      <c r="I1121" s="134" t="s">
        <v>1426</v>
      </c>
      <c r="J1121" s="134" t="s">
        <v>139</v>
      </c>
      <c r="K1121" s="124" t="s">
        <v>140</v>
      </c>
      <c r="L1121" s="174">
        <v>1</v>
      </c>
      <c r="M1121" s="174" t="s">
        <v>250</v>
      </c>
      <c r="N1121" s="184">
        <v>80</v>
      </c>
      <c r="O1121" s="184">
        <v>6</v>
      </c>
      <c r="P1121" s="184" t="s">
        <v>1429</v>
      </c>
      <c r="Q1121" s="174" t="s">
        <v>233</v>
      </c>
      <c r="R1121" s="276" t="s">
        <v>240</v>
      </c>
      <c r="S1121" s="276" t="s">
        <v>233</v>
      </c>
      <c r="T1121" s="276" t="s">
        <v>240</v>
      </c>
      <c r="U1121" s="174" t="s">
        <v>1427</v>
      </c>
      <c r="V1121" s="276" t="s">
        <v>240</v>
      </c>
      <c r="W1121" s="130"/>
      <c r="X1121" s="125">
        <v>2474.64</v>
      </c>
      <c r="Y1121" s="126">
        <v>2599.38</v>
      </c>
      <c r="Z1121" s="127">
        <v>354.46467419999999</v>
      </c>
      <c r="AA1121" s="128" t="s">
        <v>252</v>
      </c>
      <c r="AB1121" s="125">
        <v>262.30122</v>
      </c>
      <c r="AC1121" s="128" t="s">
        <v>252</v>
      </c>
      <c r="AD1121" s="129">
        <v>393.53846399999998</v>
      </c>
      <c r="AE1121" s="125" t="s">
        <v>252</v>
      </c>
      <c r="AF1121" s="125">
        <v>166.36595800000001</v>
      </c>
      <c r="AG1121" s="125" t="s">
        <v>252</v>
      </c>
      <c r="AH1121" s="125">
        <v>14.970045999999998</v>
      </c>
      <c r="AI1121" s="125" t="s">
        <v>252</v>
      </c>
      <c r="AJ1121" s="125">
        <v>0</v>
      </c>
      <c r="AK1121" s="125">
        <v>0</v>
      </c>
      <c r="AL1121" s="125">
        <v>0</v>
      </c>
      <c r="AM1121" s="125">
        <v>0</v>
      </c>
      <c r="AN1121" s="125">
        <v>0</v>
      </c>
      <c r="AO1121" s="125">
        <v>0</v>
      </c>
      <c r="AP1121" s="125">
        <v>0</v>
      </c>
      <c r="AQ1121" s="125">
        <v>0</v>
      </c>
      <c r="AR1121" s="125">
        <v>210.62282400000001</v>
      </c>
      <c r="AS1121" s="125" t="s">
        <v>252</v>
      </c>
      <c r="AT1121" s="125">
        <v>156.999663</v>
      </c>
      <c r="AU1121" s="125" t="s">
        <v>252</v>
      </c>
      <c r="AV1121" s="125">
        <v>252.55785599999999</v>
      </c>
      <c r="AW1121" s="125" t="s">
        <v>252</v>
      </c>
      <c r="AX1121" s="125">
        <f t="shared" si="0"/>
        <v>1811.8207052</v>
      </c>
      <c r="AY1121" s="125">
        <f>0.0529+0.7071</f>
        <v>0.76</v>
      </c>
      <c r="AZ1121" s="181" t="s">
        <v>1429</v>
      </c>
      <c r="BA1121" s="181" t="s">
        <v>254</v>
      </c>
      <c r="BB1121" s="181">
        <v>1</v>
      </c>
      <c r="BC1121" s="125" t="s">
        <v>255</v>
      </c>
    </row>
    <row r="1122" spans="1:55" ht="16.350000000000001" customHeight="1" outlineLevel="1">
      <c r="A1122" s="92">
        <v>1112</v>
      </c>
      <c r="B1122" s="99" t="s">
        <v>783</v>
      </c>
      <c r="C1122" s="122" t="s">
        <v>778</v>
      </c>
      <c r="D1122" s="161">
        <v>6</v>
      </c>
      <c r="E1122" s="123" t="s">
        <v>734</v>
      </c>
      <c r="F1122" s="124" t="s">
        <v>1425</v>
      </c>
      <c r="G1122" s="133" t="s">
        <v>247</v>
      </c>
      <c r="H1122" s="317" t="s">
        <v>248</v>
      </c>
      <c r="I1122" s="317" t="s">
        <v>1426</v>
      </c>
      <c r="J1122" s="317" t="s">
        <v>139</v>
      </c>
      <c r="K1122" s="317" t="s">
        <v>140</v>
      </c>
      <c r="L1122" s="317">
        <v>1</v>
      </c>
      <c r="M1122" s="317" t="s">
        <v>250</v>
      </c>
      <c r="N1122" s="314">
        <v>80</v>
      </c>
      <c r="O1122" s="314">
        <v>6</v>
      </c>
      <c r="P1122" s="314" t="s">
        <v>1429</v>
      </c>
      <c r="Q1122" s="317" t="s">
        <v>233</v>
      </c>
      <c r="R1122" s="321" t="s">
        <v>240</v>
      </c>
      <c r="S1122" s="321" t="s">
        <v>233</v>
      </c>
      <c r="T1122" s="321" t="s">
        <v>240</v>
      </c>
      <c r="U1122" s="317" t="s">
        <v>1427</v>
      </c>
      <c r="V1122" s="321" t="s">
        <v>240</v>
      </c>
      <c r="W1122" s="165"/>
      <c r="X1122" s="292">
        <v>883.73</v>
      </c>
      <c r="Y1122" s="295">
        <v>901.96</v>
      </c>
      <c r="Z1122" s="297">
        <v>128.4371256</v>
      </c>
      <c r="AA1122" s="299" t="s">
        <v>252</v>
      </c>
      <c r="AB1122" s="292">
        <v>97.996499999999997</v>
      </c>
      <c r="AC1122" s="299" t="s">
        <v>252</v>
      </c>
      <c r="AD1122" s="301">
        <v>135.15953400000001</v>
      </c>
      <c r="AE1122" s="292" t="s">
        <v>252</v>
      </c>
      <c r="AF1122" s="292">
        <v>78.182434000000001</v>
      </c>
      <c r="AG1122" s="292" t="s">
        <v>252</v>
      </c>
      <c r="AH1122" s="292">
        <v>19.215489999999999</v>
      </c>
      <c r="AI1122" s="292" t="s">
        <v>252</v>
      </c>
      <c r="AJ1122" s="292">
        <v>0</v>
      </c>
      <c r="AK1122" s="292">
        <v>0</v>
      </c>
      <c r="AL1122" s="292">
        <v>0</v>
      </c>
      <c r="AM1122" s="292">
        <v>0</v>
      </c>
      <c r="AN1122" s="292">
        <v>0</v>
      </c>
      <c r="AO1122" s="292">
        <v>0</v>
      </c>
      <c r="AP1122" s="292">
        <v>0</v>
      </c>
      <c r="AQ1122" s="292">
        <v>0</v>
      </c>
      <c r="AR1122" s="292">
        <v>103.9698300756</v>
      </c>
      <c r="AS1122" s="292" t="s">
        <v>312</v>
      </c>
      <c r="AT1122" s="292">
        <v>87.102377470799993</v>
      </c>
      <c r="AU1122" s="292" t="s">
        <v>312</v>
      </c>
      <c r="AV1122" s="292">
        <v>93.710639999999998</v>
      </c>
      <c r="AW1122" s="292" t="s">
        <v>252</v>
      </c>
      <c r="AX1122" s="292">
        <f t="shared" si="0"/>
        <v>743.77393114640006</v>
      </c>
      <c r="AY1122" s="338">
        <f>0.24</f>
        <v>0.24</v>
      </c>
      <c r="AZ1122" s="313" t="s">
        <v>1429</v>
      </c>
      <c r="BA1122" s="313" t="s">
        <v>254</v>
      </c>
      <c r="BB1122" s="313">
        <v>1</v>
      </c>
      <c r="BC1122" s="292" t="s">
        <v>255</v>
      </c>
    </row>
    <row r="1123" spans="1:55" ht="16.350000000000001" customHeight="1" outlineLevel="1">
      <c r="A1123" s="92">
        <v>1113</v>
      </c>
      <c r="B1123" s="99" t="s">
        <v>784</v>
      </c>
      <c r="C1123" s="122" t="s">
        <v>778</v>
      </c>
      <c r="D1123" s="161">
        <v>6</v>
      </c>
      <c r="E1123" s="123" t="s">
        <v>737</v>
      </c>
      <c r="F1123" s="124" t="s">
        <v>1425</v>
      </c>
      <c r="G1123" s="133" t="s">
        <v>247</v>
      </c>
      <c r="H1123" s="318"/>
      <c r="I1123" s="318"/>
      <c r="J1123" s="318"/>
      <c r="K1123" s="318"/>
      <c r="L1123" s="318"/>
      <c r="M1123" s="318"/>
      <c r="N1123" s="314"/>
      <c r="O1123" s="314"/>
      <c r="P1123" s="314"/>
      <c r="Q1123" s="318"/>
      <c r="R1123" s="321"/>
      <c r="S1123" s="321"/>
      <c r="T1123" s="321"/>
      <c r="U1123" s="318"/>
      <c r="V1123" s="321"/>
      <c r="W1123" s="169"/>
      <c r="X1123" s="293"/>
      <c r="Y1123" s="308"/>
      <c r="Z1123" s="309"/>
      <c r="AA1123" s="310"/>
      <c r="AB1123" s="293"/>
      <c r="AC1123" s="310"/>
      <c r="AD1123" s="311"/>
      <c r="AE1123" s="293"/>
      <c r="AF1123" s="293"/>
      <c r="AG1123" s="293"/>
      <c r="AH1123" s="293"/>
      <c r="AI1123" s="293"/>
      <c r="AJ1123" s="293"/>
      <c r="AK1123" s="293"/>
      <c r="AL1123" s="293"/>
      <c r="AM1123" s="293"/>
      <c r="AN1123" s="293"/>
      <c r="AO1123" s="293"/>
      <c r="AP1123" s="293"/>
      <c r="AQ1123" s="293"/>
      <c r="AR1123" s="293"/>
      <c r="AS1123" s="293"/>
      <c r="AT1123" s="293"/>
      <c r="AU1123" s="293"/>
      <c r="AV1123" s="293"/>
      <c r="AW1123" s="293"/>
      <c r="AX1123" s="293">
        <f t="shared" si="0"/>
        <v>0</v>
      </c>
      <c r="AY1123" s="366"/>
      <c r="AZ1123" s="313"/>
      <c r="BA1123" s="313"/>
      <c r="BB1123" s="313"/>
      <c r="BC1123" s="293"/>
    </row>
    <row r="1124" spans="1:55" ht="16.350000000000001" customHeight="1" outlineLevel="1">
      <c r="A1124" s="92">
        <v>1114</v>
      </c>
      <c r="B1124" s="99" t="s">
        <v>785</v>
      </c>
      <c r="C1124" s="122" t="s">
        <v>778</v>
      </c>
      <c r="D1124" s="161">
        <v>6</v>
      </c>
      <c r="E1124" s="123" t="s">
        <v>745</v>
      </c>
      <c r="F1124" s="124" t="s">
        <v>1425</v>
      </c>
      <c r="G1124" s="133" t="s">
        <v>247</v>
      </c>
      <c r="H1124" s="318"/>
      <c r="I1124" s="318"/>
      <c r="J1124" s="318"/>
      <c r="K1124" s="318"/>
      <c r="L1124" s="318"/>
      <c r="M1124" s="318"/>
      <c r="N1124" s="314"/>
      <c r="O1124" s="314"/>
      <c r="P1124" s="314"/>
      <c r="Q1124" s="318"/>
      <c r="R1124" s="321"/>
      <c r="S1124" s="321"/>
      <c r="T1124" s="321"/>
      <c r="U1124" s="318"/>
      <c r="V1124" s="321"/>
      <c r="W1124" s="169"/>
      <c r="X1124" s="293"/>
      <c r="Y1124" s="308"/>
      <c r="Z1124" s="309"/>
      <c r="AA1124" s="310"/>
      <c r="AB1124" s="293"/>
      <c r="AC1124" s="310"/>
      <c r="AD1124" s="311"/>
      <c r="AE1124" s="293"/>
      <c r="AF1124" s="293"/>
      <c r="AG1124" s="293"/>
      <c r="AH1124" s="293"/>
      <c r="AI1124" s="293"/>
      <c r="AJ1124" s="293"/>
      <c r="AK1124" s="293"/>
      <c r="AL1124" s="293"/>
      <c r="AM1124" s="293"/>
      <c r="AN1124" s="293"/>
      <c r="AO1124" s="293"/>
      <c r="AP1124" s="293"/>
      <c r="AQ1124" s="293"/>
      <c r="AR1124" s="293"/>
      <c r="AS1124" s="293"/>
      <c r="AT1124" s="293"/>
      <c r="AU1124" s="293"/>
      <c r="AV1124" s="293"/>
      <c r="AW1124" s="293"/>
      <c r="AX1124" s="293">
        <f t="shared" si="0"/>
        <v>0</v>
      </c>
      <c r="AY1124" s="366"/>
      <c r="AZ1124" s="313"/>
      <c r="BA1124" s="313"/>
      <c r="BB1124" s="313"/>
      <c r="BC1124" s="293"/>
    </row>
    <row r="1125" spans="1:55" ht="16.350000000000001" customHeight="1" outlineLevel="1">
      <c r="A1125" s="92">
        <v>1115</v>
      </c>
      <c r="B1125" s="99" t="s">
        <v>786</v>
      </c>
      <c r="C1125" s="122" t="s">
        <v>778</v>
      </c>
      <c r="D1125" s="161">
        <v>6</v>
      </c>
      <c r="E1125" s="123" t="s">
        <v>760</v>
      </c>
      <c r="F1125" s="124" t="s">
        <v>1425</v>
      </c>
      <c r="G1125" s="133" t="s">
        <v>247</v>
      </c>
      <c r="H1125" s="318"/>
      <c r="I1125" s="318"/>
      <c r="J1125" s="318"/>
      <c r="K1125" s="318"/>
      <c r="L1125" s="318"/>
      <c r="M1125" s="318"/>
      <c r="N1125" s="314"/>
      <c r="O1125" s="314"/>
      <c r="P1125" s="314"/>
      <c r="Q1125" s="318"/>
      <c r="R1125" s="321"/>
      <c r="S1125" s="321"/>
      <c r="T1125" s="321"/>
      <c r="U1125" s="318"/>
      <c r="V1125" s="321"/>
      <c r="W1125" s="169"/>
      <c r="X1125" s="293"/>
      <c r="Y1125" s="308"/>
      <c r="Z1125" s="309"/>
      <c r="AA1125" s="310"/>
      <c r="AB1125" s="293"/>
      <c r="AC1125" s="310"/>
      <c r="AD1125" s="311"/>
      <c r="AE1125" s="293"/>
      <c r="AF1125" s="293"/>
      <c r="AG1125" s="293"/>
      <c r="AH1125" s="293"/>
      <c r="AI1125" s="293"/>
      <c r="AJ1125" s="293"/>
      <c r="AK1125" s="293"/>
      <c r="AL1125" s="293"/>
      <c r="AM1125" s="293"/>
      <c r="AN1125" s="293"/>
      <c r="AO1125" s="293"/>
      <c r="AP1125" s="293"/>
      <c r="AQ1125" s="293"/>
      <c r="AR1125" s="293"/>
      <c r="AS1125" s="293"/>
      <c r="AT1125" s="293"/>
      <c r="AU1125" s="293"/>
      <c r="AV1125" s="293"/>
      <c r="AW1125" s="293"/>
      <c r="AX1125" s="293">
        <f t="shared" si="0"/>
        <v>0</v>
      </c>
      <c r="AY1125" s="366"/>
      <c r="AZ1125" s="313"/>
      <c r="BA1125" s="313"/>
      <c r="BB1125" s="313"/>
      <c r="BC1125" s="293"/>
    </row>
    <row r="1126" spans="1:55" ht="16.350000000000001" customHeight="1" outlineLevel="1">
      <c r="A1126" s="92">
        <v>1116</v>
      </c>
      <c r="B1126" s="99" t="s">
        <v>788</v>
      </c>
      <c r="C1126" s="122" t="s">
        <v>778</v>
      </c>
      <c r="D1126" s="161">
        <v>6</v>
      </c>
      <c r="E1126" s="123" t="s">
        <v>787</v>
      </c>
      <c r="F1126" s="124" t="s">
        <v>1425</v>
      </c>
      <c r="G1126" s="133" t="s">
        <v>247</v>
      </c>
      <c r="H1126" s="319"/>
      <c r="I1126" s="319"/>
      <c r="J1126" s="319"/>
      <c r="K1126" s="319"/>
      <c r="L1126" s="319"/>
      <c r="M1126" s="319"/>
      <c r="N1126" s="314"/>
      <c r="O1126" s="314"/>
      <c r="P1126" s="314"/>
      <c r="Q1126" s="319"/>
      <c r="R1126" s="321"/>
      <c r="S1126" s="321"/>
      <c r="T1126" s="321"/>
      <c r="U1126" s="319"/>
      <c r="V1126" s="321"/>
      <c r="W1126" s="166"/>
      <c r="X1126" s="294"/>
      <c r="Y1126" s="296"/>
      <c r="Z1126" s="298"/>
      <c r="AA1126" s="300"/>
      <c r="AB1126" s="294"/>
      <c r="AC1126" s="300"/>
      <c r="AD1126" s="302"/>
      <c r="AE1126" s="294"/>
      <c r="AF1126" s="294"/>
      <c r="AG1126" s="294"/>
      <c r="AH1126" s="294"/>
      <c r="AI1126" s="294"/>
      <c r="AJ1126" s="294"/>
      <c r="AK1126" s="294"/>
      <c r="AL1126" s="294"/>
      <c r="AM1126" s="294"/>
      <c r="AN1126" s="294"/>
      <c r="AO1126" s="294"/>
      <c r="AP1126" s="294"/>
      <c r="AQ1126" s="294"/>
      <c r="AR1126" s="294"/>
      <c r="AS1126" s="294"/>
      <c r="AT1126" s="294"/>
      <c r="AU1126" s="294"/>
      <c r="AV1126" s="294"/>
      <c r="AW1126" s="294"/>
      <c r="AX1126" s="294">
        <f t="shared" si="0"/>
        <v>0</v>
      </c>
      <c r="AY1126" s="339"/>
      <c r="AZ1126" s="313"/>
      <c r="BA1126" s="313"/>
      <c r="BB1126" s="313"/>
      <c r="BC1126" s="294"/>
    </row>
    <row r="1127" spans="1:55" ht="16.350000000000001" customHeight="1" outlineLevel="1">
      <c r="A1127" s="92">
        <v>1117</v>
      </c>
      <c r="B1127" s="99" t="s">
        <v>791</v>
      </c>
      <c r="C1127" s="122" t="s">
        <v>789</v>
      </c>
      <c r="D1127" s="161">
        <v>19</v>
      </c>
      <c r="E1127" s="123" t="s">
        <v>734</v>
      </c>
      <c r="F1127" s="124" t="s">
        <v>1234</v>
      </c>
      <c r="G1127" s="133" t="s">
        <v>247</v>
      </c>
      <c r="H1127" s="334" t="s">
        <v>1424</v>
      </c>
      <c r="I1127" s="334" t="s">
        <v>1426</v>
      </c>
      <c r="J1127" s="317" t="s">
        <v>139</v>
      </c>
      <c r="K1127" s="317" t="s">
        <v>140</v>
      </c>
      <c r="L1127" s="334">
        <v>1</v>
      </c>
      <c r="M1127" s="334" t="s">
        <v>250</v>
      </c>
      <c r="N1127" s="315">
        <v>89</v>
      </c>
      <c r="O1127" s="315">
        <v>5.5890000000000004</v>
      </c>
      <c r="P1127" s="315" t="s">
        <v>253</v>
      </c>
      <c r="Q1127" s="317" t="s">
        <v>240</v>
      </c>
      <c r="R1127" s="320" t="s">
        <v>240</v>
      </c>
      <c r="S1127" s="320" t="s">
        <v>233</v>
      </c>
      <c r="T1127" s="320" t="s">
        <v>240</v>
      </c>
      <c r="U1127" s="334" t="s">
        <v>1428</v>
      </c>
      <c r="V1127" s="320" t="s">
        <v>240</v>
      </c>
      <c r="W1127" s="213"/>
      <c r="X1127" s="292">
        <v>552.95000000000005</v>
      </c>
      <c r="Y1127" s="295">
        <v>675.1</v>
      </c>
      <c r="Z1127" s="297">
        <f>27.13+13.43+11.88+38.91</f>
        <v>91.35</v>
      </c>
      <c r="AA1127" s="299" t="s">
        <v>259</v>
      </c>
      <c r="AB1127" s="292">
        <f>40.58+4.55+11+50.07</f>
        <v>106.19999999999999</v>
      </c>
      <c r="AC1127" s="299" t="s">
        <v>252</v>
      </c>
      <c r="AD1127" s="301">
        <v>129.9</v>
      </c>
      <c r="AE1127" s="292" t="s">
        <v>252</v>
      </c>
      <c r="AF1127" s="292">
        <f>25.15+2.82+6.81+31.02</f>
        <v>65.8</v>
      </c>
      <c r="AG1127" s="292" t="s">
        <v>252</v>
      </c>
      <c r="AH1127" s="292">
        <f>13.96+1.55+3.79+17.2</f>
        <v>36.5</v>
      </c>
      <c r="AI1127" s="292" t="s">
        <v>252</v>
      </c>
      <c r="AJ1127" s="292">
        <v>0</v>
      </c>
      <c r="AK1127" s="292">
        <v>0</v>
      </c>
      <c r="AL1127" s="292">
        <v>0</v>
      </c>
      <c r="AM1127" s="292">
        <v>0</v>
      </c>
      <c r="AN1127" s="292">
        <v>0</v>
      </c>
      <c r="AO1127" s="292">
        <v>0</v>
      </c>
      <c r="AP1127" s="292">
        <v>0</v>
      </c>
      <c r="AQ1127" s="292">
        <v>0</v>
      </c>
      <c r="AR1127" s="292">
        <f>21.12+2.36+5.72+26.06</f>
        <v>55.26</v>
      </c>
      <c r="AS1127" s="292" t="s">
        <v>252</v>
      </c>
      <c r="AT1127" s="292">
        <f>26.58+2.98+7.2+32.79</f>
        <v>69.55</v>
      </c>
      <c r="AU1127" s="292" t="s">
        <v>252</v>
      </c>
      <c r="AV1127" s="292">
        <f>34.86+3.91+9.46+43</f>
        <v>91.22999999999999</v>
      </c>
      <c r="AW1127" s="292" t="s">
        <v>252</v>
      </c>
      <c r="AX1127" s="292">
        <f t="shared" si="0"/>
        <v>645.79</v>
      </c>
      <c r="AY1127" s="125">
        <v>0.11942999999999999</v>
      </c>
      <c r="AZ1127" s="312" t="s">
        <v>253</v>
      </c>
      <c r="BA1127" s="312" t="s">
        <v>254</v>
      </c>
      <c r="BB1127" s="312" t="s">
        <v>1430</v>
      </c>
      <c r="BC1127" s="336" t="s">
        <v>255</v>
      </c>
    </row>
    <row r="1128" spans="1:55" ht="16.350000000000001" customHeight="1" outlineLevel="1">
      <c r="A1128" s="92">
        <v>1118</v>
      </c>
      <c r="B1128" s="99" t="s">
        <v>794</v>
      </c>
      <c r="C1128" s="122" t="s">
        <v>789</v>
      </c>
      <c r="D1128" s="161">
        <v>19</v>
      </c>
      <c r="E1128" s="123" t="s">
        <v>737</v>
      </c>
      <c r="F1128" s="124" t="s">
        <v>1234</v>
      </c>
      <c r="G1128" s="133" t="s">
        <v>247</v>
      </c>
      <c r="H1128" s="335"/>
      <c r="I1128" s="335"/>
      <c r="J1128" s="319"/>
      <c r="K1128" s="319"/>
      <c r="L1128" s="335"/>
      <c r="M1128" s="335"/>
      <c r="N1128" s="315"/>
      <c r="O1128" s="315"/>
      <c r="P1128" s="315"/>
      <c r="Q1128" s="319"/>
      <c r="R1128" s="320"/>
      <c r="S1128" s="320"/>
      <c r="T1128" s="320"/>
      <c r="U1128" s="335"/>
      <c r="V1128" s="320"/>
      <c r="W1128" s="214"/>
      <c r="X1128" s="294"/>
      <c r="Y1128" s="296"/>
      <c r="Z1128" s="298"/>
      <c r="AA1128" s="300"/>
      <c r="AB1128" s="294"/>
      <c r="AC1128" s="300"/>
      <c r="AD1128" s="302"/>
      <c r="AE1128" s="294"/>
      <c r="AF1128" s="294"/>
      <c r="AG1128" s="294"/>
      <c r="AH1128" s="294"/>
      <c r="AI1128" s="294"/>
      <c r="AJ1128" s="294"/>
      <c r="AK1128" s="294"/>
      <c r="AL1128" s="294"/>
      <c r="AM1128" s="294"/>
      <c r="AN1128" s="294"/>
      <c r="AO1128" s="294"/>
      <c r="AP1128" s="294"/>
      <c r="AQ1128" s="294"/>
      <c r="AR1128" s="294"/>
      <c r="AS1128" s="294"/>
      <c r="AT1128" s="294"/>
      <c r="AU1128" s="294"/>
      <c r="AV1128" s="294"/>
      <c r="AW1128" s="294"/>
      <c r="AX1128" s="294">
        <f t="shared" si="0"/>
        <v>0</v>
      </c>
      <c r="AY1128" s="125">
        <v>0.16159000000000001</v>
      </c>
      <c r="AZ1128" s="312"/>
      <c r="BA1128" s="312"/>
      <c r="BB1128" s="312"/>
      <c r="BC1128" s="337"/>
    </row>
    <row r="1129" spans="1:55" ht="16.350000000000001" customHeight="1" outlineLevel="1">
      <c r="A1129" s="92">
        <v>1119</v>
      </c>
      <c r="B1129" s="99" t="s">
        <v>795</v>
      </c>
      <c r="C1129" s="122" t="s">
        <v>789</v>
      </c>
      <c r="D1129" s="161">
        <v>21</v>
      </c>
      <c r="E1129" s="123" t="s">
        <v>734</v>
      </c>
      <c r="F1129" s="124" t="s">
        <v>1234</v>
      </c>
      <c r="G1129" s="133" t="s">
        <v>247</v>
      </c>
      <c r="H1129" s="334" t="s">
        <v>1424</v>
      </c>
      <c r="I1129" s="334" t="s">
        <v>1426</v>
      </c>
      <c r="J1129" s="317" t="s">
        <v>139</v>
      </c>
      <c r="K1129" s="317" t="s">
        <v>140</v>
      </c>
      <c r="L1129" s="334">
        <v>2</v>
      </c>
      <c r="M1129" s="334" t="s">
        <v>250</v>
      </c>
      <c r="N1129" s="183">
        <v>76</v>
      </c>
      <c r="O1129" s="183">
        <v>5.548</v>
      </c>
      <c r="P1129" s="315" t="s">
        <v>253</v>
      </c>
      <c r="Q1129" s="317" t="s">
        <v>240</v>
      </c>
      <c r="R1129" s="320" t="s">
        <v>240</v>
      </c>
      <c r="S1129" s="320" t="s">
        <v>233</v>
      </c>
      <c r="T1129" s="320" t="s">
        <v>240</v>
      </c>
      <c r="U1129" s="334" t="s">
        <v>1428</v>
      </c>
      <c r="V1129" s="320" t="s">
        <v>240</v>
      </c>
      <c r="W1129" s="214"/>
      <c r="X1129" s="292">
        <v>289.77</v>
      </c>
      <c r="Y1129" s="295">
        <v>400.31</v>
      </c>
      <c r="Z1129" s="297">
        <f>1.23+6.87+4.33+39.55</f>
        <v>51.98</v>
      </c>
      <c r="AA1129" s="299" t="s">
        <v>259</v>
      </c>
      <c r="AB1129" s="292">
        <f>1.08+10.82+4.31+39.59</f>
        <v>55.800000000000004</v>
      </c>
      <c r="AC1129" s="299" t="s">
        <v>252</v>
      </c>
      <c r="AD1129" s="301">
        <v>72.400000000000006</v>
      </c>
      <c r="AE1129" s="292" t="s">
        <v>252</v>
      </c>
      <c r="AF1129" s="292">
        <f>0.64+6.46+2.77+25.43</f>
        <v>35.299999999999997</v>
      </c>
      <c r="AG1129" s="292" t="s">
        <v>252</v>
      </c>
      <c r="AH1129" s="292">
        <f>0.32+3.18+1.37+12.46</f>
        <v>17.330000000000002</v>
      </c>
      <c r="AI1129" s="292" t="s">
        <v>252</v>
      </c>
      <c r="AJ1129" s="292">
        <v>0</v>
      </c>
      <c r="AK1129" s="292">
        <v>0</v>
      </c>
      <c r="AL1129" s="292">
        <v>0</v>
      </c>
      <c r="AM1129" s="292">
        <v>0</v>
      </c>
      <c r="AN1129" s="292">
        <v>0</v>
      </c>
      <c r="AO1129" s="292">
        <v>0</v>
      </c>
      <c r="AP1129" s="292">
        <v>0</v>
      </c>
      <c r="AQ1129" s="292">
        <v>0</v>
      </c>
      <c r="AR1129" s="292">
        <f>0.52+5.23+2.22+20.41</f>
        <v>28.380000000000003</v>
      </c>
      <c r="AS1129" s="292" t="s">
        <v>252</v>
      </c>
      <c r="AT1129" s="292">
        <f>0.63+6.32+2.59+23.78</f>
        <v>33.32</v>
      </c>
      <c r="AU1129" s="292" t="s">
        <v>252</v>
      </c>
      <c r="AV1129" s="292">
        <f>0.87+8.75+3.5+32.11</f>
        <v>45.23</v>
      </c>
      <c r="AW1129" s="292" t="s">
        <v>252</v>
      </c>
      <c r="AX1129" s="292">
        <f t="shared" si="0"/>
        <v>339.74000000000007</v>
      </c>
      <c r="AY1129" s="125">
        <v>3.3119999999999997E-2</v>
      </c>
      <c r="AZ1129" s="312" t="s">
        <v>253</v>
      </c>
      <c r="BA1129" s="312" t="s">
        <v>254</v>
      </c>
      <c r="BB1129" s="312" t="s">
        <v>1430</v>
      </c>
      <c r="BC1129" s="336" t="s">
        <v>255</v>
      </c>
    </row>
    <row r="1130" spans="1:55" ht="16.350000000000001" customHeight="1" outlineLevel="1">
      <c r="A1130" s="92">
        <v>1120</v>
      </c>
      <c r="B1130" s="99" t="s">
        <v>796</v>
      </c>
      <c r="C1130" s="122" t="s">
        <v>789</v>
      </c>
      <c r="D1130" s="161">
        <v>21</v>
      </c>
      <c r="E1130" s="123" t="s">
        <v>737</v>
      </c>
      <c r="F1130" s="124" t="s">
        <v>1234</v>
      </c>
      <c r="G1130" s="133" t="s">
        <v>247</v>
      </c>
      <c r="H1130" s="335"/>
      <c r="I1130" s="335"/>
      <c r="J1130" s="319"/>
      <c r="K1130" s="319"/>
      <c r="L1130" s="335"/>
      <c r="M1130" s="335"/>
      <c r="N1130" s="183">
        <v>57</v>
      </c>
      <c r="O1130" s="183">
        <v>5.57</v>
      </c>
      <c r="P1130" s="315"/>
      <c r="Q1130" s="319"/>
      <c r="R1130" s="320"/>
      <c r="S1130" s="320"/>
      <c r="T1130" s="320"/>
      <c r="U1130" s="335"/>
      <c r="V1130" s="320"/>
      <c r="W1130" s="215"/>
      <c r="X1130" s="294"/>
      <c r="Y1130" s="296"/>
      <c r="Z1130" s="298"/>
      <c r="AA1130" s="300"/>
      <c r="AB1130" s="294"/>
      <c r="AC1130" s="300"/>
      <c r="AD1130" s="302"/>
      <c r="AE1130" s="294"/>
      <c r="AF1130" s="294"/>
      <c r="AG1130" s="294"/>
      <c r="AH1130" s="294"/>
      <c r="AI1130" s="294"/>
      <c r="AJ1130" s="294"/>
      <c r="AK1130" s="294"/>
      <c r="AL1130" s="294"/>
      <c r="AM1130" s="294"/>
      <c r="AN1130" s="294"/>
      <c r="AO1130" s="294"/>
      <c r="AP1130" s="294"/>
      <c r="AQ1130" s="294"/>
      <c r="AR1130" s="294"/>
      <c r="AS1130" s="294"/>
      <c r="AT1130" s="294"/>
      <c r="AU1130" s="294"/>
      <c r="AV1130" s="294"/>
      <c r="AW1130" s="294"/>
      <c r="AX1130" s="294">
        <f t="shared" si="0"/>
        <v>0</v>
      </c>
      <c r="AY1130" s="125">
        <v>0.11241</v>
      </c>
      <c r="AZ1130" s="312"/>
      <c r="BA1130" s="312"/>
      <c r="BB1130" s="312"/>
      <c r="BC1130" s="337"/>
    </row>
    <row r="1131" spans="1:55" ht="16.350000000000001" customHeight="1" outlineLevel="1">
      <c r="A1131" s="92">
        <v>1121</v>
      </c>
      <c r="B1131" s="99" t="s">
        <v>797</v>
      </c>
      <c r="C1131" s="122" t="s">
        <v>789</v>
      </c>
      <c r="D1131" s="161">
        <v>23</v>
      </c>
      <c r="E1131" s="123" t="s">
        <v>734</v>
      </c>
      <c r="F1131" s="124" t="s">
        <v>1234</v>
      </c>
      <c r="G1131" s="133" t="s">
        <v>247</v>
      </c>
      <c r="H1131" s="134" t="s">
        <v>1424</v>
      </c>
      <c r="I1131" s="134" t="s">
        <v>1426</v>
      </c>
      <c r="J1131" s="134" t="s">
        <v>139</v>
      </c>
      <c r="K1131" s="124" t="s">
        <v>140</v>
      </c>
      <c r="L1131" s="174">
        <v>1</v>
      </c>
      <c r="M1131" s="174" t="s">
        <v>250</v>
      </c>
      <c r="N1131" s="184">
        <v>108</v>
      </c>
      <c r="O1131" s="184">
        <v>5.5389999999999997</v>
      </c>
      <c r="P1131" s="184" t="s">
        <v>253</v>
      </c>
      <c r="Q1131" s="174" t="s">
        <v>240</v>
      </c>
      <c r="R1131" s="276" t="s">
        <v>240</v>
      </c>
      <c r="S1131" s="276" t="s">
        <v>233</v>
      </c>
      <c r="T1131" s="276" t="s">
        <v>240</v>
      </c>
      <c r="U1131" s="174" t="s">
        <v>1428</v>
      </c>
      <c r="V1131" s="276" t="s">
        <v>240</v>
      </c>
      <c r="W1131" s="130"/>
      <c r="X1131" s="125">
        <v>615.53</v>
      </c>
      <c r="Y1131" s="126">
        <v>925.16</v>
      </c>
      <c r="Z1131" s="127">
        <f>9.21+106.7</f>
        <v>115.91</v>
      </c>
      <c r="AA1131" s="128" t="s">
        <v>259</v>
      </c>
      <c r="AB1131" s="125">
        <f>2.88+95.72</f>
        <v>98.6</v>
      </c>
      <c r="AC1131" s="128" t="s">
        <v>252</v>
      </c>
      <c r="AD1131" s="129">
        <v>124.39999999999999</v>
      </c>
      <c r="AE1131" s="125" t="s">
        <v>252</v>
      </c>
      <c r="AF1131" s="125">
        <f>1.75+58.35</f>
        <v>60.1</v>
      </c>
      <c r="AG1131" s="125" t="s">
        <v>252</v>
      </c>
      <c r="AH1131" s="125">
        <f>0.92+30.98</f>
        <v>31.900000000000002</v>
      </c>
      <c r="AI1131" s="125" t="s">
        <v>252</v>
      </c>
      <c r="AJ1131" s="125">
        <v>0</v>
      </c>
      <c r="AK1131" s="125">
        <v>0</v>
      </c>
      <c r="AL1131" s="125">
        <v>0</v>
      </c>
      <c r="AM1131" s="125">
        <v>0</v>
      </c>
      <c r="AN1131" s="125">
        <v>0</v>
      </c>
      <c r="AO1131" s="125">
        <v>0</v>
      </c>
      <c r="AP1131" s="125">
        <v>0</v>
      </c>
      <c r="AQ1131" s="125">
        <v>0</v>
      </c>
      <c r="AR1131" s="125">
        <f>1.53+50.76</f>
        <v>52.29</v>
      </c>
      <c r="AS1131" s="125" t="s">
        <v>252</v>
      </c>
      <c r="AT1131" s="125">
        <f>1.77+59.01</f>
        <v>60.78</v>
      </c>
      <c r="AU1131" s="125" t="s">
        <v>252</v>
      </c>
      <c r="AV1131" s="125">
        <f>2.35+77.97</f>
        <v>80.319999999999993</v>
      </c>
      <c r="AW1131" s="125" t="s">
        <v>252</v>
      </c>
      <c r="AX1131" s="125">
        <f t="shared" si="0"/>
        <v>624.29999999999995</v>
      </c>
      <c r="AY1131" s="125">
        <v>0.30913000000000002</v>
      </c>
      <c r="AZ1131" s="181" t="s">
        <v>253</v>
      </c>
      <c r="BA1131" s="181" t="s">
        <v>254</v>
      </c>
      <c r="BB1131" s="181" t="s">
        <v>1430</v>
      </c>
      <c r="BC1131" s="125" t="s">
        <v>255</v>
      </c>
    </row>
    <row r="1132" spans="1:55" ht="16.350000000000001" customHeight="1" outlineLevel="1">
      <c r="A1132" s="92">
        <v>1122</v>
      </c>
      <c r="B1132" s="99" t="s">
        <v>798</v>
      </c>
      <c r="C1132" s="122" t="s">
        <v>789</v>
      </c>
      <c r="D1132" s="161">
        <v>25</v>
      </c>
      <c r="E1132" s="123" t="s">
        <v>734</v>
      </c>
      <c r="F1132" s="124" t="s">
        <v>1234</v>
      </c>
      <c r="G1132" s="133" t="s">
        <v>247</v>
      </c>
      <c r="H1132" s="134" t="s">
        <v>1424</v>
      </c>
      <c r="I1132" s="134" t="s">
        <v>1426</v>
      </c>
      <c r="J1132" s="134" t="s">
        <v>139</v>
      </c>
      <c r="K1132" s="124" t="s">
        <v>140</v>
      </c>
      <c r="L1132" s="174">
        <v>1</v>
      </c>
      <c r="M1132" s="174" t="s">
        <v>250</v>
      </c>
      <c r="N1132" s="184">
        <v>89</v>
      </c>
      <c r="O1132" s="184">
        <v>5.5289999999999999</v>
      </c>
      <c r="P1132" s="184" t="s">
        <v>253</v>
      </c>
      <c r="Q1132" s="174" t="s">
        <v>240</v>
      </c>
      <c r="R1132" s="276" t="s">
        <v>240</v>
      </c>
      <c r="S1132" s="276" t="s">
        <v>233</v>
      </c>
      <c r="T1132" s="276" t="s">
        <v>240</v>
      </c>
      <c r="U1132" s="174" t="s">
        <v>1428</v>
      </c>
      <c r="V1132" s="276" t="s">
        <v>240</v>
      </c>
      <c r="W1132" s="130"/>
      <c r="X1132" s="125">
        <v>367.71</v>
      </c>
      <c r="Y1132" s="126">
        <v>423.04</v>
      </c>
      <c r="Z1132" s="127">
        <f>21.5+35.81</f>
        <v>57.31</v>
      </c>
      <c r="AA1132" s="128" t="s">
        <v>259</v>
      </c>
      <c r="AB1132" s="125">
        <f>17.23+47.47</f>
        <v>64.7</v>
      </c>
      <c r="AC1132" s="128" t="s">
        <v>252</v>
      </c>
      <c r="AD1132" s="129">
        <v>82.8</v>
      </c>
      <c r="AE1132" s="125" t="s">
        <v>252</v>
      </c>
      <c r="AF1132" s="125">
        <f>10.84+29.86</f>
        <v>40.700000000000003</v>
      </c>
      <c r="AG1132" s="125" t="s">
        <v>252</v>
      </c>
      <c r="AH1132" s="125">
        <f>5.77+15.93</f>
        <v>21.7</v>
      </c>
      <c r="AI1132" s="125" t="s">
        <v>252</v>
      </c>
      <c r="AJ1132" s="125">
        <v>0</v>
      </c>
      <c r="AK1132" s="125">
        <v>0</v>
      </c>
      <c r="AL1132" s="125">
        <v>0</v>
      </c>
      <c r="AM1132" s="125">
        <v>0</v>
      </c>
      <c r="AN1132" s="125">
        <v>0</v>
      </c>
      <c r="AO1132" s="125">
        <v>0</v>
      </c>
      <c r="AP1132" s="125">
        <v>0</v>
      </c>
      <c r="AQ1132" s="125">
        <v>0</v>
      </c>
      <c r="AR1132" s="125">
        <f>9.3+25.64</f>
        <v>34.94</v>
      </c>
      <c r="AS1132" s="125" t="s">
        <v>252</v>
      </c>
      <c r="AT1132" s="125">
        <f>10.7+29.47</f>
        <v>40.17</v>
      </c>
      <c r="AU1132" s="125" t="s">
        <v>252</v>
      </c>
      <c r="AV1132" s="125">
        <f>14.28+39.33</f>
        <v>53.61</v>
      </c>
      <c r="AW1132" s="125" t="s">
        <v>252</v>
      </c>
      <c r="AX1132" s="125">
        <f t="shared" si="0"/>
        <v>395.93</v>
      </c>
      <c r="AY1132" s="125">
        <v>0.18467</v>
      </c>
      <c r="AZ1132" s="181" t="s">
        <v>253</v>
      </c>
      <c r="BA1132" s="181" t="s">
        <v>254</v>
      </c>
      <c r="BB1132" s="181" t="s">
        <v>1430</v>
      </c>
      <c r="BC1132" s="125" t="s">
        <v>255</v>
      </c>
    </row>
    <row r="1133" spans="1:55" ht="16.350000000000001" customHeight="1" outlineLevel="1">
      <c r="A1133" s="92">
        <v>1123</v>
      </c>
      <c r="B1133" s="99" t="s">
        <v>799</v>
      </c>
      <c r="C1133" s="122" t="s">
        <v>789</v>
      </c>
      <c r="D1133" s="161">
        <v>31</v>
      </c>
      <c r="E1133" s="123" t="s">
        <v>734</v>
      </c>
      <c r="F1133" s="124" t="s">
        <v>1234</v>
      </c>
      <c r="G1133" s="133" t="s">
        <v>247</v>
      </c>
      <c r="H1133" s="134" t="s">
        <v>1424</v>
      </c>
      <c r="I1133" s="134" t="s">
        <v>1426</v>
      </c>
      <c r="J1133" s="134" t="s">
        <v>139</v>
      </c>
      <c r="K1133" s="124" t="s">
        <v>140</v>
      </c>
      <c r="L1133" s="174">
        <v>1</v>
      </c>
      <c r="M1133" s="174" t="s">
        <v>250</v>
      </c>
      <c r="N1133" s="184">
        <v>80</v>
      </c>
      <c r="O1133" s="184">
        <v>3.3</v>
      </c>
      <c r="P1133" s="184" t="s">
        <v>253</v>
      </c>
      <c r="Q1133" s="174" t="s">
        <v>240</v>
      </c>
      <c r="R1133" s="276" t="s">
        <v>240</v>
      </c>
      <c r="S1133" s="276" t="s">
        <v>233</v>
      </c>
      <c r="T1133" s="276" t="s">
        <v>240</v>
      </c>
      <c r="U1133" s="174" t="s">
        <v>1428</v>
      </c>
      <c r="V1133" s="276" t="s">
        <v>240</v>
      </c>
      <c r="W1133" s="130"/>
      <c r="X1133" s="125">
        <v>513.29999999999995</v>
      </c>
      <c r="Y1133" s="126">
        <v>755.11</v>
      </c>
      <c r="Z1133" s="127">
        <f>22.8+74.55</f>
        <v>97.35</v>
      </c>
      <c r="AA1133" s="128" t="s">
        <v>259</v>
      </c>
      <c r="AB1133" s="125">
        <f>22.8+74.55</f>
        <v>97.35</v>
      </c>
      <c r="AC1133" s="128" t="s">
        <v>259</v>
      </c>
      <c r="AD1133" s="129">
        <v>97.35</v>
      </c>
      <c r="AE1133" s="125" t="s">
        <v>259</v>
      </c>
      <c r="AF1133" s="125">
        <f>22.8+74.55</f>
        <v>97.35</v>
      </c>
      <c r="AG1133" s="125" t="s">
        <v>259</v>
      </c>
      <c r="AH1133" s="125">
        <f>2.35+11.95</f>
        <v>14.299999999999999</v>
      </c>
      <c r="AI1133" s="125" t="s">
        <v>252</v>
      </c>
      <c r="AJ1133" s="125">
        <v>0</v>
      </c>
      <c r="AK1133" s="125">
        <v>0</v>
      </c>
      <c r="AL1133" s="125">
        <v>0</v>
      </c>
      <c r="AM1133" s="125">
        <v>0</v>
      </c>
      <c r="AN1133" s="125">
        <v>0</v>
      </c>
      <c r="AO1133" s="125">
        <v>0</v>
      </c>
      <c r="AP1133" s="125">
        <v>0</v>
      </c>
      <c r="AQ1133" s="125">
        <v>0</v>
      </c>
      <c r="AR1133" s="125">
        <f>8.05+40.83</f>
        <v>48.879999999999995</v>
      </c>
      <c r="AS1133" s="125" t="s">
        <v>252</v>
      </c>
      <c r="AT1133" s="125">
        <f>9.03+45.87</f>
        <v>54.9</v>
      </c>
      <c r="AU1133" s="125" t="s">
        <v>252</v>
      </c>
      <c r="AV1133" s="125">
        <f>12.95+65.69</f>
        <v>78.64</v>
      </c>
      <c r="AW1133" s="125" t="s">
        <v>252</v>
      </c>
      <c r="AX1133" s="125">
        <f t="shared" si="0"/>
        <v>586.12</v>
      </c>
      <c r="AY1133" s="125">
        <v>0.24990999999999999</v>
      </c>
      <c r="AZ1133" s="181" t="s">
        <v>253</v>
      </c>
      <c r="BA1133" s="181" t="s">
        <v>254</v>
      </c>
      <c r="BB1133" s="181" t="s">
        <v>1430</v>
      </c>
      <c r="BC1133" s="125" t="s">
        <v>255</v>
      </c>
    </row>
    <row r="1134" spans="1:55" ht="16.350000000000001" customHeight="1" outlineLevel="1">
      <c r="A1134" s="92">
        <v>1124</v>
      </c>
      <c r="B1134" s="99" t="s">
        <v>800</v>
      </c>
      <c r="C1134" s="122" t="s">
        <v>789</v>
      </c>
      <c r="D1134" s="161">
        <v>33</v>
      </c>
      <c r="E1134" s="123" t="s">
        <v>734</v>
      </c>
      <c r="F1134" s="124" t="s">
        <v>1234</v>
      </c>
      <c r="G1134" s="133" t="s">
        <v>247</v>
      </c>
      <c r="H1134" s="134" t="s">
        <v>1424</v>
      </c>
      <c r="I1134" s="134" t="s">
        <v>1426</v>
      </c>
      <c r="J1134" s="134" t="s">
        <v>139</v>
      </c>
      <c r="K1134" s="124" t="s">
        <v>140</v>
      </c>
      <c r="L1134" s="174">
        <v>1</v>
      </c>
      <c r="M1134" s="174" t="s">
        <v>250</v>
      </c>
      <c r="N1134" s="184">
        <v>100</v>
      </c>
      <c r="O1134" s="184">
        <v>3.3</v>
      </c>
      <c r="P1134" s="184" t="s">
        <v>253</v>
      </c>
      <c r="Q1134" s="174" t="s">
        <v>240</v>
      </c>
      <c r="R1134" s="276" t="s">
        <v>240</v>
      </c>
      <c r="S1134" s="276" t="s">
        <v>233</v>
      </c>
      <c r="T1134" s="276" t="s">
        <v>240</v>
      </c>
      <c r="U1134" s="174" t="s">
        <v>1428</v>
      </c>
      <c r="V1134" s="276" t="s">
        <v>240</v>
      </c>
      <c r="W1134" s="130"/>
      <c r="X1134" s="125">
        <v>740.19</v>
      </c>
      <c r="Y1134" s="126">
        <v>951.18</v>
      </c>
      <c r="Z1134" s="127">
        <f>19.71+99.83</f>
        <v>119.53999999999999</v>
      </c>
      <c r="AA1134" s="128" t="s">
        <v>259</v>
      </c>
      <c r="AB1134" s="125">
        <f>13.04+83.5</f>
        <v>96.539999999999992</v>
      </c>
      <c r="AC1134" s="128" t="s">
        <v>252</v>
      </c>
      <c r="AD1134" s="129">
        <v>144.67000000000002</v>
      </c>
      <c r="AE1134" s="125" t="s">
        <v>252</v>
      </c>
      <c r="AF1134" s="125">
        <f>9.59+61.44</f>
        <v>71.03</v>
      </c>
      <c r="AG1134" s="125" t="s">
        <v>252</v>
      </c>
      <c r="AH1134" s="125">
        <f>3.89+25</f>
        <v>28.89</v>
      </c>
      <c r="AI1134" s="125" t="s">
        <v>252</v>
      </c>
      <c r="AJ1134" s="125">
        <v>0</v>
      </c>
      <c r="AK1134" s="125">
        <v>0</v>
      </c>
      <c r="AL1134" s="125">
        <v>0</v>
      </c>
      <c r="AM1134" s="125">
        <v>0</v>
      </c>
      <c r="AN1134" s="125">
        <v>0</v>
      </c>
      <c r="AO1134" s="125">
        <v>0</v>
      </c>
      <c r="AP1134" s="125">
        <v>0</v>
      </c>
      <c r="AQ1134" s="125">
        <v>0</v>
      </c>
      <c r="AR1134" s="125">
        <f>7.86+50.43</f>
        <v>58.29</v>
      </c>
      <c r="AS1134" s="125" t="s">
        <v>252</v>
      </c>
      <c r="AT1134" s="125">
        <f>8.36+53.57</f>
        <v>61.93</v>
      </c>
      <c r="AU1134" s="125" t="s">
        <v>252</v>
      </c>
      <c r="AV1134" s="125">
        <f>12.48+79.98</f>
        <v>92.460000000000008</v>
      </c>
      <c r="AW1134" s="125" t="s">
        <v>252</v>
      </c>
      <c r="AX1134" s="125">
        <f t="shared" si="0"/>
        <v>673.34999999999991</v>
      </c>
      <c r="AY1134" s="125">
        <v>0.38278000000000001</v>
      </c>
      <c r="AZ1134" s="181" t="s">
        <v>253</v>
      </c>
      <c r="BA1134" s="181" t="s">
        <v>254</v>
      </c>
      <c r="BB1134" s="181" t="s">
        <v>1430</v>
      </c>
      <c r="BC1134" s="125" t="s">
        <v>255</v>
      </c>
    </row>
    <row r="1135" spans="1:55" ht="16.350000000000001" customHeight="1" outlineLevel="1">
      <c r="A1135" s="92">
        <v>1125</v>
      </c>
      <c r="B1135" s="99" t="s">
        <v>801</v>
      </c>
      <c r="C1135" s="122" t="s">
        <v>789</v>
      </c>
      <c r="D1135" s="161" t="s">
        <v>802</v>
      </c>
      <c r="E1135" s="123" t="s">
        <v>767</v>
      </c>
      <c r="F1135" s="124" t="s">
        <v>1234</v>
      </c>
      <c r="G1135" s="133" t="s">
        <v>247</v>
      </c>
      <c r="H1135" s="134" t="s">
        <v>1424</v>
      </c>
      <c r="I1135" s="134" t="s">
        <v>1426</v>
      </c>
      <c r="J1135" s="134" t="s">
        <v>139</v>
      </c>
      <c r="K1135" s="124" t="s">
        <v>140</v>
      </c>
      <c r="L1135" s="174">
        <v>3</v>
      </c>
      <c r="M1135" s="174" t="s">
        <v>250</v>
      </c>
      <c r="N1135" s="184">
        <v>65</v>
      </c>
      <c r="O1135" s="184">
        <v>4.3</v>
      </c>
      <c r="P1135" s="184" t="s">
        <v>253</v>
      </c>
      <c r="Q1135" s="174" t="s">
        <v>240</v>
      </c>
      <c r="R1135" s="276" t="s">
        <v>240</v>
      </c>
      <c r="S1135" s="276" t="s">
        <v>233</v>
      </c>
      <c r="T1135" s="276" t="s">
        <v>240</v>
      </c>
      <c r="U1135" s="174" t="s">
        <v>1428</v>
      </c>
      <c r="V1135" s="276" t="s">
        <v>240</v>
      </c>
      <c r="W1135" s="130"/>
      <c r="X1135" s="125">
        <v>481.16</v>
      </c>
      <c r="Y1135" s="126">
        <v>720.59</v>
      </c>
      <c r="Z1135" s="127">
        <f>7.82+80.63</f>
        <v>88.449999999999989</v>
      </c>
      <c r="AA1135" s="128" t="s">
        <v>259</v>
      </c>
      <c r="AB1135" s="125">
        <f>1.69+36.51</f>
        <v>38.199999999999996</v>
      </c>
      <c r="AC1135" s="128" t="s">
        <v>252</v>
      </c>
      <c r="AD1135" s="129">
        <v>30.199999999999982</v>
      </c>
      <c r="AE1135" s="125" t="s">
        <v>259</v>
      </c>
      <c r="AF1135" s="125">
        <f>1.64+35.46</f>
        <v>37.1</v>
      </c>
      <c r="AG1135" s="125" t="s">
        <v>252</v>
      </c>
      <c r="AH1135" s="125">
        <f>0.95+6.05+12.4+4.45</f>
        <v>23.849999999999998</v>
      </c>
      <c r="AI1135" s="125" t="s">
        <v>1237</v>
      </c>
      <c r="AJ1135" s="125">
        <v>0</v>
      </c>
      <c r="AK1135" s="125">
        <v>0</v>
      </c>
      <c r="AL1135" s="125">
        <v>0</v>
      </c>
      <c r="AM1135" s="125">
        <v>0</v>
      </c>
      <c r="AN1135" s="125">
        <v>0</v>
      </c>
      <c r="AO1135" s="125">
        <v>0</v>
      </c>
      <c r="AP1135" s="125">
        <v>4.8</v>
      </c>
      <c r="AQ1135" s="125" t="s">
        <v>259</v>
      </c>
      <c r="AR1135" s="125">
        <f>-4.8+1.97+12.47+27.88+20.97</f>
        <v>58.489999999999995</v>
      </c>
      <c r="AS1135" s="125" t="s">
        <v>252</v>
      </c>
      <c r="AT1135" s="125">
        <f>7.46+77.01+15.71+21.38</f>
        <v>121.56</v>
      </c>
      <c r="AU1135" s="125" t="s">
        <v>1237</v>
      </c>
      <c r="AV1135" s="125">
        <f>2.67+16.86+24.88+30.26</f>
        <v>74.67</v>
      </c>
      <c r="AW1135" s="125" t="s">
        <v>252</v>
      </c>
      <c r="AX1135" s="125">
        <f t="shared" si="0"/>
        <v>477.32</v>
      </c>
      <c r="AY1135" s="125">
        <v>0.24990999999999999</v>
      </c>
      <c r="AZ1135" s="181" t="s">
        <v>253</v>
      </c>
      <c r="BA1135" s="181" t="s">
        <v>254</v>
      </c>
      <c r="BB1135" s="181" t="s">
        <v>1430</v>
      </c>
      <c r="BC1135" s="125" t="s">
        <v>255</v>
      </c>
    </row>
    <row r="1136" spans="1:55" ht="16.350000000000001" customHeight="1" outlineLevel="1">
      <c r="A1136" s="92">
        <v>1126</v>
      </c>
      <c r="B1136" s="99" t="s">
        <v>803</v>
      </c>
      <c r="C1136" s="122" t="s">
        <v>789</v>
      </c>
      <c r="D1136" s="161">
        <v>39</v>
      </c>
      <c r="E1136" s="123" t="s">
        <v>734</v>
      </c>
      <c r="F1136" s="124" t="s">
        <v>1234</v>
      </c>
      <c r="G1136" s="133" t="s">
        <v>247</v>
      </c>
      <c r="H1136" s="134" t="s">
        <v>1424</v>
      </c>
      <c r="I1136" s="134" t="s">
        <v>1426</v>
      </c>
      <c r="J1136" s="134" t="s">
        <v>139</v>
      </c>
      <c r="K1136" s="124" t="s">
        <v>140</v>
      </c>
      <c r="L1136" s="174">
        <v>1</v>
      </c>
      <c r="M1136" s="174" t="s">
        <v>250</v>
      </c>
      <c r="N1136" s="184">
        <v>80</v>
      </c>
      <c r="O1136" s="184">
        <v>4.3</v>
      </c>
      <c r="P1136" s="184" t="s">
        <v>253</v>
      </c>
      <c r="Q1136" s="174" t="s">
        <v>240</v>
      </c>
      <c r="R1136" s="276" t="s">
        <v>240</v>
      </c>
      <c r="S1136" s="276" t="s">
        <v>233</v>
      </c>
      <c r="T1136" s="276" t="s">
        <v>240</v>
      </c>
      <c r="U1136" s="174" t="s">
        <v>1428</v>
      </c>
      <c r="V1136" s="276" t="s">
        <v>240</v>
      </c>
      <c r="W1136" s="130"/>
      <c r="X1136" s="125">
        <v>467.62</v>
      </c>
      <c r="Y1136" s="126">
        <v>728.56</v>
      </c>
      <c r="Z1136" s="127">
        <f>16.8+53.48+3.58+20.66</f>
        <v>94.52</v>
      </c>
      <c r="AA1136" s="128" t="s">
        <v>259</v>
      </c>
      <c r="AB1136" s="125">
        <f>9.32+45.99+2.8+17.09</f>
        <v>75.2</v>
      </c>
      <c r="AC1136" s="128" t="s">
        <v>252</v>
      </c>
      <c r="AD1136" s="129">
        <v>104.9</v>
      </c>
      <c r="AE1136" s="125" t="s">
        <v>252</v>
      </c>
      <c r="AF1136" s="125">
        <f>5.83+28.81+1.75+10.71</f>
        <v>47.1</v>
      </c>
      <c r="AG1136" s="125" t="s">
        <v>252</v>
      </c>
      <c r="AH1136" s="125">
        <f>2.4+11.8+0.72+4.38</f>
        <v>19.3</v>
      </c>
      <c r="AI1136" s="125" t="s">
        <v>252</v>
      </c>
      <c r="AJ1136" s="125">
        <v>0</v>
      </c>
      <c r="AK1136" s="125">
        <v>0</v>
      </c>
      <c r="AL1136" s="125">
        <v>0</v>
      </c>
      <c r="AM1136" s="125">
        <v>0</v>
      </c>
      <c r="AN1136" s="125">
        <v>0</v>
      </c>
      <c r="AO1136" s="125">
        <v>0</v>
      </c>
      <c r="AP1136" s="125">
        <v>0</v>
      </c>
      <c r="AQ1136" s="125">
        <v>0</v>
      </c>
      <c r="AR1136" s="125">
        <f>4.85+23.9+1.46+8.88</f>
        <v>39.090000000000003</v>
      </c>
      <c r="AS1136" s="125" t="s">
        <v>252</v>
      </c>
      <c r="AT1136" s="125">
        <f>5.11+25.18+1.53+9.35</f>
        <v>41.17</v>
      </c>
      <c r="AU1136" s="125" t="s">
        <v>252</v>
      </c>
      <c r="AV1136" s="125">
        <f>8.28+40.85+2.49+15.19</f>
        <v>66.81</v>
      </c>
      <c r="AW1136" s="125" t="s">
        <v>252</v>
      </c>
      <c r="AX1136" s="125">
        <f t="shared" si="0"/>
        <v>488.09000000000003</v>
      </c>
      <c r="AY1136" s="125">
        <f>0.17865+0.06423</f>
        <v>0.24287999999999998</v>
      </c>
      <c r="AZ1136" s="181" t="s">
        <v>253</v>
      </c>
      <c r="BA1136" s="181" t="s">
        <v>254</v>
      </c>
      <c r="BB1136" s="181" t="s">
        <v>1430</v>
      </c>
      <c r="BC1136" s="125" t="s">
        <v>255</v>
      </c>
    </row>
    <row r="1137" spans="1:55" ht="16.350000000000001" customHeight="1" outlineLevel="1">
      <c r="A1137" s="92">
        <v>1127</v>
      </c>
      <c r="B1137" s="99" t="s">
        <v>804</v>
      </c>
      <c r="C1137" s="122" t="s">
        <v>789</v>
      </c>
      <c r="D1137" s="161">
        <v>41</v>
      </c>
      <c r="E1137" s="123" t="s">
        <v>734</v>
      </c>
      <c r="F1137" s="124" t="s">
        <v>1234</v>
      </c>
      <c r="G1137" s="133" t="s">
        <v>247</v>
      </c>
      <c r="H1137" s="134" t="s">
        <v>1424</v>
      </c>
      <c r="I1137" s="134" t="s">
        <v>1426</v>
      </c>
      <c r="J1137" s="134" t="s">
        <v>139</v>
      </c>
      <c r="K1137" s="124" t="s">
        <v>140</v>
      </c>
      <c r="L1137" s="174">
        <v>2</v>
      </c>
      <c r="M1137" s="174" t="s">
        <v>250</v>
      </c>
      <c r="N1137" s="184" t="s">
        <v>1431</v>
      </c>
      <c r="O1137" s="184">
        <v>4.3</v>
      </c>
      <c r="P1137" s="184" t="s">
        <v>253</v>
      </c>
      <c r="Q1137" s="174" t="s">
        <v>240</v>
      </c>
      <c r="R1137" s="276" t="s">
        <v>240</v>
      </c>
      <c r="S1137" s="276" t="s">
        <v>233</v>
      </c>
      <c r="T1137" s="276" t="s">
        <v>240</v>
      </c>
      <c r="U1137" s="174" t="s">
        <v>1428</v>
      </c>
      <c r="V1137" s="276" t="s">
        <v>240</v>
      </c>
      <c r="W1137" s="130"/>
      <c r="X1137" s="125">
        <f>178.32+182.81+149.48+112.09+30.39+8.63+79.4+101.46+139.11</f>
        <v>981.69</v>
      </c>
      <c r="Y1137" s="126">
        <f>155.86+195.12+147.34+99.3+20.81+70.22+112.88+204.71</f>
        <v>1006.24</v>
      </c>
      <c r="Z1137" s="127">
        <v>201.9</v>
      </c>
      <c r="AA1137" s="128"/>
      <c r="AB1137" s="125">
        <v>142.76</v>
      </c>
      <c r="AC1137" s="128"/>
      <c r="AD1137" s="129">
        <v>206</v>
      </c>
      <c r="AE1137" s="125"/>
      <c r="AF1137" s="125">
        <v>64.400000000000006</v>
      </c>
      <c r="AG1137" s="125"/>
      <c r="AH1137" s="125">
        <v>28.5</v>
      </c>
      <c r="AI1137" s="125"/>
      <c r="AJ1137" s="125">
        <v>0</v>
      </c>
      <c r="AK1137" s="125">
        <v>0</v>
      </c>
      <c r="AL1137" s="125">
        <v>0</v>
      </c>
      <c r="AM1137" s="125">
        <v>0</v>
      </c>
      <c r="AN1137" s="125">
        <v>0</v>
      </c>
      <c r="AO1137" s="125">
        <v>0</v>
      </c>
      <c r="AP1137" s="125">
        <v>0</v>
      </c>
      <c r="AQ1137" s="125">
        <v>0</v>
      </c>
      <c r="AR1137" s="125">
        <v>164.63</v>
      </c>
      <c r="AS1137" s="125"/>
      <c r="AT1137" s="125">
        <v>70.13</v>
      </c>
      <c r="AU1137" s="125"/>
      <c r="AV1137" s="125">
        <v>130.88999999999999</v>
      </c>
      <c r="AW1137" s="125"/>
      <c r="AX1137" s="125">
        <f t="shared" si="0"/>
        <v>1009.2099999999999</v>
      </c>
      <c r="AY1137" s="125"/>
      <c r="AZ1137" s="181" t="s">
        <v>253</v>
      </c>
      <c r="BA1137" s="181" t="s">
        <v>254</v>
      </c>
      <c r="BB1137" s="181" t="s">
        <v>1430</v>
      </c>
      <c r="BC1137" s="125" t="s">
        <v>255</v>
      </c>
    </row>
    <row r="1138" spans="1:55" ht="16.350000000000001" customHeight="1" outlineLevel="1">
      <c r="A1138" s="92">
        <v>1128</v>
      </c>
      <c r="B1138" s="99" t="s">
        <v>805</v>
      </c>
      <c r="C1138" s="122" t="s">
        <v>789</v>
      </c>
      <c r="D1138" s="161">
        <v>45</v>
      </c>
      <c r="E1138" s="123" t="s">
        <v>737</v>
      </c>
      <c r="F1138" s="124" t="s">
        <v>1234</v>
      </c>
      <c r="G1138" s="133" t="s">
        <v>247</v>
      </c>
      <c r="H1138" s="173" t="s">
        <v>1424</v>
      </c>
      <c r="I1138" s="173" t="s">
        <v>1426</v>
      </c>
      <c r="J1138" s="134" t="s">
        <v>139</v>
      </c>
      <c r="K1138" s="124" t="s">
        <v>140</v>
      </c>
      <c r="L1138" s="173">
        <v>1</v>
      </c>
      <c r="M1138" s="173" t="s">
        <v>250</v>
      </c>
      <c r="N1138" s="183">
        <v>100</v>
      </c>
      <c r="O1138" s="183">
        <v>5.9</v>
      </c>
      <c r="P1138" s="183" t="s">
        <v>253</v>
      </c>
      <c r="Q1138" s="174" t="s">
        <v>240</v>
      </c>
      <c r="R1138" s="277" t="s">
        <v>240</v>
      </c>
      <c r="S1138" s="277" t="s">
        <v>233</v>
      </c>
      <c r="T1138" s="277" t="s">
        <v>240</v>
      </c>
      <c r="U1138" s="174" t="s">
        <v>1428</v>
      </c>
      <c r="V1138" s="277" t="s">
        <v>240</v>
      </c>
      <c r="W1138" s="182"/>
      <c r="X1138" s="125"/>
      <c r="Y1138" s="126"/>
      <c r="Z1138" s="127"/>
      <c r="AA1138" s="128"/>
      <c r="AB1138" s="125"/>
      <c r="AC1138" s="128"/>
      <c r="AD1138" s="129"/>
      <c r="AE1138" s="125"/>
      <c r="AF1138" s="125">
        <v>17.22</v>
      </c>
      <c r="AG1138" s="125"/>
      <c r="AH1138" s="125">
        <v>2.79</v>
      </c>
      <c r="AI1138" s="125"/>
      <c r="AJ1138" s="125">
        <v>0</v>
      </c>
      <c r="AK1138" s="125">
        <v>0</v>
      </c>
      <c r="AL1138" s="125">
        <v>0</v>
      </c>
      <c r="AM1138" s="125">
        <v>0</v>
      </c>
      <c r="AN1138" s="125">
        <v>0</v>
      </c>
      <c r="AO1138" s="125">
        <v>0</v>
      </c>
      <c r="AP1138" s="125">
        <v>0</v>
      </c>
      <c r="AQ1138" s="125">
        <v>0</v>
      </c>
      <c r="AR1138" s="125">
        <v>18.89</v>
      </c>
      <c r="AS1138" s="125"/>
      <c r="AT1138" s="125">
        <v>20.2</v>
      </c>
      <c r="AU1138" s="125"/>
      <c r="AV1138" s="125">
        <v>20.2</v>
      </c>
      <c r="AW1138" s="125"/>
      <c r="AX1138" s="125">
        <f t="shared" si="0"/>
        <v>79.3</v>
      </c>
      <c r="AY1138" s="125"/>
      <c r="AZ1138" s="180" t="s">
        <v>253</v>
      </c>
      <c r="BA1138" s="180" t="s">
        <v>254</v>
      </c>
      <c r="BB1138" s="180" t="s">
        <v>1430</v>
      </c>
      <c r="BC1138" s="125" t="s">
        <v>255</v>
      </c>
    </row>
    <row r="1139" spans="1:55" ht="16.350000000000001" customHeight="1" outlineLevel="1">
      <c r="A1139" s="92">
        <v>1129</v>
      </c>
      <c r="B1139" s="99" t="s">
        <v>806</v>
      </c>
      <c r="C1139" s="122" t="s">
        <v>789</v>
      </c>
      <c r="D1139" s="161">
        <v>51</v>
      </c>
      <c r="E1139" s="123" t="s">
        <v>734</v>
      </c>
      <c r="F1139" s="124" t="s">
        <v>1234</v>
      </c>
      <c r="G1139" s="133" t="s">
        <v>247</v>
      </c>
      <c r="H1139" s="134" t="s">
        <v>1424</v>
      </c>
      <c r="I1139" s="134" t="s">
        <v>1426</v>
      </c>
      <c r="J1139" s="134" t="s">
        <v>139</v>
      </c>
      <c r="K1139" s="124" t="s">
        <v>140</v>
      </c>
      <c r="L1139" s="174">
        <v>1</v>
      </c>
      <c r="M1139" s="174" t="s">
        <v>250</v>
      </c>
      <c r="N1139" s="184">
        <v>89</v>
      </c>
      <c r="O1139" s="184">
        <v>5.7</v>
      </c>
      <c r="P1139" s="184" t="s">
        <v>253</v>
      </c>
      <c r="Q1139" s="174" t="s">
        <v>240</v>
      </c>
      <c r="R1139" s="276" t="s">
        <v>240</v>
      </c>
      <c r="S1139" s="276" t="s">
        <v>233</v>
      </c>
      <c r="T1139" s="276" t="s">
        <v>240</v>
      </c>
      <c r="U1139" s="174" t="s">
        <v>1428</v>
      </c>
      <c r="V1139" s="276" t="s">
        <v>240</v>
      </c>
      <c r="W1139" s="130"/>
      <c r="X1139" s="125">
        <v>520.66</v>
      </c>
      <c r="Y1139" s="126">
        <v>692.79</v>
      </c>
      <c r="Z1139" s="127">
        <f>12.57+71.84</f>
        <v>84.41</v>
      </c>
      <c r="AA1139" s="128" t="s">
        <v>259</v>
      </c>
      <c r="AB1139" s="125">
        <f>12.57+71.84</f>
        <v>84.41</v>
      </c>
      <c r="AC1139" s="128" t="s">
        <v>259</v>
      </c>
      <c r="AD1139" s="129">
        <v>84.41</v>
      </c>
      <c r="AE1139" s="125" t="s">
        <v>259</v>
      </c>
      <c r="AF1139" s="125">
        <f>12.57+71.84</f>
        <v>84.41</v>
      </c>
      <c r="AG1139" s="125" t="s">
        <v>259</v>
      </c>
      <c r="AH1139" s="125">
        <f>3.65+20.86</f>
        <v>24.509999999999998</v>
      </c>
      <c r="AI1139" s="125" t="s">
        <v>259</v>
      </c>
      <c r="AJ1139" s="125">
        <v>0</v>
      </c>
      <c r="AK1139" s="125">
        <v>0</v>
      </c>
      <c r="AL1139" s="125">
        <v>0</v>
      </c>
      <c r="AM1139" s="125">
        <v>0</v>
      </c>
      <c r="AN1139" s="125">
        <v>0</v>
      </c>
      <c r="AO1139" s="125">
        <v>0</v>
      </c>
      <c r="AP1139" s="125">
        <v>0</v>
      </c>
      <c r="AQ1139" s="125">
        <v>0</v>
      </c>
      <c r="AR1139" s="125">
        <f>11.62+66.46</f>
        <v>78.08</v>
      </c>
      <c r="AS1139" s="125" t="s">
        <v>259</v>
      </c>
      <c r="AT1139" s="125">
        <f>12.02+68.68</f>
        <v>80.7</v>
      </c>
      <c r="AU1139" s="125" t="s">
        <v>259</v>
      </c>
      <c r="AV1139" s="125">
        <f>7.65+56.15</f>
        <v>63.8</v>
      </c>
      <c r="AW1139" s="125" t="s">
        <v>252</v>
      </c>
      <c r="AX1139" s="125">
        <f t="shared" si="0"/>
        <v>584.7299999999999</v>
      </c>
      <c r="AY1139" s="125">
        <v>0.25091999999999998</v>
      </c>
      <c r="AZ1139" s="181" t="s">
        <v>253</v>
      </c>
      <c r="BA1139" s="181" t="s">
        <v>254</v>
      </c>
      <c r="BB1139" s="181" t="s">
        <v>1430</v>
      </c>
      <c r="BC1139" s="125" t="s">
        <v>255</v>
      </c>
    </row>
    <row r="1140" spans="1:55" ht="16.350000000000001" customHeight="1" outlineLevel="1">
      <c r="A1140" s="92">
        <v>1130</v>
      </c>
      <c r="B1140" s="99" t="s">
        <v>807</v>
      </c>
      <c r="C1140" s="122" t="s">
        <v>789</v>
      </c>
      <c r="D1140" s="161">
        <v>53</v>
      </c>
      <c r="E1140" s="123" t="s">
        <v>734</v>
      </c>
      <c r="F1140" s="124" t="s">
        <v>1234</v>
      </c>
      <c r="G1140" s="133" t="s">
        <v>247</v>
      </c>
      <c r="H1140" s="134" t="s">
        <v>1424</v>
      </c>
      <c r="I1140" s="134" t="s">
        <v>1426</v>
      </c>
      <c r="J1140" s="134" t="s">
        <v>139</v>
      </c>
      <c r="K1140" s="124" t="s">
        <v>140</v>
      </c>
      <c r="L1140" s="174">
        <v>1</v>
      </c>
      <c r="M1140" s="174" t="s">
        <v>250</v>
      </c>
      <c r="N1140" s="184">
        <v>89</v>
      </c>
      <c r="O1140" s="184">
        <v>5.8</v>
      </c>
      <c r="P1140" s="184" t="s">
        <v>253</v>
      </c>
      <c r="Q1140" s="174" t="s">
        <v>240</v>
      </c>
      <c r="R1140" s="276" t="s">
        <v>240</v>
      </c>
      <c r="S1140" s="276" t="s">
        <v>233</v>
      </c>
      <c r="T1140" s="276" t="s">
        <v>240</v>
      </c>
      <c r="U1140" s="174" t="s">
        <v>1428</v>
      </c>
      <c r="V1140" s="276" t="s">
        <v>240</v>
      </c>
      <c r="W1140" s="130"/>
      <c r="X1140" s="125">
        <v>547.73</v>
      </c>
      <c r="Y1140" s="126">
        <v>720.74</v>
      </c>
      <c r="Z1140" s="127">
        <f>16.16+73.53</f>
        <v>89.69</v>
      </c>
      <c r="AA1140" s="128" t="s">
        <v>259</v>
      </c>
      <c r="AB1140" s="125">
        <f>16.16+73.53</f>
        <v>89.69</v>
      </c>
      <c r="AC1140" s="128" t="s">
        <v>259</v>
      </c>
      <c r="AD1140" s="129">
        <v>89.69</v>
      </c>
      <c r="AE1140" s="125" t="s">
        <v>259</v>
      </c>
      <c r="AF1140" s="125">
        <f>16.16+73.53</f>
        <v>89.69</v>
      </c>
      <c r="AG1140" s="125" t="s">
        <v>259</v>
      </c>
      <c r="AH1140" s="125">
        <f>4.69+21.34</f>
        <v>26.03</v>
      </c>
      <c r="AI1140" s="125" t="s">
        <v>259</v>
      </c>
      <c r="AJ1140" s="125">
        <v>0</v>
      </c>
      <c r="AK1140" s="125">
        <v>0</v>
      </c>
      <c r="AL1140" s="125">
        <v>0</v>
      </c>
      <c r="AM1140" s="125">
        <v>0</v>
      </c>
      <c r="AN1140" s="125">
        <v>0</v>
      </c>
      <c r="AO1140" s="125">
        <v>0</v>
      </c>
      <c r="AP1140" s="125">
        <v>0</v>
      </c>
      <c r="AQ1140" s="125">
        <v>0</v>
      </c>
      <c r="AR1140" s="125">
        <f>15.11+68.73</f>
        <v>83.84</v>
      </c>
      <c r="AS1140" s="125" t="s">
        <v>259</v>
      </c>
      <c r="AT1140" s="125">
        <f>15.61+71.02</f>
        <v>86.63</v>
      </c>
      <c r="AU1140" s="125" t="s">
        <v>259</v>
      </c>
      <c r="AV1140" s="125">
        <f>7.66+61.69</f>
        <v>69.349999999999994</v>
      </c>
      <c r="AW1140" s="125" t="s">
        <v>252</v>
      </c>
      <c r="AX1140" s="125">
        <f t="shared" si="0"/>
        <v>624.61</v>
      </c>
      <c r="AY1140" s="125">
        <v>0.26396999999999998</v>
      </c>
      <c r="AZ1140" s="181" t="s">
        <v>253</v>
      </c>
      <c r="BA1140" s="181" t="s">
        <v>254</v>
      </c>
      <c r="BB1140" s="181" t="s">
        <v>1430</v>
      </c>
      <c r="BC1140" s="125" t="s">
        <v>255</v>
      </c>
    </row>
    <row r="1141" spans="1:55" ht="16.350000000000001" customHeight="1" outlineLevel="1">
      <c r="A1141" s="92">
        <v>1131</v>
      </c>
      <c r="B1141" s="99" t="s">
        <v>808</v>
      </c>
      <c r="C1141" s="122" t="s">
        <v>789</v>
      </c>
      <c r="D1141" s="161">
        <v>55</v>
      </c>
      <c r="E1141" s="123" t="s">
        <v>734</v>
      </c>
      <c r="F1141" s="124" t="s">
        <v>1234</v>
      </c>
      <c r="G1141" s="133" t="s">
        <v>247</v>
      </c>
      <c r="H1141" s="317" t="s">
        <v>1424</v>
      </c>
      <c r="I1141" s="317" t="s">
        <v>1426</v>
      </c>
      <c r="J1141" s="317" t="s">
        <v>139</v>
      </c>
      <c r="K1141" s="317" t="s">
        <v>140</v>
      </c>
      <c r="L1141" s="317">
        <v>3</v>
      </c>
      <c r="M1141" s="317" t="s">
        <v>250</v>
      </c>
      <c r="N1141" s="184">
        <v>45</v>
      </c>
      <c r="O1141" s="314">
        <v>5.8</v>
      </c>
      <c r="P1141" s="314" t="s">
        <v>253</v>
      </c>
      <c r="Q1141" s="317" t="s">
        <v>240</v>
      </c>
      <c r="R1141" s="321" t="s">
        <v>240</v>
      </c>
      <c r="S1141" s="321" t="s">
        <v>233</v>
      </c>
      <c r="T1141" s="321" t="s">
        <v>240</v>
      </c>
      <c r="U1141" s="317" t="s">
        <v>1428</v>
      </c>
      <c r="V1141" s="321" t="s">
        <v>240</v>
      </c>
      <c r="W1141" s="165"/>
      <c r="X1141" s="292">
        <v>1057.95</v>
      </c>
      <c r="Y1141" s="295">
        <v>1289.81</v>
      </c>
      <c r="Z1141" s="297">
        <f>19.84+92.99+7.37+31.24+2.71+5.98</f>
        <v>160.13</v>
      </c>
      <c r="AA1141" s="299" t="s">
        <v>259</v>
      </c>
      <c r="AB1141" s="292">
        <f>19.84+92.99+5.89+31.24+2.71+5.98</f>
        <v>158.65</v>
      </c>
      <c r="AC1141" s="299" t="s">
        <v>259</v>
      </c>
      <c r="AD1141" s="301">
        <v>159.85999999999999</v>
      </c>
      <c r="AE1141" s="292" t="s">
        <v>259</v>
      </c>
      <c r="AF1141" s="292">
        <f>19.84+92.99+4.6+31.24+1.69+5.98</f>
        <v>156.33999999999997</v>
      </c>
      <c r="AG1141" s="292" t="s">
        <v>259</v>
      </c>
      <c r="AH1141" s="292">
        <f>5.76+27+0.74+9.07+0.27+1.74</f>
        <v>44.580000000000005</v>
      </c>
      <c r="AI1141" s="292" t="s">
        <v>259</v>
      </c>
      <c r="AJ1141" s="292">
        <v>0</v>
      </c>
      <c r="AK1141" s="292">
        <v>0</v>
      </c>
      <c r="AL1141" s="292">
        <v>0</v>
      </c>
      <c r="AM1141" s="292">
        <v>0</v>
      </c>
      <c r="AN1141" s="292">
        <v>0</v>
      </c>
      <c r="AO1141" s="292">
        <v>0</v>
      </c>
      <c r="AP1141" s="292">
        <v>0</v>
      </c>
      <c r="AQ1141" s="292">
        <v>0</v>
      </c>
      <c r="AR1141" s="292">
        <f>21+98.42+3.35+33.07+1.24+6.29</f>
        <v>163.37</v>
      </c>
      <c r="AS1141" s="292" t="s">
        <v>259</v>
      </c>
      <c r="AT1141" s="292">
        <f>21.7+101.7+4.25+34.17+1.57+6.5</f>
        <v>169.89</v>
      </c>
      <c r="AU1141" s="292" t="s">
        <v>259</v>
      </c>
      <c r="AV1141" s="292">
        <f>13.48+74.26+4.02+19.94+2.95+12.67</f>
        <v>127.32000000000001</v>
      </c>
      <c r="AW1141" s="292" t="s">
        <v>252</v>
      </c>
      <c r="AX1141" s="292">
        <f t="shared" si="0"/>
        <v>1140.1400000000001</v>
      </c>
      <c r="AY1141" s="125">
        <v>0.35931000000000002</v>
      </c>
      <c r="AZ1141" s="313" t="s">
        <v>253</v>
      </c>
      <c r="BA1141" s="313" t="s">
        <v>254</v>
      </c>
      <c r="BB1141" s="313" t="s">
        <v>1430</v>
      </c>
      <c r="BC1141" s="292" t="s">
        <v>255</v>
      </c>
    </row>
    <row r="1142" spans="1:55" ht="16.350000000000001" customHeight="1" outlineLevel="1">
      <c r="A1142" s="92">
        <v>1132</v>
      </c>
      <c r="B1142" s="99" t="s">
        <v>809</v>
      </c>
      <c r="C1142" s="122" t="s">
        <v>789</v>
      </c>
      <c r="D1142" s="161">
        <v>55</v>
      </c>
      <c r="E1142" s="123" t="s">
        <v>737</v>
      </c>
      <c r="F1142" s="124" t="s">
        <v>1234</v>
      </c>
      <c r="G1142" s="133" t="s">
        <v>247</v>
      </c>
      <c r="H1142" s="318"/>
      <c r="I1142" s="318"/>
      <c r="J1142" s="318"/>
      <c r="K1142" s="318"/>
      <c r="L1142" s="318"/>
      <c r="M1142" s="318"/>
      <c r="N1142" s="184">
        <v>76</v>
      </c>
      <c r="O1142" s="314"/>
      <c r="P1142" s="314"/>
      <c r="Q1142" s="318"/>
      <c r="R1142" s="321"/>
      <c r="S1142" s="321"/>
      <c r="T1142" s="321"/>
      <c r="U1142" s="318"/>
      <c r="V1142" s="321"/>
      <c r="W1142" s="169"/>
      <c r="X1142" s="293"/>
      <c r="Y1142" s="308"/>
      <c r="Z1142" s="309"/>
      <c r="AA1142" s="310"/>
      <c r="AB1142" s="293"/>
      <c r="AC1142" s="310"/>
      <c r="AD1142" s="311"/>
      <c r="AE1142" s="293"/>
      <c r="AF1142" s="293"/>
      <c r="AG1142" s="293"/>
      <c r="AH1142" s="293"/>
      <c r="AI1142" s="293"/>
      <c r="AJ1142" s="293"/>
      <c r="AK1142" s="293"/>
      <c r="AL1142" s="293"/>
      <c r="AM1142" s="293"/>
      <c r="AN1142" s="293"/>
      <c r="AO1142" s="293"/>
      <c r="AP1142" s="293"/>
      <c r="AQ1142" s="293"/>
      <c r="AR1142" s="293"/>
      <c r="AS1142" s="293"/>
      <c r="AT1142" s="293"/>
      <c r="AU1142" s="293"/>
      <c r="AV1142" s="293"/>
      <c r="AW1142" s="293"/>
      <c r="AX1142" s="293">
        <f t="shared" si="0"/>
        <v>0</v>
      </c>
      <c r="AY1142" s="125">
        <v>0.11341</v>
      </c>
      <c r="AZ1142" s="313"/>
      <c r="BA1142" s="313"/>
      <c r="BB1142" s="313"/>
      <c r="BC1142" s="293"/>
    </row>
    <row r="1143" spans="1:55" ht="16.350000000000001" customHeight="1" outlineLevel="1">
      <c r="A1143" s="92">
        <v>1133</v>
      </c>
      <c r="B1143" s="99" t="s">
        <v>810</v>
      </c>
      <c r="C1143" s="122" t="s">
        <v>789</v>
      </c>
      <c r="D1143" s="161">
        <v>55</v>
      </c>
      <c r="E1143" s="123" t="s">
        <v>812</v>
      </c>
      <c r="F1143" s="124" t="s">
        <v>1234</v>
      </c>
      <c r="G1143" s="133" t="s">
        <v>247</v>
      </c>
      <c r="H1143" s="319"/>
      <c r="I1143" s="319"/>
      <c r="J1143" s="319"/>
      <c r="K1143" s="319"/>
      <c r="L1143" s="319"/>
      <c r="M1143" s="319"/>
      <c r="N1143" s="184">
        <v>108</v>
      </c>
      <c r="O1143" s="314"/>
      <c r="P1143" s="314"/>
      <c r="Q1143" s="319"/>
      <c r="R1143" s="321"/>
      <c r="S1143" s="321"/>
      <c r="T1143" s="321"/>
      <c r="U1143" s="319"/>
      <c r="V1143" s="321"/>
      <c r="W1143" s="166"/>
      <c r="X1143" s="294"/>
      <c r="Y1143" s="296"/>
      <c r="Z1143" s="298"/>
      <c r="AA1143" s="300"/>
      <c r="AB1143" s="294"/>
      <c r="AC1143" s="300"/>
      <c r="AD1143" s="302"/>
      <c r="AE1143" s="294"/>
      <c r="AF1143" s="294"/>
      <c r="AG1143" s="294"/>
      <c r="AH1143" s="294"/>
      <c r="AI1143" s="294"/>
      <c r="AJ1143" s="294"/>
      <c r="AK1143" s="294"/>
      <c r="AL1143" s="294"/>
      <c r="AM1143" s="294"/>
      <c r="AN1143" s="294"/>
      <c r="AO1143" s="294"/>
      <c r="AP1143" s="294"/>
      <c r="AQ1143" s="294"/>
      <c r="AR1143" s="294"/>
      <c r="AS1143" s="294"/>
      <c r="AT1143" s="294"/>
      <c r="AU1143" s="294"/>
      <c r="AV1143" s="294"/>
      <c r="AW1143" s="294"/>
      <c r="AX1143" s="294">
        <f t="shared" si="0"/>
        <v>0</v>
      </c>
      <c r="AY1143" s="125">
        <v>3.7139999999999999E-2</v>
      </c>
      <c r="AZ1143" s="313"/>
      <c r="BA1143" s="313"/>
      <c r="BB1143" s="313"/>
      <c r="BC1143" s="294"/>
    </row>
    <row r="1144" spans="1:55" ht="16.350000000000001" customHeight="1" outlineLevel="1">
      <c r="A1144" s="92">
        <v>1134</v>
      </c>
      <c r="B1144" s="99" t="s">
        <v>811</v>
      </c>
      <c r="C1144" s="122" t="s">
        <v>789</v>
      </c>
      <c r="D1144" s="161">
        <v>57</v>
      </c>
      <c r="E1144" s="123" t="s">
        <v>734</v>
      </c>
      <c r="F1144" s="124" t="s">
        <v>1234</v>
      </c>
      <c r="G1144" s="133" t="s">
        <v>247</v>
      </c>
      <c r="H1144" s="134" t="s">
        <v>1424</v>
      </c>
      <c r="I1144" s="134" t="s">
        <v>1426</v>
      </c>
      <c r="J1144" s="134" t="s">
        <v>139</v>
      </c>
      <c r="K1144" s="124" t="s">
        <v>140</v>
      </c>
      <c r="L1144" s="174">
        <v>1</v>
      </c>
      <c r="M1144" s="174" t="s">
        <v>250</v>
      </c>
      <c r="N1144" s="184">
        <v>89</v>
      </c>
      <c r="O1144" s="184">
        <v>5.8</v>
      </c>
      <c r="P1144" s="184" t="s">
        <v>253</v>
      </c>
      <c r="Q1144" s="174" t="s">
        <v>240</v>
      </c>
      <c r="R1144" s="276" t="s">
        <v>240</v>
      </c>
      <c r="S1144" s="276" t="s">
        <v>233</v>
      </c>
      <c r="T1144" s="276" t="s">
        <v>240</v>
      </c>
      <c r="U1144" s="174" t="s">
        <v>1428</v>
      </c>
      <c r="V1144" s="276" t="s">
        <v>240</v>
      </c>
      <c r="W1144" s="130"/>
      <c r="X1144" s="125">
        <v>476.91</v>
      </c>
      <c r="Y1144" s="126">
        <v>640.22</v>
      </c>
      <c r="Z1144" s="127">
        <f>20.94+61.65</f>
        <v>82.59</v>
      </c>
      <c r="AA1144" s="128" t="s">
        <v>259</v>
      </c>
      <c r="AB1144" s="125">
        <f>20.33+59.85</f>
        <v>80.180000000000007</v>
      </c>
      <c r="AC1144" s="128" t="s">
        <v>259</v>
      </c>
      <c r="AD1144" s="129">
        <v>80.180000000000007</v>
      </c>
      <c r="AE1144" s="125" t="s">
        <v>259</v>
      </c>
      <c r="AF1144" s="125">
        <f>20.33+59.85</f>
        <v>80.180000000000007</v>
      </c>
      <c r="AG1144" s="125" t="s">
        <v>259</v>
      </c>
      <c r="AH1144" s="125">
        <f>5.9+17.38</f>
        <v>23.28</v>
      </c>
      <c r="AI1144" s="125" t="s">
        <v>259</v>
      </c>
      <c r="AJ1144" s="125">
        <v>0</v>
      </c>
      <c r="AK1144" s="125">
        <v>0</v>
      </c>
      <c r="AL1144" s="125">
        <v>0</v>
      </c>
      <c r="AM1144" s="125">
        <v>0</v>
      </c>
      <c r="AN1144" s="125">
        <v>0</v>
      </c>
      <c r="AO1144" s="125">
        <v>0</v>
      </c>
      <c r="AP1144" s="125">
        <v>0</v>
      </c>
      <c r="AQ1144" s="125">
        <v>0</v>
      </c>
      <c r="AR1144" s="125">
        <f>18.96+55.8</f>
        <v>74.759999999999991</v>
      </c>
      <c r="AS1144" s="125" t="s">
        <v>259</v>
      </c>
      <c r="AT1144" s="125">
        <f>19.59+57.66</f>
        <v>77.25</v>
      </c>
      <c r="AU1144" s="125" t="s">
        <v>259</v>
      </c>
      <c r="AV1144" s="125">
        <f>11.03+38.46</f>
        <v>49.49</v>
      </c>
      <c r="AW1144" s="125" t="s">
        <v>252</v>
      </c>
      <c r="AX1144" s="125">
        <f t="shared" si="0"/>
        <v>547.91</v>
      </c>
      <c r="AY1144" s="125">
        <v>0.22983999999999999</v>
      </c>
      <c r="AZ1144" s="181" t="s">
        <v>253</v>
      </c>
      <c r="BA1144" s="181" t="s">
        <v>254</v>
      </c>
      <c r="BB1144" s="181" t="s">
        <v>1430</v>
      </c>
      <c r="BC1144" s="125" t="s">
        <v>255</v>
      </c>
    </row>
    <row r="1145" spans="1:55" ht="16.350000000000001" customHeight="1" outlineLevel="1">
      <c r="A1145" s="92">
        <v>1135</v>
      </c>
      <c r="B1145" s="99" t="s">
        <v>813</v>
      </c>
      <c r="C1145" s="122" t="s">
        <v>815</v>
      </c>
      <c r="D1145" s="161">
        <v>10</v>
      </c>
      <c r="E1145" s="123" t="s">
        <v>734</v>
      </c>
      <c r="F1145" s="124" t="s">
        <v>1234</v>
      </c>
      <c r="G1145" s="133" t="s">
        <v>281</v>
      </c>
      <c r="H1145" s="134" t="s">
        <v>1424</v>
      </c>
      <c r="I1145" s="134" t="s">
        <v>1426</v>
      </c>
      <c r="J1145" s="134" t="s">
        <v>139</v>
      </c>
      <c r="K1145" s="124" t="s">
        <v>140</v>
      </c>
      <c r="L1145" s="174">
        <v>0</v>
      </c>
      <c r="M1145" s="174" t="s">
        <v>250</v>
      </c>
      <c r="N1145" s="184">
        <v>76</v>
      </c>
      <c r="O1145" s="184">
        <v>5.5</v>
      </c>
      <c r="P1145" s="184" t="s">
        <v>253</v>
      </c>
      <c r="Q1145" s="174" t="s">
        <v>240</v>
      </c>
      <c r="R1145" s="276" t="s">
        <v>240</v>
      </c>
      <c r="S1145" s="276" t="s">
        <v>240</v>
      </c>
      <c r="T1145" s="276" t="s">
        <v>233</v>
      </c>
      <c r="U1145" s="174" t="s">
        <v>1427</v>
      </c>
      <c r="V1145" s="276" t="s">
        <v>240</v>
      </c>
      <c r="W1145" s="130"/>
      <c r="X1145" s="125">
        <v>360.7</v>
      </c>
      <c r="Y1145" s="126">
        <v>458.51</v>
      </c>
      <c r="Z1145" s="127">
        <f>7.62+49.02</f>
        <v>56.64</v>
      </c>
      <c r="AA1145" s="128" t="s">
        <v>259</v>
      </c>
      <c r="AB1145" s="125">
        <f>7.62+49.02</f>
        <v>56.64</v>
      </c>
      <c r="AC1145" s="128" t="s">
        <v>259</v>
      </c>
      <c r="AD1145" s="129">
        <v>56.64</v>
      </c>
      <c r="AE1145" s="125" t="s">
        <v>259</v>
      </c>
      <c r="AF1145" s="125">
        <f>7.62+49.02</f>
        <v>56.64</v>
      </c>
      <c r="AG1145" s="125" t="s">
        <v>259</v>
      </c>
      <c r="AH1145" s="125">
        <f>2.21+14.23</f>
        <v>16.440000000000001</v>
      </c>
      <c r="AI1145" s="125" t="s">
        <v>259</v>
      </c>
      <c r="AJ1145" s="125">
        <v>0</v>
      </c>
      <c r="AK1145" s="125">
        <v>0</v>
      </c>
      <c r="AL1145" s="125">
        <v>0</v>
      </c>
      <c r="AM1145" s="125">
        <v>0</v>
      </c>
      <c r="AN1145" s="125">
        <v>0</v>
      </c>
      <c r="AO1145" s="125">
        <v>0</v>
      </c>
      <c r="AP1145" s="125">
        <f>1.65+10.64</f>
        <v>12.290000000000001</v>
      </c>
      <c r="AQ1145" s="125" t="s">
        <v>259</v>
      </c>
      <c r="AR1145" s="125">
        <f>7.09+45.58</f>
        <v>52.67</v>
      </c>
      <c r="AS1145" s="125" t="s">
        <v>259</v>
      </c>
      <c r="AT1145" s="125">
        <f>7.09+45.58</f>
        <v>52.67</v>
      </c>
      <c r="AU1145" s="125" t="s">
        <v>259</v>
      </c>
      <c r="AV1145" s="125">
        <f>7.09+45.58</f>
        <v>52.67</v>
      </c>
      <c r="AW1145" s="125" t="s">
        <v>259</v>
      </c>
      <c r="AX1145" s="125">
        <f t="shared" si="0"/>
        <v>413.3</v>
      </c>
      <c r="AY1145" s="125">
        <v>0.17463000000000001</v>
      </c>
      <c r="AZ1145" s="181" t="s">
        <v>253</v>
      </c>
      <c r="BA1145" s="181" t="s">
        <v>254</v>
      </c>
      <c r="BB1145" s="181" t="s">
        <v>1430</v>
      </c>
      <c r="BC1145" s="125" t="s">
        <v>255</v>
      </c>
    </row>
    <row r="1146" spans="1:55" ht="16.350000000000001" customHeight="1" outlineLevel="1">
      <c r="A1146" s="92">
        <v>1136</v>
      </c>
      <c r="B1146" s="99" t="s">
        <v>814</v>
      </c>
      <c r="C1146" s="122" t="s">
        <v>815</v>
      </c>
      <c r="D1146" s="161">
        <v>11</v>
      </c>
      <c r="E1146" s="123" t="s">
        <v>734</v>
      </c>
      <c r="F1146" s="124" t="s">
        <v>1425</v>
      </c>
      <c r="G1146" s="133" t="s">
        <v>281</v>
      </c>
      <c r="H1146" s="134" t="s">
        <v>1424</v>
      </c>
      <c r="I1146" s="134" t="s">
        <v>1426</v>
      </c>
      <c r="J1146" s="134" t="s">
        <v>139</v>
      </c>
      <c r="K1146" s="124" t="s">
        <v>140</v>
      </c>
      <c r="L1146" s="174">
        <v>1</v>
      </c>
      <c r="M1146" s="174" t="s">
        <v>250</v>
      </c>
      <c r="N1146" s="184">
        <v>89</v>
      </c>
      <c r="O1146" s="184">
        <v>6</v>
      </c>
      <c r="P1146" s="184" t="s">
        <v>1429</v>
      </c>
      <c r="Q1146" s="174" t="s">
        <v>233</v>
      </c>
      <c r="R1146" s="276" t="s">
        <v>240</v>
      </c>
      <c r="S1146" s="276" t="s">
        <v>233</v>
      </c>
      <c r="T1146" s="276" t="s">
        <v>240</v>
      </c>
      <c r="U1146" s="174" t="s">
        <v>1427</v>
      </c>
      <c r="V1146" s="276" t="s">
        <v>240</v>
      </c>
      <c r="W1146" s="130"/>
      <c r="X1146" s="125">
        <v>493.4</v>
      </c>
      <c r="Y1146" s="126">
        <v>536.69000000000005</v>
      </c>
      <c r="Z1146" s="127">
        <v>50.468560799999999</v>
      </c>
      <c r="AA1146" s="128" t="s">
        <v>259</v>
      </c>
      <c r="AB1146" s="125">
        <v>48.059460000000001</v>
      </c>
      <c r="AC1146" s="128" t="s">
        <v>259</v>
      </c>
      <c r="AD1146" s="129">
        <v>51.887898</v>
      </c>
      <c r="AE1146" s="125" t="s">
        <v>259</v>
      </c>
      <c r="AF1146" s="125">
        <v>46.368689999999994</v>
      </c>
      <c r="AG1146" s="125" t="s">
        <v>259</v>
      </c>
      <c r="AH1146" s="125">
        <v>40.477395000000001</v>
      </c>
      <c r="AI1146" s="125" t="s">
        <v>259</v>
      </c>
      <c r="AJ1146" s="125">
        <v>0</v>
      </c>
      <c r="AK1146" s="125">
        <v>0</v>
      </c>
      <c r="AL1146" s="125">
        <v>0</v>
      </c>
      <c r="AM1146" s="125">
        <v>0</v>
      </c>
      <c r="AN1146" s="125">
        <v>0</v>
      </c>
      <c r="AO1146" s="125">
        <v>0</v>
      </c>
      <c r="AP1146" s="125">
        <v>0</v>
      </c>
      <c r="AQ1146" s="125">
        <v>0</v>
      </c>
      <c r="AR1146" s="125">
        <v>38.588999999999999</v>
      </c>
      <c r="AS1146" s="125" t="s">
        <v>259</v>
      </c>
      <c r="AT1146" s="125">
        <v>37.097099999999998</v>
      </c>
      <c r="AU1146" s="125" t="s">
        <v>259</v>
      </c>
      <c r="AV1146" s="125">
        <v>38.638512000000006</v>
      </c>
      <c r="AW1146" s="125" t="s">
        <v>259</v>
      </c>
      <c r="AX1146" s="125">
        <f t="shared" si="0"/>
        <v>351.5866158</v>
      </c>
      <c r="AY1146" s="125">
        <f>0.19</f>
        <v>0.19</v>
      </c>
      <c r="AZ1146" s="181" t="s">
        <v>1429</v>
      </c>
      <c r="BA1146" s="181" t="s">
        <v>254</v>
      </c>
      <c r="BB1146" s="181">
        <v>1</v>
      </c>
      <c r="BC1146" s="125" t="s">
        <v>255</v>
      </c>
    </row>
    <row r="1147" spans="1:55" ht="16.350000000000001" customHeight="1" outlineLevel="1">
      <c r="A1147" s="92">
        <v>1137</v>
      </c>
      <c r="B1147" s="99" t="s">
        <v>816</v>
      </c>
      <c r="C1147" s="122" t="s">
        <v>815</v>
      </c>
      <c r="D1147" s="161">
        <v>12</v>
      </c>
      <c r="E1147" s="123" t="s">
        <v>734</v>
      </c>
      <c r="F1147" s="124" t="s">
        <v>1234</v>
      </c>
      <c r="G1147" s="133" t="s">
        <v>281</v>
      </c>
      <c r="H1147" s="134" t="s">
        <v>1424</v>
      </c>
      <c r="I1147" s="134" t="s">
        <v>1426</v>
      </c>
      <c r="J1147" s="134" t="s">
        <v>139</v>
      </c>
      <c r="K1147" s="124" t="s">
        <v>140</v>
      </c>
      <c r="L1147" s="174">
        <v>0</v>
      </c>
      <c r="M1147" s="174" t="s">
        <v>250</v>
      </c>
      <c r="N1147" s="184">
        <v>76</v>
      </c>
      <c r="O1147" s="184">
        <v>5.5</v>
      </c>
      <c r="P1147" s="184" t="s">
        <v>253</v>
      </c>
      <c r="Q1147" s="174" t="s">
        <v>240</v>
      </c>
      <c r="R1147" s="276" t="s">
        <v>240</v>
      </c>
      <c r="S1147" s="276" t="s">
        <v>240</v>
      </c>
      <c r="T1147" s="276" t="s">
        <v>233</v>
      </c>
      <c r="U1147" s="174" t="s">
        <v>1428</v>
      </c>
      <c r="V1147" s="276" t="s">
        <v>240</v>
      </c>
      <c r="W1147" s="130"/>
      <c r="X1147" s="125">
        <v>273.64999999999998</v>
      </c>
      <c r="Y1147" s="126">
        <v>323.49</v>
      </c>
      <c r="Z1147" s="127">
        <f>9.17+31.5</f>
        <v>40.67</v>
      </c>
      <c r="AA1147" s="128" t="s">
        <v>259</v>
      </c>
      <c r="AB1147" s="125">
        <f>9.17+31.5</f>
        <v>40.67</v>
      </c>
      <c r="AC1147" s="128" t="s">
        <v>259</v>
      </c>
      <c r="AD1147" s="129">
        <v>40.67</v>
      </c>
      <c r="AE1147" s="125" t="s">
        <v>259</v>
      </c>
      <c r="AF1147" s="125">
        <f>9.17+31.5</f>
        <v>40.67</v>
      </c>
      <c r="AG1147" s="125" t="s">
        <v>259</v>
      </c>
      <c r="AH1147" s="125">
        <f>2.67+9.15</f>
        <v>11.82</v>
      </c>
      <c r="AI1147" s="125" t="s">
        <v>259</v>
      </c>
      <c r="AJ1147" s="125">
        <v>0</v>
      </c>
      <c r="AK1147" s="125">
        <v>0</v>
      </c>
      <c r="AL1147" s="125">
        <v>0</v>
      </c>
      <c r="AM1147" s="125">
        <v>0</v>
      </c>
      <c r="AN1147" s="125">
        <v>0</v>
      </c>
      <c r="AO1147" s="125">
        <v>0</v>
      </c>
      <c r="AP1147" s="125">
        <f>2.02+6.93</f>
        <v>8.9499999999999993</v>
      </c>
      <c r="AQ1147" s="125" t="s">
        <v>259</v>
      </c>
      <c r="AR1147" s="125">
        <f>8.64+29.68</f>
        <v>38.32</v>
      </c>
      <c r="AS1147" s="125" t="s">
        <v>259</v>
      </c>
      <c r="AT1147" s="125">
        <f>8.64+29.68</f>
        <v>38.32</v>
      </c>
      <c r="AU1147" s="125" t="s">
        <v>259</v>
      </c>
      <c r="AV1147" s="125">
        <f>8.64+29.68</f>
        <v>38.32</v>
      </c>
      <c r="AW1147" s="125" t="s">
        <v>259</v>
      </c>
      <c r="AX1147" s="125">
        <f t="shared" si="0"/>
        <v>298.40999999999997</v>
      </c>
      <c r="AY1147" s="125">
        <v>0.13249</v>
      </c>
      <c r="AZ1147" s="181" t="s">
        <v>253</v>
      </c>
      <c r="BA1147" s="181" t="s">
        <v>254</v>
      </c>
      <c r="BB1147" s="181" t="s">
        <v>1430</v>
      </c>
      <c r="BC1147" s="125" t="s">
        <v>255</v>
      </c>
    </row>
    <row r="1148" spans="1:55" ht="16.350000000000001" customHeight="1" outlineLevel="1">
      <c r="A1148" s="92">
        <v>1138</v>
      </c>
      <c r="B1148" s="99" t="s">
        <v>817</v>
      </c>
      <c r="C1148" s="122" t="s">
        <v>815</v>
      </c>
      <c r="D1148" s="161">
        <v>14</v>
      </c>
      <c r="E1148" s="123" t="s">
        <v>734</v>
      </c>
      <c r="F1148" s="124" t="s">
        <v>1234</v>
      </c>
      <c r="G1148" s="133" t="s">
        <v>281</v>
      </c>
      <c r="H1148" s="134" t="s">
        <v>1424</v>
      </c>
      <c r="I1148" s="134" t="s">
        <v>1426</v>
      </c>
      <c r="J1148" s="134" t="s">
        <v>139</v>
      </c>
      <c r="K1148" s="124" t="s">
        <v>140</v>
      </c>
      <c r="L1148" s="174">
        <v>0</v>
      </c>
      <c r="M1148" s="174" t="s">
        <v>250</v>
      </c>
      <c r="N1148" s="184">
        <v>76</v>
      </c>
      <c r="O1148" s="184">
        <v>5.5</v>
      </c>
      <c r="P1148" s="184" t="s">
        <v>253</v>
      </c>
      <c r="Q1148" s="174" t="s">
        <v>240</v>
      </c>
      <c r="R1148" s="276" t="s">
        <v>240</v>
      </c>
      <c r="S1148" s="276" t="s">
        <v>240</v>
      </c>
      <c r="T1148" s="276" t="s">
        <v>233</v>
      </c>
      <c r="U1148" s="174" t="s">
        <v>1428</v>
      </c>
      <c r="V1148" s="276" t="s">
        <v>240</v>
      </c>
      <c r="W1148" s="130"/>
      <c r="X1148" s="125">
        <v>250.84</v>
      </c>
      <c r="Y1148" s="126">
        <v>256.76</v>
      </c>
      <c r="Z1148" s="127">
        <f>2.7+28.64</f>
        <v>31.34</v>
      </c>
      <c r="AA1148" s="128" t="s">
        <v>259</v>
      </c>
      <c r="AB1148" s="125">
        <f>2.7+28.64</f>
        <v>31.34</v>
      </c>
      <c r="AC1148" s="128" t="s">
        <v>259</v>
      </c>
      <c r="AD1148" s="129">
        <v>31.34</v>
      </c>
      <c r="AE1148" s="125" t="s">
        <v>259</v>
      </c>
      <c r="AF1148" s="125">
        <f>2.7+28.64</f>
        <v>31.34</v>
      </c>
      <c r="AG1148" s="125" t="s">
        <v>259</v>
      </c>
      <c r="AH1148" s="125">
        <f>0.79+8.32</f>
        <v>9.11</v>
      </c>
      <c r="AI1148" s="125" t="s">
        <v>259</v>
      </c>
      <c r="AJ1148" s="125">
        <v>0</v>
      </c>
      <c r="AK1148" s="125">
        <v>0</v>
      </c>
      <c r="AL1148" s="125">
        <v>0</v>
      </c>
      <c r="AM1148" s="125">
        <v>0</v>
      </c>
      <c r="AN1148" s="125">
        <v>0</v>
      </c>
      <c r="AO1148" s="125">
        <v>0</v>
      </c>
      <c r="AP1148" s="125">
        <f>0.6+6.38</f>
        <v>6.9799999999999995</v>
      </c>
      <c r="AQ1148" s="125" t="s">
        <v>259</v>
      </c>
      <c r="AR1148" s="125">
        <f>2.58+27.35</f>
        <v>29.93</v>
      </c>
      <c r="AS1148" s="125" t="s">
        <v>259</v>
      </c>
      <c r="AT1148" s="125">
        <f>2.58+27.35</f>
        <v>29.93</v>
      </c>
      <c r="AU1148" s="125" t="s">
        <v>259</v>
      </c>
      <c r="AV1148" s="125">
        <f>2.58+27.35</f>
        <v>29.93</v>
      </c>
      <c r="AW1148" s="125" t="s">
        <v>259</v>
      </c>
      <c r="AX1148" s="125">
        <f t="shared" si="0"/>
        <v>231.24</v>
      </c>
      <c r="AY1148" s="125">
        <v>0.12144000000000001</v>
      </c>
      <c r="AZ1148" s="181" t="s">
        <v>253</v>
      </c>
      <c r="BA1148" s="181" t="s">
        <v>254</v>
      </c>
      <c r="BB1148" s="181" t="s">
        <v>1430</v>
      </c>
      <c r="BC1148" s="125" t="s">
        <v>255</v>
      </c>
    </row>
    <row r="1149" spans="1:55" ht="16.350000000000001" customHeight="1" outlineLevel="1">
      <c r="A1149" s="92">
        <v>1139</v>
      </c>
      <c r="B1149" s="99" t="s">
        <v>818</v>
      </c>
      <c r="C1149" s="122" t="s">
        <v>815</v>
      </c>
      <c r="D1149" s="161" t="s">
        <v>820</v>
      </c>
      <c r="E1149" s="123" t="s">
        <v>767</v>
      </c>
      <c r="F1149" s="124" t="s">
        <v>1425</v>
      </c>
      <c r="G1149" s="133" t="s">
        <v>247</v>
      </c>
      <c r="H1149" s="134" t="s">
        <v>248</v>
      </c>
      <c r="I1149" s="134" t="s">
        <v>1426</v>
      </c>
      <c r="J1149" s="134" t="s">
        <v>139</v>
      </c>
      <c r="K1149" s="124" t="s">
        <v>140</v>
      </c>
      <c r="L1149" s="174">
        <v>1</v>
      </c>
      <c r="M1149" s="174" t="s">
        <v>250</v>
      </c>
      <c r="N1149" s="184">
        <v>89</v>
      </c>
      <c r="O1149" s="184">
        <v>6</v>
      </c>
      <c r="P1149" s="184" t="s">
        <v>1429</v>
      </c>
      <c r="Q1149" s="174" t="s">
        <v>233</v>
      </c>
      <c r="R1149" s="276" t="s">
        <v>240</v>
      </c>
      <c r="S1149" s="276" t="s">
        <v>233</v>
      </c>
      <c r="T1149" s="276" t="s">
        <v>240</v>
      </c>
      <c r="U1149" s="174" t="s">
        <v>1427</v>
      </c>
      <c r="V1149" s="276" t="s">
        <v>240</v>
      </c>
      <c r="W1149" s="130"/>
      <c r="X1149" s="125">
        <v>337.42</v>
      </c>
      <c r="Y1149" s="126">
        <v>355.57</v>
      </c>
      <c r="Z1149" s="127">
        <v>55.121077200000002</v>
      </c>
      <c r="AA1149" s="128" t="s">
        <v>252</v>
      </c>
      <c r="AB1149" s="125">
        <v>34.850520000000003</v>
      </c>
      <c r="AC1149" s="128" t="s">
        <v>252</v>
      </c>
      <c r="AD1149" s="129">
        <v>51.030612000000005</v>
      </c>
      <c r="AE1149" s="125" t="s">
        <v>252</v>
      </c>
      <c r="AF1149" s="125">
        <v>28.14536</v>
      </c>
      <c r="AG1149" s="125" t="s">
        <v>252</v>
      </c>
      <c r="AH1149" s="125">
        <v>6.479158</v>
      </c>
      <c r="AI1149" s="125" t="s">
        <v>252</v>
      </c>
      <c r="AJ1149" s="125">
        <v>0</v>
      </c>
      <c r="AK1149" s="125">
        <v>0</v>
      </c>
      <c r="AL1149" s="125">
        <v>0</v>
      </c>
      <c r="AM1149" s="125">
        <v>0</v>
      </c>
      <c r="AN1149" s="125">
        <v>0</v>
      </c>
      <c r="AO1149" s="125">
        <v>0</v>
      </c>
      <c r="AP1149" s="125">
        <v>0</v>
      </c>
      <c r="AQ1149" s="125">
        <v>0</v>
      </c>
      <c r="AR1149" s="125">
        <v>41.968449954</v>
      </c>
      <c r="AS1149" s="125" t="s">
        <v>312</v>
      </c>
      <c r="AT1149" s="125">
        <v>33.5549307645</v>
      </c>
      <c r="AU1149" s="125" t="s">
        <v>312</v>
      </c>
      <c r="AV1149" s="125">
        <v>37.24344</v>
      </c>
      <c r="AW1149" s="125" t="s">
        <v>252</v>
      </c>
      <c r="AX1149" s="125">
        <f t="shared" si="0"/>
        <v>288.39354791850002</v>
      </c>
      <c r="AY1149" s="125">
        <f>0.1071+0.0029</f>
        <v>0.11</v>
      </c>
      <c r="AZ1149" s="181" t="s">
        <v>1429</v>
      </c>
      <c r="BA1149" s="181" t="s">
        <v>254</v>
      </c>
      <c r="BB1149" s="181">
        <v>1</v>
      </c>
      <c r="BC1149" s="125" t="s">
        <v>255</v>
      </c>
    </row>
    <row r="1150" spans="1:55" ht="16.350000000000001" customHeight="1" outlineLevel="1">
      <c r="A1150" s="92">
        <v>1140</v>
      </c>
      <c r="B1150" s="99" t="s">
        <v>819</v>
      </c>
      <c r="C1150" s="122" t="s">
        <v>815</v>
      </c>
      <c r="D1150" s="161" t="s">
        <v>822</v>
      </c>
      <c r="E1150" s="123" t="s">
        <v>767</v>
      </c>
      <c r="F1150" s="124" t="s">
        <v>1425</v>
      </c>
      <c r="G1150" s="133" t="s">
        <v>281</v>
      </c>
      <c r="H1150" s="134" t="s">
        <v>248</v>
      </c>
      <c r="I1150" s="134" t="s">
        <v>1426</v>
      </c>
      <c r="J1150" s="134" t="s">
        <v>139</v>
      </c>
      <c r="K1150" s="124" t="s">
        <v>140</v>
      </c>
      <c r="L1150" s="174">
        <v>1</v>
      </c>
      <c r="M1150" s="174" t="s">
        <v>250</v>
      </c>
      <c r="N1150" s="184">
        <v>80</v>
      </c>
      <c r="O1150" s="184">
        <v>6</v>
      </c>
      <c r="P1150" s="184" t="s">
        <v>1429</v>
      </c>
      <c r="Q1150" s="174" t="s">
        <v>233</v>
      </c>
      <c r="R1150" s="276" t="s">
        <v>240</v>
      </c>
      <c r="S1150" s="276" t="s">
        <v>233</v>
      </c>
      <c r="T1150" s="276" t="s">
        <v>240</v>
      </c>
      <c r="U1150" s="174" t="s">
        <v>1427</v>
      </c>
      <c r="V1150" s="276" t="s">
        <v>240</v>
      </c>
      <c r="W1150" s="130"/>
      <c r="X1150" s="125">
        <v>1001.86</v>
      </c>
      <c r="Y1150" s="126">
        <v>954.5</v>
      </c>
      <c r="Z1150" s="127">
        <v>135.9174726</v>
      </c>
      <c r="AA1150" s="128" t="s">
        <v>252</v>
      </c>
      <c r="AB1150" s="125">
        <v>96.83536500000001</v>
      </c>
      <c r="AC1150" s="128" t="s">
        <v>252</v>
      </c>
      <c r="AD1150" s="129">
        <v>140.61258000000001</v>
      </c>
      <c r="AE1150" s="125" t="s">
        <v>252</v>
      </c>
      <c r="AF1150" s="125">
        <v>71.003786000000005</v>
      </c>
      <c r="AG1150" s="125" t="s">
        <v>252</v>
      </c>
      <c r="AH1150" s="125">
        <v>18.154129000000001</v>
      </c>
      <c r="AI1150" s="125" t="s">
        <v>252</v>
      </c>
      <c r="AJ1150" s="125">
        <v>0</v>
      </c>
      <c r="AK1150" s="125">
        <v>0</v>
      </c>
      <c r="AL1150" s="125">
        <v>0</v>
      </c>
      <c r="AM1150" s="125">
        <v>0</v>
      </c>
      <c r="AN1150" s="125">
        <v>0</v>
      </c>
      <c r="AO1150" s="125">
        <v>0</v>
      </c>
      <c r="AP1150" s="125">
        <v>0</v>
      </c>
      <c r="AQ1150" s="125">
        <v>0</v>
      </c>
      <c r="AR1150" s="125">
        <v>84.887675999999999</v>
      </c>
      <c r="AS1150" s="125" t="s">
        <v>252</v>
      </c>
      <c r="AT1150" s="125">
        <v>63.262395000000005</v>
      </c>
      <c r="AU1150" s="125" t="s">
        <v>252</v>
      </c>
      <c r="AV1150" s="125">
        <v>95.720208</v>
      </c>
      <c r="AW1150" s="125" t="s">
        <v>252</v>
      </c>
      <c r="AX1150" s="125">
        <f t="shared" si="0"/>
        <v>706.39361159999999</v>
      </c>
      <c r="AY1150" s="125">
        <v>0.28000000000000003</v>
      </c>
      <c r="AZ1150" s="181" t="s">
        <v>1429</v>
      </c>
      <c r="BA1150" s="181" t="s">
        <v>254</v>
      </c>
      <c r="BB1150" s="181">
        <v>1</v>
      </c>
      <c r="BC1150" s="125" t="s">
        <v>255</v>
      </c>
    </row>
    <row r="1151" spans="1:55" ht="16.350000000000001" customHeight="1" outlineLevel="1">
      <c r="A1151" s="92">
        <v>1141</v>
      </c>
      <c r="B1151" s="99" t="s">
        <v>821</v>
      </c>
      <c r="C1151" s="122" t="s">
        <v>815</v>
      </c>
      <c r="D1151" s="161">
        <v>19</v>
      </c>
      <c r="E1151" s="123" t="s">
        <v>734</v>
      </c>
      <c r="F1151" s="124" t="s">
        <v>1425</v>
      </c>
      <c r="G1151" s="133" t="s">
        <v>281</v>
      </c>
      <c r="H1151" s="134" t="s">
        <v>248</v>
      </c>
      <c r="I1151" s="134" t="s">
        <v>1426</v>
      </c>
      <c r="J1151" s="134" t="s">
        <v>139</v>
      </c>
      <c r="K1151" s="124" t="s">
        <v>140</v>
      </c>
      <c r="L1151" s="174">
        <v>1</v>
      </c>
      <c r="M1151" s="174" t="s">
        <v>250</v>
      </c>
      <c r="N1151" s="184">
        <v>100</v>
      </c>
      <c r="O1151" s="184">
        <v>6</v>
      </c>
      <c r="P1151" s="184" t="s">
        <v>1429</v>
      </c>
      <c r="Q1151" s="174" t="s">
        <v>233</v>
      </c>
      <c r="R1151" s="276" t="s">
        <v>240</v>
      </c>
      <c r="S1151" s="276" t="s">
        <v>233</v>
      </c>
      <c r="T1151" s="276" t="s">
        <v>240</v>
      </c>
      <c r="U1151" s="174" t="s">
        <v>1427</v>
      </c>
      <c r="V1151" s="276" t="s">
        <v>240</v>
      </c>
      <c r="W1151" s="130"/>
      <c r="X1151" s="125">
        <v>1129.3</v>
      </c>
      <c r="Y1151" s="126">
        <v>1136.52</v>
      </c>
      <c r="Z1151" s="127">
        <v>151.26731759999998</v>
      </c>
      <c r="AA1151" s="128" t="s">
        <v>252</v>
      </c>
      <c r="AB1151" s="125">
        <v>111.35366999999999</v>
      </c>
      <c r="AC1151" s="128" t="s">
        <v>252</v>
      </c>
      <c r="AD1151" s="129">
        <v>158.40347399999999</v>
      </c>
      <c r="AE1151" s="125" t="s">
        <v>252</v>
      </c>
      <c r="AF1151" s="125">
        <v>88.673695999999993</v>
      </c>
      <c r="AG1151" s="125" t="s">
        <v>252</v>
      </c>
      <c r="AH1151" s="125">
        <v>16.357445999999999</v>
      </c>
      <c r="AI1151" s="125" t="s">
        <v>252</v>
      </c>
      <c r="AJ1151" s="125">
        <v>0</v>
      </c>
      <c r="AK1151" s="125">
        <v>0</v>
      </c>
      <c r="AL1151" s="125">
        <v>0</v>
      </c>
      <c r="AM1151" s="125">
        <v>0</v>
      </c>
      <c r="AN1151" s="125">
        <v>0</v>
      </c>
      <c r="AO1151" s="125">
        <v>0</v>
      </c>
      <c r="AP1151" s="125">
        <v>0</v>
      </c>
      <c r="AQ1151" s="125">
        <v>0</v>
      </c>
      <c r="AR1151" s="125">
        <v>104.12530799999999</v>
      </c>
      <c r="AS1151" s="125" t="s">
        <v>252</v>
      </c>
      <c r="AT1151" s="125">
        <v>81.179504999999992</v>
      </c>
      <c r="AU1151" s="125" t="s">
        <v>252</v>
      </c>
      <c r="AV1151" s="125">
        <v>118.11609600000001</v>
      </c>
      <c r="AW1151" s="125" t="s">
        <v>252</v>
      </c>
      <c r="AX1151" s="125">
        <f t="shared" si="0"/>
        <v>829.47651259999998</v>
      </c>
      <c r="AY1151" s="125">
        <f>0.0017+0.0282+0.2701</f>
        <v>0.3</v>
      </c>
      <c r="AZ1151" s="181" t="s">
        <v>1429</v>
      </c>
      <c r="BA1151" s="181" t="s">
        <v>254</v>
      </c>
      <c r="BB1151" s="181">
        <v>1</v>
      </c>
      <c r="BC1151" s="125" t="s">
        <v>255</v>
      </c>
    </row>
    <row r="1152" spans="1:55" ht="16.350000000000001" customHeight="1" outlineLevel="1">
      <c r="A1152" s="92">
        <v>1142</v>
      </c>
      <c r="B1152" s="99" t="s">
        <v>823</v>
      </c>
      <c r="C1152" s="122" t="s">
        <v>815</v>
      </c>
      <c r="D1152" s="161">
        <v>21</v>
      </c>
      <c r="E1152" s="123" t="s">
        <v>734</v>
      </c>
      <c r="F1152" s="124" t="s">
        <v>1425</v>
      </c>
      <c r="G1152" s="133" t="s">
        <v>281</v>
      </c>
      <c r="H1152" s="134" t="s">
        <v>248</v>
      </c>
      <c r="I1152" s="134" t="s">
        <v>1426</v>
      </c>
      <c r="J1152" s="134" t="s">
        <v>139</v>
      </c>
      <c r="K1152" s="124" t="s">
        <v>140</v>
      </c>
      <c r="L1152" s="174">
        <v>1</v>
      </c>
      <c r="M1152" s="174" t="s">
        <v>250</v>
      </c>
      <c r="N1152" s="184">
        <v>100</v>
      </c>
      <c r="O1152" s="184">
        <v>6</v>
      </c>
      <c r="P1152" s="184" t="s">
        <v>1429</v>
      </c>
      <c r="Q1152" s="174" t="s">
        <v>240</v>
      </c>
      <c r="R1152" s="276" t="s">
        <v>240</v>
      </c>
      <c r="S1152" s="276" t="s">
        <v>233</v>
      </c>
      <c r="T1152" s="276" t="s">
        <v>240</v>
      </c>
      <c r="U1152" s="174" t="s">
        <v>1427</v>
      </c>
      <c r="V1152" s="276" t="s">
        <v>240</v>
      </c>
      <c r="W1152" s="130"/>
      <c r="X1152" s="125">
        <v>467.17</v>
      </c>
      <c r="Y1152" s="126">
        <v>472.06</v>
      </c>
      <c r="Z1152" s="127">
        <f>21.47+79.9</f>
        <v>101.37</v>
      </c>
      <c r="AA1152" s="128" t="s">
        <v>252</v>
      </c>
      <c r="AB1152" s="125">
        <v>61.9</v>
      </c>
      <c r="AC1152" s="128" t="s">
        <v>252</v>
      </c>
      <c r="AD1152" s="129">
        <v>81.900000000000006</v>
      </c>
      <c r="AE1152" s="125" t="s">
        <v>252</v>
      </c>
      <c r="AF1152" s="125">
        <v>51.3</v>
      </c>
      <c r="AG1152" s="125" t="s">
        <v>252</v>
      </c>
      <c r="AH1152" s="125">
        <v>11.7</v>
      </c>
      <c r="AI1152" s="125" t="s">
        <v>252</v>
      </c>
      <c r="AJ1152" s="125">
        <v>0</v>
      </c>
      <c r="AK1152" s="125">
        <v>0</v>
      </c>
      <c r="AL1152" s="125">
        <v>0</v>
      </c>
      <c r="AM1152" s="125">
        <v>0</v>
      </c>
      <c r="AN1152" s="125">
        <v>0</v>
      </c>
      <c r="AO1152" s="125">
        <v>0</v>
      </c>
      <c r="AP1152" s="125">
        <v>0</v>
      </c>
      <c r="AQ1152" s="125">
        <v>0</v>
      </c>
      <c r="AR1152" s="125">
        <v>59.7</v>
      </c>
      <c r="AS1152" s="125" t="s">
        <v>252</v>
      </c>
      <c r="AT1152" s="125">
        <v>47.9</v>
      </c>
      <c r="AU1152" s="125" t="s">
        <v>252</v>
      </c>
      <c r="AV1152" s="125">
        <v>65.3</v>
      </c>
      <c r="AW1152" s="125" t="s">
        <v>252</v>
      </c>
      <c r="AX1152" s="125">
        <f t="shared" si="0"/>
        <v>481.07</v>
      </c>
      <c r="AY1152" s="125">
        <f>0.0391+0.0079+0.0072+0.013+0.1828</f>
        <v>0.25</v>
      </c>
      <c r="AZ1152" s="181" t="s">
        <v>1429</v>
      </c>
      <c r="BA1152" s="181" t="s">
        <v>254</v>
      </c>
      <c r="BB1152" s="181">
        <v>1</v>
      </c>
      <c r="BC1152" s="125" t="s">
        <v>255</v>
      </c>
    </row>
    <row r="1153" spans="1:55" ht="16.350000000000001" customHeight="1" outlineLevel="1">
      <c r="A1153" s="92">
        <v>1143</v>
      </c>
      <c r="B1153" s="99" t="s">
        <v>824</v>
      </c>
      <c r="C1153" s="122" t="s">
        <v>815</v>
      </c>
      <c r="D1153" s="161">
        <v>23</v>
      </c>
      <c r="E1153" s="123" t="s">
        <v>734</v>
      </c>
      <c r="F1153" s="124" t="s">
        <v>1425</v>
      </c>
      <c r="G1153" s="133" t="s">
        <v>281</v>
      </c>
      <c r="H1153" s="134" t="s">
        <v>248</v>
      </c>
      <c r="I1153" s="134" t="s">
        <v>1426</v>
      </c>
      <c r="J1153" s="134" t="s">
        <v>139</v>
      </c>
      <c r="K1153" s="124" t="s">
        <v>140</v>
      </c>
      <c r="L1153" s="174">
        <v>1</v>
      </c>
      <c r="M1153" s="174" t="s">
        <v>250</v>
      </c>
      <c r="N1153" s="184">
        <v>50</v>
      </c>
      <c r="O1153" s="184">
        <v>6</v>
      </c>
      <c r="P1153" s="184" t="s">
        <v>1429</v>
      </c>
      <c r="Q1153" s="174" t="s">
        <v>233</v>
      </c>
      <c r="R1153" s="276" t="s">
        <v>240</v>
      </c>
      <c r="S1153" s="276" t="s">
        <v>233</v>
      </c>
      <c r="T1153" s="276" t="s">
        <v>240</v>
      </c>
      <c r="U1153" s="174" t="s">
        <v>1427</v>
      </c>
      <c r="V1153" s="276" t="s">
        <v>240</v>
      </c>
      <c r="W1153" s="130"/>
      <c r="X1153" s="125">
        <v>461.95</v>
      </c>
      <c r="Y1153" s="126">
        <v>475.05</v>
      </c>
      <c r="Z1153" s="127">
        <v>58.026737999999995</v>
      </c>
      <c r="AA1153" s="128" t="s">
        <v>252</v>
      </c>
      <c r="AB1153" s="125">
        <v>42.484365000000004</v>
      </c>
      <c r="AC1153" s="128" t="s">
        <v>252</v>
      </c>
      <c r="AD1153" s="129">
        <v>59.921639999999996</v>
      </c>
      <c r="AE1153" s="125" t="s">
        <v>252</v>
      </c>
      <c r="AF1153" s="125">
        <v>34.889178000000001</v>
      </c>
      <c r="AG1153" s="125" t="s">
        <v>252</v>
      </c>
      <c r="AH1153" s="125">
        <v>9.3372019999999996</v>
      </c>
      <c r="AI1153" s="125" t="s">
        <v>252</v>
      </c>
      <c r="AJ1153" s="125">
        <v>0</v>
      </c>
      <c r="AK1153" s="125">
        <v>0</v>
      </c>
      <c r="AL1153" s="125">
        <v>0</v>
      </c>
      <c r="AM1153" s="125">
        <v>0</v>
      </c>
      <c r="AN1153" s="125">
        <v>0</v>
      </c>
      <c r="AO1153" s="125">
        <v>0</v>
      </c>
      <c r="AP1153" s="125">
        <v>0</v>
      </c>
      <c r="AQ1153" s="125">
        <v>0</v>
      </c>
      <c r="AR1153" s="125">
        <v>39.141432000000002</v>
      </c>
      <c r="AS1153" s="125" t="s">
        <v>252</v>
      </c>
      <c r="AT1153" s="125">
        <v>32.874344999999998</v>
      </c>
      <c r="AU1153" s="125" t="s">
        <v>252</v>
      </c>
      <c r="AV1153" s="125">
        <v>46.344624000000003</v>
      </c>
      <c r="AW1153" s="125" t="s">
        <v>252</v>
      </c>
      <c r="AX1153" s="125">
        <f t="shared" si="0"/>
        <v>323.01952399999999</v>
      </c>
      <c r="AY1153" s="125">
        <f>0.1034+0.0033+0.0004+0.0029</f>
        <v>0.11</v>
      </c>
      <c r="AZ1153" s="181" t="s">
        <v>1429</v>
      </c>
      <c r="BA1153" s="181" t="s">
        <v>254</v>
      </c>
      <c r="BB1153" s="181">
        <v>1</v>
      </c>
      <c r="BC1153" s="125" t="s">
        <v>255</v>
      </c>
    </row>
    <row r="1154" spans="1:55" ht="16.350000000000001" customHeight="1" outlineLevel="1">
      <c r="A1154" s="92">
        <v>1144</v>
      </c>
      <c r="B1154" s="99" t="s">
        <v>825</v>
      </c>
      <c r="C1154" s="122" t="s">
        <v>815</v>
      </c>
      <c r="D1154" s="161">
        <v>24</v>
      </c>
      <c r="E1154" s="123" t="s">
        <v>734</v>
      </c>
      <c r="F1154" s="124" t="s">
        <v>1425</v>
      </c>
      <c r="G1154" s="133" t="s">
        <v>281</v>
      </c>
      <c r="H1154" s="334" t="s">
        <v>1424</v>
      </c>
      <c r="I1154" s="334" t="s">
        <v>1426</v>
      </c>
      <c r="J1154" s="317" t="s">
        <v>139</v>
      </c>
      <c r="K1154" s="317" t="s">
        <v>140</v>
      </c>
      <c r="L1154" s="334">
        <v>1</v>
      </c>
      <c r="M1154" s="334" t="s">
        <v>250</v>
      </c>
      <c r="N1154" s="315">
        <v>100</v>
      </c>
      <c r="O1154" s="315">
        <v>6</v>
      </c>
      <c r="P1154" s="315" t="s">
        <v>1429</v>
      </c>
      <c r="Q1154" s="317" t="s">
        <v>240</v>
      </c>
      <c r="R1154" s="320" t="s">
        <v>240</v>
      </c>
      <c r="S1154" s="320" t="s">
        <v>233</v>
      </c>
      <c r="T1154" s="320" t="s">
        <v>240</v>
      </c>
      <c r="U1154" s="334" t="s">
        <v>1427</v>
      </c>
      <c r="V1154" s="320" t="s">
        <v>240</v>
      </c>
      <c r="W1154" s="189"/>
      <c r="X1154" s="292">
        <v>402.84</v>
      </c>
      <c r="Y1154" s="295">
        <v>440.5</v>
      </c>
      <c r="Z1154" s="297">
        <v>85</v>
      </c>
      <c r="AA1154" s="299" t="s">
        <v>252</v>
      </c>
      <c r="AB1154" s="292">
        <v>54.7</v>
      </c>
      <c r="AC1154" s="299" t="s">
        <v>252</v>
      </c>
      <c r="AD1154" s="301">
        <v>78.5</v>
      </c>
      <c r="AE1154" s="292" t="s">
        <v>252</v>
      </c>
      <c r="AF1154" s="292">
        <v>39</v>
      </c>
      <c r="AG1154" s="292" t="s">
        <v>252</v>
      </c>
      <c r="AH1154" s="292">
        <v>11</v>
      </c>
      <c r="AI1154" s="292" t="s">
        <v>252</v>
      </c>
      <c r="AJ1154" s="292">
        <v>0</v>
      </c>
      <c r="AK1154" s="292">
        <v>0</v>
      </c>
      <c r="AL1154" s="292">
        <v>0</v>
      </c>
      <c r="AM1154" s="292">
        <v>0</v>
      </c>
      <c r="AN1154" s="292">
        <v>0</v>
      </c>
      <c r="AO1154" s="292">
        <v>0</v>
      </c>
      <c r="AP1154" s="292">
        <v>0</v>
      </c>
      <c r="AQ1154" s="292">
        <v>0</v>
      </c>
      <c r="AR1154" s="292">
        <v>51.7</v>
      </c>
      <c r="AS1154" s="292" t="s">
        <v>252</v>
      </c>
      <c r="AT1154" s="292">
        <v>42</v>
      </c>
      <c r="AU1154" s="292" t="s">
        <v>252</v>
      </c>
      <c r="AV1154" s="292">
        <v>58.8</v>
      </c>
      <c r="AW1154" s="292" t="s">
        <v>252</v>
      </c>
      <c r="AX1154" s="292">
        <f t="shared" si="0"/>
        <v>420.7</v>
      </c>
      <c r="AY1154" s="338">
        <f>0.1316+0.0084</f>
        <v>0.13999999999999999</v>
      </c>
      <c r="AZ1154" s="312" t="s">
        <v>1429</v>
      </c>
      <c r="BA1154" s="312" t="s">
        <v>254</v>
      </c>
      <c r="BB1154" s="312">
        <v>1</v>
      </c>
      <c r="BC1154" s="336" t="s">
        <v>255</v>
      </c>
    </row>
    <row r="1155" spans="1:55" ht="16.350000000000001" customHeight="1" outlineLevel="1">
      <c r="A1155" s="92">
        <v>1145</v>
      </c>
      <c r="B1155" s="99" t="s">
        <v>826</v>
      </c>
      <c r="C1155" s="122" t="s">
        <v>815</v>
      </c>
      <c r="D1155" s="161">
        <v>24</v>
      </c>
      <c r="E1155" s="123" t="s">
        <v>737</v>
      </c>
      <c r="F1155" s="124" t="s">
        <v>1425</v>
      </c>
      <c r="G1155" s="133" t="s">
        <v>281</v>
      </c>
      <c r="H1155" s="335"/>
      <c r="I1155" s="335"/>
      <c r="J1155" s="319"/>
      <c r="K1155" s="319"/>
      <c r="L1155" s="335"/>
      <c r="M1155" s="335"/>
      <c r="N1155" s="315"/>
      <c r="O1155" s="315"/>
      <c r="P1155" s="315"/>
      <c r="Q1155" s="319"/>
      <c r="R1155" s="320"/>
      <c r="S1155" s="320"/>
      <c r="T1155" s="320"/>
      <c r="U1155" s="335"/>
      <c r="V1155" s="320"/>
      <c r="W1155" s="190"/>
      <c r="X1155" s="294"/>
      <c r="Y1155" s="296"/>
      <c r="Z1155" s="298"/>
      <c r="AA1155" s="300"/>
      <c r="AB1155" s="294"/>
      <c r="AC1155" s="300"/>
      <c r="AD1155" s="302"/>
      <c r="AE1155" s="294"/>
      <c r="AF1155" s="294"/>
      <c r="AG1155" s="294"/>
      <c r="AH1155" s="294"/>
      <c r="AI1155" s="294"/>
      <c r="AJ1155" s="294"/>
      <c r="AK1155" s="294"/>
      <c r="AL1155" s="294"/>
      <c r="AM1155" s="294"/>
      <c r="AN1155" s="294"/>
      <c r="AO1155" s="294"/>
      <c r="AP1155" s="294"/>
      <c r="AQ1155" s="294"/>
      <c r="AR1155" s="294"/>
      <c r="AS1155" s="294"/>
      <c r="AT1155" s="294"/>
      <c r="AU1155" s="294"/>
      <c r="AV1155" s="294"/>
      <c r="AW1155" s="294"/>
      <c r="AX1155" s="294">
        <f t="shared" si="0"/>
        <v>0</v>
      </c>
      <c r="AY1155" s="339"/>
      <c r="AZ1155" s="312"/>
      <c r="BA1155" s="312"/>
      <c r="BB1155" s="312"/>
      <c r="BC1155" s="337"/>
    </row>
    <row r="1156" spans="1:55" ht="16.350000000000001" customHeight="1" outlineLevel="1">
      <c r="A1156" s="92">
        <v>1146</v>
      </c>
      <c r="B1156" s="99" t="s">
        <v>827</v>
      </c>
      <c r="C1156" s="122" t="s">
        <v>815</v>
      </c>
      <c r="D1156" s="161" t="s">
        <v>204</v>
      </c>
      <c r="E1156" s="123" t="s">
        <v>734</v>
      </c>
      <c r="F1156" s="124" t="s">
        <v>1425</v>
      </c>
      <c r="G1156" s="133" t="s">
        <v>247</v>
      </c>
      <c r="H1156" s="134" t="s">
        <v>248</v>
      </c>
      <c r="I1156" s="134" t="s">
        <v>1426</v>
      </c>
      <c r="J1156" s="134" t="s">
        <v>139</v>
      </c>
      <c r="K1156" s="124" t="s">
        <v>140</v>
      </c>
      <c r="L1156" s="174">
        <v>1</v>
      </c>
      <c r="M1156" s="174" t="s">
        <v>250</v>
      </c>
      <c r="N1156" s="184">
        <v>89</v>
      </c>
      <c r="O1156" s="184">
        <v>6</v>
      </c>
      <c r="P1156" s="184" t="s">
        <v>1429</v>
      </c>
      <c r="Q1156" s="174" t="s">
        <v>240</v>
      </c>
      <c r="R1156" s="276" t="s">
        <v>240</v>
      </c>
      <c r="S1156" s="276" t="s">
        <v>233</v>
      </c>
      <c r="T1156" s="276" t="s">
        <v>240</v>
      </c>
      <c r="U1156" s="174" t="s">
        <v>1427</v>
      </c>
      <c r="V1156" s="276" t="s">
        <v>240</v>
      </c>
      <c r="W1156" s="130"/>
      <c r="X1156" s="125">
        <v>978.67</v>
      </c>
      <c r="Y1156" s="126">
        <v>990.68</v>
      </c>
      <c r="Z1156" s="127">
        <v>235</v>
      </c>
      <c r="AA1156" s="128" t="s">
        <v>252</v>
      </c>
      <c r="AB1156" s="125">
        <v>113.8</v>
      </c>
      <c r="AC1156" s="128" t="s">
        <v>252</v>
      </c>
      <c r="AD1156" s="129">
        <v>157.30000000000001</v>
      </c>
      <c r="AE1156" s="125" t="s">
        <v>252</v>
      </c>
      <c r="AF1156" s="125">
        <v>83</v>
      </c>
      <c r="AG1156" s="125" t="s">
        <v>252</v>
      </c>
      <c r="AH1156" s="125">
        <v>23</v>
      </c>
      <c r="AI1156" s="125" t="s">
        <v>252</v>
      </c>
      <c r="AJ1156" s="125">
        <v>0</v>
      </c>
      <c r="AK1156" s="125">
        <v>0</v>
      </c>
      <c r="AL1156" s="125">
        <v>0</v>
      </c>
      <c r="AM1156" s="125">
        <v>0</v>
      </c>
      <c r="AN1156" s="125">
        <v>0</v>
      </c>
      <c r="AO1156" s="125">
        <v>0</v>
      </c>
      <c r="AP1156" s="125">
        <v>0</v>
      </c>
      <c r="AQ1156" s="125">
        <v>0</v>
      </c>
      <c r="AR1156" s="125">
        <v>105.1</v>
      </c>
      <c r="AS1156" s="125" t="s">
        <v>252</v>
      </c>
      <c r="AT1156" s="125">
        <v>90.7</v>
      </c>
      <c r="AU1156" s="125" t="s">
        <v>252</v>
      </c>
      <c r="AV1156" s="125">
        <v>127.7</v>
      </c>
      <c r="AW1156" s="125" t="s">
        <v>252</v>
      </c>
      <c r="AX1156" s="125">
        <f t="shared" si="0"/>
        <v>935.60000000000014</v>
      </c>
      <c r="AY1156" s="125">
        <f>0.3446+0.0154</f>
        <v>0.36000000000000004</v>
      </c>
      <c r="AZ1156" s="181" t="s">
        <v>1429</v>
      </c>
      <c r="BA1156" s="181" t="s">
        <v>254</v>
      </c>
      <c r="BB1156" s="181">
        <v>1</v>
      </c>
      <c r="BC1156" s="125" t="s">
        <v>255</v>
      </c>
    </row>
    <row r="1157" spans="1:55" ht="16.350000000000001" customHeight="1" outlineLevel="1">
      <c r="A1157" s="92">
        <v>1147</v>
      </c>
      <c r="B1157" s="99" t="s">
        <v>828</v>
      </c>
      <c r="C1157" s="122" t="s">
        <v>815</v>
      </c>
      <c r="D1157" s="161">
        <v>25</v>
      </c>
      <c r="E1157" s="123" t="s">
        <v>734</v>
      </c>
      <c r="F1157" s="124" t="s">
        <v>1425</v>
      </c>
      <c r="G1157" s="133" t="s">
        <v>281</v>
      </c>
      <c r="H1157" s="134" t="s">
        <v>248</v>
      </c>
      <c r="I1157" s="134" t="s">
        <v>1426</v>
      </c>
      <c r="J1157" s="134" t="s">
        <v>139</v>
      </c>
      <c r="K1157" s="124" t="s">
        <v>140</v>
      </c>
      <c r="L1157" s="174">
        <v>1</v>
      </c>
      <c r="M1157" s="174" t="s">
        <v>250</v>
      </c>
      <c r="N1157" s="184">
        <v>50</v>
      </c>
      <c r="O1157" s="184">
        <v>6</v>
      </c>
      <c r="P1157" s="184" t="s">
        <v>1429</v>
      </c>
      <c r="Q1157" s="174" t="s">
        <v>233</v>
      </c>
      <c r="R1157" s="276" t="s">
        <v>240</v>
      </c>
      <c r="S1157" s="276" t="s">
        <v>233</v>
      </c>
      <c r="T1157" s="276" t="s">
        <v>240</v>
      </c>
      <c r="U1157" s="174" t="s">
        <v>1427</v>
      </c>
      <c r="V1157" s="276" t="s">
        <v>240</v>
      </c>
      <c r="W1157" s="130"/>
      <c r="X1157" s="125">
        <v>599.5</v>
      </c>
      <c r="Y1157" s="126">
        <v>612.92999999999995</v>
      </c>
      <c r="Z1157" s="127">
        <v>79.551112199999992</v>
      </c>
      <c r="AA1157" s="128" t="s">
        <v>252</v>
      </c>
      <c r="AB1157" s="125">
        <v>58.377915000000002</v>
      </c>
      <c r="AC1157" s="128" t="s">
        <v>252</v>
      </c>
      <c r="AD1157" s="129">
        <v>82.281779999999998</v>
      </c>
      <c r="AE1157" s="125" t="s">
        <v>252</v>
      </c>
      <c r="AF1157" s="125">
        <v>47.934078</v>
      </c>
      <c r="AG1157" s="125" t="s">
        <v>252</v>
      </c>
      <c r="AH1157" s="125">
        <v>13.152552</v>
      </c>
      <c r="AI1157" s="125" t="s">
        <v>252</v>
      </c>
      <c r="AJ1157" s="125">
        <v>0</v>
      </c>
      <c r="AK1157" s="125">
        <v>0</v>
      </c>
      <c r="AL1157" s="125">
        <v>0</v>
      </c>
      <c r="AM1157" s="125">
        <v>0</v>
      </c>
      <c r="AN1157" s="125">
        <v>0</v>
      </c>
      <c r="AO1157" s="125">
        <v>0</v>
      </c>
      <c r="AP1157" s="125">
        <v>0</v>
      </c>
      <c r="AQ1157" s="125">
        <v>0</v>
      </c>
      <c r="AR1157" s="125">
        <v>54.235824000000008</v>
      </c>
      <c r="AS1157" s="125" t="s">
        <v>252</v>
      </c>
      <c r="AT1157" s="125">
        <v>45.424214999999997</v>
      </c>
      <c r="AU1157" s="125" t="s">
        <v>252</v>
      </c>
      <c r="AV1157" s="125">
        <v>62.761631999999999</v>
      </c>
      <c r="AW1157" s="125" t="s">
        <v>252</v>
      </c>
      <c r="AX1157" s="125">
        <f t="shared" si="0"/>
        <v>443.71910819999999</v>
      </c>
      <c r="AY1157" s="125">
        <f>0.0066+0.014+0.003+0.1664</f>
        <v>0.19</v>
      </c>
      <c r="AZ1157" s="181" t="s">
        <v>1429</v>
      </c>
      <c r="BA1157" s="181" t="s">
        <v>254</v>
      </c>
      <c r="BB1157" s="181">
        <v>1</v>
      </c>
      <c r="BC1157" s="125" t="s">
        <v>255</v>
      </c>
    </row>
    <row r="1158" spans="1:55" ht="16.350000000000001" customHeight="1" outlineLevel="1">
      <c r="A1158" s="92">
        <v>1148</v>
      </c>
      <c r="B1158" s="99" t="s">
        <v>829</v>
      </c>
      <c r="C1158" s="122" t="s">
        <v>815</v>
      </c>
      <c r="D1158" s="161">
        <v>27</v>
      </c>
      <c r="E1158" s="123" t="s">
        <v>734</v>
      </c>
      <c r="F1158" s="124" t="s">
        <v>1425</v>
      </c>
      <c r="G1158" s="133" t="s">
        <v>281</v>
      </c>
      <c r="H1158" s="134" t="s">
        <v>248</v>
      </c>
      <c r="I1158" s="134" t="s">
        <v>1426</v>
      </c>
      <c r="J1158" s="134" t="s">
        <v>139</v>
      </c>
      <c r="K1158" s="124" t="s">
        <v>140</v>
      </c>
      <c r="L1158" s="174">
        <v>1</v>
      </c>
      <c r="M1158" s="174" t="s">
        <v>250</v>
      </c>
      <c r="N1158" s="184">
        <v>80</v>
      </c>
      <c r="O1158" s="184">
        <v>6</v>
      </c>
      <c r="P1158" s="184" t="s">
        <v>1429</v>
      </c>
      <c r="Q1158" s="174" t="s">
        <v>233</v>
      </c>
      <c r="R1158" s="276" t="s">
        <v>240</v>
      </c>
      <c r="S1158" s="276" t="s">
        <v>233</v>
      </c>
      <c r="T1158" s="276" t="s">
        <v>240</v>
      </c>
      <c r="U1158" s="174" t="s">
        <v>1427</v>
      </c>
      <c r="V1158" s="276" t="s">
        <v>240</v>
      </c>
      <c r="W1158" s="130"/>
      <c r="X1158" s="125">
        <v>645.48</v>
      </c>
      <c r="Y1158" s="126">
        <v>729.87</v>
      </c>
      <c r="Z1158" s="127">
        <v>90.2743842</v>
      </c>
      <c r="AA1158" s="128" t="s">
        <v>252</v>
      </c>
      <c r="AB1158" s="125">
        <v>65.707065</v>
      </c>
      <c r="AC1158" s="128" t="s">
        <v>252</v>
      </c>
      <c r="AD1158" s="129">
        <v>95.096879999999999</v>
      </c>
      <c r="AE1158" s="125" t="s">
        <v>252</v>
      </c>
      <c r="AF1158" s="125">
        <v>53.934731999999997</v>
      </c>
      <c r="AG1158" s="125" t="s">
        <v>252</v>
      </c>
      <c r="AH1158" s="125">
        <v>14.324904999999999</v>
      </c>
      <c r="AI1158" s="125" t="s">
        <v>252</v>
      </c>
      <c r="AJ1158" s="125">
        <v>0</v>
      </c>
      <c r="AK1158" s="125">
        <v>0</v>
      </c>
      <c r="AL1158" s="125">
        <v>0</v>
      </c>
      <c r="AM1158" s="125">
        <v>0</v>
      </c>
      <c r="AN1158" s="125">
        <v>0</v>
      </c>
      <c r="AO1158" s="125">
        <v>0</v>
      </c>
      <c r="AP1158" s="125">
        <v>0</v>
      </c>
      <c r="AQ1158" s="125">
        <v>0</v>
      </c>
      <c r="AR1158" s="125">
        <v>51.311183999999997</v>
      </c>
      <c r="AS1158" s="125" t="s">
        <v>252</v>
      </c>
      <c r="AT1158" s="125">
        <v>44.548091999999997</v>
      </c>
      <c r="AU1158" s="125" t="s">
        <v>252</v>
      </c>
      <c r="AV1158" s="125">
        <v>67.544736</v>
      </c>
      <c r="AW1158" s="125" t="s">
        <v>252</v>
      </c>
      <c r="AX1158" s="125">
        <f t="shared" si="0"/>
        <v>482.74197820000001</v>
      </c>
      <c r="AY1158" s="125">
        <f>0.2094+0.0206</f>
        <v>0.23</v>
      </c>
      <c r="AZ1158" s="181" t="s">
        <v>1429</v>
      </c>
      <c r="BA1158" s="181" t="s">
        <v>254</v>
      </c>
      <c r="BB1158" s="181">
        <v>1</v>
      </c>
      <c r="BC1158" s="125" t="s">
        <v>255</v>
      </c>
    </row>
    <row r="1159" spans="1:55" ht="16.350000000000001" customHeight="1" outlineLevel="1">
      <c r="A1159" s="92">
        <v>1149</v>
      </c>
      <c r="B1159" s="99" t="s">
        <v>830</v>
      </c>
      <c r="C1159" s="122" t="s">
        <v>815</v>
      </c>
      <c r="D1159" s="161">
        <v>28</v>
      </c>
      <c r="E1159" s="123" t="s">
        <v>734</v>
      </c>
      <c r="F1159" s="124" t="s">
        <v>1425</v>
      </c>
      <c r="G1159" s="133" t="s">
        <v>247</v>
      </c>
      <c r="H1159" s="134" t="s">
        <v>248</v>
      </c>
      <c r="I1159" s="134" t="s">
        <v>1426</v>
      </c>
      <c r="J1159" s="134" t="s">
        <v>139</v>
      </c>
      <c r="K1159" s="124" t="s">
        <v>140</v>
      </c>
      <c r="L1159" s="174">
        <v>1</v>
      </c>
      <c r="M1159" s="174" t="s">
        <v>250</v>
      </c>
      <c r="N1159" s="184">
        <v>80</v>
      </c>
      <c r="O1159" s="184">
        <v>6</v>
      </c>
      <c r="P1159" s="184" t="s">
        <v>1429</v>
      </c>
      <c r="Q1159" s="174" t="s">
        <v>233</v>
      </c>
      <c r="R1159" s="276" t="s">
        <v>240</v>
      </c>
      <c r="S1159" s="276" t="s">
        <v>233</v>
      </c>
      <c r="T1159" s="276" t="s">
        <v>240</v>
      </c>
      <c r="U1159" s="174" t="s">
        <v>1427</v>
      </c>
      <c r="V1159" s="276" t="s">
        <v>240</v>
      </c>
      <c r="W1159" s="130"/>
      <c r="X1159" s="125">
        <v>1158.06</v>
      </c>
      <c r="Y1159" s="126">
        <v>959.16</v>
      </c>
      <c r="Z1159" s="127">
        <v>151.7342988</v>
      </c>
      <c r="AA1159" s="128" t="s">
        <v>252</v>
      </c>
      <c r="AB1159" s="125">
        <v>89.053290000000004</v>
      </c>
      <c r="AC1159" s="128" t="s">
        <v>252</v>
      </c>
      <c r="AD1159" s="129">
        <v>132.905844</v>
      </c>
      <c r="AE1159" s="125" t="s">
        <v>252</v>
      </c>
      <c r="AF1159" s="125">
        <v>81.874535999999992</v>
      </c>
      <c r="AG1159" s="125" t="s">
        <v>252</v>
      </c>
      <c r="AH1159" s="125">
        <v>22.052723</v>
      </c>
      <c r="AI1159" s="125" t="s">
        <v>252</v>
      </c>
      <c r="AJ1159" s="125">
        <v>0</v>
      </c>
      <c r="AK1159" s="125">
        <v>0</v>
      </c>
      <c r="AL1159" s="125">
        <v>0</v>
      </c>
      <c r="AM1159" s="125">
        <v>0</v>
      </c>
      <c r="AN1159" s="125">
        <v>0</v>
      </c>
      <c r="AO1159" s="125">
        <v>0</v>
      </c>
      <c r="AP1159" s="125">
        <v>0</v>
      </c>
      <c r="AQ1159" s="125">
        <v>0</v>
      </c>
      <c r="AR1159" s="125">
        <v>108.90222000000001</v>
      </c>
      <c r="AS1159" s="125" t="s">
        <v>252</v>
      </c>
      <c r="AT1159" s="125">
        <v>94.755465000000001</v>
      </c>
      <c r="AU1159" s="125" t="s">
        <v>252</v>
      </c>
      <c r="AV1159" s="125">
        <v>131.36928</v>
      </c>
      <c r="AW1159" s="125" t="s">
        <v>252</v>
      </c>
      <c r="AX1159" s="125">
        <f t="shared" si="0"/>
        <v>812.64765679999994</v>
      </c>
      <c r="AY1159" s="125">
        <f>0.0514+0.2186</f>
        <v>0.27</v>
      </c>
      <c r="AZ1159" s="181" t="s">
        <v>1429</v>
      </c>
      <c r="BA1159" s="181" t="s">
        <v>254</v>
      </c>
      <c r="BB1159" s="181">
        <v>1</v>
      </c>
      <c r="BC1159" s="125" t="s">
        <v>255</v>
      </c>
    </row>
    <row r="1160" spans="1:55" ht="16.350000000000001" customHeight="1" outlineLevel="1">
      <c r="A1160" s="92">
        <v>1150</v>
      </c>
      <c r="B1160" s="99" t="s">
        <v>831</v>
      </c>
      <c r="C1160" s="122" t="s">
        <v>815</v>
      </c>
      <c r="D1160" s="161">
        <v>3</v>
      </c>
      <c r="E1160" s="123" t="s">
        <v>734</v>
      </c>
      <c r="F1160" s="124" t="s">
        <v>1425</v>
      </c>
      <c r="G1160" s="133" t="s">
        <v>281</v>
      </c>
      <c r="H1160" s="134" t="s">
        <v>248</v>
      </c>
      <c r="I1160" s="134" t="s">
        <v>1426</v>
      </c>
      <c r="J1160" s="134" t="s">
        <v>139</v>
      </c>
      <c r="K1160" s="124" t="s">
        <v>140</v>
      </c>
      <c r="L1160" s="174">
        <v>0</v>
      </c>
      <c r="M1160" s="174" t="s">
        <v>250</v>
      </c>
      <c r="N1160" s="184">
        <v>89</v>
      </c>
      <c r="O1160" s="184">
        <v>6</v>
      </c>
      <c r="P1160" s="184" t="s">
        <v>1429</v>
      </c>
      <c r="Q1160" s="174" t="s">
        <v>233</v>
      </c>
      <c r="R1160" s="276" t="s">
        <v>240</v>
      </c>
      <c r="S1160" s="276" t="s">
        <v>240</v>
      </c>
      <c r="T1160" s="276" t="s">
        <v>233</v>
      </c>
      <c r="U1160" s="174" t="s">
        <v>1427</v>
      </c>
      <c r="V1160" s="276" t="s">
        <v>240</v>
      </c>
      <c r="W1160" s="130"/>
      <c r="X1160" s="125">
        <v>235.97</v>
      </c>
      <c r="Y1160" s="126">
        <v>239.33</v>
      </c>
      <c r="Z1160" s="127">
        <v>14.580190799999999</v>
      </c>
      <c r="AA1160" s="128" t="s">
        <v>259</v>
      </c>
      <c r="AB1160" s="125">
        <v>13.35717</v>
      </c>
      <c r="AC1160" s="128" t="s">
        <v>259</v>
      </c>
      <c r="AD1160" s="129">
        <v>14.441292000000001</v>
      </c>
      <c r="AE1160" s="125" t="s">
        <v>259</v>
      </c>
      <c r="AF1160" s="125">
        <v>12.499385999999999</v>
      </c>
      <c r="AG1160" s="125" t="s">
        <v>259</v>
      </c>
      <c r="AH1160" s="125">
        <v>9.8574770000000012</v>
      </c>
      <c r="AI1160" s="125" t="s">
        <v>259</v>
      </c>
      <c r="AJ1160" s="125">
        <v>0</v>
      </c>
      <c r="AK1160" s="125">
        <v>0</v>
      </c>
      <c r="AL1160" s="125">
        <v>0</v>
      </c>
      <c r="AM1160" s="125">
        <v>0</v>
      </c>
      <c r="AN1160" s="125">
        <v>0</v>
      </c>
      <c r="AO1160" s="125">
        <v>0</v>
      </c>
      <c r="AP1160" s="125">
        <v>0</v>
      </c>
      <c r="AQ1160" s="125">
        <v>0</v>
      </c>
      <c r="AR1160" s="125">
        <v>11.12988</v>
      </c>
      <c r="AS1160" s="125" t="s">
        <v>259</v>
      </c>
      <c r="AT1160" s="125">
        <v>10.892340000000001</v>
      </c>
      <c r="AU1160" s="125" t="s">
        <v>259</v>
      </c>
      <c r="AV1160" s="125">
        <v>11.750160000000001</v>
      </c>
      <c r="AW1160" s="125" t="s">
        <v>259</v>
      </c>
      <c r="AX1160" s="125">
        <f t="shared" ref="AX1160:AX1223" si="1">Z1160+AB1160+AD1160+AF1160+AH1160+AJ1160+AL1160+AN1160+AP1160+AR1160+AT1160+AV1160</f>
        <v>98.5078958</v>
      </c>
      <c r="AY1160" s="125">
        <f>0.0068+0.0532</f>
        <v>0.06</v>
      </c>
      <c r="AZ1160" s="181" t="s">
        <v>1429</v>
      </c>
      <c r="BA1160" s="181" t="s">
        <v>254</v>
      </c>
      <c r="BB1160" s="181">
        <v>1</v>
      </c>
      <c r="BC1160" s="125" t="s">
        <v>255</v>
      </c>
    </row>
    <row r="1161" spans="1:55" ht="16.350000000000001" customHeight="1" outlineLevel="1">
      <c r="A1161" s="92">
        <v>1151</v>
      </c>
      <c r="B1161" s="99" t="s">
        <v>832</v>
      </c>
      <c r="C1161" s="122" t="s">
        <v>815</v>
      </c>
      <c r="D1161" s="161">
        <v>5</v>
      </c>
      <c r="E1161" s="123" t="s">
        <v>734</v>
      </c>
      <c r="F1161" s="124" t="s">
        <v>1425</v>
      </c>
      <c r="G1161" s="133" t="s">
        <v>281</v>
      </c>
      <c r="H1161" s="334" t="s">
        <v>248</v>
      </c>
      <c r="I1161" s="334" t="s">
        <v>1426</v>
      </c>
      <c r="J1161" s="317" t="s">
        <v>139</v>
      </c>
      <c r="K1161" s="317" t="s">
        <v>140</v>
      </c>
      <c r="L1161" s="334">
        <v>0</v>
      </c>
      <c r="M1161" s="334" t="s">
        <v>250</v>
      </c>
      <c r="N1161" s="315">
        <v>89</v>
      </c>
      <c r="O1161" s="315">
        <v>6</v>
      </c>
      <c r="P1161" s="315" t="s">
        <v>1429</v>
      </c>
      <c r="Q1161" s="317" t="s">
        <v>233</v>
      </c>
      <c r="R1161" s="320" t="s">
        <v>240</v>
      </c>
      <c r="S1161" s="320" t="s">
        <v>240</v>
      </c>
      <c r="T1161" s="320" t="s">
        <v>233</v>
      </c>
      <c r="U1161" s="334" t="s">
        <v>1427</v>
      </c>
      <c r="V1161" s="320" t="s">
        <v>240</v>
      </c>
      <c r="W1161" s="189"/>
      <c r="X1161" s="292">
        <v>355.1</v>
      </c>
      <c r="Y1161" s="295">
        <v>386.19</v>
      </c>
      <c r="Z1161" s="297">
        <v>34.937111999999999</v>
      </c>
      <c r="AA1161" s="299" t="s">
        <v>259</v>
      </c>
      <c r="AB1161" s="292">
        <v>32.627069999999996</v>
      </c>
      <c r="AC1161" s="299" t="s">
        <v>259</v>
      </c>
      <c r="AD1161" s="301">
        <v>35.458055999999999</v>
      </c>
      <c r="AE1161" s="292" t="s">
        <v>259</v>
      </c>
      <c r="AF1161" s="292">
        <v>31.797931999999999</v>
      </c>
      <c r="AG1161" s="292" t="s">
        <v>259</v>
      </c>
      <c r="AH1161" s="292">
        <v>27.900613999999997</v>
      </c>
      <c r="AI1161" s="292" t="s">
        <v>259</v>
      </c>
      <c r="AJ1161" s="292">
        <v>0</v>
      </c>
      <c r="AK1161" s="292">
        <v>0</v>
      </c>
      <c r="AL1161" s="292">
        <v>0</v>
      </c>
      <c r="AM1161" s="292">
        <v>0</v>
      </c>
      <c r="AN1161" s="292">
        <v>0</v>
      </c>
      <c r="AO1161" s="292">
        <v>0</v>
      </c>
      <c r="AP1161" s="292">
        <v>0</v>
      </c>
      <c r="AQ1161" s="292">
        <v>0</v>
      </c>
      <c r="AR1161" s="292">
        <v>30.603108000000002</v>
      </c>
      <c r="AS1161" s="292" t="s">
        <v>259</v>
      </c>
      <c r="AT1161" s="292">
        <v>30.088115999999999</v>
      </c>
      <c r="AU1161" s="292" t="s">
        <v>259</v>
      </c>
      <c r="AV1161" s="292">
        <v>32.277647999999999</v>
      </c>
      <c r="AW1161" s="292" t="s">
        <v>259</v>
      </c>
      <c r="AX1161" s="292">
        <f t="shared" si="1"/>
        <v>255.68965599999996</v>
      </c>
      <c r="AY1161" s="338">
        <f>0.1052+0.0048</f>
        <v>0.11</v>
      </c>
      <c r="AZ1161" s="312" t="s">
        <v>1429</v>
      </c>
      <c r="BA1161" s="312" t="s">
        <v>254</v>
      </c>
      <c r="BB1161" s="312">
        <v>1</v>
      </c>
      <c r="BC1161" s="336" t="s">
        <v>255</v>
      </c>
    </row>
    <row r="1162" spans="1:55" ht="16.350000000000001" customHeight="1" outlineLevel="1">
      <c r="A1162" s="92">
        <v>1152</v>
      </c>
      <c r="B1162" s="99" t="s">
        <v>833</v>
      </c>
      <c r="C1162" s="122" t="s">
        <v>815</v>
      </c>
      <c r="D1162" s="161">
        <v>5</v>
      </c>
      <c r="E1162" s="123" t="s">
        <v>737</v>
      </c>
      <c r="F1162" s="124" t="s">
        <v>1425</v>
      </c>
      <c r="G1162" s="133" t="s">
        <v>281</v>
      </c>
      <c r="H1162" s="335"/>
      <c r="I1162" s="335"/>
      <c r="J1162" s="319"/>
      <c r="K1162" s="319"/>
      <c r="L1162" s="335"/>
      <c r="M1162" s="335"/>
      <c r="N1162" s="315"/>
      <c r="O1162" s="315"/>
      <c r="P1162" s="315"/>
      <c r="Q1162" s="319"/>
      <c r="R1162" s="320"/>
      <c r="S1162" s="320"/>
      <c r="T1162" s="320"/>
      <c r="U1162" s="335"/>
      <c r="V1162" s="320"/>
      <c r="W1162" s="190"/>
      <c r="X1162" s="294"/>
      <c r="Y1162" s="296"/>
      <c r="Z1162" s="298"/>
      <c r="AA1162" s="300"/>
      <c r="AB1162" s="294"/>
      <c r="AC1162" s="300"/>
      <c r="AD1162" s="302"/>
      <c r="AE1162" s="294"/>
      <c r="AF1162" s="294"/>
      <c r="AG1162" s="294"/>
      <c r="AH1162" s="294"/>
      <c r="AI1162" s="294"/>
      <c r="AJ1162" s="294"/>
      <c r="AK1162" s="294"/>
      <c r="AL1162" s="294"/>
      <c r="AM1162" s="294"/>
      <c r="AN1162" s="294"/>
      <c r="AO1162" s="294"/>
      <c r="AP1162" s="294"/>
      <c r="AQ1162" s="294"/>
      <c r="AR1162" s="294"/>
      <c r="AS1162" s="294"/>
      <c r="AT1162" s="294"/>
      <c r="AU1162" s="294"/>
      <c r="AV1162" s="294"/>
      <c r="AW1162" s="294"/>
      <c r="AX1162" s="294">
        <f t="shared" si="1"/>
        <v>0</v>
      </c>
      <c r="AY1162" s="339"/>
      <c r="AZ1162" s="312"/>
      <c r="BA1162" s="312"/>
      <c r="BB1162" s="312"/>
      <c r="BC1162" s="337"/>
    </row>
    <row r="1163" spans="1:55" ht="16.350000000000001" customHeight="1" outlineLevel="1">
      <c r="A1163" s="92">
        <v>1153</v>
      </c>
      <c r="B1163" s="99" t="s">
        <v>834</v>
      </c>
      <c r="C1163" s="122" t="s">
        <v>815</v>
      </c>
      <c r="D1163" s="161">
        <v>6</v>
      </c>
      <c r="E1163" s="123" t="s">
        <v>734</v>
      </c>
      <c r="F1163" s="124" t="s">
        <v>1425</v>
      </c>
      <c r="G1163" s="133" t="s">
        <v>247</v>
      </c>
      <c r="H1163" s="134" t="s">
        <v>248</v>
      </c>
      <c r="I1163" s="134" t="s">
        <v>1426</v>
      </c>
      <c r="J1163" s="134" t="s">
        <v>139</v>
      </c>
      <c r="K1163" s="124" t="s">
        <v>140</v>
      </c>
      <c r="L1163" s="174">
        <v>1</v>
      </c>
      <c r="M1163" s="174" t="s">
        <v>250</v>
      </c>
      <c r="N1163" s="184">
        <v>89</v>
      </c>
      <c r="O1163" s="184">
        <v>6</v>
      </c>
      <c r="P1163" s="184" t="s">
        <v>1429</v>
      </c>
      <c r="Q1163" s="174" t="s">
        <v>233</v>
      </c>
      <c r="R1163" s="276" t="s">
        <v>240</v>
      </c>
      <c r="S1163" s="276" t="s">
        <v>233</v>
      </c>
      <c r="T1163" s="276" t="s">
        <v>240</v>
      </c>
      <c r="U1163" s="174" t="s">
        <v>1427</v>
      </c>
      <c r="V1163" s="276" t="s">
        <v>240</v>
      </c>
      <c r="W1163" s="130"/>
      <c r="X1163" s="125">
        <v>674.18</v>
      </c>
      <c r="Y1163" s="126">
        <v>670.07</v>
      </c>
      <c r="Z1163" s="127">
        <v>105.9269022</v>
      </c>
      <c r="AA1163" s="128" t="s">
        <v>252</v>
      </c>
      <c r="AB1163" s="125">
        <v>56.557980000000008</v>
      </c>
      <c r="AC1163" s="128" t="s">
        <v>252</v>
      </c>
      <c r="AD1163" s="129">
        <v>80.699778000000009</v>
      </c>
      <c r="AE1163" s="125" t="s">
        <v>252</v>
      </c>
      <c r="AF1163" s="125">
        <v>50.013355999999995</v>
      </c>
      <c r="AG1163" s="125" t="s">
        <v>252</v>
      </c>
      <c r="AH1163" s="125">
        <v>12.583717999999999</v>
      </c>
      <c r="AI1163" s="125" t="s">
        <v>252</v>
      </c>
      <c r="AJ1163" s="125">
        <v>0</v>
      </c>
      <c r="AK1163" s="125">
        <v>0</v>
      </c>
      <c r="AL1163" s="125">
        <v>0</v>
      </c>
      <c r="AM1163" s="125">
        <v>0</v>
      </c>
      <c r="AN1163" s="125">
        <v>0</v>
      </c>
      <c r="AO1163" s="125">
        <v>0</v>
      </c>
      <c r="AP1163" s="125">
        <v>0</v>
      </c>
      <c r="AQ1163" s="125">
        <v>0</v>
      </c>
      <c r="AR1163" s="125">
        <v>50.839992000000002</v>
      </c>
      <c r="AS1163" s="125" t="s">
        <v>252</v>
      </c>
      <c r="AT1163" s="125">
        <v>38.778309</v>
      </c>
      <c r="AU1163" s="125" t="s">
        <v>252</v>
      </c>
      <c r="AV1163" s="125">
        <v>63.708288000000003</v>
      </c>
      <c r="AW1163" s="125" t="s">
        <v>252</v>
      </c>
      <c r="AX1163" s="125">
        <f t="shared" si="1"/>
        <v>459.10832319999997</v>
      </c>
      <c r="AY1163" s="125">
        <f>0.17</f>
        <v>0.17</v>
      </c>
      <c r="AZ1163" s="181" t="s">
        <v>1429</v>
      </c>
      <c r="BA1163" s="181" t="s">
        <v>254</v>
      </c>
      <c r="BB1163" s="181">
        <v>1</v>
      </c>
      <c r="BC1163" s="125" t="s">
        <v>255</v>
      </c>
    </row>
    <row r="1164" spans="1:55" ht="16.350000000000001" customHeight="1" outlineLevel="1">
      <c r="A1164" s="92">
        <v>1154</v>
      </c>
      <c r="B1164" s="99" t="s">
        <v>835</v>
      </c>
      <c r="C1164" s="122" t="s">
        <v>815</v>
      </c>
      <c r="D1164" s="161">
        <v>7</v>
      </c>
      <c r="E1164" s="123" t="s">
        <v>734</v>
      </c>
      <c r="F1164" s="124" t="s">
        <v>1234</v>
      </c>
      <c r="G1164" s="133" t="s">
        <v>281</v>
      </c>
      <c r="H1164" s="134" t="s">
        <v>1424</v>
      </c>
      <c r="I1164" s="134" t="s">
        <v>1426</v>
      </c>
      <c r="J1164" s="134" t="s">
        <v>139</v>
      </c>
      <c r="K1164" s="124" t="s">
        <v>140</v>
      </c>
      <c r="L1164" s="174">
        <v>0</v>
      </c>
      <c r="M1164" s="174" t="s">
        <v>250</v>
      </c>
      <c r="N1164" s="184">
        <v>108</v>
      </c>
      <c r="O1164" s="184">
        <v>5.5</v>
      </c>
      <c r="P1164" s="184" t="s">
        <v>253</v>
      </c>
      <c r="Q1164" s="174" t="s">
        <v>240</v>
      </c>
      <c r="R1164" s="276" t="s">
        <v>240</v>
      </c>
      <c r="S1164" s="276" t="s">
        <v>240</v>
      </c>
      <c r="T1164" s="276" t="s">
        <v>233</v>
      </c>
      <c r="U1164" s="174" t="s">
        <v>1428</v>
      </c>
      <c r="V1164" s="276" t="s">
        <v>240</v>
      </c>
      <c r="W1164" s="130"/>
      <c r="X1164" s="125">
        <v>655.54</v>
      </c>
      <c r="Y1164" s="126">
        <v>907.49</v>
      </c>
      <c r="Z1164" s="127">
        <f>17.25+97.41</f>
        <v>114.66</v>
      </c>
      <c r="AA1164" s="128" t="s">
        <v>259</v>
      </c>
      <c r="AB1164" s="125">
        <f>17.25+97.41</f>
        <v>114.66</v>
      </c>
      <c r="AC1164" s="128" t="s">
        <v>259</v>
      </c>
      <c r="AD1164" s="129">
        <v>114.66</v>
      </c>
      <c r="AE1164" s="125" t="s">
        <v>259</v>
      </c>
      <c r="AF1164" s="125">
        <f>17.25+97.41</f>
        <v>114.66</v>
      </c>
      <c r="AG1164" s="125" t="s">
        <v>259</v>
      </c>
      <c r="AH1164" s="125">
        <f>5.01+28.28</f>
        <v>33.29</v>
      </c>
      <c r="AI1164" s="125" t="s">
        <v>259</v>
      </c>
      <c r="AJ1164" s="125">
        <v>0</v>
      </c>
      <c r="AK1164" s="125">
        <v>0</v>
      </c>
      <c r="AL1164" s="125">
        <v>0</v>
      </c>
      <c r="AM1164" s="125">
        <v>0</v>
      </c>
      <c r="AN1164" s="125">
        <v>0</v>
      </c>
      <c r="AO1164" s="125">
        <v>0</v>
      </c>
      <c r="AP1164" s="125">
        <f>3.68+20.8</f>
        <v>24.48</v>
      </c>
      <c r="AQ1164" s="125" t="s">
        <v>259</v>
      </c>
      <c r="AR1164" s="125">
        <f>15.78+89.13</f>
        <v>104.91</v>
      </c>
      <c r="AS1164" s="125" t="s">
        <v>259</v>
      </c>
      <c r="AT1164" s="125">
        <f>15.78+89.13</f>
        <v>104.91</v>
      </c>
      <c r="AU1164" s="125" t="s">
        <v>259</v>
      </c>
      <c r="AV1164" s="125">
        <f>15.78+89.13</f>
        <v>104.91</v>
      </c>
      <c r="AW1164" s="125" t="s">
        <v>259</v>
      </c>
      <c r="AX1164" s="125">
        <f t="shared" si="1"/>
        <v>831.13999999999987</v>
      </c>
      <c r="AY1164" s="125">
        <v>0.32017000000000001</v>
      </c>
      <c r="AZ1164" s="181" t="s">
        <v>253</v>
      </c>
      <c r="BA1164" s="181" t="s">
        <v>254</v>
      </c>
      <c r="BB1164" s="181" t="s">
        <v>1430</v>
      </c>
      <c r="BC1164" s="125" t="s">
        <v>255</v>
      </c>
    </row>
    <row r="1165" spans="1:55" ht="16.350000000000001" customHeight="1" outlineLevel="1">
      <c r="A1165" s="92">
        <v>1155</v>
      </c>
      <c r="B1165" s="99" t="s">
        <v>836</v>
      </c>
      <c r="C1165" s="122" t="s">
        <v>815</v>
      </c>
      <c r="D1165" s="161">
        <v>8</v>
      </c>
      <c r="E1165" s="123" t="s">
        <v>734</v>
      </c>
      <c r="F1165" s="124" t="s">
        <v>1425</v>
      </c>
      <c r="G1165" s="133" t="s">
        <v>247</v>
      </c>
      <c r="H1165" s="134" t="s">
        <v>1424</v>
      </c>
      <c r="I1165" s="134" t="s">
        <v>1426</v>
      </c>
      <c r="J1165" s="134" t="s">
        <v>139</v>
      </c>
      <c r="K1165" s="124" t="s">
        <v>140</v>
      </c>
      <c r="L1165" s="174">
        <v>1</v>
      </c>
      <c r="M1165" s="174" t="s">
        <v>250</v>
      </c>
      <c r="N1165" s="184">
        <v>89</v>
      </c>
      <c r="O1165" s="184">
        <v>6</v>
      </c>
      <c r="P1165" s="184" t="s">
        <v>1429</v>
      </c>
      <c r="Q1165" s="174" t="s">
        <v>233</v>
      </c>
      <c r="R1165" s="276" t="s">
        <v>240</v>
      </c>
      <c r="S1165" s="276" t="s">
        <v>233</v>
      </c>
      <c r="T1165" s="276" t="s">
        <v>240</v>
      </c>
      <c r="U1165" s="174" t="s">
        <v>1427</v>
      </c>
      <c r="V1165" s="276" t="s">
        <v>240</v>
      </c>
      <c r="W1165" s="130"/>
      <c r="X1165" s="125">
        <v>803.47</v>
      </c>
      <c r="Y1165" s="126">
        <v>862.89</v>
      </c>
      <c r="Z1165" s="127">
        <v>122.45284799999999</v>
      </c>
      <c r="AA1165" s="128" t="s">
        <v>252</v>
      </c>
      <c r="AB1165" s="125">
        <v>83.667599999999993</v>
      </c>
      <c r="AC1165" s="128" t="s">
        <v>252</v>
      </c>
      <c r="AD1165" s="129">
        <v>119.374866</v>
      </c>
      <c r="AE1165" s="125" t="s">
        <v>252</v>
      </c>
      <c r="AF1165" s="125">
        <v>57.595209999999994</v>
      </c>
      <c r="AG1165" s="125" t="s">
        <v>252</v>
      </c>
      <c r="AH1165" s="125">
        <v>19.104498</v>
      </c>
      <c r="AI1165" s="125" t="s">
        <v>252</v>
      </c>
      <c r="AJ1165" s="125">
        <v>0</v>
      </c>
      <c r="AK1165" s="125">
        <v>0</v>
      </c>
      <c r="AL1165" s="125">
        <v>0</v>
      </c>
      <c r="AM1165" s="125">
        <v>0</v>
      </c>
      <c r="AN1165" s="125">
        <v>0</v>
      </c>
      <c r="AO1165" s="125">
        <v>0</v>
      </c>
      <c r="AP1165" s="125">
        <v>0</v>
      </c>
      <c r="AQ1165" s="125">
        <v>0</v>
      </c>
      <c r="AR1165" s="125">
        <v>81.833052000000009</v>
      </c>
      <c r="AS1165" s="125" t="s">
        <v>252</v>
      </c>
      <c r="AT1165" s="125">
        <v>53.056745999999997</v>
      </c>
      <c r="AU1165" s="125" t="s">
        <v>252</v>
      </c>
      <c r="AV1165" s="125">
        <v>75.441839999999999</v>
      </c>
      <c r="AW1165" s="125" t="s">
        <v>252</v>
      </c>
      <c r="AX1165" s="125">
        <f t="shared" si="1"/>
        <v>612.52665999999999</v>
      </c>
      <c r="AY1165" s="125">
        <f>0.24</f>
        <v>0.24</v>
      </c>
      <c r="AZ1165" s="181" t="s">
        <v>1429</v>
      </c>
      <c r="BA1165" s="181" t="s">
        <v>254</v>
      </c>
      <c r="BB1165" s="181">
        <v>1</v>
      </c>
      <c r="BC1165" s="125" t="s">
        <v>255</v>
      </c>
    </row>
    <row r="1166" spans="1:55" ht="16.350000000000001" customHeight="1" outlineLevel="1">
      <c r="A1166" s="92">
        <v>1156</v>
      </c>
      <c r="B1166" s="99" t="s">
        <v>837</v>
      </c>
      <c r="C1166" s="122" t="s">
        <v>815</v>
      </c>
      <c r="D1166" s="161">
        <v>9</v>
      </c>
      <c r="E1166" s="123" t="s">
        <v>734</v>
      </c>
      <c r="F1166" s="124" t="s">
        <v>1234</v>
      </c>
      <c r="G1166" s="133" t="s">
        <v>281</v>
      </c>
      <c r="H1166" s="134" t="s">
        <v>1424</v>
      </c>
      <c r="I1166" s="134" t="s">
        <v>1426</v>
      </c>
      <c r="J1166" s="134" t="s">
        <v>139</v>
      </c>
      <c r="K1166" s="124" t="s">
        <v>140</v>
      </c>
      <c r="L1166" s="174">
        <v>0</v>
      </c>
      <c r="M1166" s="174" t="s">
        <v>250</v>
      </c>
      <c r="N1166" s="184">
        <v>89</v>
      </c>
      <c r="O1166" s="184">
        <v>5.5</v>
      </c>
      <c r="P1166" s="184" t="s">
        <v>253</v>
      </c>
      <c r="Q1166" s="174" t="s">
        <v>240</v>
      </c>
      <c r="R1166" s="276" t="s">
        <v>240</v>
      </c>
      <c r="S1166" s="276" t="s">
        <v>240</v>
      </c>
      <c r="T1166" s="276" t="s">
        <v>233</v>
      </c>
      <c r="U1166" s="174" t="s">
        <v>1428</v>
      </c>
      <c r="V1166" s="276" t="s">
        <v>240</v>
      </c>
      <c r="W1166" s="130"/>
      <c r="X1166" s="125">
        <v>361.68</v>
      </c>
      <c r="Y1166" s="126">
        <v>359.17</v>
      </c>
      <c r="Z1166" s="127">
        <f>20.68+34.24</f>
        <v>54.92</v>
      </c>
      <c r="AA1166" s="128" t="s">
        <v>259</v>
      </c>
      <c r="AB1166" s="125">
        <f>20.68+34.24</f>
        <v>54.92</v>
      </c>
      <c r="AC1166" s="128" t="s">
        <v>259</v>
      </c>
      <c r="AD1166" s="129">
        <v>54.92</v>
      </c>
      <c r="AE1166" s="125" t="s">
        <v>259</v>
      </c>
      <c r="AF1166" s="125">
        <f>20.68+34.24</f>
        <v>54.92</v>
      </c>
      <c r="AG1166" s="125" t="s">
        <v>259</v>
      </c>
      <c r="AH1166" s="125">
        <f>6.01+9.94</f>
        <v>15.95</v>
      </c>
      <c r="AI1166" s="125" t="s">
        <v>259</v>
      </c>
      <c r="AJ1166" s="125">
        <v>0</v>
      </c>
      <c r="AK1166" s="125">
        <v>0</v>
      </c>
      <c r="AL1166" s="125">
        <v>0</v>
      </c>
      <c r="AM1166" s="125">
        <v>0</v>
      </c>
      <c r="AN1166" s="125">
        <v>0</v>
      </c>
      <c r="AO1166" s="125">
        <v>0</v>
      </c>
      <c r="AP1166" s="125">
        <f>4.6+7.61</f>
        <v>12.21</v>
      </c>
      <c r="AQ1166" s="125" t="s">
        <v>259</v>
      </c>
      <c r="AR1166" s="125">
        <f>19.72+32.63</f>
        <v>52.35</v>
      </c>
      <c r="AS1166" s="125" t="s">
        <v>259</v>
      </c>
      <c r="AT1166" s="125">
        <f>19.72+32.63</f>
        <v>52.35</v>
      </c>
      <c r="AU1166" s="125" t="s">
        <v>259</v>
      </c>
      <c r="AV1166" s="125">
        <f>19.72+32.63</f>
        <v>52.35</v>
      </c>
      <c r="AW1166" s="125" t="s">
        <v>259</v>
      </c>
      <c r="AX1166" s="125">
        <f t="shared" si="1"/>
        <v>404.89000000000004</v>
      </c>
      <c r="AY1166" s="125">
        <v>0.17663999999999999</v>
      </c>
      <c r="AZ1166" s="181" t="s">
        <v>253</v>
      </c>
      <c r="BA1166" s="181" t="s">
        <v>254</v>
      </c>
      <c r="BB1166" s="181" t="s">
        <v>1430</v>
      </c>
      <c r="BC1166" s="125" t="s">
        <v>255</v>
      </c>
    </row>
    <row r="1167" spans="1:55" ht="16.350000000000001" customHeight="1" outlineLevel="1">
      <c r="A1167" s="92">
        <v>1157</v>
      </c>
      <c r="B1167" s="99" t="s">
        <v>838</v>
      </c>
      <c r="C1167" s="122" t="s">
        <v>815</v>
      </c>
      <c r="D1167" s="161" t="s">
        <v>324</v>
      </c>
      <c r="E1167" s="123" t="s">
        <v>734</v>
      </c>
      <c r="F1167" s="124" t="s">
        <v>1425</v>
      </c>
      <c r="G1167" s="133" t="s">
        <v>281</v>
      </c>
      <c r="H1167" s="134" t="s">
        <v>1424</v>
      </c>
      <c r="I1167" s="134" t="s">
        <v>1426</v>
      </c>
      <c r="J1167" s="134" t="s">
        <v>139</v>
      </c>
      <c r="K1167" s="124" t="s">
        <v>140</v>
      </c>
      <c r="L1167" s="174">
        <v>1</v>
      </c>
      <c r="M1167" s="174" t="s">
        <v>250</v>
      </c>
      <c r="N1167" s="184">
        <v>100</v>
      </c>
      <c r="O1167" s="184">
        <v>6</v>
      </c>
      <c r="P1167" s="184" t="s">
        <v>1429</v>
      </c>
      <c r="Q1167" s="174" t="s">
        <v>240</v>
      </c>
      <c r="R1167" s="276" t="s">
        <v>240</v>
      </c>
      <c r="S1167" s="276" t="s">
        <v>233</v>
      </c>
      <c r="T1167" s="276" t="s">
        <v>240</v>
      </c>
      <c r="U1167" s="174" t="s">
        <v>1427</v>
      </c>
      <c r="V1167" s="276" t="s">
        <v>240</v>
      </c>
      <c r="W1167" s="130"/>
      <c r="X1167" s="125">
        <v>772.12</v>
      </c>
      <c r="Y1167" s="126">
        <v>867.2</v>
      </c>
      <c r="Z1167" s="127">
        <v>162.80000000000001</v>
      </c>
      <c r="AA1167" s="128" t="s">
        <v>252</v>
      </c>
      <c r="AB1167" s="125">
        <v>104.6</v>
      </c>
      <c r="AC1167" s="128" t="s">
        <v>252</v>
      </c>
      <c r="AD1167" s="129">
        <v>150.30000000000001</v>
      </c>
      <c r="AE1167" s="125" t="s">
        <v>252</v>
      </c>
      <c r="AF1167" s="125">
        <v>74.900000000000006</v>
      </c>
      <c r="AG1167" s="125" t="s">
        <v>252</v>
      </c>
      <c r="AH1167" s="125">
        <v>20.8</v>
      </c>
      <c r="AI1167" s="125" t="s">
        <v>252</v>
      </c>
      <c r="AJ1167" s="125">
        <v>0</v>
      </c>
      <c r="AK1167" s="125">
        <v>0</v>
      </c>
      <c r="AL1167" s="125">
        <v>0</v>
      </c>
      <c r="AM1167" s="125">
        <v>0</v>
      </c>
      <c r="AN1167" s="125">
        <v>0</v>
      </c>
      <c r="AO1167" s="125">
        <v>0</v>
      </c>
      <c r="AP1167" s="125">
        <v>0</v>
      </c>
      <c r="AQ1167" s="125">
        <v>0</v>
      </c>
      <c r="AR1167" s="125">
        <v>98.9</v>
      </c>
      <c r="AS1167" s="125" t="s">
        <v>252</v>
      </c>
      <c r="AT1167" s="125">
        <v>80.599999999999994</v>
      </c>
      <c r="AU1167" s="125" t="s">
        <v>252</v>
      </c>
      <c r="AV1167" s="125">
        <v>112.7</v>
      </c>
      <c r="AW1167" s="125" t="s">
        <v>252</v>
      </c>
      <c r="AX1167" s="125">
        <f t="shared" si="1"/>
        <v>805.6</v>
      </c>
      <c r="AY1167" s="125">
        <f>0.2746+0.0054</f>
        <v>0.28000000000000003</v>
      </c>
      <c r="AZ1167" s="181" t="s">
        <v>1429</v>
      </c>
      <c r="BA1167" s="181" t="s">
        <v>254</v>
      </c>
      <c r="BB1167" s="181">
        <v>1</v>
      </c>
      <c r="BC1167" s="125" t="s">
        <v>255</v>
      </c>
    </row>
    <row r="1168" spans="1:55" ht="16.350000000000001" customHeight="1" outlineLevel="1">
      <c r="A1168" s="92">
        <v>1158</v>
      </c>
      <c r="B1168" s="99" t="s">
        <v>839</v>
      </c>
      <c r="C1168" s="122" t="s">
        <v>841</v>
      </c>
      <c r="D1168" s="161">
        <v>102</v>
      </c>
      <c r="E1168" s="123" t="s">
        <v>734</v>
      </c>
      <c r="F1168" s="124" t="s">
        <v>1425</v>
      </c>
      <c r="G1168" s="133" t="s">
        <v>281</v>
      </c>
      <c r="H1168" s="334" t="s">
        <v>248</v>
      </c>
      <c r="I1168" s="334" t="s">
        <v>1426</v>
      </c>
      <c r="J1168" s="317" t="s">
        <v>139</v>
      </c>
      <c r="K1168" s="317" t="s">
        <v>140</v>
      </c>
      <c r="L1168" s="334">
        <v>1</v>
      </c>
      <c r="M1168" s="334" t="s">
        <v>250</v>
      </c>
      <c r="N1168" s="315">
        <v>89</v>
      </c>
      <c r="O1168" s="315">
        <v>6</v>
      </c>
      <c r="P1168" s="315" t="s">
        <v>1429</v>
      </c>
      <c r="Q1168" s="317" t="s">
        <v>233</v>
      </c>
      <c r="R1168" s="320" t="s">
        <v>240</v>
      </c>
      <c r="S1168" s="320" t="s">
        <v>233</v>
      </c>
      <c r="T1168" s="320" t="s">
        <v>240</v>
      </c>
      <c r="U1168" s="334" t="s">
        <v>1427</v>
      </c>
      <c r="V1168" s="320" t="s">
        <v>240</v>
      </c>
      <c r="W1168" s="189"/>
      <c r="X1168" s="292">
        <v>424.45</v>
      </c>
      <c r="Y1168" s="295">
        <v>413.57</v>
      </c>
      <c r="Z1168" s="297">
        <v>48.816831000000001</v>
      </c>
      <c r="AA1168" s="299" t="s">
        <v>252</v>
      </c>
      <c r="AB1168" s="292">
        <v>45.358379999999997</v>
      </c>
      <c r="AC1168" s="299" t="s">
        <v>252</v>
      </c>
      <c r="AD1168" s="301">
        <v>63.085643999999995</v>
      </c>
      <c r="AE1168" s="292" t="s">
        <v>252</v>
      </c>
      <c r="AF1168" s="292">
        <v>29.694936000000002</v>
      </c>
      <c r="AG1168" s="292" t="s">
        <v>252</v>
      </c>
      <c r="AH1168" s="292">
        <v>10.148830999999999</v>
      </c>
      <c r="AI1168" s="292" t="s">
        <v>252</v>
      </c>
      <c r="AJ1168" s="292">
        <v>0</v>
      </c>
      <c r="AK1168" s="292">
        <v>0</v>
      </c>
      <c r="AL1168" s="292">
        <v>0</v>
      </c>
      <c r="AM1168" s="292">
        <v>0</v>
      </c>
      <c r="AN1168" s="292">
        <v>0</v>
      </c>
      <c r="AO1168" s="292">
        <v>0</v>
      </c>
      <c r="AP1168" s="292">
        <v>0</v>
      </c>
      <c r="AQ1168" s="292">
        <v>0</v>
      </c>
      <c r="AR1168" s="292">
        <v>34.876331999999998</v>
      </c>
      <c r="AS1168" s="292" t="s">
        <v>252</v>
      </c>
      <c r="AT1168" s="292">
        <v>29.330387999999996</v>
      </c>
      <c r="AU1168" s="292" t="s">
        <v>252</v>
      </c>
      <c r="AV1168" s="292">
        <v>44.26032</v>
      </c>
      <c r="AW1168" s="292" t="s">
        <v>252</v>
      </c>
      <c r="AX1168" s="292">
        <f t="shared" si="1"/>
        <v>305.57166199999995</v>
      </c>
      <c r="AY1168" s="338">
        <f>0.1342+0.0058</f>
        <v>0.14000000000000001</v>
      </c>
      <c r="AZ1168" s="312" t="s">
        <v>1429</v>
      </c>
      <c r="BA1168" s="312" t="s">
        <v>254</v>
      </c>
      <c r="BB1168" s="312">
        <v>1</v>
      </c>
      <c r="BC1168" s="336" t="s">
        <v>255</v>
      </c>
    </row>
    <row r="1169" spans="1:55" ht="16.350000000000001" customHeight="1" outlineLevel="1">
      <c r="A1169" s="92">
        <v>1159</v>
      </c>
      <c r="B1169" s="99" t="s">
        <v>840</v>
      </c>
      <c r="C1169" s="122" t="s">
        <v>841</v>
      </c>
      <c r="D1169" s="161">
        <v>102</v>
      </c>
      <c r="E1169" s="123" t="s">
        <v>737</v>
      </c>
      <c r="F1169" s="124" t="s">
        <v>1425</v>
      </c>
      <c r="G1169" s="133" t="s">
        <v>281</v>
      </c>
      <c r="H1169" s="335"/>
      <c r="I1169" s="335"/>
      <c r="J1169" s="319"/>
      <c r="K1169" s="319"/>
      <c r="L1169" s="335"/>
      <c r="M1169" s="335"/>
      <c r="N1169" s="315"/>
      <c r="O1169" s="315"/>
      <c r="P1169" s="315"/>
      <c r="Q1169" s="319"/>
      <c r="R1169" s="320"/>
      <c r="S1169" s="320"/>
      <c r="T1169" s="320"/>
      <c r="U1169" s="335"/>
      <c r="V1169" s="320"/>
      <c r="W1169" s="190"/>
      <c r="X1169" s="294"/>
      <c r="Y1169" s="296"/>
      <c r="Z1169" s="298"/>
      <c r="AA1169" s="300"/>
      <c r="AB1169" s="294"/>
      <c r="AC1169" s="300"/>
      <c r="AD1169" s="302"/>
      <c r="AE1169" s="294"/>
      <c r="AF1169" s="294"/>
      <c r="AG1169" s="294"/>
      <c r="AH1169" s="294"/>
      <c r="AI1169" s="294"/>
      <c r="AJ1169" s="294"/>
      <c r="AK1169" s="294"/>
      <c r="AL1169" s="294"/>
      <c r="AM1169" s="294"/>
      <c r="AN1169" s="294"/>
      <c r="AO1169" s="294"/>
      <c r="AP1169" s="294"/>
      <c r="AQ1169" s="294"/>
      <c r="AR1169" s="294"/>
      <c r="AS1169" s="294"/>
      <c r="AT1169" s="294"/>
      <c r="AU1169" s="294"/>
      <c r="AV1169" s="294"/>
      <c r="AW1169" s="294"/>
      <c r="AX1169" s="294">
        <f t="shared" si="1"/>
        <v>0</v>
      </c>
      <c r="AY1169" s="339"/>
      <c r="AZ1169" s="312"/>
      <c r="BA1169" s="312"/>
      <c r="BB1169" s="312"/>
      <c r="BC1169" s="337"/>
    </row>
    <row r="1170" spans="1:55" ht="16.350000000000001" customHeight="1" outlineLevel="1">
      <c r="A1170" s="92">
        <v>1160</v>
      </c>
      <c r="B1170" s="99" t="s">
        <v>842</v>
      </c>
      <c r="C1170" s="122" t="s">
        <v>841</v>
      </c>
      <c r="D1170" s="161">
        <v>105</v>
      </c>
      <c r="E1170" s="123" t="s">
        <v>734</v>
      </c>
      <c r="F1170" s="124" t="s">
        <v>1425</v>
      </c>
      <c r="G1170" s="133" t="s">
        <v>281</v>
      </c>
      <c r="H1170" s="134" t="s">
        <v>248</v>
      </c>
      <c r="I1170" s="134" t="s">
        <v>1426</v>
      </c>
      <c r="J1170" s="134" t="s">
        <v>139</v>
      </c>
      <c r="K1170" s="124" t="s">
        <v>140</v>
      </c>
      <c r="L1170" s="174">
        <v>1</v>
      </c>
      <c r="M1170" s="174" t="s">
        <v>250</v>
      </c>
      <c r="N1170" s="184">
        <v>100</v>
      </c>
      <c r="O1170" s="184">
        <v>6</v>
      </c>
      <c r="P1170" s="184" t="s">
        <v>1429</v>
      </c>
      <c r="Q1170" s="174" t="s">
        <v>233</v>
      </c>
      <c r="R1170" s="276" t="s">
        <v>240</v>
      </c>
      <c r="S1170" s="276" t="s">
        <v>233</v>
      </c>
      <c r="T1170" s="276" t="s">
        <v>240</v>
      </c>
      <c r="U1170" s="174" t="s">
        <v>1427</v>
      </c>
      <c r="V1170" s="276" t="s">
        <v>240</v>
      </c>
      <c r="W1170" s="130"/>
      <c r="X1170" s="125">
        <v>932.28</v>
      </c>
      <c r="Y1170" s="126">
        <v>962.85</v>
      </c>
      <c r="Z1170" s="127">
        <v>148.3789524</v>
      </c>
      <c r="AA1170" s="128" t="s">
        <v>252</v>
      </c>
      <c r="AB1170" s="125">
        <v>104.35392</v>
      </c>
      <c r="AC1170" s="128" t="s">
        <v>252</v>
      </c>
      <c r="AD1170" s="129">
        <v>144.76644000000002</v>
      </c>
      <c r="AE1170" s="125" t="s">
        <v>252</v>
      </c>
      <c r="AF1170" s="125">
        <v>84.799756000000002</v>
      </c>
      <c r="AG1170" s="125" t="s">
        <v>252</v>
      </c>
      <c r="AH1170" s="125">
        <v>20.207480999999998</v>
      </c>
      <c r="AI1170" s="125" t="s">
        <v>252</v>
      </c>
      <c r="AJ1170" s="125">
        <v>0</v>
      </c>
      <c r="AK1170" s="125">
        <v>0</v>
      </c>
      <c r="AL1170" s="125">
        <v>0</v>
      </c>
      <c r="AM1170" s="125">
        <v>0</v>
      </c>
      <c r="AN1170" s="125">
        <v>0</v>
      </c>
      <c r="AO1170" s="125">
        <v>0</v>
      </c>
      <c r="AP1170" s="125">
        <v>0</v>
      </c>
      <c r="AQ1170" s="125">
        <v>0</v>
      </c>
      <c r="AR1170" s="125">
        <v>95.928191999999996</v>
      </c>
      <c r="AS1170" s="125" t="s">
        <v>252</v>
      </c>
      <c r="AT1170" s="125">
        <v>77.769728999999998</v>
      </c>
      <c r="AU1170" s="125" t="s">
        <v>252</v>
      </c>
      <c r="AV1170" s="125">
        <v>100.569744</v>
      </c>
      <c r="AW1170" s="125" t="s">
        <v>252</v>
      </c>
      <c r="AX1170" s="125">
        <f t="shared" si="1"/>
        <v>776.77421440000001</v>
      </c>
      <c r="AY1170" s="125">
        <f>0.0256+0.2344</f>
        <v>0.26</v>
      </c>
      <c r="AZ1170" s="181" t="s">
        <v>1429</v>
      </c>
      <c r="BA1170" s="181" t="s">
        <v>254</v>
      </c>
      <c r="BB1170" s="181">
        <v>1</v>
      </c>
      <c r="BC1170" s="125" t="s">
        <v>255</v>
      </c>
    </row>
    <row r="1171" spans="1:55" ht="16.350000000000001" customHeight="1" outlineLevel="1">
      <c r="A1171" s="92">
        <v>1161</v>
      </c>
      <c r="B1171" s="99" t="s">
        <v>843</v>
      </c>
      <c r="C1171" s="122" t="s">
        <v>841</v>
      </c>
      <c r="D1171" s="161">
        <v>106</v>
      </c>
      <c r="E1171" s="123" t="s">
        <v>734</v>
      </c>
      <c r="F1171" s="124" t="s">
        <v>1425</v>
      </c>
      <c r="G1171" s="133" t="s">
        <v>281</v>
      </c>
      <c r="H1171" s="134" t="s">
        <v>248</v>
      </c>
      <c r="I1171" s="134" t="s">
        <v>1426</v>
      </c>
      <c r="J1171" s="134" t="s">
        <v>139</v>
      </c>
      <c r="K1171" s="124" t="s">
        <v>140</v>
      </c>
      <c r="L1171" s="174">
        <v>1</v>
      </c>
      <c r="M1171" s="174" t="s">
        <v>250</v>
      </c>
      <c r="N1171" s="184">
        <v>100</v>
      </c>
      <c r="O1171" s="184">
        <v>6</v>
      </c>
      <c r="P1171" s="184" t="s">
        <v>1429</v>
      </c>
      <c r="Q1171" s="174" t="s">
        <v>233</v>
      </c>
      <c r="R1171" s="276" t="s">
        <v>240</v>
      </c>
      <c r="S1171" s="276" t="s">
        <v>233</v>
      </c>
      <c r="T1171" s="276" t="s">
        <v>240</v>
      </c>
      <c r="U1171" s="174" t="s">
        <v>1427</v>
      </c>
      <c r="V1171" s="276" t="s">
        <v>240</v>
      </c>
      <c r="W1171" s="130"/>
      <c r="X1171" s="125">
        <v>773.18</v>
      </c>
      <c r="Y1171" s="126">
        <v>879.84</v>
      </c>
      <c r="Z1171" s="127">
        <v>90.940264799999994</v>
      </c>
      <c r="AA1171" s="128" t="s">
        <v>259</v>
      </c>
      <c r="AB1171" s="125">
        <v>86.187510000000003</v>
      </c>
      <c r="AC1171" s="128" t="s">
        <v>259</v>
      </c>
      <c r="AD1171" s="129">
        <v>92.949246000000002</v>
      </c>
      <c r="AE1171" s="125" t="s">
        <v>259</v>
      </c>
      <c r="AF1171" s="125">
        <v>82.080091999999993</v>
      </c>
      <c r="AG1171" s="125" t="s">
        <v>259</v>
      </c>
      <c r="AH1171" s="125">
        <v>58.298548000000004</v>
      </c>
      <c r="AI1171" s="125" t="s">
        <v>259</v>
      </c>
      <c r="AJ1171" s="125">
        <v>0</v>
      </c>
      <c r="AK1171" s="125">
        <v>0</v>
      </c>
      <c r="AL1171" s="125">
        <v>0</v>
      </c>
      <c r="AM1171" s="125">
        <v>0</v>
      </c>
      <c r="AN1171" s="125">
        <v>0</v>
      </c>
      <c r="AO1171" s="125">
        <v>0</v>
      </c>
      <c r="AP1171" s="125">
        <v>0</v>
      </c>
      <c r="AQ1171" s="125">
        <v>0</v>
      </c>
      <c r="AR1171" s="125">
        <v>76.438715999999999</v>
      </c>
      <c r="AS1171" s="125" t="s">
        <v>259</v>
      </c>
      <c r="AT1171" s="125">
        <v>73.389114000000006</v>
      </c>
      <c r="AU1171" s="125" t="s">
        <v>259</v>
      </c>
      <c r="AV1171" s="125">
        <v>75.940080000000009</v>
      </c>
      <c r="AW1171" s="125" t="s">
        <v>259</v>
      </c>
      <c r="AX1171" s="125">
        <f t="shared" si="1"/>
        <v>636.22357079999995</v>
      </c>
      <c r="AY1171" s="125">
        <f>0.0058+0.0062+0.0029+0.2172+0.0067+0.0016+0.002+0.0128+0.0028+0.0048+0.0072</f>
        <v>0.27</v>
      </c>
      <c r="AZ1171" s="181" t="s">
        <v>1429</v>
      </c>
      <c r="BA1171" s="181" t="s">
        <v>254</v>
      </c>
      <c r="BB1171" s="181">
        <v>1</v>
      </c>
      <c r="BC1171" s="125" t="s">
        <v>255</v>
      </c>
    </row>
    <row r="1172" spans="1:55" ht="16.350000000000001" customHeight="1" outlineLevel="1">
      <c r="A1172" s="92">
        <v>1162</v>
      </c>
      <c r="B1172" s="99" t="s">
        <v>844</v>
      </c>
      <c r="C1172" s="122" t="s">
        <v>841</v>
      </c>
      <c r="D1172" s="161" t="s">
        <v>846</v>
      </c>
      <c r="E1172" s="123" t="s">
        <v>734</v>
      </c>
      <c r="F1172" s="124" t="s">
        <v>1425</v>
      </c>
      <c r="G1172" s="133" t="s">
        <v>281</v>
      </c>
      <c r="H1172" s="134" t="s">
        <v>248</v>
      </c>
      <c r="I1172" s="134" t="s">
        <v>1426</v>
      </c>
      <c r="J1172" s="134" t="s">
        <v>139</v>
      </c>
      <c r="K1172" s="124" t="s">
        <v>140</v>
      </c>
      <c r="L1172" s="174">
        <v>1</v>
      </c>
      <c r="M1172" s="174" t="s">
        <v>250</v>
      </c>
      <c r="N1172" s="184">
        <v>100</v>
      </c>
      <c r="O1172" s="184">
        <v>6</v>
      </c>
      <c r="P1172" s="184" t="s">
        <v>1429</v>
      </c>
      <c r="Q1172" s="174" t="s">
        <v>233</v>
      </c>
      <c r="R1172" s="276" t="s">
        <v>240</v>
      </c>
      <c r="S1172" s="276" t="s">
        <v>233</v>
      </c>
      <c r="T1172" s="276" t="s">
        <v>240</v>
      </c>
      <c r="U1172" s="174" t="s">
        <v>1427</v>
      </c>
      <c r="V1172" s="276" t="s">
        <v>240</v>
      </c>
      <c r="W1172" s="130"/>
      <c r="X1172" s="125">
        <v>858.12</v>
      </c>
      <c r="Y1172" s="126">
        <v>863.68</v>
      </c>
      <c r="Z1172" s="127">
        <v>135.06134040000001</v>
      </c>
      <c r="AA1172" s="128" t="s">
        <v>252</v>
      </c>
      <c r="AB1172" s="125">
        <v>94.96602</v>
      </c>
      <c r="AC1172" s="128" t="s">
        <v>252</v>
      </c>
      <c r="AD1172" s="129">
        <v>131.67736200000002</v>
      </c>
      <c r="AE1172" s="125" t="s">
        <v>252</v>
      </c>
      <c r="AF1172" s="125">
        <v>77.312774000000005</v>
      </c>
      <c r="AG1172" s="125" t="s">
        <v>252</v>
      </c>
      <c r="AH1172" s="125">
        <v>18.577286000000001</v>
      </c>
      <c r="AI1172" s="125" t="s">
        <v>252</v>
      </c>
      <c r="AJ1172" s="125">
        <v>0</v>
      </c>
      <c r="AK1172" s="125">
        <v>0</v>
      </c>
      <c r="AL1172" s="125">
        <v>0</v>
      </c>
      <c r="AM1172" s="125">
        <v>0</v>
      </c>
      <c r="AN1172" s="125">
        <v>0</v>
      </c>
      <c r="AO1172" s="125">
        <v>0</v>
      </c>
      <c r="AP1172" s="125">
        <v>0</v>
      </c>
      <c r="AQ1172" s="125">
        <v>0</v>
      </c>
      <c r="AR1172" s="125">
        <v>88.844064000000003</v>
      </c>
      <c r="AS1172" s="125" t="s">
        <v>252</v>
      </c>
      <c r="AT1172" s="125">
        <v>71.392184999999998</v>
      </c>
      <c r="AU1172" s="125" t="s">
        <v>252</v>
      </c>
      <c r="AV1172" s="125">
        <v>91.568207999999998</v>
      </c>
      <c r="AW1172" s="125" t="s">
        <v>252</v>
      </c>
      <c r="AX1172" s="125">
        <f t="shared" si="1"/>
        <v>709.39923940000017</v>
      </c>
      <c r="AY1172" s="125">
        <f>0.2743+0.0057</f>
        <v>0.27999999999999997</v>
      </c>
      <c r="AZ1172" s="181" t="s">
        <v>1429</v>
      </c>
      <c r="BA1172" s="181" t="s">
        <v>254</v>
      </c>
      <c r="BB1172" s="181">
        <v>1</v>
      </c>
      <c r="BC1172" s="125" t="s">
        <v>255</v>
      </c>
    </row>
    <row r="1173" spans="1:55" ht="16.350000000000001" customHeight="1" outlineLevel="1">
      <c r="A1173" s="92">
        <v>1163</v>
      </c>
      <c r="B1173" s="99" t="s">
        <v>845</v>
      </c>
      <c r="C1173" s="122" t="s">
        <v>841</v>
      </c>
      <c r="D1173" s="161" t="s">
        <v>848</v>
      </c>
      <c r="E1173" s="123" t="s">
        <v>737</v>
      </c>
      <c r="F1173" s="124" t="s">
        <v>1425</v>
      </c>
      <c r="G1173" s="133" t="s">
        <v>281</v>
      </c>
      <c r="H1173" s="334" t="s">
        <v>248</v>
      </c>
      <c r="I1173" s="334" t="s">
        <v>1426</v>
      </c>
      <c r="J1173" s="317" t="s">
        <v>139</v>
      </c>
      <c r="K1173" s="317" t="s">
        <v>140</v>
      </c>
      <c r="L1173" s="334">
        <v>1</v>
      </c>
      <c r="M1173" s="334" t="s">
        <v>250</v>
      </c>
      <c r="N1173" s="315">
        <v>80</v>
      </c>
      <c r="O1173" s="315">
        <v>6</v>
      </c>
      <c r="P1173" s="315" t="s">
        <v>1429</v>
      </c>
      <c r="Q1173" s="317" t="s">
        <v>233</v>
      </c>
      <c r="R1173" s="320" t="s">
        <v>240</v>
      </c>
      <c r="S1173" s="320" t="s">
        <v>233</v>
      </c>
      <c r="T1173" s="320" t="s">
        <v>240</v>
      </c>
      <c r="U1173" s="334" t="s">
        <v>1427</v>
      </c>
      <c r="V1173" s="320" t="s">
        <v>240</v>
      </c>
      <c r="W1173" s="189"/>
      <c r="X1173" s="292">
        <v>1005.36</v>
      </c>
      <c r="Y1173" s="295">
        <v>947.81</v>
      </c>
      <c r="Z1173" s="297">
        <v>141.1061526</v>
      </c>
      <c r="AA1173" s="299" t="s">
        <v>252</v>
      </c>
      <c r="AB1173" s="292">
        <v>84.804029999999997</v>
      </c>
      <c r="AC1173" s="299" t="s">
        <v>252</v>
      </c>
      <c r="AD1173" s="301">
        <v>122.00859000000001</v>
      </c>
      <c r="AE1173" s="292" t="s">
        <v>252</v>
      </c>
      <c r="AF1173" s="292">
        <v>70.932631999999998</v>
      </c>
      <c r="AG1173" s="292" t="s">
        <v>252</v>
      </c>
      <c r="AH1173" s="292">
        <v>19.791260999999999</v>
      </c>
      <c r="AI1173" s="292" t="s">
        <v>252</v>
      </c>
      <c r="AJ1173" s="292">
        <v>0</v>
      </c>
      <c r="AK1173" s="292">
        <v>0</v>
      </c>
      <c r="AL1173" s="292">
        <v>0</v>
      </c>
      <c r="AM1173" s="292">
        <v>0</v>
      </c>
      <c r="AN1173" s="292">
        <v>0</v>
      </c>
      <c r="AO1173" s="292">
        <v>0</v>
      </c>
      <c r="AP1173" s="292">
        <v>0</v>
      </c>
      <c r="AQ1173" s="292">
        <v>0</v>
      </c>
      <c r="AR1173" s="292">
        <v>63.944003999999993</v>
      </c>
      <c r="AS1173" s="292" t="s">
        <v>252</v>
      </c>
      <c r="AT1173" s="292">
        <v>68.045552999999998</v>
      </c>
      <c r="AU1173" s="292" t="s">
        <v>252</v>
      </c>
      <c r="AV1173" s="292">
        <v>89.990448000000001</v>
      </c>
      <c r="AW1173" s="292" t="s">
        <v>252</v>
      </c>
      <c r="AX1173" s="292">
        <f t="shared" si="1"/>
        <v>660.62267060000011</v>
      </c>
      <c r="AY1173" s="338">
        <f>0.2946+0.0154</f>
        <v>0.31</v>
      </c>
      <c r="AZ1173" s="312" t="s">
        <v>1429</v>
      </c>
      <c r="BA1173" s="312" t="s">
        <v>254</v>
      </c>
      <c r="BB1173" s="312">
        <v>1</v>
      </c>
      <c r="BC1173" s="336" t="s">
        <v>255</v>
      </c>
    </row>
    <row r="1174" spans="1:55" ht="16.350000000000001" customHeight="1" outlineLevel="1">
      <c r="A1174" s="92">
        <v>1164</v>
      </c>
      <c r="B1174" s="99" t="s">
        <v>847</v>
      </c>
      <c r="C1174" s="122" t="s">
        <v>841</v>
      </c>
      <c r="D1174" s="161" t="s">
        <v>848</v>
      </c>
      <c r="E1174" s="123" t="s">
        <v>734</v>
      </c>
      <c r="F1174" s="124" t="s">
        <v>1425</v>
      </c>
      <c r="G1174" s="133" t="s">
        <v>281</v>
      </c>
      <c r="H1174" s="335"/>
      <c r="I1174" s="335"/>
      <c r="J1174" s="319"/>
      <c r="K1174" s="319"/>
      <c r="L1174" s="335"/>
      <c r="M1174" s="335"/>
      <c r="N1174" s="315"/>
      <c r="O1174" s="315"/>
      <c r="P1174" s="315"/>
      <c r="Q1174" s="319"/>
      <c r="R1174" s="320"/>
      <c r="S1174" s="320"/>
      <c r="T1174" s="320"/>
      <c r="U1174" s="335"/>
      <c r="V1174" s="320"/>
      <c r="W1174" s="190"/>
      <c r="X1174" s="294"/>
      <c r="Y1174" s="296"/>
      <c r="Z1174" s="298"/>
      <c r="AA1174" s="300"/>
      <c r="AB1174" s="294"/>
      <c r="AC1174" s="300"/>
      <c r="AD1174" s="302"/>
      <c r="AE1174" s="294"/>
      <c r="AF1174" s="294"/>
      <c r="AG1174" s="294"/>
      <c r="AH1174" s="294"/>
      <c r="AI1174" s="294"/>
      <c r="AJ1174" s="294"/>
      <c r="AK1174" s="294"/>
      <c r="AL1174" s="294"/>
      <c r="AM1174" s="294"/>
      <c r="AN1174" s="294"/>
      <c r="AO1174" s="294"/>
      <c r="AP1174" s="294"/>
      <c r="AQ1174" s="294"/>
      <c r="AR1174" s="294"/>
      <c r="AS1174" s="294"/>
      <c r="AT1174" s="294"/>
      <c r="AU1174" s="294"/>
      <c r="AV1174" s="294"/>
      <c r="AW1174" s="294"/>
      <c r="AX1174" s="294">
        <f t="shared" si="1"/>
        <v>0</v>
      </c>
      <c r="AY1174" s="339"/>
      <c r="AZ1174" s="312"/>
      <c r="BA1174" s="312"/>
      <c r="BB1174" s="312"/>
      <c r="BC1174" s="337"/>
    </row>
    <row r="1175" spans="1:55" ht="16.350000000000001" customHeight="1" outlineLevel="1">
      <c r="A1175" s="92">
        <v>1165</v>
      </c>
      <c r="B1175" s="99" t="s">
        <v>849</v>
      </c>
      <c r="C1175" s="122" t="s">
        <v>841</v>
      </c>
      <c r="D1175" s="161">
        <v>111</v>
      </c>
      <c r="E1175" s="123" t="s">
        <v>734</v>
      </c>
      <c r="F1175" s="124" t="s">
        <v>1425</v>
      </c>
      <c r="G1175" s="133" t="s">
        <v>281</v>
      </c>
      <c r="H1175" s="134" t="s">
        <v>248</v>
      </c>
      <c r="I1175" s="134" t="s">
        <v>1426</v>
      </c>
      <c r="J1175" s="134" t="s">
        <v>139</v>
      </c>
      <c r="K1175" s="124" t="s">
        <v>140</v>
      </c>
      <c r="L1175" s="174">
        <v>1</v>
      </c>
      <c r="M1175" s="174" t="s">
        <v>250</v>
      </c>
      <c r="N1175" s="184">
        <v>80</v>
      </c>
      <c r="O1175" s="184">
        <v>6</v>
      </c>
      <c r="P1175" s="184" t="s">
        <v>1429</v>
      </c>
      <c r="Q1175" s="174" t="s">
        <v>233</v>
      </c>
      <c r="R1175" s="276" t="s">
        <v>240</v>
      </c>
      <c r="S1175" s="276" t="s">
        <v>233</v>
      </c>
      <c r="T1175" s="276" t="s">
        <v>240</v>
      </c>
      <c r="U1175" s="174" t="s">
        <v>1427</v>
      </c>
      <c r="V1175" s="276" t="s">
        <v>240</v>
      </c>
      <c r="W1175" s="130"/>
      <c r="X1175" s="125">
        <v>389.66</v>
      </c>
      <c r="Y1175" s="126">
        <v>366.87</v>
      </c>
      <c r="Z1175" s="127">
        <v>54.567618000000003</v>
      </c>
      <c r="AA1175" s="128" t="s">
        <v>252</v>
      </c>
      <c r="AB1175" s="125">
        <v>32.85765</v>
      </c>
      <c r="AC1175" s="128" t="s">
        <v>252</v>
      </c>
      <c r="AD1175" s="129">
        <v>47.274462000000007</v>
      </c>
      <c r="AE1175" s="125" t="s">
        <v>252</v>
      </c>
      <c r="AF1175" s="125">
        <v>27.418008</v>
      </c>
      <c r="AG1175" s="125" t="s">
        <v>252</v>
      </c>
      <c r="AH1175" s="125">
        <v>7.6515109999999993</v>
      </c>
      <c r="AI1175" s="125" t="s">
        <v>252</v>
      </c>
      <c r="AJ1175" s="125">
        <v>0</v>
      </c>
      <c r="AK1175" s="125">
        <v>0</v>
      </c>
      <c r="AL1175" s="125">
        <v>0</v>
      </c>
      <c r="AM1175" s="125">
        <v>0</v>
      </c>
      <c r="AN1175" s="125">
        <v>0</v>
      </c>
      <c r="AO1175" s="125">
        <v>0</v>
      </c>
      <c r="AP1175" s="125">
        <v>0</v>
      </c>
      <c r="AQ1175" s="125">
        <v>0</v>
      </c>
      <c r="AR1175" s="125">
        <v>24.591348</v>
      </c>
      <c r="AS1175" s="125" t="s">
        <v>252</v>
      </c>
      <c r="AT1175" s="125">
        <v>26.260011000000002</v>
      </c>
      <c r="AU1175" s="125" t="s">
        <v>252</v>
      </c>
      <c r="AV1175" s="125">
        <v>34.818671999999999</v>
      </c>
      <c r="AW1175" s="125" t="s">
        <v>252</v>
      </c>
      <c r="AX1175" s="125">
        <f t="shared" si="1"/>
        <v>255.43928000000002</v>
      </c>
      <c r="AY1175" s="125">
        <f>0.11</f>
        <v>0.11</v>
      </c>
      <c r="AZ1175" s="181" t="s">
        <v>1429</v>
      </c>
      <c r="BA1175" s="181" t="s">
        <v>254</v>
      </c>
      <c r="BB1175" s="181">
        <v>1</v>
      </c>
      <c r="BC1175" s="125" t="s">
        <v>255</v>
      </c>
    </row>
    <row r="1176" spans="1:55" ht="16.350000000000001" customHeight="1" outlineLevel="1">
      <c r="A1176" s="92">
        <v>1166</v>
      </c>
      <c r="B1176" s="99" t="s">
        <v>850</v>
      </c>
      <c r="C1176" s="122" t="s">
        <v>841</v>
      </c>
      <c r="D1176" s="161">
        <v>113</v>
      </c>
      <c r="E1176" s="123" t="s">
        <v>734</v>
      </c>
      <c r="F1176" s="124" t="s">
        <v>1425</v>
      </c>
      <c r="G1176" s="133" t="s">
        <v>247</v>
      </c>
      <c r="H1176" s="134" t="s">
        <v>248</v>
      </c>
      <c r="I1176" s="134" t="s">
        <v>1426</v>
      </c>
      <c r="J1176" s="134" t="s">
        <v>139</v>
      </c>
      <c r="K1176" s="124" t="s">
        <v>140</v>
      </c>
      <c r="L1176" s="174">
        <v>1</v>
      </c>
      <c r="M1176" s="174" t="s">
        <v>250</v>
      </c>
      <c r="N1176" s="184">
        <v>80</v>
      </c>
      <c r="O1176" s="184">
        <v>6</v>
      </c>
      <c r="P1176" s="184" t="s">
        <v>1429</v>
      </c>
      <c r="Q1176" s="174" t="s">
        <v>233</v>
      </c>
      <c r="R1176" s="276" t="s">
        <v>240</v>
      </c>
      <c r="S1176" s="276" t="s">
        <v>233</v>
      </c>
      <c r="T1176" s="276" t="s">
        <v>240</v>
      </c>
      <c r="U1176" s="174" t="s">
        <v>1427</v>
      </c>
      <c r="V1176" s="276" t="s">
        <v>240</v>
      </c>
      <c r="W1176" s="130"/>
      <c r="X1176" s="125">
        <v>1206.96</v>
      </c>
      <c r="Y1176" s="126">
        <v>1272.79</v>
      </c>
      <c r="Z1176" s="127">
        <v>135.14781840000001</v>
      </c>
      <c r="AA1176" s="128" t="s">
        <v>259</v>
      </c>
      <c r="AB1176" s="125">
        <v>133.81051500000001</v>
      </c>
      <c r="AC1176" s="128" t="s">
        <v>252</v>
      </c>
      <c r="AD1176" s="129">
        <v>196.097544</v>
      </c>
      <c r="AE1176" s="125" t="s">
        <v>252</v>
      </c>
      <c r="AF1176" s="125">
        <v>109.07117600000001</v>
      </c>
      <c r="AG1176" s="125" t="s">
        <v>252</v>
      </c>
      <c r="AH1176" s="125">
        <v>27.102858999999999</v>
      </c>
      <c r="AI1176" s="125" t="s">
        <v>252</v>
      </c>
      <c r="AJ1176" s="125">
        <v>0</v>
      </c>
      <c r="AK1176" s="125">
        <v>0</v>
      </c>
      <c r="AL1176" s="125">
        <v>0</v>
      </c>
      <c r="AM1176" s="125">
        <v>0</v>
      </c>
      <c r="AN1176" s="125">
        <v>0</v>
      </c>
      <c r="AO1176" s="125">
        <v>0</v>
      </c>
      <c r="AP1176" s="125">
        <v>0</v>
      </c>
      <c r="AQ1176" s="125">
        <v>0</v>
      </c>
      <c r="AR1176" s="125">
        <v>97.510259759999997</v>
      </c>
      <c r="AS1176" s="125" t="s">
        <v>252</v>
      </c>
      <c r="AT1176" s="125">
        <v>93.334725000000006</v>
      </c>
      <c r="AU1176" s="125" t="s">
        <v>252</v>
      </c>
      <c r="AV1176" s="125">
        <v>128.15563200000003</v>
      </c>
      <c r="AW1176" s="125" t="s">
        <v>252</v>
      </c>
      <c r="AX1176" s="125">
        <f t="shared" si="1"/>
        <v>920.23052916000006</v>
      </c>
      <c r="AY1176" s="125">
        <f>0.003+0.387</f>
        <v>0.39</v>
      </c>
      <c r="AZ1176" s="181" t="s">
        <v>1429</v>
      </c>
      <c r="BA1176" s="181" t="s">
        <v>254</v>
      </c>
      <c r="BB1176" s="181">
        <v>1</v>
      </c>
      <c r="BC1176" s="125" t="s">
        <v>255</v>
      </c>
    </row>
    <row r="1177" spans="1:55" ht="16.350000000000001" customHeight="1" outlineLevel="1">
      <c r="A1177" s="92">
        <v>1167</v>
      </c>
      <c r="B1177" s="99" t="s">
        <v>851</v>
      </c>
      <c r="C1177" s="122" t="s">
        <v>841</v>
      </c>
      <c r="D1177" s="161">
        <v>115</v>
      </c>
      <c r="E1177" s="123" t="s">
        <v>734</v>
      </c>
      <c r="F1177" s="124" t="s">
        <v>1425</v>
      </c>
      <c r="G1177" s="133" t="s">
        <v>281</v>
      </c>
      <c r="H1177" s="134" t="s">
        <v>248</v>
      </c>
      <c r="I1177" s="134" t="s">
        <v>1426</v>
      </c>
      <c r="J1177" s="134" t="s">
        <v>139</v>
      </c>
      <c r="K1177" s="124" t="s">
        <v>140</v>
      </c>
      <c r="L1177" s="174">
        <v>1</v>
      </c>
      <c r="M1177" s="174" t="s">
        <v>250</v>
      </c>
      <c r="N1177" s="184">
        <v>65</v>
      </c>
      <c r="O1177" s="184">
        <v>6</v>
      </c>
      <c r="P1177" s="184" t="s">
        <v>1429</v>
      </c>
      <c r="Q1177" s="174" t="s">
        <v>233</v>
      </c>
      <c r="R1177" s="276" t="s">
        <v>240</v>
      </c>
      <c r="S1177" s="276" t="s">
        <v>233</v>
      </c>
      <c r="T1177" s="276" t="s">
        <v>240</v>
      </c>
      <c r="U1177" s="174" t="s">
        <v>1427</v>
      </c>
      <c r="V1177" s="276" t="s">
        <v>240</v>
      </c>
      <c r="W1177" s="130"/>
      <c r="X1177" s="125">
        <v>474.45</v>
      </c>
      <c r="Y1177" s="126">
        <v>506.93</v>
      </c>
      <c r="Z1177" s="127">
        <v>55.769662199999992</v>
      </c>
      <c r="AA1177" s="128" t="s">
        <v>259</v>
      </c>
      <c r="AB1177" s="125">
        <v>57.159134999999999</v>
      </c>
      <c r="AC1177" s="128" t="s">
        <v>259</v>
      </c>
      <c r="AD1177" s="129">
        <v>56.801825999999998</v>
      </c>
      <c r="AE1177" s="125" t="s">
        <v>259</v>
      </c>
      <c r="AF1177" s="125">
        <v>44.35266</v>
      </c>
      <c r="AG1177" s="125" t="s">
        <v>252</v>
      </c>
      <c r="AH1177" s="125">
        <v>11.758215</v>
      </c>
      <c r="AI1177" s="125" t="s">
        <v>252</v>
      </c>
      <c r="AJ1177" s="125">
        <v>0</v>
      </c>
      <c r="AK1177" s="125">
        <v>0</v>
      </c>
      <c r="AL1177" s="125">
        <v>0</v>
      </c>
      <c r="AM1177" s="125">
        <v>0</v>
      </c>
      <c r="AN1177" s="125">
        <v>0</v>
      </c>
      <c r="AO1177" s="125">
        <v>0</v>
      </c>
      <c r="AP1177" s="125">
        <v>0</v>
      </c>
      <c r="AQ1177" s="125">
        <v>0</v>
      </c>
      <c r="AR1177" s="125">
        <v>43.902096</v>
      </c>
      <c r="AS1177" s="125" t="s">
        <v>252</v>
      </c>
      <c r="AT1177" s="125">
        <v>41.264603999999999</v>
      </c>
      <c r="AU1177" s="125" t="s">
        <v>252</v>
      </c>
      <c r="AV1177" s="125">
        <v>51.542928000000003</v>
      </c>
      <c r="AW1177" s="125" t="s">
        <v>252</v>
      </c>
      <c r="AX1177" s="125">
        <f t="shared" si="1"/>
        <v>362.5511262</v>
      </c>
      <c r="AY1177" s="125">
        <f>0.2293+0.0007</f>
        <v>0.23</v>
      </c>
      <c r="AZ1177" s="181" t="s">
        <v>1429</v>
      </c>
      <c r="BA1177" s="181" t="s">
        <v>254</v>
      </c>
      <c r="BB1177" s="181">
        <v>1</v>
      </c>
      <c r="BC1177" s="125" t="s">
        <v>255</v>
      </c>
    </row>
    <row r="1178" spans="1:55" ht="16.350000000000001" customHeight="1" outlineLevel="1">
      <c r="A1178" s="92">
        <v>1168</v>
      </c>
      <c r="B1178" s="99" t="s">
        <v>852</v>
      </c>
      <c r="C1178" s="122" t="s">
        <v>841</v>
      </c>
      <c r="D1178" s="161">
        <v>117</v>
      </c>
      <c r="E1178" s="123" t="s">
        <v>734</v>
      </c>
      <c r="F1178" s="124" t="s">
        <v>1425</v>
      </c>
      <c r="G1178" s="133" t="s">
        <v>281</v>
      </c>
      <c r="H1178" s="134" t="s">
        <v>248</v>
      </c>
      <c r="I1178" s="134" t="s">
        <v>1426</v>
      </c>
      <c r="J1178" s="134" t="s">
        <v>139</v>
      </c>
      <c r="K1178" s="124" t="s">
        <v>140</v>
      </c>
      <c r="L1178" s="174">
        <v>1</v>
      </c>
      <c r="M1178" s="174" t="s">
        <v>250</v>
      </c>
      <c r="N1178" s="184">
        <v>65</v>
      </c>
      <c r="O1178" s="184">
        <v>6</v>
      </c>
      <c r="P1178" s="184" t="s">
        <v>1429</v>
      </c>
      <c r="Q1178" s="174" t="s">
        <v>233</v>
      </c>
      <c r="R1178" s="276" t="s">
        <v>240</v>
      </c>
      <c r="S1178" s="276" t="s">
        <v>233</v>
      </c>
      <c r="T1178" s="276" t="s">
        <v>240</v>
      </c>
      <c r="U1178" s="174" t="s">
        <v>1427</v>
      </c>
      <c r="V1178" s="276" t="s">
        <v>240</v>
      </c>
      <c r="W1178" s="130"/>
      <c r="X1178" s="125">
        <v>563.82000000000005</v>
      </c>
      <c r="Y1178" s="126">
        <v>630.96</v>
      </c>
      <c r="Z1178" s="127">
        <v>72.606928799999991</v>
      </c>
      <c r="AA1178" s="128" t="s">
        <v>259</v>
      </c>
      <c r="AB1178" s="125">
        <v>69.091650000000001</v>
      </c>
      <c r="AC1178" s="128" t="s">
        <v>259</v>
      </c>
      <c r="AD1178" s="129">
        <v>74.000574</v>
      </c>
      <c r="AE1178" s="125" t="s">
        <v>259</v>
      </c>
      <c r="AF1178" s="125">
        <v>51.776393999999996</v>
      </c>
      <c r="AG1178" s="125" t="s">
        <v>252</v>
      </c>
      <c r="AH1178" s="125">
        <v>13.187237000000001</v>
      </c>
      <c r="AI1178" s="125" t="s">
        <v>252</v>
      </c>
      <c r="AJ1178" s="125">
        <v>0</v>
      </c>
      <c r="AK1178" s="125">
        <v>0</v>
      </c>
      <c r="AL1178" s="125">
        <v>0</v>
      </c>
      <c r="AM1178" s="125">
        <v>0</v>
      </c>
      <c r="AN1178" s="125">
        <v>0</v>
      </c>
      <c r="AO1178" s="125">
        <v>0</v>
      </c>
      <c r="AP1178" s="125">
        <v>0</v>
      </c>
      <c r="AQ1178" s="125">
        <v>0</v>
      </c>
      <c r="AR1178" s="125">
        <v>50.547528</v>
      </c>
      <c r="AS1178" s="125" t="s">
        <v>252</v>
      </c>
      <c r="AT1178" s="125">
        <v>48.005226</v>
      </c>
      <c r="AU1178" s="125" t="s">
        <v>252</v>
      </c>
      <c r="AV1178" s="125">
        <v>60.145872000000004</v>
      </c>
      <c r="AW1178" s="125" t="s">
        <v>252</v>
      </c>
      <c r="AX1178" s="125">
        <f t="shared" si="1"/>
        <v>439.36140979999999</v>
      </c>
      <c r="AY1178" s="125">
        <f>0.2153+0.0147</f>
        <v>0.22999999999999998</v>
      </c>
      <c r="AZ1178" s="181" t="s">
        <v>1429</v>
      </c>
      <c r="BA1178" s="181" t="s">
        <v>254</v>
      </c>
      <c r="BB1178" s="181">
        <v>1</v>
      </c>
      <c r="BC1178" s="125" t="s">
        <v>255</v>
      </c>
    </row>
    <row r="1179" spans="1:55" ht="16.350000000000001" customHeight="1" outlineLevel="1">
      <c r="A1179" s="92">
        <v>1169</v>
      </c>
      <c r="B1179" s="99" t="s">
        <v>853</v>
      </c>
      <c r="C1179" s="122" t="s">
        <v>841</v>
      </c>
      <c r="D1179" s="161" t="s">
        <v>855</v>
      </c>
      <c r="E1179" s="123" t="s">
        <v>734</v>
      </c>
      <c r="F1179" s="124" t="s">
        <v>1425</v>
      </c>
      <c r="G1179" s="133" t="s">
        <v>247</v>
      </c>
      <c r="H1179" s="134" t="s">
        <v>248</v>
      </c>
      <c r="I1179" s="134" t="s">
        <v>1426</v>
      </c>
      <c r="J1179" s="134" t="s">
        <v>139</v>
      </c>
      <c r="K1179" s="124" t="s">
        <v>140</v>
      </c>
      <c r="L1179" s="174">
        <v>1</v>
      </c>
      <c r="M1179" s="174" t="s">
        <v>250</v>
      </c>
      <c r="N1179" s="184">
        <v>100</v>
      </c>
      <c r="O1179" s="184">
        <v>6</v>
      </c>
      <c r="P1179" s="184" t="s">
        <v>1429</v>
      </c>
      <c r="Q1179" s="174" t="s">
        <v>233</v>
      </c>
      <c r="R1179" s="276" t="s">
        <v>240</v>
      </c>
      <c r="S1179" s="276" t="s">
        <v>233</v>
      </c>
      <c r="T1179" s="276" t="s">
        <v>240</v>
      </c>
      <c r="U1179" s="174" t="s">
        <v>1427</v>
      </c>
      <c r="V1179" s="276" t="s">
        <v>240</v>
      </c>
      <c r="W1179" s="130"/>
      <c r="X1179" s="125">
        <v>4265.0600000000004</v>
      </c>
      <c r="Y1179" s="126">
        <v>3628.65</v>
      </c>
      <c r="Z1179" s="127">
        <v>327.14627400000001</v>
      </c>
      <c r="AA1179" s="128" t="s">
        <v>259</v>
      </c>
      <c r="AB1179" s="125">
        <v>313.99231500000002</v>
      </c>
      <c r="AC1179" s="128" t="s">
        <v>259</v>
      </c>
      <c r="AD1179" s="129">
        <v>333.35168400000003</v>
      </c>
      <c r="AE1179" s="125" t="s">
        <v>259</v>
      </c>
      <c r="AF1179" s="125">
        <v>305.748738</v>
      </c>
      <c r="AG1179" s="125" t="s">
        <v>259</v>
      </c>
      <c r="AH1179" s="125">
        <v>260.57453099999998</v>
      </c>
      <c r="AI1179" s="125" t="s">
        <v>259</v>
      </c>
      <c r="AJ1179" s="125">
        <v>0</v>
      </c>
      <c r="AK1179" s="125">
        <v>0</v>
      </c>
      <c r="AL1179" s="125">
        <v>0</v>
      </c>
      <c r="AM1179" s="125">
        <v>0</v>
      </c>
      <c r="AN1179" s="125">
        <v>0</v>
      </c>
      <c r="AO1179" s="125">
        <v>0</v>
      </c>
      <c r="AP1179" s="125">
        <v>0</v>
      </c>
      <c r="AQ1179" s="125">
        <v>0</v>
      </c>
      <c r="AR1179" s="125">
        <v>313.49703599999998</v>
      </c>
      <c r="AS1179" s="125" t="s">
        <v>259</v>
      </c>
      <c r="AT1179" s="125">
        <v>309.28720500000003</v>
      </c>
      <c r="AU1179" s="125" t="s">
        <v>259</v>
      </c>
      <c r="AV1179" s="125">
        <v>320.65065600000003</v>
      </c>
      <c r="AW1179" s="125" t="s">
        <v>259</v>
      </c>
      <c r="AX1179" s="125">
        <f t="shared" si="1"/>
        <v>2484.248439</v>
      </c>
      <c r="AY1179" s="125">
        <f>0.1287+0.2672+0.3155+0.0186</f>
        <v>0.73</v>
      </c>
      <c r="AZ1179" s="181" t="s">
        <v>1429</v>
      </c>
      <c r="BA1179" s="181" t="s">
        <v>254</v>
      </c>
      <c r="BB1179" s="181">
        <v>1</v>
      </c>
      <c r="BC1179" s="125" t="s">
        <v>255</v>
      </c>
    </row>
    <row r="1180" spans="1:55" ht="16.350000000000001" customHeight="1" outlineLevel="1">
      <c r="A1180" s="92">
        <v>1170</v>
      </c>
      <c r="B1180" s="99" t="s">
        <v>854</v>
      </c>
      <c r="C1180" s="122" t="s">
        <v>841</v>
      </c>
      <c r="D1180" s="161">
        <v>127</v>
      </c>
      <c r="E1180" s="123" t="s">
        <v>734</v>
      </c>
      <c r="F1180" s="124" t="s">
        <v>1425</v>
      </c>
      <c r="G1180" s="133" t="s">
        <v>247</v>
      </c>
      <c r="H1180" s="134" t="s">
        <v>248</v>
      </c>
      <c r="I1180" s="134" t="s">
        <v>1426</v>
      </c>
      <c r="J1180" s="134" t="s">
        <v>139</v>
      </c>
      <c r="K1180" s="124" t="s">
        <v>140</v>
      </c>
      <c r="L1180" s="174">
        <v>1</v>
      </c>
      <c r="M1180" s="174" t="s">
        <v>250</v>
      </c>
      <c r="N1180" s="184">
        <v>80</v>
      </c>
      <c r="O1180" s="184">
        <v>6</v>
      </c>
      <c r="P1180" s="184" t="s">
        <v>1429</v>
      </c>
      <c r="Q1180" s="174" t="s">
        <v>233</v>
      </c>
      <c r="R1180" s="276" t="s">
        <v>240</v>
      </c>
      <c r="S1180" s="276" t="s">
        <v>233</v>
      </c>
      <c r="T1180" s="276" t="s">
        <v>240</v>
      </c>
      <c r="U1180" s="174" t="s">
        <v>1427</v>
      </c>
      <c r="V1180" s="276" t="s">
        <v>233</v>
      </c>
      <c r="W1180" s="130"/>
      <c r="X1180" s="125">
        <v>803.47</v>
      </c>
      <c r="Y1180" s="126">
        <v>554.75</v>
      </c>
      <c r="Z1180" s="127">
        <v>45.980352600000003</v>
      </c>
      <c r="AA1180" s="128" t="s">
        <v>259</v>
      </c>
      <c r="AB1180" s="125">
        <v>43.769024999999999</v>
      </c>
      <c r="AC1180" s="128" t="s">
        <v>259</v>
      </c>
      <c r="AD1180" s="129">
        <v>47.203758000000001</v>
      </c>
      <c r="AE1180" s="125" t="s">
        <v>259</v>
      </c>
      <c r="AF1180" s="125">
        <v>41.791115999999995</v>
      </c>
      <c r="AG1180" s="125" t="s">
        <v>259</v>
      </c>
      <c r="AH1180" s="125">
        <v>37.085202000000002</v>
      </c>
      <c r="AI1180" s="125" t="s">
        <v>259</v>
      </c>
      <c r="AJ1180" s="125">
        <v>0</v>
      </c>
      <c r="AK1180" s="125">
        <v>0</v>
      </c>
      <c r="AL1180" s="125">
        <v>0</v>
      </c>
      <c r="AM1180" s="125">
        <v>0</v>
      </c>
      <c r="AN1180" s="125">
        <v>0</v>
      </c>
      <c r="AO1180" s="125">
        <v>0</v>
      </c>
      <c r="AP1180" s="125">
        <v>0</v>
      </c>
      <c r="AQ1180" s="125">
        <v>0</v>
      </c>
      <c r="AR1180" s="125">
        <v>40.140684</v>
      </c>
      <c r="AS1180" s="125" t="s">
        <v>259</v>
      </c>
      <c r="AT1180" s="125">
        <v>38.991419999999998</v>
      </c>
      <c r="AU1180" s="125" t="s">
        <v>259</v>
      </c>
      <c r="AV1180" s="125">
        <v>43.421616</v>
      </c>
      <c r="AW1180" s="125" t="s">
        <v>252</v>
      </c>
      <c r="AX1180" s="125">
        <f t="shared" si="1"/>
        <v>338.38317359999996</v>
      </c>
      <c r="AY1180" s="125">
        <f>0.0195+0.1405</f>
        <v>0.16</v>
      </c>
      <c r="AZ1180" s="181" t="s">
        <v>1429</v>
      </c>
      <c r="BA1180" s="181" t="s">
        <v>254</v>
      </c>
      <c r="BB1180" s="181" t="s">
        <v>1430</v>
      </c>
      <c r="BC1180" s="125" t="s">
        <v>255</v>
      </c>
    </row>
    <row r="1181" spans="1:55" ht="16.350000000000001" customHeight="1" outlineLevel="1">
      <c r="A1181" s="92">
        <v>1171</v>
      </c>
      <c r="B1181" s="99" t="s">
        <v>856</v>
      </c>
      <c r="C1181" s="122" t="s">
        <v>841</v>
      </c>
      <c r="D1181" s="161">
        <v>129</v>
      </c>
      <c r="E1181" s="123" t="s">
        <v>787</v>
      </c>
      <c r="F1181" s="124" t="s">
        <v>1425</v>
      </c>
      <c r="G1181" s="133" t="s">
        <v>247</v>
      </c>
      <c r="H1181" s="134" t="s">
        <v>248</v>
      </c>
      <c r="I1181" s="134" t="s">
        <v>1426</v>
      </c>
      <c r="J1181" s="134" t="s">
        <v>139</v>
      </c>
      <c r="K1181" s="124" t="s">
        <v>140</v>
      </c>
      <c r="L1181" s="174">
        <v>1</v>
      </c>
      <c r="M1181" s="174" t="s">
        <v>250</v>
      </c>
      <c r="N1181" s="184">
        <v>80</v>
      </c>
      <c r="O1181" s="184">
        <v>6</v>
      </c>
      <c r="P1181" s="184" t="s">
        <v>1429</v>
      </c>
      <c r="Q1181" s="174" t="s">
        <v>233</v>
      </c>
      <c r="R1181" s="276" t="s">
        <v>240</v>
      </c>
      <c r="S1181" s="276" t="s">
        <v>233</v>
      </c>
      <c r="T1181" s="276" t="s">
        <v>240</v>
      </c>
      <c r="U1181" s="174" t="s">
        <v>1427</v>
      </c>
      <c r="V1181" s="276" t="s">
        <v>240</v>
      </c>
      <c r="W1181" s="130"/>
      <c r="X1181" s="125">
        <v>406.67</v>
      </c>
      <c r="Y1181" s="126">
        <v>342.36</v>
      </c>
      <c r="Z1181" s="127">
        <v>55.579410599999996</v>
      </c>
      <c r="AA1181" s="128" t="s">
        <v>252</v>
      </c>
      <c r="AB1181" s="125">
        <v>38.597445</v>
      </c>
      <c r="AC1181" s="128" t="s">
        <v>252</v>
      </c>
      <c r="AD1181" s="129">
        <v>56.359926000000002</v>
      </c>
      <c r="AE1181" s="125" t="s">
        <v>252</v>
      </c>
      <c r="AF1181" s="125">
        <v>30.319510000000001</v>
      </c>
      <c r="AG1181" s="125" t="s">
        <v>252</v>
      </c>
      <c r="AH1181" s="125">
        <v>6.4722210000000002</v>
      </c>
      <c r="AI1181" s="125" t="s">
        <v>252</v>
      </c>
      <c r="AJ1181" s="125">
        <v>0</v>
      </c>
      <c r="AK1181" s="125">
        <v>0</v>
      </c>
      <c r="AL1181" s="125">
        <v>0</v>
      </c>
      <c r="AM1181" s="125">
        <v>0</v>
      </c>
      <c r="AN1181" s="125">
        <v>0</v>
      </c>
      <c r="AO1181" s="125">
        <v>0</v>
      </c>
      <c r="AP1181" s="125">
        <v>0</v>
      </c>
      <c r="AQ1181" s="125">
        <v>0</v>
      </c>
      <c r="AR1181" s="125">
        <v>43.066715641199998</v>
      </c>
      <c r="AS1181" s="125" t="s">
        <v>252</v>
      </c>
      <c r="AT1181" s="125">
        <v>35.838841351500001</v>
      </c>
      <c r="AU1181" s="125" t="s">
        <v>252</v>
      </c>
      <c r="AV1181" s="125">
        <v>40.664687999999998</v>
      </c>
      <c r="AW1181" s="125" t="s">
        <v>252</v>
      </c>
      <c r="AX1181" s="125">
        <f t="shared" si="1"/>
        <v>306.89875759270001</v>
      </c>
      <c r="AY1181" s="125">
        <f>0.0335+0.175+0.0035</f>
        <v>0.21199999999999999</v>
      </c>
      <c r="AZ1181" s="181" t="s">
        <v>1429</v>
      </c>
      <c r="BA1181" s="181" t="s">
        <v>254</v>
      </c>
      <c r="BB1181" s="181">
        <v>1</v>
      </c>
      <c r="BC1181" s="125" t="s">
        <v>255</v>
      </c>
    </row>
    <row r="1182" spans="1:55" ht="16.350000000000001" customHeight="1" outlineLevel="1">
      <c r="A1182" s="92">
        <v>1172</v>
      </c>
      <c r="B1182" s="99" t="s">
        <v>857</v>
      </c>
      <c r="C1182" s="122" t="s">
        <v>841</v>
      </c>
      <c r="D1182" s="161">
        <v>42</v>
      </c>
      <c r="E1182" s="123" t="s">
        <v>734</v>
      </c>
      <c r="F1182" s="124" t="s">
        <v>1234</v>
      </c>
      <c r="G1182" s="133" t="s">
        <v>247</v>
      </c>
      <c r="H1182" s="134" t="s">
        <v>1424</v>
      </c>
      <c r="I1182" s="134" t="s">
        <v>1426</v>
      </c>
      <c r="J1182" s="134" t="s">
        <v>139</v>
      </c>
      <c r="K1182" s="124" t="s">
        <v>140</v>
      </c>
      <c r="L1182" s="174">
        <v>1</v>
      </c>
      <c r="M1182" s="174" t="s">
        <v>250</v>
      </c>
      <c r="N1182" s="184">
        <v>100</v>
      </c>
      <c r="O1182" s="184">
        <v>3.3</v>
      </c>
      <c r="P1182" s="184" t="s">
        <v>253</v>
      </c>
      <c r="Q1182" s="174" t="s">
        <v>240</v>
      </c>
      <c r="R1182" s="276" t="s">
        <v>240</v>
      </c>
      <c r="S1182" s="276" t="s">
        <v>233</v>
      </c>
      <c r="T1182" s="276" t="s">
        <v>240</v>
      </c>
      <c r="U1182" s="174" t="s">
        <v>1428</v>
      </c>
      <c r="V1182" s="276" t="s">
        <v>240</v>
      </c>
      <c r="W1182" s="130"/>
      <c r="X1182" s="125">
        <v>550.41</v>
      </c>
      <c r="Y1182" s="126">
        <v>755.59</v>
      </c>
      <c r="Z1182" s="127">
        <f>35.29+68.46</f>
        <v>103.75</v>
      </c>
      <c r="AA1182" s="128" t="s">
        <v>259</v>
      </c>
      <c r="AB1182" s="125">
        <f>35.29+68.46</f>
        <v>103.75</v>
      </c>
      <c r="AC1182" s="128" t="s">
        <v>259</v>
      </c>
      <c r="AD1182" s="129">
        <f>35.29+68.46</f>
        <v>103.75</v>
      </c>
      <c r="AE1182" s="125" t="s">
        <v>259</v>
      </c>
      <c r="AF1182" s="125">
        <f>35.29+68.46</f>
        <v>103.75</v>
      </c>
      <c r="AG1182" s="125" t="s">
        <v>259</v>
      </c>
      <c r="AH1182" s="125">
        <f>3.12+12.08</f>
        <v>15.2</v>
      </c>
      <c r="AI1182" s="125" t="s">
        <v>252</v>
      </c>
      <c r="AJ1182" s="125">
        <v>0</v>
      </c>
      <c r="AK1182" s="125">
        <v>0</v>
      </c>
      <c r="AL1182" s="125">
        <v>0</v>
      </c>
      <c r="AM1182" s="125">
        <v>0</v>
      </c>
      <c r="AN1182" s="125">
        <v>0</v>
      </c>
      <c r="AO1182" s="125">
        <v>0</v>
      </c>
      <c r="AP1182" s="125">
        <v>0</v>
      </c>
      <c r="AQ1182" s="125">
        <v>0</v>
      </c>
      <c r="AR1182" s="125">
        <f>9.45+36.4</f>
        <v>45.849999999999994</v>
      </c>
      <c r="AS1182" s="125" t="s">
        <v>252</v>
      </c>
      <c r="AT1182" s="125">
        <f>10.52+40.55</f>
        <v>51.069999999999993</v>
      </c>
      <c r="AU1182" s="125" t="s">
        <v>252</v>
      </c>
      <c r="AV1182" s="125">
        <f>15.4+59.36</f>
        <v>74.760000000000005</v>
      </c>
      <c r="AW1182" s="125" t="s">
        <v>252</v>
      </c>
      <c r="AX1182" s="125">
        <f t="shared" si="1"/>
        <v>601.87999999999988</v>
      </c>
      <c r="AY1182" s="125">
        <v>0.26798</v>
      </c>
      <c r="AZ1182" s="181" t="s">
        <v>253</v>
      </c>
      <c r="BA1182" s="181" t="s">
        <v>254</v>
      </c>
      <c r="BB1182" s="181" t="s">
        <v>1430</v>
      </c>
      <c r="BC1182" s="125" t="s">
        <v>255</v>
      </c>
    </row>
    <row r="1183" spans="1:55" ht="16.350000000000001" customHeight="1" outlineLevel="1">
      <c r="A1183" s="92">
        <v>1173</v>
      </c>
      <c r="B1183" s="99" t="s">
        <v>858</v>
      </c>
      <c r="C1183" s="122" t="s">
        <v>841</v>
      </c>
      <c r="D1183" s="161">
        <v>59</v>
      </c>
      <c r="E1183" s="123" t="s">
        <v>734</v>
      </c>
      <c r="F1183" s="124" t="s">
        <v>1425</v>
      </c>
      <c r="G1183" s="133" t="s">
        <v>281</v>
      </c>
      <c r="H1183" s="134" t="s">
        <v>248</v>
      </c>
      <c r="I1183" s="134" t="s">
        <v>1426</v>
      </c>
      <c r="J1183" s="134" t="s">
        <v>139</v>
      </c>
      <c r="K1183" s="124" t="s">
        <v>140</v>
      </c>
      <c r="L1183" s="174">
        <v>0</v>
      </c>
      <c r="M1183" s="174" t="s">
        <v>250</v>
      </c>
      <c r="N1183" s="184">
        <v>89</v>
      </c>
      <c r="O1183" s="184">
        <v>6</v>
      </c>
      <c r="P1183" s="184" t="s">
        <v>1429</v>
      </c>
      <c r="Q1183" s="174" t="s">
        <v>233</v>
      </c>
      <c r="R1183" s="276" t="s">
        <v>240</v>
      </c>
      <c r="S1183" s="276" t="s">
        <v>240</v>
      </c>
      <c r="T1183" s="276" t="s">
        <v>233</v>
      </c>
      <c r="U1183" s="174" t="s">
        <v>1427</v>
      </c>
      <c r="V1183" s="276" t="s">
        <v>240</v>
      </c>
      <c r="W1183" s="130"/>
      <c r="X1183" s="125">
        <v>658.03</v>
      </c>
      <c r="Y1183" s="126">
        <v>674.36</v>
      </c>
      <c r="Z1183" s="127">
        <v>59.272021200000005</v>
      </c>
      <c r="AA1183" s="128" t="s">
        <v>259</v>
      </c>
      <c r="AB1183" s="125">
        <v>56.739150000000002</v>
      </c>
      <c r="AC1183" s="128" t="s">
        <v>259</v>
      </c>
      <c r="AD1183" s="129">
        <v>60.681708</v>
      </c>
      <c r="AE1183" s="125" t="s">
        <v>259</v>
      </c>
      <c r="AF1183" s="125">
        <v>54.756956000000002</v>
      </c>
      <c r="AG1183" s="125" t="s">
        <v>259</v>
      </c>
      <c r="AH1183" s="125">
        <v>47.879173999999999</v>
      </c>
      <c r="AI1183" s="125" t="s">
        <v>259</v>
      </c>
      <c r="AJ1183" s="125">
        <v>0</v>
      </c>
      <c r="AK1183" s="125">
        <v>0</v>
      </c>
      <c r="AL1183" s="125">
        <v>0</v>
      </c>
      <c r="AM1183" s="125">
        <v>0</v>
      </c>
      <c r="AN1183" s="125">
        <v>0</v>
      </c>
      <c r="AO1183" s="125">
        <v>0</v>
      </c>
      <c r="AP1183" s="125">
        <v>0</v>
      </c>
      <c r="AQ1183" s="125">
        <v>0</v>
      </c>
      <c r="AR1183" s="125">
        <v>51.70926</v>
      </c>
      <c r="AS1183" s="125" t="s">
        <v>259</v>
      </c>
      <c r="AT1183" s="125">
        <v>49.860081000000001</v>
      </c>
      <c r="AU1183" s="125" t="s">
        <v>259</v>
      </c>
      <c r="AV1183" s="125">
        <v>53.029344000000002</v>
      </c>
      <c r="AW1183" s="125" t="s">
        <v>259</v>
      </c>
      <c r="AX1183" s="125">
        <f t="shared" si="1"/>
        <v>433.92769419999991</v>
      </c>
      <c r="AY1183" s="125">
        <v>0.19</v>
      </c>
      <c r="AZ1183" s="181" t="s">
        <v>1429</v>
      </c>
      <c r="BA1183" s="181" t="s">
        <v>254</v>
      </c>
      <c r="BB1183" s="181">
        <v>1</v>
      </c>
      <c r="BC1183" s="125" t="s">
        <v>255</v>
      </c>
    </row>
    <row r="1184" spans="1:55" ht="16.350000000000001" customHeight="1" outlineLevel="1">
      <c r="A1184" s="92">
        <v>1174</v>
      </c>
      <c r="B1184" s="99" t="s">
        <v>861</v>
      </c>
      <c r="C1184" s="122" t="s">
        <v>841</v>
      </c>
      <c r="D1184" s="161" t="s">
        <v>864</v>
      </c>
      <c r="E1184" s="123" t="s">
        <v>734</v>
      </c>
      <c r="F1184" s="124" t="s">
        <v>1425</v>
      </c>
      <c r="G1184" s="133" t="s">
        <v>247</v>
      </c>
      <c r="H1184" s="134" t="s">
        <v>248</v>
      </c>
      <c r="I1184" s="134" t="s">
        <v>1426</v>
      </c>
      <c r="J1184" s="134" t="s">
        <v>139</v>
      </c>
      <c r="K1184" s="124" t="s">
        <v>140</v>
      </c>
      <c r="L1184" s="174">
        <v>1</v>
      </c>
      <c r="M1184" s="174" t="s">
        <v>250</v>
      </c>
      <c r="N1184" s="184">
        <v>80</v>
      </c>
      <c r="O1184" s="184">
        <v>6</v>
      </c>
      <c r="P1184" s="184" t="s">
        <v>1429</v>
      </c>
      <c r="Q1184" s="174" t="s">
        <v>233</v>
      </c>
      <c r="R1184" s="276" t="s">
        <v>240</v>
      </c>
      <c r="S1184" s="276" t="s">
        <v>233</v>
      </c>
      <c r="T1184" s="276" t="s">
        <v>240</v>
      </c>
      <c r="U1184" s="174" t="s">
        <v>1427</v>
      </c>
      <c r="V1184" s="276" t="s">
        <v>240</v>
      </c>
      <c r="W1184" s="130"/>
      <c r="X1184" s="125">
        <v>618.37</v>
      </c>
      <c r="Y1184" s="126">
        <v>647.87</v>
      </c>
      <c r="Z1184" s="127">
        <v>96.422969999999992</v>
      </c>
      <c r="AA1184" s="128" t="s">
        <v>252</v>
      </c>
      <c r="AB1184" s="125">
        <v>63.516554999999997</v>
      </c>
      <c r="AC1184" s="128" t="s">
        <v>252</v>
      </c>
      <c r="AD1184" s="129">
        <v>92.365938000000014</v>
      </c>
      <c r="AE1184" s="125" t="s">
        <v>252</v>
      </c>
      <c r="AF1184" s="125">
        <v>47.024887999999997</v>
      </c>
      <c r="AG1184" s="125" t="s">
        <v>252</v>
      </c>
      <c r="AH1184" s="125">
        <v>10.363878</v>
      </c>
      <c r="AI1184" s="125" t="s">
        <v>252</v>
      </c>
      <c r="AJ1184" s="125">
        <v>0</v>
      </c>
      <c r="AK1184" s="125">
        <v>0</v>
      </c>
      <c r="AL1184" s="125">
        <v>0</v>
      </c>
      <c r="AM1184" s="125">
        <v>0</v>
      </c>
      <c r="AN1184" s="125">
        <v>0</v>
      </c>
      <c r="AO1184" s="125">
        <v>0</v>
      </c>
      <c r="AP1184" s="125">
        <v>0</v>
      </c>
      <c r="AQ1184" s="125">
        <v>0</v>
      </c>
      <c r="AR1184" s="125">
        <v>46.877674292400002</v>
      </c>
      <c r="AS1184" s="125" t="s">
        <v>252</v>
      </c>
      <c r="AT1184" s="125">
        <v>59.791709508300002</v>
      </c>
      <c r="AU1184" s="125" t="s">
        <v>252</v>
      </c>
      <c r="AV1184" s="125">
        <v>66.081589468800004</v>
      </c>
      <c r="AW1184" s="125" t="s">
        <v>252</v>
      </c>
      <c r="AX1184" s="125">
        <f t="shared" si="1"/>
        <v>482.44520226950004</v>
      </c>
      <c r="AY1184" s="125">
        <f>0.0914+0.0018+0.1068</f>
        <v>0.2</v>
      </c>
      <c r="AZ1184" s="181" t="s">
        <v>1429</v>
      </c>
      <c r="BA1184" s="181" t="s">
        <v>254</v>
      </c>
      <c r="BB1184" s="181">
        <v>1</v>
      </c>
      <c r="BC1184" s="125" t="s">
        <v>255</v>
      </c>
    </row>
    <row r="1185" spans="1:55" ht="16.350000000000001" customHeight="1" outlineLevel="1">
      <c r="A1185" s="92">
        <v>1175</v>
      </c>
      <c r="B1185" s="99" t="s">
        <v>862</v>
      </c>
      <c r="C1185" s="122" t="s">
        <v>841</v>
      </c>
      <c r="D1185" s="161">
        <v>66</v>
      </c>
      <c r="E1185" s="123" t="s">
        <v>734</v>
      </c>
      <c r="F1185" s="124" t="s">
        <v>1425</v>
      </c>
      <c r="G1185" s="133" t="s">
        <v>281</v>
      </c>
      <c r="H1185" s="134" t="s">
        <v>248</v>
      </c>
      <c r="I1185" s="134" t="s">
        <v>1426</v>
      </c>
      <c r="J1185" s="134" t="s">
        <v>139</v>
      </c>
      <c r="K1185" s="124" t="s">
        <v>140</v>
      </c>
      <c r="L1185" s="174">
        <v>1</v>
      </c>
      <c r="M1185" s="174" t="s">
        <v>250</v>
      </c>
      <c r="N1185" s="184">
        <v>65</v>
      </c>
      <c r="O1185" s="184">
        <v>6</v>
      </c>
      <c r="P1185" s="184" t="s">
        <v>1429</v>
      </c>
      <c r="Q1185" s="174" t="s">
        <v>233</v>
      </c>
      <c r="R1185" s="276" t="s">
        <v>240</v>
      </c>
      <c r="S1185" s="276" t="s">
        <v>233</v>
      </c>
      <c r="T1185" s="276" t="s">
        <v>240</v>
      </c>
      <c r="U1185" s="174" t="s">
        <v>1427</v>
      </c>
      <c r="V1185" s="276" t="s">
        <v>240</v>
      </c>
      <c r="W1185" s="130"/>
      <c r="X1185" s="125">
        <v>859.63</v>
      </c>
      <c r="Y1185" s="126">
        <v>845.75</v>
      </c>
      <c r="Z1185" s="127">
        <v>112.91432459999999</v>
      </c>
      <c r="AA1185" s="128" t="s">
        <v>252</v>
      </c>
      <c r="AB1185" s="125">
        <v>90.148544999999999</v>
      </c>
      <c r="AC1185" s="128" t="s">
        <v>252</v>
      </c>
      <c r="AD1185" s="129">
        <v>125.38470600000001</v>
      </c>
      <c r="AE1185" s="125" t="s">
        <v>252</v>
      </c>
      <c r="AF1185" s="125">
        <v>63.833043999999994</v>
      </c>
      <c r="AG1185" s="125" t="s">
        <v>252</v>
      </c>
      <c r="AH1185" s="125">
        <v>20.700008</v>
      </c>
      <c r="AI1185" s="125" t="s">
        <v>252</v>
      </c>
      <c r="AJ1185" s="125">
        <v>0</v>
      </c>
      <c r="AK1185" s="125">
        <v>0</v>
      </c>
      <c r="AL1185" s="125">
        <v>0</v>
      </c>
      <c r="AM1185" s="125">
        <v>0</v>
      </c>
      <c r="AN1185" s="125">
        <v>0</v>
      </c>
      <c r="AO1185" s="125">
        <v>0</v>
      </c>
      <c r="AP1185" s="125">
        <v>0</v>
      </c>
      <c r="AQ1185" s="125">
        <v>0</v>
      </c>
      <c r="AR1185" s="125">
        <v>66.088740000000001</v>
      </c>
      <c r="AS1185" s="125" t="s">
        <v>252</v>
      </c>
      <c r="AT1185" s="125">
        <v>65.417183999999992</v>
      </c>
      <c r="AU1185" s="125" t="s">
        <v>252</v>
      </c>
      <c r="AV1185" s="125">
        <v>90.256175999999996</v>
      </c>
      <c r="AW1185" s="125" t="s">
        <v>252</v>
      </c>
      <c r="AX1185" s="125">
        <f t="shared" si="1"/>
        <v>634.74272759999997</v>
      </c>
      <c r="AY1185" s="125">
        <v>0.26</v>
      </c>
      <c r="AZ1185" s="181" t="s">
        <v>1429</v>
      </c>
      <c r="BA1185" s="181" t="s">
        <v>254</v>
      </c>
      <c r="BB1185" s="181">
        <v>1</v>
      </c>
      <c r="BC1185" s="125" t="s">
        <v>255</v>
      </c>
    </row>
    <row r="1186" spans="1:55" ht="16.350000000000001" customHeight="1" outlineLevel="1">
      <c r="A1186" s="92">
        <v>1176</v>
      </c>
      <c r="B1186" s="99" t="s">
        <v>863</v>
      </c>
      <c r="C1186" s="122" t="s">
        <v>841</v>
      </c>
      <c r="D1186" s="161">
        <v>68</v>
      </c>
      <c r="E1186" s="123" t="s">
        <v>734</v>
      </c>
      <c r="F1186" s="124" t="s">
        <v>1425</v>
      </c>
      <c r="G1186" s="133" t="s">
        <v>281</v>
      </c>
      <c r="H1186" s="134" t="s">
        <v>248</v>
      </c>
      <c r="I1186" s="134" t="s">
        <v>1426</v>
      </c>
      <c r="J1186" s="134" t="s">
        <v>139</v>
      </c>
      <c r="K1186" s="124" t="s">
        <v>140</v>
      </c>
      <c r="L1186" s="174">
        <v>1</v>
      </c>
      <c r="M1186" s="174" t="s">
        <v>250</v>
      </c>
      <c r="N1186" s="184">
        <v>65</v>
      </c>
      <c r="O1186" s="184">
        <v>6</v>
      </c>
      <c r="P1186" s="184" t="s">
        <v>1429</v>
      </c>
      <c r="Q1186" s="174" t="s">
        <v>233</v>
      </c>
      <c r="R1186" s="276" t="s">
        <v>240</v>
      </c>
      <c r="S1186" s="276" t="s">
        <v>233</v>
      </c>
      <c r="T1186" s="276" t="s">
        <v>240</v>
      </c>
      <c r="U1186" s="174" t="s">
        <v>1427</v>
      </c>
      <c r="V1186" s="276" t="s">
        <v>240</v>
      </c>
      <c r="W1186" s="130"/>
      <c r="X1186" s="125">
        <v>1173.53</v>
      </c>
      <c r="Y1186" s="126">
        <v>1147.4000000000001</v>
      </c>
      <c r="Z1186" s="127">
        <v>155.28854459999999</v>
      </c>
      <c r="AA1186" s="128" t="s">
        <v>252</v>
      </c>
      <c r="AB1186" s="125">
        <v>123.90381000000001</v>
      </c>
      <c r="AC1186" s="128" t="s">
        <v>252</v>
      </c>
      <c r="AD1186" s="129">
        <v>172.48240799999999</v>
      </c>
      <c r="AE1186" s="125" t="s">
        <v>252</v>
      </c>
      <c r="AF1186" s="125">
        <v>87.780317999999994</v>
      </c>
      <c r="AG1186" s="125" t="s">
        <v>252</v>
      </c>
      <c r="AH1186" s="125">
        <v>28.788550000000001</v>
      </c>
      <c r="AI1186" s="125" t="s">
        <v>252</v>
      </c>
      <c r="AJ1186" s="125">
        <v>0</v>
      </c>
      <c r="AK1186" s="125">
        <v>0</v>
      </c>
      <c r="AL1186" s="125">
        <v>0</v>
      </c>
      <c r="AM1186" s="125">
        <v>0</v>
      </c>
      <c r="AN1186" s="125">
        <v>0</v>
      </c>
      <c r="AO1186" s="125">
        <v>0</v>
      </c>
      <c r="AP1186" s="125">
        <v>0</v>
      </c>
      <c r="AQ1186" s="125">
        <v>0</v>
      </c>
      <c r="AR1186" s="125">
        <v>91.459992</v>
      </c>
      <c r="AS1186" s="125" t="s">
        <v>252</v>
      </c>
      <c r="AT1186" s="125">
        <v>90.29592000000001</v>
      </c>
      <c r="AU1186" s="125" t="s">
        <v>252</v>
      </c>
      <c r="AV1186" s="125">
        <v>124.02854400000001</v>
      </c>
      <c r="AW1186" s="125" t="s">
        <v>252</v>
      </c>
      <c r="AX1186" s="125">
        <f t="shared" si="1"/>
        <v>874.02808660000005</v>
      </c>
      <c r="AY1186" s="125">
        <v>0.41</v>
      </c>
      <c r="AZ1186" s="181" t="s">
        <v>1429</v>
      </c>
      <c r="BA1186" s="181" t="s">
        <v>254</v>
      </c>
      <c r="BB1186" s="181">
        <v>1</v>
      </c>
      <c r="BC1186" s="125" t="s">
        <v>255</v>
      </c>
    </row>
    <row r="1187" spans="1:55" ht="16.350000000000001" customHeight="1" outlineLevel="1">
      <c r="A1187" s="92">
        <v>1177</v>
      </c>
      <c r="B1187" s="99" t="s">
        <v>865</v>
      </c>
      <c r="C1187" s="122" t="s">
        <v>841</v>
      </c>
      <c r="D1187" s="161">
        <v>70</v>
      </c>
      <c r="E1187" s="123" t="s">
        <v>734</v>
      </c>
      <c r="F1187" s="124" t="s">
        <v>1425</v>
      </c>
      <c r="G1187" s="133" t="s">
        <v>281</v>
      </c>
      <c r="H1187" s="134" t="s">
        <v>248</v>
      </c>
      <c r="I1187" s="134" t="s">
        <v>1426</v>
      </c>
      <c r="J1187" s="134" t="s">
        <v>139</v>
      </c>
      <c r="K1187" s="124" t="s">
        <v>140</v>
      </c>
      <c r="L1187" s="174">
        <v>1</v>
      </c>
      <c r="M1187" s="174" t="s">
        <v>250</v>
      </c>
      <c r="N1187" s="184">
        <v>65</v>
      </c>
      <c r="O1187" s="184">
        <v>6</v>
      </c>
      <c r="P1187" s="184" t="s">
        <v>1429</v>
      </c>
      <c r="Q1187" s="174" t="s">
        <v>233</v>
      </c>
      <c r="R1187" s="276" t="s">
        <v>240</v>
      </c>
      <c r="S1187" s="276" t="s">
        <v>233</v>
      </c>
      <c r="T1187" s="276" t="s">
        <v>240</v>
      </c>
      <c r="U1187" s="174" t="s">
        <v>1427</v>
      </c>
      <c r="V1187" s="276" t="s">
        <v>240</v>
      </c>
      <c r="W1187" s="130"/>
      <c r="X1187" s="125">
        <v>1248.2</v>
      </c>
      <c r="Y1187" s="126">
        <v>1215.0899999999999</v>
      </c>
      <c r="Z1187" s="127">
        <v>104.87187059999999</v>
      </c>
      <c r="AA1187" s="128" t="s">
        <v>259</v>
      </c>
      <c r="AB1187" s="125">
        <v>97.807095000000004</v>
      </c>
      <c r="AC1187" s="128" t="s">
        <v>259</v>
      </c>
      <c r="AD1187" s="129">
        <v>104.59773</v>
      </c>
      <c r="AE1187" s="125" t="s">
        <v>259</v>
      </c>
      <c r="AF1187" s="125">
        <v>90.199554000000006</v>
      </c>
      <c r="AG1187" s="125" t="s">
        <v>259</v>
      </c>
      <c r="AH1187" s="125">
        <v>66.02636600000001</v>
      </c>
      <c r="AI1187" s="125" t="s">
        <v>259</v>
      </c>
      <c r="AJ1187" s="125">
        <v>0</v>
      </c>
      <c r="AK1187" s="125">
        <v>0</v>
      </c>
      <c r="AL1187" s="125">
        <v>0</v>
      </c>
      <c r="AM1187" s="125">
        <v>0</v>
      </c>
      <c r="AN1187" s="125">
        <v>0</v>
      </c>
      <c r="AO1187" s="125">
        <v>0</v>
      </c>
      <c r="AP1187" s="125">
        <v>0</v>
      </c>
      <c r="AQ1187" s="125">
        <v>0</v>
      </c>
      <c r="AR1187" s="125">
        <v>86.601839999999996</v>
      </c>
      <c r="AS1187" s="125" t="s">
        <v>259</v>
      </c>
      <c r="AT1187" s="125">
        <v>82.489743000000004</v>
      </c>
      <c r="AU1187" s="125" t="s">
        <v>259</v>
      </c>
      <c r="AV1187" s="125">
        <v>85.730496000000002</v>
      </c>
      <c r="AW1187" s="125" t="s">
        <v>259</v>
      </c>
      <c r="AX1187" s="125">
        <f t="shared" si="1"/>
        <v>718.32469459999993</v>
      </c>
      <c r="AY1187" s="125">
        <f>0.35</f>
        <v>0.35</v>
      </c>
      <c r="AZ1187" s="181" t="s">
        <v>1429</v>
      </c>
      <c r="BA1187" s="181" t="s">
        <v>254</v>
      </c>
      <c r="BB1187" s="181">
        <v>1</v>
      </c>
      <c r="BC1187" s="125" t="s">
        <v>255</v>
      </c>
    </row>
    <row r="1188" spans="1:55" ht="16.350000000000001" customHeight="1" outlineLevel="1">
      <c r="A1188" s="92">
        <v>1178</v>
      </c>
      <c r="B1188" s="99" t="s">
        <v>866</v>
      </c>
      <c r="C1188" s="122" t="s">
        <v>841</v>
      </c>
      <c r="D1188" s="161">
        <v>72</v>
      </c>
      <c r="E1188" s="123" t="s">
        <v>734</v>
      </c>
      <c r="F1188" s="124" t="s">
        <v>1425</v>
      </c>
      <c r="G1188" s="133" t="s">
        <v>281</v>
      </c>
      <c r="H1188" s="317" t="s">
        <v>248</v>
      </c>
      <c r="I1188" s="317" t="s">
        <v>1426</v>
      </c>
      <c r="J1188" s="317" t="s">
        <v>139</v>
      </c>
      <c r="K1188" s="317" t="s">
        <v>140</v>
      </c>
      <c r="L1188" s="317">
        <v>1</v>
      </c>
      <c r="M1188" s="317" t="s">
        <v>250</v>
      </c>
      <c r="N1188" s="314">
        <v>65</v>
      </c>
      <c r="O1188" s="314">
        <v>6</v>
      </c>
      <c r="P1188" s="314" t="s">
        <v>1429</v>
      </c>
      <c r="Q1188" s="317" t="s">
        <v>233</v>
      </c>
      <c r="R1188" s="276" t="s">
        <v>240</v>
      </c>
      <c r="S1188" s="321" t="s">
        <v>233</v>
      </c>
      <c r="T1188" s="276" t="s">
        <v>240</v>
      </c>
      <c r="U1188" s="317" t="s">
        <v>1427</v>
      </c>
      <c r="V1188" s="276" t="s">
        <v>240</v>
      </c>
      <c r="W1188" s="165"/>
      <c r="X1188" s="292">
        <v>1606.53</v>
      </c>
      <c r="Y1188" s="295">
        <v>1626.18</v>
      </c>
      <c r="Z1188" s="297">
        <v>147.8514366</v>
      </c>
      <c r="AA1188" s="299" t="s">
        <v>259</v>
      </c>
      <c r="AB1188" s="292">
        <v>139.887945</v>
      </c>
      <c r="AC1188" s="299" t="s">
        <v>259</v>
      </c>
      <c r="AD1188" s="369">
        <v>151.456806</v>
      </c>
      <c r="AE1188" s="292" t="s">
        <v>259</v>
      </c>
      <c r="AF1188" s="292">
        <v>131.128916</v>
      </c>
      <c r="AG1188" s="292" t="s">
        <v>259</v>
      </c>
      <c r="AH1188" s="292">
        <v>95.293569000000005</v>
      </c>
      <c r="AI1188" s="292" t="s">
        <v>259</v>
      </c>
      <c r="AJ1188" s="292">
        <v>0</v>
      </c>
      <c r="AK1188" s="292">
        <v>0</v>
      </c>
      <c r="AL1188" s="292">
        <v>0</v>
      </c>
      <c r="AM1188" s="292">
        <v>0</v>
      </c>
      <c r="AN1188" s="292">
        <v>0</v>
      </c>
      <c r="AO1188" s="292">
        <v>0</v>
      </c>
      <c r="AP1188" s="292">
        <v>0</v>
      </c>
      <c r="AQ1188" s="292">
        <v>0</v>
      </c>
      <c r="AR1188" s="292">
        <v>126.88063200000001</v>
      </c>
      <c r="AS1188" s="292" t="s">
        <v>259</v>
      </c>
      <c r="AT1188" s="292">
        <v>123.596487</v>
      </c>
      <c r="AU1188" s="292" t="s">
        <v>259</v>
      </c>
      <c r="AV1188" s="292">
        <v>128.57083200000002</v>
      </c>
      <c r="AW1188" s="292" t="s">
        <v>259</v>
      </c>
      <c r="AX1188" s="292">
        <f t="shared" si="1"/>
        <v>1044.6666236000001</v>
      </c>
      <c r="AY1188" s="338">
        <f>0.0025+0.3975</f>
        <v>0.4</v>
      </c>
      <c r="AZ1188" s="313" t="s">
        <v>1429</v>
      </c>
      <c r="BA1188" s="313" t="s">
        <v>254</v>
      </c>
      <c r="BB1188" s="313">
        <v>1</v>
      </c>
      <c r="BC1188" s="292" t="s">
        <v>255</v>
      </c>
    </row>
    <row r="1189" spans="1:55" ht="16.350000000000001" customHeight="1" outlineLevel="1">
      <c r="A1189" s="92">
        <v>1179</v>
      </c>
      <c r="B1189" s="99" t="s">
        <v>867</v>
      </c>
      <c r="C1189" s="122" t="s">
        <v>841</v>
      </c>
      <c r="D1189" s="161">
        <v>72</v>
      </c>
      <c r="E1189" s="123" t="s">
        <v>737</v>
      </c>
      <c r="F1189" s="124" t="s">
        <v>1425</v>
      </c>
      <c r="G1189" s="133" t="s">
        <v>281</v>
      </c>
      <c r="H1189" s="318"/>
      <c r="I1189" s="318"/>
      <c r="J1189" s="318"/>
      <c r="K1189" s="318"/>
      <c r="L1189" s="318"/>
      <c r="M1189" s="318"/>
      <c r="N1189" s="314"/>
      <c r="O1189" s="314"/>
      <c r="P1189" s="314"/>
      <c r="Q1189" s="318"/>
      <c r="R1189" s="276" t="s">
        <v>240</v>
      </c>
      <c r="S1189" s="321"/>
      <c r="T1189" s="276" t="s">
        <v>240</v>
      </c>
      <c r="U1189" s="318"/>
      <c r="V1189" s="276" t="s">
        <v>240</v>
      </c>
      <c r="W1189" s="169"/>
      <c r="X1189" s="293"/>
      <c r="Y1189" s="308"/>
      <c r="Z1189" s="309"/>
      <c r="AA1189" s="310"/>
      <c r="AB1189" s="293"/>
      <c r="AC1189" s="310"/>
      <c r="AD1189" s="370"/>
      <c r="AE1189" s="293"/>
      <c r="AF1189" s="293"/>
      <c r="AG1189" s="293"/>
      <c r="AH1189" s="293"/>
      <c r="AI1189" s="293"/>
      <c r="AJ1189" s="293"/>
      <c r="AK1189" s="293"/>
      <c r="AL1189" s="293"/>
      <c r="AM1189" s="293"/>
      <c r="AN1189" s="293"/>
      <c r="AO1189" s="293"/>
      <c r="AP1189" s="293"/>
      <c r="AQ1189" s="293"/>
      <c r="AR1189" s="293"/>
      <c r="AS1189" s="293"/>
      <c r="AT1189" s="293"/>
      <c r="AU1189" s="293"/>
      <c r="AV1189" s="293"/>
      <c r="AW1189" s="293"/>
      <c r="AX1189" s="293">
        <f t="shared" si="1"/>
        <v>0</v>
      </c>
      <c r="AY1189" s="366"/>
      <c r="AZ1189" s="313"/>
      <c r="BA1189" s="313"/>
      <c r="BB1189" s="313"/>
      <c r="BC1189" s="293"/>
    </row>
    <row r="1190" spans="1:55" ht="16.350000000000001" customHeight="1" outlineLevel="1">
      <c r="A1190" s="92">
        <v>1180</v>
      </c>
      <c r="B1190" s="99" t="s">
        <v>868</v>
      </c>
      <c r="C1190" s="122" t="s">
        <v>841</v>
      </c>
      <c r="D1190" s="161">
        <v>72</v>
      </c>
      <c r="E1190" s="123" t="s">
        <v>871</v>
      </c>
      <c r="F1190" s="124" t="s">
        <v>1425</v>
      </c>
      <c r="G1190" s="133" t="s">
        <v>281</v>
      </c>
      <c r="H1190" s="319"/>
      <c r="I1190" s="319"/>
      <c r="J1190" s="319"/>
      <c r="K1190" s="319"/>
      <c r="L1190" s="319"/>
      <c r="M1190" s="319"/>
      <c r="N1190" s="314"/>
      <c r="O1190" s="314"/>
      <c r="P1190" s="314"/>
      <c r="Q1190" s="319"/>
      <c r="R1190" s="276" t="s">
        <v>240</v>
      </c>
      <c r="S1190" s="321"/>
      <c r="T1190" s="276" t="s">
        <v>240</v>
      </c>
      <c r="U1190" s="319"/>
      <c r="V1190" s="276" t="s">
        <v>240</v>
      </c>
      <c r="W1190" s="166"/>
      <c r="X1190" s="294"/>
      <c r="Y1190" s="296"/>
      <c r="Z1190" s="298"/>
      <c r="AA1190" s="300"/>
      <c r="AB1190" s="294"/>
      <c r="AC1190" s="300"/>
      <c r="AD1190" s="371"/>
      <c r="AE1190" s="294"/>
      <c r="AF1190" s="294"/>
      <c r="AG1190" s="294"/>
      <c r="AH1190" s="294"/>
      <c r="AI1190" s="294"/>
      <c r="AJ1190" s="294"/>
      <c r="AK1190" s="294"/>
      <c r="AL1190" s="294"/>
      <c r="AM1190" s="294"/>
      <c r="AN1190" s="294"/>
      <c r="AO1190" s="294"/>
      <c r="AP1190" s="294"/>
      <c r="AQ1190" s="294"/>
      <c r="AR1190" s="294"/>
      <c r="AS1190" s="294"/>
      <c r="AT1190" s="294"/>
      <c r="AU1190" s="294"/>
      <c r="AV1190" s="294"/>
      <c r="AW1190" s="294"/>
      <c r="AX1190" s="294">
        <f t="shared" si="1"/>
        <v>0</v>
      </c>
      <c r="AY1190" s="339"/>
      <c r="AZ1190" s="313"/>
      <c r="BA1190" s="313"/>
      <c r="BB1190" s="313"/>
      <c r="BC1190" s="294"/>
    </row>
    <row r="1191" spans="1:55" ht="16.350000000000001" customHeight="1" outlineLevel="1">
      <c r="A1191" s="92">
        <v>1181</v>
      </c>
      <c r="B1191" s="99" t="s">
        <v>869</v>
      </c>
      <c r="C1191" s="122" t="s">
        <v>841</v>
      </c>
      <c r="D1191" s="161">
        <v>79</v>
      </c>
      <c r="E1191" s="123" t="s">
        <v>734</v>
      </c>
      <c r="F1191" s="124" t="s">
        <v>1425</v>
      </c>
      <c r="G1191" s="133" t="s">
        <v>281</v>
      </c>
      <c r="H1191" s="134" t="s">
        <v>248</v>
      </c>
      <c r="I1191" s="134" t="s">
        <v>1426</v>
      </c>
      <c r="J1191" s="134" t="s">
        <v>139</v>
      </c>
      <c r="K1191" s="124" t="s">
        <v>140</v>
      </c>
      <c r="L1191" s="174">
        <v>1</v>
      </c>
      <c r="M1191" s="174" t="s">
        <v>250</v>
      </c>
      <c r="N1191" s="184">
        <v>89</v>
      </c>
      <c r="O1191" s="184">
        <v>6</v>
      </c>
      <c r="P1191" s="184" t="s">
        <v>1429</v>
      </c>
      <c r="Q1191" s="174"/>
      <c r="R1191" s="276" t="s">
        <v>240</v>
      </c>
      <c r="S1191" s="276" t="s">
        <v>233</v>
      </c>
      <c r="T1191" s="276" t="s">
        <v>240</v>
      </c>
      <c r="U1191" s="174" t="s">
        <v>1427</v>
      </c>
      <c r="V1191" s="276" t="s">
        <v>240</v>
      </c>
      <c r="W1191" s="130"/>
      <c r="X1191" s="125">
        <v>819.57</v>
      </c>
      <c r="Y1191" s="126">
        <v>820.06</v>
      </c>
      <c r="Z1191" s="127">
        <v>126.1454586</v>
      </c>
      <c r="AA1191" s="128" t="s">
        <v>252</v>
      </c>
      <c r="AB1191" s="125">
        <v>86.780429999999996</v>
      </c>
      <c r="AC1191" s="128" t="s">
        <v>252</v>
      </c>
      <c r="AD1191" s="129">
        <v>103.042242</v>
      </c>
      <c r="AE1191" s="125" t="s">
        <v>252</v>
      </c>
      <c r="AF1191" s="125">
        <v>259.06380799999999</v>
      </c>
      <c r="AG1191" s="125" t="s">
        <v>252</v>
      </c>
      <c r="AH1191" s="125">
        <v>18.667466999999998</v>
      </c>
      <c r="AI1191" s="125" t="s">
        <v>252</v>
      </c>
      <c r="AJ1191" s="125">
        <v>0</v>
      </c>
      <c r="AK1191" s="125">
        <v>0</v>
      </c>
      <c r="AL1191" s="125">
        <v>0</v>
      </c>
      <c r="AM1191" s="125">
        <v>0</v>
      </c>
      <c r="AN1191" s="125">
        <v>0</v>
      </c>
      <c r="AO1191" s="125">
        <v>0</v>
      </c>
      <c r="AP1191" s="125">
        <v>0</v>
      </c>
      <c r="AQ1191" s="125">
        <v>0</v>
      </c>
      <c r="AR1191" s="125">
        <v>38.865216000000004</v>
      </c>
      <c r="AS1191" s="125" t="s">
        <v>252</v>
      </c>
      <c r="AT1191" s="125">
        <v>35.044919999999998</v>
      </c>
      <c r="AU1191" s="125" t="s">
        <v>252</v>
      </c>
      <c r="AV1191" s="125">
        <v>47.565312000000006</v>
      </c>
      <c r="AW1191" s="125" t="s">
        <v>252</v>
      </c>
      <c r="AX1191" s="125">
        <f t="shared" ref="AX1191" si="2">Z1191+AB1191+AD1191+AF1191+AH1191+AJ1191+AL1191+AN1191+AP1191+AR1191+AT1191+AV1191</f>
        <v>715.17485360000001</v>
      </c>
      <c r="AY1191" s="125">
        <f>0.18</f>
        <v>0.18</v>
      </c>
      <c r="AZ1191" s="181" t="s">
        <v>1429</v>
      </c>
      <c r="BA1191" s="181" t="s">
        <v>254</v>
      </c>
      <c r="BB1191" s="181">
        <v>1</v>
      </c>
      <c r="BC1191" s="125" t="s">
        <v>255</v>
      </c>
    </row>
    <row r="1192" spans="1:55" ht="16.350000000000001" customHeight="1" outlineLevel="1">
      <c r="A1192" s="92">
        <v>1182</v>
      </c>
      <c r="B1192" s="99" t="s">
        <v>870</v>
      </c>
      <c r="C1192" s="122" t="s">
        <v>841</v>
      </c>
      <c r="D1192" s="161">
        <v>80</v>
      </c>
      <c r="E1192" s="123" t="s">
        <v>737</v>
      </c>
      <c r="F1192" s="124" t="s">
        <v>1425</v>
      </c>
      <c r="G1192" s="133" t="s">
        <v>281</v>
      </c>
      <c r="H1192" s="134" t="s">
        <v>248</v>
      </c>
      <c r="I1192" s="134" t="s">
        <v>1426</v>
      </c>
      <c r="J1192" s="134" t="s">
        <v>139</v>
      </c>
      <c r="K1192" s="124" t="s">
        <v>140</v>
      </c>
      <c r="L1192" s="174">
        <v>0</v>
      </c>
      <c r="M1192" s="174" t="s">
        <v>250</v>
      </c>
      <c r="N1192" s="184">
        <v>65</v>
      </c>
      <c r="O1192" s="184">
        <v>6</v>
      </c>
      <c r="P1192" s="184" t="s">
        <v>1429</v>
      </c>
      <c r="Q1192" s="174" t="s">
        <v>233</v>
      </c>
      <c r="R1192" s="276" t="s">
        <v>240</v>
      </c>
      <c r="S1192" s="276" t="s">
        <v>240</v>
      </c>
      <c r="T1192" s="276" t="s">
        <v>233</v>
      </c>
      <c r="U1192" s="174" t="s">
        <v>1427</v>
      </c>
      <c r="V1192" s="276" t="s">
        <v>240</v>
      </c>
      <c r="W1192" s="130"/>
      <c r="X1192" s="125">
        <v>409.65</v>
      </c>
      <c r="Y1192" s="126">
        <v>441.67</v>
      </c>
      <c r="Z1192" s="127">
        <v>42.365572200000003</v>
      </c>
      <c r="AA1192" s="128" t="s">
        <v>259</v>
      </c>
      <c r="AB1192" s="125">
        <v>40.886775</v>
      </c>
      <c r="AC1192" s="128" t="s">
        <v>259</v>
      </c>
      <c r="AD1192" s="129">
        <v>43.933698</v>
      </c>
      <c r="AE1192" s="125" t="s">
        <v>259</v>
      </c>
      <c r="AF1192" s="125">
        <v>39.300725999999997</v>
      </c>
      <c r="AG1192" s="125" t="s">
        <v>259</v>
      </c>
      <c r="AH1192" s="125">
        <v>27.366465000000002</v>
      </c>
      <c r="AI1192" s="125" t="s">
        <v>259</v>
      </c>
      <c r="AJ1192" s="125">
        <v>0</v>
      </c>
      <c r="AK1192" s="125">
        <v>0</v>
      </c>
      <c r="AL1192" s="125">
        <v>0</v>
      </c>
      <c r="AM1192" s="125">
        <v>0</v>
      </c>
      <c r="AN1192" s="125">
        <v>0</v>
      </c>
      <c r="AO1192" s="125">
        <v>0</v>
      </c>
      <c r="AP1192" s="125">
        <v>0</v>
      </c>
      <c r="AQ1192" s="125">
        <v>0</v>
      </c>
      <c r="AR1192" s="125">
        <v>36.151800000000001</v>
      </c>
      <c r="AS1192" s="125" t="s">
        <v>259</v>
      </c>
      <c r="AT1192" s="125">
        <v>34.018830000000001</v>
      </c>
      <c r="AU1192" s="125" t="s">
        <v>259</v>
      </c>
      <c r="AV1192" s="125">
        <v>35.723808000000005</v>
      </c>
      <c r="AW1192" s="125" t="s">
        <v>259</v>
      </c>
      <c r="AX1192" s="125">
        <f t="shared" si="1"/>
        <v>299.74767420000001</v>
      </c>
      <c r="AY1192" s="125">
        <f>0.1391+0.0009</f>
        <v>0.14000000000000001</v>
      </c>
      <c r="AZ1192" s="181" t="s">
        <v>1429</v>
      </c>
      <c r="BA1192" s="181" t="s">
        <v>254</v>
      </c>
      <c r="BB1192" s="181">
        <v>1</v>
      </c>
      <c r="BC1192" s="125" t="s">
        <v>255</v>
      </c>
    </row>
    <row r="1193" spans="1:55" ht="16.350000000000001" customHeight="1" outlineLevel="1">
      <c r="A1193" s="92">
        <v>1183</v>
      </c>
      <c r="B1193" s="99" t="s">
        <v>872</v>
      </c>
      <c r="C1193" s="122" t="s">
        <v>841</v>
      </c>
      <c r="D1193" s="161">
        <v>81</v>
      </c>
      <c r="E1193" s="123" t="s">
        <v>734</v>
      </c>
      <c r="F1193" s="124" t="s">
        <v>1425</v>
      </c>
      <c r="G1193" s="133" t="s">
        <v>281</v>
      </c>
      <c r="H1193" s="134" t="s">
        <v>248</v>
      </c>
      <c r="I1193" s="134" t="s">
        <v>1426</v>
      </c>
      <c r="J1193" s="134" t="s">
        <v>139</v>
      </c>
      <c r="K1193" s="124" t="s">
        <v>140</v>
      </c>
      <c r="L1193" s="174">
        <v>1</v>
      </c>
      <c r="M1193" s="174" t="s">
        <v>250</v>
      </c>
      <c r="N1193" s="184">
        <v>89</v>
      </c>
      <c r="O1193" s="184">
        <v>6</v>
      </c>
      <c r="P1193" s="184" t="s">
        <v>1429</v>
      </c>
      <c r="Q1193" s="174" t="s">
        <v>233</v>
      </c>
      <c r="R1193" s="276" t="s">
        <v>240</v>
      </c>
      <c r="S1193" s="276" t="s">
        <v>233</v>
      </c>
      <c r="T1193" s="276" t="s">
        <v>240</v>
      </c>
      <c r="U1193" s="174" t="s">
        <v>1427</v>
      </c>
      <c r="V1193" s="276" t="s">
        <v>240</v>
      </c>
      <c r="W1193" s="130"/>
      <c r="X1193" s="125">
        <v>819.57</v>
      </c>
      <c r="Y1193" s="126">
        <v>820.06</v>
      </c>
      <c r="Z1193" s="127">
        <v>126.1454586</v>
      </c>
      <c r="AA1193" s="128" t="s">
        <v>252</v>
      </c>
      <c r="AB1193" s="125">
        <v>86.780429999999996</v>
      </c>
      <c r="AC1193" s="128" t="s">
        <v>252</v>
      </c>
      <c r="AD1193" s="129">
        <v>103.042242</v>
      </c>
      <c r="AE1193" s="125" t="s">
        <v>252</v>
      </c>
      <c r="AF1193" s="125">
        <v>259.06380799999999</v>
      </c>
      <c r="AG1193" s="125" t="s">
        <v>252</v>
      </c>
      <c r="AH1193" s="125">
        <v>18.667466999999998</v>
      </c>
      <c r="AI1193" s="125" t="s">
        <v>252</v>
      </c>
      <c r="AJ1193" s="125">
        <v>0</v>
      </c>
      <c r="AK1193" s="125">
        <v>0</v>
      </c>
      <c r="AL1193" s="125">
        <v>0</v>
      </c>
      <c r="AM1193" s="125">
        <v>0</v>
      </c>
      <c r="AN1193" s="125">
        <v>0</v>
      </c>
      <c r="AO1193" s="125">
        <v>0</v>
      </c>
      <c r="AP1193" s="125">
        <v>0</v>
      </c>
      <c r="AQ1193" s="125">
        <v>0</v>
      </c>
      <c r="AR1193" s="125">
        <v>38.865216000000004</v>
      </c>
      <c r="AS1193" s="125" t="s">
        <v>252</v>
      </c>
      <c r="AT1193" s="125">
        <v>35.044919999999998</v>
      </c>
      <c r="AU1193" s="125" t="s">
        <v>252</v>
      </c>
      <c r="AV1193" s="125">
        <v>47.565312000000006</v>
      </c>
      <c r="AW1193" s="125" t="s">
        <v>252</v>
      </c>
      <c r="AX1193" s="125">
        <f t="shared" ref="AX1193" si="3">Z1193+AB1193+AD1193+AF1193+AH1193+AJ1193+AL1193+AN1193+AP1193+AR1193+AT1193+AV1193</f>
        <v>715.17485360000001</v>
      </c>
      <c r="AY1193" s="125">
        <f>0.18</f>
        <v>0.18</v>
      </c>
      <c r="AZ1193" s="181" t="s">
        <v>1429</v>
      </c>
      <c r="BA1193" s="181" t="s">
        <v>254</v>
      </c>
      <c r="BB1193" s="181">
        <v>1</v>
      </c>
      <c r="BC1193" s="125" t="s">
        <v>255</v>
      </c>
    </row>
    <row r="1194" spans="1:55" ht="16.350000000000001" customHeight="1" outlineLevel="1">
      <c r="A1194" s="92">
        <v>1184</v>
      </c>
      <c r="B1194" s="99" t="s">
        <v>873</v>
      </c>
      <c r="C1194" s="122" t="s">
        <v>841</v>
      </c>
      <c r="D1194" s="161">
        <v>82</v>
      </c>
      <c r="E1194" s="123" t="s">
        <v>734</v>
      </c>
      <c r="F1194" s="124" t="s">
        <v>1425</v>
      </c>
      <c r="G1194" s="133" t="s">
        <v>281</v>
      </c>
      <c r="H1194" s="134" t="s">
        <v>248</v>
      </c>
      <c r="I1194" s="134" t="s">
        <v>1426</v>
      </c>
      <c r="J1194" s="134" t="s">
        <v>139</v>
      </c>
      <c r="K1194" s="124" t="s">
        <v>140</v>
      </c>
      <c r="L1194" s="174">
        <v>1</v>
      </c>
      <c r="M1194" s="174" t="s">
        <v>250</v>
      </c>
      <c r="N1194" s="184">
        <v>89</v>
      </c>
      <c r="O1194" s="184">
        <v>6</v>
      </c>
      <c r="P1194" s="184" t="s">
        <v>1429</v>
      </c>
      <c r="Q1194" s="174" t="s">
        <v>233</v>
      </c>
      <c r="R1194" s="276" t="s">
        <v>240</v>
      </c>
      <c r="S1194" s="276" t="s">
        <v>233</v>
      </c>
      <c r="T1194" s="276" t="s">
        <v>240</v>
      </c>
      <c r="U1194" s="174" t="s">
        <v>1427</v>
      </c>
      <c r="V1194" s="276" t="s">
        <v>240</v>
      </c>
      <c r="W1194" s="130"/>
      <c r="X1194" s="125">
        <v>1017.12</v>
      </c>
      <c r="Y1194" s="126">
        <v>850.6</v>
      </c>
      <c r="Z1194" s="127">
        <v>132.70913880000001</v>
      </c>
      <c r="AA1194" s="128" t="s">
        <v>252</v>
      </c>
      <c r="AB1194" s="125">
        <v>65.031795000000002</v>
      </c>
      <c r="AC1194" s="128" t="s">
        <v>252</v>
      </c>
      <c r="AD1194" s="129">
        <v>99.127008000000004</v>
      </c>
      <c r="AE1194" s="125" t="s">
        <v>252</v>
      </c>
      <c r="AF1194" s="125">
        <v>60.417651999999997</v>
      </c>
      <c r="AG1194" s="125" t="s">
        <v>252</v>
      </c>
      <c r="AH1194" s="125">
        <v>17.973766999999999</v>
      </c>
      <c r="AI1194" s="125" t="s">
        <v>252</v>
      </c>
      <c r="AJ1194" s="125">
        <v>0</v>
      </c>
      <c r="AK1194" s="125">
        <v>0</v>
      </c>
      <c r="AL1194" s="125">
        <v>0</v>
      </c>
      <c r="AM1194" s="125">
        <v>0</v>
      </c>
      <c r="AN1194" s="125">
        <v>0</v>
      </c>
      <c r="AO1194" s="125">
        <v>0</v>
      </c>
      <c r="AP1194" s="125">
        <v>0</v>
      </c>
      <c r="AQ1194" s="125">
        <v>0</v>
      </c>
      <c r="AR1194" s="125">
        <v>56.664900000000003</v>
      </c>
      <c r="AS1194" s="125" t="s">
        <v>252</v>
      </c>
      <c r="AT1194" s="125">
        <v>54.532737000000004</v>
      </c>
      <c r="AU1194" s="125" t="s">
        <v>252</v>
      </c>
      <c r="AV1194" s="125">
        <v>79.037472000000008</v>
      </c>
      <c r="AW1194" s="125" t="s">
        <v>252</v>
      </c>
      <c r="AX1194" s="125">
        <f t="shared" si="1"/>
        <v>565.49446979999993</v>
      </c>
      <c r="AY1194" s="125">
        <f>0.21</f>
        <v>0.21</v>
      </c>
      <c r="AZ1194" s="181" t="s">
        <v>1429</v>
      </c>
      <c r="BA1194" s="181" t="s">
        <v>254</v>
      </c>
      <c r="BB1194" s="181">
        <v>1</v>
      </c>
      <c r="BC1194" s="125" t="s">
        <v>255</v>
      </c>
    </row>
    <row r="1195" spans="1:55" ht="16.350000000000001" customHeight="1" outlineLevel="1">
      <c r="A1195" s="92">
        <v>1185</v>
      </c>
      <c r="B1195" s="99" t="s">
        <v>874</v>
      </c>
      <c r="C1195" s="122" t="s">
        <v>841</v>
      </c>
      <c r="D1195" s="161">
        <v>85</v>
      </c>
      <c r="E1195" s="123" t="s">
        <v>734</v>
      </c>
      <c r="F1195" s="124" t="s">
        <v>1425</v>
      </c>
      <c r="G1195" s="133" t="s">
        <v>247</v>
      </c>
      <c r="H1195" s="134" t="s">
        <v>248</v>
      </c>
      <c r="I1195" s="134" t="s">
        <v>1426</v>
      </c>
      <c r="J1195" s="134" t="s">
        <v>139</v>
      </c>
      <c r="K1195" s="124" t="s">
        <v>140</v>
      </c>
      <c r="L1195" s="174">
        <v>1</v>
      </c>
      <c r="M1195" s="174" t="s">
        <v>250</v>
      </c>
      <c r="N1195" s="184">
        <v>89</v>
      </c>
      <c r="O1195" s="184">
        <v>6</v>
      </c>
      <c r="P1195" s="184" t="s">
        <v>1429</v>
      </c>
      <c r="Q1195" s="174" t="s">
        <v>233</v>
      </c>
      <c r="R1195" s="276" t="s">
        <v>240</v>
      </c>
      <c r="S1195" s="276" t="s">
        <v>233</v>
      </c>
      <c r="T1195" s="276" t="s">
        <v>240</v>
      </c>
      <c r="U1195" s="174" t="s">
        <v>1427</v>
      </c>
      <c r="V1195" s="276" t="s">
        <v>240</v>
      </c>
      <c r="W1195" s="130"/>
      <c r="X1195" s="125">
        <v>874.31</v>
      </c>
      <c r="Y1195" s="126">
        <v>990.51</v>
      </c>
      <c r="Z1195" s="127">
        <v>87.654100799999995</v>
      </c>
      <c r="AA1195" s="128" t="s">
        <v>259</v>
      </c>
      <c r="AB1195" s="125">
        <v>84.071115000000006</v>
      </c>
      <c r="AC1195" s="128" t="s">
        <v>259</v>
      </c>
      <c r="AD1195" s="129">
        <v>90.598338000000012</v>
      </c>
      <c r="AE1195" s="125" t="s">
        <v>259</v>
      </c>
      <c r="AF1195" s="125">
        <v>80.902097999999995</v>
      </c>
      <c r="AG1195" s="125" t="s">
        <v>259</v>
      </c>
      <c r="AH1195" s="125">
        <v>70.230187999999998</v>
      </c>
      <c r="AI1195" s="125" t="s">
        <v>259</v>
      </c>
      <c r="AJ1195" s="125">
        <v>0</v>
      </c>
      <c r="AK1195" s="125">
        <v>0</v>
      </c>
      <c r="AL1195" s="125">
        <v>0</v>
      </c>
      <c r="AM1195" s="125">
        <v>0</v>
      </c>
      <c r="AN1195" s="125">
        <v>0</v>
      </c>
      <c r="AO1195" s="125">
        <v>0</v>
      </c>
      <c r="AP1195" s="125">
        <v>0</v>
      </c>
      <c r="AQ1195" s="125">
        <v>0</v>
      </c>
      <c r="AR1195" s="125">
        <v>77.649191999999999</v>
      </c>
      <c r="AS1195" s="125" t="s">
        <v>259</v>
      </c>
      <c r="AT1195" s="125">
        <v>75.086108999999993</v>
      </c>
      <c r="AU1195" s="125" t="s">
        <v>259</v>
      </c>
      <c r="AV1195" s="125">
        <v>79.602143999999996</v>
      </c>
      <c r="AW1195" s="125" t="s">
        <v>259</v>
      </c>
      <c r="AX1195" s="125">
        <f t="shared" si="1"/>
        <v>645.79328479999992</v>
      </c>
      <c r="AY1195" s="125">
        <v>0.28000000000000003</v>
      </c>
      <c r="AZ1195" s="181" t="s">
        <v>1429</v>
      </c>
      <c r="BA1195" s="181" t="s">
        <v>254</v>
      </c>
      <c r="BB1195" s="181">
        <v>1</v>
      </c>
      <c r="BC1195" s="125" t="s">
        <v>255</v>
      </c>
    </row>
    <row r="1196" spans="1:55" ht="16.350000000000001" customHeight="1" outlineLevel="1">
      <c r="A1196" s="92">
        <v>1186</v>
      </c>
      <c r="B1196" s="99" t="s">
        <v>875</v>
      </c>
      <c r="C1196" s="122" t="s">
        <v>841</v>
      </c>
      <c r="D1196" s="161">
        <v>86</v>
      </c>
      <c r="E1196" s="123" t="s">
        <v>734</v>
      </c>
      <c r="F1196" s="124" t="s">
        <v>1425</v>
      </c>
      <c r="G1196" s="133" t="s">
        <v>281</v>
      </c>
      <c r="H1196" s="134" t="s">
        <v>248</v>
      </c>
      <c r="I1196" s="134" t="s">
        <v>1426</v>
      </c>
      <c r="J1196" s="134" t="s">
        <v>139</v>
      </c>
      <c r="K1196" s="124" t="s">
        <v>140</v>
      </c>
      <c r="L1196" s="174">
        <v>1</v>
      </c>
      <c r="M1196" s="174" t="s">
        <v>250</v>
      </c>
      <c r="N1196" s="184">
        <v>100</v>
      </c>
      <c r="O1196" s="184">
        <v>6</v>
      </c>
      <c r="P1196" s="184" t="s">
        <v>1429</v>
      </c>
      <c r="Q1196" s="174" t="s">
        <v>233</v>
      </c>
      <c r="R1196" s="276" t="s">
        <v>240</v>
      </c>
      <c r="S1196" s="276" t="s">
        <v>233</v>
      </c>
      <c r="T1196" s="276" t="s">
        <v>240</v>
      </c>
      <c r="U1196" s="174" t="s">
        <v>1427</v>
      </c>
      <c r="V1196" s="276" t="s">
        <v>240</v>
      </c>
      <c r="W1196" s="130"/>
      <c r="X1196" s="125">
        <v>399.62</v>
      </c>
      <c r="Y1196" s="126">
        <v>379.01</v>
      </c>
      <c r="Z1196" s="127">
        <v>55.423750200000001</v>
      </c>
      <c r="AA1196" s="128" t="s">
        <v>252</v>
      </c>
      <c r="AB1196" s="125">
        <v>42.154964999999997</v>
      </c>
      <c r="AC1196" s="128" t="s">
        <v>252</v>
      </c>
      <c r="AD1196" s="129">
        <v>58.755024000000006</v>
      </c>
      <c r="AE1196" s="125" t="s">
        <v>252</v>
      </c>
      <c r="AF1196" s="125">
        <v>26.864587999999998</v>
      </c>
      <c r="AG1196" s="125" t="s">
        <v>252</v>
      </c>
      <c r="AH1196" s="125">
        <v>7.1034879999999996</v>
      </c>
      <c r="AI1196" s="125" t="s">
        <v>252</v>
      </c>
      <c r="AJ1196" s="125">
        <v>0</v>
      </c>
      <c r="AK1196" s="125">
        <v>0</v>
      </c>
      <c r="AL1196" s="125">
        <v>0</v>
      </c>
      <c r="AM1196" s="125">
        <v>0</v>
      </c>
      <c r="AN1196" s="125">
        <v>0</v>
      </c>
      <c r="AO1196" s="125">
        <v>0</v>
      </c>
      <c r="AP1196" s="125">
        <v>0</v>
      </c>
      <c r="AQ1196" s="125">
        <v>0</v>
      </c>
      <c r="AR1196" s="125">
        <v>26.849819999999998</v>
      </c>
      <c r="AS1196" s="125" t="s">
        <v>252</v>
      </c>
      <c r="AT1196" s="125">
        <v>27.136134000000002</v>
      </c>
      <c r="AU1196" s="125" t="s">
        <v>252</v>
      </c>
      <c r="AV1196" s="125">
        <v>36.512687999999997</v>
      </c>
      <c r="AW1196" s="125" t="s">
        <v>252</v>
      </c>
      <c r="AX1196" s="125">
        <f t="shared" si="1"/>
        <v>280.80045719999998</v>
      </c>
      <c r="AY1196" s="125">
        <f>0.1574+0.0026</f>
        <v>0.16</v>
      </c>
      <c r="AZ1196" s="181" t="s">
        <v>1429</v>
      </c>
      <c r="BA1196" s="181" t="s">
        <v>254</v>
      </c>
      <c r="BB1196" s="181">
        <v>1</v>
      </c>
      <c r="BC1196" s="125" t="s">
        <v>255</v>
      </c>
    </row>
    <row r="1197" spans="1:55" ht="16.350000000000001" customHeight="1" outlineLevel="1">
      <c r="A1197" s="92">
        <v>1187</v>
      </c>
      <c r="B1197" s="99" t="s">
        <v>876</v>
      </c>
      <c r="C1197" s="122" t="s">
        <v>841</v>
      </c>
      <c r="D1197" s="161">
        <v>91</v>
      </c>
      <c r="E1197" s="123" t="s">
        <v>734</v>
      </c>
      <c r="F1197" s="124" t="s">
        <v>1425</v>
      </c>
      <c r="G1197" s="133" t="s">
        <v>247</v>
      </c>
      <c r="H1197" s="134" t="s">
        <v>248</v>
      </c>
      <c r="I1197" s="134" t="s">
        <v>1426</v>
      </c>
      <c r="J1197" s="134" t="s">
        <v>139</v>
      </c>
      <c r="K1197" s="124" t="s">
        <v>140</v>
      </c>
      <c r="L1197" s="174">
        <v>1</v>
      </c>
      <c r="M1197" s="174" t="s">
        <v>250</v>
      </c>
      <c r="N1197" s="184">
        <v>100</v>
      </c>
      <c r="O1197" s="184">
        <v>6</v>
      </c>
      <c r="P1197" s="184" t="s">
        <v>1429</v>
      </c>
      <c r="Q1197" s="174" t="s">
        <v>233</v>
      </c>
      <c r="R1197" s="276" t="s">
        <v>240</v>
      </c>
      <c r="S1197" s="276" t="s">
        <v>233</v>
      </c>
      <c r="T1197" s="276" t="s">
        <v>240</v>
      </c>
      <c r="U1197" s="174" t="s">
        <v>1427</v>
      </c>
      <c r="V1197" s="276" t="s">
        <v>240</v>
      </c>
      <c r="W1197" s="130"/>
      <c r="X1197" s="125">
        <v>819.57</v>
      </c>
      <c r="Y1197" s="126">
        <v>820.06</v>
      </c>
      <c r="Z1197" s="127">
        <v>126.1454586</v>
      </c>
      <c r="AA1197" s="128" t="s">
        <v>252</v>
      </c>
      <c r="AB1197" s="125">
        <v>86.780429999999996</v>
      </c>
      <c r="AC1197" s="128" t="s">
        <v>252</v>
      </c>
      <c r="AD1197" s="129">
        <v>103.042242</v>
      </c>
      <c r="AE1197" s="125" t="s">
        <v>252</v>
      </c>
      <c r="AF1197" s="125">
        <v>259.06380799999999</v>
      </c>
      <c r="AG1197" s="125" t="s">
        <v>252</v>
      </c>
      <c r="AH1197" s="125">
        <v>18.667466999999998</v>
      </c>
      <c r="AI1197" s="125" t="s">
        <v>252</v>
      </c>
      <c r="AJ1197" s="125">
        <v>0</v>
      </c>
      <c r="AK1197" s="125">
        <v>0</v>
      </c>
      <c r="AL1197" s="125">
        <v>0</v>
      </c>
      <c r="AM1197" s="125">
        <v>0</v>
      </c>
      <c r="AN1197" s="125">
        <v>0</v>
      </c>
      <c r="AO1197" s="125">
        <v>0</v>
      </c>
      <c r="AP1197" s="125">
        <v>0</v>
      </c>
      <c r="AQ1197" s="125">
        <v>0</v>
      </c>
      <c r="AR1197" s="125">
        <v>124.7401838472</v>
      </c>
      <c r="AS1197" s="125" t="s">
        <v>312</v>
      </c>
      <c r="AT1197" s="125">
        <v>106.14861111420001</v>
      </c>
      <c r="AU1197" s="125" t="s">
        <v>312</v>
      </c>
      <c r="AV1197" s="125">
        <v>81.462239999999994</v>
      </c>
      <c r="AW1197" s="125" t="s">
        <v>252</v>
      </c>
      <c r="AX1197" s="125">
        <f t="shared" si="1"/>
        <v>906.05044056139991</v>
      </c>
      <c r="AY1197" s="125">
        <f>0.0139+0.0075+0.2435+0.0051</f>
        <v>0.26999999999999996</v>
      </c>
      <c r="AZ1197" s="181" t="s">
        <v>1429</v>
      </c>
      <c r="BA1197" s="181" t="s">
        <v>254</v>
      </c>
      <c r="BB1197" s="181">
        <v>1</v>
      </c>
      <c r="BC1197" s="125" t="s">
        <v>255</v>
      </c>
    </row>
    <row r="1198" spans="1:55" ht="16.350000000000001" customHeight="1" outlineLevel="1">
      <c r="A1198" s="92">
        <v>1188</v>
      </c>
      <c r="B1198" s="99" t="s">
        <v>877</v>
      </c>
      <c r="C1198" s="122" t="s">
        <v>841</v>
      </c>
      <c r="D1198" s="161">
        <v>94</v>
      </c>
      <c r="E1198" s="123" t="s">
        <v>734</v>
      </c>
      <c r="F1198" s="124" t="s">
        <v>1425</v>
      </c>
      <c r="G1198" s="133" t="s">
        <v>281</v>
      </c>
      <c r="H1198" s="134" t="s">
        <v>248</v>
      </c>
      <c r="I1198" s="134" t="s">
        <v>1426</v>
      </c>
      <c r="J1198" s="134" t="s">
        <v>139</v>
      </c>
      <c r="K1198" s="124" t="s">
        <v>140</v>
      </c>
      <c r="L1198" s="174">
        <v>1</v>
      </c>
      <c r="M1198" s="174" t="s">
        <v>250</v>
      </c>
      <c r="N1198" s="184">
        <v>89</v>
      </c>
      <c r="O1198" s="184">
        <v>6</v>
      </c>
      <c r="P1198" s="184" t="s">
        <v>1429</v>
      </c>
      <c r="Q1198" s="174" t="s">
        <v>233</v>
      </c>
      <c r="R1198" s="276" t="s">
        <v>240</v>
      </c>
      <c r="S1198" s="276" t="s">
        <v>233</v>
      </c>
      <c r="T1198" s="276" t="s">
        <v>240</v>
      </c>
      <c r="U1198" s="174" t="s">
        <v>1427</v>
      </c>
      <c r="V1198" s="276" t="s">
        <v>240</v>
      </c>
      <c r="W1198" s="130"/>
      <c r="X1198" s="125">
        <v>465.09</v>
      </c>
      <c r="Y1198" s="126">
        <v>452.48</v>
      </c>
      <c r="Z1198" s="127">
        <v>55.769662199999992</v>
      </c>
      <c r="AA1198" s="128" t="s">
        <v>252</v>
      </c>
      <c r="AB1198" s="125">
        <v>47.672415000000001</v>
      </c>
      <c r="AC1198" s="128" t="s">
        <v>252</v>
      </c>
      <c r="AD1198" s="129">
        <v>67.867002000000014</v>
      </c>
      <c r="AE1198" s="125" t="s">
        <v>252</v>
      </c>
      <c r="AF1198" s="125">
        <v>32.635967999999998</v>
      </c>
      <c r="AG1198" s="125" t="s">
        <v>252</v>
      </c>
      <c r="AH1198" s="125">
        <v>8.2897149999999993</v>
      </c>
      <c r="AI1198" s="125" t="s">
        <v>252</v>
      </c>
      <c r="AJ1198" s="125">
        <v>0</v>
      </c>
      <c r="AK1198" s="125">
        <v>0</v>
      </c>
      <c r="AL1198" s="125">
        <v>0</v>
      </c>
      <c r="AM1198" s="125">
        <v>0</v>
      </c>
      <c r="AN1198" s="125">
        <v>0</v>
      </c>
      <c r="AO1198" s="125">
        <v>0</v>
      </c>
      <c r="AP1198" s="125">
        <v>0</v>
      </c>
      <c r="AQ1198" s="125">
        <v>0</v>
      </c>
      <c r="AR1198" s="125">
        <v>38.865216000000004</v>
      </c>
      <c r="AS1198" s="125" t="s">
        <v>252</v>
      </c>
      <c r="AT1198" s="125">
        <v>35.044919999999998</v>
      </c>
      <c r="AU1198" s="125" t="s">
        <v>252</v>
      </c>
      <c r="AV1198" s="125">
        <v>47.565312000000006</v>
      </c>
      <c r="AW1198" s="125" t="s">
        <v>252</v>
      </c>
      <c r="AX1198" s="125">
        <f t="shared" si="1"/>
        <v>333.71021020000001</v>
      </c>
      <c r="AY1198" s="125">
        <f>0.18</f>
        <v>0.18</v>
      </c>
      <c r="AZ1198" s="181" t="s">
        <v>1429</v>
      </c>
      <c r="BA1198" s="181" t="s">
        <v>254</v>
      </c>
      <c r="BB1198" s="181">
        <v>1</v>
      </c>
      <c r="BC1198" s="125" t="s">
        <v>255</v>
      </c>
    </row>
    <row r="1199" spans="1:55" ht="16.350000000000001" customHeight="1" outlineLevel="1">
      <c r="A1199" s="92">
        <v>1189</v>
      </c>
      <c r="B1199" s="99" t="s">
        <v>878</v>
      </c>
      <c r="C1199" s="122" t="s">
        <v>841</v>
      </c>
      <c r="D1199" s="161">
        <v>95</v>
      </c>
      <c r="E1199" s="123" t="s">
        <v>734</v>
      </c>
      <c r="F1199" s="124" t="s">
        <v>1425</v>
      </c>
      <c r="G1199" s="133" t="s">
        <v>281</v>
      </c>
      <c r="H1199" s="134" t="s">
        <v>248</v>
      </c>
      <c r="I1199" s="134" t="s">
        <v>1426</v>
      </c>
      <c r="J1199" s="134" t="s">
        <v>139</v>
      </c>
      <c r="K1199" s="124" t="s">
        <v>140</v>
      </c>
      <c r="L1199" s="174">
        <v>1</v>
      </c>
      <c r="M1199" s="174" t="s">
        <v>250</v>
      </c>
      <c r="N1199" s="184">
        <v>89</v>
      </c>
      <c r="O1199" s="184">
        <v>6</v>
      </c>
      <c r="P1199" s="184" t="s">
        <v>1429</v>
      </c>
      <c r="Q1199" s="174" t="s">
        <v>233</v>
      </c>
      <c r="R1199" s="276" t="s">
        <v>240</v>
      </c>
      <c r="S1199" s="276" t="s">
        <v>233</v>
      </c>
      <c r="T1199" s="276" t="s">
        <v>240</v>
      </c>
      <c r="U1199" s="174" t="s">
        <v>1427</v>
      </c>
      <c r="V1199" s="276" t="s">
        <v>240</v>
      </c>
      <c r="W1199" s="130"/>
      <c r="X1199" s="125">
        <v>412.85</v>
      </c>
      <c r="Y1199" s="126">
        <v>469.83</v>
      </c>
      <c r="Z1199" s="127">
        <v>70.669821599999992</v>
      </c>
      <c r="AA1199" s="128" t="s">
        <v>252</v>
      </c>
      <c r="AB1199" s="125">
        <v>48.290039999999998</v>
      </c>
      <c r="AC1199" s="128" t="s">
        <v>252</v>
      </c>
      <c r="AD1199" s="129">
        <v>70.642134000000013</v>
      </c>
      <c r="AE1199" s="125" t="s">
        <v>252</v>
      </c>
      <c r="AF1199" s="125">
        <v>26.856681999999999</v>
      </c>
      <c r="AG1199" s="125" t="s">
        <v>252</v>
      </c>
      <c r="AH1199" s="125">
        <v>7.3948419999999997</v>
      </c>
      <c r="AI1199" s="125" t="s">
        <v>252</v>
      </c>
      <c r="AJ1199" s="125">
        <v>0</v>
      </c>
      <c r="AK1199" s="125">
        <v>0</v>
      </c>
      <c r="AL1199" s="125">
        <v>0</v>
      </c>
      <c r="AM1199" s="125">
        <v>0</v>
      </c>
      <c r="AN1199" s="125">
        <v>0</v>
      </c>
      <c r="AO1199" s="125">
        <v>0</v>
      </c>
      <c r="AP1199" s="125">
        <v>0</v>
      </c>
      <c r="AQ1199" s="125">
        <v>0</v>
      </c>
      <c r="AR1199" s="125">
        <v>28.157783999999996</v>
      </c>
      <c r="AS1199" s="125" t="s">
        <v>252</v>
      </c>
      <c r="AT1199" s="125">
        <v>29.914469999999998</v>
      </c>
      <c r="AU1199" s="125" t="s">
        <v>252</v>
      </c>
      <c r="AV1199" s="125">
        <v>45.057504000000002</v>
      </c>
      <c r="AW1199" s="125" t="s">
        <v>252</v>
      </c>
      <c r="AX1199" s="125">
        <f t="shared" si="1"/>
        <v>326.98327760000001</v>
      </c>
      <c r="AY1199" s="125">
        <f>0.0135+0.1365</f>
        <v>0.15000000000000002</v>
      </c>
      <c r="AZ1199" s="181" t="s">
        <v>1429</v>
      </c>
      <c r="BA1199" s="181" t="s">
        <v>254</v>
      </c>
      <c r="BB1199" s="181">
        <v>1</v>
      </c>
      <c r="BC1199" s="125" t="s">
        <v>255</v>
      </c>
    </row>
    <row r="1200" spans="1:55" ht="16.350000000000001" customHeight="1" outlineLevel="1">
      <c r="A1200" s="92">
        <v>1190</v>
      </c>
      <c r="B1200" s="99" t="s">
        <v>879</v>
      </c>
      <c r="C1200" s="122" t="s">
        <v>841</v>
      </c>
      <c r="D1200" s="161">
        <v>96</v>
      </c>
      <c r="E1200" s="123" t="s">
        <v>734</v>
      </c>
      <c r="F1200" s="124" t="s">
        <v>1425</v>
      </c>
      <c r="G1200" s="133" t="s">
        <v>281</v>
      </c>
      <c r="H1200" s="134" t="s">
        <v>248</v>
      </c>
      <c r="I1200" s="134" t="s">
        <v>1426</v>
      </c>
      <c r="J1200" s="134" t="s">
        <v>139</v>
      </c>
      <c r="K1200" s="124" t="s">
        <v>140</v>
      </c>
      <c r="L1200" s="174">
        <v>1</v>
      </c>
      <c r="M1200" s="174" t="s">
        <v>250</v>
      </c>
      <c r="N1200" s="184">
        <v>89</v>
      </c>
      <c r="O1200" s="184">
        <v>6</v>
      </c>
      <c r="P1200" s="184" t="s">
        <v>1429</v>
      </c>
      <c r="Q1200" s="174" t="s">
        <v>233</v>
      </c>
      <c r="R1200" s="276" t="s">
        <v>240</v>
      </c>
      <c r="S1200" s="276" t="s">
        <v>233</v>
      </c>
      <c r="T1200" s="276" t="s">
        <v>240</v>
      </c>
      <c r="U1200" s="174" t="s">
        <v>1427</v>
      </c>
      <c r="V1200" s="276" t="s">
        <v>240</v>
      </c>
      <c r="W1200" s="130"/>
      <c r="X1200" s="125">
        <v>711.35</v>
      </c>
      <c r="Y1200" s="126">
        <v>690.03</v>
      </c>
      <c r="Z1200" s="127">
        <v>86.25315719999999</v>
      </c>
      <c r="AA1200" s="128" t="s">
        <v>252</v>
      </c>
      <c r="AB1200" s="125">
        <v>73.917360000000002</v>
      </c>
      <c r="AC1200" s="128" t="s">
        <v>252</v>
      </c>
      <c r="AD1200" s="129">
        <v>105.092658</v>
      </c>
      <c r="AE1200" s="125" t="s">
        <v>252</v>
      </c>
      <c r="AF1200" s="125">
        <v>50.456091999999998</v>
      </c>
      <c r="AG1200" s="125" t="s">
        <v>252</v>
      </c>
      <c r="AH1200" s="125">
        <v>13.083181999999999</v>
      </c>
      <c r="AI1200" s="125" t="s">
        <v>252</v>
      </c>
      <c r="AJ1200" s="125">
        <v>0</v>
      </c>
      <c r="AK1200" s="125">
        <v>0</v>
      </c>
      <c r="AL1200" s="125">
        <v>0</v>
      </c>
      <c r="AM1200" s="125">
        <v>0</v>
      </c>
      <c r="AN1200" s="125">
        <v>0</v>
      </c>
      <c r="AO1200" s="125">
        <v>0</v>
      </c>
      <c r="AP1200" s="125">
        <v>0</v>
      </c>
      <c r="AQ1200" s="125">
        <v>0</v>
      </c>
      <c r="AR1200" s="125">
        <v>60.710652000000003</v>
      </c>
      <c r="AS1200" s="125" t="s">
        <v>252</v>
      </c>
      <c r="AT1200" s="125">
        <v>54.659025</v>
      </c>
      <c r="AU1200" s="125" t="s">
        <v>252</v>
      </c>
      <c r="AV1200" s="125">
        <v>73.698000000000008</v>
      </c>
      <c r="AW1200" s="125" t="s">
        <v>252</v>
      </c>
      <c r="AX1200" s="125">
        <f t="shared" si="1"/>
        <v>517.87012619999996</v>
      </c>
      <c r="AY1200" s="125">
        <f>0.0078+0.3122</f>
        <v>0.31999999999999995</v>
      </c>
      <c r="AZ1200" s="181" t="s">
        <v>1429</v>
      </c>
      <c r="BA1200" s="181" t="s">
        <v>254</v>
      </c>
      <c r="BB1200" s="181">
        <v>1</v>
      </c>
      <c r="BC1200" s="125" t="s">
        <v>255</v>
      </c>
    </row>
    <row r="1201" spans="1:55" ht="16.350000000000001" customHeight="1" outlineLevel="1">
      <c r="A1201" s="92">
        <v>1191</v>
      </c>
      <c r="B1201" s="99" t="s">
        <v>880</v>
      </c>
      <c r="C1201" s="122" t="s">
        <v>841</v>
      </c>
      <c r="D1201" s="161">
        <v>97</v>
      </c>
      <c r="E1201" s="123" t="s">
        <v>734</v>
      </c>
      <c r="F1201" s="124" t="s">
        <v>1425</v>
      </c>
      <c r="G1201" s="133" t="s">
        <v>247</v>
      </c>
      <c r="H1201" s="134" t="s">
        <v>248</v>
      </c>
      <c r="I1201" s="134" t="s">
        <v>1426</v>
      </c>
      <c r="J1201" s="134" t="s">
        <v>139</v>
      </c>
      <c r="K1201" s="124" t="s">
        <v>140</v>
      </c>
      <c r="L1201" s="174">
        <v>1</v>
      </c>
      <c r="M1201" s="174" t="s">
        <v>250</v>
      </c>
      <c r="N1201" s="184">
        <v>89</v>
      </c>
      <c r="O1201" s="184">
        <v>6</v>
      </c>
      <c r="P1201" s="184" t="s">
        <v>1429</v>
      </c>
      <c r="Q1201" s="174" t="s">
        <v>233</v>
      </c>
      <c r="R1201" s="276" t="s">
        <v>240</v>
      </c>
      <c r="S1201" s="276" t="s">
        <v>233</v>
      </c>
      <c r="T1201" s="276" t="s">
        <v>240</v>
      </c>
      <c r="U1201" s="174" t="s">
        <v>1427</v>
      </c>
      <c r="V1201" s="276" t="s">
        <v>240</v>
      </c>
      <c r="W1201" s="130"/>
      <c r="X1201" s="125">
        <v>1528.84</v>
      </c>
      <c r="Y1201" s="126">
        <v>1454.49</v>
      </c>
      <c r="Z1201" s="127">
        <v>209.1124518</v>
      </c>
      <c r="AA1201" s="128" t="s">
        <v>252</v>
      </c>
      <c r="AB1201" s="125">
        <v>144.87011999999999</v>
      </c>
      <c r="AC1201" s="128" t="s">
        <v>252</v>
      </c>
      <c r="AD1201" s="129">
        <v>208.815426</v>
      </c>
      <c r="AE1201" s="125" t="s">
        <v>252</v>
      </c>
      <c r="AF1201" s="125">
        <v>110.304512</v>
      </c>
      <c r="AG1201" s="125" t="s">
        <v>252</v>
      </c>
      <c r="AH1201" s="125">
        <v>26.374474000000003</v>
      </c>
      <c r="AI1201" s="125" t="s">
        <v>252</v>
      </c>
      <c r="AJ1201" s="125">
        <v>0</v>
      </c>
      <c r="AK1201" s="125">
        <v>0</v>
      </c>
      <c r="AL1201" s="125">
        <v>0</v>
      </c>
      <c r="AM1201" s="125">
        <v>0</v>
      </c>
      <c r="AN1201" s="125">
        <v>0</v>
      </c>
      <c r="AO1201" s="125">
        <v>0</v>
      </c>
      <c r="AP1201" s="125">
        <v>0</v>
      </c>
      <c r="AQ1201" s="125">
        <v>0</v>
      </c>
      <c r="AR1201" s="125">
        <v>161.11923519936002</v>
      </c>
      <c r="AS1201" s="125" t="s">
        <v>312</v>
      </c>
      <c r="AT1201" s="125">
        <v>137.47233048480001</v>
      </c>
      <c r="AU1201" s="125" t="s">
        <v>312</v>
      </c>
      <c r="AV1201" s="125">
        <v>163.597104</v>
      </c>
      <c r="AW1201" s="125" t="s">
        <v>252</v>
      </c>
      <c r="AX1201" s="125">
        <f t="shared" si="1"/>
        <v>1161.66565348416</v>
      </c>
      <c r="AY1201" s="125">
        <f>0.0011+0.0102+0.0498+0.0186+0.3803</f>
        <v>0.46</v>
      </c>
      <c r="AZ1201" s="181" t="s">
        <v>1429</v>
      </c>
      <c r="BA1201" s="181" t="s">
        <v>254</v>
      </c>
      <c r="BB1201" s="181">
        <v>1</v>
      </c>
      <c r="BC1201" s="125" t="s">
        <v>255</v>
      </c>
    </row>
    <row r="1202" spans="1:55" ht="16.350000000000001" customHeight="1" outlineLevel="1">
      <c r="A1202" s="92">
        <v>1192</v>
      </c>
      <c r="B1202" s="99" t="s">
        <v>881</v>
      </c>
      <c r="C1202" s="122" t="s">
        <v>884</v>
      </c>
      <c r="D1202" s="161">
        <v>20</v>
      </c>
      <c r="E1202" s="123" t="s">
        <v>734</v>
      </c>
      <c r="F1202" s="124" t="s">
        <v>1234</v>
      </c>
      <c r="G1202" s="133" t="s">
        <v>247</v>
      </c>
      <c r="H1202" s="134" t="s">
        <v>1424</v>
      </c>
      <c r="I1202" s="134" t="s">
        <v>1426</v>
      </c>
      <c r="J1202" s="134" t="s">
        <v>139</v>
      </c>
      <c r="K1202" s="124" t="s">
        <v>140</v>
      </c>
      <c r="L1202" s="174">
        <v>1</v>
      </c>
      <c r="M1202" s="174" t="s">
        <v>250</v>
      </c>
      <c r="N1202" s="184">
        <v>80</v>
      </c>
      <c r="O1202" s="184">
        <v>4.0999999999999996</v>
      </c>
      <c r="P1202" s="184" t="s">
        <v>253</v>
      </c>
      <c r="Q1202" s="174" t="s">
        <v>240</v>
      </c>
      <c r="R1202" s="276" t="s">
        <v>240</v>
      </c>
      <c r="S1202" s="276" t="s">
        <v>233</v>
      </c>
      <c r="T1202" s="276" t="s">
        <v>240</v>
      </c>
      <c r="U1202" s="174" t="s">
        <v>1428</v>
      </c>
      <c r="V1202" s="276" t="s">
        <v>240</v>
      </c>
      <c r="W1202" s="130"/>
      <c r="X1202" s="274">
        <v>342.05</v>
      </c>
      <c r="Y1202" s="126">
        <v>231.28</v>
      </c>
      <c r="Z1202" s="127">
        <f>28.61+15.85</f>
        <v>44.46</v>
      </c>
      <c r="AA1202" s="128" t="s">
        <v>259</v>
      </c>
      <c r="AB1202" s="274">
        <f>4.24+45.67</f>
        <v>49.910000000000004</v>
      </c>
      <c r="AC1202" s="128" t="s">
        <v>252</v>
      </c>
      <c r="AD1202" s="129">
        <f>6.13+66.17</f>
        <v>72.3</v>
      </c>
      <c r="AE1202" s="274" t="s">
        <v>252</v>
      </c>
      <c r="AF1202" s="274">
        <f>2.61+28.09</f>
        <v>30.7</v>
      </c>
      <c r="AG1202" s="274" t="s">
        <v>252</v>
      </c>
      <c r="AH1202" s="274">
        <f>1.17+12.73</f>
        <v>13.9</v>
      </c>
      <c r="AI1202" s="274" t="s">
        <v>252</v>
      </c>
      <c r="AJ1202" s="274">
        <v>0</v>
      </c>
      <c r="AK1202" s="274">
        <v>0</v>
      </c>
      <c r="AL1202" s="274">
        <v>0</v>
      </c>
      <c r="AM1202" s="274">
        <v>0</v>
      </c>
      <c r="AN1202" s="274">
        <v>0</v>
      </c>
      <c r="AO1202" s="274">
        <v>0</v>
      </c>
      <c r="AP1202" s="274">
        <v>0</v>
      </c>
      <c r="AQ1202" s="274">
        <v>0</v>
      </c>
      <c r="AR1202" s="274">
        <f>2.21+23.81</f>
        <v>26.02</v>
      </c>
      <c r="AS1202" s="274" t="s">
        <v>252</v>
      </c>
      <c r="AT1202" s="274">
        <f>3.09+33.29</f>
        <v>36.379999999999995</v>
      </c>
      <c r="AU1202" s="274" t="s">
        <v>252</v>
      </c>
      <c r="AV1202" s="274">
        <f>4.46+48.05</f>
        <v>52.51</v>
      </c>
      <c r="AW1202" s="274" t="s">
        <v>252</v>
      </c>
      <c r="AX1202" s="274">
        <f t="shared" si="1"/>
        <v>326.18</v>
      </c>
      <c r="AY1202" s="274">
        <v>0.17765</v>
      </c>
      <c r="AZ1202" s="181" t="s">
        <v>253</v>
      </c>
      <c r="BA1202" s="181" t="s">
        <v>254</v>
      </c>
      <c r="BB1202" s="181" t="s">
        <v>1430</v>
      </c>
      <c r="BC1202" s="125" t="s">
        <v>255</v>
      </c>
    </row>
    <row r="1203" spans="1:55" ht="16.350000000000001" customHeight="1" outlineLevel="1">
      <c r="A1203" s="92">
        <v>1193</v>
      </c>
      <c r="B1203" s="99" t="s">
        <v>882</v>
      </c>
      <c r="C1203" s="122" t="s">
        <v>884</v>
      </c>
      <c r="D1203" s="161">
        <v>22</v>
      </c>
      <c r="E1203" s="123" t="s">
        <v>734</v>
      </c>
      <c r="F1203" s="124" t="s">
        <v>1234</v>
      </c>
      <c r="G1203" s="133" t="s">
        <v>247</v>
      </c>
      <c r="H1203" s="334" t="s">
        <v>1424</v>
      </c>
      <c r="I1203" s="334" t="s">
        <v>1426</v>
      </c>
      <c r="J1203" s="317" t="s">
        <v>139</v>
      </c>
      <c r="K1203" s="317" t="s">
        <v>140</v>
      </c>
      <c r="L1203" s="334">
        <v>1</v>
      </c>
      <c r="M1203" s="334" t="s">
        <v>250</v>
      </c>
      <c r="N1203" s="315">
        <v>80</v>
      </c>
      <c r="O1203" s="315">
        <v>4.0999999999999996</v>
      </c>
      <c r="P1203" s="315" t="s">
        <v>253</v>
      </c>
      <c r="Q1203" s="317" t="s">
        <v>240</v>
      </c>
      <c r="R1203" s="276" t="s">
        <v>240</v>
      </c>
      <c r="S1203" s="320" t="s">
        <v>233</v>
      </c>
      <c r="T1203" s="276" t="s">
        <v>240</v>
      </c>
      <c r="U1203" s="334" t="s">
        <v>1428</v>
      </c>
      <c r="V1203" s="276" t="s">
        <v>240</v>
      </c>
      <c r="W1203" s="189"/>
      <c r="X1203" s="292">
        <v>398.1</v>
      </c>
      <c r="Y1203" s="295">
        <v>551.44000000000005</v>
      </c>
      <c r="Z1203" s="297">
        <f>10.73+48.59+2.39+9.39</f>
        <v>71.100000000000009</v>
      </c>
      <c r="AA1203" s="299" t="s">
        <v>259</v>
      </c>
      <c r="AB1203" s="292">
        <f>10.04+53.91+2.23+10.42</f>
        <v>76.599999999999994</v>
      </c>
      <c r="AC1203" s="299" t="s">
        <v>252</v>
      </c>
      <c r="AD1203" s="301">
        <v>103.042242</v>
      </c>
      <c r="AE1203" s="292" t="s">
        <v>252</v>
      </c>
      <c r="AF1203" s="292">
        <f>6.89+37.04+1.53+7.14</f>
        <v>52.6</v>
      </c>
      <c r="AG1203" s="292" t="s">
        <v>252</v>
      </c>
      <c r="AH1203" s="292">
        <f>3+16.11+0.66+3.13</f>
        <v>22.9</v>
      </c>
      <c r="AI1203" s="292" t="s">
        <v>252</v>
      </c>
      <c r="AJ1203" s="292">
        <v>0</v>
      </c>
      <c r="AK1203" s="292">
        <v>0</v>
      </c>
      <c r="AL1203" s="292">
        <v>0</v>
      </c>
      <c r="AM1203" s="292">
        <v>0</v>
      </c>
      <c r="AN1203" s="292">
        <v>0</v>
      </c>
      <c r="AO1203" s="292">
        <v>0</v>
      </c>
      <c r="AP1203" s="292">
        <v>0</v>
      </c>
      <c r="AQ1203" s="292">
        <v>0</v>
      </c>
      <c r="AR1203" s="292">
        <f>6.25+33.54+1.4+6.48</f>
        <v>47.67</v>
      </c>
      <c r="AS1203" s="292" t="s">
        <v>252</v>
      </c>
      <c r="AT1203" s="292">
        <f>8.39+45.01+1.87+8.7</f>
        <v>63.97</v>
      </c>
      <c r="AU1203" s="292" t="s">
        <v>252</v>
      </c>
      <c r="AV1203" s="292">
        <f>10.76+57.72+2.38+11.16</f>
        <v>82.02</v>
      </c>
      <c r="AW1203" s="292" t="s">
        <v>252</v>
      </c>
      <c r="AX1203" s="292">
        <f t="shared" si="1"/>
        <v>519.902242</v>
      </c>
      <c r="AY1203" s="274">
        <v>0.17263000000000001</v>
      </c>
      <c r="AZ1203" s="312" t="s">
        <v>253</v>
      </c>
      <c r="BA1203" s="312" t="s">
        <v>254</v>
      </c>
      <c r="BB1203" s="312" t="s">
        <v>1430</v>
      </c>
      <c r="BC1203" s="336" t="s">
        <v>255</v>
      </c>
    </row>
    <row r="1204" spans="1:55" ht="16.350000000000001" customHeight="1" outlineLevel="1">
      <c r="A1204" s="92">
        <v>1194</v>
      </c>
      <c r="B1204" s="99" t="s">
        <v>883</v>
      </c>
      <c r="C1204" s="122" t="s">
        <v>884</v>
      </c>
      <c r="D1204" s="161">
        <v>22</v>
      </c>
      <c r="E1204" s="123" t="s">
        <v>737</v>
      </c>
      <c r="F1204" s="124" t="s">
        <v>1234</v>
      </c>
      <c r="G1204" s="133" t="s">
        <v>247</v>
      </c>
      <c r="H1204" s="335"/>
      <c r="I1204" s="335"/>
      <c r="J1204" s="319"/>
      <c r="K1204" s="319"/>
      <c r="L1204" s="335"/>
      <c r="M1204" s="335"/>
      <c r="N1204" s="315"/>
      <c r="O1204" s="315"/>
      <c r="P1204" s="315"/>
      <c r="Q1204" s="319"/>
      <c r="R1204" s="276" t="s">
        <v>240</v>
      </c>
      <c r="S1204" s="320"/>
      <c r="T1204" s="276" t="s">
        <v>240</v>
      </c>
      <c r="U1204" s="335"/>
      <c r="V1204" s="276" t="s">
        <v>240</v>
      </c>
      <c r="W1204" s="190"/>
      <c r="X1204" s="294"/>
      <c r="Y1204" s="296"/>
      <c r="Z1204" s="298"/>
      <c r="AA1204" s="300"/>
      <c r="AB1204" s="294"/>
      <c r="AC1204" s="300"/>
      <c r="AD1204" s="302"/>
      <c r="AE1204" s="294"/>
      <c r="AF1204" s="294"/>
      <c r="AG1204" s="294"/>
      <c r="AH1204" s="294"/>
      <c r="AI1204" s="294"/>
      <c r="AJ1204" s="294"/>
      <c r="AK1204" s="294"/>
      <c r="AL1204" s="294"/>
      <c r="AM1204" s="294"/>
      <c r="AN1204" s="294"/>
      <c r="AO1204" s="294"/>
      <c r="AP1204" s="294"/>
      <c r="AQ1204" s="294"/>
      <c r="AR1204" s="294"/>
      <c r="AS1204" s="294"/>
      <c r="AT1204" s="294"/>
      <c r="AU1204" s="294"/>
      <c r="AV1204" s="294"/>
      <c r="AW1204" s="294"/>
      <c r="AX1204" s="294">
        <f t="shared" si="1"/>
        <v>0</v>
      </c>
      <c r="AY1204" s="274">
        <v>3.4119999999999998E-2</v>
      </c>
      <c r="AZ1204" s="312"/>
      <c r="BA1204" s="312"/>
      <c r="BB1204" s="312"/>
      <c r="BC1204" s="337"/>
    </row>
    <row r="1205" spans="1:55" ht="16.350000000000001" customHeight="1" outlineLevel="1">
      <c r="A1205" s="92">
        <v>1195</v>
      </c>
      <c r="B1205" s="99" t="s">
        <v>885</v>
      </c>
      <c r="C1205" s="122" t="s">
        <v>884</v>
      </c>
      <c r="D1205" s="161">
        <v>26</v>
      </c>
      <c r="E1205" s="123" t="s">
        <v>734</v>
      </c>
      <c r="F1205" s="124" t="s">
        <v>1234</v>
      </c>
      <c r="G1205" s="133" t="s">
        <v>247</v>
      </c>
      <c r="H1205" s="134" t="s">
        <v>1424</v>
      </c>
      <c r="I1205" s="134" t="s">
        <v>1426</v>
      </c>
      <c r="J1205" s="134" t="s">
        <v>139</v>
      </c>
      <c r="K1205" s="124" t="s">
        <v>140</v>
      </c>
      <c r="L1205" s="174">
        <v>1</v>
      </c>
      <c r="M1205" s="174" t="s">
        <v>250</v>
      </c>
      <c r="N1205" s="184">
        <v>80</v>
      </c>
      <c r="O1205" s="184">
        <v>4.0999999999999996</v>
      </c>
      <c r="P1205" s="184" t="s">
        <v>253</v>
      </c>
      <c r="Q1205" s="174" t="s">
        <v>240</v>
      </c>
      <c r="R1205" s="276" t="s">
        <v>240</v>
      </c>
      <c r="S1205" s="276" t="s">
        <v>233</v>
      </c>
      <c r="T1205" s="276" t="s">
        <v>240</v>
      </c>
      <c r="U1205" s="174" t="s">
        <v>1428</v>
      </c>
      <c r="V1205" s="276" t="s">
        <v>240</v>
      </c>
      <c r="W1205" s="130"/>
      <c r="X1205" s="274">
        <v>430.49</v>
      </c>
      <c r="Y1205" s="126">
        <v>618.65</v>
      </c>
      <c r="Z1205" s="127">
        <f>16.86+67.44</f>
        <v>84.3</v>
      </c>
      <c r="AA1205" s="128" t="s">
        <v>252</v>
      </c>
      <c r="AB1205" s="274">
        <f>14.28+57.12</f>
        <v>71.399999999999991</v>
      </c>
      <c r="AC1205" s="128" t="s">
        <v>252</v>
      </c>
      <c r="AD1205" s="129">
        <v>76.347868000000005</v>
      </c>
      <c r="AE1205" s="274" t="s">
        <v>252</v>
      </c>
      <c r="AF1205" s="274">
        <f>7.38+29.52</f>
        <v>36.9</v>
      </c>
      <c r="AG1205" s="274" t="s">
        <v>252</v>
      </c>
      <c r="AH1205" s="274">
        <f>3.07+12.23</f>
        <v>15.3</v>
      </c>
      <c r="AI1205" s="274" t="s">
        <v>252</v>
      </c>
      <c r="AJ1205" s="274">
        <v>0</v>
      </c>
      <c r="AK1205" s="274">
        <v>0</v>
      </c>
      <c r="AL1205" s="274">
        <v>0</v>
      </c>
      <c r="AM1205" s="274">
        <v>0</v>
      </c>
      <c r="AN1205" s="274">
        <v>0</v>
      </c>
      <c r="AO1205" s="274">
        <v>0</v>
      </c>
      <c r="AP1205" s="274">
        <v>0</v>
      </c>
      <c r="AQ1205" s="274">
        <v>0</v>
      </c>
      <c r="AR1205" s="274">
        <f>7.56+30.22</f>
        <v>37.78</v>
      </c>
      <c r="AS1205" s="274" t="s">
        <v>252</v>
      </c>
      <c r="AT1205" s="274">
        <f>8.93+35.67</f>
        <v>44.6</v>
      </c>
      <c r="AU1205" s="274" t="s">
        <v>252</v>
      </c>
      <c r="AV1205" s="274">
        <f>13.04+52.19</f>
        <v>65.22999999999999</v>
      </c>
      <c r="AW1205" s="274" t="s">
        <v>252</v>
      </c>
      <c r="AX1205" s="274">
        <f t="shared" si="1"/>
        <v>431.85786800000005</v>
      </c>
      <c r="AY1205" s="274">
        <v>0.21579000000000001</v>
      </c>
      <c r="AZ1205" s="181" t="s">
        <v>253</v>
      </c>
      <c r="BA1205" s="181" t="s">
        <v>254</v>
      </c>
      <c r="BB1205" s="181" t="s">
        <v>1430</v>
      </c>
      <c r="BC1205" s="125" t="s">
        <v>255</v>
      </c>
    </row>
    <row r="1206" spans="1:55" ht="16.350000000000001" customHeight="1" outlineLevel="1">
      <c r="A1206" s="92">
        <v>1196</v>
      </c>
      <c r="B1206" s="99" t="s">
        <v>886</v>
      </c>
      <c r="C1206" s="122" t="s">
        <v>884</v>
      </c>
      <c r="D1206" s="161">
        <v>3</v>
      </c>
      <c r="E1206" s="123" t="s">
        <v>734</v>
      </c>
      <c r="F1206" s="124" t="s">
        <v>1425</v>
      </c>
      <c r="G1206" s="133" t="s">
        <v>281</v>
      </c>
      <c r="H1206" s="334" t="s">
        <v>1424</v>
      </c>
      <c r="I1206" s="334" t="s">
        <v>1426</v>
      </c>
      <c r="J1206" s="317" t="s">
        <v>139</v>
      </c>
      <c r="K1206" s="317" t="s">
        <v>140</v>
      </c>
      <c r="L1206" s="334">
        <v>1</v>
      </c>
      <c r="M1206" s="334" t="s">
        <v>250</v>
      </c>
      <c r="N1206" s="315">
        <v>100</v>
      </c>
      <c r="O1206" s="315">
        <v>6</v>
      </c>
      <c r="P1206" s="315" t="s">
        <v>1429</v>
      </c>
      <c r="Q1206" s="317" t="s">
        <v>240</v>
      </c>
      <c r="R1206" s="320" t="s">
        <v>240</v>
      </c>
      <c r="S1206" s="320" t="s">
        <v>233</v>
      </c>
      <c r="T1206" s="320" t="s">
        <v>240</v>
      </c>
      <c r="U1206" s="334" t="s">
        <v>1427</v>
      </c>
      <c r="V1206" s="320" t="s">
        <v>240</v>
      </c>
      <c r="W1206" s="189"/>
      <c r="X1206" s="292">
        <v>791.5</v>
      </c>
      <c r="Y1206" s="295">
        <v>839.79</v>
      </c>
      <c r="Z1206" s="297">
        <f>38.88+166.3+20.4</f>
        <v>225.58</v>
      </c>
      <c r="AA1206" s="299" t="s">
        <v>252</v>
      </c>
      <c r="AB1206" s="292">
        <f>101.72+12.5</f>
        <v>114.22</v>
      </c>
      <c r="AC1206" s="299" t="s">
        <v>252</v>
      </c>
      <c r="AD1206" s="301">
        <f>124.02+15.2</f>
        <v>139.22</v>
      </c>
      <c r="AE1206" s="292" t="s">
        <v>252</v>
      </c>
      <c r="AF1206" s="292">
        <f>82.12+10.1</f>
        <v>92.22</v>
      </c>
      <c r="AG1206" s="292" t="s">
        <v>252</v>
      </c>
      <c r="AH1206" s="292">
        <f>27.52+3.4</f>
        <v>30.919999999999998</v>
      </c>
      <c r="AI1206" s="292" t="s">
        <v>252</v>
      </c>
      <c r="AJ1206" s="292">
        <v>0</v>
      </c>
      <c r="AK1206" s="292">
        <v>0</v>
      </c>
      <c r="AL1206" s="292">
        <v>0</v>
      </c>
      <c r="AM1206" s="292">
        <v>0</v>
      </c>
      <c r="AN1206" s="292">
        <v>0</v>
      </c>
      <c r="AO1206" s="292">
        <v>0</v>
      </c>
      <c r="AP1206" s="292">
        <v>0</v>
      </c>
      <c r="AQ1206" s="292">
        <v>0</v>
      </c>
      <c r="AR1206" s="292">
        <f>91.9+11.3</f>
        <v>103.2</v>
      </c>
      <c r="AS1206" s="292" t="s">
        <v>252</v>
      </c>
      <c r="AT1206" s="292">
        <f>69.02+8.5</f>
        <v>77.52</v>
      </c>
      <c r="AU1206" s="292" t="s">
        <v>252</v>
      </c>
      <c r="AV1206" s="292">
        <f>108.8+25.5</f>
        <v>134.30000000000001</v>
      </c>
      <c r="AW1206" s="292" t="s">
        <v>252</v>
      </c>
      <c r="AX1206" s="292">
        <f t="shared" si="1"/>
        <v>917.18000000000006</v>
      </c>
      <c r="AY1206" s="338">
        <f>0.042+0.005+0.009+0.003+0.026+0.295</f>
        <v>0.38</v>
      </c>
      <c r="AZ1206" s="312" t="s">
        <v>1429</v>
      </c>
      <c r="BA1206" s="312" t="s">
        <v>254</v>
      </c>
      <c r="BB1206" s="312">
        <v>1</v>
      </c>
      <c r="BC1206" s="336" t="s">
        <v>255</v>
      </c>
    </row>
    <row r="1207" spans="1:55" ht="16.350000000000001" customHeight="1" outlineLevel="1">
      <c r="A1207" s="92">
        <v>1197</v>
      </c>
      <c r="B1207" s="99" t="s">
        <v>887</v>
      </c>
      <c r="C1207" s="122" t="s">
        <v>884</v>
      </c>
      <c r="D1207" s="161">
        <v>3</v>
      </c>
      <c r="E1207" s="123" t="s">
        <v>812</v>
      </c>
      <c r="F1207" s="124" t="s">
        <v>1425</v>
      </c>
      <c r="G1207" s="133" t="s">
        <v>281</v>
      </c>
      <c r="H1207" s="335"/>
      <c r="I1207" s="335"/>
      <c r="J1207" s="319"/>
      <c r="K1207" s="319"/>
      <c r="L1207" s="335"/>
      <c r="M1207" s="335"/>
      <c r="N1207" s="315"/>
      <c r="O1207" s="315"/>
      <c r="P1207" s="315"/>
      <c r="Q1207" s="319"/>
      <c r="R1207" s="320"/>
      <c r="S1207" s="320"/>
      <c r="T1207" s="320"/>
      <c r="U1207" s="335"/>
      <c r="V1207" s="320"/>
      <c r="W1207" s="190"/>
      <c r="X1207" s="294"/>
      <c r="Y1207" s="296"/>
      <c r="Z1207" s="298"/>
      <c r="AA1207" s="300"/>
      <c r="AB1207" s="294"/>
      <c r="AC1207" s="300"/>
      <c r="AD1207" s="302"/>
      <c r="AE1207" s="294"/>
      <c r="AF1207" s="294"/>
      <c r="AG1207" s="294"/>
      <c r="AH1207" s="294"/>
      <c r="AI1207" s="294"/>
      <c r="AJ1207" s="294"/>
      <c r="AK1207" s="294"/>
      <c r="AL1207" s="294"/>
      <c r="AM1207" s="294"/>
      <c r="AN1207" s="294"/>
      <c r="AO1207" s="294"/>
      <c r="AP1207" s="294"/>
      <c r="AQ1207" s="294"/>
      <c r="AR1207" s="294"/>
      <c r="AS1207" s="294"/>
      <c r="AT1207" s="294"/>
      <c r="AU1207" s="294"/>
      <c r="AV1207" s="294"/>
      <c r="AW1207" s="294"/>
      <c r="AX1207" s="294">
        <f t="shared" si="1"/>
        <v>0</v>
      </c>
      <c r="AY1207" s="339"/>
      <c r="AZ1207" s="312"/>
      <c r="BA1207" s="312"/>
      <c r="BB1207" s="312"/>
      <c r="BC1207" s="337"/>
    </row>
    <row r="1208" spans="1:55" ht="16.350000000000001" customHeight="1" outlineLevel="1">
      <c r="A1208" s="92">
        <v>1198</v>
      </c>
      <c r="B1208" s="99" t="s">
        <v>888</v>
      </c>
      <c r="C1208" s="122" t="s">
        <v>884</v>
      </c>
      <c r="D1208" s="161">
        <v>5</v>
      </c>
      <c r="E1208" s="123" t="s">
        <v>734</v>
      </c>
      <c r="F1208" s="124" t="s">
        <v>1234</v>
      </c>
      <c r="G1208" s="133" t="s">
        <v>281</v>
      </c>
      <c r="H1208" s="334" t="s">
        <v>1424</v>
      </c>
      <c r="I1208" s="334" t="s">
        <v>1426</v>
      </c>
      <c r="J1208" s="317" t="s">
        <v>139</v>
      </c>
      <c r="K1208" s="317" t="s">
        <v>140</v>
      </c>
      <c r="L1208" s="334">
        <v>0</v>
      </c>
      <c r="M1208" s="334" t="s">
        <v>250</v>
      </c>
      <c r="N1208" s="315">
        <v>125</v>
      </c>
      <c r="O1208" s="315">
        <v>5.4980000000000002</v>
      </c>
      <c r="P1208" s="315" t="s">
        <v>253</v>
      </c>
      <c r="Q1208" s="317" t="s">
        <v>240</v>
      </c>
      <c r="R1208" s="320" t="s">
        <v>240</v>
      </c>
      <c r="S1208" s="320" t="s">
        <v>240</v>
      </c>
      <c r="T1208" s="320" t="s">
        <v>233</v>
      </c>
      <c r="U1208" s="334" t="s">
        <v>1428</v>
      </c>
      <c r="V1208" s="320" t="s">
        <v>240</v>
      </c>
      <c r="W1208" s="189"/>
      <c r="X1208" s="292">
        <v>1481.01</v>
      </c>
      <c r="Y1208" s="295">
        <v>1958.82</v>
      </c>
      <c r="Z1208" s="297">
        <f>183.57+111.26</f>
        <v>294.83</v>
      </c>
      <c r="AA1208" s="299" t="s">
        <v>259</v>
      </c>
      <c r="AB1208" s="292">
        <f>183.57+111.26</f>
        <v>294.83</v>
      </c>
      <c r="AC1208" s="299" t="s">
        <v>259</v>
      </c>
      <c r="AD1208" s="301">
        <v>72.347868000000005</v>
      </c>
      <c r="AE1208" s="292" t="s">
        <v>259</v>
      </c>
      <c r="AF1208" s="292">
        <f>183.57+111.26</f>
        <v>294.83</v>
      </c>
      <c r="AG1208" s="292" t="s">
        <v>259</v>
      </c>
      <c r="AH1208" s="292">
        <f>53.29+32.3</f>
        <v>85.59</v>
      </c>
      <c r="AI1208" s="292" t="s">
        <v>259</v>
      </c>
      <c r="AJ1208" s="292">
        <v>0</v>
      </c>
      <c r="AK1208" s="292">
        <v>0</v>
      </c>
      <c r="AL1208" s="292">
        <v>0</v>
      </c>
      <c r="AM1208" s="292">
        <v>0</v>
      </c>
      <c r="AN1208" s="292">
        <v>0</v>
      </c>
      <c r="AO1208" s="292">
        <v>0</v>
      </c>
      <c r="AP1208" s="292">
        <f>42.86+25.98</f>
        <v>68.84</v>
      </c>
      <c r="AQ1208" s="292" t="s">
        <v>259</v>
      </c>
      <c r="AR1208" s="292">
        <f>183.69+111.34</f>
        <v>295.02999999999997</v>
      </c>
      <c r="AS1208" s="292" t="s">
        <v>259</v>
      </c>
      <c r="AT1208" s="292">
        <f>183.69+111.34</f>
        <v>295.02999999999997</v>
      </c>
      <c r="AU1208" s="292" t="s">
        <v>259</v>
      </c>
      <c r="AV1208" s="292">
        <f>183.69+111.34</f>
        <v>295.02999999999997</v>
      </c>
      <c r="AW1208" s="292" t="s">
        <v>259</v>
      </c>
      <c r="AX1208" s="292">
        <f t="shared" si="1"/>
        <v>1996.3578679999996</v>
      </c>
      <c r="AY1208" s="338">
        <v>0.79290000000000005</v>
      </c>
      <c r="AZ1208" s="312" t="s">
        <v>253</v>
      </c>
      <c r="BA1208" s="312" t="s">
        <v>254</v>
      </c>
      <c r="BB1208" s="312" t="s">
        <v>1430</v>
      </c>
      <c r="BC1208" s="336" t="s">
        <v>255</v>
      </c>
    </row>
    <row r="1209" spans="1:55" ht="16.350000000000001" customHeight="1" outlineLevel="1">
      <c r="A1209" s="92">
        <v>1199</v>
      </c>
      <c r="B1209" s="99" t="s">
        <v>889</v>
      </c>
      <c r="C1209" s="122" t="s">
        <v>884</v>
      </c>
      <c r="D1209" s="161">
        <v>5</v>
      </c>
      <c r="E1209" s="123" t="s">
        <v>745</v>
      </c>
      <c r="F1209" s="124" t="s">
        <v>1234</v>
      </c>
      <c r="G1209" s="133" t="s">
        <v>281</v>
      </c>
      <c r="H1209" s="335"/>
      <c r="I1209" s="335"/>
      <c r="J1209" s="319"/>
      <c r="K1209" s="319"/>
      <c r="L1209" s="335"/>
      <c r="M1209" s="335"/>
      <c r="N1209" s="315"/>
      <c r="O1209" s="315"/>
      <c r="P1209" s="315"/>
      <c r="Q1209" s="319"/>
      <c r="R1209" s="320"/>
      <c r="S1209" s="320"/>
      <c r="T1209" s="320"/>
      <c r="U1209" s="335"/>
      <c r="V1209" s="320"/>
      <c r="W1209" s="190"/>
      <c r="X1209" s="294"/>
      <c r="Y1209" s="296"/>
      <c r="Z1209" s="298"/>
      <c r="AA1209" s="300"/>
      <c r="AB1209" s="294"/>
      <c r="AC1209" s="300"/>
      <c r="AD1209" s="302"/>
      <c r="AE1209" s="294"/>
      <c r="AF1209" s="294"/>
      <c r="AG1209" s="294"/>
      <c r="AH1209" s="294"/>
      <c r="AI1209" s="294"/>
      <c r="AJ1209" s="294"/>
      <c r="AK1209" s="294"/>
      <c r="AL1209" s="294"/>
      <c r="AM1209" s="294"/>
      <c r="AN1209" s="294"/>
      <c r="AO1209" s="294"/>
      <c r="AP1209" s="294"/>
      <c r="AQ1209" s="294"/>
      <c r="AR1209" s="294"/>
      <c r="AS1209" s="294"/>
      <c r="AT1209" s="294"/>
      <c r="AU1209" s="294"/>
      <c r="AV1209" s="294"/>
      <c r="AW1209" s="294"/>
      <c r="AX1209" s="294">
        <f t="shared" si="1"/>
        <v>0</v>
      </c>
      <c r="AY1209" s="339"/>
      <c r="AZ1209" s="312"/>
      <c r="BA1209" s="312"/>
      <c r="BB1209" s="312"/>
      <c r="BC1209" s="337"/>
    </row>
    <row r="1210" spans="1:55" ht="16.350000000000001" customHeight="1" outlineLevel="1">
      <c r="A1210" s="92">
        <v>1200</v>
      </c>
      <c r="B1210" s="99" t="s">
        <v>890</v>
      </c>
      <c r="C1210" s="122" t="s">
        <v>884</v>
      </c>
      <c r="D1210" s="161">
        <v>6</v>
      </c>
      <c r="E1210" s="123" t="s">
        <v>734</v>
      </c>
      <c r="F1210" s="124" t="s">
        <v>1425</v>
      </c>
      <c r="G1210" s="133" t="s">
        <v>281</v>
      </c>
      <c r="H1210" s="134" t="s">
        <v>1424</v>
      </c>
      <c r="I1210" s="134" t="s">
        <v>1426</v>
      </c>
      <c r="J1210" s="134" t="s">
        <v>139</v>
      </c>
      <c r="K1210" s="124" t="s">
        <v>140</v>
      </c>
      <c r="L1210" s="174">
        <v>1</v>
      </c>
      <c r="M1210" s="174" t="s">
        <v>250</v>
      </c>
      <c r="N1210" s="184">
        <v>100</v>
      </c>
      <c r="O1210" s="184">
        <v>6</v>
      </c>
      <c r="P1210" s="184" t="s">
        <v>1429</v>
      </c>
      <c r="Q1210" s="174" t="s">
        <v>240</v>
      </c>
      <c r="R1210" s="276" t="s">
        <v>240</v>
      </c>
      <c r="S1210" s="276" t="s">
        <v>233</v>
      </c>
      <c r="T1210" s="276" t="s">
        <v>240</v>
      </c>
      <c r="U1210" s="174" t="s">
        <v>1427</v>
      </c>
      <c r="V1210" s="276" t="s">
        <v>240</v>
      </c>
      <c r="W1210" s="130"/>
      <c r="X1210" s="274">
        <v>612.72</v>
      </c>
      <c r="Y1210" s="126">
        <v>689.16</v>
      </c>
      <c r="Z1210" s="127">
        <f>25.95+113.2+19.3+19.6</f>
        <v>178.05</v>
      </c>
      <c r="AA1210" s="128" t="s">
        <v>252</v>
      </c>
      <c r="AB1210" s="274">
        <f>69.12+11.8+12</f>
        <v>92.92</v>
      </c>
      <c r="AC1210" s="128" t="s">
        <v>252</v>
      </c>
      <c r="AD1210" s="129">
        <v>74.347868000000005</v>
      </c>
      <c r="AE1210" s="274" t="s">
        <v>252</v>
      </c>
      <c r="AF1210" s="274">
        <f>56.02+9.7+9.5</f>
        <v>75.22</v>
      </c>
      <c r="AG1210" s="274" t="s">
        <v>252</v>
      </c>
      <c r="AH1210" s="274">
        <f>18.71+3.2+3.2</f>
        <v>25.11</v>
      </c>
      <c r="AI1210" s="274" t="s">
        <v>252</v>
      </c>
      <c r="AJ1210" s="274">
        <v>0</v>
      </c>
      <c r="AK1210" s="274">
        <v>0</v>
      </c>
      <c r="AL1210" s="274">
        <v>0</v>
      </c>
      <c r="AM1210" s="274">
        <v>0</v>
      </c>
      <c r="AN1210" s="274">
        <v>0</v>
      </c>
      <c r="AO1210" s="274">
        <v>0</v>
      </c>
      <c r="AP1210" s="274">
        <v>0</v>
      </c>
      <c r="AQ1210" s="274">
        <v>0</v>
      </c>
      <c r="AR1210" s="274">
        <f>62.5+10.9+10.7</f>
        <v>84.100000000000009</v>
      </c>
      <c r="AS1210" s="274" t="s">
        <v>252</v>
      </c>
      <c r="AT1210" s="274">
        <f>46.91+8.1+8</f>
        <v>63.01</v>
      </c>
      <c r="AU1210" s="274" t="s">
        <v>252</v>
      </c>
      <c r="AV1210" s="274">
        <f>74.3+12.6</f>
        <v>86.899999999999991</v>
      </c>
      <c r="AW1210" s="274" t="s">
        <v>252</v>
      </c>
      <c r="AX1210" s="274">
        <f t="shared" si="1"/>
        <v>679.65786800000001</v>
      </c>
      <c r="AY1210" s="274">
        <f>0.004+0.035+0.007+0.005+0.005+0.214+0.04</f>
        <v>0.31</v>
      </c>
      <c r="AZ1210" s="181" t="s">
        <v>1429</v>
      </c>
      <c r="BA1210" s="181" t="s">
        <v>254</v>
      </c>
      <c r="BB1210" s="181">
        <v>1</v>
      </c>
      <c r="BC1210" s="125" t="s">
        <v>255</v>
      </c>
    </row>
    <row r="1211" spans="1:55" ht="16.350000000000001" customHeight="1" outlineLevel="1">
      <c r="A1211" s="92">
        <v>1201</v>
      </c>
      <c r="B1211" s="99" t="s">
        <v>891</v>
      </c>
      <c r="C1211" s="122" t="s">
        <v>884</v>
      </c>
      <c r="D1211" s="161">
        <v>8</v>
      </c>
      <c r="E1211" s="123" t="s">
        <v>734</v>
      </c>
      <c r="F1211" s="124" t="s">
        <v>1425</v>
      </c>
      <c r="G1211" s="133" t="s">
        <v>247</v>
      </c>
      <c r="H1211" s="134" t="s">
        <v>1424</v>
      </c>
      <c r="I1211" s="134" t="s">
        <v>1426</v>
      </c>
      <c r="J1211" s="134" t="s">
        <v>139</v>
      </c>
      <c r="K1211" s="124" t="s">
        <v>140</v>
      </c>
      <c r="L1211" s="174">
        <v>1</v>
      </c>
      <c r="M1211" s="174" t="s">
        <v>250</v>
      </c>
      <c r="N1211" s="184">
        <v>89</v>
      </c>
      <c r="O1211" s="184">
        <v>6</v>
      </c>
      <c r="P1211" s="184" t="s">
        <v>1429</v>
      </c>
      <c r="Q1211" s="174" t="s">
        <v>240</v>
      </c>
      <c r="R1211" s="276" t="s">
        <v>240</v>
      </c>
      <c r="S1211" s="276" t="s">
        <v>233</v>
      </c>
      <c r="T1211" s="276" t="s">
        <v>240</v>
      </c>
      <c r="U1211" s="174" t="s">
        <v>1427</v>
      </c>
      <c r="V1211" s="276" t="s">
        <v>233</v>
      </c>
      <c r="W1211" s="130"/>
      <c r="X1211" s="274">
        <v>130.86000000000001</v>
      </c>
      <c r="Y1211" s="126">
        <v>152.19999999999999</v>
      </c>
      <c r="Z1211" s="127">
        <v>30.8</v>
      </c>
      <c r="AA1211" s="128" t="s">
        <v>252</v>
      </c>
      <c r="AB1211" s="274">
        <v>21.01</v>
      </c>
      <c r="AC1211" s="128" t="s">
        <v>252</v>
      </c>
      <c r="AD1211" s="129">
        <v>72.347868000000005</v>
      </c>
      <c r="AE1211" s="274" t="s">
        <v>252</v>
      </c>
      <c r="AF1211" s="274">
        <v>13.4</v>
      </c>
      <c r="AG1211" s="274" t="s">
        <v>252</v>
      </c>
      <c r="AH1211" s="274">
        <v>4.5</v>
      </c>
      <c r="AI1211" s="274" t="s">
        <v>252</v>
      </c>
      <c r="AJ1211" s="274">
        <v>0</v>
      </c>
      <c r="AK1211" s="274">
        <v>0</v>
      </c>
      <c r="AL1211" s="274">
        <v>0</v>
      </c>
      <c r="AM1211" s="274">
        <v>0</v>
      </c>
      <c r="AN1211" s="274">
        <v>0</v>
      </c>
      <c r="AO1211" s="274">
        <v>0</v>
      </c>
      <c r="AP1211" s="274">
        <v>0</v>
      </c>
      <c r="AQ1211" s="274">
        <v>0</v>
      </c>
      <c r="AR1211" s="274">
        <v>22.076021000000001</v>
      </c>
      <c r="AS1211" s="274" t="s">
        <v>252</v>
      </c>
      <c r="AT1211" s="274">
        <v>15.4</v>
      </c>
      <c r="AU1211" s="274" t="s">
        <v>252</v>
      </c>
      <c r="AV1211" s="274">
        <v>22.2</v>
      </c>
      <c r="AW1211" s="274" t="s">
        <v>252</v>
      </c>
      <c r="AX1211" s="274">
        <f t="shared" si="1"/>
        <v>201.733889</v>
      </c>
      <c r="AY1211" s="274">
        <f>0.0671+0.0029</f>
        <v>7.0000000000000007E-2</v>
      </c>
      <c r="AZ1211" s="181" t="s">
        <v>1429</v>
      </c>
      <c r="BA1211" s="181" t="s">
        <v>254</v>
      </c>
      <c r="BB1211" s="181" t="s">
        <v>1430</v>
      </c>
      <c r="BC1211" s="125" t="s">
        <v>255</v>
      </c>
    </row>
    <row r="1212" spans="1:55" ht="16.350000000000001" customHeight="1" outlineLevel="1">
      <c r="A1212" s="92">
        <v>1202</v>
      </c>
      <c r="B1212" s="99" t="s">
        <v>892</v>
      </c>
      <c r="C1212" s="122" t="s">
        <v>884</v>
      </c>
      <c r="D1212" s="161">
        <v>9</v>
      </c>
      <c r="E1212" s="123" t="s">
        <v>734</v>
      </c>
      <c r="F1212" s="124" t="s">
        <v>1425</v>
      </c>
      <c r="G1212" s="133" t="s">
        <v>247</v>
      </c>
      <c r="H1212" s="317" t="s">
        <v>248</v>
      </c>
      <c r="I1212" s="317" t="s">
        <v>1426</v>
      </c>
      <c r="J1212" s="317" t="s">
        <v>139</v>
      </c>
      <c r="K1212" s="317" t="s">
        <v>140</v>
      </c>
      <c r="L1212" s="317">
        <v>1</v>
      </c>
      <c r="M1212" s="317" t="s">
        <v>250</v>
      </c>
      <c r="N1212" s="314">
        <v>89</v>
      </c>
      <c r="O1212" s="314">
        <v>6</v>
      </c>
      <c r="P1212" s="314" t="s">
        <v>1429</v>
      </c>
      <c r="Q1212" s="317" t="s">
        <v>233</v>
      </c>
      <c r="R1212" s="321" t="s">
        <v>240</v>
      </c>
      <c r="S1212" s="321" t="s">
        <v>233</v>
      </c>
      <c r="T1212" s="321" t="s">
        <v>240</v>
      </c>
      <c r="U1212" s="317" t="s">
        <v>1427</v>
      </c>
      <c r="V1212" s="321" t="s">
        <v>240</v>
      </c>
      <c r="W1212" s="165"/>
      <c r="X1212" s="292">
        <v>1306.23</v>
      </c>
      <c r="Y1212" s="295">
        <v>1321.27</v>
      </c>
      <c r="Z1212" s="297">
        <v>237.54641820000001</v>
      </c>
      <c r="AA1212" s="299" t="s">
        <v>252</v>
      </c>
      <c r="AB1212" s="292">
        <v>143.13253499999999</v>
      </c>
      <c r="AC1212" s="299" t="s">
        <v>252</v>
      </c>
      <c r="AD1212" s="301">
        <v>194.356458</v>
      </c>
      <c r="AE1212" s="292" t="s">
        <v>252</v>
      </c>
      <c r="AF1212" s="292">
        <v>84.63373</v>
      </c>
      <c r="AG1212" s="292" t="s">
        <v>252</v>
      </c>
      <c r="AH1212" s="292">
        <v>19.777387000000001</v>
      </c>
      <c r="AI1212" s="292" t="s">
        <v>252</v>
      </c>
      <c r="AJ1212" s="292">
        <v>0</v>
      </c>
      <c r="AK1212" s="292">
        <v>0</v>
      </c>
      <c r="AL1212" s="292">
        <v>0</v>
      </c>
      <c r="AM1212" s="292">
        <v>0</v>
      </c>
      <c r="AN1212" s="292">
        <v>0</v>
      </c>
      <c r="AO1212" s="292">
        <v>0</v>
      </c>
      <c r="AP1212" s="292">
        <v>0</v>
      </c>
      <c r="AQ1212" s="292">
        <v>0</v>
      </c>
      <c r="AR1212" s="292">
        <v>186.57923426279999</v>
      </c>
      <c r="AS1212" s="292" t="s">
        <v>312</v>
      </c>
      <c r="AT1212" s="292">
        <v>126.5865937686</v>
      </c>
      <c r="AU1212" s="292" t="s">
        <v>312</v>
      </c>
      <c r="AV1212" s="292">
        <v>141.9481201104</v>
      </c>
      <c r="AW1212" s="292" t="s">
        <v>312</v>
      </c>
      <c r="AX1212" s="292">
        <f t="shared" si="1"/>
        <v>1134.5604763418</v>
      </c>
      <c r="AY1212" s="338">
        <f>0.3816+0.0284</f>
        <v>0.41</v>
      </c>
      <c r="AZ1212" s="313" t="s">
        <v>1429</v>
      </c>
      <c r="BA1212" s="313" t="s">
        <v>254</v>
      </c>
      <c r="BB1212" s="313">
        <v>1</v>
      </c>
      <c r="BC1212" s="292" t="s">
        <v>255</v>
      </c>
    </row>
    <row r="1213" spans="1:55" ht="16.350000000000001" customHeight="1" outlineLevel="1">
      <c r="A1213" s="92">
        <v>1203</v>
      </c>
      <c r="B1213" s="99" t="s">
        <v>893</v>
      </c>
      <c r="C1213" s="122" t="s">
        <v>884</v>
      </c>
      <c r="D1213" s="161">
        <v>9</v>
      </c>
      <c r="E1213" s="123" t="s">
        <v>737</v>
      </c>
      <c r="F1213" s="124" t="s">
        <v>1425</v>
      </c>
      <c r="G1213" s="133" t="s">
        <v>247</v>
      </c>
      <c r="H1213" s="318"/>
      <c r="I1213" s="318"/>
      <c r="J1213" s="318"/>
      <c r="K1213" s="318"/>
      <c r="L1213" s="318"/>
      <c r="M1213" s="318"/>
      <c r="N1213" s="314"/>
      <c r="O1213" s="314"/>
      <c r="P1213" s="314"/>
      <c r="Q1213" s="318"/>
      <c r="R1213" s="321"/>
      <c r="S1213" s="321"/>
      <c r="T1213" s="321"/>
      <c r="U1213" s="318"/>
      <c r="V1213" s="321"/>
      <c r="W1213" s="169"/>
      <c r="X1213" s="293"/>
      <c r="Y1213" s="308"/>
      <c r="Z1213" s="309"/>
      <c r="AA1213" s="310"/>
      <c r="AB1213" s="293"/>
      <c r="AC1213" s="310"/>
      <c r="AD1213" s="311"/>
      <c r="AE1213" s="293"/>
      <c r="AF1213" s="293"/>
      <c r="AG1213" s="293"/>
      <c r="AH1213" s="293"/>
      <c r="AI1213" s="293"/>
      <c r="AJ1213" s="293"/>
      <c r="AK1213" s="293"/>
      <c r="AL1213" s="293"/>
      <c r="AM1213" s="293"/>
      <c r="AN1213" s="293"/>
      <c r="AO1213" s="293"/>
      <c r="AP1213" s="293"/>
      <c r="AQ1213" s="293"/>
      <c r="AR1213" s="293"/>
      <c r="AS1213" s="293"/>
      <c r="AT1213" s="293"/>
      <c r="AU1213" s="293"/>
      <c r="AV1213" s="293"/>
      <c r="AW1213" s="293"/>
      <c r="AX1213" s="293">
        <f t="shared" si="1"/>
        <v>0</v>
      </c>
      <c r="AY1213" s="366"/>
      <c r="AZ1213" s="313"/>
      <c r="BA1213" s="313"/>
      <c r="BB1213" s="313"/>
      <c r="BC1213" s="293"/>
    </row>
    <row r="1214" spans="1:55" ht="16.350000000000001" customHeight="1" outlineLevel="1">
      <c r="A1214" s="92">
        <v>1204</v>
      </c>
      <c r="B1214" s="99" t="s">
        <v>894</v>
      </c>
      <c r="C1214" s="122" t="s">
        <v>884</v>
      </c>
      <c r="D1214" s="161">
        <v>9</v>
      </c>
      <c r="E1214" s="123" t="s">
        <v>745</v>
      </c>
      <c r="F1214" s="124" t="s">
        <v>1425</v>
      </c>
      <c r="G1214" s="133" t="s">
        <v>247</v>
      </c>
      <c r="H1214" s="319"/>
      <c r="I1214" s="319"/>
      <c r="J1214" s="319"/>
      <c r="K1214" s="319"/>
      <c r="L1214" s="319"/>
      <c r="M1214" s="319"/>
      <c r="N1214" s="314"/>
      <c r="O1214" s="314"/>
      <c r="P1214" s="314"/>
      <c r="Q1214" s="319"/>
      <c r="R1214" s="321"/>
      <c r="S1214" s="321"/>
      <c r="T1214" s="321"/>
      <c r="U1214" s="319"/>
      <c r="V1214" s="321"/>
      <c r="W1214" s="166"/>
      <c r="X1214" s="294"/>
      <c r="Y1214" s="296"/>
      <c r="Z1214" s="298"/>
      <c r="AA1214" s="300"/>
      <c r="AB1214" s="294"/>
      <c r="AC1214" s="300"/>
      <c r="AD1214" s="302"/>
      <c r="AE1214" s="294"/>
      <c r="AF1214" s="294"/>
      <c r="AG1214" s="294"/>
      <c r="AH1214" s="294"/>
      <c r="AI1214" s="294"/>
      <c r="AJ1214" s="294"/>
      <c r="AK1214" s="294"/>
      <c r="AL1214" s="294"/>
      <c r="AM1214" s="294"/>
      <c r="AN1214" s="294"/>
      <c r="AO1214" s="294"/>
      <c r="AP1214" s="294"/>
      <c r="AQ1214" s="294"/>
      <c r="AR1214" s="294"/>
      <c r="AS1214" s="294"/>
      <c r="AT1214" s="294"/>
      <c r="AU1214" s="294"/>
      <c r="AV1214" s="294"/>
      <c r="AW1214" s="294"/>
      <c r="AX1214" s="294">
        <f t="shared" si="1"/>
        <v>0</v>
      </c>
      <c r="AY1214" s="339"/>
      <c r="AZ1214" s="313"/>
      <c r="BA1214" s="313"/>
      <c r="BB1214" s="313"/>
      <c r="BC1214" s="294"/>
    </row>
    <row r="1215" spans="1:55" ht="16.350000000000001" customHeight="1" outlineLevel="1">
      <c r="A1215" s="92">
        <v>1205</v>
      </c>
      <c r="B1215" s="99" t="s">
        <v>895</v>
      </c>
      <c r="C1215" s="122" t="s">
        <v>901</v>
      </c>
      <c r="D1215" s="161" t="s">
        <v>163</v>
      </c>
      <c r="E1215" s="123" t="s">
        <v>734</v>
      </c>
      <c r="F1215" s="124" t="s">
        <v>1425</v>
      </c>
      <c r="G1215" s="133" t="s">
        <v>281</v>
      </c>
      <c r="H1215" s="134" t="s">
        <v>248</v>
      </c>
      <c r="I1215" s="134" t="s">
        <v>1426</v>
      </c>
      <c r="J1215" s="134" t="s">
        <v>139</v>
      </c>
      <c r="K1215" s="124" t="s">
        <v>140</v>
      </c>
      <c r="L1215" s="174">
        <v>1</v>
      </c>
      <c r="M1215" s="174" t="s">
        <v>250</v>
      </c>
      <c r="N1215" s="184">
        <v>89</v>
      </c>
      <c r="O1215" s="184">
        <v>6</v>
      </c>
      <c r="P1215" s="184" t="s">
        <v>1429</v>
      </c>
      <c r="Q1215" s="174" t="s">
        <v>233</v>
      </c>
      <c r="R1215" s="276" t="s">
        <v>240</v>
      </c>
      <c r="S1215" s="276" t="s">
        <v>233</v>
      </c>
      <c r="T1215" s="276" t="s">
        <v>240</v>
      </c>
      <c r="U1215" s="174" t="s">
        <v>1427</v>
      </c>
      <c r="V1215" s="276" t="s">
        <v>240</v>
      </c>
      <c r="W1215" s="130"/>
      <c r="X1215" s="125">
        <v>722.34</v>
      </c>
      <c r="Y1215" s="126">
        <v>676.2</v>
      </c>
      <c r="Z1215" s="127">
        <v>85.094352000000001</v>
      </c>
      <c r="AA1215" s="128" t="s">
        <v>252</v>
      </c>
      <c r="AB1215" s="125">
        <v>61.564860000000003</v>
      </c>
      <c r="AC1215" s="128" t="s">
        <v>252</v>
      </c>
      <c r="AD1215" s="129">
        <v>88.821899999999999</v>
      </c>
      <c r="AE1215" s="125" t="s">
        <v>252</v>
      </c>
      <c r="AF1215" s="125">
        <v>45.870612000000001</v>
      </c>
      <c r="AG1215" s="125" t="s">
        <v>252</v>
      </c>
      <c r="AH1215" s="125">
        <v>12.125876</v>
      </c>
      <c r="AI1215" s="125" t="s">
        <v>252</v>
      </c>
      <c r="AJ1215" s="125">
        <v>0</v>
      </c>
      <c r="AK1215" s="125">
        <v>0</v>
      </c>
      <c r="AL1215" s="125">
        <v>0</v>
      </c>
      <c r="AM1215" s="125">
        <v>0</v>
      </c>
      <c r="AN1215" s="125">
        <v>0</v>
      </c>
      <c r="AO1215" s="125">
        <v>0</v>
      </c>
      <c r="AP1215" s="125">
        <v>0</v>
      </c>
      <c r="AQ1215" s="125">
        <v>0</v>
      </c>
      <c r="AR1215" s="125">
        <v>53.334060000000008</v>
      </c>
      <c r="AS1215" s="125" t="s">
        <v>252</v>
      </c>
      <c r="AT1215" s="125">
        <v>41.012028000000001</v>
      </c>
      <c r="AU1215" s="125" t="s">
        <v>252</v>
      </c>
      <c r="AV1215" s="125">
        <v>66.706032000000008</v>
      </c>
      <c r="AW1215" s="125" t="s">
        <v>252</v>
      </c>
      <c r="AX1215" s="125">
        <f t="shared" si="1"/>
        <v>454.52972</v>
      </c>
      <c r="AY1215" s="125">
        <f>0.0037+0.0006+0.0029+0.1928</f>
        <v>0.2</v>
      </c>
      <c r="AZ1215" s="181" t="s">
        <v>1429</v>
      </c>
      <c r="BA1215" s="181" t="s">
        <v>254</v>
      </c>
      <c r="BB1215" s="181">
        <v>1</v>
      </c>
      <c r="BC1215" s="125" t="s">
        <v>255</v>
      </c>
    </row>
    <row r="1216" spans="1:55" ht="16.350000000000001" customHeight="1" outlineLevel="1">
      <c r="A1216" s="92">
        <v>1206</v>
      </c>
      <c r="B1216" s="99" t="s">
        <v>896</v>
      </c>
      <c r="C1216" s="122" t="s">
        <v>901</v>
      </c>
      <c r="D1216" s="161" t="s">
        <v>164</v>
      </c>
      <c r="E1216" s="123" t="s">
        <v>734</v>
      </c>
      <c r="F1216" s="124" t="s">
        <v>1425</v>
      </c>
      <c r="G1216" s="133" t="s">
        <v>281</v>
      </c>
      <c r="H1216" s="134" t="s">
        <v>248</v>
      </c>
      <c r="I1216" s="134" t="s">
        <v>1426</v>
      </c>
      <c r="J1216" s="134" t="s">
        <v>139</v>
      </c>
      <c r="K1216" s="124" t="s">
        <v>140</v>
      </c>
      <c r="L1216" s="174">
        <v>1</v>
      </c>
      <c r="M1216" s="174" t="s">
        <v>250</v>
      </c>
      <c r="N1216" s="184">
        <v>80</v>
      </c>
      <c r="O1216" s="184">
        <v>6</v>
      </c>
      <c r="P1216" s="184" t="s">
        <v>1429</v>
      </c>
      <c r="Q1216" s="174" t="s">
        <v>233</v>
      </c>
      <c r="R1216" s="276" t="s">
        <v>240</v>
      </c>
      <c r="S1216" s="276" t="s">
        <v>233</v>
      </c>
      <c r="T1216" s="276" t="s">
        <v>240</v>
      </c>
      <c r="U1216" s="174" t="s">
        <v>1427</v>
      </c>
      <c r="V1216" s="276" t="s">
        <v>240</v>
      </c>
      <c r="W1216" s="130"/>
      <c r="X1216" s="125">
        <v>827.24</v>
      </c>
      <c r="Y1216" s="126">
        <v>811.35</v>
      </c>
      <c r="Z1216" s="127">
        <v>125.02124459999999</v>
      </c>
      <c r="AA1216" s="128" t="s">
        <v>252</v>
      </c>
      <c r="AB1216" s="125">
        <v>88.732124999999996</v>
      </c>
      <c r="AC1216" s="128" t="s">
        <v>252</v>
      </c>
      <c r="AD1216" s="129">
        <v>125.358192</v>
      </c>
      <c r="AE1216" s="125" t="s">
        <v>252</v>
      </c>
      <c r="AF1216" s="125">
        <v>70.948443999999995</v>
      </c>
      <c r="AG1216" s="125" t="s">
        <v>252</v>
      </c>
      <c r="AH1216" s="125">
        <v>24.994011</v>
      </c>
      <c r="AI1216" s="125" t="s">
        <v>252</v>
      </c>
      <c r="AJ1216" s="125">
        <v>0</v>
      </c>
      <c r="AK1216" s="125">
        <v>0</v>
      </c>
      <c r="AL1216" s="125">
        <v>0</v>
      </c>
      <c r="AM1216" s="125">
        <v>0</v>
      </c>
      <c r="AN1216" s="125">
        <v>0</v>
      </c>
      <c r="AO1216" s="125">
        <v>0</v>
      </c>
      <c r="AP1216" s="125">
        <v>0</v>
      </c>
      <c r="AQ1216" s="125">
        <v>0</v>
      </c>
      <c r="AR1216" s="125">
        <v>75.358224000000007</v>
      </c>
      <c r="AS1216" s="125" t="s">
        <v>252</v>
      </c>
      <c r="AT1216" s="125">
        <v>54.580095000000007</v>
      </c>
      <c r="AU1216" s="125" t="s">
        <v>252</v>
      </c>
      <c r="AV1216" s="125">
        <v>81.163296000000003</v>
      </c>
      <c r="AW1216" s="125" t="s">
        <v>252</v>
      </c>
      <c r="AX1216" s="125">
        <f t="shared" si="1"/>
        <v>646.15563159999988</v>
      </c>
      <c r="AY1216" s="125">
        <f>0.26</f>
        <v>0.26</v>
      </c>
      <c r="AZ1216" s="181" t="s">
        <v>1429</v>
      </c>
      <c r="BA1216" s="181" t="s">
        <v>254</v>
      </c>
      <c r="BB1216" s="181">
        <v>1</v>
      </c>
      <c r="BC1216" s="125" t="s">
        <v>255</v>
      </c>
    </row>
    <row r="1217" spans="1:55" ht="16.350000000000001" customHeight="1" outlineLevel="1">
      <c r="A1217" s="92">
        <v>1207</v>
      </c>
      <c r="B1217" s="99" t="s">
        <v>897</v>
      </c>
      <c r="C1217" s="122" t="s">
        <v>901</v>
      </c>
      <c r="D1217" s="161" t="s">
        <v>165</v>
      </c>
      <c r="E1217" s="123" t="s">
        <v>734</v>
      </c>
      <c r="F1217" s="124" t="s">
        <v>1425</v>
      </c>
      <c r="G1217" s="133" t="s">
        <v>281</v>
      </c>
      <c r="H1217" s="134" t="s">
        <v>248</v>
      </c>
      <c r="I1217" s="134" t="s">
        <v>1426</v>
      </c>
      <c r="J1217" s="134" t="s">
        <v>139</v>
      </c>
      <c r="K1217" s="124" t="s">
        <v>140</v>
      </c>
      <c r="L1217" s="174">
        <v>1</v>
      </c>
      <c r="M1217" s="174" t="s">
        <v>250</v>
      </c>
      <c r="N1217" s="184">
        <v>89</v>
      </c>
      <c r="O1217" s="184">
        <v>6</v>
      </c>
      <c r="P1217" s="184" t="s">
        <v>1429</v>
      </c>
      <c r="Q1217" s="174" t="s">
        <v>233</v>
      </c>
      <c r="R1217" s="276" t="s">
        <v>240</v>
      </c>
      <c r="S1217" s="276" t="s">
        <v>233</v>
      </c>
      <c r="T1217" s="276" t="s">
        <v>240</v>
      </c>
      <c r="U1217" s="174" t="s">
        <v>1427</v>
      </c>
      <c r="V1217" s="276" t="s">
        <v>240</v>
      </c>
      <c r="W1217" s="130"/>
      <c r="X1217" s="125">
        <v>590.08000000000004</v>
      </c>
      <c r="Y1217" s="126">
        <v>549.84</v>
      </c>
      <c r="Z1217" s="127">
        <v>69.320764799999992</v>
      </c>
      <c r="AA1217" s="128" t="s">
        <v>252</v>
      </c>
      <c r="AB1217" s="125">
        <v>50.03586</v>
      </c>
      <c r="AC1217" s="128" t="s">
        <v>252</v>
      </c>
      <c r="AD1217" s="129">
        <v>72.347868000000005</v>
      </c>
      <c r="AE1217" s="125" t="s">
        <v>252</v>
      </c>
      <c r="AF1217" s="125">
        <v>37.324225999999996</v>
      </c>
      <c r="AG1217" s="125" t="s">
        <v>252</v>
      </c>
      <c r="AH1217" s="125">
        <v>9.8089180000000002</v>
      </c>
      <c r="AI1217" s="125" t="s">
        <v>252</v>
      </c>
      <c r="AJ1217" s="125">
        <v>0</v>
      </c>
      <c r="AK1217" s="125">
        <v>0</v>
      </c>
      <c r="AL1217" s="125">
        <v>0</v>
      </c>
      <c r="AM1217" s="125">
        <v>0</v>
      </c>
      <c r="AN1217" s="125">
        <v>0</v>
      </c>
      <c r="AO1217" s="125">
        <v>0</v>
      </c>
      <c r="AP1217" s="125">
        <v>0</v>
      </c>
      <c r="AQ1217" s="125">
        <v>0</v>
      </c>
      <c r="AR1217" s="125">
        <v>43.447151999999996</v>
      </c>
      <c r="AS1217" s="125" t="s">
        <v>252</v>
      </c>
      <c r="AT1217" s="125">
        <v>33.355817999999999</v>
      </c>
      <c r="AU1217" s="125" t="s">
        <v>252</v>
      </c>
      <c r="AV1217" s="125">
        <v>54.333072000000008</v>
      </c>
      <c r="AW1217" s="125" t="s">
        <v>252</v>
      </c>
      <c r="AX1217" s="125">
        <f t="shared" si="1"/>
        <v>369.97367880000002</v>
      </c>
      <c r="AY1217" s="125">
        <f>0.0008+0.0128+0.0038+0.1426</f>
        <v>0.16</v>
      </c>
      <c r="AZ1217" s="181" t="s">
        <v>1429</v>
      </c>
      <c r="BA1217" s="181" t="s">
        <v>254</v>
      </c>
      <c r="BB1217" s="181">
        <v>1</v>
      </c>
      <c r="BC1217" s="125" t="s">
        <v>255</v>
      </c>
    </row>
    <row r="1218" spans="1:55" ht="16.350000000000001" customHeight="1" outlineLevel="1">
      <c r="A1218" s="92">
        <v>1208</v>
      </c>
      <c r="B1218" s="99" t="s">
        <v>900</v>
      </c>
      <c r="C1218" s="122" t="s">
        <v>901</v>
      </c>
      <c r="D1218" s="161" t="s">
        <v>166</v>
      </c>
      <c r="E1218" s="123" t="s">
        <v>734</v>
      </c>
      <c r="F1218" s="124" t="s">
        <v>1425</v>
      </c>
      <c r="G1218" s="133" t="s">
        <v>281</v>
      </c>
      <c r="H1218" s="134" t="s">
        <v>248</v>
      </c>
      <c r="I1218" s="134" t="s">
        <v>1426</v>
      </c>
      <c r="J1218" s="134" t="s">
        <v>139</v>
      </c>
      <c r="K1218" s="124" t="s">
        <v>140</v>
      </c>
      <c r="L1218" s="174">
        <v>1</v>
      </c>
      <c r="M1218" s="174" t="s">
        <v>250</v>
      </c>
      <c r="N1218" s="184">
        <v>89</v>
      </c>
      <c r="O1218" s="184">
        <v>6</v>
      </c>
      <c r="P1218" s="184" t="s">
        <v>1429</v>
      </c>
      <c r="Q1218" s="174" t="s">
        <v>233</v>
      </c>
      <c r="R1218" s="276" t="s">
        <v>240</v>
      </c>
      <c r="S1218" s="276" t="s">
        <v>233</v>
      </c>
      <c r="T1218" s="276" t="s">
        <v>240</v>
      </c>
      <c r="U1218" s="174" t="s">
        <v>1427</v>
      </c>
      <c r="V1218" s="276" t="s">
        <v>240</v>
      </c>
      <c r="W1218" s="130"/>
      <c r="X1218" s="125">
        <v>1191.56</v>
      </c>
      <c r="Y1218" s="126">
        <v>1196.78</v>
      </c>
      <c r="Z1218" s="127">
        <v>197.16119220000002</v>
      </c>
      <c r="AA1218" s="128" t="s">
        <v>252</v>
      </c>
      <c r="AB1218" s="125">
        <v>123.43441499999999</v>
      </c>
      <c r="AC1218" s="128" t="s">
        <v>252</v>
      </c>
      <c r="AD1218" s="129">
        <v>174.444444</v>
      </c>
      <c r="AE1218" s="125" t="s">
        <v>252</v>
      </c>
      <c r="AF1218" s="125">
        <v>103.75043799999999</v>
      </c>
      <c r="AG1218" s="125" t="s">
        <v>252</v>
      </c>
      <c r="AH1218" s="125">
        <v>26.221859999999996</v>
      </c>
      <c r="AI1218" s="125" t="s">
        <v>252</v>
      </c>
      <c r="AJ1218" s="125">
        <v>0</v>
      </c>
      <c r="AK1218" s="125">
        <v>0</v>
      </c>
      <c r="AL1218" s="125">
        <v>0</v>
      </c>
      <c r="AM1218" s="125">
        <v>0</v>
      </c>
      <c r="AN1218" s="125">
        <v>0</v>
      </c>
      <c r="AO1218" s="125">
        <v>0</v>
      </c>
      <c r="AP1218" s="125">
        <v>0</v>
      </c>
      <c r="AQ1218" s="125">
        <v>0</v>
      </c>
      <c r="AR1218" s="125">
        <v>122.2358113656</v>
      </c>
      <c r="AS1218" s="125" t="s">
        <v>312</v>
      </c>
      <c r="AT1218" s="125">
        <v>91.140471000000005</v>
      </c>
      <c r="AU1218" s="125" t="s">
        <v>252</v>
      </c>
      <c r="AV1218" s="125">
        <v>131.36097599999999</v>
      </c>
      <c r="AW1218" s="125" t="s">
        <v>252</v>
      </c>
      <c r="AX1218" s="125">
        <f t="shared" si="1"/>
        <v>969.74960756560017</v>
      </c>
      <c r="AY1218" s="125">
        <f>0.0299+0.007+0.0022+0.0032+0.0011+0.0004+0.0255+0.3407</f>
        <v>0.41000000000000003</v>
      </c>
      <c r="AZ1218" s="181" t="s">
        <v>1429</v>
      </c>
      <c r="BA1218" s="181" t="s">
        <v>254</v>
      </c>
      <c r="BB1218" s="181">
        <v>1</v>
      </c>
      <c r="BC1218" s="125" t="s">
        <v>255</v>
      </c>
    </row>
    <row r="1219" spans="1:55" ht="16.350000000000001" customHeight="1" outlineLevel="1">
      <c r="A1219" s="92">
        <v>1209</v>
      </c>
      <c r="B1219" s="99" t="s">
        <v>902</v>
      </c>
      <c r="C1219" s="122" t="s">
        <v>901</v>
      </c>
      <c r="D1219" s="161" t="s">
        <v>906</v>
      </c>
      <c r="E1219" s="123" t="s">
        <v>734</v>
      </c>
      <c r="F1219" s="124" t="s">
        <v>1425</v>
      </c>
      <c r="G1219" s="133" t="s">
        <v>247</v>
      </c>
      <c r="H1219" s="334" t="s">
        <v>248</v>
      </c>
      <c r="I1219" s="334" t="s">
        <v>1426</v>
      </c>
      <c r="J1219" s="317" t="s">
        <v>139</v>
      </c>
      <c r="K1219" s="317" t="s">
        <v>140</v>
      </c>
      <c r="L1219" s="334">
        <v>1</v>
      </c>
      <c r="M1219" s="334" t="s">
        <v>250</v>
      </c>
      <c r="N1219" s="315">
        <v>100</v>
      </c>
      <c r="O1219" s="315">
        <v>6</v>
      </c>
      <c r="P1219" s="315" t="s">
        <v>1429</v>
      </c>
      <c r="Q1219" s="317" t="s">
        <v>233</v>
      </c>
      <c r="R1219" s="276" t="s">
        <v>240</v>
      </c>
      <c r="S1219" s="320" t="s">
        <v>233</v>
      </c>
      <c r="T1219" s="276" t="s">
        <v>240</v>
      </c>
      <c r="U1219" s="334" t="s">
        <v>1427</v>
      </c>
      <c r="V1219" s="276" t="s">
        <v>240</v>
      </c>
      <c r="W1219" s="189"/>
      <c r="X1219" s="292">
        <v>1341.09</v>
      </c>
      <c r="Y1219" s="295">
        <v>1548.08</v>
      </c>
      <c r="Z1219" s="297">
        <v>206.1462564</v>
      </c>
      <c r="AA1219" s="299" t="s">
        <v>252</v>
      </c>
      <c r="AB1219" s="292">
        <v>141.32083500000002</v>
      </c>
      <c r="AC1219" s="299" t="s">
        <v>252</v>
      </c>
      <c r="AD1219" s="301">
        <v>200.41932600000001</v>
      </c>
      <c r="AE1219" s="292" t="s">
        <v>252</v>
      </c>
      <c r="AF1219" s="292">
        <v>102.35107600000001</v>
      </c>
      <c r="AG1219" s="292" t="s">
        <v>252</v>
      </c>
      <c r="AH1219" s="292">
        <v>31.861640999999999</v>
      </c>
      <c r="AI1219" s="292" t="s">
        <v>252</v>
      </c>
      <c r="AJ1219" s="292">
        <v>0</v>
      </c>
      <c r="AK1219" s="292">
        <v>0</v>
      </c>
      <c r="AL1219" s="292">
        <v>0</v>
      </c>
      <c r="AM1219" s="292">
        <v>0</v>
      </c>
      <c r="AN1219" s="292">
        <v>0</v>
      </c>
      <c r="AO1219" s="292">
        <v>0</v>
      </c>
      <c r="AP1219" s="292">
        <v>0</v>
      </c>
      <c r="AQ1219" s="292">
        <v>0</v>
      </c>
      <c r="AR1219" s="292">
        <v>126.482556</v>
      </c>
      <c r="AS1219" s="292" t="s">
        <v>252</v>
      </c>
      <c r="AT1219" s="292">
        <v>111.985884</v>
      </c>
      <c r="AU1219" s="292" t="s">
        <v>252</v>
      </c>
      <c r="AV1219" s="292">
        <v>156.688176</v>
      </c>
      <c r="AW1219" s="292" t="s">
        <v>252</v>
      </c>
      <c r="AX1219" s="292">
        <f t="shared" si="1"/>
        <v>1077.2557504000001</v>
      </c>
      <c r="AY1219" s="338">
        <f>0.0036+0.3187+0.0065+0.0397+0.0078+0.0037</f>
        <v>0.37999999999999995</v>
      </c>
      <c r="AZ1219" s="312" t="s">
        <v>1429</v>
      </c>
      <c r="BA1219" s="312" t="s">
        <v>254</v>
      </c>
      <c r="BB1219" s="312">
        <v>1</v>
      </c>
      <c r="BC1219" s="336" t="s">
        <v>255</v>
      </c>
    </row>
    <row r="1220" spans="1:55" ht="16.350000000000001" customHeight="1" outlineLevel="1">
      <c r="A1220" s="92">
        <v>1210</v>
      </c>
      <c r="B1220" s="99" t="s">
        <v>903</v>
      </c>
      <c r="C1220" s="122" t="s">
        <v>901</v>
      </c>
      <c r="D1220" s="161" t="s">
        <v>906</v>
      </c>
      <c r="E1220" s="123" t="s">
        <v>737</v>
      </c>
      <c r="F1220" s="124" t="s">
        <v>1425</v>
      </c>
      <c r="G1220" s="133" t="s">
        <v>247</v>
      </c>
      <c r="H1220" s="335"/>
      <c r="I1220" s="335"/>
      <c r="J1220" s="319"/>
      <c r="K1220" s="319"/>
      <c r="L1220" s="335"/>
      <c r="M1220" s="335"/>
      <c r="N1220" s="315"/>
      <c r="O1220" s="315"/>
      <c r="P1220" s="315"/>
      <c r="Q1220" s="319"/>
      <c r="R1220" s="276" t="s">
        <v>240</v>
      </c>
      <c r="S1220" s="320"/>
      <c r="T1220" s="276" t="s">
        <v>240</v>
      </c>
      <c r="U1220" s="335"/>
      <c r="V1220" s="276" t="s">
        <v>240</v>
      </c>
      <c r="W1220" s="190"/>
      <c r="X1220" s="294"/>
      <c r="Y1220" s="296"/>
      <c r="Z1220" s="298"/>
      <c r="AA1220" s="300"/>
      <c r="AB1220" s="294"/>
      <c r="AC1220" s="300"/>
      <c r="AD1220" s="302"/>
      <c r="AE1220" s="294"/>
      <c r="AF1220" s="294"/>
      <c r="AG1220" s="294"/>
      <c r="AH1220" s="294"/>
      <c r="AI1220" s="294"/>
      <c r="AJ1220" s="294"/>
      <c r="AK1220" s="294"/>
      <c r="AL1220" s="294"/>
      <c r="AM1220" s="294"/>
      <c r="AN1220" s="294"/>
      <c r="AO1220" s="294"/>
      <c r="AP1220" s="294"/>
      <c r="AQ1220" s="294"/>
      <c r="AR1220" s="294"/>
      <c r="AS1220" s="294"/>
      <c r="AT1220" s="294"/>
      <c r="AU1220" s="294"/>
      <c r="AV1220" s="294"/>
      <c r="AW1220" s="294"/>
      <c r="AX1220" s="294">
        <f t="shared" si="1"/>
        <v>0</v>
      </c>
      <c r="AY1220" s="368"/>
      <c r="AZ1220" s="312"/>
      <c r="BA1220" s="312"/>
      <c r="BB1220" s="312"/>
      <c r="BC1220" s="337"/>
    </row>
    <row r="1221" spans="1:55" ht="16.350000000000001" customHeight="1" outlineLevel="1">
      <c r="A1221" s="92">
        <v>1211</v>
      </c>
      <c r="B1221" s="99" t="s">
        <v>904</v>
      </c>
      <c r="C1221" s="122" t="s">
        <v>901</v>
      </c>
      <c r="D1221" s="161">
        <v>15</v>
      </c>
      <c r="E1221" s="123" t="s">
        <v>734</v>
      </c>
      <c r="F1221" s="124" t="s">
        <v>1425</v>
      </c>
      <c r="G1221" s="133" t="s">
        <v>281</v>
      </c>
      <c r="H1221" s="134" t="s">
        <v>248</v>
      </c>
      <c r="I1221" s="134" t="s">
        <v>1426</v>
      </c>
      <c r="J1221" s="134" t="s">
        <v>139</v>
      </c>
      <c r="K1221" s="124" t="s">
        <v>140</v>
      </c>
      <c r="L1221" s="174">
        <v>1</v>
      </c>
      <c r="M1221" s="174" t="s">
        <v>250</v>
      </c>
      <c r="N1221" s="184">
        <v>89</v>
      </c>
      <c r="O1221" s="184">
        <v>6</v>
      </c>
      <c r="P1221" s="184" t="s">
        <v>1429</v>
      </c>
      <c r="Q1221" s="174" t="s">
        <v>233</v>
      </c>
      <c r="R1221" s="276" t="s">
        <v>240</v>
      </c>
      <c r="S1221" s="276" t="s">
        <v>233</v>
      </c>
      <c r="T1221" s="276" t="s">
        <v>240</v>
      </c>
      <c r="U1221" s="174" t="s">
        <v>1427</v>
      </c>
      <c r="V1221" s="276" t="s">
        <v>240</v>
      </c>
      <c r="W1221" s="130"/>
      <c r="X1221" s="125">
        <v>795.31</v>
      </c>
      <c r="Y1221" s="126">
        <v>803.17</v>
      </c>
      <c r="Z1221" s="127">
        <v>129.4835094</v>
      </c>
      <c r="AA1221" s="128" t="s">
        <v>252</v>
      </c>
      <c r="AB1221" s="125">
        <v>81.073575000000005</v>
      </c>
      <c r="AC1221" s="128" t="s">
        <v>252</v>
      </c>
      <c r="AD1221" s="129">
        <v>114.381396</v>
      </c>
      <c r="AE1221" s="125" t="s">
        <v>252</v>
      </c>
      <c r="AF1221" s="125">
        <v>68.165531999999999</v>
      </c>
      <c r="AG1221" s="125" t="s">
        <v>252</v>
      </c>
      <c r="AH1221" s="125">
        <v>16.912405999999997</v>
      </c>
      <c r="AI1221" s="125" t="s">
        <v>252</v>
      </c>
      <c r="AJ1221" s="125">
        <v>0</v>
      </c>
      <c r="AK1221" s="125">
        <v>0</v>
      </c>
      <c r="AL1221" s="125">
        <v>0</v>
      </c>
      <c r="AM1221" s="125">
        <v>0</v>
      </c>
      <c r="AN1221" s="125">
        <v>0</v>
      </c>
      <c r="AO1221" s="125">
        <v>0</v>
      </c>
      <c r="AP1221" s="125">
        <v>0</v>
      </c>
      <c r="AQ1221" s="125">
        <v>0</v>
      </c>
      <c r="AR1221" s="125">
        <v>80.208750813600005</v>
      </c>
      <c r="AS1221" s="125" t="s">
        <v>312</v>
      </c>
      <c r="AT1221" s="125">
        <v>59.434289999999997</v>
      </c>
      <c r="AU1221" s="125" t="s">
        <v>252</v>
      </c>
      <c r="AV1221" s="125">
        <v>85.979616000000007</v>
      </c>
      <c r="AW1221" s="125" t="s">
        <v>252</v>
      </c>
      <c r="AX1221" s="125">
        <f t="shared" si="1"/>
        <v>635.63907521359999</v>
      </c>
      <c r="AY1221" s="125">
        <f>0.0621+0.0124+0.1555</f>
        <v>0.22999999999999998</v>
      </c>
      <c r="AZ1221" s="181" t="s">
        <v>1429</v>
      </c>
      <c r="BA1221" s="181" t="s">
        <v>254</v>
      </c>
      <c r="BB1221" s="181">
        <v>1</v>
      </c>
      <c r="BC1221" s="125" t="s">
        <v>255</v>
      </c>
    </row>
    <row r="1222" spans="1:55" ht="16.350000000000001" customHeight="1" outlineLevel="1">
      <c r="A1222" s="92">
        <v>1212</v>
      </c>
      <c r="B1222" s="99" t="s">
        <v>905</v>
      </c>
      <c r="C1222" s="122" t="s">
        <v>901</v>
      </c>
      <c r="D1222" s="161">
        <v>16</v>
      </c>
      <c r="E1222" s="123" t="s">
        <v>734</v>
      </c>
      <c r="F1222" s="124" t="s">
        <v>1425</v>
      </c>
      <c r="G1222" s="133" t="s">
        <v>247</v>
      </c>
      <c r="H1222" s="134" t="s">
        <v>248</v>
      </c>
      <c r="I1222" s="134" t="s">
        <v>1426</v>
      </c>
      <c r="J1222" s="134" t="s">
        <v>139</v>
      </c>
      <c r="K1222" s="124" t="s">
        <v>140</v>
      </c>
      <c r="L1222" s="174">
        <v>1</v>
      </c>
      <c r="M1222" s="174" t="s">
        <v>250</v>
      </c>
      <c r="N1222" s="184">
        <v>89</v>
      </c>
      <c r="O1222" s="184">
        <v>6</v>
      </c>
      <c r="P1222" s="184" t="s">
        <v>1429</v>
      </c>
      <c r="Q1222" s="174" t="s">
        <v>233</v>
      </c>
      <c r="R1222" s="276" t="s">
        <v>240</v>
      </c>
      <c r="S1222" s="276" t="s">
        <v>233</v>
      </c>
      <c r="T1222" s="276" t="s">
        <v>240</v>
      </c>
      <c r="U1222" s="174" t="s">
        <v>1427</v>
      </c>
      <c r="V1222" s="276" t="s">
        <v>240</v>
      </c>
      <c r="W1222" s="130"/>
      <c r="X1222" s="125">
        <v>977.68</v>
      </c>
      <c r="Y1222" s="126">
        <v>1049.3699999999999</v>
      </c>
      <c r="Z1222" s="127">
        <v>146.77910939999998</v>
      </c>
      <c r="AA1222" s="128" t="s">
        <v>252</v>
      </c>
      <c r="AB1222" s="125">
        <v>101.150505</v>
      </c>
      <c r="AC1222" s="128" t="s">
        <v>252</v>
      </c>
      <c r="AD1222" s="129">
        <v>144.13894200000001</v>
      </c>
      <c r="AE1222" s="125" t="s">
        <v>252</v>
      </c>
      <c r="AF1222" s="125">
        <v>68.046941999999987</v>
      </c>
      <c r="AG1222" s="125" t="s">
        <v>252</v>
      </c>
      <c r="AH1222" s="125">
        <v>20.616764</v>
      </c>
      <c r="AI1222" s="125" t="s">
        <v>252</v>
      </c>
      <c r="AJ1222" s="125">
        <v>0</v>
      </c>
      <c r="AK1222" s="125">
        <v>0</v>
      </c>
      <c r="AL1222" s="125">
        <v>0</v>
      </c>
      <c r="AM1222" s="125">
        <v>0</v>
      </c>
      <c r="AN1222" s="125">
        <v>0</v>
      </c>
      <c r="AO1222" s="125">
        <v>0</v>
      </c>
      <c r="AP1222" s="125">
        <v>0</v>
      </c>
      <c r="AQ1222" s="125">
        <v>0</v>
      </c>
      <c r="AR1222" s="125">
        <v>117.05059200000001</v>
      </c>
      <c r="AS1222" s="125" t="s">
        <v>252</v>
      </c>
      <c r="AT1222" s="125">
        <v>84.147272999999998</v>
      </c>
      <c r="AU1222" s="125" t="s">
        <v>252</v>
      </c>
      <c r="AV1222" s="125">
        <v>114.08865599999999</v>
      </c>
      <c r="AW1222" s="125" t="s">
        <v>252</v>
      </c>
      <c r="AX1222" s="125">
        <f t="shared" si="1"/>
        <v>796.01878340000007</v>
      </c>
      <c r="AY1222" s="125">
        <f>0.0157+0.2982+0.0085+0.0164+0.0194+0.0018</f>
        <v>0.3600000000000001</v>
      </c>
      <c r="AZ1222" s="181" t="s">
        <v>1429</v>
      </c>
      <c r="BA1222" s="181" t="s">
        <v>254</v>
      </c>
      <c r="BB1222" s="181">
        <v>1</v>
      </c>
      <c r="BC1222" s="125" t="s">
        <v>255</v>
      </c>
    </row>
    <row r="1223" spans="1:55" ht="16.350000000000001" customHeight="1" outlineLevel="1">
      <c r="A1223" s="92">
        <v>1213</v>
      </c>
      <c r="B1223" s="99" t="s">
        <v>907</v>
      </c>
      <c r="C1223" s="122" t="s">
        <v>901</v>
      </c>
      <c r="D1223" s="161">
        <v>17</v>
      </c>
      <c r="E1223" s="123" t="s">
        <v>734</v>
      </c>
      <c r="F1223" s="124" t="s">
        <v>1425</v>
      </c>
      <c r="G1223" s="133" t="s">
        <v>281</v>
      </c>
      <c r="H1223" s="134" t="s">
        <v>248</v>
      </c>
      <c r="I1223" s="134" t="s">
        <v>1426</v>
      </c>
      <c r="J1223" s="134" t="s">
        <v>139</v>
      </c>
      <c r="K1223" s="124" t="s">
        <v>140</v>
      </c>
      <c r="L1223" s="174">
        <v>1</v>
      </c>
      <c r="M1223" s="174" t="s">
        <v>250</v>
      </c>
      <c r="N1223" s="184">
        <v>80</v>
      </c>
      <c r="O1223" s="184">
        <v>6</v>
      </c>
      <c r="P1223" s="184" t="s">
        <v>1429</v>
      </c>
      <c r="Q1223" s="174" t="s">
        <v>233</v>
      </c>
      <c r="R1223" s="276" t="s">
        <v>240</v>
      </c>
      <c r="S1223" s="276" t="s">
        <v>233</v>
      </c>
      <c r="T1223" s="276" t="s">
        <v>240</v>
      </c>
      <c r="U1223" s="174" t="s">
        <v>1427</v>
      </c>
      <c r="V1223" s="276" t="s">
        <v>240</v>
      </c>
      <c r="W1223" s="130"/>
      <c r="X1223" s="125">
        <v>1194.28</v>
      </c>
      <c r="Y1223" s="126">
        <v>1233.17</v>
      </c>
      <c r="Z1223" s="127">
        <v>154.3891734</v>
      </c>
      <c r="AA1223" s="128" t="s">
        <v>252</v>
      </c>
      <c r="AB1223" s="125">
        <v>117.21699000000001</v>
      </c>
      <c r="AC1223" s="128" t="s">
        <v>252</v>
      </c>
      <c r="AD1223" s="129">
        <v>165.53574</v>
      </c>
      <c r="AE1223" s="125" t="s">
        <v>252</v>
      </c>
      <c r="AF1223" s="125">
        <v>96.389951999999994</v>
      </c>
      <c r="AG1223" s="125" t="s">
        <v>252</v>
      </c>
      <c r="AH1223" s="125">
        <v>22.510565</v>
      </c>
      <c r="AI1223" s="125" t="s">
        <v>252</v>
      </c>
      <c r="AJ1223" s="125">
        <v>0</v>
      </c>
      <c r="AK1223" s="125">
        <v>0</v>
      </c>
      <c r="AL1223" s="125">
        <v>0</v>
      </c>
      <c r="AM1223" s="125">
        <v>0</v>
      </c>
      <c r="AN1223" s="125">
        <v>0</v>
      </c>
      <c r="AO1223" s="125">
        <v>0</v>
      </c>
      <c r="AP1223" s="125">
        <v>0</v>
      </c>
      <c r="AQ1223" s="125">
        <v>0</v>
      </c>
      <c r="AR1223" s="125">
        <v>91.370627999999996</v>
      </c>
      <c r="AS1223" s="125" t="s">
        <v>252</v>
      </c>
      <c r="AT1223" s="125">
        <v>74.225772000000006</v>
      </c>
      <c r="AU1223" s="125" t="s">
        <v>252</v>
      </c>
      <c r="AV1223" s="125">
        <v>108.209424</v>
      </c>
      <c r="AW1223" s="125" t="s">
        <v>252</v>
      </c>
      <c r="AX1223" s="125">
        <f t="shared" si="1"/>
        <v>829.84824440000011</v>
      </c>
      <c r="AY1223" s="125">
        <f>0.0658+0.2742</f>
        <v>0.33999999999999997</v>
      </c>
      <c r="AZ1223" s="181" t="s">
        <v>1429</v>
      </c>
      <c r="BA1223" s="181" t="s">
        <v>254</v>
      </c>
      <c r="BB1223" s="181">
        <v>1</v>
      </c>
      <c r="BC1223" s="125" t="s">
        <v>255</v>
      </c>
    </row>
    <row r="1224" spans="1:55" ht="16.350000000000001" customHeight="1" outlineLevel="1">
      <c r="A1224" s="92">
        <v>1214</v>
      </c>
      <c r="B1224" s="99" t="s">
        <v>908</v>
      </c>
      <c r="C1224" s="122" t="s">
        <v>901</v>
      </c>
      <c r="D1224" s="161">
        <v>18</v>
      </c>
      <c r="E1224" s="123" t="s">
        <v>734</v>
      </c>
      <c r="F1224" s="124" t="s">
        <v>1425</v>
      </c>
      <c r="G1224" s="133" t="s">
        <v>247</v>
      </c>
      <c r="H1224" s="334" t="s">
        <v>248</v>
      </c>
      <c r="I1224" s="334" t="s">
        <v>1426</v>
      </c>
      <c r="J1224" s="317" t="s">
        <v>139</v>
      </c>
      <c r="K1224" s="317" t="s">
        <v>140</v>
      </c>
      <c r="L1224" s="334">
        <v>1</v>
      </c>
      <c r="M1224" s="334" t="s">
        <v>250</v>
      </c>
      <c r="N1224" s="315">
        <v>89</v>
      </c>
      <c r="O1224" s="315">
        <v>6</v>
      </c>
      <c r="P1224" s="315" t="s">
        <v>1429</v>
      </c>
      <c r="Q1224" s="317" t="s">
        <v>233</v>
      </c>
      <c r="R1224" s="276" t="s">
        <v>240</v>
      </c>
      <c r="S1224" s="320" t="s">
        <v>233</v>
      </c>
      <c r="T1224" s="276" t="s">
        <v>240</v>
      </c>
      <c r="U1224" s="334" t="s">
        <v>1427</v>
      </c>
      <c r="V1224" s="276" t="s">
        <v>240</v>
      </c>
      <c r="W1224" s="189"/>
      <c r="X1224" s="292">
        <v>907.6</v>
      </c>
      <c r="Y1224" s="295">
        <v>914.22</v>
      </c>
      <c r="Z1224" s="297">
        <v>141.61637279999999</v>
      </c>
      <c r="AA1224" s="299" t="s">
        <v>252</v>
      </c>
      <c r="AB1224" s="292">
        <v>97.798860000000005</v>
      </c>
      <c r="AC1224" s="299" t="s">
        <v>252</v>
      </c>
      <c r="AD1224" s="301">
        <v>134.30224800000002</v>
      </c>
      <c r="AE1224" s="292" t="s">
        <v>252</v>
      </c>
      <c r="AF1224" s="292">
        <v>62.062100000000001</v>
      </c>
      <c r="AG1224" s="292" t="s">
        <v>252</v>
      </c>
      <c r="AH1224" s="292">
        <v>19.069813</v>
      </c>
      <c r="AI1224" s="292" t="s">
        <v>252</v>
      </c>
      <c r="AJ1224" s="292">
        <v>0</v>
      </c>
      <c r="AK1224" s="292">
        <v>0</v>
      </c>
      <c r="AL1224" s="292">
        <v>0</v>
      </c>
      <c r="AM1224" s="292">
        <v>0</v>
      </c>
      <c r="AN1224" s="292">
        <v>0</v>
      </c>
      <c r="AO1224" s="292">
        <v>0</v>
      </c>
      <c r="AP1224" s="292">
        <v>0</v>
      </c>
      <c r="AQ1224" s="292">
        <v>0</v>
      </c>
      <c r="AR1224" s="292">
        <v>103.45548176279999</v>
      </c>
      <c r="AS1224" s="292" t="s">
        <v>312</v>
      </c>
      <c r="AT1224" s="292">
        <v>88.617533536800011</v>
      </c>
      <c r="AU1224" s="292" t="s">
        <v>312</v>
      </c>
      <c r="AV1224" s="292">
        <v>87.897840000000002</v>
      </c>
      <c r="AW1224" s="292" t="s">
        <v>252</v>
      </c>
      <c r="AX1224" s="292">
        <f t="shared" ref="AX1224:AX1287" si="4">Z1224+AB1224+AD1224+AF1224+AH1224+AJ1224+AL1224+AN1224+AP1224+AR1224+AT1224+AV1224</f>
        <v>734.82024909960001</v>
      </c>
      <c r="AY1224" s="338">
        <f>0.1416+0.1453+0.0131</f>
        <v>0.30000000000000004</v>
      </c>
      <c r="AZ1224" s="312" t="s">
        <v>1429</v>
      </c>
      <c r="BA1224" s="312" t="s">
        <v>254</v>
      </c>
      <c r="BB1224" s="312">
        <v>1</v>
      </c>
      <c r="BC1224" s="336" t="s">
        <v>255</v>
      </c>
    </row>
    <row r="1225" spans="1:55" ht="16.350000000000001" customHeight="1" outlineLevel="1">
      <c r="A1225" s="92">
        <v>1215</v>
      </c>
      <c r="B1225" s="99" t="s">
        <v>909</v>
      </c>
      <c r="C1225" s="122" t="s">
        <v>901</v>
      </c>
      <c r="D1225" s="161">
        <v>18</v>
      </c>
      <c r="E1225" s="123" t="s">
        <v>737</v>
      </c>
      <c r="F1225" s="124" t="s">
        <v>1425</v>
      </c>
      <c r="G1225" s="133" t="s">
        <v>247</v>
      </c>
      <c r="H1225" s="335"/>
      <c r="I1225" s="335"/>
      <c r="J1225" s="319"/>
      <c r="K1225" s="319"/>
      <c r="L1225" s="335"/>
      <c r="M1225" s="335"/>
      <c r="N1225" s="315"/>
      <c r="O1225" s="315"/>
      <c r="P1225" s="315"/>
      <c r="Q1225" s="319"/>
      <c r="R1225" s="276" t="s">
        <v>240</v>
      </c>
      <c r="S1225" s="320"/>
      <c r="T1225" s="276" t="s">
        <v>240</v>
      </c>
      <c r="U1225" s="335"/>
      <c r="V1225" s="276" t="s">
        <v>240</v>
      </c>
      <c r="W1225" s="190"/>
      <c r="X1225" s="294"/>
      <c r="Y1225" s="296"/>
      <c r="Z1225" s="298"/>
      <c r="AA1225" s="300"/>
      <c r="AB1225" s="294"/>
      <c r="AC1225" s="300"/>
      <c r="AD1225" s="302"/>
      <c r="AE1225" s="294"/>
      <c r="AF1225" s="294"/>
      <c r="AG1225" s="294"/>
      <c r="AH1225" s="294"/>
      <c r="AI1225" s="294"/>
      <c r="AJ1225" s="294"/>
      <c r="AK1225" s="294"/>
      <c r="AL1225" s="294"/>
      <c r="AM1225" s="294"/>
      <c r="AN1225" s="294"/>
      <c r="AO1225" s="294"/>
      <c r="AP1225" s="294"/>
      <c r="AQ1225" s="294"/>
      <c r="AR1225" s="294"/>
      <c r="AS1225" s="294"/>
      <c r="AT1225" s="294"/>
      <c r="AU1225" s="294"/>
      <c r="AV1225" s="294"/>
      <c r="AW1225" s="294"/>
      <c r="AX1225" s="294">
        <f t="shared" si="4"/>
        <v>0</v>
      </c>
      <c r="AY1225" s="368"/>
      <c r="AZ1225" s="312"/>
      <c r="BA1225" s="312"/>
      <c r="BB1225" s="312"/>
      <c r="BC1225" s="337"/>
    </row>
    <row r="1226" spans="1:55" ht="16.350000000000001" customHeight="1" outlineLevel="1">
      <c r="A1226" s="92">
        <v>1216</v>
      </c>
      <c r="B1226" s="99" t="s">
        <v>910</v>
      </c>
      <c r="C1226" s="122" t="s">
        <v>901</v>
      </c>
      <c r="D1226" s="161">
        <v>19</v>
      </c>
      <c r="E1226" s="123" t="s">
        <v>734</v>
      </c>
      <c r="F1226" s="124" t="s">
        <v>1425</v>
      </c>
      <c r="G1226" s="133" t="s">
        <v>281</v>
      </c>
      <c r="H1226" s="134" t="s">
        <v>248</v>
      </c>
      <c r="I1226" s="134" t="s">
        <v>1426</v>
      </c>
      <c r="J1226" s="134" t="s">
        <v>139</v>
      </c>
      <c r="K1226" s="124" t="s">
        <v>140</v>
      </c>
      <c r="L1226" s="174">
        <v>1</v>
      </c>
      <c r="M1226" s="174" t="s">
        <v>250</v>
      </c>
      <c r="N1226" s="184">
        <v>80</v>
      </c>
      <c r="O1226" s="184">
        <v>6</v>
      </c>
      <c r="P1226" s="184" t="s">
        <v>1429</v>
      </c>
      <c r="Q1226" s="174" t="s">
        <v>233</v>
      </c>
      <c r="R1226" s="276" t="s">
        <v>240</v>
      </c>
      <c r="S1226" s="276" t="s">
        <v>233</v>
      </c>
      <c r="T1226" s="276" t="s">
        <v>240</v>
      </c>
      <c r="U1226" s="174" t="s">
        <v>1427</v>
      </c>
      <c r="V1226" s="276" t="s">
        <v>240</v>
      </c>
      <c r="W1226" s="130"/>
      <c r="X1226" s="125">
        <v>1204.69</v>
      </c>
      <c r="Y1226" s="126">
        <v>1240.8499999999999</v>
      </c>
      <c r="Z1226" s="127">
        <v>156.40411080000001</v>
      </c>
      <c r="AA1226" s="128" t="s">
        <v>252</v>
      </c>
      <c r="AB1226" s="125">
        <v>118.78164000000001</v>
      </c>
      <c r="AC1226" s="128" t="s">
        <v>252</v>
      </c>
      <c r="AD1226" s="129">
        <v>167.70105000000001</v>
      </c>
      <c r="AE1226" s="125" t="s">
        <v>252</v>
      </c>
      <c r="AF1226" s="125">
        <v>97.710253999999992</v>
      </c>
      <c r="AG1226" s="125" t="s">
        <v>252</v>
      </c>
      <c r="AH1226" s="125">
        <v>22.871288999999997</v>
      </c>
      <c r="AI1226" s="125" t="s">
        <v>252</v>
      </c>
      <c r="AJ1226" s="125">
        <v>0</v>
      </c>
      <c r="AK1226" s="125">
        <v>0</v>
      </c>
      <c r="AL1226" s="125">
        <v>0</v>
      </c>
      <c r="AM1226" s="125">
        <v>0</v>
      </c>
      <c r="AN1226" s="125">
        <v>0</v>
      </c>
      <c r="AO1226" s="125">
        <v>0</v>
      </c>
      <c r="AP1226" s="125">
        <v>0</v>
      </c>
      <c r="AQ1226" s="125">
        <v>0</v>
      </c>
      <c r="AR1226" s="125">
        <v>92.735460000000003</v>
      </c>
      <c r="AS1226" s="125" t="s">
        <v>252</v>
      </c>
      <c r="AT1226" s="125">
        <v>75.243968999999993</v>
      </c>
      <c r="AU1226" s="125" t="s">
        <v>252</v>
      </c>
      <c r="AV1226" s="125">
        <v>109.62940800000001</v>
      </c>
      <c r="AW1226" s="125" t="s">
        <v>252</v>
      </c>
      <c r="AX1226" s="125">
        <f t="shared" si="4"/>
        <v>841.07718080000006</v>
      </c>
      <c r="AY1226" s="125">
        <f>0.3015+0.0485</f>
        <v>0.35</v>
      </c>
      <c r="AZ1226" s="181" t="s">
        <v>1429</v>
      </c>
      <c r="BA1226" s="181" t="s">
        <v>254</v>
      </c>
      <c r="BB1226" s="181">
        <v>1</v>
      </c>
      <c r="BC1226" s="125" t="s">
        <v>255</v>
      </c>
    </row>
    <row r="1227" spans="1:55" ht="16.350000000000001" customHeight="1" outlineLevel="1">
      <c r="A1227" s="92">
        <v>1217</v>
      </c>
      <c r="B1227" s="99" t="s">
        <v>911</v>
      </c>
      <c r="C1227" s="122" t="s">
        <v>915</v>
      </c>
      <c r="D1227" s="161" t="s">
        <v>916</v>
      </c>
      <c r="E1227" s="123" t="s">
        <v>734</v>
      </c>
      <c r="F1227" s="124" t="s">
        <v>1425</v>
      </c>
      <c r="G1227" s="133" t="s">
        <v>281</v>
      </c>
      <c r="H1227" s="134" t="s">
        <v>248</v>
      </c>
      <c r="I1227" s="134" t="s">
        <v>1426</v>
      </c>
      <c r="J1227" s="134" t="s">
        <v>139</v>
      </c>
      <c r="K1227" s="124" t="s">
        <v>140</v>
      </c>
      <c r="L1227" s="174">
        <v>1</v>
      </c>
      <c r="M1227" s="174" t="s">
        <v>250</v>
      </c>
      <c r="N1227" s="184">
        <v>89</v>
      </c>
      <c r="O1227" s="184">
        <v>6</v>
      </c>
      <c r="P1227" s="184" t="s">
        <v>1429</v>
      </c>
      <c r="Q1227" s="174" t="s">
        <v>233</v>
      </c>
      <c r="R1227" s="276" t="s">
        <v>240</v>
      </c>
      <c r="S1227" s="276" t="s">
        <v>233</v>
      </c>
      <c r="T1227" s="276" t="s">
        <v>240</v>
      </c>
      <c r="U1227" s="174" t="s">
        <v>1427</v>
      </c>
      <c r="V1227" s="276" t="s">
        <v>240</v>
      </c>
      <c r="W1227" s="130"/>
      <c r="X1227" s="125">
        <v>827.24</v>
      </c>
      <c r="Y1227" s="126">
        <v>803.17</v>
      </c>
      <c r="Z1227" s="127">
        <v>175.1006544</v>
      </c>
      <c r="AA1227" s="128" t="s">
        <v>252</v>
      </c>
      <c r="AB1227" s="125">
        <v>99.939959999999999</v>
      </c>
      <c r="AC1227" s="128" t="s">
        <v>252</v>
      </c>
      <c r="AD1227" s="129">
        <v>168.11643599999999</v>
      </c>
      <c r="AE1227" s="125" t="s">
        <v>252</v>
      </c>
      <c r="AF1227" s="125">
        <v>76.150591999999989</v>
      </c>
      <c r="AG1227" s="125" t="s">
        <v>252</v>
      </c>
      <c r="AH1227" s="125">
        <v>28.393141</v>
      </c>
      <c r="AI1227" s="125" t="s">
        <v>252</v>
      </c>
      <c r="AJ1227" s="125">
        <v>0</v>
      </c>
      <c r="AK1227" s="125">
        <v>0</v>
      </c>
      <c r="AL1227" s="125">
        <v>0</v>
      </c>
      <c r="AM1227" s="125">
        <v>0</v>
      </c>
      <c r="AN1227" s="125">
        <v>0</v>
      </c>
      <c r="AO1227" s="125">
        <v>0</v>
      </c>
      <c r="AP1227" s="125">
        <v>0</v>
      </c>
      <c r="AQ1227" s="125">
        <v>0</v>
      </c>
      <c r="AR1227" s="125">
        <v>99.535247999999996</v>
      </c>
      <c r="AS1227" s="125" t="s">
        <v>252</v>
      </c>
      <c r="AT1227" s="125">
        <v>100.99093500000001</v>
      </c>
      <c r="AU1227" s="125" t="s">
        <v>252</v>
      </c>
      <c r="AV1227" s="125">
        <v>127.15915200000001</v>
      </c>
      <c r="AW1227" s="125" t="s">
        <v>252</v>
      </c>
      <c r="AX1227" s="125">
        <f t="shared" si="4"/>
        <v>875.38611839999999</v>
      </c>
      <c r="AY1227" s="216">
        <f>0.315+0.0019+0.0089+0.0075+0.0045+0.0147+0.0012+0.0064+0.0026+0.0088+0.0069+0.0016</f>
        <v>0.38</v>
      </c>
      <c r="AZ1227" s="181" t="s">
        <v>1429</v>
      </c>
      <c r="BA1227" s="181" t="s">
        <v>254</v>
      </c>
      <c r="BB1227" s="181">
        <v>1</v>
      </c>
      <c r="BC1227" s="125" t="s">
        <v>255</v>
      </c>
    </row>
    <row r="1228" spans="1:55" ht="16.350000000000001" customHeight="1" outlineLevel="1">
      <c r="A1228" s="92">
        <v>1218</v>
      </c>
      <c r="B1228" s="99" t="s">
        <v>912</v>
      </c>
      <c r="C1228" s="122" t="s">
        <v>901</v>
      </c>
      <c r="D1228" s="161" t="s">
        <v>275</v>
      </c>
      <c r="E1228" s="123" t="s">
        <v>734</v>
      </c>
      <c r="F1228" s="124" t="s">
        <v>1425</v>
      </c>
      <c r="G1228" s="133" t="s">
        <v>281</v>
      </c>
      <c r="H1228" s="134" t="s">
        <v>248</v>
      </c>
      <c r="I1228" s="134" t="s">
        <v>1426</v>
      </c>
      <c r="J1228" s="134" t="s">
        <v>139</v>
      </c>
      <c r="K1228" s="124" t="s">
        <v>140</v>
      </c>
      <c r="L1228" s="174">
        <v>1</v>
      </c>
      <c r="M1228" s="174" t="s">
        <v>250</v>
      </c>
      <c r="N1228" s="184">
        <v>89</v>
      </c>
      <c r="O1228" s="184">
        <v>6</v>
      </c>
      <c r="P1228" s="184" t="s">
        <v>1429</v>
      </c>
      <c r="Q1228" s="174" t="s">
        <v>233</v>
      </c>
      <c r="R1228" s="276" t="s">
        <v>240</v>
      </c>
      <c r="S1228" s="276" t="s">
        <v>233</v>
      </c>
      <c r="T1228" s="276" t="s">
        <v>240</v>
      </c>
      <c r="U1228" s="174" t="s">
        <v>1427</v>
      </c>
      <c r="V1228" s="276" t="s">
        <v>240</v>
      </c>
      <c r="W1228" s="130"/>
      <c r="X1228" s="125">
        <v>1349.57</v>
      </c>
      <c r="Y1228" s="126">
        <v>1557.54</v>
      </c>
      <c r="Z1228" s="127">
        <v>227.57550480000003</v>
      </c>
      <c r="AA1228" s="128" t="s">
        <v>252</v>
      </c>
      <c r="AB1228" s="125">
        <v>155.50150500000001</v>
      </c>
      <c r="AC1228" s="128" t="s">
        <v>252</v>
      </c>
      <c r="AD1228" s="129">
        <v>227.649204</v>
      </c>
      <c r="AE1228" s="125" t="s">
        <v>252</v>
      </c>
      <c r="AF1228" s="125">
        <v>86.618135999999993</v>
      </c>
      <c r="AG1228" s="125" t="s">
        <v>252</v>
      </c>
      <c r="AH1228" s="125">
        <v>23.183454000000001</v>
      </c>
      <c r="AI1228" s="125" t="s">
        <v>252</v>
      </c>
      <c r="AJ1228" s="125">
        <v>0</v>
      </c>
      <c r="AK1228" s="125">
        <v>0</v>
      </c>
      <c r="AL1228" s="125">
        <v>0</v>
      </c>
      <c r="AM1228" s="125">
        <v>0</v>
      </c>
      <c r="AN1228" s="125">
        <v>0</v>
      </c>
      <c r="AO1228" s="125">
        <v>0</v>
      </c>
      <c r="AP1228" s="125">
        <v>0</v>
      </c>
      <c r="AQ1228" s="125">
        <v>0</v>
      </c>
      <c r="AR1228" s="125">
        <v>89.112155999999999</v>
      </c>
      <c r="AS1228" s="125" t="s">
        <v>252</v>
      </c>
      <c r="AT1228" s="125">
        <v>95.047505999999998</v>
      </c>
      <c r="AU1228" s="125" t="s">
        <v>252</v>
      </c>
      <c r="AV1228" s="125">
        <v>144.69720000000001</v>
      </c>
      <c r="AW1228" s="125" t="s">
        <v>252</v>
      </c>
      <c r="AX1228" s="125">
        <f t="shared" si="4"/>
        <v>1049.3846658000002</v>
      </c>
      <c r="AY1228" s="125">
        <f>0.0163+0.4091+0.0025+0.0053+0.0068</f>
        <v>0.44</v>
      </c>
      <c r="AZ1228" s="181" t="s">
        <v>1429</v>
      </c>
      <c r="BA1228" s="181" t="s">
        <v>254</v>
      </c>
      <c r="BB1228" s="181">
        <v>1</v>
      </c>
      <c r="BC1228" s="125" t="s">
        <v>255</v>
      </c>
    </row>
    <row r="1229" spans="1:55" ht="16.350000000000001" customHeight="1" outlineLevel="1">
      <c r="A1229" s="92">
        <v>1219</v>
      </c>
      <c r="B1229" s="99" t="s">
        <v>913</v>
      </c>
      <c r="C1229" s="122" t="s">
        <v>901</v>
      </c>
      <c r="D1229" s="161">
        <v>28</v>
      </c>
      <c r="E1229" s="123" t="s">
        <v>737</v>
      </c>
      <c r="F1229" s="124" t="s">
        <v>1425</v>
      </c>
      <c r="G1229" s="133" t="s">
        <v>247</v>
      </c>
      <c r="H1229" s="134" t="s">
        <v>248</v>
      </c>
      <c r="I1229" s="134" t="s">
        <v>1426</v>
      </c>
      <c r="J1229" s="134" t="s">
        <v>139</v>
      </c>
      <c r="K1229" s="124" t="s">
        <v>140</v>
      </c>
      <c r="L1229" s="174">
        <v>1</v>
      </c>
      <c r="M1229" s="174" t="s">
        <v>250</v>
      </c>
      <c r="N1229" s="184">
        <v>50</v>
      </c>
      <c r="O1229" s="184">
        <v>6</v>
      </c>
      <c r="P1229" s="184" t="s">
        <v>1429</v>
      </c>
      <c r="Q1229" s="174" t="s">
        <v>233</v>
      </c>
      <c r="R1229" s="276" t="s">
        <v>240</v>
      </c>
      <c r="S1229" s="276" t="s">
        <v>233</v>
      </c>
      <c r="T1229" s="276" t="s">
        <v>240</v>
      </c>
      <c r="U1229" s="174" t="s">
        <v>1427</v>
      </c>
      <c r="V1229" s="276" t="s">
        <v>240</v>
      </c>
      <c r="W1229" s="130"/>
      <c r="X1229" s="125">
        <v>1239.28</v>
      </c>
      <c r="Y1229" s="126">
        <v>1240.9000000000001</v>
      </c>
      <c r="Z1229" s="127">
        <v>189.1187382</v>
      </c>
      <c r="AA1229" s="128" t="s">
        <v>252</v>
      </c>
      <c r="AB1229" s="125">
        <v>130.022415</v>
      </c>
      <c r="AC1229" s="128" t="s">
        <v>252</v>
      </c>
      <c r="AD1229" s="129">
        <v>185.02352999999999</v>
      </c>
      <c r="AE1229" s="125" t="s">
        <v>252</v>
      </c>
      <c r="AF1229" s="125">
        <v>97.907904000000002</v>
      </c>
      <c r="AG1229" s="125" t="s">
        <v>252</v>
      </c>
      <c r="AH1229" s="125">
        <v>29.281077</v>
      </c>
      <c r="AI1229" s="125" t="s">
        <v>252</v>
      </c>
      <c r="AJ1229" s="125">
        <v>0</v>
      </c>
      <c r="AK1229" s="125">
        <v>0</v>
      </c>
      <c r="AL1229" s="125">
        <v>0</v>
      </c>
      <c r="AM1229" s="125">
        <v>0</v>
      </c>
      <c r="AN1229" s="125">
        <v>0</v>
      </c>
      <c r="AO1229" s="125">
        <v>0</v>
      </c>
      <c r="AP1229" s="125">
        <v>0</v>
      </c>
      <c r="AQ1229" s="125">
        <v>0</v>
      </c>
      <c r="AR1229" s="125">
        <v>45.483581269200002</v>
      </c>
      <c r="AS1229" s="125" t="s">
        <v>252</v>
      </c>
      <c r="AT1229" s="125">
        <v>121.44741805709999</v>
      </c>
      <c r="AU1229" s="125" t="s">
        <v>252</v>
      </c>
      <c r="AV1229" s="125">
        <v>134.53063771199999</v>
      </c>
      <c r="AW1229" s="125" t="s">
        <v>252</v>
      </c>
      <c r="AX1229" s="125">
        <f t="shared" si="4"/>
        <v>932.81530123829998</v>
      </c>
      <c r="AY1229" s="125">
        <f>0.0045+0.0085+0.0243+0.0022+0.0012+0.0124+0.26+0.0047+0.0022</f>
        <v>0.31999999999999995</v>
      </c>
      <c r="AZ1229" s="181" t="s">
        <v>1429</v>
      </c>
      <c r="BA1229" s="181" t="s">
        <v>254</v>
      </c>
      <c r="BB1229" s="181">
        <v>1</v>
      </c>
      <c r="BC1229" s="125" t="s">
        <v>255</v>
      </c>
    </row>
    <row r="1230" spans="1:55" ht="16.350000000000001" customHeight="1" outlineLevel="1">
      <c r="A1230" s="92">
        <v>1220</v>
      </c>
      <c r="B1230" s="99" t="s">
        <v>914</v>
      </c>
      <c r="C1230" s="122" t="s">
        <v>901</v>
      </c>
      <c r="D1230" s="161">
        <v>30</v>
      </c>
      <c r="E1230" s="123" t="s">
        <v>734</v>
      </c>
      <c r="F1230" s="124" t="s">
        <v>1425</v>
      </c>
      <c r="G1230" s="133" t="s">
        <v>247</v>
      </c>
      <c r="H1230" s="334" t="s">
        <v>248</v>
      </c>
      <c r="I1230" s="334" t="s">
        <v>1426</v>
      </c>
      <c r="J1230" s="317" t="s">
        <v>139</v>
      </c>
      <c r="K1230" s="317" t="s">
        <v>140</v>
      </c>
      <c r="L1230" s="334">
        <v>1</v>
      </c>
      <c r="M1230" s="334" t="s">
        <v>250</v>
      </c>
      <c r="N1230" s="315">
        <v>50</v>
      </c>
      <c r="O1230" s="315">
        <v>6</v>
      </c>
      <c r="P1230" s="315" t="s">
        <v>1429</v>
      </c>
      <c r="Q1230" s="317" t="s">
        <v>233</v>
      </c>
      <c r="R1230" s="276" t="s">
        <v>240</v>
      </c>
      <c r="S1230" s="320" t="s">
        <v>233</v>
      </c>
      <c r="T1230" s="276" t="s">
        <v>240</v>
      </c>
      <c r="U1230" s="334" t="s">
        <v>1427</v>
      </c>
      <c r="V1230" s="276" t="s">
        <v>240</v>
      </c>
      <c r="W1230" s="189"/>
      <c r="X1230" s="292">
        <v>1004.6</v>
      </c>
      <c r="Y1230" s="295">
        <v>1085.68</v>
      </c>
      <c r="Z1230" s="297">
        <v>132.68319540000002</v>
      </c>
      <c r="AA1230" s="299" t="s">
        <v>252</v>
      </c>
      <c r="AB1230" s="292">
        <v>96.069509999999994</v>
      </c>
      <c r="AC1230" s="299" t="s">
        <v>252</v>
      </c>
      <c r="AD1230" s="301">
        <v>128.33659800000001</v>
      </c>
      <c r="AE1230" s="292" t="s">
        <v>252</v>
      </c>
      <c r="AF1230" s="292">
        <v>102.04274199999999</v>
      </c>
      <c r="AG1230" s="292" t="s">
        <v>252</v>
      </c>
      <c r="AH1230" s="292">
        <v>26.645016999999996</v>
      </c>
      <c r="AI1230" s="292" t="s">
        <v>252</v>
      </c>
      <c r="AJ1230" s="292">
        <v>0</v>
      </c>
      <c r="AK1230" s="292">
        <v>0</v>
      </c>
      <c r="AL1230" s="292">
        <v>0</v>
      </c>
      <c r="AM1230" s="292">
        <v>0</v>
      </c>
      <c r="AN1230" s="292">
        <v>0</v>
      </c>
      <c r="AO1230" s="292">
        <v>0</v>
      </c>
      <c r="AP1230" s="292">
        <v>0</v>
      </c>
      <c r="AQ1230" s="292">
        <v>0</v>
      </c>
      <c r="AR1230" s="292">
        <v>107.06848453080001</v>
      </c>
      <c r="AS1230" s="292" t="s">
        <v>312</v>
      </c>
      <c r="AT1230" s="292">
        <v>73.704833999999991</v>
      </c>
      <c r="AU1230" s="292" t="s">
        <v>252</v>
      </c>
      <c r="AV1230" s="292">
        <v>90.729504000000006</v>
      </c>
      <c r="AW1230" s="292" t="s">
        <v>252</v>
      </c>
      <c r="AX1230" s="292">
        <f t="shared" si="4"/>
        <v>757.27988493080011</v>
      </c>
      <c r="AY1230" s="338">
        <f>0.0773+0.2227</f>
        <v>0.3</v>
      </c>
      <c r="AZ1230" s="312" t="s">
        <v>1429</v>
      </c>
      <c r="BA1230" s="312" t="s">
        <v>254</v>
      </c>
      <c r="BB1230" s="312">
        <v>1</v>
      </c>
      <c r="BC1230" s="336" t="s">
        <v>255</v>
      </c>
    </row>
    <row r="1231" spans="1:55" ht="16.350000000000001" customHeight="1" outlineLevel="1">
      <c r="A1231" s="92">
        <v>1221</v>
      </c>
      <c r="B1231" s="99" t="s">
        <v>917</v>
      </c>
      <c r="C1231" s="122" t="s">
        <v>901</v>
      </c>
      <c r="D1231" s="161">
        <v>30</v>
      </c>
      <c r="E1231" s="123" t="s">
        <v>737</v>
      </c>
      <c r="F1231" s="124" t="s">
        <v>1425</v>
      </c>
      <c r="G1231" s="133" t="s">
        <v>247</v>
      </c>
      <c r="H1231" s="335"/>
      <c r="I1231" s="335"/>
      <c r="J1231" s="319"/>
      <c r="K1231" s="319"/>
      <c r="L1231" s="335"/>
      <c r="M1231" s="335"/>
      <c r="N1231" s="315"/>
      <c r="O1231" s="315"/>
      <c r="P1231" s="315"/>
      <c r="Q1231" s="319"/>
      <c r="R1231" s="276" t="s">
        <v>240</v>
      </c>
      <c r="S1231" s="320"/>
      <c r="T1231" s="276" t="s">
        <v>240</v>
      </c>
      <c r="U1231" s="335"/>
      <c r="V1231" s="276" t="s">
        <v>240</v>
      </c>
      <c r="W1231" s="190"/>
      <c r="X1231" s="294"/>
      <c r="Y1231" s="296"/>
      <c r="Z1231" s="298"/>
      <c r="AA1231" s="300"/>
      <c r="AB1231" s="294"/>
      <c r="AC1231" s="300"/>
      <c r="AD1231" s="302"/>
      <c r="AE1231" s="294"/>
      <c r="AF1231" s="294"/>
      <c r="AG1231" s="294"/>
      <c r="AH1231" s="294"/>
      <c r="AI1231" s="294"/>
      <c r="AJ1231" s="294"/>
      <c r="AK1231" s="294"/>
      <c r="AL1231" s="294"/>
      <c r="AM1231" s="294"/>
      <c r="AN1231" s="294"/>
      <c r="AO1231" s="294"/>
      <c r="AP1231" s="294"/>
      <c r="AQ1231" s="294"/>
      <c r="AR1231" s="294"/>
      <c r="AS1231" s="294"/>
      <c r="AT1231" s="294"/>
      <c r="AU1231" s="294"/>
      <c r="AV1231" s="294"/>
      <c r="AW1231" s="294"/>
      <c r="AX1231" s="294">
        <f t="shared" si="4"/>
        <v>0</v>
      </c>
      <c r="AY1231" s="368"/>
      <c r="AZ1231" s="312"/>
      <c r="BA1231" s="312"/>
      <c r="BB1231" s="312"/>
      <c r="BC1231" s="337"/>
    </row>
    <row r="1232" spans="1:55" ht="16.350000000000001" customHeight="1" outlineLevel="1">
      <c r="A1232" s="92">
        <v>1222</v>
      </c>
      <c r="B1232" s="99" t="s">
        <v>918</v>
      </c>
      <c r="C1232" s="122" t="s">
        <v>901</v>
      </c>
      <c r="D1232" s="161">
        <v>32</v>
      </c>
      <c r="E1232" s="123" t="s">
        <v>734</v>
      </c>
      <c r="F1232" s="124" t="s">
        <v>1425</v>
      </c>
      <c r="G1232" s="133" t="s">
        <v>281</v>
      </c>
      <c r="H1232" s="134" t="s">
        <v>248</v>
      </c>
      <c r="I1232" s="134" t="s">
        <v>1426</v>
      </c>
      <c r="J1232" s="134" t="s">
        <v>139</v>
      </c>
      <c r="K1232" s="124" t="s">
        <v>140</v>
      </c>
      <c r="L1232" s="174">
        <v>1</v>
      </c>
      <c r="M1232" s="174" t="s">
        <v>250</v>
      </c>
      <c r="N1232" s="184">
        <v>100</v>
      </c>
      <c r="O1232" s="184">
        <v>6</v>
      </c>
      <c r="P1232" s="184" t="s">
        <v>1429</v>
      </c>
      <c r="Q1232" s="174" t="s">
        <v>233</v>
      </c>
      <c r="R1232" s="276" t="s">
        <v>240</v>
      </c>
      <c r="S1232" s="276" t="s">
        <v>233</v>
      </c>
      <c r="T1232" s="276" t="s">
        <v>240</v>
      </c>
      <c r="U1232" s="174" t="s">
        <v>1427</v>
      </c>
      <c r="V1232" s="276" t="s">
        <v>240</v>
      </c>
      <c r="W1232" s="130"/>
      <c r="X1232" s="125">
        <v>960.68</v>
      </c>
      <c r="Y1232" s="126">
        <v>966.29</v>
      </c>
      <c r="Z1232" s="127">
        <v>150.74844959999999</v>
      </c>
      <c r="AA1232" s="128" t="s">
        <v>252</v>
      </c>
      <c r="AB1232" s="125">
        <v>106.042095</v>
      </c>
      <c r="AC1232" s="128" t="s">
        <v>252</v>
      </c>
      <c r="AD1232" s="129">
        <v>147.02012999999999</v>
      </c>
      <c r="AE1232" s="125" t="s">
        <v>252</v>
      </c>
      <c r="AF1232" s="125">
        <v>86.270272000000006</v>
      </c>
      <c r="AG1232" s="125" t="s">
        <v>252</v>
      </c>
      <c r="AH1232" s="125">
        <v>20.811</v>
      </c>
      <c r="AI1232" s="125" t="s">
        <v>252</v>
      </c>
      <c r="AJ1232" s="125">
        <v>0</v>
      </c>
      <c r="AK1232" s="125">
        <v>0</v>
      </c>
      <c r="AL1232" s="125">
        <v>0</v>
      </c>
      <c r="AM1232" s="125">
        <v>0</v>
      </c>
      <c r="AN1232" s="125">
        <v>0</v>
      </c>
      <c r="AO1232" s="125">
        <v>0</v>
      </c>
      <c r="AP1232" s="125">
        <v>0</v>
      </c>
      <c r="AQ1232" s="125">
        <v>0</v>
      </c>
      <c r="AR1232" s="125">
        <v>98.812212000000002</v>
      </c>
      <c r="AS1232" s="125" t="s">
        <v>252</v>
      </c>
      <c r="AT1232" s="125">
        <v>79.553547000000009</v>
      </c>
      <c r="AU1232" s="125" t="s">
        <v>252</v>
      </c>
      <c r="AV1232" s="125">
        <v>102.20563200000001</v>
      </c>
      <c r="AW1232" s="125" t="s">
        <v>252</v>
      </c>
      <c r="AX1232" s="125">
        <f t="shared" si="4"/>
        <v>791.46333759999993</v>
      </c>
      <c r="AY1232" s="125">
        <f>0.2535+0.0465</f>
        <v>0.3</v>
      </c>
      <c r="AZ1232" s="181" t="s">
        <v>1429</v>
      </c>
      <c r="BA1232" s="181" t="s">
        <v>254</v>
      </c>
      <c r="BB1232" s="181">
        <v>1</v>
      </c>
      <c r="BC1232" s="125" t="s">
        <v>255</v>
      </c>
    </row>
    <row r="1233" spans="1:55" ht="16.350000000000001" customHeight="1" outlineLevel="1">
      <c r="A1233" s="92">
        <v>1223</v>
      </c>
      <c r="B1233" s="99" t="s">
        <v>919</v>
      </c>
      <c r="C1233" s="122" t="s">
        <v>901</v>
      </c>
      <c r="D1233" s="161">
        <v>4</v>
      </c>
      <c r="E1233" s="123" t="s">
        <v>734</v>
      </c>
      <c r="F1233" s="124" t="s">
        <v>1425</v>
      </c>
      <c r="G1233" s="133" t="s">
        <v>281</v>
      </c>
      <c r="H1233" s="134" t="s">
        <v>248</v>
      </c>
      <c r="I1233" s="134" t="s">
        <v>1426</v>
      </c>
      <c r="J1233" s="134" t="s">
        <v>139</v>
      </c>
      <c r="K1233" s="124" t="s">
        <v>140</v>
      </c>
      <c r="L1233" s="174">
        <v>1</v>
      </c>
      <c r="M1233" s="174" t="s">
        <v>250</v>
      </c>
      <c r="N1233" s="184">
        <v>89</v>
      </c>
      <c r="O1233" s="184">
        <v>6</v>
      </c>
      <c r="P1233" s="184" t="s">
        <v>1429</v>
      </c>
      <c r="Q1233" s="174" t="s">
        <v>233</v>
      </c>
      <c r="R1233" s="276" t="s">
        <v>240</v>
      </c>
      <c r="S1233" s="276" t="s">
        <v>233</v>
      </c>
      <c r="T1233" s="276" t="s">
        <v>240</v>
      </c>
      <c r="U1233" s="174" t="s">
        <v>1427</v>
      </c>
      <c r="V1233" s="276" t="s">
        <v>240</v>
      </c>
      <c r="W1233" s="130"/>
      <c r="X1233" s="125">
        <v>827.24</v>
      </c>
      <c r="Y1233" s="126">
        <v>803.17</v>
      </c>
      <c r="Z1233" s="127">
        <v>52.094347200000001</v>
      </c>
      <c r="AA1233" s="128" t="s">
        <v>252</v>
      </c>
      <c r="AB1233" s="125">
        <v>29.596589999999999</v>
      </c>
      <c r="AC1233" s="128" t="s">
        <v>252</v>
      </c>
      <c r="AD1233" s="129">
        <v>49.970052000000003</v>
      </c>
      <c r="AE1233" s="125" t="s">
        <v>252</v>
      </c>
      <c r="AF1233" s="125">
        <v>22.666502000000001</v>
      </c>
      <c r="AG1233" s="125" t="s">
        <v>252</v>
      </c>
      <c r="AH1233" s="125">
        <v>8.5463839999999998</v>
      </c>
      <c r="AI1233" s="125" t="s">
        <v>252</v>
      </c>
      <c r="AJ1233" s="125">
        <v>0</v>
      </c>
      <c r="AK1233" s="125">
        <v>0</v>
      </c>
      <c r="AL1233" s="125">
        <v>0</v>
      </c>
      <c r="AM1233" s="125">
        <v>0</v>
      </c>
      <c r="AN1233" s="125">
        <v>0</v>
      </c>
      <c r="AO1233" s="125">
        <v>0</v>
      </c>
      <c r="AP1233" s="125">
        <v>0</v>
      </c>
      <c r="AQ1233" s="125">
        <v>0</v>
      </c>
      <c r="AR1233" s="125">
        <v>29.611980000000003</v>
      </c>
      <c r="AS1233" s="125" t="s">
        <v>252</v>
      </c>
      <c r="AT1233" s="125">
        <v>30.111794999999997</v>
      </c>
      <c r="AU1233" s="125" t="s">
        <v>252</v>
      </c>
      <c r="AV1233" s="125">
        <v>37.874544</v>
      </c>
      <c r="AW1233" s="125" t="s">
        <v>252</v>
      </c>
      <c r="AX1233" s="125">
        <f t="shared" si="4"/>
        <v>260.47219419999999</v>
      </c>
      <c r="AY1233" s="216">
        <f>0.0043+0.0011+0.1022+0.0077+0.0047</f>
        <v>0.12</v>
      </c>
      <c r="AZ1233" s="181" t="s">
        <v>1429</v>
      </c>
      <c r="BA1233" s="181" t="s">
        <v>254</v>
      </c>
      <c r="BB1233" s="181">
        <v>1</v>
      </c>
      <c r="BC1233" s="125" t="s">
        <v>255</v>
      </c>
    </row>
    <row r="1234" spans="1:55" ht="16.350000000000001" customHeight="1" outlineLevel="1">
      <c r="A1234" s="92">
        <v>1224</v>
      </c>
      <c r="B1234" s="99" t="s">
        <v>920</v>
      </c>
      <c r="C1234" s="122" t="s">
        <v>901</v>
      </c>
      <c r="D1234" s="161">
        <v>5</v>
      </c>
      <c r="E1234" s="123" t="s">
        <v>734</v>
      </c>
      <c r="F1234" s="124" t="s">
        <v>1425</v>
      </c>
      <c r="G1234" s="133" t="s">
        <v>281</v>
      </c>
      <c r="H1234" s="134" t="s">
        <v>248</v>
      </c>
      <c r="I1234" s="134" t="s">
        <v>1426</v>
      </c>
      <c r="J1234" s="134" t="s">
        <v>139</v>
      </c>
      <c r="K1234" s="124" t="s">
        <v>140</v>
      </c>
      <c r="L1234" s="174">
        <v>1</v>
      </c>
      <c r="M1234" s="174" t="s">
        <v>250</v>
      </c>
      <c r="N1234" s="184">
        <v>89</v>
      </c>
      <c r="O1234" s="184">
        <v>6</v>
      </c>
      <c r="P1234" s="184" t="s">
        <v>1429</v>
      </c>
      <c r="Q1234" s="174" t="s">
        <v>233</v>
      </c>
      <c r="R1234" s="276" t="s">
        <v>240</v>
      </c>
      <c r="S1234" s="276" t="s">
        <v>233</v>
      </c>
      <c r="T1234" s="276" t="s">
        <v>240</v>
      </c>
      <c r="U1234" s="174" t="s">
        <v>1427</v>
      </c>
      <c r="V1234" s="276" t="s">
        <v>240</v>
      </c>
      <c r="W1234" s="130"/>
      <c r="X1234" s="125">
        <v>723.93</v>
      </c>
      <c r="Y1234" s="126">
        <v>725.82</v>
      </c>
      <c r="Z1234" s="127">
        <v>109.02281459999999</v>
      </c>
      <c r="AA1234" s="128" t="s">
        <v>252</v>
      </c>
      <c r="AB1234" s="125">
        <v>60.156675</v>
      </c>
      <c r="AC1234" s="128" t="s">
        <v>252</v>
      </c>
      <c r="AD1234" s="129">
        <v>110.87271000000001</v>
      </c>
      <c r="AE1234" s="125" t="s">
        <v>252</v>
      </c>
      <c r="AF1234" s="125">
        <v>49.151601999999997</v>
      </c>
      <c r="AG1234" s="125" t="s">
        <v>252</v>
      </c>
      <c r="AH1234" s="125">
        <v>18.001514999999998</v>
      </c>
      <c r="AI1234" s="125" t="s">
        <v>252</v>
      </c>
      <c r="AJ1234" s="125">
        <v>0</v>
      </c>
      <c r="AK1234" s="125">
        <v>0</v>
      </c>
      <c r="AL1234" s="125">
        <v>0</v>
      </c>
      <c r="AM1234" s="125">
        <v>0</v>
      </c>
      <c r="AN1234" s="125">
        <v>0</v>
      </c>
      <c r="AO1234" s="125">
        <v>0</v>
      </c>
      <c r="AP1234" s="125">
        <v>0</v>
      </c>
      <c r="AQ1234" s="125">
        <v>0</v>
      </c>
      <c r="AR1234" s="125">
        <v>79.032798563999989</v>
      </c>
      <c r="AS1234" s="125" t="s">
        <v>312</v>
      </c>
      <c r="AT1234" s="125">
        <v>68.253968454300008</v>
      </c>
      <c r="AU1234" s="125" t="s">
        <v>312</v>
      </c>
      <c r="AV1234" s="125">
        <v>74.800669891200002</v>
      </c>
      <c r="AW1234" s="125" t="s">
        <v>312</v>
      </c>
      <c r="AX1234" s="125">
        <f t="shared" si="4"/>
        <v>569.2927535094999</v>
      </c>
      <c r="AY1234" s="125">
        <f>0.23</f>
        <v>0.23</v>
      </c>
      <c r="AZ1234" s="181" t="s">
        <v>1429</v>
      </c>
      <c r="BA1234" s="181" t="s">
        <v>254</v>
      </c>
      <c r="BB1234" s="181">
        <v>1</v>
      </c>
      <c r="BC1234" s="125" t="s">
        <v>255</v>
      </c>
    </row>
    <row r="1235" spans="1:55" ht="16.350000000000001" customHeight="1" outlineLevel="1">
      <c r="A1235" s="92">
        <v>1225</v>
      </c>
      <c r="B1235" s="99" t="s">
        <v>921</v>
      </c>
      <c r="C1235" s="122" t="s">
        <v>901</v>
      </c>
      <c r="D1235" s="161">
        <v>6</v>
      </c>
      <c r="E1235" s="123" t="s">
        <v>734</v>
      </c>
      <c r="F1235" s="124" t="s">
        <v>1425</v>
      </c>
      <c r="G1235" s="133" t="s">
        <v>281</v>
      </c>
      <c r="H1235" s="134" t="s">
        <v>248</v>
      </c>
      <c r="I1235" s="134" t="s">
        <v>1426</v>
      </c>
      <c r="J1235" s="134" t="s">
        <v>139</v>
      </c>
      <c r="K1235" s="124" t="s">
        <v>140</v>
      </c>
      <c r="L1235" s="174">
        <v>1</v>
      </c>
      <c r="M1235" s="174" t="s">
        <v>250</v>
      </c>
      <c r="N1235" s="184">
        <v>89</v>
      </c>
      <c r="O1235" s="184">
        <v>6</v>
      </c>
      <c r="P1235" s="184" t="s">
        <v>1429</v>
      </c>
      <c r="Q1235" s="174" t="s">
        <v>233</v>
      </c>
      <c r="R1235" s="276" t="s">
        <v>240</v>
      </c>
      <c r="S1235" s="276" t="s">
        <v>233</v>
      </c>
      <c r="T1235" s="276" t="s">
        <v>240</v>
      </c>
      <c r="U1235" s="174" t="s">
        <v>1427</v>
      </c>
      <c r="V1235" s="276" t="s">
        <v>240</v>
      </c>
      <c r="W1235" s="130"/>
      <c r="X1235" s="125">
        <v>827.24</v>
      </c>
      <c r="Y1235" s="126">
        <v>803.17</v>
      </c>
      <c r="Z1235" s="127">
        <v>142.51574400000001</v>
      </c>
      <c r="AA1235" s="128" t="s">
        <v>252</v>
      </c>
      <c r="AB1235" s="125">
        <v>81.279449999999997</v>
      </c>
      <c r="AC1235" s="128" t="s">
        <v>252</v>
      </c>
      <c r="AD1235" s="129">
        <v>136.715022</v>
      </c>
      <c r="AE1235" s="125" t="s">
        <v>252</v>
      </c>
      <c r="AF1235" s="125">
        <v>62.014663999999996</v>
      </c>
      <c r="AG1235" s="125" t="s">
        <v>252</v>
      </c>
      <c r="AH1235" s="125">
        <v>23.211202</v>
      </c>
      <c r="AI1235" s="125" t="s">
        <v>252</v>
      </c>
      <c r="AJ1235" s="125">
        <v>0</v>
      </c>
      <c r="AK1235" s="125">
        <v>0</v>
      </c>
      <c r="AL1235" s="125">
        <v>0</v>
      </c>
      <c r="AM1235" s="125">
        <v>0</v>
      </c>
      <c r="AN1235" s="125">
        <v>0</v>
      </c>
      <c r="AO1235" s="125">
        <v>0</v>
      </c>
      <c r="AP1235" s="125">
        <v>0</v>
      </c>
      <c r="AQ1235" s="125">
        <v>0</v>
      </c>
      <c r="AR1235" s="125">
        <v>80.947535999999999</v>
      </c>
      <c r="AS1235" s="125" t="s">
        <v>252</v>
      </c>
      <c r="AT1235" s="125">
        <v>82.371347999999998</v>
      </c>
      <c r="AU1235" s="125" t="s">
        <v>252</v>
      </c>
      <c r="AV1235" s="125">
        <v>103.567488</v>
      </c>
      <c r="AW1235" s="125" t="s">
        <v>252</v>
      </c>
      <c r="AX1235" s="125">
        <f t="shared" si="4"/>
        <v>712.62245400000006</v>
      </c>
      <c r="AY1235" s="216">
        <f>0.2742+0.0079+0.0147+0.0092+0.004</f>
        <v>0.31</v>
      </c>
      <c r="AZ1235" s="181" t="s">
        <v>1429</v>
      </c>
      <c r="BA1235" s="181" t="s">
        <v>254</v>
      </c>
      <c r="BB1235" s="181">
        <v>1</v>
      </c>
      <c r="BC1235" s="125" t="s">
        <v>255</v>
      </c>
    </row>
    <row r="1236" spans="1:55" ht="16.350000000000001" customHeight="1" outlineLevel="1">
      <c r="A1236" s="92">
        <v>1226</v>
      </c>
      <c r="B1236" s="99" t="s">
        <v>922</v>
      </c>
      <c r="C1236" s="122" t="s">
        <v>901</v>
      </c>
      <c r="D1236" s="161">
        <v>7</v>
      </c>
      <c r="E1236" s="123" t="s">
        <v>734</v>
      </c>
      <c r="F1236" s="124" t="s">
        <v>1425</v>
      </c>
      <c r="G1236" s="133" t="s">
        <v>281</v>
      </c>
      <c r="H1236" s="134" t="s">
        <v>248</v>
      </c>
      <c r="I1236" s="134" t="s">
        <v>1426</v>
      </c>
      <c r="J1236" s="134" t="s">
        <v>139</v>
      </c>
      <c r="K1236" s="124" t="s">
        <v>140</v>
      </c>
      <c r="L1236" s="174">
        <v>1</v>
      </c>
      <c r="M1236" s="174" t="s">
        <v>250</v>
      </c>
      <c r="N1236" s="184">
        <v>89</v>
      </c>
      <c r="O1236" s="184">
        <v>6</v>
      </c>
      <c r="P1236" s="184" t="s">
        <v>1429</v>
      </c>
      <c r="Q1236" s="174" t="s">
        <v>233</v>
      </c>
      <c r="R1236" s="276" t="s">
        <v>240</v>
      </c>
      <c r="S1236" s="276" t="s">
        <v>233</v>
      </c>
      <c r="T1236" s="276" t="s">
        <v>240</v>
      </c>
      <c r="U1236" s="174" t="s">
        <v>1427</v>
      </c>
      <c r="V1236" s="276" t="s">
        <v>240</v>
      </c>
      <c r="W1236" s="130"/>
      <c r="X1236" s="125">
        <v>879.92</v>
      </c>
      <c r="Y1236" s="126">
        <v>860.1</v>
      </c>
      <c r="Z1236" s="127">
        <v>114.32391599999998</v>
      </c>
      <c r="AA1236" s="128" t="s">
        <v>252</v>
      </c>
      <c r="AB1236" s="125">
        <v>82.679400000000001</v>
      </c>
      <c r="AC1236" s="128" t="s">
        <v>252</v>
      </c>
      <c r="AD1236" s="129">
        <v>113.72738400000001</v>
      </c>
      <c r="AE1236" s="125" t="s">
        <v>252</v>
      </c>
      <c r="AF1236" s="125">
        <v>70.047159999999991</v>
      </c>
      <c r="AG1236" s="125" t="s">
        <v>252</v>
      </c>
      <c r="AH1236" s="125">
        <v>21.983353000000001</v>
      </c>
      <c r="AI1236" s="125" t="s">
        <v>252</v>
      </c>
      <c r="AJ1236" s="125">
        <v>0</v>
      </c>
      <c r="AK1236" s="125">
        <v>0</v>
      </c>
      <c r="AL1236" s="125">
        <v>0</v>
      </c>
      <c r="AM1236" s="125">
        <v>0</v>
      </c>
      <c r="AN1236" s="125">
        <v>0</v>
      </c>
      <c r="AO1236" s="125">
        <v>0</v>
      </c>
      <c r="AP1236" s="125">
        <v>0</v>
      </c>
      <c r="AQ1236" s="125">
        <v>0</v>
      </c>
      <c r="AR1236" s="125">
        <v>63.440316000000003</v>
      </c>
      <c r="AS1236" s="125" t="s">
        <v>252</v>
      </c>
      <c r="AT1236" s="125">
        <v>56.837493000000002</v>
      </c>
      <c r="AU1236" s="125" t="s">
        <v>252</v>
      </c>
      <c r="AV1236" s="125">
        <v>72.062111999999999</v>
      </c>
      <c r="AW1236" s="125" t="s">
        <v>252</v>
      </c>
      <c r="AX1236" s="125">
        <f t="shared" si="4"/>
        <v>595.101134</v>
      </c>
      <c r="AY1236" s="125">
        <f>0.2456+0.0344</f>
        <v>0.28000000000000003</v>
      </c>
      <c r="AZ1236" s="181" t="s">
        <v>1429</v>
      </c>
      <c r="BA1236" s="181" t="s">
        <v>254</v>
      </c>
      <c r="BB1236" s="181">
        <v>1</v>
      </c>
      <c r="BC1236" s="125" t="s">
        <v>255</v>
      </c>
    </row>
    <row r="1237" spans="1:55" ht="16.350000000000001" customHeight="1" outlineLevel="1">
      <c r="A1237" s="92">
        <v>1227</v>
      </c>
      <c r="B1237" s="99" t="s">
        <v>923</v>
      </c>
      <c r="C1237" s="122" t="s">
        <v>901</v>
      </c>
      <c r="D1237" s="161">
        <v>8</v>
      </c>
      <c r="E1237" s="123" t="s">
        <v>734</v>
      </c>
      <c r="F1237" s="124" t="s">
        <v>1425</v>
      </c>
      <c r="G1237" s="133" t="s">
        <v>281</v>
      </c>
      <c r="H1237" s="134" t="s">
        <v>248</v>
      </c>
      <c r="I1237" s="134" t="s">
        <v>1426</v>
      </c>
      <c r="J1237" s="134" t="s">
        <v>139</v>
      </c>
      <c r="K1237" s="124" t="s">
        <v>140</v>
      </c>
      <c r="L1237" s="174">
        <v>1</v>
      </c>
      <c r="M1237" s="174" t="s">
        <v>250</v>
      </c>
      <c r="N1237" s="184">
        <v>89</v>
      </c>
      <c r="O1237" s="184">
        <v>6</v>
      </c>
      <c r="P1237" s="184" t="s">
        <v>1429</v>
      </c>
      <c r="Q1237" s="174" t="s">
        <v>233</v>
      </c>
      <c r="R1237" s="276" t="s">
        <v>240</v>
      </c>
      <c r="S1237" s="276" t="s">
        <v>233</v>
      </c>
      <c r="T1237" s="276" t="s">
        <v>240</v>
      </c>
      <c r="U1237" s="174" t="s">
        <v>1427</v>
      </c>
      <c r="V1237" s="276" t="s">
        <v>240</v>
      </c>
      <c r="W1237" s="130"/>
      <c r="X1237" s="125">
        <v>505.64</v>
      </c>
      <c r="Y1237" s="126">
        <v>476.57</v>
      </c>
      <c r="Z1237" s="127">
        <v>60.966990000000003</v>
      </c>
      <c r="AA1237" s="128" t="s">
        <v>252</v>
      </c>
      <c r="AB1237" s="125">
        <v>44.057250000000003</v>
      </c>
      <c r="AC1237" s="128" t="s">
        <v>252</v>
      </c>
      <c r="AD1237" s="129">
        <v>63.721979999999995</v>
      </c>
      <c r="AE1237" s="125" t="s">
        <v>252</v>
      </c>
      <c r="AF1237" s="125">
        <v>32.857336000000004</v>
      </c>
      <c r="AG1237" s="125" t="s">
        <v>252</v>
      </c>
      <c r="AH1237" s="125">
        <v>8.8308009999999992</v>
      </c>
      <c r="AI1237" s="125" t="s">
        <v>252</v>
      </c>
      <c r="AJ1237" s="125">
        <v>0</v>
      </c>
      <c r="AK1237" s="125">
        <v>0</v>
      </c>
      <c r="AL1237" s="125">
        <v>0</v>
      </c>
      <c r="AM1237" s="125">
        <v>0</v>
      </c>
      <c r="AN1237" s="125">
        <v>0</v>
      </c>
      <c r="AO1237" s="125">
        <v>0</v>
      </c>
      <c r="AP1237" s="125">
        <v>0</v>
      </c>
      <c r="AQ1237" s="125">
        <v>0</v>
      </c>
      <c r="AR1237" s="125">
        <v>38.580876000000004</v>
      </c>
      <c r="AS1237" s="125" t="s">
        <v>252</v>
      </c>
      <c r="AT1237" s="125">
        <v>29.582963999999997</v>
      </c>
      <c r="AU1237" s="125" t="s">
        <v>252</v>
      </c>
      <c r="AV1237" s="125">
        <v>47.889168000000005</v>
      </c>
      <c r="AW1237" s="125" t="s">
        <v>252</v>
      </c>
      <c r="AX1237" s="125">
        <f t="shared" si="4"/>
        <v>326.48736500000001</v>
      </c>
      <c r="AY1237" s="125">
        <f>0.0141+0.1559</f>
        <v>0.17</v>
      </c>
      <c r="AZ1237" s="181" t="s">
        <v>1429</v>
      </c>
      <c r="BA1237" s="181" t="s">
        <v>254</v>
      </c>
      <c r="BB1237" s="181">
        <v>1</v>
      </c>
      <c r="BC1237" s="125" t="s">
        <v>255</v>
      </c>
    </row>
    <row r="1238" spans="1:55" ht="16.350000000000001" customHeight="1" outlineLevel="1">
      <c r="A1238" s="92">
        <v>1228</v>
      </c>
      <c r="B1238" s="99" t="s">
        <v>924</v>
      </c>
      <c r="C1238" s="122" t="s">
        <v>901</v>
      </c>
      <c r="D1238" s="161">
        <v>9</v>
      </c>
      <c r="E1238" s="123" t="s">
        <v>734</v>
      </c>
      <c r="F1238" s="124" t="s">
        <v>1425</v>
      </c>
      <c r="G1238" s="133" t="s">
        <v>281</v>
      </c>
      <c r="H1238" s="134" t="s">
        <v>248</v>
      </c>
      <c r="I1238" s="134" t="s">
        <v>1426</v>
      </c>
      <c r="J1238" s="134" t="s">
        <v>139</v>
      </c>
      <c r="K1238" s="124" t="s">
        <v>140</v>
      </c>
      <c r="L1238" s="174">
        <v>1</v>
      </c>
      <c r="M1238" s="174" t="s">
        <v>250</v>
      </c>
      <c r="N1238" s="184">
        <v>80</v>
      </c>
      <c r="O1238" s="184">
        <v>6</v>
      </c>
      <c r="P1238" s="184" t="s">
        <v>1429</v>
      </c>
      <c r="Q1238" s="174" t="s">
        <v>233</v>
      </c>
      <c r="R1238" s="276" t="s">
        <v>240</v>
      </c>
      <c r="S1238" s="276" t="s">
        <v>233</v>
      </c>
      <c r="T1238" s="276" t="s">
        <v>240</v>
      </c>
      <c r="U1238" s="174" t="s">
        <v>1427</v>
      </c>
      <c r="V1238" s="276" t="s">
        <v>240</v>
      </c>
      <c r="W1238" s="130"/>
      <c r="X1238" s="125">
        <v>528.16</v>
      </c>
      <c r="Y1238" s="126">
        <v>520.02</v>
      </c>
      <c r="Z1238" s="127">
        <v>79.775954999999996</v>
      </c>
      <c r="AA1238" s="128" t="s">
        <v>252</v>
      </c>
      <c r="AB1238" s="125">
        <v>56.68974</v>
      </c>
      <c r="AC1238" s="128" t="s">
        <v>252</v>
      </c>
      <c r="AD1238" s="129">
        <v>80.010413999999997</v>
      </c>
      <c r="AE1238" s="125" t="s">
        <v>252</v>
      </c>
      <c r="AF1238" s="125">
        <v>45.277661999999999</v>
      </c>
      <c r="AG1238" s="125" t="s">
        <v>252</v>
      </c>
      <c r="AH1238" s="125">
        <v>15.920414999999998</v>
      </c>
      <c r="AI1238" s="125" t="s">
        <v>252</v>
      </c>
      <c r="AJ1238" s="125">
        <v>0</v>
      </c>
      <c r="AK1238" s="125">
        <v>0</v>
      </c>
      <c r="AL1238" s="125">
        <v>0</v>
      </c>
      <c r="AM1238" s="125">
        <v>0</v>
      </c>
      <c r="AN1238" s="125">
        <v>0</v>
      </c>
      <c r="AO1238" s="125">
        <v>0</v>
      </c>
      <c r="AP1238" s="125">
        <v>0</v>
      </c>
      <c r="AQ1238" s="125">
        <v>0</v>
      </c>
      <c r="AR1238" s="125">
        <v>48.094080000000005</v>
      </c>
      <c r="AS1238" s="125" t="s">
        <v>252</v>
      </c>
      <c r="AT1238" s="125">
        <v>34.863381000000004</v>
      </c>
      <c r="AU1238" s="125" t="s">
        <v>252</v>
      </c>
      <c r="AV1238" s="125">
        <v>51.808655999999999</v>
      </c>
      <c r="AW1238" s="125" t="s">
        <v>252</v>
      </c>
      <c r="AX1238" s="125">
        <f t="shared" si="4"/>
        <v>412.44030299999997</v>
      </c>
      <c r="AY1238" s="125">
        <f>0.17</f>
        <v>0.17</v>
      </c>
      <c r="AZ1238" s="181" t="s">
        <v>1429</v>
      </c>
      <c r="BA1238" s="181" t="s">
        <v>254</v>
      </c>
      <c r="BB1238" s="181">
        <v>1</v>
      </c>
      <c r="BC1238" s="125" t="s">
        <v>255</v>
      </c>
    </row>
    <row r="1239" spans="1:55" ht="16.350000000000001" customHeight="1" outlineLevel="1">
      <c r="A1239" s="92">
        <v>1229</v>
      </c>
      <c r="B1239" s="99" t="s">
        <v>925</v>
      </c>
      <c r="C1239" s="122" t="s">
        <v>929</v>
      </c>
      <c r="D1239" s="161">
        <v>5</v>
      </c>
      <c r="E1239" s="123" t="s">
        <v>734</v>
      </c>
      <c r="F1239" s="124" t="s">
        <v>1425</v>
      </c>
      <c r="G1239" s="133" t="s">
        <v>247</v>
      </c>
      <c r="H1239" s="134" t="s">
        <v>248</v>
      </c>
      <c r="I1239" s="134" t="s">
        <v>1426</v>
      </c>
      <c r="J1239" s="134" t="s">
        <v>139</v>
      </c>
      <c r="K1239" s="124" t="s">
        <v>140</v>
      </c>
      <c r="L1239" s="174">
        <v>1</v>
      </c>
      <c r="M1239" s="174" t="s">
        <v>250</v>
      </c>
      <c r="N1239" s="184">
        <v>89</v>
      </c>
      <c r="O1239" s="184">
        <v>6</v>
      </c>
      <c r="P1239" s="184" t="s">
        <v>1429</v>
      </c>
      <c r="Q1239" s="174" t="s">
        <v>233</v>
      </c>
      <c r="R1239" s="276" t="s">
        <v>240</v>
      </c>
      <c r="S1239" s="276" t="s">
        <v>233</v>
      </c>
      <c r="T1239" s="276" t="s">
        <v>240</v>
      </c>
      <c r="U1239" s="174" t="s">
        <v>1427</v>
      </c>
      <c r="V1239" s="276" t="s">
        <v>240</v>
      </c>
      <c r="W1239" s="130"/>
      <c r="X1239" s="125">
        <v>2325.12</v>
      </c>
      <c r="Y1239" s="126">
        <v>2110.2399999999998</v>
      </c>
      <c r="Z1239" s="127">
        <v>304.70523300000002</v>
      </c>
      <c r="AA1239" s="128" t="s">
        <v>252</v>
      </c>
      <c r="AB1239" s="125">
        <v>218.94394500000001</v>
      </c>
      <c r="AC1239" s="128" t="s">
        <v>252</v>
      </c>
      <c r="AD1239" s="129">
        <v>309.51559800000001</v>
      </c>
      <c r="AE1239" s="125" t="s">
        <v>252</v>
      </c>
      <c r="AF1239" s="125">
        <v>171.43370400000001</v>
      </c>
      <c r="AG1239" s="125" t="s">
        <v>252</v>
      </c>
      <c r="AH1239" s="125">
        <v>50.785776999999996</v>
      </c>
      <c r="AI1239" s="125" t="s">
        <v>252</v>
      </c>
      <c r="AJ1239" s="125">
        <v>0</v>
      </c>
      <c r="AK1239" s="125">
        <v>0</v>
      </c>
      <c r="AL1239" s="125">
        <v>0</v>
      </c>
      <c r="AM1239" s="125">
        <v>0</v>
      </c>
      <c r="AN1239" s="125">
        <v>0</v>
      </c>
      <c r="AO1239" s="125">
        <v>0</v>
      </c>
      <c r="AP1239" s="125">
        <v>0</v>
      </c>
      <c r="AQ1239" s="125">
        <v>0</v>
      </c>
      <c r="AR1239" s="125">
        <v>182.083212</v>
      </c>
      <c r="AS1239" s="125" t="s">
        <v>252</v>
      </c>
      <c r="AT1239" s="125">
        <v>147.796425</v>
      </c>
      <c r="AU1239" s="125" t="s">
        <v>252</v>
      </c>
      <c r="AV1239" s="125">
        <v>217.78070399999999</v>
      </c>
      <c r="AW1239" s="125" t="s">
        <v>252</v>
      </c>
      <c r="AX1239" s="125">
        <f t="shared" si="4"/>
        <v>1603.0445980000002</v>
      </c>
      <c r="AY1239" s="125">
        <f>0.5472+0.0134+0.0062+0.0151+0.0018+0.0055+0.0018+0.0015+0.0217+0.0058</f>
        <v>0.62</v>
      </c>
      <c r="AZ1239" s="181" t="s">
        <v>1429</v>
      </c>
      <c r="BA1239" s="181" t="s">
        <v>254</v>
      </c>
      <c r="BB1239" s="181">
        <v>1</v>
      </c>
      <c r="BC1239" s="125" t="s">
        <v>255</v>
      </c>
    </row>
    <row r="1240" spans="1:55" ht="16.350000000000001" customHeight="1" outlineLevel="1">
      <c r="A1240" s="92">
        <v>1230</v>
      </c>
      <c r="B1240" s="99" t="s">
        <v>926</v>
      </c>
      <c r="C1240" s="122" t="s">
        <v>929</v>
      </c>
      <c r="D1240" s="161">
        <v>6</v>
      </c>
      <c r="E1240" s="123" t="s">
        <v>734</v>
      </c>
      <c r="F1240" s="124" t="s">
        <v>1234</v>
      </c>
      <c r="G1240" s="133" t="s">
        <v>247</v>
      </c>
      <c r="H1240" s="134" t="s">
        <v>1424</v>
      </c>
      <c r="I1240" s="134" t="s">
        <v>1426</v>
      </c>
      <c r="J1240" s="134" t="s">
        <v>139</v>
      </c>
      <c r="K1240" s="124" t="s">
        <v>140</v>
      </c>
      <c r="L1240" s="174">
        <v>1</v>
      </c>
      <c r="M1240" s="174" t="s">
        <v>250</v>
      </c>
      <c r="N1240" s="184">
        <v>89</v>
      </c>
      <c r="O1240" s="184">
        <v>5.7</v>
      </c>
      <c r="P1240" s="184" t="s">
        <v>253</v>
      </c>
      <c r="Q1240" s="174" t="s">
        <v>240</v>
      </c>
      <c r="R1240" s="276" t="s">
        <v>240</v>
      </c>
      <c r="S1240" s="276" t="s">
        <v>233</v>
      </c>
      <c r="T1240" s="276" t="s">
        <v>240</v>
      </c>
      <c r="U1240" s="174" t="s">
        <v>1428</v>
      </c>
      <c r="V1240" s="276" t="s">
        <v>240</v>
      </c>
      <c r="W1240" s="130"/>
      <c r="X1240" s="125">
        <v>1305.79</v>
      </c>
      <c r="Y1240" s="126">
        <v>1786.6</v>
      </c>
      <c r="Z1240" s="127">
        <f>40.49+178.43</f>
        <v>218.92000000000002</v>
      </c>
      <c r="AA1240" s="128" t="s">
        <v>259</v>
      </c>
      <c r="AB1240" s="125">
        <f>40.49+178.43</f>
        <v>218.92000000000002</v>
      </c>
      <c r="AC1240" s="128" t="s">
        <v>259</v>
      </c>
      <c r="AD1240" s="253">
        <f>40.49+178.43</f>
        <v>218.92000000000002</v>
      </c>
      <c r="AE1240" s="125" t="s">
        <v>259</v>
      </c>
      <c r="AF1240" s="125">
        <f>40.49+178.43</f>
        <v>218.92000000000002</v>
      </c>
      <c r="AG1240" s="125" t="s">
        <v>259</v>
      </c>
      <c r="AH1240" s="125">
        <f>11.75+51.81</f>
        <v>63.56</v>
      </c>
      <c r="AI1240" s="125" t="s">
        <v>259</v>
      </c>
      <c r="AJ1240" s="125">
        <v>0</v>
      </c>
      <c r="AK1240" s="125">
        <v>0</v>
      </c>
      <c r="AL1240" s="125">
        <v>0</v>
      </c>
      <c r="AM1240" s="125">
        <v>0</v>
      </c>
      <c r="AN1240" s="125">
        <v>0</v>
      </c>
      <c r="AO1240" s="125">
        <v>0</v>
      </c>
      <c r="AP1240" s="125">
        <v>0</v>
      </c>
      <c r="AQ1240" s="125">
        <v>0</v>
      </c>
      <c r="AR1240" s="125">
        <f>38.73+170.66</f>
        <v>209.39</v>
      </c>
      <c r="AS1240" s="125" t="s">
        <v>259</v>
      </c>
      <c r="AT1240" s="125">
        <f>40.02+176.35</f>
        <v>216.37</v>
      </c>
      <c r="AU1240" s="125" t="s">
        <v>259</v>
      </c>
      <c r="AV1240" s="125">
        <f>16.44+115.75</f>
        <v>132.19</v>
      </c>
      <c r="AW1240" s="125" t="s">
        <v>252</v>
      </c>
      <c r="AX1240" s="125">
        <f t="shared" si="4"/>
        <v>1497.19</v>
      </c>
      <c r="AY1240" s="125">
        <v>0.62929999999999997</v>
      </c>
      <c r="AZ1240" s="181" t="s">
        <v>253</v>
      </c>
      <c r="BA1240" s="181" t="s">
        <v>254</v>
      </c>
      <c r="BB1240" s="181" t="s">
        <v>1430</v>
      </c>
      <c r="BC1240" s="125" t="s">
        <v>255</v>
      </c>
    </row>
    <row r="1241" spans="1:55" ht="16.350000000000001" customHeight="1" outlineLevel="1">
      <c r="A1241" s="92">
        <v>1231</v>
      </c>
      <c r="B1241" s="99" t="s">
        <v>927</v>
      </c>
      <c r="C1241" s="122" t="s">
        <v>932</v>
      </c>
      <c r="D1241" s="161" t="s">
        <v>465</v>
      </c>
      <c r="E1241" s="123" t="s">
        <v>734</v>
      </c>
      <c r="F1241" s="124" t="s">
        <v>1234</v>
      </c>
      <c r="G1241" s="133" t="s">
        <v>247</v>
      </c>
      <c r="H1241" s="134" t="s">
        <v>1424</v>
      </c>
      <c r="I1241" s="134" t="s">
        <v>1426</v>
      </c>
      <c r="J1241" s="134" t="s">
        <v>139</v>
      </c>
      <c r="K1241" s="124" t="s">
        <v>140</v>
      </c>
      <c r="L1241" s="174">
        <v>1</v>
      </c>
      <c r="M1241" s="174" t="s">
        <v>250</v>
      </c>
      <c r="N1241" s="184">
        <v>89</v>
      </c>
      <c r="O1241" s="184">
        <v>6</v>
      </c>
      <c r="P1241" s="184" t="s">
        <v>1429</v>
      </c>
      <c r="Q1241" s="174" t="s">
        <v>240</v>
      </c>
      <c r="R1241" s="276" t="s">
        <v>240</v>
      </c>
      <c r="S1241" s="276" t="s">
        <v>233</v>
      </c>
      <c r="T1241" s="276" t="s">
        <v>240</v>
      </c>
      <c r="U1241" s="174" t="s">
        <v>1428</v>
      </c>
      <c r="V1241" s="276" t="s">
        <v>240</v>
      </c>
      <c r="W1241" s="130"/>
      <c r="X1241" s="125">
        <v>497.61</v>
      </c>
      <c r="Y1241" s="126">
        <v>653.71</v>
      </c>
      <c r="Z1241" s="127">
        <f>11.17+72.01</f>
        <v>83.18</v>
      </c>
      <c r="AA1241" s="128" t="s">
        <v>259</v>
      </c>
      <c r="AB1241" s="125">
        <f>25.34+208.36</f>
        <v>233.70000000000002</v>
      </c>
      <c r="AC1241" s="128" t="s">
        <v>252</v>
      </c>
      <c r="AD1241" s="253">
        <f>8.47+69.63</f>
        <v>78.099999999999994</v>
      </c>
      <c r="AE1241" s="125" t="s">
        <v>252</v>
      </c>
      <c r="AF1241" s="125">
        <f>5.01+41.19</f>
        <v>46.199999999999996</v>
      </c>
      <c r="AG1241" s="125" t="s">
        <v>252</v>
      </c>
      <c r="AH1241" s="125">
        <f>2.75+22.55</f>
        <v>25.3</v>
      </c>
      <c r="AI1241" s="125" t="s">
        <v>252</v>
      </c>
      <c r="AJ1241" s="125">
        <v>0</v>
      </c>
      <c r="AK1241" s="125">
        <v>0</v>
      </c>
      <c r="AL1241" s="125">
        <v>0</v>
      </c>
      <c r="AM1241" s="125">
        <v>0</v>
      </c>
      <c r="AN1241" s="125">
        <v>0</v>
      </c>
      <c r="AO1241" s="125">
        <v>0</v>
      </c>
      <c r="AP1241" s="125">
        <v>0</v>
      </c>
      <c r="AQ1241" s="125">
        <v>0</v>
      </c>
      <c r="AR1241" s="125">
        <f>3.03+24.92</f>
        <v>27.950000000000003</v>
      </c>
      <c r="AS1241" s="125" t="s">
        <v>259</v>
      </c>
      <c r="AT1241" s="125">
        <f>4.74+38.91</f>
        <v>43.65</v>
      </c>
      <c r="AU1241" s="125" t="s">
        <v>259</v>
      </c>
      <c r="AV1241" s="125">
        <f>6.31+51.8</f>
        <v>58.11</v>
      </c>
      <c r="AW1241" s="125" t="s">
        <v>252</v>
      </c>
      <c r="AX1241" s="125">
        <f t="shared" si="4"/>
        <v>596.19000000000005</v>
      </c>
      <c r="AY1241" s="125">
        <v>0.24990999999999999</v>
      </c>
      <c r="AZ1241" s="181" t="s">
        <v>253</v>
      </c>
      <c r="BA1241" s="181" t="s">
        <v>254</v>
      </c>
      <c r="BB1241" s="181" t="s">
        <v>1430</v>
      </c>
      <c r="BC1241" s="125" t="s">
        <v>255</v>
      </c>
    </row>
    <row r="1242" spans="1:55" ht="16.350000000000001" customHeight="1" outlineLevel="1">
      <c r="A1242" s="92">
        <v>1232</v>
      </c>
      <c r="B1242" s="99" t="s">
        <v>928</v>
      </c>
      <c r="C1242" s="122" t="s">
        <v>934</v>
      </c>
      <c r="D1242" s="161" t="s">
        <v>935</v>
      </c>
      <c r="E1242" s="123" t="s">
        <v>734</v>
      </c>
      <c r="F1242" s="124" t="s">
        <v>1425</v>
      </c>
      <c r="G1242" s="133" t="s">
        <v>247</v>
      </c>
      <c r="H1242" s="134" t="s">
        <v>248</v>
      </c>
      <c r="I1242" s="134" t="s">
        <v>1426</v>
      </c>
      <c r="J1242" s="134" t="s">
        <v>139</v>
      </c>
      <c r="K1242" s="124" t="s">
        <v>140</v>
      </c>
      <c r="L1242" s="174">
        <v>1</v>
      </c>
      <c r="M1242" s="174" t="s">
        <v>250</v>
      </c>
      <c r="N1242" s="184">
        <v>89</v>
      </c>
      <c r="O1242" s="184">
        <v>6</v>
      </c>
      <c r="P1242" s="184" t="s">
        <v>1429</v>
      </c>
      <c r="Q1242" s="174" t="s">
        <v>233</v>
      </c>
      <c r="R1242" s="276" t="s">
        <v>240</v>
      </c>
      <c r="S1242" s="276" t="s">
        <v>233</v>
      </c>
      <c r="T1242" s="276" t="s">
        <v>240</v>
      </c>
      <c r="U1242" s="174" t="s">
        <v>1427</v>
      </c>
      <c r="V1242" s="276" t="s">
        <v>240</v>
      </c>
      <c r="W1242" s="130"/>
      <c r="X1242" s="125">
        <v>1682.61</v>
      </c>
      <c r="Y1242" s="126">
        <v>1681.21</v>
      </c>
      <c r="Z1242" s="127">
        <v>219.55899419999997</v>
      </c>
      <c r="AA1242" s="128" t="s">
        <v>252</v>
      </c>
      <c r="AB1242" s="125">
        <v>168.59515500000001</v>
      </c>
      <c r="AC1242" s="128" t="s">
        <v>252</v>
      </c>
      <c r="AD1242" s="129">
        <v>221.02954200000002</v>
      </c>
      <c r="AE1242" s="125" t="s">
        <v>252</v>
      </c>
      <c r="AF1242" s="125">
        <v>133.28725399999999</v>
      </c>
      <c r="AG1242" s="125" t="s">
        <v>252</v>
      </c>
      <c r="AH1242" s="125">
        <v>39.755946999999999</v>
      </c>
      <c r="AI1242" s="125" t="s">
        <v>252</v>
      </c>
      <c r="AJ1242" s="125">
        <v>0</v>
      </c>
      <c r="AK1242" s="125">
        <v>0</v>
      </c>
      <c r="AL1242" s="125">
        <v>0</v>
      </c>
      <c r="AM1242" s="125">
        <v>0</v>
      </c>
      <c r="AN1242" s="125">
        <v>0</v>
      </c>
      <c r="AO1242" s="125">
        <v>0</v>
      </c>
      <c r="AP1242" s="125">
        <v>0</v>
      </c>
      <c r="AQ1242" s="125">
        <v>0</v>
      </c>
      <c r="AR1242" s="125">
        <v>137.33622</v>
      </c>
      <c r="AS1242" s="125" t="s">
        <v>252</v>
      </c>
      <c r="AT1242" s="125">
        <v>115.26937199999999</v>
      </c>
      <c r="AU1242" s="125" t="s">
        <v>252</v>
      </c>
      <c r="AV1242" s="125">
        <v>171.97584000000001</v>
      </c>
      <c r="AW1242" s="125" t="s">
        <v>252</v>
      </c>
      <c r="AX1242" s="125">
        <f t="shared" si="4"/>
        <v>1206.8083242</v>
      </c>
      <c r="AY1242" s="125">
        <f>0.0055+0.0047+0.0035+0.0033+0.0027+0.0076+0.0022+0.0009+0.0052+0.4296+0.0048</f>
        <v>0.47000000000000003</v>
      </c>
      <c r="AZ1242" s="181" t="s">
        <v>1429</v>
      </c>
      <c r="BA1242" s="181" t="s">
        <v>254</v>
      </c>
      <c r="BB1242" s="181">
        <v>1</v>
      </c>
      <c r="BC1242" s="125" t="s">
        <v>255</v>
      </c>
    </row>
    <row r="1243" spans="1:55" ht="16.350000000000001" customHeight="1" outlineLevel="1">
      <c r="A1243" s="92">
        <v>1233</v>
      </c>
      <c r="B1243" s="99" t="s">
        <v>930</v>
      </c>
      <c r="C1243" s="122" t="s">
        <v>932</v>
      </c>
      <c r="D1243" s="161" t="s">
        <v>937</v>
      </c>
      <c r="E1243" s="123" t="s">
        <v>734</v>
      </c>
      <c r="F1243" s="124" t="s">
        <v>1425</v>
      </c>
      <c r="G1243" s="133" t="s">
        <v>247</v>
      </c>
      <c r="H1243" s="134" t="s">
        <v>248</v>
      </c>
      <c r="I1243" s="134" t="s">
        <v>1426</v>
      </c>
      <c r="J1243" s="134" t="s">
        <v>139</v>
      </c>
      <c r="K1243" s="124" t="s">
        <v>140</v>
      </c>
      <c r="L1243" s="174">
        <v>2</v>
      </c>
      <c r="M1243" s="174" t="s">
        <v>250</v>
      </c>
      <c r="N1243" s="184">
        <v>89</v>
      </c>
      <c r="O1243" s="184">
        <v>6</v>
      </c>
      <c r="P1243" s="184" t="s">
        <v>1429</v>
      </c>
      <c r="Q1243" s="174" t="s">
        <v>233</v>
      </c>
      <c r="R1243" s="276" t="s">
        <v>240</v>
      </c>
      <c r="S1243" s="276" t="s">
        <v>233</v>
      </c>
      <c r="T1243" s="276" t="s">
        <v>240</v>
      </c>
      <c r="U1243" s="174" t="s">
        <v>1427</v>
      </c>
      <c r="V1243" s="276" t="s">
        <v>240</v>
      </c>
      <c r="W1243" s="130"/>
      <c r="X1243" s="125">
        <v>2094.86</v>
      </c>
      <c r="Y1243" s="126">
        <v>2156.3200000000002</v>
      </c>
      <c r="Z1243" s="127">
        <v>411.39314160000004</v>
      </c>
      <c r="AA1243" s="128" t="s">
        <v>252</v>
      </c>
      <c r="AB1243" s="125">
        <v>293.77539000000002</v>
      </c>
      <c r="AC1243" s="128" t="s">
        <v>252</v>
      </c>
      <c r="AD1243" s="129">
        <v>412.17780600000003</v>
      </c>
      <c r="AE1243" s="125" t="s">
        <v>252</v>
      </c>
      <c r="AF1243" s="125">
        <v>250.51742199999998</v>
      </c>
      <c r="AG1243" s="125" t="s">
        <v>252</v>
      </c>
      <c r="AH1243" s="125">
        <v>84.881131999999994</v>
      </c>
      <c r="AI1243" s="125" t="s">
        <v>252</v>
      </c>
      <c r="AJ1243" s="125">
        <v>0</v>
      </c>
      <c r="AK1243" s="125">
        <v>0</v>
      </c>
      <c r="AL1243" s="125">
        <v>0</v>
      </c>
      <c r="AM1243" s="125">
        <v>0</v>
      </c>
      <c r="AN1243" s="125">
        <v>0</v>
      </c>
      <c r="AO1243" s="125">
        <v>0</v>
      </c>
      <c r="AP1243" s="125">
        <v>0</v>
      </c>
      <c r="AQ1243" s="125">
        <v>0</v>
      </c>
      <c r="AR1243" s="125">
        <v>262.08024</v>
      </c>
      <c r="AS1243" s="125" t="s">
        <v>252</v>
      </c>
      <c r="AT1243" s="125">
        <v>210.48263100000003</v>
      </c>
      <c r="AU1243" s="125" t="s">
        <v>252</v>
      </c>
      <c r="AV1243" s="125">
        <v>284.36217600000003</v>
      </c>
      <c r="AW1243" s="125" t="s">
        <v>252</v>
      </c>
      <c r="AX1243" s="125">
        <f t="shared" si="4"/>
        <v>2209.6699386</v>
      </c>
      <c r="AY1243" s="125">
        <f>0.7247+0.0553</f>
        <v>0.78</v>
      </c>
      <c r="AZ1243" s="181" t="s">
        <v>1429</v>
      </c>
      <c r="BA1243" s="181" t="s">
        <v>254</v>
      </c>
      <c r="BB1243" s="181">
        <v>1</v>
      </c>
      <c r="BC1243" s="125" t="s">
        <v>255</v>
      </c>
    </row>
    <row r="1244" spans="1:55" ht="16.350000000000001" customHeight="1" outlineLevel="1">
      <c r="A1244" s="92">
        <v>1234</v>
      </c>
      <c r="B1244" s="99" t="s">
        <v>931</v>
      </c>
      <c r="C1244" s="122" t="s">
        <v>934</v>
      </c>
      <c r="D1244" s="161">
        <v>34</v>
      </c>
      <c r="E1244" s="123" t="s">
        <v>734</v>
      </c>
      <c r="F1244" s="124" t="s">
        <v>1425</v>
      </c>
      <c r="G1244" s="133" t="s">
        <v>247</v>
      </c>
      <c r="H1244" s="134" t="s">
        <v>248</v>
      </c>
      <c r="I1244" s="134" t="s">
        <v>1426</v>
      </c>
      <c r="J1244" s="134" t="s">
        <v>139</v>
      </c>
      <c r="K1244" s="124" t="s">
        <v>140</v>
      </c>
      <c r="L1244" s="174">
        <v>1</v>
      </c>
      <c r="M1244" s="174" t="s">
        <v>250</v>
      </c>
      <c r="N1244" s="184">
        <v>57</v>
      </c>
      <c r="O1244" s="184">
        <v>6</v>
      </c>
      <c r="P1244" s="184" t="s">
        <v>1429</v>
      </c>
      <c r="Q1244" s="174" t="s">
        <v>233</v>
      </c>
      <c r="R1244" s="276" t="s">
        <v>240</v>
      </c>
      <c r="S1244" s="276" t="s">
        <v>233</v>
      </c>
      <c r="T1244" s="276" t="s">
        <v>240</v>
      </c>
      <c r="U1244" s="174" t="s">
        <v>1427</v>
      </c>
      <c r="V1244" s="276" t="s">
        <v>240</v>
      </c>
      <c r="W1244" s="130"/>
      <c r="X1244" s="125">
        <v>789.34</v>
      </c>
      <c r="Y1244" s="126">
        <v>825.22</v>
      </c>
      <c r="Z1244" s="127">
        <v>96.077057999999994</v>
      </c>
      <c r="AA1244" s="128" t="s">
        <v>252</v>
      </c>
      <c r="AB1244" s="125">
        <v>69.832799999999992</v>
      </c>
      <c r="AC1244" s="128" t="s">
        <v>252</v>
      </c>
      <c r="AD1244" s="129">
        <v>94.646142000000012</v>
      </c>
      <c r="AE1244" s="125" t="s">
        <v>252</v>
      </c>
      <c r="AF1244" s="125">
        <v>55.334093999999993</v>
      </c>
      <c r="AG1244" s="125" t="s">
        <v>252</v>
      </c>
      <c r="AH1244" s="125">
        <v>16.586366999999999</v>
      </c>
      <c r="AI1244" s="125" t="s">
        <v>252</v>
      </c>
      <c r="AJ1244" s="125">
        <v>0</v>
      </c>
      <c r="AK1244" s="125">
        <v>0</v>
      </c>
      <c r="AL1244" s="125">
        <v>0</v>
      </c>
      <c r="AM1244" s="125">
        <v>0</v>
      </c>
      <c r="AN1244" s="125">
        <v>0</v>
      </c>
      <c r="AO1244" s="125">
        <v>0</v>
      </c>
      <c r="AP1244" s="125">
        <v>0</v>
      </c>
      <c r="AQ1244" s="125">
        <v>0</v>
      </c>
      <c r="AR1244" s="125">
        <v>52.302311999999993</v>
      </c>
      <c r="AS1244" s="125" t="s">
        <v>252</v>
      </c>
      <c r="AT1244" s="125">
        <v>46.592379000000001</v>
      </c>
      <c r="AU1244" s="125" t="s">
        <v>252</v>
      </c>
      <c r="AV1244" s="125">
        <v>76.371887999999998</v>
      </c>
      <c r="AW1244" s="125" t="s">
        <v>252</v>
      </c>
      <c r="AX1244" s="125">
        <f t="shared" si="4"/>
        <v>507.74303999999995</v>
      </c>
      <c r="AY1244" s="125">
        <f>0.18+0.0022+0.0102+0.0116+0.016</f>
        <v>0.22000000000000003</v>
      </c>
      <c r="AZ1244" s="181" t="s">
        <v>1429</v>
      </c>
      <c r="BA1244" s="181" t="s">
        <v>254</v>
      </c>
      <c r="BB1244" s="181">
        <v>1</v>
      </c>
      <c r="BC1244" s="125" t="s">
        <v>255</v>
      </c>
    </row>
    <row r="1245" spans="1:55" ht="16.350000000000001" customHeight="1" outlineLevel="1">
      <c r="A1245" s="92">
        <v>1235</v>
      </c>
      <c r="B1245" s="99" t="s">
        <v>933</v>
      </c>
      <c r="C1245" s="122" t="s">
        <v>934</v>
      </c>
      <c r="D1245" s="161">
        <v>35</v>
      </c>
      <c r="E1245" s="123" t="s">
        <v>734</v>
      </c>
      <c r="F1245" s="124" t="s">
        <v>1425</v>
      </c>
      <c r="G1245" s="133" t="s">
        <v>247</v>
      </c>
      <c r="H1245" s="134" t="s">
        <v>248</v>
      </c>
      <c r="I1245" s="134" t="s">
        <v>1426</v>
      </c>
      <c r="J1245" s="134" t="s">
        <v>139</v>
      </c>
      <c r="K1245" s="124" t="s">
        <v>140</v>
      </c>
      <c r="L1245" s="174">
        <v>1</v>
      </c>
      <c r="M1245" s="174" t="s">
        <v>250</v>
      </c>
      <c r="N1245" s="184">
        <v>50</v>
      </c>
      <c r="O1245" s="184">
        <v>6</v>
      </c>
      <c r="P1245" s="184" t="s">
        <v>1429</v>
      </c>
      <c r="Q1245" s="174" t="s">
        <v>233</v>
      </c>
      <c r="R1245" s="276" t="s">
        <v>240</v>
      </c>
      <c r="S1245" s="276" t="s">
        <v>233</v>
      </c>
      <c r="T1245" s="276" t="s">
        <v>240</v>
      </c>
      <c r="U1245" s="174" t="s">
        <v>1427</v>
      </c>
      <c r="V1245" s="276" t="s">
        <v>240</v>
      </c>
      <c r="W1245" s="130"/>
      <c r="X1245" s="125">
        <v>852.92</v>
      </c>
      <c r="Y1245" s="126">
        <v>804.16</v>
      </c>
      <c r="Z1245" s="127">
        <v>120.22171560000001</v>
      </c>
      <c r="AA1245" s="128" t="s">
        <v>252</v>
      </c>
      <c r="AB1245" s="125">
        <v>82.193534999999997</v>
      </c>
      <c r="AC1245" s="128" t="s">
        <v>252</v>
      </c>
      <c r="AD1245" s="129">
        <v>109.80331200000001</v>
      </c>
      <c r="AE1245" s="125" t="s">
        <v>252</v>
      </c>
      <c r="AF1245" s="125">
        <v>63.872574</v>
      </c>
      <c r="AG1245" s="125" t="s">
        <v>252</v>
      </c>
      <c r="AH1245" s="125">
        <v>14.415086000000001</v>
      </c>
      <c r="AI1245" s="125" t="s">
        <v>252</v>
      </c>
      <c r="AJ1245" s="125">
        <v>0</v>
      </c>
      <c r="AK1245" s="125">
        <v>0</v>
      </c>
      <c r="AL1245" s="125">
        <v>0</v>
      </c>
      <c r="AM1245" s="125">
        <v>0</v>
      </c>
      <c r="AN1245" s="125">
        <v>0</v>
      </c>
      <c r="AO1245" s="125">
        <v>0</v>
      </c>
      <c r="AP1245" s="125">
        <v>0</v>
      </c>
      <c r="AQ1245" s="125">
        <v>0</v>
      </c>
      <c r="AR1245" s="125">
        <v>74.472707999999997</v>
      </c>
      <c r="AS1245" s="125" t="s">
        <v>252</v>
      </c>
      <c r="AT1245" s="125">
        <v>58.250340000000001</v>
      </c>
      <c r="AU1245" s="125" t="s">
        <v>252</v>
      </c>
      <c r="AV1245" s="125">
        <v>79.798262059199999</v>
      </c>
      <c r="AW1245" s="125" t="s">
        <v>312</v>
      </c>
      <c r="AX1245" s="125">
        <f t="shared" si="4"/>
        <v>603.02753265920001</v>
      </c>
      <c r="AY1245" s="125">
        <f>0.0734+0.1666</f>
        <v>0.24</v>
      </c>
      <c r="AZ1245" s="181" t="s">
        <v>1429</v>
      </c>
      <c r="BA1245" s="181" t="s">
        <v>254</v>
      </c>
      <c r="BB1245" s="181">
        <v>1</v>
      </c>
      <c r="BC1245" s="125" t="s">
        <v>255</v>
      </c>
    </row>
    <row r="1246" spans="1:55" ht="16.350000000000001" customHeight="1" outlineLevel="1">
      <c r="A1246" s="92">
        <v>1236</v>
      </c>
      <c r="B1246" s="99" t="s">
        <v>936</v>
      </c>
      <c r="C1246" s="122" t="s">
        <v>934</v>
      </c>
      <c r="D1246" s="161">
        <v>36</v>
      </c>
      <c r="E1246" s="123" t="s">
        <v>941</v>
      </c>
      <c r="F1246" s="124" t="s">
        <v>1425</v>
      </c>
      <c r="G1246" s="133" t="s">
        <v>247</v>
      </c>
      <c r="H1246" s="134" t="s">
        <v>248</v>
      </c>
      <c r="I1246" s="134" t="s">
        <v>1426</v>
      </c>
      <c r="J1246" s="134" t="s">
        <v>139</v>
      </c>
      <c r="K1246" s="124" t="s">
        <v>140</v>
      </c>
      <c r="L1246" s="174">
        <v>0</v>
      </c>
      <c r="M1246" s="174" t="s">
        <v>250</v>
      </c>
      <c r="N1246" s="184">
        <v>89</v>
      </c>
      <c r="O1246" s="184">
        <v>5.5</v>
      </c>
      <c r="P1246" s="184" t="s">
        <v>253</v>
      </c>
      <c r="Q1246" s="174" t="s">
        <v>240</v>
      </c>
      <c r="R1246" s="276" t="s">
        <v>240</v>
      </c>
      <c r="S1246" s="276" t="s">
        <v>240</v>
      </c>
      <c r="T1246" s="276" t="s">
        <v>233</v>
      </c>
      <c r="U1246" s="174" t="s">
        <v>1427</v>
      </c>
      <c r="V1246" s="276" t="s">
        <v>240</v>
      </c>
      <c r="W1246" s="130"/>
      <c r="X1246" s="125">
        <v>419.22</v>
      </c>
      <c r="Y1246" s="126">
        <v>495.33</v>
      </c>
      <c r="Z1246" s="127">
        <f>6.52+52.18</f>
        <v>58.7</v>
      </c>
      <c r="AA1246" s="128" t="s">
        <v>259</v>
      </c>
      <c r="AB1246" s="125">
        <f>6.52+52.18</f>
        <v>58.7</v>
      </c>
      <c r="AC1246" s="128" t="s">
        <v>259</v>
      </c>
      <c r="AD1246" s="253">
        <f>6.52+52.18</f>
        <v>58.7</v>
      </c>
      <c r="AE1246" s="125" t="s">
        <v>259</v>
      </c>
      <c r="AF1246" s="125">
        <f>6.52+52.18</f>
        <v>58.7</v>
      </c>
      <c r="AG1246" s="125" t="s">
        <v>259</v>
      </c>
      <c r="AH1246" s="125">
        <f>1.9+15.15</f>
        <v>17.05</v>
      </c>
      <c r="AI1246" s="125" t="s">
        <v>259</v>
      </c>
      <c r="AJ1246" s="125">
        <v>0</v>
      </c>
      <c r="AK1246" s="125">
        <v>0</v>
      </c>
      <c r="AL1246" s="125">
        <v>0</v>
      </c>
      <c r="AM1246" s="125">
        <v>0</v>
      </c>
      <c r="AN1246" s="125">
        <v>0</v>
      </c>
      <c r="AO1246" s="125">
        <v>0</v>
      </c>
      <c r="AP1246" s="125">
        <f>1.46+11.68</f>
        <v>13.14</v>
      </c>
      <c r="AQ1246" s="125" t="s">
        <v>259</v>
      </c>
      <c r="AR1246" s="125">
        <f>6.25+50.04</f>
        <v>56.29</v>
      </c>
      <c r="AS1246" s="125" t="s">
        <v>259</v>
      </c>
      <c r="AT1246" s="125">
        <f>6.25+50.04</f>
        <v>56.29</v>
      </c>
      <c r="AU1246" s="125" t="s">
        <v>259</v>
      </c>
      <c r="AV1246" s="125">
        <f>6.25+50.04</f>
        <v>56.29</v>
      </c>
      <c r="AW1246" s="125" t="s">
        <v>259</v>
      </c>
      <c r="AX1246" s="125">
        <f t="shared" si="4"/>
        <v>433.86000000000007</v>
      </c>
      <c r="AY1246" s="125">
        <v>0.21</v>
      </c>
      <c r="AZ1246" s="181" t="s">
        <v>253</v>
      </c>
      <c r="BA1246" s="181" t="s">
        <v>254</v>
      </c>
      <c r="BB1246" s="181" t="s">
        <v>1430</v>
      </c>
      <c r="BC1246" s="125" t="s">
        <v>255</v>
      </c>
    </row>
    <row r="1247" spans="1:55" ht="16.350000000000001" customHeight="1" outlineLevel="1">
      <c r="A1247" s="92">
        <v>1237</v>
      </c>
      <c r="B1247" s="99" t="s">
        <v>938</v>
      </c>
      <c r="C1247" s="122" t="s">
        <v>934</v>
      </c>
      <c r="D1247" s="161">
        <v>38</v>
      </c>
      <c r="E1247" s="123" t="s">
        <v>734</v>
      </c>
      <c r="F1247" s="124" t="s">
        <v>1234</v>
      </c>
      <c r="G1247" s="133" t="s">
        <v>281</v>
      </c>
      <c r="H1247" s="134" t="s">
        <v>1424</v>
      </c>
      <c r="I1247" s="134" t="s">
        <v>1426</v>
      </c>
      <c r="J1247" s="134" t="s">
        <v>139</v>
      </c>
      <c r="K1247" s="124" t="s">
        <v>140</v>
      </c>
      <c r="L1247" s="174">
        <v>0</v>
      </c>
      <c r="M1247" s="174" t="s">
        <v>250</v>
      </c>
      <c r="N1247" s="184">
        <v>89</v>
      </c>
      <c r="O1247" s="184">
        <v>6</v>
      </c>
      <c r="P1247" s="184" t="s">
        <v>1429</v>
      </c>
      <c r="Q1247" s="174" t="s">
        <v>233</v>
      </c>
      <c r="R1247" s="276" t="s">
        <v>240</v>
      </c>
      <c r="S1247" s="276" t="s">
        <v>240</v>
      </c>
      <c r="T1247" s="276" t="s">
        <v>233</v>
      </c>
      <c r="U1247" s="174" t="s">
        <v>1428</v>
      </c>
      <c r="V1247" s="276" t="s">
        <v>240</v>
      </c>
      <c r="W1247" s="130"/>
      <c r="X1247" s="125">
        <v>1290.58</v>
      </c>
      <c r="Y1247" s="126">
        <v>1288.1199999999999</v>
      </c>
      <c r="Z1247" s="127">
        <v>193.40804700000001</v>
      </c>
      <c r="AA1247" s="128" t="s">
        <v>252</v>
      </c>
      <c r="AB1247" s="125">
        <v>130.08006</v>
      </c>
      <c r="AC1247" s="128" t="s">
        <v>252</v>
      </c>
      <c r="AD1247" s="129">
        <v>181.78882200000001</v>
      </c>
      <c r="AE1247" s="125" t="s">
        <v>252</v>
      </c>
      <c r="AF1247" s="125">
        <v>102.98355599999999</v>
      </c>
      <c r="AG1247" s="125" t="s">
        <v>252</v>
      </c>
      <c r="AH1247" s="125">
        <v>22.600745999999997</v>
      </c>
      <c r="AI1247" s="125" t="s">
        <v>252</v>
      </c>
      <c r="AJ1247" s="125">
        <v>0</v>
      </c>
      <c r="AK1247" s="125">
        <v>0</v>
      </c>
      <c r="AL1247" s="125">
        <v>0</v>
      </c>
      <c r="AM1247" s="125">
        <v>0</v>
      </c>
      <c r="AN1247" s="125">
        <v>0</v>
      </c>
      <c r="AO1247" s="125">
        <v>0</v>
      </c>
      <c r="AP1247" s="125"/>
      <c r="AQ1247" s="125"/>
      <c r="AR1247" s="125">
        <v>106.570632</v>
      </c>
      <c r="AS1247" s="125" t="s">
        <v>252</v>
      </c>
      <c r="AT1247" s="125">
        <v>87.643872000000002</v>
      </c>
      <c r="AU1247" s="125" t="s">
        <v>252</v>
      </c>
      <c r="AV1247" s="125">
        <v>144.57264000000001</v>
      </c>
      <c r="AW1247" s="125" t="s">
        <v>252</v>
      </c>
      <c r="AX1247" s="125">
        <f t="shared" si="4"/>
        <v>969.64837499999999</v>
      </c>
      <c r="AY1247" s="125">
        <v>0.20474999999999999</v>
      </c>
      <c r="AZ1247" s="181" t="s">
        <v>253</v>
      </c>
      <c r="BA1247" s="181" t="s">
        <v>254</v>
      </c>
      <c r="BB1247" s="181">
        <v>1</v>
      </c>
      <c r="BC1247" s="125" t="s">
        <v>255</v>
      </c>
    </row>
    <row r="1248" spans="1:55" ht="16.350000000000001" customHeight="1" outlineLevel="1">
      <c r="A1248" s="92">
        <v>1238</v>
      </c>
      <c r="B1248" s="99" t="s">
        <v>939</v>
      </c>
      <c r="C1248" s="122" t="s">
        <v>934</v>
      </c>
      <c r="D1248" s="161">
        <v>39</v>
      </c>
      <c r="E1248" s="123" t="s">
        <v>734</v>
      </c>
      <c r="F1248" s="124" t="s">
        <v>1425</v>
      </c>
      <c r="G1248" s="133" t="s">
        <v>247</v>
      </c>
      <c r="H1248" s="134" t="s">
        <v>1424</v>
      </c>
      <c r="I1248" s="134" t="s">
        <v>1426</v>
      </c>
      <c r="J1248" s="134" t="s">
        <v>139</v>
      </c>
      <c r="K1248" s="124" t="s">
        <v>140</v>
      </c>
      <c r="L1248" s="174">
        <v>1</v>
      </c>
      <c r="M1248" s="174" t="s">
        <v>250</v>
      </c>
      <c r="N1248" s="184">
        <v>76</v>
      </c>
      <c r="O1248" s="184">
        <v>5.5</v>
      </c>
      <c r="P1248" s="184" t="s">
        <v>1429</v>
      </c>
      <c r="Q1248" s="174" t="s">
        <v>240</v>
      </c>
      <c r="R1248" s="276" t="s">
        <v>240</v>
      </c>
      <c r="S1248" s="276" t="s">
        <v>233</v>
      </c>
      <c r="T1248" s="276" t="s">
        <v>240</v>
      </c>
      <c r="U1248" s="174" t="s">
        <v>1427</v>
      </c>
      <c r="V1248" s="276" t="s">
        <v>240</v>
      </c>
      <c r="W1248" s="130"/>
      <c r="X1248" s="125">
        <v>254.8</v>
      </c>
      <c r="Y1248" s="126">
        <v>247.95</v>
      </c>
      <c r="Z1248" s="127">
        <f>9.71+23.05</f>
        <v>32.760000000000005</v>
      </c>
      <c r="AA1248" s="128" t="s">
        <v>259</v>
      </c>
      <c r="AB1248" s="125">
        <f>9.39+22.31</f>
        <v>31.7</v>
      </c>
      <c r="AC1248" s="128" t="s">
        <v>259</v>
      </c>
      <c r="AD1248" s="253">
        <f>9.39+22.31</f>
        <v>31.7</v>
      </c>
      <c r="AE1248" s="125" t="s">
        <v>259</v>
      </c>
      <c r="AF1248" s="125">
        <f>9.39+22.31</f>
        <v>31.7</v>
      </c>
      <c r="AG1248" s="125" t="s">
        <v>259</v>
      </c>
      <c r="AH1248" s="125">
        <f>2.73+6.48</f>
        <v>9.2100000000000009</v>
      </c>
      <c r="AI1248" s="125" t="s">
        <v>259</v>
      </c>
      <c r="AJ1248" s="125">
        <v>0</v>
      </c>
      <c r="AK1248" s="125">
        <v>0</v>
      </c>
      <c r="AL1248" s="125">
        <v>0</v>
      </c>
      <c r="AM1248" s="125">
        <v>0</v>
      </c>
      <c r="AN1248" s="125">
        <v>0</v>
      </c>
      <c r="AO1248" s="125">
        <v>0</v>
      </c>
      <c r="AP1248" s="125">
        <f>2.13+5.05</f>
        <v>7.18</v>
      </c>
      <c r="AQ1248" s="125" t="s">
        <v>259</v>
      </c>
      <c r="AR1248" s="125">
        <f>9.12+21.66</f>
        <v>30.78</v>
      </c>
      <c r="AS1248" s="125" t="s">
        <v>259</v>
      </c>
      <c r="AT1248" s="125">
        <f>9.12+21.66</f>
        <v>30.78</v>
      </c>
      <c r="AU1248" s="125" t="s">
        <v>259</v>
      </c>
      <c r="AV1248" s="125">
        <f>9.12+21.66</f>
        <v>30.78</v>
      </c>
      <c r="AW1248" s="125" t="s">
        <v>259</v>
      </c>
      <c r="AX1248" s="125">
        <f t="shared" si="4"/>
        <v>236.59000000000003</v>
      </c>
      <c r="AY1248" s="125">
        <f>0.3888+0.0412</f>
        <v>0.43</v>
      </c>
      <c r="AZ1248" s="181" t="s">
        <v>1429</v>
      </c>
      <c r="BA1248" s="181" t="s">
        <v>254</v>
      </c>
      <c r="BB1248" s="181" t="s">
        <v>1430</v>
      </c>
      <c r="BC1248" s="125" t="s">
        <v>255</v>
      </c>
    </row>
    <row r="1249" spans="1:55" ht="16.350000000000001" customHeight="1" outlineLevel="1">
      <c r="A1249" s="92">
        <v>1239</v>
      </c>
      <c r="B1249" s="99" t="s">
        <v>940</v>
      </c>
      <c r="C1249" s="122" t="s">
        <v>934</v>
      </c>
      <c r="D1249" s="161">
        <v>40</v>
      </c>
      <c r="E1249" s="123" t="s">
        <v>734</v>
      </c>
      <c r="F1249" s="124" t="s">
        <v>1234</v>
      </c>
      <c r="G1249" s="133" t="s">
        <v>281</v>
      </c>
      <c r="H1249" s="134" t="s">
        <v>248</v>
      </c>
      <c r="I1249" s="134" t="s">
        <v>1426</v>
      </c>
      <c r="J1249" s="134" t="s">
        <v>139</v>
      </c>
      <c r="K1249" s="124" t="s">
        <v>140</v>
      </c>
      <c r="L1249" s="174">
        <v>1</v>
      </c>
      <c r="M1249" s="174" t="s">
        <v>250</v>
      </c>
      <c r="N1249" s="314">
        <v>89</v>
      </c>
      <c r="O1249" s="314">
        <v>6</v>
      </c>
      <c r="P1249" s="314" t="s">
        <v>1429</v>
      </c>
      <c r="Q1249" s="317" t="s">
        <v>233</v>
      </c>
      <c r="R1249" s="321" t="s">
        <v>240</v>
      </c>
      <c r="S1249" s="321" t="s">
        <v>233</v>
      </c>
      <c r="T1249" s="321" t="s">
        <v>240</v>
      </c>
      <c r="U1249" s="174" t="s">
        <v>1428</v>
      </c>
      <c r="V1249" s="321" t="s">
        <v>240</v>
      </c>
      <c r="W1249" s="130"/>
      <c r="X1249" s="292">
        <v>1107.18</v>
      </c>
      <c r="Y1249" s="295">
        <v>974.16</v>
      </c>
      <c r="Z1249" s="297">
        <v>131.8703022</v>
      </c>
      <c r="AA1249" s="299" t="s">
        <v>252</v>
      </c>
      <c r="AB1249" s="292">
        <v>90.346184999999991</v>
      </c>
      <c r="AC1249" s="299" t="s">
        <v>252</v>
      </c>
      <c r="AD1249" s="301">
        <v>122.600736</v>
      </c>
      <c r="AE1249" s="292" t="s">
        <v>252</v>
      </c>
      <c r="AF1249" s="292">
        <v>75.035845999999992</v>
      </c>
      <c r="AG1249" s="292" t="s">
        <v>252</v>
      </c>
      <c r="AH1249" s="292">
        <v>22.101281999999998</v>
      </c>
      <c r="AI1249" s="292" t="s">
        <v>252</v>
      </c>
      <c r="AJ1249" s="292">
        <v>0</v>
      </c>
      <c r="AK1249" s="292">
        <v>0</v>
      </c>
      <c r="AL1249" s="292">
        <v>0</v>
      </c>
      <c r="AM1249" s="292">
        <v>0</v>
      </c>
      <c r="AN1249" s="292">
        <v>0</v>
      </c>
      <c r="AO1249" s="292">
        <v>0</v>
      </c>
      <c r="AP1249" s="292">
        <v>0</v>
      </c>
      <c r="AQ1249" s="292">
        <v>0</v>
      </c>
      <c r="AR1249" s="292">
        <v>85.147644</v>
      </c>
      <c r="AS1249" s="292" t="s">
        <v>252</v>
      </c>
      <c r="AT1249" s="292">
        <v>67.974516000000008</v>
      </c>
      <c r="AU1249" s="292" t="s">
        <v>252</v>
      </c>
      <c r="AV1249" s="292">
        <v>92.531472000000008</v>
      </c>
      <c r="AW1249" s="292" t="s">
        <v>252</v>
      </c>
      <c r="AX1249" s="292">
        <f t="shared" si="4"/>
        <v>687.60798320000004</v>
      </c>
      <c r="AY1249" s="125">
        <v>0.12445000000000001</v>
      </c>
      <c r="AZ1249" s="313" t="s">
        <v>1429</v>
      </c>
      <c r="BA1249" s="313" t="s">
        <v>254</v>
      </c>
      <c r="BB1249" s="313">
        <v>1</v>
      </c>
      <c r="BC1249" s="125" t="s">
        <v>255</v>
      </c>
    </row>
    <row r="1250" spans="1:55" ht="16.350000000000001" customHeight="1" outlineLevel="1">
      <c r="A1250" s="92">
        <v>1240</v>
      </c>
      <c r="B1250" s="99" t="s">
        <v>942</v>
      </c>
      <c r="C1250" s="122" t="s">
        <v>934</v>
      </c>
      <c r="D1250" s="161">
        <v>41</v>
      </c>
      <c r="E1250" s="123" t="s">
        <v>734</v>
      </c>
      <c r="F1250" s="124" t="s">
        <v>1425</v>
      </c>
      <c r="G1250" s="133" t="s">
        <v>247</v>
      </c>
      <c r="H1250" s="317" t="s">
        <v>248</v>
      </c>
      <c r="I1250" s="317" t="s">
        <v>1426</v>
      </c>
      <c r="J1250" s="317" t="s">
        <v>139</v>
      </c>
      <c r="K1250" s="317" t="s">
        <v>140</v>
      </c>
      <c r="L1250" s="317">
        <v>1</v>
      </c>
      <c r="M1250" s="317" t="s">
        <v>250</v>
      </c>
      <c r="N1250" s="314"/>
      <c r="O1250" s="314"/>
      <c r="P1250" s="314"/>
      <c r="Q1250" s="318"/>
      <c r="R1250" s="321"/>
      <c r="S1250" s="321"/>
      <c r="T1250" s="321"/>
      <c r="U1250" s="317" t="s">
        <v>1427</v>
      </c>
      <c r="V1250" s="321"/>
      <c r="W1250" s="165"/>
      <c r="X1250" s="293"/>
      <c r="Y1250" s="308"/>
      <c r="Z1250" s="309"/>
      <c r="AA1250" s="310"/>
      <c r="AB1250" s="293"/>
      <c r="AC1250" s="310"/>
      <c r="AD1250" s="311"/>
      <c r="AE1250" s="293"/>
      <c r="AF1250" s="293"/>
      <c r="AG1250" s="293"/>
      <c r="AH1250" s="293"/>
      <c r="AI1250" s="293"/>
      <c r="AJ1250" s="293"/>
      <c r="AK1250" s="293"/>
      <c r="AL1250" s="293"/>
      <c r="AM1250" s="293"/>
      <c r="AN1250" s="293"/>
      <c r="AO1250" s="293"/>
      <c r="AP1250" s="293"/>
      <c r="AQ1250" s="293"/>
      <c r="AR1250" s="293"/>
      <c r="AS1250" s="293"/>
      <c r="AT1250" s="293"/>
      <c r="AU1250" s="293"/>
      <c r="AV1250" s="293"/>
      <c r="AW1250" s="293"/>
      <c r="AX1250" s="293">
        <f t="shared" si="4"/>
        <v>0</v>
      </c>
      <c r="AY1250" s="338">
        <f>0.2214+0.0186</f>
        <v>0.24000000000000002</v>
      </c>
      <c r="AZ1250" s="313"/>
      <c r="BA1250" s="313"/>
      <c r="BB1250" s="313"/>
      <c r="BC1250" s="292" t="s">
        <v>255</v>
      </c>
    </row>
    <row r="1251" spans="1:55" ht="16.350000000000001" customHeight="1" outlineLevel="1">
      <c r="A1251" s="92">
        <v>1241</v>
      </c>
      <c r="B1251" s="99" t="s">
        <v>943</v>
      </c>
      <c r="C1251" s="122" t="s">
        <v>934</v>
      </c>
      <c r="D1251" s="161">
        <v>41</v>
      </c>
      <c r="E1251" s="123" t="s">
        <v>737</v>
      </c>
      <c r="F1251" s="124" t="s">
        <v>1425</v>
      </c>
      <c r="G1251" s="133" t="s">
        <v>247</v>
      </c>
      <c r="H1251" s="318"/>
      <c r="I1251" s="318"/>
      <c r="J1251" s="318"/>
      <c r="K1251" s="318"/>
      <c r="L1251" s="318"/>
      <c r="M1251" s="318"/>
      <c r="N1251" s="314"/>
      <c r="O1251" s="314"/>
      <c r="P1251" s="314"/>
      <c r="Q1251" s="319"/>
      <c r="R1251" s="321"/>
      <c r="S1251" s="321"/>
      <c r="T1251" s="321"/>
      <c r="U1251" s="318"/>
      <c r="V1251" s="321"/>
      <c r="W1251" s="169"/>
      <c r="X1251" s="294"/>
      <c r="Y1251" s="296"/>
      <c r="Z1251" s="298"/>
      <c r="AA1251" s="300"/>
      <c r="AB1251" s="294"/>
      <c r="AC1251" s="300"/>
      <c r="AD1251" s="302"/>
      <c r="AE1251" s="294"/>
      <c r="AF1251" s="294"/>
      <c r="AG1251" s="294"/>
      <c r="AH1251" s="294"/>
      <c r="AI1251" s="294"/>
      <c r="AJ1251" s="294"/>
      <c r="AK1251" s="294"/>
      <c r="AL1251" s="294"/>
      <c r="AM1251" s="294"/>
      <c r="AN1251" s="294"/>
      <c r="AO1251" s="294"/>
      <c r="AP1251" s="294"/>
      <c r="AQ1251" s="294"/>
      <c r="AR1251" s="294"/>
      <c r="AS1251" s="294"/>
      <c r="AT1251" s="294"/>
      <c r="AU1251" s="294"/>
      <c r="AV1251" s="294"/>
      <c r="AW1251" s="294"/>
      <c r="AX1251" s="294">
        <f t="shared" si="4"/>
        <v>0</v>
      </c>
      <c r="AY1251" s="366"/>
      <c r="AZ1251" s="313"/>
      <c r="BA1251" s="313"/>
      <c r="BB1251" s="313"/>
      <c r="BC1251" s="293"/>
    </row>
    <row r="1252" spans="1:55" ht="16.350000000000001" customHeight="1" outlineLevel="1">
      <c r="A1252" s="92">
        <v>1242</v>
      </c>
      <c r="B1252" s="99" t="s">
        <v>944</v>
      </c>
      <c r="C1252" s="122" t="s">
        <v>934</v>
      </c>
      <c r="D1252" s="161">
        <v>41</v>
      </c>
      <c r="E1252" s="123" t="s">
        <v>745</v>
      </c>
      <c r="F1252" s="124" t="s">
        <v>1425</v>
      </c>
      <c r="G1252" s="133" t="s">
        <v>247</v>
      </c>
      <c r="H1252" s="319"/>
      <c r="I1252" s="319"/>
      <c r="J1252" s="319"/>
      <c r="K1252" s="319"/>
      <c r="L1252" s="319"/>
      <c r="M1252" s="319"/>
      <c r="N1252" s="184"/>
      <c r="O1252" s="184">
        <v>6</v>
      </c>
      <c r="P1252" s="184" t="s">
        <v>1429</v>
      </c>
      <c r="Q1252" s="174" t="s">
        <v>233</v>
      </c>
      <c r="R1252" s="276" t="s">
        <v>240</v>
      </c>
      <c r="S1252" s="276" t="s">
        <v>233</v>
      </c>
      <c r="T1252" s="276" t="s">
        <v>240</v>
      </c>
      <c r="U1252" s="319"/>
      <c r="V1252" s="276" t="s">
        <v>240</v>
      </c>
      <c r="W1252" s="166"/>
      <c r="X1252" s="125">
        <v>1731.46</v>
      </c>
      <c r="Y1252" s="126">
        <v>1769.04</v>
      </c>
      <c r="Z1252" s="127">
        <v>157.952067</v>
      </c>
      <c r="AA1252" s="128" t="s">
        <v>259</v>
      </c>
      <c r="AB1252" s="125">
        <v>147.19239000000002</v>
      </c>
      <c r="AC1252" s="128" t="s">
        <v>259</v>
      </c>
      <c r="AD1252" s="129">
        <v>160.003152</v>
      </c>
      <c r="AE1252" s="125" t="s">
        <v>259</v>
      </c>
      <c r="AF1252" s="125">
        <v>142.78235999999998</v>
      </c>
      <c r="AG1252" s="125" t="s">
        <v>259</v>
      </c>
      <c r="AH1252" s="125">
        <v>125.83024299999998</v>
      </c>
      <c r="AI1252" s="125" t="s">
        <v>259</v>
      </c>
      <c r="AJ1252" s="125">
        <v>0</v>
      </c>
      <c r="AK1252" s="125">
        <v>0</v>
      </c>
      <c r="AL1252" s="125">
        <v>0</v>
      </c>
      <c r="AM1252" s="125">
        <v>0</v>
      </c>
      <c r="AN1252" s="125">
        <v>0</v>
      </c>
      <c r="AO1252" s="125">
        <v>0</v>
      </c>
      <c r="AP1252" s="125">
        <v>0</v>
      </c>
      <c r="AQ1252" s="125">
        <v>0</v>
      </c>
      <c r="AR1252" s="125">
        <v>139.47283200000001</v>
      </c>
      <c r="AS1252" s="125" t="s">
        <v>259</v>
      </c>
      <c r="AT1252" s="125">
        <v>135.53859600000001</v>
      </c>
      <c r="AU1252" s="125" t="s">
        <v>259</v>
      </c>
      <c r="AV1252" s="125">
        <v>142.8288</v>
      </c>
      <c r="AW1252" s="125" t="s">
        <v>259</v>
      </c>
      <c r="AX1252" s="125">
        <f t="shared" si="4"/>
        <v>1151.6004400000002</v>
      </c>
      <c r="AY1252" s="339"/>
      <c r="AZ1252" s="181" t="s">
        <v>1429</v>
      </c>
      <c r="BA1252" s="181" t="s">
        <v>254</v>
      </c>
      <c r="BB1252" s="181">
        <v>1</v>
      </c>
      <c r="BC1252" s="294"/>
    </row>
    <row r="1253" spans="1:55" ht="16.350000000000001" customHeight="1" outlineLevel="1">
      <c r="A1253" s="92">
        <v>1243</v>
      </c>
      <c r="B1253" s="99" t="s">
        <v>945</v>
      </c>
      <c r="C1253" s="122" t="s">
        <v>934</v>
      </c>
      <c r="D1253" s="161">
        <v>42</v>
      </c>
      <c r="E1253" s="123" t="s">
        <v>734</v>
      </c>
      <c r="F1253" s="124" t="s">
        <v>1425</v>
      </c>
      <c r="G1253" s="133" t="s">
        <v>281</v>
      </c>
      <c r="H1253" s="134" t="s">
        <v>248</v>
      </c>
      <c r="I1253" s="134" t="s">
        <v>1426</v>
      </c>
      <c r="J1253" s="134" t="s">
        <v>139</v>
      </c>
      <c r="K1253" s="124" t="s">
        <v>140</v>
      </c>
      <c r="L1253" s="174">
        <v>1</v>
      </c>
      <c r="M1253" s="174" t="s">
        <v>250</v>
      </c>
      <c r="N1253" s="184">
        <v>89</v>
      </c>
      <c r="O1253" s="184">
        <v>6</v>
      </c>
      <c r="P1253" s="184" t="s">
        <v>1429</v>
      </c>
      <c r="Q1253" s="174" t="s">
        <v>233</v>
      </c>
      <c r="R1253" s="276" t="s">
        <v>240</v>
      </c>
      <c r="S1253" s="276" t="s">
        <v>233</v>
      </c>
      <c r="T1253" s="276" t="s">
        <v>240</v>
      </c>
      <c r="U1253" s="174" t="s">
        <v>1427</v>
      </c>
      <c r="V1253" s="276" t="s">
        <v>240</v>
      </c>
      <c r="W1253" s="130"/>
      <c r="X1253" s="125">
        <v>1531.52</v>
      </c>
      <c r="Y1253" s="126">
        <v>1452.08</v>
      </c>
      <c r="Z1253" s="127">
        <v>193.71072000000001</v>
      </c>
      <c r="AA1253" s="128" t="s">
        <v>252</v>
      </c>
      <c r="AB1253" s="125">
        <v>140.51380499999999</v>
      </c>
      <c r="AC1253" s="128" t="s">
        <v>252</v>
      </c>
      <c r="AD1253" s="129">
        <v>197.86514400000002</v>
      </c>
      <c r="AE1253" s="125" t="s">
        <v>252</v>
      </c>
      <c r="AF1253" s="125">
        <v>115.60943799999998</v>
      </c>
      <c r="AG1253" s="125" t="s">
        <v>252</v>
      </c>
      <c r="AH1253" s="125">
        <v>32.791198999999999</v>
      </c>
      <c r="AI1253" s="125" t="s">
        <v>252</v>
      </c>
      <c r="AJ1253" s="125">
        <v>0</v>
      </c>
      <c r="AK1253" s="125">
        <v>0</v>
      </c>
      <c r="AL1253" s="125">
        <v>0</v>
      </c>
      <c r="AM1253" s="125">
        <v>0</v>
      </c>
      <c r="AN1253" s="125">
        <v>0</v>
      </c>
      <c r="AO1253" s="125">
        <v>0</v>
      </c>
      <c r="AP1253" s="125">
        <v>0</v>
      </c>
      <c r="AQ1253" s="125">
        <v>0</v>
      </c>
      <c r="AR1253" s="125">
        <v>122.91612000000001</v>
      </c>
      <c r="AS1253" s="125" t="s">
        <v>252</v>
      </c>
      <c r="AT1253" s="125">
        <v>99.712268999999992</v>
      </c>
      <c r="AU1253" s="125" t="s">
        <v>252</v>
      </c>
      <c r="AV1253" s="125">
        <v>146.32478400000002</v>
      </c>
      <c r="AW1253" s="125" t="s">
        <v>252</v>
      </c>
      <c r="AX1253" s="125">
        <f t="shared" si="4"/>
        <v>1049.443479</v>
      </c>
      <c r="AY1253" s="125">
        <f>0.3695+0.0205</f>
        <v>0.39</v>
      </c>
      <c r="AZ1253" s="181" t="s">
        <v>1429</v>
      </c>
      <c r="BA1253" s="181" t="s">
        <v>254</v>
      </c>
      <c r="BB1253" s="181">
        <v>1</v>
      </c>
      <c r="BC1253" s="125" t="s">
        <v>255</v>
      </c>
    </row>
    <row r="1254" spans="1:55" ht="16.350000000000001" customHeight="1" outlineLevel="1">
      <c r="A1254" s="92">
        <v>1244</v>
      </c>
      <c r="B1254" s="99" t="s">
        <v>946</v>
      </c>
      <c r="C1254" s="122" t="s">
        <v>934</v>
      </c>
      <c r="D1254" s="161">
        <v>43</v>
      </c>
      <c r="E1254" s="123" t="s">
        <v>734</v>
      </c>
      <c r="F1254" s="124" t="s">
        <v>1425</v>
      </c>
      <c r="G1254" s="133" t="s">
        <v>247</v>
      </c>
      <c r="H1254" s="134" t="s">
        <v>248</v>
      </c>
      <c r="I1254" s="134" t="s">
        <v>1426</v>
      </c>
      <c r="J1254" s="134" t="s">
        <v>139</v>
      </c>
      <c r="K1254" s="124" t="s">
        <v>140</v>
      </c>
      <c r="L1254" s="174">
        <v>1</v>
      </c>
      <c r="M1254" s="174" t="s">
        <v>250</v>
      </c>
      <c r="N1254" s="184">
        <v>80</v>
      </c>
      <c r="O1254" s="184">
        <v>6</v>
      </c>
      <c r="P1254" s="184" t="s">
        <v>1429</v>
      </c>
      <c r="Q1254" s="174" t="s">
        <v>233</v>
      </c>
      <c r="R1254" s="276" t="s">
        <v>240</v>
      </c>
      <c r="S1254" s="276" t="s">
        <v>233</v>
      </c>
      <c r="T1254" s="276" t="s">
        <v>240</v>
      </c>
      <c r="U1254" s="174" t="s">
        <v>1427</v>
      </c>
      <c r="V1254" s="276" t="s">
        <v>240</v>
      </c>
      <c r="W1254" s="130"/>
      <c r="X1254" s="125">
        <v>470.57</v>
      </c>
      <c r="Y1254" s="126">
        <v>466.59</v>
      </c>
      <c r="Z1254" s="127">
        <v>65.264946600000002</v>
      </c>
      <c r="AA1254" s="128" t="s">
        <v>252</v>
      </c>
      <c r="AB1254" s="125">
        <v>45.951299999999996</v>
      </c>
      <c r="AC1254" s="128" t="s">
        <v>252</v>
      </c>
      <c r="AD1254" s="129">
        <v>65.312820000000002</v>
      </c>
      <c r="AE1254" s="125" t="s">
        <v>252</v>
      </c>
      <c r="AF1254" s="125">
        <v>37.284695999999997</v>
      </c>
      <c r="AG1254" s="125" t="s">
        <v>252</v>
      </c>
      <c r="AH1254" s="125">
        <v>9.9823430000000002</v>
      </c>
      <c r="AI1254" s="125" t="s">
        <v>252</v>
      </c>
      <c r="AJ1254" s="125">
        <v>0</v>
      </c>
      <c r="AK1254" s="125">
        <v>0</v>
      </c>
      <c r="AL1254" s="125">
        <v>0</v>
      </c>
      <c r="AM1254" s="125">
        <v>0</v>
      </c>
      <c r="AN1254" s="125">
        <v>0</v>
      </c>
      <c r="AO1254" s="125">
        <v>0</v>
      </c>
      <c r="AP1254" s="125">
        <v>0</v>
      </c>
      <c r="AQ1254" s="125">
        <v>0</v>
      </c>
      <c r="AR1254" s="125">
        <v>40.904340000000005</v>
      </c>
      <c r="AS1254" s="125" t="s">
        <v>252</v>
      </c>
      <c r="AT1254" s="125">
        <v>37.925864999999995</v>
      </c>
      <c r="AU1254" s="125" t="s">
        <v>252</v>
      </c>
      <c r="AV1254" s="125">
        <v>53.486063999999999</v>
      </c>
      <c r="AW1254" s="125" t="s">
        <v>252</v>
      </c>
      <c r="AX1254" s="125">
        <f t="shared" si="4"/>
        <v>356.11237460000001</v>
      </c>
      <c r="AY1254" s="125">
        <f>0.1042+0.3058</f>
        <v>0.41000000000000003</v>
      </c>
      <c r="AZ1254" s="181" t="s">
        <v>1429</v>
      </c>
      <c r="BA1254" s="181" t="s">
        <v>254</v>
      </c>
      <c r="BB1254" s="181">
        <v>1</v>
      </c>
      <c r="BC1254" s="125" t="s">
        <v>255</v>
      </c>
    </row>
    <row r="1255" spans="1:55" ht="16.350000000000001" customHeight="1" outlineLevel="1">
      <c r="A1255" s="92">
        <v>1245</v>
      </c>
      <c r="B1255" s="99" t="s">
        <v>947</v>
      </c>
      <c r="C1255" s="122" t="s">
        <v>934</v>
      </c>
      <c r="D1255" s="161">
        <v>46</v>
      </c>
      <c r="E1255" s="123" t="s">
        <v>734</v>
      </c>
      <c r="F1255" s="124" t="s">
        <v>1425</v>
      </c>
      <c r="G1255" s="133" t="s">
        <v>281</v>
      </c>
      <c r="H1255" s="134" t="s">
        <v>248</v>
      </c>
      <c r="I1255" s="134" t="s">
        <v>1426</v>
      </c>
      <c r="J1255" s="134" t="s">
        <v>139</v>
      </c>
      <c r="K1255" s="124" t="s">
        <v>140</v>
      </c>
      <c r="L1255" s="174">
        <v>1</v>
      </c>
      <c r="M1255" s="174" t="s">
        <v>250</v>
      </c>
      <c r="N1255" s="184">
        <v>89</v>
      </c>
      <c r="O1255" s="184">
        <v>6</v>
      </c>
      <c r="P1255" s="184" t="s">
        <v>1429</v>
      </c>
      <c r="Q1255" s="174" t="s">
        <v>233</v>
      </c>
      <c r="R1255" s="276" t="s">
        <v>240</v>
      </c>
      <c r="S1255" s="276" t="s">
        <v>233</v>
      </c>
      <c r="T1255" s="276" t="s">
        <v>240</v>
      </c>
      <c r="U1255" s="174" t="s">
        <v>1427</v>
      </c>
      <c r="V1255" s="276" t="s">
        <v>240</v>
      </c>
      <c r="W1255" s="130"/>
      <c r="X1255" s="125">
        <v>915.04</v>
      </c>
      <c r="Y1255" s="126">
        <v>764.21</v>
      </c>
      <c r="Z1255" s="127">
        <v>111.77281499999999</v>
      </c>
      <c r="AA1255" s="128" t="s">
        <v>252</v>
      </c>
      <c r="AB1255" s="125">
        <v>83.684070000000006</v>
      </c>
      <c r="AC1255" s="128" t="s">
        <v>252</v>
      </c>
      <c r="AD1255" s="129">
        <v>121.9644</v>
      </c>
      <c r="AE1255" s="125" t="s">
        <v>252</v>
      </c>
      <c r="AF1255" s="125">
        <v>56.788798</v>
      </c>
      <c r="AG1255" s="125" t="s">
        <v>252</v>
      </c>
      <c r="AH1255" s="125">
        <v>15.559690999999999</v>
      </c>
      <c r="AI1255" s="125" t="s">
        <v>252</v>
      </c>
      <c r="AJ1255" s="125">
        <v>0</v>
      </c>
      <c r="AK1255" s="125">
        <v>0</v>
      </c>
      <c r="AL1255" s="125">
        <v>0</v>
      </c>
      <c r="AM1255" s="125">
        <v>0</v>
      </c>
      <c r="AN1255" s="125">
        <v>0</v>
      </c>
      <c r="AO1255" s="125">
        <v>0</v>
      </c>
      <c r="AP1255" s="125">
        <v>0</v>
      </c>
      <c r="AQ1255" s="125">
        <v>0</v>
      </c>
      <c r="AR1255" s="125">
        <v>73.07538000000001</v>
      </c>
      <c r="AS1255" s="125" t="s">
        <v>252</v>
      </c>
      <c r="AT1255" s="125">
        <v>50.388912000000005</v>
      </c>
      <c r="AU1255" s="125" t="s">
        <v>252</v>
      </c>
      <c r="AV1255" s="125">
        <v>75.890256000000008</v>
      </c>
      <c r="AW1255" s="125" t="s">
        <v>252</v>
      </c>
      <c r="AX1255" s="125">
        <f t="shared" si="4"/>
        <v>589.12432200000001</v>
      </c>
      <c r="AY1255" s="125">
        <f>0.1158+0.0242</f>
        <v>0.14000000000000001</v>
      </c>
      <c r="AZ1255" s="181" t="s">
        <v>1429</v>
      </c>
      <c r="BA1255" s="181" t="s">
        <v>254</v>
      </c>
      <c r="BB1255" s="181">
        <v>1</v>
      </c>
      <c r="BC1255" s="125" t="s">
        <v>255</v>
      </c>
    </row>
    <row r="1256" spans="1:55" ht="16.350000000000001" customHeight="1" outlineLevel="1">
      <c r="A1256" s="92">
        <v>1246</v>
      </c>
      <c r="B1256" s="99" t="s">
        <v>948</v>
      </c>
      <c r="C1256" s="122" t="s">
        <v>934</v>
      </c>
      <c r="D1256" s="161">
        <v>47</v>
      </c>
      <c r="E1256" s="123" t="s">
        <v>734</v>
      </c>
      <c r="F1256" s="124" t="s">
        <v>1425</v>
      </c>
      <c r="G1256" s="133" t="s">
        <v>281</v>
      </c>
      <c r="H1256" s="134" t="s">
        <v>248</v>
      </c>
      <c r="I1256" s="134" t="s">
        <v>1426</v>
      </c>
      <c r="J1256" s="134" t="s">
        <v>139</v>
      </c>
      <c r="K1256" s="124" t="s">
        <v>140</v>
      </c>
      <c r="L1256" s="174">
        <v>1</v>
      </c>
      <c r="M1256" s="174" t="s">
        <v>250</v>
      </c>
      <c r="N1256" s="184">
        <v>50</v>
      </c>
      <c r="O1256" s="184">
        <v>6</v>
      </c>
      <c r="P1256" s="184" t="s">
        <v>1429</v>
      </c>
      <c r="Q1256" s="174" t="s">
        <v>233</v>
      </c>
      <c r="R1256" s="276" t="s">
        <v>240</v>
      </c>
      <c r="S1256" s="276" t="s">
        <v>233</v>
      </c>
      <c r="T1256" s="276" t="s">
        <v>240</v>
      </c>
      <c r="U1256" s="174" t="s">
        <v>1427</v>
      </c>
      <c r="V1256" s="276" t="s">
        <v>240</v>
      </c>
      <c r="W1256" s="130"/>
      <c r="X1256" s="125">
        <v>624.54999999999995</v>
      </c>
      <c r="Y1256" s="126">
        <v>662.39</v>
      </c>
      <c r="Z1256" s="127">
        <v>91.80504479999999</v>
      </c>
      <c r="AA1256" s="128" t="s">
        <v>252</v>
      </c>
      <c r="AB1256" s="125">
        <v>57.784995000000002</v>
      </c>
      <c r="AC1256" s="128" t="s">
        <v>252</v>
      </c>
      <c r="AD1256" s="129">
        <v>87.74366400000001</v>
      </c>
      <c r="AE1256" s="125" t="s">
        <v>252</v>
      </c>
      <c r="AF1256" s="125">
        <v>49.199037999999994</v>
      </c>
      <c r="AG1256" s="125" t="s">
        <v>252</v>
      </c>
      <c r="AH1256" s="125">
        <v>11.827585000000001</v>
      </c>
      <c r="AI1256" s="125" t="s">
        <v>252</v>
      </c>
      <c r="AJ1256" s="125">
        <v>0</v>
      </c>
      <c r="AK1256" s="125">
        <v>0</v>
      </c>
      <c r="AL1256" s="125">
        <v>0</v>
      </c>
      <c r="AM1256" s="125">
        <v>0</v>
      </c>
      <c r="AN1256" s="125">
        <v>0</v>
      </c>
      <c r="AO1256" s="125">
        <v>0</v>
      </c>
      <c r="AP1256" s="125">
        <v>0</v>
      </c>
      <c r="AQ1256" s="125">
        <v>0</v>
      </c>
      <c r="AR1256" s="125">
        <v>43.195308000000004</v>
      </c>
      <c r="AS1256" s="125" t="s">
        <v>252</v>
      </c>
      <c r="AT1256" s="125">
        <v>38.020581</v>
      </c>
      <c r="AU1256" s="125" t="s">
        <v>252</v>
      </c>
      <c r="AV1256" s="125">
        <v>54.474239999999995</v>
      </c>
      <c r="AW1256" s="125" t="s">
        <v>252</v>
      </c>
      <c r="AX1256" s="125">
        <f t="shared" si="4"/>
        <v>434.05045580000001</v>
      </c>
      <c r="AY1256" s="125">
        <f>0.2532+0.0067+0.0089+0.0012</f>
        <v>0.26999999999999996</v>
      </c>
      <c r="AZ1256" s="181" t="s">
        <v>1429</v>
      </c>
      <c r="BA1256" s="181" t="s">
        <v>254</v>
      </c>
      <c r="BB1256" s="181">
        <v>1</v>
      </c>
      <c r="BC1256" s="125" t="s">
        <v>255</v>
      </c>
    </row>
    <row r="1257" spans="1:55" ht="16.350000000000001" customHeight="1" outlineLevel="1">
      <c r="A1257" s="92">
        <v>1247</v>
      </c>
      <c r="B1257" s="99" t="s">
        <v>949</v>
      </c>
      <c r="C1257" s="122" t="s">
        <v>934</v>
      </c>
      <c r="D1257" s="161">
        <v>50</v>
      </c>
      <c r="E1257" s="123" t="s">
        <v>737</v>
      </c>
      <c r="F1257" s="124" t="s">
        <v>1425</v>
      </c>
      <c r="G1257" s="133" t="s">
        <v>247</v>
      </c>
      <c r="H1257" s="134" t="s">
        <v>248</v>
      </c>
      <c r="I1257" s="134" t="s">
        <v>1426</v>
      </c>
      <c r="J1257" s="134" t="s">
        <v>139</v>
      </c>
      <c r="K1257" s="124" t="s">
        <v>140</v>
      </c>
      <c r="L1257" s="174">
        <v>1</v>
      </c>
      <c r="M1257" s="174" t="s">
        <v>250</v>
      </c>
      <c r="N1257" s="184">
        <v>80</v>
      </c>
      <c r="O1257" s="184">
        <v>6</v>
      </c>
      <c r="P1257" s="184" t="s">
        <v>1429</v>
      </c>
      <c r="Q1257" s="174" t="s">
        <v>233</v>
      </c>
      <c r="R1257" s="276" t="s">
        <v>240</v>
      </c>
      <c r="S1257" s="276" t="s">
        <v>233</v>
      </c>
      <c r="T1257" s="276" t="s">
        <v>240</v>
      </c>
      <c r="U1257" s="174" t="s">
        <v>1427</v>
      </c>
      <c r="V1257" s="276" t="s">
        <v>240</v>
      </c>
      <c r="W1257" s="130"/>
      <c r="X1257" s="125">
        <v>718.02</v>
      </c>
      <c r="Y1257" s="126">
        <v>736.97</v>
      </c>
      <c r="Z1257" s="127">
        <v>108.8585064</v>
      </c>
      <c r="AA1257" s="128" t="s">
        <v>252</v>
      </c>
      <c r="AB1257" s="125">
        <v>73.283265</v>
      </c>
      <c r="AC1257" s="128" t="s">
        <v>252</v>
      </c>
      <c r="AD1257" s="129">
        <v>105.08382</v>
      </c>
      <c r="AE1257" s="125" t="s">
        <v>252</v>
      </c>
      <c r="AF1257" s="125">
        <v>58.156536000000003</v>
      </c>
      <c r="AG1257" s="125" t="s">
        <v>252</v>
      </c>
      <c r="AH1257" s="125">
        <v>14.442834</v>
      </c>
      <c r="AI1257" s="125" t="s">
        <v>252</v>
      </c>
      <c r="AJ1257" s="125">
        <v>0</v>
      </c>
      <c r="AK1257" s="125">
        <v>0</v>
      </c>
      <c r="AL1257" s="125">
        <v>0</v>
      </c>
      <c r="AM1257" s="125">
        <v>0</v>
      </c>
      <c r="AN1257" s="125">
        <v>0</v>
      </c>
      <c r="AO1257" s="125">
        <v>0</v>
      </c>
      <c r="AP1257" s="125">
        <v>0</v>
      </c>
      <c r="AQ1257" s="125">
        <v>0</v>
      </c>
      <c r="AR1257" s="125">
        <v>99.753344904000002</v>
      </c>
      <c r="AS1257" s="125" t="s">
        <v>252</v>
      </c>
      <c r="AT1257" s="125">
        <v>70.851067756199996</v>
      </c>
      <c r="AU1257" s="125" t="s">
        <v>252</v>
      </c>
      <c r="AV1257" s="125">
        <v>86.702063999999993</v>
      </c>
      <c r="AW1257" s="125" t="s">
        <v>252</v>
      </c>
      <c r="AX1257" s="125">
        <f t="shared" si="4"/>
        <v>617.13143806019991</v>
      </c>
      <c r="AY1257" s="125">
        <f>0.0883+0.0047</f>
        <v>9.2999999999999999E-2</v>
      </c>
      <c r="AZ1257" s="181" t="s">
        <v>1429</v>
      </c>
      <c r="BA1257" s="181" t="s">
        <v>254</v>
      </c>
      <c r="BB1257" s="181">
        <v>1</v>
      </c>
      <c r="BC1257" s="125" t="s">
        <v>255</v>
      </c>
    </row>
    <row r="1258" spans="1:55" ht="16.350000000000001" customHeight="1" outlineLevel="1">
      <c r="A1258" s="92">
        <v>1248</v>
      </c>
      <c r="B1258" s="99" t="s">
        <v>950</v>
      </c>
      <c r="C1258" s="122" t="s">
        <v>932</v>
      </c>
      <c r="D1258" s="161" t="s">
        <v>954</v>
      </c>
      <c r="E1258" s="123" t="s">
        <v>734</v>
      </c>
      <c r="F1258" s="124" t="s">
        <v>1425</v>
      </c>
      <c r="G1258" s="133" t="s">
        <v>247</v>
      </c>
      <c r="H1258" s="134" t="s">
        <v>248</v>
      </c>
      <c r="I1258" s="134" t="s">
        <v>1426</v>
      </c>
      <c r="J1258" s="134" t="s">
        <v>139</v>
      </c>
      <c r="K1258" s="124" t="s">
        <v>140</v>
      </c>
      <c r="L1258" s="174">
        <v>0</v>
      </c>
      <c r="M1258" s="174" t="s">
        <v>250</v>
      </c>
      <c r="N1258" s="184">
        <v>89</v>
      </c>
      <c r="O1258" s="184">
        <v>6</v>
      </c>
      <c r="P1258" s="184" t="s">
        <v>1429</v>
      </c>
      <c r="Q1258" s="174" t="s">
        <v>233</v>
      </c>
      <c r="R1258" s="276" t="s">
        <v>240</v>
      </c>
      <c r="S1258" s="276" t="s">
        <v>240</v>
      </c>
      <c r="T1258" s="276" t="s">
        <v>233</v>
      </c>
      <c r="U1258" s="174" t="s">
        <v>1427</v>
      </c>
      <c r="V1258" s="276" t="s">
        <v>240</v>
      </c>
      <c r="W1258" s="130"/>
      <c r="X1258" s="125">
        <v>299.14999999999998</v>
      </c>
      <c r="Y1258" s="126">
        <v>323.73</v>
      </c>
      <c r="Z1258" s="127">
        <v>51.212271600000001</v>
      </c>
      <c r="AA1258" s="128" t="s">
        <v>252</v>
      </c>
      <c r="AB1258" s="125">
        <v>34.850520000000003</v>
      </c>
      <c r="AC1258" s="128" t="s">
        <v>252</v>
      </c>
      <c r="AD1258" s="129">
        <v>46.311120000000003</v>
      </c>
      <c r="AE1258" s="125" t="s">
        <v>252</v>
      </c>
      <c r="AF1258" s="125">
        <v>23.797060000000002</v>
      </c>
      <c r="AG1258" s="125" t="s">
        <v>252</v>
      </c>
      <c r="AH1258" s="125">
        <v>5.7368989999999993</v>
      </c>
      <c r="AI1258" s="125" t="s">
        <v>252</v>
      </c>
      <c r="AJ1258" s="125">
        <v>0</v>
      </c>
      <c r="AK1258" s="125">
        <v>0</v>
      </c>
      <c r="AL1258" s="125">
        <v>0</v>
      </c>
      <c r="AM1258" s="125">
        <v>0</v>
      </c>
      <c r="AN1258" s="125">
        <v>0</v>
      </c>
      <c r="AO1258" s="125">
        <v>0</v>
      </c>
      <c r="AP1258" s="125">
        <v>0</v>
      </c>
      <c r="AQ1258" s="125">
        <v>0</v>
      </c>
      <c r="AR1258" s="125">
        <v>25.160028000000001</v>
      </c>
      <c r="AS1258" s="125" t="s">
        <v>252</v>
      </c>
      <c r="AT1258" s="125">
        <v>22.360868999999997</v>
      </c>
      <c r="AU1258" s="125" t="s">
        <v>252</v>
      </c>
      <c r="AV1258" s="125">
        <v>33.730848000000002</v>
      </c>
      <c r="AW1258" s="125" t="s">
        <v>252</v>
      </c>
      <c r="AX1258" s="125">
        <f t="shared" si="4"/>
        <v>243.1596156</v>
      </c>
      <c r="AY1258" s="125">
        <f>0.2369+0.0201</f>
        <v>0.25700000000000001</v>
      </c>
      <c r="AZ1258" s="181" t="s">
        <v>1429</v>
      </c>
      <c r="BA1258" s="181" t="s">
        <v>254</v>
      </c>
      <c r="BB1258" s="181">
        <v>1</v>
      </c>
      <c r="BC1258" s="125" t="s">
        <v>255</v>
      </c>
    </row>
    <row r="1259" spans="1:55" ht="16.350000000000001" customHeight="1" outlineLevel="1">
      <c r="A1259" s="92">
        <v>1249</v>
      </c>
      <c r="B1259" s="99" t="s">
        <v>951</v>
      </c>
      <c r="C1259" s="122" t="s">
        <v>956</v>
      </c>
      <c r="D1259" s="161" t="s">
        <v>957</v>
      </c>
      <c r="E1259" s="123" t="s">
        <v>734</v>
      </c>
      <c r="F1259" s="124" t="s">
        <v>1425</v>
      </c>
      <c r="G1259" s="133" t="s">
        <v>247</v>
      </c>
      <c r="H1259" s="134" t="s">
        <v>248</v>
      </c>
      <c r="I1259" s="134" t="s">
        <v>1426</v>
      </c>
      <c r="J1259" s="134" t="s">
        <v>139</v>
      </c>
      <c r="K1259" s="124" t="s">
        <v>140</v>
      </c>
      <c r="L1259" s="174">
        <v>0</v>
      </c>
      <c r="M1259" s="174" t="s">
        <v>250</v>
      </c>
      <c r="N1259" s="184">
        <v>89</v>
      </c>
      <c r="O1259" s="184">
        <v>6</v>
      </c>
      <c r="P1259" s="184" t="s">
        <v>1429</v>
      </c>
      <c r="Q1259" s="174" t="s">
        <v>233</v>
      </c>
      <c r="R1259" s="276" t="s">
        <v>240</v>
      </c>
      <c r="S1259" s="276" t="s">
        <v>240</v>
      </c>
      <c r="T1259" s="276" t="s">
        <v>233</v>
      </c>
      <c r="U1259" s="174" t="s">
        <v>1427</v>
      </c>
      <c r="V1259" s="276" t="s">
        <v>240</v>
      </c>
      <c r="W1259" s="130"/>
      <c r="X1259" s="125">
        <v>1364.17</v>
      </c>
      <c r="Y1259" s="126">
        <v>1413.66</v>
      </c>
      <c r="Z1259" s="127">
        <v>130.68555359999999</v>
      </c>
      <c r="AA1259" s="128" t="s">
        <v>259</v>
      </c>
      <c r="AB1259" s="125">
        <v>123.61558500000001</v>
      </c>
      <c r="AC1259" s="128" t="s">
        <v>259</v>
      </c>
      <c r="AD1259" s="129">
        <v>132.543486</v>
      </c>
      <c r="AE1259" s="125" t="s">
        <v>259</v>
      </c>
      <c r="AF1259" s="125">
        <v>118.69277799999999</v>
      </c>
      <c r="AG1259" s="125" t="s">
        <v>259</v>
      </c>
      <c r="AH1259" s="125">
        <v>103.38211099999999</v>
      </c>
      <c r="AI1259" s="125" t="s">
        <v>259</v>
      </c>
      <c r="AJ1259" s="125">
        <v>0</v>
      </c>
      <c r="AK1259" s="125">
        <v>0</v>
      </c>
      <c r="AL1259" s="125">
        <v>0</v>
      </c>
      <c r="AM1259" s="125">
        <v>0</v>
      </c>
      <c r="AN1259" s="125">
        <v>0</v>
      </c>
      <c r="AO1259" s="125">
        <v>0</v>
      </c>
      <c r="AP1259" s="125">
        <v>0</v>
      </c>
      <c r="AQ1259" s="125">
        <v>0</v>
      </c>
      <c r="AR1259" s="125">
        <v>110.965716</v>
      </c>
      <c r="AS1259" s="125" t="s">
        <v>259</v>
      </c>
      <c r="AT1259" s="125">
        <v>108.60768</v>
      </c>
      <c r="AU1259" s="125" t="s">
        <v>259</v>
      </c>
      <c r="AV1259" s="125">
        <v>111.746928</v>
      </c>
      <c r="AW1259" s="125" t="s">
        <v>259</v>
      </c>
      <c r="AX1259" s="125">
        <f t="shared" si="4"/>
        <v>940.23983759999999</v>
      </c>
      <c r="AY1259" s="125">
        <f>0.1</f>
        <v>0.1</v>
      </c>
      <c r="AZ1259" s="181" t="s">
        <v>1429</v>
      </c>
      <c r="BA1259" s="181" t="s">
        <v>254</v>
      </c>
      <c r="BB1259" s="181">
        <v>1</v>
      </c>
      <c r="BC1259" s="125" t="s">
        <v>255</v>
      </c>
    </row>
    <row r="1260" spans="1:55" ht="16.350000000000001" customHeight="1" outlineLevel="1">
      <c r="A1260" s="92">
        <v>1250</v>
      </c>
      <c r="B1260" s="99" t="s">
        <v>952</v>
      </c>
      <c r="C1260" s="122" t="s">
        <v>959</v>
      </c>
      <c r="D1260" s="161" t="s">
        <v>960</v>
      </c>
      <c r="E1260" s="123" t="s">
        <v>734</v>
      </c>
      <c r="F1260" s="124" t="s">
        <v>1425</v>
      </c>
      <c r="G1260" s="133" t="s">
        <v>281</v>
      </c>
      <c r="H1260" s="134" t="s">
        <v>248</v>
      </c>
      <c r="I1260" s="134" t="s">
        <v>1426</v>
      </c>
      <c r="J1260" s="134" t="s">
        <v>139</v>
      </c>
      <c r="K1260" s="124" t="s">
        <v>140</v>
      </c>
      <c r="L1260" s="174">
        <v>1</v>
      </c>
      <c r="M1260" s="174" t="s">
        <v>250</v>
      </c>
      <c r="N1260" s="315">
        <v>80</v>
      </c>
      <c r="O1260" s="315">
        <v>6</v>
      </c>
      <c r="P1260" s="315" t="s">
        <v>1429</v>
      </c>
      <c r="Q1260" s="317" t="s">
        <v>233</v>
      </c>
      <c r="R1260" s="320" t="s">
        <v>240</v>
      </c>
      <c r="S1260" s="320" t="s">
        <v>233</v>
      </c>
      <c r="T1260" s="320" t="s">
        <v>240</v>
      </c>
      <c r="U1260" s="174" t="s">
        <v>1427</v>
      </c>
      <c r="V1260" s="320" t="s">
        <v>240</v>
      </c>
      <c r="W1260" s="130"/>
      <c r="X1260" s="292">
        <v>1044.27</v>
      </c>
      <c r="Y1260" s="295">
        <v>1016.79</v>
      </c>
      <c r="Z1260" s="297">
        <v>170.52596819999999</v>
      </c>
      <c r="AA1260" s="299" t="s">
        <v>252</v>
      </c>
      <c r="AB1260" s="292">
        <v>112.81950000000001</v>
      </c>
      <c r="AC1260" s="299" t="s">
        <v>252</v>
      </c>
      <c r="AD1260" s="301">
        <v>147.81555</v>
      </c>
      <c r="AE1260" s="292" t="s">
        <v>252</v>
      </c>
      <c r="AF1260" s="292">
        <v>76.174309999999991</v>
      </c>
      <c r="AG1260" s="292" t="s">
        <v>252</v>
      </c>
      <c r="AH1260" s="292">
        <v>17.349437000000002</v>
      </c>
      <c r="AI1260" s="292" t="s">
        <v>252</v>
      </c>
      <c r="AJ1260" s="292">
        <v>0</v>
      </c>
      <c r="AK1260" s="292">
        <v>0</v>
      </c>
      <c r="AL1260" s="292">
        <v>0</v>
      </c>
      <c r="AM1260" s="292">
        <v>0</v>
      </c>
      <c r="AN1260" s="292">
        <v>0</v>
      </c>
      <c r="AO1260" s="292">
        <v>0</v>
      </c>
      <c r="AP1260" s="292">
        <v>0</v>
      </c>
      <c r="AQ1260" s="292">
        <v>0</v>
      </c>
      <c r="AR1260" s="292">
        <v>120.47604735359999</v>
      </c>
      <c r="AS1260" s="292" t="s">
        <v>312</v>
      </c>
      <c r="AT1260" s="292">
        <v>99.504295553700004</v>
      </c>
      <c r="AU1260" s="292" t="s">
        <v>312</v>
      </c>
      <c r="AV1260" s="292">
        <v>100.24908171839999</v>
      </c>
      <c r="AW1260" s="292" t="s">
        <v>312</v>
      </c>
      <c r="AX1260" s="292">
        <f t="shared" si="4"/>
        <v>844.91418982569996</v>
      </c>
      <c r="AY1260" s="125">
        <f>0.3132+0.0068</f>
        <v>0.31999999999999995</v>
      </c>
      <c r="AZ1260" s="312" t="s">
        <v>1429</v>
      </c>
      <c r="BA1260" s="312" t="s">
        <v>254</v>
      </c>
      <c r="BB1260" s="312">
        <v>1</v>
      </c>
      <c r="BC1260" s="125" t="s">
        <v>255</v>
      </c>
    </row>
    <row r="1261" spans="1:55" ht="16.350000000000001" customHeight="1" outlineLevel="1">
      <c r="A1261" s="92">
        <v>1251</v>
      </c>
      <c r="B1261" s="99" t="s">
        <v>953</v>
      </c>
      <c r="C1261" s="122" t="s">
        <v>962</v>
      </c>
      <c r="D1261" s="161">
        <v>13</v>
      </c>
      <c r="E1261" s="123" t="s">
        <v>734</v>
      </c>
      <c r="F1261" s="124" t="s">
        <v>1425</v>
      </c>
      <c r="G1261" s="133" t="s">
        <v>247</v>
      </c>
      <c r="H1261" s="334" t="s">
        <v>248</v>
      </c>
      <c r="I1261" s="334" t="s">
        <v>1426</v>
      </c>
      <c r="J1261" s="317" t="s">
        <v>139</v>
      </c>
      <c r="K1261" s="317" t="s">
        <v>140</v>
      </c>
      <c r="L1261" s="334">
        <v>1</v>
      </c>
      <c r="M1261" s="334" t="s">
        <v>250</v>
      </c>
      <c r="N1261" s="315"/>
      <c r="O1261" s="315"/>
      <c r="P1261" s="315"/>
      <c r="Q1261" s="319"/>
      <c r="R1261" s="320"/>
      <c r="S1261" s="320"/>
      <c r="T1261" s="320"/>
      <c r="U1261" s="334" t="s">
        <v>1427</v>
      </c>
      <c r="V1261" s="320"/>
      <c r="W1261" s="189"/>
      <c r="X1261" s="294"/>
      <c r="Y1261" s="296"/>
      <c r="Z1261" s="298"/>
      <c r="AA1261" s="300"/>
      <c r="AB1261" s="294"/>
      <c r="AC1261" s="300"/>
      <c r="AD1261" s="302"/>
      <c r="AE1261" s="294"/>
      <c r="AF1261" s="294"/>
      <c r="AG1261" s="294"/>
      <c r="AH1261" s="294"/>
      <c r="AI1261" s="294"/>
      <c r="AJ1261" s="294"/>
      <c r="AK1261" s="294"/>
      <c r="AL1261" s="294"/>
      <c r="AM1261" s="294"/>
      <c r="AN1261" s="294"/>
      <c r="AO1261" s="294"/>
      <c r="AP1261" s="294"/>
      <c r="AQ1261" s="294"/>
      <c r="AR1261" s="294"/>
      <c r="AS1261" s="294"/>
      <c r="AT1261" s="294"/>
      <c r="AU1261" s="294"/>
      <c r="AV1261" s="294"/>
      <c r="AW1261" s="294"/>
      <c r="AX1261" s="294">
        <f t="shared" si="4"/>
        <v>0</v>
      </c>
      <c r="AY1261" s="292">
        <f>0.0017+0.2805+0.0326+0.0141+0.0122+0.0089</f>
        <v>0.35000000000000003</v>
      </c>
      <c r="AZ1261" s="312"/>
      <c r="BA1261" s="312"/>
      <c r="BB1261" s="312"/>
      <c r="BC1261" s="336" t="s">
        <v>255</v>
      </c>
    </row>
    <row r="1262" spans="1:55" ht="16.350000000000001" customHeight="1" outlineLevel="1">
      <c r="A1262" s="92">
        <v>1252</v>
      </c>
      <c r="B1262" s="99" t="s">
        <v>955</v>
      </c>
      <c r="C1262" s="122" t="s">
        <v>962</v>
      </c>
      <c r="D1262" s="161">
        <v>13</v>
      </c>
      <c r="E1262" s="123" t="s">
        <v>737</v>
      </c>
      <c r="F1262" s="124" t="s">
        <v>1425</v>
      </c>
      <c r="G1262" s="133" t="s">
        <v>247</v>
      </c>
      <c r="H1262" s="335"/>
      <c r="I1262" s="335"/>
      <c r="J1262" s="319"/>
      <c r="K1262" s="319"/>
      <c r="L1262" s="335"/>
      <c r="M1262" s="335"/>
      <c r="N1262" s="184">
        <v>80</v>
      </c>
      <c r="O1262" s="184">
        <v>6</v>
      </c>
      <c r="P1262" s="184" t="s">
        <v>1429</v>
      </c>
      <c r="Q1262" s="174" t="s">
        <v>233</v>
      </c>
      <c r="R1262" s="276" t="s">
        <v>240</v>
      </c>
      <c r="S1262" s="276" t="s">
        <v>233</v>
      </c>
      <c r="T1262" s="276" t="s">
        <v>240</v>
      </c>
      <c r="U1262" s="335"/>
      <c r="V1262" s="276" t="s">
        <v>240</v>
      </c>
      <c r="W1262" s="190"/>
      <c r="X1262" s="125">
        <v>436.89</v>
      </c>
      <c r="Y1262" s="126">
        <v>454.02</v>
      </c>
      <c r="Z1262" s="127">
        <v>68.352211199999999</v>
      </c>
      <c r="AA1262" s="128" t="s">
        <v>252</v>
      </c>
      <c r="AB1262" s="125">
        <v>44.996040000000001</v>
      </c>
      <c r="AC1262" s="128" t="s">
        <v>252</v>
      </c>
      <c r="AD1262" s="129">
        <v>65.445390000000003</v>
      </c>
      <c r="AE1262" s="125" t="s">
        <v>252</v>
      </c>
      <c r="AF1262" s="125">
        <v>33.221012000000002</v>
      </c>
      <c r="AG1262" s="125" t="s">
        <v>252</v>
      </c>
      <c r="AH1262" s="125">
        <v>7.3254720000000004</v>
      </c>
      <c r="AI1262" s="125" t="s">
        <v>252</v>
      </c>
      <c r="AJ1262" s="125">
        <v>0</v>
      </c>
      <c r="AK1262" s="125">
        <v>0</v>
      </c>
      <c r="AL1262" s="125">
        <v>0</v>
      </c>
      <c r="AM1262" s="125">
        <v>0</v>
      </c>
      <c r="AN1262" s="125">
        <v>0</v>
      </c>
      <c r="AO1262" s="125">
        <v>0</v>
      </c>
      <c r="AP1262" s="125">
        <v>0</v>
      </c>
      <c r="AQ1262" s="125">
        <v>0</v>
      </c>
      <c r="AR1262" s="125">
        <v>19.384417244400002</v>
      </c>
      <c r="AS1262" s="125" t="s">
        <v>312</v>
      </c>
      <c r="AT1262" s="125">
        <v>42.338499533099998</v>
      </c>
      <c r="AU1262" s="125" t="s">
        <v>312</v>
      </c>
      <c r="AV1262" s="125">
        <v>46.779032812800004</v>
      </c>
      <c r="AW1262" s="125" t="s">
        <v>312</v>
      </c>
      <c r="AX1262" s="125">
        <f t="shared" si="4"/>
        <v>327.84207479029999</v>
      </c>
      <c r="AY1262" s="294"/>
      <c r="AZ1262" s="181" t="s">
        <v>1429</v>
      </c>
      <c r="BA1262" s="181" t="s">
        <v>254</v>
      </c>
      <c r="BB1262" s="181">
        <v>1</v>
      </c>
      <c r="BC1262" s="337"/>
    </row>
    <row r="1263" spans="1:55" ht="16.350000000000001" customHeight="1" outlineLevel="1">
      <c r="A1263" s="92">
        <v>1253</v>
      </c>
      <c r="B1263" s="99" t="s">
        <v>958</v>
      </c>
      <c r="C1263" s="122" t="s">
        <v>962</v>
      </c>
      <c r="D1263" s="161">
        <v>2</v>
      </c>
      <c r="E1263" s="123" t="s">
        <v>734</v>
      </c>
      <c r="F1263" s="124" t="s">
        <v>1425</v>
      </c>
      <c r="G1263" s="133" t="s">
        <v>281</v>
      </c>
      <c r="H1263" s="134" t="s">
        <v>248</v>
      </c>
      <c r="I1263" s="134" t="s">
        <v>1426</v>
      </c>
      <c r="J1263" s="134" t="s">
        <v>139</v>
      </c>
      <c r="K1263" s="124" t="s">
        <v>140</v>
      </c>
      <c r="L1263" s="174">
        <v>0</v>
      </c>
      <c r="M1263" s="174" t="s">
        <v>250</v>
      </c>
      <c r="N1263" s="184">
        <v>89</v>
      </c>
      <c r="O1263" s="184">
        <v>5.4</v>
      </c>
      <c r="P1263" s="184" t="s">
        <v>253</v>
      </c>
      <c r="Q1263" s="174" t="s">
        <v>240</v>
      </c>
      <c r="R1263" s="276" t="s">
        <v>240</v>
      </c>
      <c r="S1263" s="276" t="s">
        <v>240</v>
      </c>
      <c r="T1263" s="276" t="s">
        <v>233</v>
      </c>
      <c r="U1263" s="174" t="s">
        <v>1427</v>
      </c>
      <c r="V1263" s="276" t="s">
        <v>240</v>
      </c>
      <c r="W1263" s="130"/>
      <c r="X1263" s="125">
        <v>559.73</v>
      </c>
      <c r="Y1263" s="126">
        <v>730.64</v>
      </c>
      <c r="Z1263" s="127">
        <f>9.91+80.68</f>
        <v>90.59</v>
      </c>
      <c r="AA1263" s="128" t="s">
        <v>259</v>
      </c>
      <c r="AB1263" s="125">
        <f>9.91+80.68</f>
        <v>90.59</v>
      </c>
      <c r="AC1263" s="128" t="s">
        <v>259</v>
      </c>
      <c r="AD1263" s="253">
        <f>9.91+80.68</f>
        <v>90.59</v>
      </c>
      <c r="AE1263" s="125" t="s">
        <v>259</v>
      </c>
      <c r="AF1263" s="125">
        <f>9.91+80.68</f>
        <v>90.59</v>
      </c>
      <c r="AG1263" s="125" t="s">
        <v>259</v>
      </c>
      <c r="AH1263" s="125">
        <f>2.88+23.42</f>
        <v>26.3</v>
      </c>
      <c r="AI1263" s="125" t="s">
        <v>259</v>
      </c>
      <c r="AJ1263" s="125">
        <v>0</v>
      </c>
      <c r="AK1263" s="125">
        <v>0</v>
      </c>
      <c r="AL1263" s="125">
        <v>0</v>
      </c>
      <c r="AM1263" s="125">
        <v>0</v>
      </c>
      <c r="AN1263" s="125">
        <v>0</v>
      </c>
      <c r="AO1263" s="125">
        <v>0</v>
      </c>
      <c r="AP1263" s="125">
        <f>2.15+17.52</f>
        <v>19.669999999999998</v>
      </c>
      <c r="AQ1263" s="125" t="s">
        <v>259</v>
      </c>
      <c r="AR1263" s="125">
        <f>9.22+75.07</f>
        <v>84.289999999999992</v>
      </c>
      <c r="AS1263" s="125" t="s">
        <v>259</v>
      </c>
      <c r="AT1263" s="125">
        <f>9.22+75.07</f>
        <v>84.289999999999992</v>
      </c>
      <c r="AU1263" s="125" t="s">
        <v>259</v>
      </c>
      <c r="AV1263" s="125">
        <f>9.22+75.07</f>
        <v>84.289999999999992</v>
      </c>
      <c r="AW1263" s="125" t="s">
        <v>259</v>
      </c>
      <c r="AX1263" s="125">
        <f t="shared" si="4"/>
        <v>661.19999999999993</v>
      </c>
      <c r="AY1263" s="125">
        <f>0.133+0.013+0.014</f>
        <v>0.16000000000000003</v>
      </c>
      <c r="AZ1263" s="181" t="s">
        <v>253</v>
      </c>
      <c r="BA1263" s="181" t="s">
        <v>254</v>
      </c>
      <c r="BB1263" s="181" t="s">
        <v>1430</v>
      </c>
      <c r="BC1263" s="125" t="s">
        <v>255</v>
      </c>
    </row>
    <row r="1264" spans="1:55" ht="16.350000000000001" customHeight="1" outlineLevel="1">
      <c r="A1264" s="92">
        <v>1254</v>
      </c>
      <c r="B1264" s="99" t="s">
        <v>961</v>
      </c>
      <c r="C1264" s="122" t="s">
        <v>962</v>
      </c>
      <c r="D1264" s="161">
        <v>3</v>
      </c>
      <c r="E1264" s="123" t="s">
        <v>734</v>
      </c>
      <c r="F1264" s="124" t="s">
        <v>1234</v>
      </c>
      <c r="G1264" s="133" t="s">
        <v>281</v>
      </c>
      <c r="H1264" s="134" t="s">
        <v>1424</v>
      </c>
      <c r="I1264" s="134" t="s">
        <v>1426</v>
      </c>
      <c r="J1264" s="134" t="s">
        <v>139</v>
      </c>
      <c r="K1264" s="124" t="s">
        <v>140</v>
      </c>
      <c r="L1264" s="174">
        <v>1</v>
      </c>
      <c r="M1264" s="174" t="s">
        <v>250</v>
      </c>
      <c r="N1264" s="184">
        <v>50</v>
      </c>
      <c r="O1264" s="184">
        <v>6</v>
      </c>
      <c r="P1264" s="184" t="s">
        <v>1429</v>
      </c>
      <c r="Q1264" s="174" t="s">
        <v>233</v>
      </c>
      <c r="R1264" s="276" t="s">
        <v>240</v>
      </c>
      <c r="S1264" s="276" t="s">
        <v>233</v>
      </c>
      <c r="T1264" s="276" t="s">
        <v>240</v>
      </c>
      <c r="U1264" s="174" t="s">
        <v>1428</v>
      </c>
      <c r="V1264" s="276" t="s">
        <v>240</v>
      </c>
      <c r="W1264" s="130"/>
      <c r="X1264" s="125">
        <v>911.05</v>
      </c>
      <c r="Y1264" s="126">
        <v>774.29</v>
      </c>
      <c r="Z1264" s="127">
        <v>106.1430972</v>
      </c>
      <c r="AA1264" s="128" t="s">
        <v>252</v>
      </c>
      <c r="AB1264" s="125">
        <v>71.208044999999998</v>
      </c>
      <c r="AC1264" s="128" t="s">
        <v>252</v>
      </c>
      <c r="AD1264" s="129">
        <v>103.53717</v>
      </c>
      <c r="AE1264" s="125" t="s">
        <v>252</v>
      </c>
      <c r="AF1264" s="125">
        <v>51.136008000000004</v>
      </c>
      <c r="AG1264" s="125" t="s">
        <v>252</v>
      </c>
      <c r="AH1264" s="125">
        <v>17.023398</v>
      </c>
      <c r="AI1264" s="125" t="s">
        <v>252</v>
      </c>
      <c r="AJ1264" s="125">
        <v>0</v>
      </c>
      <c r="AK1264" s="125">
        <v>0</v>
      </c>
      <c r="AL1264" s="125">
        <v>0</v>
      </c>
      <c r="AM1264" s="125">
        <v>0</v>
      </c>
      <c r="AN1264" s="125">
        <v>0</v>
      </c>
      <c r="AO1264" s="125">
        <v>0</v>
      </c>
      <c r="AP1264" s="125">
        <v>0</v>
      </c>
      <c r="AQ1264" s="125">
        <v>0</v>
      </c>
      <c r="AR1264" s="125">
        <v>52.115460000000006</v>
      </c>
      <c r="AS1264" s="125" t="s">
        <v>252</v>
      </c>
      <c r="AT1264" s="125">
        <v>57.208464000000006</v>
      </c>
      <c r="AU1264" s="125" t="s">
        <v>252</v>
      </c>
      <c r="AV1264" s="125">
        <v>75.333888000000002</v>
      </c>
      <c r="AW1264" s="125" t="s">
        <v>252</v>
      </c>
      <c r="AX1264" s="125">
        <f t="shared" si="4"/>
        <v>533.70553019999988</v>
      </c>
      <c r="AY1264" s="125">
        <v>0.27099000000000001</v>
      </c>
      <c r="AZ1264" s="181" t="s">
        <v>1429</v>
      </c>
      <c r="BA1264" s="181" t="s">
        <v>254</v>
      </c>
      <c r="BB1264" s="181">
        <v>1</v>
      </c>
      <c r="BC1264" s="125" t="s">
        <v>255</v>
      </c>
    </row>
    <row r="1265" spans="1:55" ht="16.350000000000001" customHeight="1" outlineLevel="1">
      <c r="A1265" s="92">
        <v>1255</v>
      </c>
      <c r="B1265" s="99" t="s">
        <v>963</v>
      </c>
      <c r="C1265" s="122" t="s">
        <v>967</v>
      </c>
      <c r="D1265" s="161" t="s">
        <v>968</v>
      </c>
      <c r="E1265" s="123" t="s">
        <v>734</v>
      </c>
      <c r="F1265" s="124" t="s">
        <v>1425</v>
      </c>
      <c r="G1265" s="133" t="s">
        <v>247</v>
      </c>
      <c r="H1265" s="134" t="s">
        <v>1424</v>
      </c>
      <c r="I1265" s="134" t="s">
        <v>1426</v>
      </c>
      <c r="J1265" s="134" t="s">
        <v>139</v>
      </c>
      <c r="K1265" s="124" t="s">
        <v>140</v>
      </c>
      <c r="L1265" s="174">
        <v>0</v>
      </c>
      <c r="M1265" s="174" t="s">
        <v>250</v>
      </c>
      <c r="N1265" s="184">
        <v>89</v>
      </c>
      <c r="O1265" s="184">
        <v>5.5</v>
      </c>
      <c r="P1265" s="184" t="s">
        <v>253</v>
      </c>
      <c r="Q1265" s="174" t="s">
        <v>240</v>
      </c>
      <c r="R1265" s="276" t="s">
        <v>240</v>
      </c>
      <c r="S1265" s="276" t="s">
        <v>240</v>
      </c>
      <c r="T1265" s="276" t="s">
        <v>233</v>
      </c>
      <c r="U1265" s="174" t="s">
        <v>1427</v>
      </c>
      <c r="V1265" s="276" t="s">
        <v>240</v>
      </c>
      <c r="W1265" s="130"/>
      <c r="X1265" s="125">
        <v>559.73</v>
      </c>
      <c r="Y1265" s="126">
        <v>775.23</v>
      </c>
      <c r="Z1265" s="127">
        <f>15.73+79.05</f>
        <v>94.78</v>
      </c>
      <c r="AA1265" s="128" t="s">
        <v>259</v>
      </c>
      <c r="AB1265" s="125">
        <f>15.73+79.05</f>
        <v>94.78</v>
      </c>
      <c r="AC1265" s="128" t="s">
        <v>259</v>
      </c>
      <c r="AD1265" s="253">
        <f>15.73+79.05</f>
        <v>94.78</v>
      </c>
      <c r="AE1265" s="125" t="s">
        <v>259</v>
      </c>
      <c r="AF1265" s="125">
        <f>15.73+79.05</f>
        <v>94.78</v>
      </c>
      <c r="AG1265" s="125" t="s">
        <v>259</v>
      </c>
      <c r="AH1265" s="125">
        <f>4.57+22.95</f>
        <v>27.52</v>
      </c>
      <c r="AI1265" s="125" t="s">
        <v>259</v>
      </c>
      <c r="AJ1265" s="125">
        <v>0</v>
      </c>
      <c r="AK1265" s="125">
        <v>0</v>
      </c>
      <c r="AL1265" s="125">
        <v>0</v>
      </c>
      <c r="AM1265" s="125">
        <v>0</v>
      </c>
      <c r="AN1265" s="125">
        <v>0</v>
      </c>
      <c r="AO1265" s="125">
        <v>0</v>
      </c>
      <c r="AP1265" s="125">
        <f>3.52+17.68</f>
        <v>21.2</v>
      </c>
      <c r="AQ1265" s="125" t="s">
        <v>259</v>
      </c>
      <c r="AR1265" s="125">
        <f>15.08+75.75</f>
        <v>90.83</v>
      </c>
      <c r="AS1265" s="125" t="s">
        <v>259</v>
      </c>
      <c r="AT1265" s="125">
        <f>15.08+75.75</f>
        <v>90.83</v>
      </c>
      <c r="AU1265" s="125" t="s">
        <v>259</v>
      </c>
      <c r="AV1265" s="125">
        <f>15.08+75.75</f>
        <v>90.83</v>
      </c>
      <c r="AW1265" s="125" t="s">
        <v>259</v>
      </c>
      <c r="AX1265" s="125">
        <f t="shared" si="4"/>
        <v>700.33</v>
      </c>
      <c r="AY1265" s="125">
        <f>0.0024+0.0033+0.0051+0.2078+0.0114</f>
        <v>0.23</v>
      </c>
      <c r="AZ1265" s="181" t="s">
        <v>253</v>
      </c>
      <c r="BA1265" s="181" t="s">
        <v>254</v>
      </c>
      <c r="BB1265" s="181" t="s">
        <v>1430</v>
      </c>
      <c r="BC1265" s="125" t="s">
        <v>255</v>
      </c>
    </row>
    <row r="1266" spans="1:55" ht="16.350000000000001" customHeight="1" outlineLevel="1">
      <c r="A1266" s="92">
        <v>1256</v>
      </c>
      <c r="B1266" s="99" t="s">
        <v>964</v>
      </c>
      <c r="C1266" s="122" t="s">
        <v>967</v>
      </c>
      <c r="D1266" s="161" t="s">
        <v>970</v>
      </c>
      <c r="E1266" s="123" t="s">
        <v>734</v>
      </c>
      <c r="F1266" s="124" t="s">
        <v>1234</v>
      </c>
      <c r="G1266" s="133" t="s">
        <v>281</v>
      </c>
      <c r="H1266" s="134" t="s">
        <v>1424</v>
      </c>
      <c r="I1266" s="134" t="s">
        <v>1426</v>
      </c>
      <c r="J1266" s="134" t="s">
        <v>139</v>
      </c>
      <c r="K1266" s="124" t="s">
        <v>140</v>
      </c>
      <c r="L1266" s="174">
        <v>1</v>
      </c>
      <c r="M1266" s="174" t="s">
        <v>250</v>
      </c>
      <c r="N1266" s="184">
        <v>80</v>
      </c>
      <c r="O1266" s="184">
        <v>6</v>
      </c>
      <c r="P1266" s="184" t="s">
        <v>1429</v>
      </c>
      <c r="Q1266" s="174" t="s">
        <v>233</v>
      </c>
      <c r="R1266" s="276" t="s">
        <v>240</v>
      </c>
      <c r="S1266" s="276" t="s">
        <v>233</v>
      </c>
      <c r="T1266" s="276" t="s">
        <v>240</v>
      </c>
      <c r="U1266" s="174" t="s">
        <v>1428</v>
      </c>
      <c r="V1266" s="276" t="s">
        <v>240</v>
      </c>
      <c r="W1266" s="130"/>
      <c r="X1266" s="125">
        <v>2185.87</v>
      </c>
      <c r="Y1266" s="126">
        <v>2140.9299999999998</v>
      </c>
      <c r="Z1266" s="127">
        <v>306.8498874</v>
      </c>
      <c r="AA1266" s="128" t="s">
        <v>252</v>
      </c>
      <c r="AB1266" s="125">
        <v>198.15057000000002</v>
      </c>
      <c r="AC1266" s="128" t="s">
        <v>252</v>
      </c>
      <c r="AD1266" s="129">
        <v>296.48838600000005</v>
      </c>
      <c r="AE1266" s="125" t="s">
        <v>252</v>
      </c>
      <c r="AF1266" s="125">
        <v>151.10737799999998</v>
      </c>
      <c r="AG1266" s="125" t="s">
        <v>252</v>
      </c>
      <c r="AH1266" s="125">
        <v>47.990166000000002</v>
      </c>
      <c r="AI1266" s="125" t="s">
        <v>252</v>
      </c>
      <c r="AJ1266" s="125">
        <v>0</v>
      </c>
      <c r="AK1266" s="125">
        <v>0</v>
      </c>
      <c r="AL1266" s="125">
        <v>0</v>
      </c>
      <c r="AM1266" s="125">
        <v>0</v>
      </c>
      <c r="AN1266" s="125">
        <v>0</v>
      </c>
      <c r="AO1266" s="125">
        <v>0</v>
      </c>
      <c r="AP1266" s="125"/>
      <c r="AQ1266" s="125"/>
      <c r="AR1266" s="125">
        <v>148.43259743640002</v>
      </c>
      <c r="AS1266" s="125" t="s">
        <v>252</v>
      </c>
      <c r="AT1266" s="125">
        <v>199.10018069009999</v>
      </c>
      <c r="AU1266" s="125" t="s">
        <v>252</v>
      </c>
      <c r="AV1266" s="125">
        <v>250.88875200000001</v>
      </c>
      <c r="AW1266" s="125" t="s">
        <v>252</v>
      </c>
      <c r="AX1266" s="125">
        <f t="shared" si="4"/>
        <v>1599.0079175265003</v>
      </c>
      <c r="AY1266" s="125">
        <v>0.27099000000000001</v>
      </c>
      <c r="AZ1266" s="181" t="s">
        <v>1429</v>
      </c>
      <c r="BA1266" s="181" t="s">
        <v>254</v>
      </c>
      <c r="BB1266" s="181">
        <v>1</v>
      </c>
      <c r="BC1266" s="125" t="s">
        <v>255</v>
      </c>
    </row>
    <row r="1267" spans="1:55" ht="16.350000000000001" customHeight="1" outlineLevel="1">
      <c r="A1267" s="92">
        <v>1257</v>
      </c>
      <c r="B1267" s="99" t="s">
        <v>965</v>
      </c>
      <c r="C1267" s="122" t="s">
        <v>972</v>
      </c>
      <c r="D1267" s="161" t="s">
        <v>973</v>
      </c>
      <c r="E1267" s="123" t="s">
        <v>734</v>
      </c>
      <c r="F1267" s="124" t="s">
        <v>1425</v>
      </c>
      <c r="G1267" s="133" t="s">
        <v>247</v>
      </c>
      <c r="H1267" s="134" t="s">
        <v>1424</v>
      </c>
      <c r="I1267" s="134" t="s">
        <v>1426</v>
      </c>
      <c r="J1267" s="134" t="s">
        <v>139</v>
      </c>
      <c r="K1267" s="124" t="s">
        <v>140</v>
      </c>
      <c r="L1267" s="174">
        <v>0</v>
      </c>
      <c r="M1267" s="174" t="s">
        <v>250</v>
      </c>
      <c r="N1267" s="184">
        <v>89</v>
      </c>
      <c r="O1267" s="184">
        <v>5.5</v>
      </c>
      <c r="P1267" s="184" t="s">
        <v>253</v>
      </c>
      <c r="Q1267" s="174" t="s">
        <v>240</v>
      </c>
      <c r="R1267" s="276" t="s">
        <v>240</v>
      </c>
      <c r="S1267" s="276" t="s">
        <v>240</v>
      </c>
      <c r="T1267" s="276" t="s">
        <v>233</v>
      </c>
      <c r="U1267" s="174" t="s">
        <v>1427</v>
      </c>
      <c r="V1267" s="276" t="s">
        <v>240</v>
      </c>
      <c r="W1267" s="130"/>
      <c r="X1267" s="125">
        <v>550.82000000000005</v>
      </c>
      <c r="Y1267" s="126">
        <v>664.27</v>
      </c>
      <c r="Z1267" s="127">
        <f>12.13+67.55</f>
        <v>79.679999999999993</v>
      </c>
      <c r="AA1267" s="128" t="s">
        <v>259</v>
      </c>
      <c r="AB1267" s="125">
        <f>12.13+67.55</f>
        <v>79.679999999999993</v>
      </c>
      <c r="AC1267" s="128" t="s">
        <v>259</v>
      </c>
      <c r="AD1267" s="253">
        <f>12.13+67.55</f>
        <v>79.679999999999993</v>
      </c>
      <c r="AE1267" s="125" t="s">
        <v>259</v>
      </c>
      <c r="AF1267" s="125">
        <f>12.13+67.55</f>
        <v>79.679999999999993</v>
      </c>
      <c r="AG1267" s="125" t="s">
        <v>259</v>
      </c>
      <c r="AH1267" s="125">
        <f>3.52+19.62</f>
        <v>23.14</v>
      </c>
      <c r="AI1267" s="125" t="s">
        <v>259</v>
      </c>
      <c r="AJ1267" s="125">
        <v>0</v>
      </c>
      <c r="AK1267" s="125">
        <v>0</v>
      </c>
      <c r="AL1267" s="125">
        <v>0</v>
      </c>
      <c r="AM1267" s="125">
        <v>0</v>
      </c>
      <c r="AN1267" s="125">
        <v>0</v>
      </c>
      <c r="AO1267" s="125">
        <v>0</v>
      </c>
      <c r="AP1267" s="125">
        <f>2.58+14.38</f>
        <v>16.96</v>
      </c>
      <c r="AQ1267" s="125" t="s">
        <v>259</v>
      </c>
      <c r="AR1267" s="125">
        <f>11.07+61.62</f>
        <v>72.69</v>
      </c>
      <c r="AS1267" s="125" t="s">
        <v>259</v>
      </c>
      <c r="AT1267" s="125">
        <f>11.07+61.62</f>
        <v>72.69</v>
      </c>
      <c r="AU1267" s="125" t="s">
        <v>259</v>
      </c>
      <c r="AV1267" s="125">
        <f>11.07+61.62</f>
        <v>72.69</v>
      </c>
      <c r="AW1267" s="125" t="s">
        <v>259</v>
      </c>
      <c r="AX1267" s="125">
        <f t="shared" si="4"/>
        <v>576.88999999999987</v>
      </c>
      <c r="AY1267" s="125">
        <f>0.6545+0.0255</f>
        <v>0.67999999999999994</v>
      </c>
      <c r="AZ1267" s="181" t="s">
        <v>253</v>
      </c>
      <c r="BA1267" s="181" t="s">
        <v>254</v>
      </c>
      <c r="BB1267" s="181" t="s">
        <v>1430</v>
      </c>
      <c r="BC1267" s="125" t="s">
        <v>255</v>
      </c>
    </row>
    <row r="1268" spans="1:55" ht="16.350000000000001" customHeight="1" outlineLevel="1">
      <c r="A1268" s="92">
        <v>1258</v>
      </c>
      <c r="B1268" s="99" t="s">
        <v>966</v>
      </c>
      <c r="C1268" s="122" t="s">
        <v>975</v>
      </c>
      <c r="D1268" s="161" t="s">
        <v>976</v>
      </c>
      <c r="E1268" s="123" t="s">
        <v>734</v>
      </c>
      <c r="F1268" s="124" t="s">
        <v>1234</v>
      </c>
      <c r="G1268" s="133" t="s">
        <v>281</v>
      </c>
      <c r="H1268" s="134" t="s">
        <v>1424</v>
      </c>
      <c r="I1268" s="134" t="s">
        <v>1426</v>
      </c>
      <c r="J1268" s="134" t="s">
        <v>139</v>
      </c>
      <c r="K1268" s="124" t="s">
        <v>140</v>
      </c>
      <c r="L1268" s="174">
        <v>1</v>
      </c>
      <c r="M1268" s="174" t="s">
        <v>250</v>
      </c>
      <c r="N1268" s="184">
        <v>80</v>
      </c>
      <c r="O1268" s="184">
        <v>6</v>
      </c>
      <c r="P1268" s="184" t="s">
        <v>1429</v>
      </c>
      <c r="Q1268" s="174" t="s">
        <v>233</v>
      </c>
      <c r="R1268" s="276" t="s">
        <v>240</v>
      </c>
      <c r="S1268" s="276" t="s">
        <v>233</v>
      </c>
      <c r="T1268" s="276" t="s">
        <v>240</v>
      </c>
      <c r="U1268" s="174" t="s">
        <v>1428</v>
      </c>
      <c r="V1268" s="276" t="s">
        <v>240</v>
      </c>
      <c r="W1268" s="130"/>
      <c r="X1268" s="125">
        <v>720.6</v>
      </c>
      <c r="Y1268" s="126">
        <v>711.19</v>
      </c>
      <c r="Z1268" s="127">
        <v>101.9229708</v>
      </c>
      <c r="AA1268" s="128" t="s">
        <v>252</v>
      </c>
      <c r="AB1268" s="125">
        <v>72.772694999999999</v>
      </c>
      <c r="AC1268" s="128" t="s">
        <v>252</v>
      </c>
      <c r="AD1268" s="129">
        <v>105.508044</v>
      </c>
      <c r="AE1268" s="125" t="s">
        <v>252</v>
      </c>
      <c r="AF1268" s="125">
        <v>53.310158000000001</v>
      </c>
      <c r="AG1268" s="125" t="s">
        <v>252</v>
      </c>
      <c r="AH1268" s="125">
        <v>13.873999999999999</v>
      </c>
      <c r="AI1268" s="125" t="s">
        <v>252</v>
      </c>
      <c r="AJ1268" s="125">
        <v>0</v>
      </c>
      <c r="AK1268" s="125">
        <v>0</v>
      </c>
      <c r="AL1268" s="125">
        <v>0</v>
      </c>
      <c r="AM1268" s="125">
        <v>0</v>
      </c>
      <c r="AN1268" s="125">
        <v>0</v>
      </c>
      <c r="AO1268" s="125">
        <v>0</v>
      </c>
      <c r="AP1268" s="125"/>
      <c r="AQ1268" s="125"/>
      <c r="AR1268" s="125">
        <v>64.073988</v>
      </c>
      <c r="AS1268" s="125" t="s">
        <v>252</v>
      </c>
      <c r="AT1268" s="125">
        <v>47.807901000000001</v>
      </c>
      <c r="AU1268" s="125" t="s">
        <v>252</v>
      </c>
      <c r="AV1268" s="125">
        <v>71.879424</v>
      </c>
      <c r="AW1268" s="125" t="s">
        <v>252</v>
      </c>
      <c r="AX1268" s="125">
        <f t="shared" si="4"/>
        <v>531.14918080000007</v>
      </c>
      <c r="AY1268" s="125">
        <v>0.24489</v>
      </c>
      <c r="AZ1268" s="181" t="s">
        <v>1429</v>
      </c>
      <c r="BA1268" s="181" t="s">
        <v>254</v>
      </c>
      <c r="BB1268" s="181">
        <v>1</v>
      </c>
      <c r="BC1268" s="125" t="s">
        <v>255</v>
      </c>
    </row>
    <row r="1269" spans="1:55" ht="16.350000000000001" customHeight="1" outlineLevel="1">
      <c r="A1269" s="92">
        <v>1259</v>
      </c>
      <c r="B1269" s="99" t="s">
        <v>969</v>
      </c>
      <c r="C1269" s="122" t="s">
        <v>967</v>
      </c>
      <c r="D1269" s="161" t="s">
        <v>978</v>
      </c>
      <c r="E1269" s="123" t="s">
        <v>734</v>
      </c>
      <c r="F1269" s="124" t="s">
        <v>1425</v>
      </c>
      <c r="G1269" s="133" t="s">
        <v>247</v>
      </c>
      <c r="H1269" s="134" t="s">
        <v>1424</v>
      </c>
      <c r="I1269" s="134" t="s">
        <v>1426</v>
      </c>
      <c r="J1269" s="134" t="s">
        <v>139</v>
      </c>
      <c r="K1269" s="124" t="s">
        <v>140</v>
      </c>
      <c r="L1269" s="174">
        <v>1</v>
      </c>
      <c r="M1269" s="174" t="s">
        <v>250</v>
      </c>
      <c r="N1269" s="314">
        <v>80</v>
      </c>
      <c r="O1269" s="314">
        <v>6</v>
      </c>
      <c r="P1269" s="314" t="s">
        <v>1429</v>
      </c>
      <c r="Q1269" s="317" t="s">
        <v>233</v>
      </c>
      <c r="R1269" s="321" t="s">
        <v>240</v>
      </c>
      <c r="S1269" s="321" t="s">
        <v>233</v>
      </c>
      <c r="T1269" s="321" t="s">
        <v>240</v>
      </c>
      <c r="U1269" s="174" t="s">
        <v>1427</v>
      </c>
      <c r="V1269" s="321" t="s">
        <v>240</v>
      </c>
      <c r="W1269" s="130"/>
      <c r="X1269" s="292">
        <v>834.56</v>
      </c>
      <c r="Y1269" s="295">
        <v>859.27</v>
      </c>
      <c r="Z1269" s="297">
        <v>138.90096360000001</v>
      </c>
      <c r="AA1269" s="299" t="s">
        <v>252</v>
      </c>
      <c r="AB1269" s="292">
        <v>91.844954999999999</v>
      </c>
      <c r="AC1269" s="299" t="s">
        <v>252</v>
      </c>
      <c r="AD1269" s="301">
        <v>125.79125400000001</v>
      </c>
      <c r="AE1269" s="292" t="s">
        <v>252</v>
      </c>
      <c r="AF1269" s="292">
        <v>66.347151999999994</v>
      </c>
      <c r="AG1269" s="292" t="s">
        <v>252</v>
      </c>
      <c r="AH1269" s="292">
        <v>14.893738999999998</v>
      </c>
      <c r="AI1269" s="292" t="s">
        <v>252</v>
      </c>
      <c r="AJ1269" s="292">
        <v>0</v>
      </c>
      <c r="AK1269" s="292">
        <v>0</v>
      </c>
      <c r="AL1269" s="292">
        <v>0</v>
      </c>
      <c r="AM1269" s="292">
        <v>0</v>
      </c>
      <c r="AN1269" s="292">
        <v>0</v>
      </c>
      <c r="AO1269" s="292">
        <v>0</v>
      </c>
      <c r="AP1269" s="292"/>
      <c r="AQ1269" s="292"/>
      <c r="AR1269" s="292">
        <v>64.545180000000002</v>
      </c>
      <c r="AS1269" s="292" t="s">
        <v>252</v>
      </c>
      <c r="AT1269" s="292">
        <v>60.878708999999994</v>
      </c>
      <c r="AU1269" s="292" t="s">
        <v>252</v>
      </c>
      <c r="AV1269" s="292">
        <v>86.901360000000011</v>
      </c>
      <c r="AW1269" s="292" t="s">
        <v>252</v>
      </c>
      <c r="AX1269" s="292">
        <f t="shared" si="4"/>
        <v>650.10331259999998</v>
      </c>
      <c r="AY1269" s="125">
        <f>0.2231+0.0169</f>
        <v>0.24</v>
      </c>
      <c r="AZ1269" s="313" t="s">
        <v>1429</v>
      </c>
      <c r="BA1269" s="313" t="s">
        <v>254</v>
      </c>
      <c r="BB1269" s="313">
        <v>1</v>
      </c>
      <c r="BC1269" s="125" t="s">
        <v>255</v>
      </c>
    </row>
    <row r="1270" spans="1:55" ht="16.350000000000001" customHeight="1" outlineLevel="1">
      <c r="A1270" s="92">
        <v>1260</v>
      </c>
      <c r="B1270" s="99" t="s">
        <v>971</v>
      </c>
      <c r="C1270" s="122" t="s">
        <v>980</v>
      </c>
      <c r="D1270" s="161">
        <v>24</v>
      </c>
      <c r="E1270" s="123" t="s">
        <v>734</v>
      </c>
      <c r="F1270" s="124" t="s">
        <v>1425</v>
      </c>
      <c r="G1270" s="133" t="s">
        <v>247</v>
      </c>
      <c r="H1270" s="317" t="s">
        <v>248</v>
      </c>
      <c r="I1270" s="317" t="s">
        <v>1426</v>
      </c>
      <c r="J1270" s="317" t="s">
        <v>139</v>
      </c>
      <c r="K1270" s="317" t="s">
        <v>140</v>
      </c>
      <c r="L1270" s="317">
        <v>1</v>
      </c>
      <c r="M1270" s="317" t="s">
        <v>250</v>
      </c>
      <c r="N1270" s="314"/>
      <c r="O1270" s="314"/>
      <c r="P1270" s="314"/>
      <c r="Q1270" s="318"/>
      <c r="R1270" s="321"/>
      <c r="S1270" s="321"/>
      <c r="T1270" s="321"/>
      <c r="U1270" s="317" t="s">
        <v>1427</v>
      </c>
      <c r="V1270" s="321"/>
      <c r="W1270" s="165"/>
      <c r="X1270" s="293"/>
      <c r="Y1270" s="308"/>
      <c r="Z1270" s="309"/>
      <c r="AA1270" s="310"/>
      <c r="AB1270" s="293"/>
      <c r="AC1270" s="310"/>
      <c r="AD1270" s="311"/>
      <c r="AE1270" s="293"/>
      <c r="AF1270" s="293"/>
      <c r="AG1270" s="293"/>
      <c r="AH1270" s="293"/>
      <c r="AI1270" s="293"/>
      <c r="AJ1270" s="293"/>
      <c r="AK1270" s="293"/>
      <c r="AL1270" s="293"/>
      <c r="AM1270" s="293"/>
      <c r="AN1270" s="293"/>
      <c r="AO1270" s="293"/>
      <c r="AP1270" s="293"/>
      <c r="AQ1270" s="293"/>
      <c r="AR1270" s="293"/>
      <c r="AS1270" s="293"/>
      <c r="AT1270" s="293"/>
      <c r="AU1270" s="293"/>
      <c r="AV1270" s="293"/>
      <c r="AW1270" s="293"/>
      <c r="AX1270" s="293">
        <f t="shared" si="4"/>
        <v>0</v>
      </c>
      <c r="AY1270" s="292">
        <f>0.0594+0.2506</f>
        <v>0.31</v>
      </c>
      <c r="AZ1270" s="313"/>
      <c r="BA1270" s="313"/>
      <c r="BB1270" s="313"/>
      <c r="BC1270" s="292" t="s">
        <v>255</v>
      </c>
    </row>
    <row r="1271" spans="1:55" ht="16.350000000000001" customHeight="1" outlineLevel="1">
      <c r="A1271" s="92">
        <v>1261</v>
      </c>
      <c r="B1271" s="99" t="s">
        <v>974</v>
      </c>
      <c r="C1271" s="122" t="s">
        <v>980</v>
      </c>
      <c r="D1271" s="161">
        <v>24</v>
      </c>
      <c r="E1271" s="123" t="s">
        <v>737</v>
      </c>
      <c r="F1271" s="124" t="s">
        <v>1425</v>
      </c>
      <c r="G1271" s="133" t="s">
        <v>247</v>
      </c>
      <c r="H1271" s="318"/>
      <c r="I1271" s="318"/>
      <c r="J1271" s="318"/>
      <c r="K1271" s="318"/>
      <c r="L1271" s="318"/>
      <c r="M1271" s="318"/>
      <c r="N1271" s="314"/>
      <c r="O1271" s="314"/>
      <c r="P1271" s="314"/>
      <c r="Q1271" s="319"/>
      <c r="R1271" s="321"/>
      <c r="S1271" s="321"/>
      <c r="T1271" s="321"/>
      <c r="U1271" s="318"/>
      <c r="V1271" s="321"/>
      <c r="W1271" s="169"/>
      <c r="X1271" s="294"/>
      <c r="Y1271" s="296"/>
      <c r="Z1271" s="298"/>
      <c r="AA1271" s="300"/>
      <c r="AB1271" s="294"/>
      <c r="AC1271" s="300"/>
      <c r="AD1271" s="302"/>
      <c r="AE1271" s="294"/>
      <c r="AF1271" s="294"/>
      <c r="AG1271" s="294"/>
      <c r="AH1271" s="294"/>
      <c r="AI1271" s="294"/>
      <c r="AJ1271" s="294"/>
      <c r="AK1271" s="294"/>
      <c r="AL1271" s="294"/>
      <c r="AM1271" s="294"/>
      <c r="AN1271" s="294"/>
      <c r="AO1271" s="294"/>
      <c r="AP1271" s="294"/>
      <c r="AQ1271" s="294"/>
      <c r="AR1271" s="294"/>
      <c r="AS1271" s="294"/>
      <c r="AT1271" s="294"/>
      <c r="AU1271" s="294"/>
      <c r="AV1271" s="294"/>
      <c r="AW1271" s="294"/>
      <c r="AX1271" s="294">
        <f t="shared" si="4"/>
        <v>0</v>
      </c>
      <c r="AY1271" s="293"/>
      <c r="AZ1271" s="313"/>
      <c r="BA1271" s="313"/>
      <c r="BB1271" s="313"/>
      <c r="BC1271" s="293"/>
    </row>
    <row r="1272" spans="1:55" ht="16.350000000000001" customHeight="1" outlineLevel="1">
      <c r="A1272" s="92">
        <v>1262</v>
      </c>
      <c r="B1272" s="99" t="s">
        <v>977</v>
      </c>
      <c r="C1272" s="122" t="s">
        <v>980</v>
      </c>
      <c r="D1272" s="161">
        <v>24</v>
      </c>
      <c r="E1272" s="123" t="s">
        <v>760</v>
      </c>
      <c r="F1272" s="124" t="s">
        <v>1425</v>
      </c>
      <c r="G1272" s="133" t="s">
        <v>247</v>
      </c>
      <c r="H1272" s="319"/>
      <c r="I1272" s="319"/>
      <c r="J1272" s="319"/>
      <c r="K1272" s="319"/>
      <c r="L1272" s="319"/>
      <c r="M1272" s="319"/>
      <c r="N1272" s="184">
        <v>100</v>
      </c>
      <c r="O1272" s="184">
        <v>6</v>
      </c>
      <c r="P1272" s="184" t="s">
        <v>1429</v>
      </c>
      <c r="Q1272" s="174" t="s">
        <v>233</v>
      </c>
      <c r="R1272" s="276" t="s">
        <v>240</v>
      </c>
      <c r="S1272" s="276" t="s">
        <v>233</v>
      </c>
      <c r="T1272" s="276" t="s">
        <v>240</v>
      </c>
      <c r="U1272" s="319"/>
      <c r="V1272" s="276" t="s">
        <v>240</v>
      </c>
      <c r="W1272" s="166"/>
      <c r="X1272" s="125">
        <v>213.1</v>
      </c>
      <c r="Y1272" s="126">
        <v>183.66</v>
      </c>
      <c r="Z1272" s="127">
        <v>25.208337</v>
      </c>
      <c r="AA1272" s="128" t="s">
        <v>252</v>
      </c>
      <c r="AB1272" s="125">
        <v>15.942959999999999</v>
      </c>
      <c r="AC1272" s="128" t="s">
        <v>252</v>
      </c>
      <c r="AD1272" s="129">
        <v>22.855067999999999</v>
      </c>
      <c r="AE1272" s="125" t="s">
        <v>252</v>
      </c>
      <c r="AF1272" s="125">
        <v>12.056649999999999</v>
      </c>
      <c r="AG1272" s="125" t="s">
        <v>252</v>
      </c>
      <c r="AH1272" s="125">
        <v>5.1403169999999996</v>
      </c>
      <c r="AI1272" s="125" t="s">
        <v>252</v>
      </c>
      <c r="AJ1272" s="125">
        <v>0</v>
      </c>
      <c r="AK1272" s="125">
        <v>0</v>
      </c>
      <c r="AL1272" s="125">
        <v>0</v>
      </c>
      <c r="AM1272" s="125">
        <v>0</v>
      </c>
      <c r="AN1272" s="125">
        <v>0</v>
      </c>
      <c r="AO1272" s="125">
        <v>0</v>
      </c>
      <c r="AP1272" s="125"/>
      <c r="AQ1272" s="125"/>
      <c r="AR1272" s="125">
        <v>13.469591999999999</v>
      </c>
      <c r="AS1272" s="125" t="s">
        <v>252</v>
      </c>
      <c r="AT1272" s="125">
        <v>12.478833</v>
      </c>
      <c r="AU1272" s="125" t="s">
        <v>252</v>
      </c>
      <c r="AV1272" s="125">
        <v>15.686256</v>
      </c>
      <c r="AW1272" s="125" t="s">
        <v>252</v>
      </c>
      <c r="AX1272" s="125">
        <f t="shared" si="4"/>
        <v>122.83801299999999</v>
      </c>
      <c r="AY1272" s="294"/>
      <c r="AZ1272" s="181" t="s">
        <v>1429</v>
      </c>
      <c r="BA1272" s="181" t="s">
        <v>254</v>
      </c>
      <c r="BB1272" s="181">
        <v>1</v>
      </c>
      <c r="BC1272" s="294"/>
    </row>
    <row r="1273" spans="1:55" ht="16.350000000000001" customHeight="1" outlineLevel="1">
      <c r="A1273" s="92">
        <v>1263</v>
      </c>
      <c r="B1273" s="99" t="s">
        <v>979</v>
      </c>
      <c r="C1273" s="122" t="s">
        <v>985</v>
      </c>
      <c r="D1273" s="161" t="s">
        <v>223</v>
      </c>
      <c r="E1273" s="123" t="s">
        <v>734</v>
      </c>
      <c r="F1273" s="124" t="s">
        <v>1425</v>
      </c>
      <c r="G1273" s="133" t="s">
        <v>281</v>
      </c>
      <c r="H1273" s="134" t="s">
        <v>1424</v>
      </c>
      <c r="I1273" s="134" t="s">
        <v>1426</v>
      </c>
      <c r="J1273" s="134" t="s">
        <v>139</v>
      </c>
      <c r="K1273" s="124" t="s">
        <v>140</v>
      </c>
      <c r="L1273" s="174">
        <v>1</v>
      </c>
      <c r="M1273" s="174" t="s">
        <v>250</v>
      </c>
      <c r="N1273" s="184">
        <v>100</v>
      </c>
      <c r="O1273" s="184">
        <v>6</v>
      </c>
      <c r="P1273" s="184" t="s">
        <v>1429</v>
      </c>
      <c r="Q1273" s="174" t="s">
        <v>233</v>
      </c>
      <c r="R1273" s="276" t="s">
        <v>240</v>
      </c>
      <c r="S1273" s="276" t="s">
        <v>233</v>
      </c>
      <c r="T1273" s="276" t="s">
        <v>240</v>
      </c>
      <c r="U1273" s="174" t="s">
        <v>1427</v>
      </c>
      <c r="V1273" s="276" t="s">
        <v>240</v>
      </c>
      <c r="W1273" s="130"/>
      <c r="X1273" s="125">
        <v>759.05</v>
      </c>
      <c r="Y1273" s="126">
        <v>706.87</v>
      </c>
      <c r="Z1273" s="127">
        <v>102.19970040000001</v>
      </c>
      <c r="AA1273" s="128" t="s">
        <v>252</v>
      </c>
      <c r="AB1273" s="125">
        <v>61.844849999999994</v>
      </c>
      <c r="AC1273" s="128" t="s">
        <v>252</v>
      </c>
      <c r="AD1273" s="129">
        <v>98.260884000000004</v>
      </c>
      <c r="AE1273" s="125" t="s">
        <v>252</v>
      </c>
      <c r="AF1273" s="125">
        <v>44.700523999999994</v>
      </c>
      <c r="AG1273" s="125"/>
      <c r="AH1273" s="125">
        <v>15.802486</v>
      </c>
      <c r="AI1273" s="125" t="s">
        <v>252</v>
      </c>
      <c r="AJ1273" s="125">
        <v>0</v>
      </c>
      <c r="AK1273" s="125">
        <v>0</v>
      </c>
      <c r="AL1273" s="125">
        <v>0</v>
      </c>
      <c r="AM1273" s="125">
        <v>0</v>
      </c>
      <c r="AN1273" s="125">
        <v>0</v>
      </c>
      <c r="AO1273" s="125">
        <v>0</v>
      </c>
      <c r="AP1273" s="125"/>
      <c r="AQ1273" s="125"/>
      <c r="AR1273" s="125">
        <v>36.131139855600004</v>
      </c>
      <c r="AS1273" s="125" t="s">
        <v>252</v>
      </c>
      <c r="AT1273" s="125">
        <v>69.607018086300002</v>
      </c>
      <c r="AU1273" s="125" t="s">
        <v>252</v>
      </c>
      <c r="AV1273" s="125">
        <v>69.537695999999997</v>
      </c>
      <c r="AW1273" s="125" t="s">
        <v>252</v>
      </c>
      <c r="AX1273" s="125">
        <f t="shared" si="4"/>
        <v>498.08429834189991</v>
      </c>
      <c r="AY1273" s="125">
        <v>0.06</v>
      </c>
      <c r="AZ1273" s="181" t="s">
        <v>1429</v>
      </c>
      <c r="BA1273" s="181" t="s">
        <v>254</v>
      </c>
      <c r="BB1273" s="181">
        <v>1</v>
      </c>
      <c r="BC1273" s="125" t="s">
        <v>255</v>
      </c>
    </row>
    <row r="1274" spans="1:55" ht="16.350000000000001" customHeight="1" outlineLevel="1">
      <c r="A1274" s="92">
        <v>1264</v>
      </c>
      <c r="B1274" s="99" t="s">
        <v>981</v>
      </c>
      <c r="C1274" s="122" t="s">
        <v>988</v>
      </c>
      <c r="D1274" s="161" t="s">
        <v>989</v>
      </c>
      <c r="E1274" s="123" t="s">
        <v>734</v>
      </c>
      <c r="F1274" s="124" t="s">
        <v>1425</v>
      </c>
      <c r="G1274" s="133" t="s">
        <v>247</v>
      </c>
      <c r="H1274" s="134" t="s">
        <v>248</v>
      </c>
      <c r="I1274" s="134" t="s">
        <v>1426</v>
      </c>
      <c r="J1274" s="134" t="s">
        <v>139</v>
      </c>
      <c r="K1274" s="124" t="s">
        <v>140</v>
      </c>
      <c r="L1274" s="174">
        <v>1</v>
      </c>
      <c r="M1274" s="174" t="s">
        <v>250</v>
      </c>
      <c r="N1274" s="184">
        <v>89</v>
      </c>
      <c r="O1274" s="184">
        <v>6</v>
      </c>
      <c r="P1274" s="184" t="s">
        <v>1429</v>
      </c>
      <c r="Q1274" s="174" t="s">
        <v>240</v>
      </c>
      <c r="R1274" s="276" t="s">
        <v>240</v>
      </c>
      <c r="S1274" s="276" t="s">
        <v>233</v>
      </c>
      <c r="T1274" s="276" t="s">
        <v>240</v>
      </c>
      <c r="U1274" s="174" t="s">
        <v>1427</v>
      </c>
      <c r="V1274" s="276" t="s">
        <v>240</v>
      </c>
      <c r="W1274" s="130"/>
      <c r="X1274" s="125">
        <v>1749.96</v>
      </c>
      <c r="Y1274" s="126">
        <v>2400.21</v>
      </c>
      <c r="Z1274" s="127">
        <f>46.65+4.08+247.59</f>
        <v>298.32</v>
      </c>
      <c r="AA1274" s="128" t="s">
        <v>259</v>
      </c>
      <c r="AB1274" s="125">
        <f>44.68+2.03+216</f>
        <v>262.70999999999998</v>
      </c>
      <c r="AC1274" s="128" t="s">
        <v>252</v>
      </c>
      <c r="AD1274" s="129">
        <f>58.68+2.68+283.74+0.01</f>
        <v>345.11</v>
      </c>
      <c r="AE1274" s="125" t="s">
        <v>252</v>
      </c>
      <c r="AF1274" s="125">
        <f>22.74+1.04+110.02</f>
        <v>133.79999999999998</v>
      </c>
      <c r="AG1274" s="125" t="s">
        <v>252</v>
      </c>
      <c r="AH1274" s="125">
        <f>10.58+0.47+51.09</f>
        <v>62.14</v>
      </c>
      <c r="AI1274" s="125" t="s">
        <v>252</v>
      </c>
      <c r="AJ1274" s="125">
        <v>0</v>
      </c>
      <c r="AK1274" s="125">
        <v>0</v>
      </c>
      <c r="AL1274" s="292">
        <v>0</v>
      </c>
      <c r="AM1274" s="292">
        <v>0</v>
      </c>
      <c r="AN1274" s="292">
        <v>0</v>
      </c>
      <c r="AO1274" s="292">
        <v>0</v>
      </c>
      <c r="AP1274" s="292"/>
      <c r="AQ1274" s="292"/>
      <c r="AR1274" s="292">
        <v>122.48554800000001</v>
      </c>
      <c r="AS1274" s="292" t="s">
        <v>252</v>
      </c>
      <c r="AT1274" s="292">
        <v>90.927360000000007</v>
      </c>
      <c r="AU1274" s="292" t="s">
        <v>252</v>
      </c>
      <c r="AV1274" s="292">
        <v>132.77265599999998</v>
      </c>
      <c r="AW1274" s="292" t="s">
        <v>252</v>
      </c>
      <c r="AX1274" s="292">
        <f t="shared" ref="AX1274:AX1276" si="5">Z1274+AB1274+AD1274+AF1274+AH1274+AJ1274+AL1274+AN1274+AP1274+AR1274+AT1274+AV1274</f>
        <v>1448.2655640000003</v>
      </c>
      <c r="AY1274" s="125">
        <v>0.23</v>
      </c>
      <c r="AZ1274" s="181" t="s">
        <v>1429</v>
      </c>
      <c r="BA1274" s="181" t="s">
        <v>254</v>
      </c>
      <c r="BB1274" s="181">
        <v>1</v>
      </c>
      <c r="BC1274" s="125" t="s">
        <v>255</v>
      </c>
    </row>
    <row r="1275" spans="1:55" ht="16.350000000000001" customHeight="1" outlineLevel="1">
      <c r="A1275" s="92">
        <v>1265</v>
      </c>
      <c r="B1275" s="99" t="s">
        <v>982</v>
      </c>
      <c r="C1275" s="122" t="s">
        <v>991</v>
      </c>
      <c r="D1275" s="161" t="s">
        <v>992</v>
      </c>
      <c r="E1275" s="123" t="s">
        <v>734</v>
      </c>
      <c r="F1275" s="124" t="s">
        <v>1425</v>
      </c>
      <c r="G1275" s="133" t="s">
        <v>247</v>
      </c>
      <c r="H1275" s="134" t="s">
        <v>248</v>
      </c>
      <c r="I1275" s="134" t="s">
        <v>1426</v>
      </c>
      <c r="J1275" s="134" t="s">
        <v>139</v>
      </c>
      <c r="K1275" s="124" t="s">
        <v>140</v>
      </c>
      <c r="L1275" s="174">
        <v>1</v>
      </c>
      <c r="M1275" s="174" t="s">
        <v>250</v>
      </c>
      <c r="N1275" s="184">
        <v>89</v>
      </c>
      <c r="O1275" s="184">
        <v>6</v>
      </c>
      <c r="P1275" s="184" t="s">
        <v>1429</v>
      </c>
      <c r="Q1275" s="174" t="s">
        <v>233</v>
      </c>
      <c r="R1275" s="276" t="s">
        <v>240</v>
      </c>
      <c r="S1275" s="276" t="s">
        <v>233</v>
      </c>
      <c r="T1275" s="276" t="s">
        <v>240</v>
      </c>
      <c r="U1275" s="174" t="s">
        <v>1427</v>
      </c>
      <c r="V1275" s="276" t="s">
        <v>240</v>
      </c>
      <c r="W1275" s="130"/>
      <c r="X1275" s="125">
        <v>0</v>
      </c>
      <c r="Y1275" s="186">
        <v>0</v>
      </c>
      <c r="Z1275" s="127">
        <v>68.507871600000001</v>
      </c>
      <c r="AA1275" s="128" t="s">
        <v>252</v>
      </c>
      <c r="AB1275" s="125">
        <v>51.748740000000005</v>
      </c>
      <c r="AC1275" s="128" t="s">
        <v>252</v>
      </c>
      <c r="AD1275" s="129">
        <v>70.438860000000005</v>
      </c>
      <c r="AE1275" s="125" t="s">
        <v>252</v>
      </c>
      <c r="AF1275" s="125">
        <v>35.576999999999998</v>
      </c>
      <c r="AG1275" s="125" t="s">
        <v>252</v>
      </c>
      <c r="AH1275" s="125">
        <v>15.185093</v>
      </c>
      <c r="AI1275" s="125" t="s">
        <v>252</v>
      </c>
      <c r="AJ1275" s="125">
        <v>0</v>
      </c>
      <c r="AK1275" s="125">
        <v>0</v>
      </c>
      <c r="AL1275" s="293"/>
      <c r="AM1275" s="293"/>
      <c r="AN1275" s="293"/>
      <c r="AO1275" s="293"/>
      <c r="AP1275" s="293"/>
      <c r="AQ1275" s="293"/>
      <c r="AR1275" s="293"/>
      <c r="AS1275" s="293"/>
      <c r="AT1275" s="293"/>
      <c r="AU1275" s="293"/>
      <c r="AV1275" s="293"/>
      <c r="AW1275" s="293"/>
      <c r="AX1275" s="293">
        <f t="shared" si="5"/>
        <v>241.45756460000001</v>
      </c>
      <c r="AY1275" s="125">
        <v>0.2</v>
      </c>
      <c r="AZ1275" s="181" t="s">
        <v>1429</v>
      </c>
      <c r="BA1275" s="181" t="s">
        <v>254</v>
      </c>
      <c r="BB1275" s="181">
        <v>1</v>
      </c>
      <c r="BC1275" s="125" t="s">
        <v>255</v>
      </c>
    </row>
    <row r="1276" spans="1:55" ht="16.350000000000001" customHeight="1" outlineLevel="1">
      <c r="A1276" s="92">
        <v>1266</v>
      </c>
      <c r="B1276" s="99" t="s">
        <v>983</v>
      </c>
      <c r="C1276" s="122" t="s">
        <v>994</v>
      </c>
      <c r="D1276" s="161" t="s">
        <v>995</v>
      </c>
      <c r="E1276" s="123" t="s">
        <v>734</v>
      </c>
      <c r="F1276" s="124" t="s">
        <v>1425</v>
      </c>
      <c r="G1276" s="133" t="s">
        <v>247</v>
      </c>
      <c r="H1276" s="134" t="s">
        <v>248</v>
      </c>
      <c r="I1276" s="134" t="s">
        <v>1426</v>
      </c>
      <c r="J1276" s="134" t="s">
        <v>139</v>
      </c>
      <c r="K1276" s="124" t="s">
        <v>140</v>
      </c>
      <c r="L1276" s="174">
        <v>1</v>
      </c>
      <c r="M1276" s="174" t="s">
        <v>250</v>
      </c>
      <c r="N1276" s="184">
        <v>89</v>
      </c>
      <c r="O1276" s="184">
        <v>6</v>
      </c>
      <c r="P1276" s="184" t="s">
        <v>1429</v>
      </c>
      <c r="Q1276" s="174" t="s">
        <v>233</v>
      </c>
      <c r="R1276" s="276" t="s">
        <v>240</v>
      </c>
      <c r="S1276" s="276" t="s">
        <v>233</v>
      </c>
      <c r="T1276" s="276" t="s">
        <v>240</v>
      </c>
      <c r="U1276" s="174" t="s">
        <v>1427</v>
      </c>
      <c r="V1276" s="276" t="s">
        <v>240</v>
      </c>
      <c r="W1276" s="130"/>
      <c r="X1276" s="125">
        <v>1364.53</v>
      </c>
      <c r="Y1276" s="126">
        <v>1537.01</v>
      </c>
      <c r="Z1276" s="127">
        <v>204.81449520000001</v>
      </c>
      <c r="AA1276" s="128" t="s">
        <v>252</v>
      </c>
      <c r="AB1276" s="125">
        <v>151.80399</v>
      </c>
      <c r="AC1276" s="128" t="s">
        <v>252</v>
      </c>
      <c r="AD1276" s="129">
        <v>216.60170400000001</v>
      </c>
      <c r="AE1276" s="125" t="s">
        <v>252</v>
      </c>
      <c r="AF1276" s="125">
        <v>121.902614</v>
      </c>
      <c r="AG1276" s="125" t="s">
        <v>252</v>
      </c>
      <c r="AH1276" s="125">
        <v>33.020119999999999</v>
      </c>
      <c r="AI1276" s="125" t="s">
        <v>252</v>
      </c>
      <c r="AJ1276" s="125">
        <v>0</v>
      </c>
      <c r="AK1276" s="125">
        <v>0</v>
      </c>
      <c r="AL1276" s="294"/>
      <c r="AM1276" s="294"/>
      <c r="AN1276" s="294"/>
      <c r="AO1276" s="294"/>
      <c r="AP1276" s="294"/>
      <c r="AQ1276" s="294"/>
      <c r="AR1276" s="294"/>
      <c r="AS1276" s="294"/>
      <c r="AT1276" s="294"/>
      <c r="AU1276" s="294"/>
      <c r="AV1276" s="294"/>
      <c r="AW1276" s="294"/>
      <c r="AX1276" s="294">
        <f t="shared" si="5"/>
        <v>728.14292320000004</v>
      </c>
      <c r="AY1276" s="125">
        <v>0.17</v>
      </c>
      <c r="AZ1276" s="181" t="s">
        <v>1429</v>
      </c>
      <c r="BA1276" s="181" t="s">
        <v>254</v>
      </c>
      <c r="BB1276" s="181">
        <v>1</v>
      </c>
      <c r="BC1276" s="125" t="s">
        <v>255</v>
      </c>
    </row>
    <row r="1277" spans="1:55" ht="16.350000000000001" customHeight="1" outlineLevel="1">
      <c r="A1277" s="92">
        <v>1267</v>
      </c>
      <c r="B1277" s="99" t="s">
        <v>984</v>
      </c>
      <c r="C1277" s="122" t="s">
        <v>997</v>
      </c>
      <c r="D1277" s="161" t="s">
        <v>998</v>
      </c>
      <c r="E1277" s="123" t="s">
        <v>734</v>
      </c>
      <c r="F1277" s="124" t="s">
        <v>1425</v>
      </c>
      <c r="G1277" s="133" t="s">
        <v>247</v>
      </c>
      <c r="H1277" s="134" t="s">
        <v>248</v>
      </c>
      <c r="I1277" s="134" t="s">
        <v>1426</v>
      </c>
      <c r="J1277" s="134" t="s">
        <v>139</v>
      </c>
      <c r="K1277" s="124" t="s">
        <v>140</v>
      </c>
      <c r="L1277" s="174">
        <v>1</v>
      </c>
      <c r="M1277" s="174" t="s">
        <v>250</v>
      </c>
      <c r="N1277" s="184">
        <v>100</v>
      </c>
      <c r="O1277" s="184">
        <v>6</v>
      </c>
      <c r="P1277" s="184" t="s">
        <v>1429</v>
      </c>
      <c r="Q1277" s="174" t="s">
        <v>240</v>
      </c>
      <c r="R1277" s="276" t="s">
        <v>240</v>
      </c>
      <c r="S1277" s="276" t="s">
        <v>233</v>
      </c>
      <c r="T1277" s="276" t="s">
        <v>240</v>
      </c>
      <c r="U1277" s="174" t="s">
        <v>1427</v>
      </c>
      <c r="V1277" s="276" t="s">
        <v>240</v>
      </c>
      <c r="W1277" s="130"/>
      <c r="X1277" s="125">
        <v>763.57</v>
      </c>
      <c r="Y1277" s="126">
        <v>845.54</v>
      </c>
      <c r="Z1277" s="127">
        <v>233.32</v>
      </c>
      <c r="AA1277" s="128" t="s">
        <v>252</v>
      </c>
      <c r="AB1277" s="125">
        <v>120.34</v>
      </c>
      <c r="AC1277" s="128" t="s">
        <v>252</v>
      </c>
      <c r="AD1277" s="129">
        <v>146.34</v>
      </c>
      <c r="AE1277" s="125" t="s">
        <v>252</v>
      </c>
      <c r="AF1277" s="125">
        <v>96.95</v>
      </c>
      <c r="AG1277" s="125" t="s">
        <v>252</v>
      </c>
      <c r="AH1277" s="125">
        <v>32.33</v>
      </c>
      <c r="AI1277" s="125" t="s">
        <v>252</v>
      </c>
      <c r="AJ1277" s="125">
        <v>0</v>
      </c>
      <c r="AK1277" s="125">
        <v>0</v>
      </c>
      <c r="AL1277" s="125">
        <v>0</v>
      </c>
      <c r="AM1277" s="125">
        <v>0</v>
      </c>
      <c r="AN1277" s="125">
        <v>0</v>
      </c>
      <c r="AO1277" s="125">
        <v>0</v>
      </c>
      <c r="AP1277" s="125"/>
      <c r="AQ1277" s="125"/>
      <c r="AR1277" s="125">
        <v>108.3</v>
      </c>
      <c r="AS1277" s="125" t="s">
        <v>252</v>
      </c>
      <c r="AT1277" s="125">
        <v>81.33</v>
      </c>
      <c r="AU1277" s="125" t="s">
        <v>252</v>
      </c>
      <c r="AV1277" s="125">
        <v>128.72999999999999</v>
      </c>
      <c r="AW1277" s="125" t="s">
        <v>252</v>
      </c>
      <c r="AX1277" s="125">
        <f t="shared" si="4"/>
        <v>947.6400000000001</v>
      </c>
      <c r="AY1277" s="125">
        <f>0.001+0.0106+0.0073+0.4057+0.0268+0.0113+0.0573</f>
        <v>0.51999999999999991</v>
      </c>
      <c r="AZ1277" s="181" t="s">
        <v>1429</v>
      </c>
      <c r="BA1277" s="181" t="s">
        <v>254</v>
      </c>
      <c r="BB1277" s="181">
        <v>1</v>
      </c>
      <c r="BC1277" s="125" t="s">
        <v>255</v>
      </c>
    </row>
    <row r="1278" spans="1:55" ht="16.350000000000001" customHeight="1" outlineLevel="1">
      <c r="A1278" s="92">
        <v>1268</v>
      </c>
      <c r="B1278" s="99" t="s">
        <v>986</v>
      </c>
      <c r="C1278" s="122" t="s">
        <v>1000</v>
      </c>
      <c r="D1278" s="161" t="s">
        <v>1001</v>
      </c>
      <c r="E1278" s="123" t="s">
        <v>734</v>
      </c>
      <c r="F1278" s="124" t="s">
        <v>1425</v>
      </c>
      <c r="G1278" s="133" t="s">
        <v>281</v>
      </c>
      <c r="H1278" s="134" t="s">
        <v>1424</v>
      </c>
      <c r="I1278" s="134" t="s">
        <v>1426</v>
      </c>
      <c r="J1278" s="134" t="s">
        <v>139</v>
      </c>
      <c r="K1278" s="124" t="s">
        <v>140</v>
      </c>
      <c r="L1278" s="174">
        <v>1</v>
      </c>
      <c r="M1278" s="174" t="s">
        <v>250</v>
      </c>
      <c r="N1278" s="184">
        <v>159</v>
      </c>
      <c r="O1278" s="184">
        <v>5.5</v>
      </c>
      <c r="P1278" s="184" t="s">
        <v>253</v>
      </c>
      <c r="Q1278" s="174" t="s">
        <v>240</v>
      </c>
      <c r="R1278" s="276" t="s">
        <v>240</v>
      </c>
      <c r="S1278" s="276" t="s">
        <v>233</v>
      </c>
      <c r="T1278" s="276" t="s">
        <v>240</v>
      </c>
      <c r="U1278" s="174" t="s">
        <v>1427</v>
      </c>
      <c r="V1278" s="276" t="s">
        <v>240</v>
      </c>
      <c r="W1278" s="130"/>
      <c r="X1278" s="125">
        <v>1749.96</v>
      </c>
      <c r="Y1278" s="126">
        <v>2400.21</v>
      </c>
      <c r="Z1278" s="127">
        <f>46.65+4.08+247.59</f>
        <v>298.32</v>
      </c>
      <c r="AA1278" s="128" t="s">
        <v>259</v>
      </c>
      <c r="AB1278" s="125">
        <f>44.68+2.03+216</f>
        <v>262.70999999999998</v>
      </c>
      <c r="AC1278" s="128" t="s">
        <v>252</v>
      </c>
      <c r="AD1278" s="129">
        <f>58.68+2.68+283.74+0.01</f>
        <v>345.11</v>
      </c>
      <c r="AE1278" s="125" t="s">
        <v>252</v>
      </c>
      <c r="AF1278" s="125">
        <f>22.74+1.04+110.02</f>
        <v>133.79999999999998</v>
      </c>
      <c r="AG1278" s="125" t="s">
        <v>252</v>
      </c>
      <c r="AH1278" s="125">
        <f>10.58+0.47+51.09</f>
        <v>62.14</v>
      </c>
      <c r="AI1278" s="125" t="s">
        <v>252</v>
      </c>
      <c r="AJ1278" s="125">
        <v>0</v>
      </c>
      <c r="AK1278" s="125">
        <v>0</v>
      </c>
      <c r="AL1278" s="125">
        <v>0</v>
      </c>
      <c r="AM1278" s="125">
        <v>0</v>
      </c>
      <c r="AN1278" s="125">
        <v>0</v>
      </c>
      <c r="AO1278" s="125">
        <v>0</v>
      </c>
      <c r="AP1278" s="125"/>
      <c r="AQ1278" s="125"/>
      <c r="AR1278" s="125">
        <f>23.69+1.09+114.64</f>
        <v>139.42000000000002</v>
      </c>
      <c r="AS1278" s="125" t="s">
        <v>252</v>
      </c>
      <c r="AT1278" s="125">
        <f>25.77+1.18+124.68</f>
        <v>151.63</v>
      </c>
      <c r="AU1278" s="125" t="s">
        <v>252</v>
      </c>
      <c r="AV1278" s="125">
        <f>38.52+1.75+186.28</f>
        <v>226.55</v>
      </c>
      <c r="AW1278" s="125" t="s">
        <v>252</v>
      </c>
      <c r="AX1278" s="125">
        <f t="shared" si="4"/>
        <v>1619.68</v>
      </c>
      <c r="AY1278" s="125">
        <f>0.0103+0.0113+0.0073+0.0035+0.3676</f>
        <v>0.39999999999999997</v>
      </c>
      <c r="AZ1278" s="181" t="s">
        <v>253</v>
      </c>
      <c r="BA1278" s="181" t="s">
        <v>254</v>
      </c>
      <c r="BB1278" s="181" t="s">
        <v>1430</v>
      </c>
      <c r="BC1278" s="125" t="s">
        <v>255</v>
      </c>
    </row>
    <row r="1279" spans="1:55" ht="16.350000000000001" customHeight="1" outlineLevel="1">
      <c r="A1279" s="92">
        <v>1269</v>
      </c>
      <c r="B1279" s="99" t="s">
        <v>987</v>
      </c>
      <c r="C1279" s="122" t="s">
        <v>1003</v>
      </c>
      <c r="D1279" s="161" t="s">
        <v>1004</v>
      </c>
      <c r="E1279" s="123" t="s">
        <v>734</v>
      </c>
      <c r="F1279" s="124" t="s">
        <v>1234</v>
      </c>
      <c r="G1279" s="133" t="s">
        <v>247</v>
      </c>
      <c r="H1279" s="134" t="s">
        <v>1424</v>
      </c>
      <c r="I1279" s="134" t="s">
        <v>1426</v>
      </c>
      <c r="J1279" s="134" t="s">
        <v>139</v>
      </c>
      <c r="K1279" s="124" t="s">
        <v>140</v>
      </c>
      <c r="L1279" s="174">
        <v>1</v>
      </c>
      <c r="M1279" s="174" t="s">
        <v>250</v>
      </c>
      <c r="N1279" s="184">
        <v>108</v>
      </c>
      <c r="O1279" s="184">
        <v>6</v>
      </c>
      <c r="P1279" s="184" t="s">
        <v>253</v>
      </c>
      <c r="Q1279" s="174" t="s">
        <v>240</v>
      </c>
      <c r="R1279" s="276" t="s">
        <v>240</v>
      </c>
      <c r="S1279" s="276" t="s">
        <v>233</v>
      </c>
      <c r="T1279" s="276" t="s">
        <v>240</v>
      </c>
      <c r="U1279" s="174" t="s">
        <v>1428</v>
      </c>
      <c r="V1279" s="276" t="s">
        <v>240</v>
      </c>
      <c r="W1279" s="130"/>
      <c r="X1279" s="125">
        <v>863.09</v>
      </c>
      <c r="Y1279" s="126">
        <v>1257.73</v>
      </c>
      <c r="Z1279" s="127">
        <f>29.8+128.31</f>
        <v>158.11000000000001</v>
      </c>
      <c r="AA1279" s="128" t="s">
        <v>259</v>
      </c>
      <c r="AB1279" s="125">
        <f>16.47+100.43</f>
        <v>116.9</v>
      </c>
      <c r="AC1279" s="128" t="s">
        <v>252</v>
      </c>
      <c r="AD1279" s="129">
        <f>21.71+132.39</f>
        <v>154.1</v>
      </c>
      <c r="AE1279" s="125" t="s">
        <v>252</v>
      </c>
      <c r="AF1279" s="125">
        <f>8.51+51.89</f>
        <v>60.4</v>
      </c>
      <c r="AG1279" s="125" t="s">
        <v>252</v>
      </c>
      <c r="AH1279" s="125">
        <f>3.79+23.01</f>
        <v>26.8</v>
      </c>
      <c r="AI1279" s="125" t="s">
        <v>252</v>
      </c>
      <c r="AJ1279" s="125">
        <v>0</v>
      </c>
      <c r="AK1279" s="125">
        <v>0</v>
      </c>
      <c r="AL1279" s="125">
        <v>0</v>
      </c>
      <c r="AM1279" s="125">
        <v>0</v>
      </c>
      <c r="AN1279" s="125">
        <v>0</v>
      </c>
      <c r="AO1279" s="125">
        <v>0</v>
      </c>
      <c r="AP1279" s="125"/>
      <c r="AQ1279" s="125"/>
      <c r="AR1279" s="125">
        <f>7.97+48.56</f>
        <v>56.53</v>
      </c>
      <c r="AS1279" s="125" t="s">
        <v>252</v>
      </c>
      <c r="AT1279" s="125">
        <f>9.68+58.95</f>
        <v>68.63</v>
      </c>
      <c r="AU1279" s="125" t="s">
        <v>252</v>
      </c>
      <c r="AV1279" s="125">
        <f>14.78+90.14</f>
        <v>104.92</v>
      </c>
      <c r="AW1279" s="125" t="s">
        <v>252</v>
      </c>
      <c r="AX1279" s="125">
        <f t="shared" si="4"/>
        <v>746.38999999999987</v>
      </c>
      <c r="AY1279" s="125">
        <v>0.90522999999999998</v>
      </c>
      <c r="AZ1279" s="181" t="s">
        <v>253</v>
      </c>
      <c r="BA1279" s="181" t="s">
        <v>254</v>
      </c>
      <c r="BB1279" s="181" t="s">
        <v>1430</v>
      </c>
      <c r="BC1279" s="125" t="s">
        <v>255</v>
      </c>
    </row>
    <row r="1280" spans="1:55" ht="16.350000000000001" customHeight="1" outlineLevel="1">
      <c r="A1280" s="92">
        <v>1270</v>
      </c>
      <c r="B1280" s="99" t="s">
        <v>990</v>
      </c>
      <c r="C1280" s="122" t="s">
        <v>1003</v>
      </c>
      <c r="D1280" s="161" t="s">
        <v>1006</v>
      </c>
      <c r="E1280" s="123" t="s">
        <v>737</v>
      </c>
      <c r="F1280" s="124" t="s">
        <v>1234</v>
      </c>
      <c r="G1280" s="133" t="s">
        <v>247</v>
      </c>
      <c r="H1280" s="134" t="s">
        <v>1424</v>
      </c>
      <c r="I1280" s="134" t="s">
        <v>1426</v>
      </c>
      <c r="J1280" s="134" t="s">
        <v>139</v>
      </c>
      <c r="K1280" s="124" t="s">
        <v>140</v>
      </c>
      <c r="L1280" s="174">
        <v>1</v>
      </c>
      <c r="M1280" s="174" t="s">
        <v>250</v>
      </c>
      <c r="N1280" s="314">
        <v>50</v>
      </c>
      <c r="O1280" s="314">
        <v>6</v>
      </c>
      <c r="P1280" s="314" t="s">
        <v>1429</v>
      </c>
      <c r="Q1280" s="317" t="s">
        <v>233</v>
      </c>
      <c r="R1280" s="276" t="s">
        <v>240</v>
      </c>
      <c r="S1280" s="321" t="s">
        <v>233</v>
      </c>
      <c r="T1280" s="276" t="s">
        <v>240</v>
      </c>
      <c r="U1280" s="174" t="s">
        <v>1428</v>
      </c>
      <c r="V1280" s="276" t="s">
        <v>240</v>
      </c>
      <c r="W1280" s="130"/>
      <c r="X1280" s="292">
        <v>1268.8399999999999</v>
      </c>
      <c r="Y1280" s="295">
        <v>1500.25</v>
      </c>
      <c r="Z1280" s="297">
        <v>186.32549879999999</v>
      </c>
      <c r="AA1280" s="299" t="s">
        <v>252</v>
      </c>
      <c r="AB1280" s="292">
        <v>135.94338000000002</v>
      </c>
      <c r="AC1280" s="299" t="s">
        <v>252</v>
      </c>
      <c r="AD1280" s="301">
        <v>197.62651800000003</v>
      </c>
      <c r="AE1280" s="292" t="s">
        <v>252</v>
      </c>
      <c r="AF1280" s="292">
        <v>102.84124800000001</v>
      </c>
      <c r="AG1280" s="292" t="s">
        <v>252</v>
      </c>
      <c r="AH1280" s="292">
        <v>29.135400000000001</v>
      </c>
      <c r="AI1280" s="292" t="s">
        <v>252</v>
      </c>
      <c r="AJ1280" s="292">
        <v>0</v>
      </c>
      <c r="AK1280" s="292">
        <v>0</v>
      </c>
      <c r="AL1280" s="292">
        <v>0</v>
      </c>
      <c r="AM1280" s="292">
        <v>0</v>
      </c>
      <c r="AN1280" s="292">
        <v>0</v>
      </c>
      <c r="AO1280" s="292">
        <v>0</v>
      </c>
      <c r="AP1280" s="292"/>
      <c r="AQ1280" s="292"/>
      <c r="AR1280" s="292">
        <v>122.48554800000001</v>
      </c>
      <c r="AS1280" s="292" t="s">
        <v>252</v>
      </c>
      <c r="AT1280" s="292">
        <v>90.927360000000007</v>
      </c>
      <c r="AU1280" s="292" t="s">
        <v>252</v>
      </c>
      <c r="AV1280" s="292">
        <v>132.77265599999998</v>
      </c>
      <c r="AW1280" s="292" t="s">
        <v>252</v>
      </c>
      <c r="AX1280" s="292">
        <f t="shared" si="4"/>
        <v>998.05760880000003</v>
      </c>
      <c r="AY1280" s="125">
        <f>0.43458+0.01096</f>
        <v>0.44554000000000005</v>
      </c>
      <c r="AZ1280" s="313" t="s">
        <v>1429</v>
      </c>
      <c r="BA1280" s="313" t="s">
        <v>254</v>
      </c>
      <c r="BB1280" s="313">
        <v>1</v>
      </c>
      <c r="BC1280" s="125" t="s">
        <v>255</v>
      </c>
    </row>
    <row r="1281" spans="1:55" ht="16.350000000000001" customHeight="1" outlineLevel="1">
      <c r="A1281" s="92">
        <v>1271</v>
      </c>
      <c r="B1281" s="99" t="s">
        <v>993</v>
      </c>
      <c r="C1281" s="122" t="s">
        <v>1008</v>
      </c>
      <c r="D1281" s="161">
        <v>92</v>
      </c>
      <c r="E1281" s="123" t="s">
        <v>734</v>
      </c>
      <c r="F1281" s="124" t="s">
        <v>1425</v>
      </c>
      <c r="G1281" s="133" t="s">
        <v>247</v>
      </c>
      <c r="H1281" s="317" t="s">
        <v>248</v>
      </c>
      <c r="I1281" s="317" t="s">
        <v>1426</v>
      </c>
      <c r="J1281" s="317" t="s">
        <v>139</v>
      </c>
      <c r="K1281" s="317" t="s">
        <v>140</v>
      </c>
      <c r="L1281" s="317">
        <v>0</v>
      </c>
      <c r="M1281" s="317" t="s">
        <v>250</v>
      </c>
      <c r="N1281" s="314"/>
      <c r="O1281" s="314"/>
      <c r="P1281" s="314"/>
      <c r="Q1281" s="318"/>
      <c r="R1281" s="276" t="s">
        <v>240</v>
      </c>
      <c r="S1281" s="321"/>
      <c r="T1281" s="276" t="s">
        <v>240</v>
      </c>
      <c r="U1281" s="317" t="s">
        <v>1427</v>
      </c>
      <c r="V1281" s="276" t="s">
        <v>240</v>
      </c>
      <c r="W1281" s="165"/>
      <c r="X1281" s="293"/>
      <c r="Y1281" s="308"/>
      <c r="Z1281" s="309"/>
      <c r="AA1281" s="310"/>
      <c r="AB1281" s="293"/>
      <c r="AC1281" s="310"/>
      <c r="AD1281" s="311"/>
      <c r="AE1281" s="293"/>
      <c r="AF1281" s="293"/>
      <c r="AG1281" s="293"/>
      <c r="AH1281" s="293"/>
      <c r="AI1281" s="293"/>
      <c r="AJ1281" s="293"/>
      <c r="AK1281" s="293"/>
      <c r="AL1281" s="293"/>
      <c r="AM1281" s="293"/>
      <c r="AN1281" s="293"/>
      <c r="AO1281" s="293"/>
      <c r="AP1281" s="293"/>
      <c r="AQ1281" s="293"/>
      <c r="AR1281" s="293"/>
      <c r="AS1281" s="293"/>
      <c r="AT1281" s="293"/>
      <c r="AU1281" s="293"/>
      <c r="AV1281" s="293"/>
      <c r="AW1281" s="293"/>
      <c r="AX1281" s="293">
        <f t="shared" si="4"/>
        <v>0</v>
      </c>
      <c r="AY1281" s="292">
        <f>0.3295+0.0705</f>
        <v>0.4</v>
      </c>
      <c r="AZ1281" s="313"/>
      <c r="BA1281" s="313"/>
      <c r="BB1281" s="313"/>
      <c r="BC1281" s="292" t="s">
        <v>255</v>
      </c>
    </row>
    <row r="1282" spans="1:55" ht="16.350000000000001" customHeight="1" outlineLevel="1">
      <c r="A1282" s="92">
        <v>1272</v>
      </c>
      <c r="B1282" s="99" t="s">
        <v>996</v>
      </c>
      <c r="C1282" s="122" t="s">
        <v>1008</v>
      </c>
      <c r="D1282" s="161">
        <v>92</v>
      </c>
      <c r="E1282" s="123" t="s">
        <v>737</v>
      </c>
      <c r="F1282" s="124" t="s">
        <v>1425</v>
      </c>
      <c r="G1282" s="133" t="s">
        <v>247</v>
      </c>
      <c r="H1282" s="318"/>
      <c r="I1282" s="318"/>
      <c r="J1282" s="318"/>
      <c r="K1282" s="318"/>
      <c r="L1282" s="318"/>
      <c r="M1282" s="318"/>
      <c r="N1282" s="314"/>
      <c r="O1282" s="314"/>
      <c r="P1282" s="314"/>
      <c r="Q1282" s="319"/>
      <c r="R1282" s="276" t="s">
        <v>240</v>
      </c>
      <c r="S1282" s="321"/>
      <c r="T1282" s="276" t="s">
        <v>240</v>
      </c>
      <c r="U1282" s="318"/>
      <c r="V1282" s="276" t="s">
        <v>240</v>
      </c>
      <c r="W1282" s="169"/>
      <c r="X1282" s="294"/>
      <c r="Y1282" s="296"/>
      <c r="Z1282" s="298"/>
      <c r="AA1282" s="300"/>
      <c r="AB1282" s="294"/>
      <c r="AC1282" s="300"/>
      <c r="AD1282" s="302"/>
      <c r="AE1282" s="294"/>
      <c r="AF1282" s="294"/>
      <c r="AG1282" s="294"/>
      <c r="AH1282" s="294"/>
      <c r="AI1282" s="294"/>
      <c r="AJ1282" s="294"/>
      <c r="AK1282" s="294"/>
      <c r="AL1282" s="294"/>
      <c r="AM1282" s="294"/>
      <c r="AN1282" s="294"/>
      <c r="AO1282" s="294"/>
      <c r="AP1282" s="294"/>
      <c r="AQ1282" s="294"/>
      <c r="AR1282" s="294"/>
      <c r="AS1282" s="294"/>
      <c r="AT1282" s="294"/>
      <c r="AU1282" s="294"/>
      <c r="AV1282" s="294"/>
      <c r="AW1282" s="294"/>
      <c r="AX1282" s="294">
        <f t="shared" si="4"/>
        <v>0</v>
      </c>
      <c r="AY1282" s="293"/>
      <c r="AZ1282" s="313"/>
      <c r="BA1282" s="313"/>
      <c r="BB1282" s="313"/>
      <c r="BC1282" s="293"/>
    </row>
    <row r="1283" spans="1:55" ht="16.350000000000001" customHeight="1" outlineLevel="1">
      <c r="A1283" s="92">
        <v>1273</v>
      </c>
      <c r="B1283" s="99" t="s">
        <v>999</v>
      </c>
      <c r="C1283" s="122" t="s">
        <v>1008</v>
      </c>
      <c r="D1283" s="161">
        <v>92</v>
      </c>
      <c r="E1283" s="123" t="s">
        <v>745</v>
      </c>
      <c r="F1283" s="124" t="s">
        <v>1425</v>
      </c>
      <c r="G1283" s="133" t="s">
        <v>247</v>
      </c>
      <c r="H1283" s="319"/>
      <c r="I1283" s="319"/>
      <c r="J1283" s="319"/>
      <c r="K1283" s="319"/>
      <c r="L1283" s="319"/>
      <c r="M1283" s="319"/>
      <c r="N1283" s="184">
        <v>108</v>
      </c>
      <c r="O1283" s="184">
        <v>5.5</v>
      </c>
      <c r="P1283" s="184" t="s">
        <v>253</v>
      </c>
      <c r="Q1283" s="174" t="s">
        <v>240</v>
      </c>
      <c r="R1283" s="276" t="s">
        <v>240</v>
      </c>
      <c r="S1283" s="276" t="s">
        <v>240</v>
      </c>
      <c r="T1283" s="276" t="s">
        <v>233</v>
      </c>
      <c r="U1283" s="319"/>
      <c r="V1283" s="276" t="s">
        <v>240</v>
      </c>
      <c r="W1283" s="166"/>
      <c r="X1283" s="125">
        <v>831.92</v>
      </c>
      <c r="Y1283" s="126">
        <v>1236.76</v>
      </c>
      <c r="Z1283" s="127">
        <f>30.4+116.66</f>
        <v>147.06</v>
      </c>
      <c r="AA1283" s="128" t="s">
        <v>259</v>
      </c>
      <c r="AB1283" s="125">
        <f>30.4+116.66</f>
        <v>147.06</v>
      </c>
      <c r="AC1283" s="128" t="s">
        <v>259</v>
      </c>
      <c r="AD1283" s="129">
        <f>30.4+116.66</f>
        <v>147.06</v>
      </c>
      <c r="AE1283" s="125" t="s">
        <v>259</v>
      </c>
      <c r="AF1283" s="125">
        <f>30.4+116.66</f>
        <v>147.06</v>
      </c>
      <c r="AG1283" s="125" t="s">
        <v>259</v>
      </c>
      <c r="AH1283" s="125">
        <f>8.82+33.87</f>
        <v>42.69</v>
      </c>
      <c r="AI1283" s="125" t="s">
        <v>259</v>
      </c>
      <c r="AJ1283" s="125">
        <v>0</v>
      </c>
      <c r="AK1283" s="125">
        <v>0</v>
      </c>
      <c r="AL1283" s="125">
        <v>0</v>
      </c>
      <c r="AM1283" s="125">
        <v>0</v>
      </c>
      <c r="AN1283" s="125">
        <v>0</v>
      </c>
      <c r="AO1283" s="125">
        <v>0</v>
      </c>
      <c r="AP1283" s="125">
        <f>6.92+26.56</f>
        <v>33.479999999999997</v>
      </c>
      <c r="AQ1283" s="125" t="s">
        <v>259</v>
      </c>
      <c r="AR1283" s="125">
        <f>29.66+113.82</f>
        <v>143.47999999999999</v>
      </c>
      <c r="AS1283" s="125" t="s">
        <v>259</v>
      </c>
      <c r="AT1283" s="125">
        <f>29.66+113.82</f>
        <v>143.47999999999999</v>
      </c>
      <c r="AU1283" s="125" t="s">
        <v>259</v>
      </c>
      <c r="AV1283" s="125">
        <f>29.66+113.82</f>
        <v>143.47999999999999</v>
      </c>
      <c r="AW1283" s="125" t="s">
        <v>259</v>
      </c>
      <c r="AX1283" s="125">
        <f t="shared" si="4"/>
        <v>1094.8500000000001</v>
      </c>
      <c r="AY1283" s="294"/>
      <c r="AZ1283" s="181" t="s">
        <v>253</v>
      </c>
      <c r="BA1283" s="181" t="s">
        <v>254</v>
      </c>
      <c r="BB1283" s="181" t="s">
        <v>1430</v>
      </c>
      <c r="BC1283" s="294"/>
    </row>
    <row r="1284" spans="1:55" ht="16.350000000000001" customHeight="1" outlineLevel="1">
      <c r="A1284" s="92">
        <v>1274</v>
      </c>
      <c r="B1284" s="99" t="s">
        <v>1002</v>
      </c>
      <c r="C1284" s="122" t="s">
        <v>1012</v>
      </c>
      <c r="D1284" s="161" t="s">
        <v>1013</v>
      </c>
      <c r="E1284" s="123" t="s">
        <v>734</v>
      </c>
      <c r="F1284" s="124" t="s">
        <v>1234</v>
      </c>
      <c r="G1284" s="133" t="s">
        <v>281</v>
      </c>
      <c r="H1284" s="134" t="s">
        <v>1424</v>
      </c>
      <c r="I1284" s="134" t="s">
        <v>1426</v>
      </c>
      <c r="J1284" s="134" t="s">
        <v>139</v>
      </c>
      <c r="K1284" s="124" t="s">
        <v>140</v>
      </c>
      <c r="L1284" s="174">
        <v>1</v>
      </c>
      <c r="M1284" s="174" t="s">
        <v>250</v>
      </c>
      <c r="N1284" s="184">
        <v>89</v>
      </c>
      <c r="O1284" s="184">
        <v>6</v>
      </c>
      <c r="P1284" s="184" t="s">
        <v>1429</v>
      </c>
      <c r="Q1284" s="174" t="s">
        <v>240</v>
      </c>
      <c r="R1284" s="276" t="s">
        <v>240</v>
      </c>
      <c r="S1284" s="276" t="s">
        <v>233</v>
      </c>
      <c r="T1284" s="276" t="s">
        <v>240</v>
      </c>
      <c r="U1284" s="174" t="s">
        <v>1428</v>
      </c>
      <c r="V1284" s="276" t="s">
        <v>240</v>
      </c>
      <c r="W1284" s="130"/>
      <c r="X1284" s="125">
        <v>991.12</v>
      </c>
      <c r="Y1284" s="126">
        <v>1166.78</v>
      </c>
      <c r="Z1284" s="127">
        <v>206.3</v>
      </c>
      <c r="AA1284" s="128" t="s">
        <v>252</v>
      </c>
      <c r="AB1284" s="125">
        <v>152.30000000000001</v>
      </c>
      <c r="AC1284" s="128" t="s">
        <v>252</v>
      </c>
      <c r="AD1284" s="129">
        <v>212.1</v>
      </c>
      <c r="AE1284" s="125" t="s">
        <v>252</v>
      </c>
      <c r="AF1284" s="125">
        <v>116.1</v>
      </c>
      <c r="AG1284" s="125" t="s">
        <v>252</v>
      </c>
      <c r="AH1284" s="125">
        <v>18.100000000000001</v>
      </c>
      <c r="AI1284" s="125" t="s">
        <v>252</v>
      </c>
      <c r="AJ1284" s="125">
        <v>0</v>
      </c>
      <c r="AK1284" s="125">
        <v>0</v>
      </c>
      <c r="AL1284" s="125">
        <v>0</v>
      </c>
      <c r="AM1284" s="125">
        <v>0</v>
      </c>
      <c r="AN1284" s="125">
        <v>0</v>
      </c>
      <c r="AO1284" s="125">
        <v>0</v>
      </c>
      <c r="AP1284" s="125"/>
      <c r="AQ1284" s="125"/>
      <c r="AR1284" s="125">
        <v>141.80000000000001</v>
      </c>
      <c r="AS1284" s="125" t="s">
        <v>252</v>
      </c>
      <c r="AT1284" s="125">
        <v>122.6</v>
      </c>
      <c r="AU1284" s="125" t="s">
        <v>252</v>
      </c>
      <c r="AV1284" s="125">
        <v>173</v>
      </c>
      <c r="AW1284" s="125" t="s">
        <v>252</v>
      </c>
      <c r="AX1284" s="125">
        <f t="shared" si="4"/>
        <v>1142.3000000000002</v>
      </c>
      <c r="AY1284" s="125">
        <v>0.44463000000000003</v>
      </c>
      <c r="AZ1284" s="181" t="s">
        <v>1429</v>
      </c>
      <c r="BA1284" s="181" t="s">
        <v>254</v>
      </c>
      <c r="BB1284" s="181">
        <v>1</v>
      </c>
      <c r="BC1284" s="125" t="s">
        <v>255</v>
      </c>
    </row>
    <row r="1285" spans="1:55" ht="16.350000000000001" customHeight="1" outlineLevel="1">
      <c r="A1285" s="92">
        <v>1275</v>
      </c>
      <c r="B1285" s="99" t="s">
        <v>1005</v>
      </c>
      <c r="C1285" s="122" t="s">
        <v>1012</v>
      </c>
      <c r="D1285" s="161" t="s">
        <v>1015</v>
      </c>
      <c r="E1285" s="123" t="s">
        <v>734</v>
      </c>
      <c r="F1285" s="124" t="s">
        <v>1425</v>
      </c>
      <c r="G1285" s="133" t="s">
        <v>281</v>
      </c>
      <c r="H1285" s="134" t="s">
        <v>1424</v>
      </c>
      <c r="I1285" s="134" t="s">
        <v>1426</v>
      </c>
      <c r="J1285" s="134" t="s">
        <v>139</v>
      </c>
      <c r="K1285" s="124" t="s">
        <v>140</v>
      </c>
      <c r="L1285" s="174">
        <v>1</v>
      </c>
      <c r="M1285" s="174" t="s">
        <v>250</v>
      </c>
      <c r="N1285" s="184">
        <v>89</v>
      </c>
      <c r="O1285" s="184">
        <v>6</v>
      </c>
      <c r="P1285" s="184" t="s">
        <v>1429</v>
      </c>
      <c r="Q1285" s="174" t="s">
        <v>233</v>
      </c>
      <c r="R1285" s="276" t="s">
        <v>240</v>
      </c>
      <c r="S1285" s="276" t="s">
        <v>233</v>
      </c>
      <c r="T1285" s="276" t="s">
        <v>240</v>
      </c>
      <c r="U1285" s="174" t="s">
        <v>1427</v>
      </c>
      <c r="V1285" s="276" t="s">
        <v>240</v>
      </c>
      <c r="W1285" s="130"/>
      <c r="X1285" s="125">
        <v>1812.48</v>
      </c>
      <c r="Y1285" s="126">
        <v>1937.72</v>
      </c>
      <c r="Z1285" s="127">
        <v>294.24139500000001</v>
      </c>
      <c r="AA1285" s="128" t="s">
        <v>252</v>
      </c>
      <c r="AB1285" s="125">
        <v>203.84095500000001</v>
      </c>
      <c r="AC1285" s="128" t="s">
        <v>252</v>
      </c>
      <c r="AD1285" s="129">
        <v>293.41276200000004</v>
      </c>
      <c r="AE1285" s="125" t="s">
        <v>252</v>
      </c>
      <c r="AF1285" s="125">
        <v>164.70569800000001</v>
      </c>
      <c r="AG1285" s="125" t="s">
        <v>252</v>
      </c>
      <c r="AH1285" s="125">
        <v>54.954913999999995</v>
      </c>
      <c r="AI1285" s="125" t="s">
        <v>252</v>
      </c>
      <c r="AJ1285" s="125">
        <v>0</v>
      </c>
      <c r="AK1285" s="125">
        <v>0</v>
      </c>
      <c r="AL1285" s="125">
        <v>0</v>
      </c>
      <c r="AM1285" s="125">
        <v>0</v>
      </c>
      <c r="AN1285" s="125">
        <v>0</v>
      </c>
      <c r="AO1285" s="125">
        <v>0</v>
      </c>
      <c r="AP1285" s="125"/>
      <c r="AQ1285" s="125"/>
      <c r="AR1285" s="125">
        <v>281.09573503080003</v>
      </c>
      <c r="AS1285" s="125" t="s">
        <v>252</v>
      </c>
      <c r="AT1285" s="125">
        <v>194.7631255785</v>
      </c>
      <c r="AU1285" s="125" t="s">
        <v>312</v>
      </c>
      <c r="AV1285" s="125">
        <v>209.4684</v>
      </c>
      <c r="AW1285" s="125" t="s">
        <v>252</v>
      </c>
      <c r="AX1285" s="125">
        <f t="shared" si="4"/>
        <v>1696.4829846093</v>
      </c>
      <c r="AY1285" s="125">
        <f>0.0171+0.0714+0.0014+0.0189+0.0109+0.3984+0.0059+0.006</f>
        <v>0.53</v>
      </c>
      <c r="AZ1285" s="181" t="s">
        <v>1429</v>
      </c>
      <c r="BA1285" s="181" t="s">
        <v>254</v>
      </c>
      <c r="BB1285" s="181">
        <v>1</v>
      </c>
      <c r="BC1285" s="125" t="s">
        <v>255</v>
      </c>
    </row>
    <row r="1286" spans="1:55" ht="16.350000000000001" customHeight="1" outlineLevel="1">
      <c r="A1286" s="92">
        <v>1276</v>
      </c>
      <c r="B1286" s="99" t="s">
        <v>1007</v>
      </c>
      <c r="C1286" s="122" t="s">
        <v>1012</v>
      </c>
      <c r="D1286" s="161">
        <v>4</v>
      </c>
      <c r="E1286" s="123" t="s">
        <v>734</v>
      </c>
      <c r="F1286" s="124" t="s">
        <v>1425</v>
      </c>
      <c r="G1286" s="133" t="s">
        <v>247</v>
      </c>
      <c r="H1286" s="134" t="s">
        <v>248</v>
      </c>
      <c r="I1286" s="134" t="s">
        <v>1426</v>
      </c>
      <c r="J1286" s="134" t="s">
        <v>139</v>
      </c>
      <c r="K1286" s="124" t="s">
        <v>140</v>
      </c>
      <c r="L1286" s="174">
        <v>0</v>
      </c>
      <c r="M1286" s="174" t="s">
        <v>250</v>
      </c>
      <c r="N1286" s="315">
        <v>89</v>
      </c>
      <c r="O1286" s="315">
        <v>5.5</v>
      </c>
      <c r="P1286" s="315" t="s">
        <v>253</v>
      </c>
      <c r="Q1286" s="317" t="s">
        <v>240</v>
      </c>
      <c r="R1286" s="320" t="s">
        <v>240</v>
      </c>
      <c r="S1286" s="320" t="s">
        <v>240</v>
      </c>
      <c r="T1286" s="320" t="s">
        <v>233</v>
      </c>
      <c r="U1286" s="174" t="s">
        <v>1427</v>
      </c>
      <c r="V1286" s="320" t="s">
        <v>240</v>
      </c>
      <c r="W1286" s="130"/>
      <c r="X1286" s="292">
        <v>356.79</v>
      </c>
      <c r="Y1286" s="295">
        <v>474.43</v>
      </c>
      <c r="Z1286" s="297">
        <f>12.41+47.31</f>
        <v>59.72</v>
      </c>
      <c r="AA1286" s="299" t="s">
        <v>259</v>
      </c>
      <c r="AB1286" s="292">
        <f>12.41+47.31</f>
        <v>59.72</v>
      </c>
      <c r="AC1286" s="299" t="s">
        <v>259</v>
      </c>
      <c r="AD1286" s="301">
        <f>12.41+47.31</f>
        <v>59.72</v>
      </c>
      <c r="AE1286" s="292" t="s">
        <v>259</v>
      </c>
      <c r="AF1286" s="292">
        <f>12.41+47.31</f>
        <v>59.72</v>
      </c>
      <c r="AG1286" s="292" t="s">
        <v>259</v>
      </c>
      <c r="AH1286" s="292">
        <f>3.6+13.73</f>
        <v>17.330000000000002</v>
      </c>
      <c r="AI1286" s="292" t="s">
        <v>259</v>
      </c>
      <c r="AJ1286" s="292">
        <v>0</v>
      </c>
      <c r="AK1286" s="292">
        <v>0</v>
      </c>
      <c r="AL1286" s="292">
        <v>0</v>
      </c>
      <c r="AM1286" s="292">
        <v>0</v>
      </c>
      <c r="AN1286" s="292">
        <v>0</v>
      </c>
      <c r="AO1286" s="292">
        <v>0</v>
      </c>
      <c r="AP1286" s="292">
        <f>2.69+10.25</f>
        <v>12.94</v>
      </c>
      <c r="AQ1286" s="292" t="s">
        <v>259</v>
      </c>
      <c r="AR1286" s="292">
        <f>11.52+43.91</f>
        <v>55.429999999999993</v>
      </c>
      <c r="AS1286" s="292" t="s">
        <v>259</v>
      </c>
      <c r="AT1286" s="292">
        <f>11.52+43.91</f>
        <v>55.429999999999993</v>
      </c>
      <c r="AU1286" s="292" t="s">
        <v>259</v>
      </c>
      <c r="AV1286" s="292">
        <f>11.52+43.91</f>
        <v>55.429999999999993</v>
      </c>
      <c r="AW1286" s="292" t="s">
        <v>259</v>
      </c>
      <c r="AX1286" s="292">
        <f t="shared" si="4"/>
        <v>435.44</v>
      </c>
      <c r="AY1286" s="125">
        <f>0.0075+0.001+0.0015+0.5043+0.0054+0.0603</f>
        <v>0.57999999999999996</v>
      </c>
      <c r="AZ1286" s="312" t="s">
        <v>253</v>
      </c>
      <c r="BA1286" s="312" t="s">
        <v>254</v>
      </c>
      <c r="BB1286" s="312" t="s">
        <v>1430</v>
      </c>
      <c r="BC1286" s="125" t="s">
        <v>255</v>
      </c>
    </row>
    <row r="1287" spans="1:55" ht="16.350000000000001" customHeight="1" outlineLevel="1">
      <c r="A1287" s="92">
        <v>1277</v>
      </c>
      <c r="B1287" s="99" t="s">
        <v>1009</v>
      </c>
      <c r="C1287" s="122" t="s">
        <v>1012</v>
      </c>
      <c r="D1287" s="161">
        <v>5</v>
      </c>
      <c r="E1287" s="123" t="s">
        <v>734</v>
      </c>
      <c r="F1287" s="124" t="s">
        <v>1234</v>
      </c>
      <c r="G1287" s="133" t="s">
        <v>281</v>
      </c>
      <c r="H1287" s="334" t="s">
        <v>1424</v>
      </c>
      <c r="I1287" s="334" t="s">
        <v>1426</v>
      </c>
      <c r="J1287" s="317" t="s">
        <v>139</v>
      </c>
      <c r="K1287" s="317" t="s">
        <v>140</v>
      </c>
      <c r="L1287" s="334">
        <v>0</v>
      </c>
      <c r="M1287" s="334" t="s">
        <v>250</v>
      </c>
      <c r="N1287" s="315"/>
      <c r="O1287" s="315"/>
      <c r="P1287" s="315"/>
      <c r="Q1287" s="319"/>
      <c r="R1287" s="320"/>
      <c r="S1287" s="320"/>
      <c r="T1287" s="320"/>
      <c r="U1287" s="334" t="s">
        <v>1428</v>
      </c>
      <c r="V1287" s="320"/>
      <c r="W1287" s="189"/>
      <c r="X1287" s="294"/>
      <c r="Y1287" s="296"/>
      <c r="Z1287" s="298"/>
      <c r="AA1287" s="300"/>
      <c r="AB1287" s="294"/>
      <c r="AC1287" s="300"/>
      <c r="AD1287" s="302"/>
      <c r="AE1287" s="294"/>
      <c r="AF1287" s="294"/>
      <c r="AG1287" s="294"/>
      <c r="AH1287" s="294"/>
      <c r="AI1287" s="294"/>
      <c r="AJ1287" s="294"/>
      <c r="AK1287" s="294"/>
      <c r="AL1287" s="294"/>
      <c r="AM1287" s="294"/>
      <c r="AN1287" s="294"/>
      <c r="AO1287" s="294"/>
      <c r="AP1287" s="294"/>
      <c r="AQ1287" s="294"/>
      <c r="AR1287" s="294"/>
      <c r="AS1287" s="294"/>
      <c r="AT1287" s="294"/>
      <c r="AU1287" s="294"/>
      <c r="AV1287" s="294"/>
      <c r="AW1287" s="294"/>
      <c r="AX1287" s="294">
        <f t="shared" si="4"/>
        <v>0</v>
      </c>
      <c r="AY1287" s="292">
        <v>0.19070000000000001</v>
      </c>
      <c r="AZ1287" s="312"/>
      <c r="BA1287" s="312"/>
      <c r="BB1287" s="312"/>
      <c r="BC1287" s="336" t="s">
        <v>255</v>
      </c>
    </row>
    <row r="1288" spans="1:55" ht="16.350000000000001" customHeight="1" outlineLevel="1">
      <c r="A1288" s="92">
        <v>1278</v>
      </c>
      <c r="B1288" s="99" t="s">
        <v>1010</v>
      </c>
      <c r="C1288" s="122" t="s">
        <v>1012</v>
      </c>
      <c r="D1288" s="161">
        <v>5</v>
      </c>
      <c r="E1288" s="123" t="s">
        <v>737</v>
      </c>
      <c r="F1288" s="124" t="s">
        <v>1234</v>
      </c>
      <c r="G1288" s="133" t="s">
        <v>281</v>
      </c>
      <c r="H1288" s="335"/>
      <c r="I1288" s="335"/>
      <c r="J1288" s="319"/>
      <c r="K1288" s="319"/>
      <c r="L1288" s="335"/>
      <c r="M1288" s="335"/>
      <c r="N1288" s="184">
        <v>57</v>
      </c>
      <c r="O1288" s="314">
        <v>5.4</v>
      </c>
      <c r="P1288" s="314" t="s">
        <v>253</v>
      </c>
      <c r="Q1288" s="317" t="s">
        <v>240</v>
      </c>
      <c r="R1288" s="321" t="s">
        <v>240</v>
      </c>
      <c r="S1288" s="321" t="s">
        <v>240</v>
      </c>
      <c r="T1288" s="321" t="s">
        <v>233</v>
      </c>
      <c r="U1288" s="335"/>
      <c r="V1288" s="321" t="s">
        <v>240</v>
      </c>
      <c r="W1288" s="190"/>
      <c r="X1288" s="292">
        <v>1595.3</v>
      </c>
      <c r="Y1288" s="295">
        <v>2492.85</v>
      </c>
      <c r="Z1288" s="297">
        <f>49.21+177.68+8.92+64.93+20.45</f>
        <v>321.19</v>
      </c>
      <c r="AA1288" s="299" t="s">
        <v>259</v>
      </c>
      <c r="AB1288" s="292">
        <f>35.69+177.68+6.47+64.93+20.45</f>
        <v>305.21999999999997</v>
      </c>
      <c r="AC1288" s="299" t="s">
        <v>259</v>
      </c>
      <c r="AD1288" s="301">
        <f>44.84+177.68+8.11+64.93+20.45</f>
        <v>316.01</v>
      </c>
      <c r="AE1288" s="292" t="s">
        <v>259</v>
      </c>
      <c r="AF1288" s="292">
        <f>30.74+177.68+5.56+64.93+20.45</f>
        <v>299.36</v>
      </c>
      <c r="AG1288" s="292" t="s">
        <v>259</v>
      </c>
      <c r="AH1288" s="292">
        <f>5.02+51.58+0.91+18.85+5.94</f>
        <v>82.299999999999983</v>
      </c>
      <c r="AI1288" s="292" t="s">
        <v>259</v>
      </c>
      <c r="AJ1288" s="292">
        <v>0</v>
      </c>
      <c r="AK1288" s="292">
        <v>0</v>
      </c>
      <c r="AL1288" s="292">
        <v>0</v>
      </c>
      <c r="AM1288" s="292">
        <v>0</v>
      </c>
      <c r="AN1288" s="292">
        <v>0</v>
      </c>
      <c r="AO1288" s="292">
        <v>0</v>
      </c>
      <c r="AP1288" s="292">
        <f>5.48+39.18+0.99+13.69+5.1</f>
        <v>64.44</v>
      </c>
      <c r="AQ1288" s="292" t="s">
        <v>259</v>
      </c>
      <c r="AR1288" s="292">
        <f>24.19+167.93+4.39+58.67+21.85</f>
        <v>277.03000000000003</v>
      </c>
      <c r="AS1288" s="292" t="s">
        <v>259</v>
      </c>
      <c r="AT1288" s="292">
        <f>27.59+167.93+5+58.67+21.85</f>
        <v>281.04000000000002</v>
      </c>
      <c r="AU1288" s="292" t="s">
        <v>259</v>
      </c>
      <c r="AV1288" s="292">
        <f>36.5+167.93+6.61+58.67+21.85</f>
        <v>291.56000000000006</v>
      </c>
      <c r="AW1288" s="292" t="s">
        <v>259</v>
      </c>
      <c r="AX1288" s="292">
        <f t="shared" ref="AX1288:AX1351" si="6">Z1288+AB1288+AD1288+AF1288+AH1288+AJ1288+AL1288+AN1288+AP1288+AR1288+AT1288+AV1288</f>
        <v>2238.15</v>
      </c>
      <c r="AY1288" s="294"/>
      <c r="AZ1288" s="313" t="s">
        <v>253</v>
      </c>
      <c r="BA1288" s="313" t="s">
        <v>254</v>
      </c>
      <c r="BB1288" s="313" t="s">
        <v>1430</v>
      </c>
      <c r="BC1288" s="337"/>
    </row>
    <row r="1289" spans="1:55" ht="16.350000000000001" customHeight="1" outlineLevel="1">
      <c r="A1289" s="92">
        <v>1279</v>
      </c>
      <c r="B1289" s="99" t="s">
        <v>1011</v>
      </c>
      <c r="C1289" s="122" t="s">
        <v>1012</v>
      </c>
      <c r="D1289" s="161">
        <v>7</v>
      </c>
      <c r="E1289" s="123" t="s">
        <v>734</v>
      </c>
      <c r="F1289" s="124" t="s">
        <v>1234</v>
      </c>
      <c r="G1289" s="133" t="s">
        <v>281</v>
      </c>
      <c r="H1289" s="317" t="s">
        <v>1424</v>
      </c>
      <c r="I1289" s="317" t="s">
        <v>1426</v>
      </c>
      <c r="J1289" s="317" t="s">
        <v>139</v>
      </c>
      <c r="K1289" s="317" t="s">
        <v>140</v>
      </c>
      <c r="L1289" s="317">
        <v>1</v>
      </c>
      <c r="M1289" s="317" t="s">
        <v>250</v>
      </c>
      <c r="N1289" s="184">
        <v>89</v>
      </c>
      <c r="O1289" s="314"/>
      <c r="P1289" s="314"/>
      <c r="Q1289" s="318"/>
      <c r="R1289" s="321"/>
      <c r="S1289" s="321"/>
      <c r="T1289" s="321"/>
      <c r="U1289" s="317" t="s">
        <v>1428</v>
      </c>
      <c r="V1289" s="321"/>
      <c r="W1289" s="165"/>
      <c r="X1289" s="293"/>
      <c r="Y1289" s="308"/>
      <c r="Z1289" s="309"/>
      <c r="AA1289" s="310"/>
      <c r="AB1289" s="293"/>
      <c r="AC1289" s="310"/>
      <c r="AD1289" s="311"/>
      <c r="AE1289" s="293"/>
      <c r="AF1289" s="293"/>
      <c r="AG1289" s="293"/>
      <c r="AH1289" s="293"/>
      <c r="AI1289" s="293"/>
      <c r="AJ1289" s="293"/>
      <c r="AK1289" s="293"/>
      <c r="AL1289" s="293"/>
      <c r="AM1289" s="293"/>
      <c r="AN1289" s="293"/>
      <c r="AO1289" s="293"/>
      <c r="AP1289" s="293"/>
      <c r="AQ1289" s="293"/>
      <c r="AR1289" s="293"/>
      <c r="AS1289" s="293"/>
      <c r="AT1289" s="293"/>
      <c r="AU1289" s="293"/>
      <c r="AV1289" s="293"/>
      <c r="AW1289" s="293"/>
      <c r="AX1289" s="293">
        <f t="shared" si="6"/>
        <v>0</v>
      </c>
      <c r="AY1289" s="125">
        <v>0.61324000000000001</v>
      </c>
      <c r="AZ1289" s="313"/>
      <c r="BA1289" s="313"/>
      <c r="BB1289" s="313"/>
      <c r="BC1289" s="292" t="s">
        <v>255</v>
      </c>
    </row>
    <row r="1290" spans="1:55" ht="16.350000000000001" customHeight="1" outlineLevel="1">
      <c r="A1290" s="92">
        <v>1280</v>
      </c>
      <c r="B1290" s="99" t="s">
        <v>1014</v>
      </c>
      <c r="C1290" s="122" t="s">
        <v>1012</v>
      </c>
      <c r="D1290" s="161">
        <v>7</v>
      </c>
      <c r="E1290" s="123" t="s">
        <v>737</v>
      </c>
      <c r="F1290" s="124" t="s">
        <v>1234</v>
      </c>
      <c r="G1290" s="133" t="s">
        <v>281</v>
      </c>
      <c r="H1290" s="318"/>
      <c r="I1290" s="318"/>
      <c r="J1290" s="318"/>
      <c r="K1290" s="318"/>
      <c r="L1290" s="318"/>
      <c r="M1290" s="318"/>
      <c r="N1290" s="184">
        <v>133</v>
      </c>
      <c r="O1290" s="314"/>
      <c r="P1290" s="314"/>
      <c r="Q1290" s="319"/>
      <c r="R1290" s="321"/>
      <c r="S1290" s="321"/>
      <c r="T1290" s="321"/>
      <c r="U1290" s="318"/>
      <c r="V1290" s="321"/>
      <c r="W1290" s="169"/>
      <c r="X1290" s="294"/>
      <c r="Y1290" s="296"/>
      <c r="Z1290" s="298"/>
      <c r="AA1290" s="300"/>
      <c r="AB1290" s="294"/>
      <c r="AC1290" s="300"/>
      <c r="AD1290" s="302"/>
      <c r="AE1290" s="294"/>
      <c r="AF1290" s="294"/>
      <c r="AG1290" s="294"/>
      <c r="AH1290" s="294"/>
      <c r="AI1290" s="294"/>
      <c r="AJ1290" s="294"/>
      <c r="AK1290" s="294"/>
      <c r="AL1290" s="294"/>
      <c r="AM1290" s="294"/>
      <c r="AN1290" s="294"/>
      <c r="AO1290" s="294"/>
      <c r="AP1290" s="294"/>
      <c r="AQ1290" s="294"/>
      <c r="AR1290" s="294"/>
      <c r="AS1290" s="294"/>
      <c r="AT1290" s="294"/>
      <c r="AU1290" s="294"/>
      <c r="AV1290" s="294"/>
      <c r="AW1290" s="294"/>
      <c r="AX1290" s="294">
        <f t="shared" si="6"/>
        <v>0</v>
      </c>
      <c r="AY1290" s="125">
        <v>0.18367</v>
      </c>
      <c r="AZ1290" s="313"/>
      <c r="BA1290" s="313"/>
      <c r="BB1290" s="313"/>
      <c r="BC1290" s="293"/>
    </row>
    <row r="1291" spans="1:55" ht="16.350000000000001" customHeight="1" outlineLevel="1">
      <c r="A1291" s="92">
        <v>1281</v>
      </c>
      <c r="B1291" s="99" t="s">
        <v>1016</v>
      </c>
      <c r="C1291" s="122" t="s">
        <v>1012</v>
      </c>
      <c r="D1291" s="161">
        <v>7</v>
      </c>
      <c r="E1291" s="123" t="s">
        <v>745</v>
      </c>
      <c r="F1291" s="124" t="s">
        <v>1234</v>
      </c>
      <c r="G1291" s="133" t="s">
        <v>281</v>
      </c>
      <c r="H1291" s="319"/>
      <c r="I1291" s="319"/>
      <c r="J1291" s="319"/>
      <c r="K1291" s="319"/>
      <c r="L1291" s="319"/>
      <c r="M1291" s="319"/>
      <c r="N1291" s="184">
        <v>100</v>
      </c>
      <c r="O1291" s="184">
        <v>6</v>
      </c>
      <c r="P1291" s="184" t="s">
        <v>1429</v>
      </c>
      <c r="Q1291" s="174" t="s">
        <v>233</v>
      </c>
      <c r="R1291" s="276" t="s">
        <v>240</v>
      </c>
      <c r="S1291" s="276" t="s">
        <v>233</v>
      </c>
      <c r="T1291" s="276" t="s">
        <v>240</v>
      </c>
      <c r="U1291" s="319"/>
      <c r="V1291" s="276" t="s">
        <v>240</v>
      </c>
      <c r="W1291" s="166"/>
      <c r="X1291" s="125">
        <v>653.25</v>
      </c>
      <c r="Y1291" s="126">
        <v>599.20000000000005</v>
      </c>
      <c r="Z1291" s="127">
        <v>85.760232599999995</v>
      </c>
      <c r="AA1291" s="128" t="s">
        <v>252</v>
      </c>
      <c r="AB1291" s="125">
        <v>50.488785</v>
      </c>
      <c r="AC1291" s="128" t="s">
        <v>252</v>
      </c>
      <c r="AD1291" s="129">
        <v>75.255570000000006</v>
      </c>
      <c r="AE1291" s="125" t="s">
        <v>252</v>
      </c>
      <c r="AF1291" s="125">
        <v>41.791115999999995</v>
      </c>
      <c r="AG1291" s="125" t="s">
        <v>252</v>
      </c>
      <c r="AH1291" s="125">
        <v>14.456707999999999</v>
      </c>
      <c r="AI1291" s="125" t="s">
        <v>252</v>
      </c>
      <c r="AJ1291" s="125">
        <v>0</v>
      </c>
      <c r="AK1291" s="125">
        <v>0</v>
      </c>
      <c r="AL1291" s="125">
        <v>0</v>
      </c>
      <c r="AM1291" s="125">
        <v>0</v>
      </c>
      <c r="AN1291" s="125">
        <v>0</v>
      </c>
      <c r="AO1291" s="125">
        <v>0</v>
      </c>
      <c r="AP1291" s="125"/>
      <c r="AQ1291" s="125"/>
      <c r="AR1291" s="125">
        <v>40.286916000000005</v>
      </c>
      <c r="AS1291" s="125" t="s">
        <v>252</v>
      </c>
      <c r="AT1291" s="125">
        <v>38.399445</v>
      </c>
      <c r="AU1291" s="125" t="s">
        <v>252</v>
      </c>
      <c r="AV1291" s="125">
        <v>54.823008000000002</v>
      </c>
      <c r="AW1291" s="125" t="s">
        <v>252</v>
      </c>
      <c r="AX1291" s="125">
        <f t="shared" si="6"/>
        <v>401.26178060000007</v>
      </c>
      <c r="AY1291" s="125">
        <v>5.6210000000000003E-2</v>
      </c>
      <c r="AZ1291" s="181" t="s">
        <v>1429</v>
      </c>
      <c r="BA1291" s="181" t="s">
        <v>254</v>
      </c>
      <c r="BB1291" s="181">
        <v>1</v>
      </c>
      <c r="BC1291" s="294"/>
    </row>
    <row r="1292" spans="1:55" ht="16.350000000000001" customHeight="1" outlineLevel="1">
      <c r="A1292" s="92">
        <v>1282</v>
      </c>
      <c r="B1292" s="99" t="s">
        <v>1017</v>
      </c>
      <c r="C1292" s="122" t="s">
        <v>1024</v>
      </c>
      <c r="D1292" s="161">
        <v>4</v>
      </c>
      <c r="E1292" s="123" t="s">
        <v>734</v>
      </c>
      <c r="F1292" s="124" t="s">
        <v>1425</v>
      </c>
      <c r="G1292" s="133" t="s">
        <v>281</v>
      </c>
      <c r="H1292" s="134" t="s">
        <v>248</v>
      </c>
      <c r="I1292" s="134" t="s">
        <v>1426</v>
      </c>
      <c r="J1292" s="134" t="s">
        <v>139</v>
      </c>
      <c r="K1292" s="124" t="s">
        <v>140</v>
      </c>
      <c r="L1292" s="174">
        <v>1</v>
      </c>
      <c r="M1292" s="174" t="s">
        <v>250</v>
      </c>
      <c r="N1292" s="184">
        <v>80</v>
      </c>
      <c r="O1292" s="184">
        <v>6</v>
      </c>
      <c r="P1292" s="184" t="s">
        <v>1429</v>
      </c>
      <c r="Q1292" s="174" t="s">
        <v>233</v>
      </c>
      <c r="R1292" s="276" t="s">
        <v>240</v>
      </c>
      <c r="S1292" s="276" t="s">
        <v>233</v>
      </c>
      <c r="T1292" s="276" t="s">
        <v>240</v>
      </c>
      <c r="U1292" s="174" t="s">
        <v>1427</v>
      </c>
      <c r="V1292" s="276" t="s">
        <v>233</v>
      </c>
      <c r="W1292" s="130"/>
      <c r="X1292" s="125">
        <v>979.91</v>
      </c>
      <c r="Y1292" s="126">
        <v>1149.8900000000001</v>
      </c>
      <c r="Z1292" s="127">
        <v>130.5644844</v>
      </c>
      <c r="AA1292" s="128" t="s">
        <v>252</v>
      </c>
      <c r="AB1292" s="125">
        <v>96.020099999999999</v>
      </c>
      <c r="AC1292" s="128" t="s">
        <v>252</v>
      </c>
      <c r="AD1292" s="129">
        <v>139.60504800000001</v>
      </c>
      <c r="AE1292" s="125" t="s">
        <v>252</v>
      </c>
      <c r="AF1292" s="125">
        <v>74.608922000000007</v>
      </c>
      <c r="AG1292" s="125" t="s">
        <v>252</v>
      </c>
      <c r="AH1292" s="125">
        <v>15.289147999999999</v>
      </c>
      <c r="AI1292" s="125" t="s">
        <v>252</v>
      </c>
      <c r="AJ1292" s="125">
        <v>0</v>
      </c>
      <c r="AK1292" s="125">
        <v>0</v>
      </c>
      <c r="AL1292" s="125">
        <v>0</v>
      </c>
      <c r="AM1292" s="125">
        <v>0</v>
      </c>
      <c r="AN1292" s="125">
        <v>0</v>
      </c>
      <c r="AO1292" s="125">
        <v>0</v>
      </c>
      <c r="AP1292" s="125"/>
      <c r="AQ1292" s="125"/>
      <c r="AR1292" s="125">
        <v>62.847264000000003</v>
      </c>
      <c r="AS1292" s="125" t="s">
        <v>252</v>
      </c>
      <c r="AT1292" s="125">
        <v>102.74318099999999</v>
      </c>
      <c r="AU1292" s="125" t="s">
        <v>252</v>
      </c>
      <c r="AV1292" s="125">
        <v>87.54907200000001</v>
      </c>
      <c r="AW1292" s="125" t="s">
        <v>252</v>
      </c>
      <c r="AX1292" s="125">
        <f t="shared" si="6"/>
        <v>709.22721939999997</v>
      </c>
      <c r="AY1292" s="125">
        <f>0.0009+0.0038+0.1753</f>
        <v>0.18000000000000002</v>
      </c>
      <c r="AZ1292" s="181" t="s">
        <v>1429</v>
      </c>
      <c r="BA1292" s="181" t="s">
        <v>254</v>
      </c>
      <c r="BB1292" s="181" t="s">
        <v>1430</v>
      </c>
      <c r="BC1292" s="125" t="s">
        <v>255</v>
      </c>
    </row>
    <row r="1293" spans="1:55" ht="16.350000000000001" customHeight="1" outlineLevel="1">
      <c r="A1293" s="92">
        <v>1283</v>
      </c>
      <c r="B1293" s="99" t="s">
        <v>1018</v>
      </c>
      <c r="C1293" s="122" t="s">
        <v>1026</v>
      </c>
      <c r="D1293" s="161">
        <v>4</v>
      </c>
      <c r="E1293" s="123" t="s">
        <v>734</v>
      </c>
      <c r="F1293" s="124" t="s">
        <v>1425</v>
      </c>
      <c r="G1293" s="133" t="s">
        <v>281</v>
      </c>
      <c r="H1293" s="134" t="s">
        <v>1424</v>
      </c>
      <c r="I1293" s="134" t="s">
        <v>1426</v>
      </c>
      <c r="J1293" s="134" t="s">
        <v>139</v>
      </c>
      <c r="K1293" s="124" t="s">
        <v>140</v>
      </c>
      <c r="L1293" s="174">
        <v>1</v>
      </c>
      <c r="M1293" s="174" t="s">
        <v>250</v>
      </c>
      <c r="N1293" s="184">
        <v>100</v>
      </c>
      <c r="O1293" s="184">
        <v>6</v>
      </c>
      <c r="P1293" s="184" t="s">
        <v>1429</v>
      </c>
      <c r="Q1293" s="174" t="s">
        <v>233</v>
      </c>
      <c r="R1293" s="276" t="s">
        <v>240</v>
      </c>
      <c r="S1293" s="276" t="s">
        <v>233</v>
      </c>
      <c r="T1293" s="276" t="s">
        <v>240</v>
      </c>
      <c r="U1293" s="174" t="s">
        <v>1427</v>
      </c>
      <c r="V1293" s="276" t="s">
        <v>240</v>
      </c>
      <c r="W1293" s="130"/>
      <c r="X1293" s="125">
        <v>762.63</v>
      </c>
      <c r="Y1293" s="126">
        <v>648.42999999999995</v>
      </c>
      <c r="Z1293" s="127">
        <v>88.181616599999998</v>
      </c>
      <c r="AA1293" s="128" t="s">
        <v>252</v>
      </c>
      <c r="AB1293" s="125">
        <v>55.660365000000006</v>
      </c>
      <c r="AC1293" s="128" t="s">
        <v>252</v>
      </c>
      <c r="AD1293" s="129">
        <v>79.789464000000009</v>
      </c>
      <c r="AE1293" s="125" t="s">
        <v>252</v>
      </c>
      <c r="AF1293" s="125">
        <v>42.083637999999993</v>
      </c>
      <c r="AG1293" s="125" t="s">
        <v>252</v>
      </c>
      <c r="AH1293" s="125">
        <v>17.647728000000001</v>
      </c>
      <c r="AI1293" s="125" t="s">
        <v>252</v>
      </c>
      <c r="AJ1293" s="125">
        <v>0</v>
      </c>
      <c r="AK1293" s="125">
        <v>0</v>
      </c>
      <c r="AL1293" s="125">
        <v>0</v>
      </c>
      <c r="AM1293" s="125">
        <v>0</v>
      </c>
      <c r="AN1293" s="125">
        <v>0</v>
      </c>
      <c r="AO1293" s="125">
        <v>0</v>
      </c>
      <c r="AP1293" s="125"/>
      <c r="AQ1293" s="125"/>
      <c r="AR1293" s="125">
        <v>46.379916000000001</v>
      </c>
      <c r="AS1293" s="125" t="s">
        <v>252</v>
      </c>
      <c r="AT1293" s="125">
        <v>43.198388999999999</v>
      </c>
      <c r="AU1293" s="125" t="s">
        <v>252</v>
      </c>
      <c r="AV1293" s="125">
        <v>54.839616000000007</v>
      </c>
      <c r="AW1293" s="125" t="s">
        <v>252</v>
      </c>
      <c r="AX1293" s="125">
        <f t="shared" si="6"/>
        <v>427.78073259999996</v>
      </c>
      <c r="AY1293" s="125">
        <f>0.0018+0.0042+0.2254+0.0061+0.0072+0.0028+0.0125</f>
        <v>0.26</v>
      </c>
      <c r="AZ1293" s="181" t="s">
        <v>1429</v>
      </c>
      <c r="BA1293" s="181" t="s">
        <v>254</v>
      </c>
      <c r="BB1293" s="181">
        <v>1</v>
      </c>
      <c r="BC1293" s="125" t="s">
        <v>255</v>
      </c>
    </row>
    <row r="1294" spans="1:55" ht="16.350000000000001" customHeight="1" outlineLevel="1">
      <c r="A1294" s="92">
        <v>1284</v>
      </c>
      <c r="B1294" s="99" t="s">
        <v>1019</v>
      </c>
      <c r="C1294" s="122" t="s">
        <v>1026</v>
      </c>
      <c r="D1294" s="161" t="s">
        <v>976</v>
      </c>
      <c r="E1294" s="123" t="s">
        <v>734</v>
      </c>
      <c r="F1294" s="124" t="s">
        <v>1425</v>
      </c>
      <c r="G1294" s="133" t="s">
        <v>281</v>
      </c>
      <c r="H1294" s="134" t="s">
        <v>1424</v>
      </c>
      <c r="I1294" s="134" t="s">
        <v>1426</v>
      </c>
      <c r="J1294" s="134" t="s">
        <v>139</v>
      </c>
      <c r="K1294" s="124" t="s">
        <v>140</v>
      </c>
      <c r="L1294" s="174">
        <v>1</v>
      </c>
      <c r="M1294" s="174" t="s">
        <v>250</v>
      </c>
      <c r="N1294" s="184">
        <v>89</v>
      </c>
      <c r="O1294" s="184">
        <v>6</v>
      </c>
      <c r="P1294" s="184" t="s">
        <v>1429</v>
      </c>
      <c r="Q1294" s="174" t="s">
        <v>233</v>
      </c>
      <c r="R1294" s="276" t="s">
        <v>240</v>
      </c>
      <c r="S1294" s="276" t="s">
        <v>233</v>
      </c>
      <c r="T1294" s="276" t="s">
        <v>240</v>
      </c>
      <c r="U1294" s="174" t="s">
        <v>1427</v>
      </c>
      <c r="V1294" s="276" t="s">
        <v>240</v>
      </c>
      <c r="W1294" s="130"/>
      <c r="X1294" s="125">
        <v>459.87</v>
      </c>
      <c r="Y1294" s="126">
        <v>460.62</v>
      </c>
      <c r="Z1294" s="127">
        <v>75.901740599999997</v>
      </c>
      <c r="AA1294" s="128" t="s">
        <v>252</v>
      </c>
      <c r="AB1294" s="125">
        <v>47.581830000000004</v>
      </c>
      <c r="AC1294" s="128" t="s">
        <v>252</v>
      </c>
      <c r="AD1294" s="129">
        <v>67.045068000000001</v>
      </c>
      <c r="AE1294" s="125" t="s">
        <v>252</v>
      </c>
      <c r="AF1294" s="125">
        <v>39.933205999999998</v>
      </c>
      <c r="AG1294" s="125" t="s">
        <v>252</v>
      </c>
      <c r="AH1294" s="125">
        <v>10.05865</v>
      </c>
      <c r="AI1294" s="125" t="s">
        <v>252</v>
      </c>
      <c r="AJ1294" s="125">
        <v>0</v>
      </c>
      <c r="AK1294" s="125">
        <v>0</v>
      </c>
      <c r="AL1294" s="125">
        <v>0</v>
      </c>
      <c r="AM1294" s="125">
        <v>0</v>
      </c>
      <c r="AN1294" s="125">
        <v>0</v>
      </c>
      <c r="AO1294" s="125">
        <v>0</v>
      </c>
      <c r="AP1294" s="125"/>
      <c r="AQ1294" s="125"/>
      <c r="AR1294" s="125">
        <v>47.031866999999998</v>
      </c>
      <c r="AS1294" s="125" t="s">
        <v>312</v>
      </c>
      <c r="AT1294" s="125">
        <v>34.942311000000004</v>
      </c>
      <c r="AU1294" s="125" t="s">
        <v>252</v>
      </c>
      <c r="AV1294" s="125">
        <v>50.421888000000003</v>
      </c>
      <c r="AW1294" s="125" t="s">
        <v>252</v>
      </c>
      <c r="AX1294" s="125">
        <f t="shared" si="6"/>
        <v>372.91656060000003</v>
      </c>
      <c r="AY1294" s="125">
        <v>0.2</v>
      </c>
      <c r="AZ1294" s="181" t="s">
        <v>1429</v>
      </c>
      <c r="BA1294" s="181" t="s">
        <v>254</v>
      </c>
      <c r="BB1294" s="181">
        <v>1</v>
      </c>
      <c r="BC1294" s="125" t="s">
        <v>255</v>
      </c>
    </row>
    <row r="1295" spans="1:55" ht="16.350000000000001" customHeight="1" outlineLevel="1">
      <c r="A1295" s="92">
        <v>1285</v>
      </c>
      <c r="B1295" s="99" t="s">
        <v>1020</v>
      </c>
      <c r="C1295" s="122" t="s">
        <v>1030</v>
      </c>
      <c r="D1295" s="161">
        <v>10</v>
      </c>
      <c r="E1295" s="123" t="s">
        <v>734</v>
      </c>
      <c r="F1295" s="124" t="s">
        <v>1425</v>
      </c>
      <c r="G1295" s="133" t="s">
        <v>281</v>
      </c>
      <c r="H1295" s="134" t="s">
        <v>248</v>
      </c>
      <c r="I1295" s="134" t="s">
        <v>1426</v>
      </c>
      <c r="J1295" s="134" t="s">
        <v>139</v>
      </c>
      <c r="K1295" s="124" t="s">
        <v>140</v>
      </c>
      <c r="L1295" s="174">
        <v>1</v>
      </c>
      <c r="M1295" s="174" t="s">
        <v>250</v>
      </c>
      <c r="N1295" s="184">
        <v>89</v>
      </c>
      <c r="O1295" s="184">
        <v>6</v>
      </c>
      <c r="P1295" s="184" t="s">
        <v>1429</v>
      </c>
      <c r="Q1295" s="174" t="s">
        <v>233</v>
      </c>
      <c r="R1295" s="276" t="s">
        <v>240</v>
      </c>
      <c r="S1295" s="276" t="s">
        <v>233</v>
      </c>
      <c r="T1295" s="276" t="s">
        <v>240</v>
      </c>
      <c r="U1295" s="174" t="s">
        <v>1427</v>
      </c>
      <c r="V1295" s="276" t="s">
        <v>240</v>
      </c>
      <c r="W1295" s="130"/>
      <c r="X1295" s="125">
        <v>562.46</v>
      </c>
      <c r="Y1295" s="126">
        <v>570.16</v>
      </c>
      <c r="Z1295" s="127">
        <v>93.707560799999996</v>
      </c>
      <c r="AA1295" s="128" t="s">
        <v>252</v>
      </c>
      <c r="AB1295" s="125">
        <v>58.526144999999993</v>
      </c>
      <c r="AC1295" s="128" t="s">
        <v>252</v>
      </c>
      <c r="AD1295" s="129">
        <v>82.688327999999998</v>
      </c>
      <c r="AE1295" s="125" t="s">
        <v>252</v>
      </c>
      <c r="AF1295" s="125">
        <v>49.246473999999999</v>
      </c>
      <c r="AG1295" s="125" t="s">
        <v>252</v>
      </c>
      <c r="AH1295" s="125">
        <v>12.486599999999999</v>
      </c>
      <c r="AI1295" s="125" t="s">
        <v>252</v>
      </c>
      <c r="AJ1295" s="125">
        <v>0</v>
      </c>
      <c r="AK1295" s="125">
        <v>0</v>
      </c>
      <c r="AL1295" s="125">
        <v>0</v>
      </c>
      <c r="AM1295" s="125">
        <v>0</v>
      </c>
      <c r="AN1295" s="125">
        <v>0</v>
      </c>
      <c r="AO1295" s="125">
        <v>0</v>
      </c>
      <c r="AP1295" s="125"/>
      <c r="AQ1295" s="125"/>
      <c r="AR1295" s="125">
        <v>58.028658819600004</v>
      </c>
      <c r="AS1295" s="125" t="s">
        <v>312</v>
      </c>
      <c r="AT1295" s="125">
        <v>43.300998</v>
      </c>
      <c r="AU1295" s="125" t="s">
        <v>252</v>
      </c>
      <c r="AV1295" s="125">
        <v>62.346432</v>
      </c>
      <c r="AW1295" s="125" t="s">
        <v>252</v>
      </c>
      <c r="AX1295" s="125">
        <f t="shared" si="6"/>
        <v>460.33119661960001</v>
      </c>
      <c r="AY1295" s="125">
        <f>0.0149+0.1351</f>
        <v>0.15</v>
      </c>
      <c r="AZ1295" s="181" t="s">
        <v>1429</v>
      </c>
      <c r="BA1295" s="181" t="s">
        <v>254</v>
      </c>
      <c r="BB1295" s="181">
        <v>1</v>
      </c>
      <c r="BC1295" s="125" t="s">
        <v>255</v>
      </c>
    </row>
    <row r="1296" spans="1:55" ht="16.350000000000001" customHeight="1" outlineLevel="1">
      <c r="A1296" s="92">
        <v>1286</v>
      </c>
      <c r="B1296" s="99" t="s">
        <v>1022</v>
      </c>
      <c r="C1296" s="122" t="s">
        <v>1030</v>
      </c>
      <c r="D1296" s="161">
        <v>12</v>
      </c>
      <c r="E1296" s="123" t="s">
        <v>734</v>
      </c>
      <c r="F1296" s="124" t="s">
        <v>1425</v>
      </c>
      <c r="G1296" s="133" t="s">
        <v>281</v>
      </c>
      <c r="H1296" s="134" t="s">
        <v>248</v>
      </c>
      <c r="I1296" s="134" t="s">
        <v>1426</v>
      </c>
      <c r="J1296" s="134" t="s">
        <v>139</v>
      </c>
      <c r="K1296" s="124" t="s">
        <v>140</v>
      </c>
      <c r="L1296" s="174">
        <v>1</v>
      </c>
      <c r="M1296" s="174" t="s">
        <v>250</v>
      </c>
      <c r="N1296" s="184">
        <v>89</v>
      </c>
      <c r="O1296" s="184">
        <v>6</v>
      </c>
      <c r="P1296" s="184" t="s">
        <v>1429</v>
      </c>
      <c r="Q1296" s="174" t="s">
        <v>233</v>
      </c>
      <c r="R1296" s="276" t="s">
        <v>240</v>
      </c>
      <c r="S1296" s="276" t="s">
        <v>233</v>
      </c>
      <c r="T1296" s="276" t="s">
        <v>240</v>
      </c>
      <c r="U1296" s="174" t="s">
        <v>1427</v>
      </c>
      <c r="V1296" s="276" t="s">
        <v>240</v>
      </c>
      <c r="W1296" s="130"/>
      <c r="X1296" s="125">
        <v>860.3</v>
      </c>
      <c r="Y1296" s="126">
        <v>862.66</v>
      </c>
      <c r="Z1296" s="127">
        <v>139.056624</v>
      </c>
      <c r="AA1296" s="128" t="s">
        <v>252</v>
      </c>
      <c r="AB1296" s="125">
        <v>87.043950000000009</v>
      </c>
      <c r="AC1296" s="128" t="s">
        <v>252</v>
      </c>
      <c r="AD1296" s="129">
        <v>122.830524</v>
      </c>
      <c r="AE1296" s="125" t="s">
        <v>252</v>
      </c>
      <c r="AF1296" s="125">
        <v>73.177936000000003</v>
      </c>
      <c r="AG1296" s="125" t="s">
        <v>252</v>
      </c>
      <c r="AH1296" s="125">
        <v>18.036200000000001</v>
      </c>
      <c r="AI1296" s="125" t="s">
        <v>252</v>
      </c>
      <c r="AJ1296" s="125">
        <v>0</v>
      </c>
      <c r="AK1296" s="125">
        <v>0</v>
      </c>
      <c r="AL1296" s="125">
        <v>0</v>
      </c>
      <c r="AM1296" s="125">
        <v>0</v>
      </c>
      <c r="AN1296" s="125">
        <v>0</v>
      </c>
      <c r="AO1296" s="125">
        <v>0</v>
      </c>
      <c r="AP1296" s="125"/>
      <c r="AQ1296" s="125"/>
      <c r="AR1296" s="125">
        <v>86.122332273600009</v>
      </c>
      <c r="AS1296" s="125" t="s">
        <v>312</v>
      </c>
      <c r="AT1296" s="125">
        <v>63.712296000000002</v>
      </c>
      <c r="AU1296" s="125" t="s">
        <v>252</v>
      </c>
      <c r="AV1296" s="125">
        <v>92.323872000000009</v>
      </c>
      <c r="AW1296" s="125" t="s">
        <v>252</v>
      </c>
      <c r="AX1296" s="125">
        <f t="shared" si="6"/>
        <v>682.30373427360007</v>
      </c>
      <c r="AY1296" s="125">
        <f>0.1822+0.0104+0.0074</f>
        <v>0.19999999999999998</v>
      </c>
      <c r="AZ1296" s="181" t="s">
        <v>1429</v>
      </c>
      <c r="BA1296" s="181" t="s">
        <v>254</v>
      </c>
      <c r="BB1296" s="181">
        <v>1</v>
      </c>
      <c r="BC1296" s="125" t="s">
        <v>255</v>
      </c>
    </row>
    <row r="1297" spans="1:55" ht="16.350000000000001" customHeight="1" outlineLevel="1">
      <c r="A1297" s="92">
        <v>1287</v>
      </c>
      <c r="B1297" s="99" t="s">
        <v>1023</v>
      </c>
      <c r="C1297" s="122" t="s">
        <v>1030</v>
      </c>
      <c r="D1297" s="161">
        <v>14</v>
      </c>
      <c r="E1297" s="123" t="s">
        <v>734</v>
      </c>
      <c r="F1297" s="124" t="s">
        <v>1425</v>
      </c>
      <c r="G1297" s="133" t="s">
        <v>281</v>
      </c>
      <c r="H1297" s="134" t="s">
        <v>248</v>
      </c>
      <c r="I1297" s="134" t="s">
        <v>1426</v>
      </c>
      <c r="J1297" s="134" t="s">
        <v>139</v>
      </c>
      <c r="K1297" s="124" t="s">
        <v>140</v>
      </c>
      <c r="L1297" s="174">
        <v>1</v>
      </c>
      <c r="M1297" s="174" t="s">
        <v>250</v>
      </c>
      <c r="N1297" s="184">
        <v>89</v>
      </c>
      <c r="O1297" s="184">
        <v>5.5</v>
      </c>
      <c r="P1297" s="184" t="s">
        <v>253</v>
      </c>
      <c r="Q1297" s="174" t="s">
        <v>240</v>
      </c>
      <c r="R1297" s="276" t="s">
        <v>240</v>
      </c>
      <c r="S1297" s="276" t="s">
        <v>233</v>
      </c>
      <c r="T1297" s="276" t="s">
        <v>240</v>
      </c>
      <c r="U1297" s="174" t="s">
        <v>1427</v>
      </c>
      <c r="V1297" s="276" t="s">
        <v>240</v>
      </c>
      <c r="W1297" s="130"/>
      <c r="X1297" s="125">
        <v>392.81</v>
      </c>
      <c r="Y1297" s="126">
        <v>566.26</v>
      </c>
      <c r="Z1297" s="127">
        <f>14.86+59.42</f>
        <v>74.28</v>
      </c>
      <c r="AA1297" s="128" t="s">
        <v>259</v>
      </c>
      <c r="AB1297" s="125">
        <f>10.85+57.82</f>
        <v>68.67</v>
      </c>
      <c r="AC1297" s="128" t="s">
        <v>252</v>
      </c>
      <c r="AD1297" s="129">
        <f>14.13+75.28</f>
        <v>89.41</v>
      </c>
      <c r="AE1297" s="125" t="s">
        <v>252</v>
      </c>
      <c r="AF1297" s="125">
        <f>5.85+31.06</f>
        <v>36.909999999999997</v>
      </c>
      <c r="AG1297" s="125" t="s">
        <v>252</v>
      </c>
      <c r="AH1297" s="125">
        <f>2.04+10.86</f>
        <v>12.899999999999999</v>
      </c>
      <c r="AI1297" s="125" t="s">
        <v>252</v>
      </c>
      <c r="AJ1297" s="125">
        <v>0</v>
      </c>
      <c r="AK1297" s="125">
        <v>0</v>
      </c>
      <c r="AL1297" s="125">
        <v>0</v>
      </c>
      <c r="AM1297" s="125">
        <v>0</v>
      </c>
      <c r="AN1297" s="125">
        <v>0</v>
      </c>
      <c r="AO1297" s="125">
        <v>0</v>
      </c>
      <c r="AP1297" s="125"/>
      <c r="AQ1297" s="125"/>
      <c r="AR1297" s="125">
        <f>6.72+35.81</f>
        <v>42.53</v>
      </c>
      <c r="AS1297" s="125" t="s">
        <v>252</v>
      </c>
      <c r="AT1297" s="125">
        <f>6.77+35.98</f>
        <v>42.75</v>
      </c>
      <c r="AU1297" s="125" t="s">
        <v>252</v>
      </c>
      <c r="AV1297" s="125">
        <f>9.63+51.28</f>
        <v>60.910000000000004</v>
      </c>
      <c r="AW1297" s="125" t="s">
        <v>252</v>
      </c>
      <c r="AX1297" s="125">
        <f t="shared" si="6"/>
        <v>428.35999999999996</v>
      </c>
      <c r="AY1297" s="125">
        <f>0.2031+0.0057+0.0185+0.0027</f>
        <v>0.23</v>
      </c>
      <c r="AZ1297" s="181" t="s">
        <v>253</v>
      </c>
      <c r="BA1297" s="181" t="s">
        <v>254</v>
      </c>
      <c r="BB1297" s="181" t="s">
        <v>1430</v>
      </c>
      <c r="BC1297" s="125" t="s">
        <v>255</v>
      </c>
    </row>
    <row r="1298" spans="1:55" ht="16.350000000000001" customHeight="1" outlineLevel="1">
      <c r="A1298" s="92">
        <v>1288</v>
      </c>
      <c r="B1298" s="99" t="s">
        <v>1025</v>
      </c>
      <c r="C1298" s="122" t="s">
        <v>1030</v>
      </c>
      <c r="D1298" s="161">
        <v>15</v>
      </c>
      <c r="E1298" s="123" t="s">
        <v>734</v>
      </c>
      <c r="F1298" s="124" t="s">
        <v>1234</v>
      </c>
      <c r="G1298" s="133" t="s">
        <v>247</v>
      </c>
      <c r="H1298" s="134" t="s">
        <v>1424</v>
      </c>
      <c r="I1298" s="134" t="s">
        <v>1426</v>
      </c>
      <c r="J1298" s="134" t="s">
        <v>139</v>
      </c>
      <c r="K1298" s="124" t="s">
        <v>140</v>
      </c>
      <c r="L1298" s="174">
        <v>1</v>
      </c>
      <c r="M1298" s="174" t="s">
        <v>250</v>
      </c>
      <c r="N1298" s="184">
        <v>89</v>
      </c>
      <c r="O1298" s="184">
        <v>6</v>
      </c>
      <c r="P1298" s="184" t="s">
        <v>1429</v>
      </c>
      <c r="Q1298" s="174" t="s">
        <v>233</v>
      </c>
      <c r="R1298" s="276" t="s">
        <v>240</v>
      </c>
      <c r="S1298" s="276" t="s">
        <v>233</v>
      </c>
      <c r="T1298" s="276" t="s">
        <v>240</v>
      </c>
      <c r="U1298" s="174" t="s">
        <v>1428</v>
      </c>
      <c r="V1298" s="276" t="s">
        <v>240</v>
      </c>
      <c r="W1298" s="130"/>
      <c r="X1298" s="125">
        <v>541.54</v>
      </c>
      <c r="Y1298" s="126">
        <v>557.44000000000005</v>
      </c>
      <c r="Z1298" s="127">
        <v>70.0298844</v>
      </c>
      <c r="AA1298" s="128" t="s">
        <v>252</v>
      </c>
      <c r="AB1298" s="125">
        <v>53.181629999999998</v>
      </c>
      <c r="AC1298" s="128" t="s">
        <v>252</v>
      </c>
      <c r="AD1298" s="129">
        <v>75.087648000000002</v>
      </c>
      <c r="AE1298" s="125" t="s">
        <v>252</v>
      </c>
      <c r="AF1298" s="125">
        <v>43.664837999999996</v>
      </c>
      <c r="AG1298" s="125" t="s">
        <v>252</v>
      </c>
      <c r="AH1298" s="125">
        <v>10.128019999999999</v>
      </c>
      <c r="AI1298" s="125" t="s">
        <v>252</v>
      </c>
      <c r="AJ1298" s="125">
        <v>0</v>
      </c>
      <c r="AK1298" s="125">
        <v>0</v>
      </c>
      <c r="AL1298" s="125">
        <v>0</v>
      </c>
      <c r="AM1298" s="125">
        <v>0</v>
      </c>
      <c r="AN1298" s="125">
        <v>0</v>
      </c>
      <c r="AO1298" s="125">
        <v>0</v>
      </c>
      <c r="AP1298" s="125"/>
      <c r="AQ1298" s="125"/>
      <c r="AR1298" s="125">
        <v>41.416151999999997</v>
      </c>
      <c r="AS1298" s="125" t="s">
        <v>252</v>
      </c>
      <c r="AT1298" s="125">
        <v>33.624180000000003</v>
      </c>
      <c r="AU1298" s="125" t="s">
        <v>252</v>
      </c>
      <c r="AV1298" s="125">
        <v>49.001904000000003</v>
      </c>
      <c r="AW1298" s="125" t="s">
        <v>252</v>
      </c>
      <c r="AX1298" s="125">
        <f t="shared" si="6"/>
        <v>376.13425640000003</v>
      </c>
      <c r="AY1298" s="125">
        <v>0.20055999999999999</v>
      </c>
      <c r="AZ1298" s="181" t="s">
        <v>1429</v>
      </c>
      <c r="BA1298" s="181" t="s">
        <v>254</v>
      </c>
      <c r="BB1298" s="181">
        <v>1</v>
      </c>
      <c r="BC1298" s="125" t="s">
        <v>255</v>
      </c>
    </row>
    <row r="1299" spans="1:55" ht="16.350000000000001" customHeight="1" outlineLevel="1">
      <c r="A1299" s="92">
        <v>1289</v>
      </c>
      <c r="B1299" s="99" t="s">
        <v>1027</v>
      </c>
      <c r="C1299" s="122" t="s">
        <v>1030</v>
      </c>
      <c r="D1299" s="161">
        <v>16</v>
      </c>
      <c r="E1299" s="123" t="s">
        <v>734</v>
      </c>
      <c r="F1299" s="124" t="s">
        <v>1425</v>
      </c>
      <c r="G1299" s="133" t="s">
        <v>281</v>
      </c>
      <c r="H1299" s="134" t="s">
        <v>248</v>
      </c>
      <c r="I1299" s="134" t="s">
        <v>1426</v>
      </c>
      <c r="J1299" s="134" t="s">
        <v>139</v>
      </c>
      <c r="K1299" s="124" t="s">
        <v>140</v>
      </c>
      <c r="L1299" s="174">
        <v>1</v>
      </c>
      <c r="M1299" s="174" t="s">
        <v>250</v>
      </c>
      <c r="N1299" s="184">
        <v>89</v>
      </c>
      <c r="O1299" s="184">
        <v>6</v>
      </c>
      <c r="P1299" s="184" t="s">
        <v>1429</v>
      </c>
      <c r="Q1299" s="174" t="s">
        <v>233</v>
      </c>
      <c r="R1299" s="276" t="s">
        <v>240</v>
      </c>
      <c r="S1299" s="276" t="s">
        <v>233</v>
      </c>
      <c r="T1299" s="276" t="s">
        <v>240</v>
      </c>
      <c r="U1299" s="174" t="s">
        <v>1427</v>
      </c>
      <c r="V1299" s="276" t="s">
        <v>240</v>
      </c>
      <c r="W1299" s="130"/>
      <c r="X1299" s="125">
        <v>426.36</v>
      </c>
      <c r="Y1299" s="126">
        <v>490.31</v>
      </c>
      <c r="Z1299" s="127">
        <v>90.47</v>
      </c>
      <c r="AA1299" s="128" t="s">
        <v>252</v>
      </c>
      <c r="AB1299" s="125">
        <v>65.97</v>
      </c>
      <c r="AC1299" s="128" t="s">
        <v>252</v>
      </c>
      <c r="AD1299" s="129">
        <v>86.56</v>
      </c>
      <c r="AE1299" s="125" t="s">
        <v>252</v>
      </c>
      <c r="AF1299" s="125">
        <v>40.07</v>
      </c>
      <c r="AG1299" s="125" t="s">
        <v>252</v>
      </c>
      <c r="AH1299" s="125">
        <v>10.74</v>
      </c>
      <c r="AI1299" s="125" t="s">
        <v>252</v>
      </c>
      <c r="AJ1299" s="125">
        <v>0</v>
      </c>
      <c r="AK1299" s="125">
        <v>0</v>
      </c>
      <c r="AL1299" s="125">
        <v>0</v>
      </c>
      <c r="AM1299" s="125">
        <v>0</v>
      </c>
      <c r="AN1299" s="125">
        <v>0</v>
      </c>
      <c r="AO1299" s="125">
        <v>0</v>
      </c>
      <c r="AP1299" s="125"/>
      <c r="AQ1299" s="125"/>
      <c r="AR1299" s="125">
        <v>70.062209999999993</v>
      </c>
      <c r="AS1299" s="125" t="s">
        <v>252</v>
      </c>
      <c r="AT1299" s="125">
        <v>61.138765999999997</v>
      </c>
      <c r="AU1299" s="125" t="s">
        <v>252</v>
      </c>
      <c r="AV1299" s="125">
        <v>87.905276999999998</v>
      </c>
      <c r="AW1299" s="125" t="s">
        <v>252</v>
      </c>
      <c r="AX1299" s="125">
        <f t="shared" si="6"/>
        <v>512.91625299999998</v>
      </c>
      <c r="AY1299" s="125">
        <f>0.007+0.143</f>
        <v>0.15</v>
      </c>
      <c r="AZ1299" s="181" t="s">
        <v>1429</v>
      </c>
      <c r="BA1299" s="181" t="s">
        <v>254</v>
      </c>
      <c r="BB1299" s="181">
        <v>1</v>
      </c>
      <c r="BC1299" s="125" t="s">
        <v>255</v>
      </c>
    </row>
    <row r="1300" spans="1:55" ht="16.350000000000001" customHeight="1" outlineLevel="1">
      <c r="A1300" s="92">
        <v>1290</v>
      </c>
      <c r="B1300" s="99" t="s">
        <v>1029</v>
      </c>
      <c r="C1300" s="122" t="s">
        <v>1030</v>
      </c>
      <c r="D1300" s="161">
        <v>17</v>
      </c>
      <c r="E1300" s="123" t="s">
        <v>734</v>
      </c>
      <c r="F1300" s="124" t="s">
        <v>1425</v>
      </c>
      <c r="G1300" s="133" t="s">
        <v>247</v>
      </c>
      <c r="H1300" s="134" t="s">
        <v>248</v>
      </c>
      <c r="I1300" s="134" t="s">
        <v>1426</v>
      </c>
      <c r="J1300" s="134" t="s">
        <v>139</v>
      </c>
      <c r="K1300" s="124" t="s">
        <v>140</v>
      </c>
      <c r="L1300" s="174">
        <v>1</v>
      </c>
      <c r="M1300" s="174" t="s">
        <v>250</v>
      </c>
      <c r="N1300" s="184">
        <v>89</v>
      </c>
      <c r="O1300" s="184">
        <v>6</v>
      </c>
      <c r="P1300" s="184" t="s">
        <v>1429</v>
      </c>
      <c r="Q1300" s="174" t="s">
        <v>233</v>
      </c>
      <c r="R1300" s="276" t="s">
        <v>240</v>
      </c>
      <c r="S1300" s="276" t="s">
        <v>233</v>
      </c>
      <c r="T1300" s="276" t="s">
        <v>240</v>
      </c>
      <c r="U1300" s="174" t="s">
        <v>1427</v>
      </c>
      <c r="V1300" s="276" t="s">
        <v>240</v>
      </c>
      <c r="W1300" s="130"/>
      <c r="X1300" s="125">
        <v>866.95</v>
      </c>
      <c r="Y1300" s="126">
        <v>989.26</v>
      </c>
      <c r="Z1300" s="127">
        <v>121.71778499999999</v>
      </c>
      <c r="AA1300" s="128" t="s">
        <v>252</v>
      </c>
      <c r="AB1300" s="125">
        <v>100.59876</v>
      </c>
      <c r="AC1300" s="128" t="s">
        <v>252</v>
      </c>
      <c r="AD1300" s="129">
        <v>137.77558199999999</v>
      </c>
      <c r="AE1300" s="125" t="s">
        <v>252</v>
      </c>
      <c r="AF1300" s="125">
        <v>64.378557999999998</v>
      </c>
      <c r="AG1300" s="125" t="s">
        <v>252</v>
      </c>
      <c r="AH1300" s="125">
        <v>16.301949999999998</v>
      </c>
      <c r="AI1300" s="125" t="s">
        <v>252</v>
      </c>
      <c r="AJ1300" s="125">
        <v>0</v>
      </c>
      <c r="AK1300" s="125">
        <v>0</v>
      </c>
      <c r="AL1300" s="125">
        <v>0</v>
      </c>
      <c r="AM1300" s="125">
        <v>0</v>
      </c>
      <c r="AN1300" s="125">
        <v>0</v>
      </c>
      <c r="AO1300" s="125">
        <v>0</v>
      </c>
      <c r="AP1300" s="125"/>
      <c r="AQ1300" s="125"/>
      <c r="AR1300" s="125">
        <v>65.113860000000003</v>
      </c>
      <c r="AS1300" s="125" t="s">
        <v>252</v>
      </c>
      <c r="AT1300" s="125">
        <v>58.668669000000001</v>
      </c>
      <c r="AU1300" s="125" t="s">
        <v>252</v>
      </c>
      <c r="AV1300" s="125">
        <v>84.900096000000005</v>
      </c>
      <c r="AW1300" s="125" t="s">
        <v>252</v>
      </c>
      <c r="AX1300" s="125">
        <f t="shared" si="6"/>
        <v>649.45525999999995</v>
      </c>
      <c r="AY1300" s="125">
        <f>0.1301+0.0699</f>
        <v>0.2</v>
      </c>
      <c r="AZ1300" s="181" t="s">
        <v>1429</v>
      </c>
      <c r="BA1300" s="181" t="s">
        <v>254</v>
      </c>
      <c r="BB1300" s="181">
        <v>1</v>
      </c>
      <c r="BC1300" s="125" t="s">
        <v>255</v>
      </c>
    </row>
    <row r="1301" spans="1:55" ht="16.350000000000001" customHeight="1" outlineLevel="1">
      <c r="A1301" s="92">
        <v>1291</v>
      </c>
      <c r="B1301" s="99" t="s">
        <v>1031</v>
      </c>
      <c r="C1301" s="122" t="s">
        <v>1030</v>
      </c>
      <c r="D1301" s="161">
        <v>19</v>
      </c>
      <c r="E1301" s="123" t="s">
        <v>734</v>
      </c>
      <c r="F1301" s="124" t="s">
        <v>1425</v>
      </c>
      <c r="G1301" s="133" t="s">
        <v>281</v>
      </c>
      <c r="H1301" s="134" t="s">
        <v>248</v>
      </c>
      <c r="I1301" s="134" t="s">
        <v>1426</v>
      </c>
      <c r="J1301" s="134" t="s">
        <v>139</v>
      </c>
      <c r="K1301" s="124" t="s">
        <v>140</v>
      </c>
      <c r="L1301" s="174">
        <v>1</v>
      </c>
      <c r="M1301" s="174" t="s">
        <v>250</v>
      </c>
      <c r="N1301" s="314">
        <v>89</v>
      </c>
      <c r="O1301" s="314">
        <v>6</v>
      </c>
      <c r="P1301" s="314" t="s">
        <v>1429</v>
      </c>
      <c r="Q1301" s="317" t="s">
        <v>233</v>
      </c>
      <c r="R1301" s="321" t="s">
        <v>240</v>
      </c>
      <c r="S1301" s="321" t="s">
        <v>233</v>
      </c>
      <c r="T1301" s="321" t="s">
        <v>240</v>
      </c>
      <c r="U1301" s="174" t="s">
        <v>1427</v>
      </c>
      <c r="V1301" s="321" t="s">
        <v>240</v>
      </c>
      <c r="W1301" s="130"/>
      <c r="X1301" s="292">
        <v>568.5</v>
      </c>
      <c r="Y1301" s="295">
        <v>625.5</v>
      </c>
      <c r="Z1301" s="297">
        <v>79.98350219999999</v>
      </c>
      <c r="AA1301" s="299" t="s">
        <v>252</v>
      </c>
      <c r="AB1301" s="292">
        <v>66.209400000000002</v>
      </c>
      <c r="AC1301" s="299" t="s">
        <v>252</v>
      </c>
      <c r="AD1301" s="301">
        <v>90.501120000000014</v>
      </c>
      <c r="AE1301" s="292" t="s">
        <v>252</v>
      </c>
      <c r="AF1301" s="292">
        <v>42.360347999999995</v>
      </c>
      <c r="AG1301" s="292" t="s">
        <v>252</v>
      </c>
      <c r="AH1301" s="292">
        <v>10.898027000000001</v>
      </c>
      <c r="AI1301" s="292" t="s">
        <v>252</v>
      </c>
      <c r="AJ1301" s="292">
        <v>0</v>
      </c>
      <c r="AK1301" s="292">
        <v>0</v>
      </c>
      <c r="AL1301" s="292">
        <v>0</v>
      </c>
      <c r="AM1301" s="292">
        <v>0</v>
      </c>
      <c r="AN1301" s="292">
        <v>0</v>
      </c>
      <c r="AO1301" s="292">
        <v>0</v>
      </c>
      <c r="AP1301" s="292"/>
      <c r="AQ1301" s="292"/>
      <c r="AR1301" s="292">
        <v>43.382159999999999</v>
      </c>
      <c r="AS1301" s="292" t="s">
        <v>252</v>
      </c>
      <c r="AT1301" s="292">
        <v>38.849345999999997</v>
      </c>
      <c r="AU1301" s="292" t="s">
        <v>252</v>
      </c>
      <c r="AV1301" s="292">
        <v>55.919136000000002</v>
      </c>
      <c r="AW1301" s="292" t="s">
        <v>252</v>
      </c>
      <c r="AX1301" s="292">
        <f t="shared" si="6"/>
        <v>428.10303920000001</v>
      </c>
      <c r="AY1301" s="125">
        <f>0.1526+0.0574</f>
        <v>0.21000000000000002</v>
      </c>
      <c r="AZ1301" s="313" t="s">
        <v>1429</v>
      </c>
      <c r="BA1301" s="313" t="s">
        <v>254</v>
      </c>
      <c r="BB1301" s="313">
        <v>1</v>
      </c>
      <c r="BC1301" s="125" t="s">
        <v>255</v>
      </c>
    </row>
    <row r="1302" spans="1:55" ht="16.350000000000001" customHeight="1" outlineLevel="1">
      <c r="A1302" s="92">
        <v>1292</v>
      </c>
      <c r="B1302" s="99" t="s">
        <v>1032</v>
      </c>
      <c r="C1302" s="122" t="s">
        <v>1030</v>
      </c>
      <c r="D1302" s="161">
        <v>21</v>
      </c>
      <c r="E1302" s="123" t="s">
        <v>734</v>
      </c>
      <c r="F1302" s="124" t="s">
        <v>1425</v>
      </c>
      <c r="G1302" s="133" t="s">
        <v>281</v>
      </c>
      <c r="H1302" s="317" t="s">
        <v>248</v>
      </c>
      <c r="I1302" s="317" t="s">
        <v>1426</v>
      </c>
      <c r="J1302" s="317" t="s">
        <v>139</v>
      </c>
      <c r="K1302" s="317" t="s">
        <v>140</v>
      </c>
      <c r="L1302" s="317">
        <v>1</v>
      </c>
      <c r="M1302" s="317" t="s">
        <v>250</v>
      </c>
      <c r="N1302" s="314"/>
      <c r="O1302" s="314"/>
      <c r="P1302" s="314"/>
      <c r="Q1302" s="318"/>
      <c r="R1302" s="321"/>
      <c r="S1302" s="321"/>
      <c r="T1302" s="321"/>
      <c r="U1302" s="317" t="s">
        <v>1427</v>
      </c>
      <c r="V1302" s="321"/>
      <c r="W1302" s="165"/>
      <c r="X1302" s="293"/>
      <c r="Y1302" s="308"/>
      <c r="Z1302" s="309"/>
      <c r="AA1302" s="310"/>
      <c r="AB1302" s="293"/>
      <c r="AC1302" s="310"/>
      <c r="AD1302" s="311"/>
      <c r="AE1302" s="293"/>
      <c r="AF1302" s="293"/>
      <c r="AG1302" s="293"/>
      <c r="AH1302" s="293"/>
      <c r="AI1302" s="293"/>
      <c r="AJ1302" s="293"/>
      <c r="AK1302" s="293"/>
      <c r="AL1302" s="293"/>
      <c r="AM1302" s="293"/>
      <c r="AN1302" s="293"/>
      <c r="AO1302" s="293"/>
      <c r="AP1302" s="293"/>
      <c r="AQ1302" s="293"/>
      <c r="AR1302" s="293"/>
      <c r="AS1302" s="293"/>
      <c r="AT1302" s="293"/>
      <c r="AU1302" s="293"/>
      <c r="AV1302" s="293"/>
      <c r="AW1302" s="293"/>
      <c r="AX1302" s="293">
        <f t="shared" si="6"/>
        <v>0</v>
      </c>
      <c r="AY1302" s="292">
        <v>0.21</v>
      </c>
      <c r="AZ1302" s="313"/>
      <c r="BA1302" s="313"/>
      <c r="BB1302" s="313"/>
      <c r="BC1302" s="292" t="s">
        <v>255</v>
      </c>
    </row>
    <row r="1303" spans="1:55" ht="16.350000000000001" customHeight="1" outlineLevel="1">
      <c r="A1303" s="92">
        <v>1293</v>
      </c>
      <c r="B1303" s="99" t="s">
        <v>1033</v>
      </c>
      <c r="C1303" s="122" t="s">
        <v>1030</v>
      </c>
      <c r="D1303" s="161">
        <v>21</v>
      </c>
      <c r="E1303" s="123" t="s">
        <v>737</v>
      </c>
      <c r="F1303" s="124" t="s">
        <v>1425</v>
      </c>
      <c r="G1303" s="133" t="s">
        <v>281</v>
      </c>
      <c r="H1303" s="318"/>
      <c r="I1303" s="318"/>
      <c r="J1303" s="318"/>
      <c r="K1303" s="318"/>
      <c r="L1303" s="318"/>
      <c r="M1303" s="318"/>
      <c r="N1303" s="314"/>
      <c r="O1303" s="314"/>
      <c r="P1303" s="314"/>
      <c r="Q1303" s="318"/>
      <c r="R1303" s="321"/>
      <c r="S1303" s="321"/>
      <c r="T1303" s="321"/>
      <c r="U1303" s="318"/>
      <c r="V1303" s="321"/>
      <c r="W1303" s="169"/>
      <c r="X1303" s="293"/>
      <c r="Y1303" s="308"/>
      <c r="Z1303" s="309"/>
      <c r="AA1303" s="310"/>
      <c r="AB1303" s="293"/>
      <c r="AC1303" s="310"/>
      <c r="AD1303" s="311"/>
      <c r="AE1303" s="293"/>
      <c r="AF1303" s="293"/>
      <c r="AG1303" s="293"/>
      <c r="AH1303" s="293"/>
      <c r="AI1303" s="293"/>
      <c r="AJ1303" s="293"/>
      <c r="AK1303" s="293"/>
      <c r="AL1303" s="293"/>
      <c r="AM1303" s="293"/>
      <c r="AN1303" s="293"/>
      <c r="AO1303" s="293"/>
      <c r="AP1303" s="293"/>
      <c r="AQ1303" s="293"/>
      <c r="AR1303" s="293"/>
      <c r="AS1303" s="293"/>
      <c r="AT1303" s="293"/>
      <c r="AU1303" s="293"/>
      <c r="AV1303" s="293"/>
      <c r="AW1303" s="293"/>
      <c r="AX1303" s="293">
        <f t="shared" si="6"/>
        <v>0</v>
      </c>
      <c r="AY1303" s="293"/>
      <c r="AZ1303" s="313"/>
      <c r="BA1303" s="313"/>
      <c r="BB1303" s="313"/>
      <c r="BC1303" s="293"/>
    </row>
    <row r="1304" spans="1:55" ht="16.350000000000001" customHeight="1" outlineLevel="1">
      <c r="A1304" s="92">
        <v>1294</v>
      </c>
      <c r="B1304" s="99" t="s">
        <v>1034</v>
      </c>
      <c r="C1304" s="122" t="s">
        <v>1030</v>
      </c>
      <c r="D1304" s="161">
        <v>21</v>
      </c>
      <c r="E1304" s="123" t="s">
        <v>745</v>
      </c>
      <c r="F1304" s="124" t="s">
        <v>1425</v>
      </c>
      <c r="G1304" s="133" t="s">
        <v>281</v>
      </c>
      <c r="H1304" s="318"/>
      <c r="I1304" s="318"/>
      <c r="J1304" s="318"/>
      <c r="K1304" s="318"/>
      <c r="L1304" s="318"/>
      <c r="M1304" s="318"/>
      <c r="N1304" s="314"/>
      <c r="O1304" s="314"/>
      <c r="P1304" s="314"/>
      <c r="Q1304" s="319"/>
      <c r="R1304" s="321"/>
      <c r="S1304" s="321"/>
      <c r="T1304" s="321"/>
      <c r="U1304" s="318"/>
      <c r="V1304" s="321"/>
      <c r="W1304" s="169"/>
      <c r="X1304" s="294"/>
      <c r="Y1304" s="296"/>
      <c r="Z1304" s="298"/>
      <c r="AA1304" s="300"/>
      <c r="AB1304" s="294"/>
      <c r="AC1304" s="300"/>
      <c r="AD1304" s="302"/>
      <c r="AE1304" s="294"/>
      <c r="AF1304" s="294"/>
      <c r="AG1304" s="294"/>
      <c r="AH1304" s="294"/>
      <c r="AI1304" s="294"/>
      <c r="AJ1304" s="294"/>
      <c r="AK1304" s="294"/>
      <c r="AL1304" s="294"/>
      <c r="AM1304" s="294"/>
      <c r="AN1304" s="294"/>
      <c r="AO1304" s="294"/>
      <c r="AP1304" s="294"/>
      <c r="AQ1304" s="294"/>
      <c r="AR1304" s="294"/>
      <c r="AS1304" s="294"/>
      <c r="AT1304" s="294"/>
      <c r="AU1304" s="294"/>
      <c r="AV1304" s="294"/>
      <c r="AW1304" s="294"/>
      <c r="AX1304" s="294">
        <f t="shared" si="6"/>
        <v>0</v>
      </c>
      <c r="AY1304" s="293"/>
      <c r="AZ1304" s="313"/>
      <c r="BA1304" s="313"/>
      <c r="BB1304" s="313"/>
      <c r="BC1304" s="293"/>
    </row>
    <row r="1305" spans="1:55" ht="16.350000000000001" customHeight="1" outlineLevel="1">
      <c r="A1305" s="92">
        <v>1295</v>
      </c>
      <c r="B1305" s="99" t="s">
        <v>1035</v>
      </c>
      <c r="C1305" s="122" t="s">
        <v>1030</v>
      </c>
      <c r="D1305" s="161">
        <v>21</v>
      </c>
      <c r="E1305" s="123" t="s">
        <v>760</v>
      </c>
      <c r="F1305" s="124" t="s">
        <v>1425</v>
      </c>
      <c r="G1305" s="133" t="s">
        <v>281</v>
      </c>
      <c r="H1305" s="319"/>
      <c r="I1305" s="319"/>
      <c r="J1305" s="319"/>
      <c r="K1305" s="319"/>
      <c r="L1305" s="319"/>
      <c r="M1305" s="319"/>
      <c r="N1305" s="184">
        <v>89</v>
      </c>
      <c r="O1305" s="184">
        <v>6</v>
      </c>
      <c r="P1305" s="184" t="s">
        <v>1429</v>
      </c>
      <c r="Q1305" s="174" t="s">
        <v>233</v>
      </c>
      <c r="R1305" s="276" t="s">
        <v>240</v>
      </c>
      <c r="S1305" s="276" t="s">
        <v>233</v>
      </c>
      <c r="T1305" s="276" t="s">
        <v>240</v>
      </c>
      <c r="U1305" s="319"/>
      <c r="V1305" s="276" t="s">
        <v>240</v>
      </c>
      <c r="W1305" s="166"/>
      <c r="X1305" s="125">
        <v>423.71</v>
      </c>
      <c r="Y1305" s="126">
        <v>472.52</v>
      </c>
      <c r="Z1305" s="127">
        <v>49.171390799999998</v>
      </c>
      <c r="AA1305" s="128" t="s">
        <v>259</v>
      </c>
      <c r="AB1305" s="125">
        <v>46.791269999999997</v>
      </c>
      <c r="AC1305" s="128" t="s">
        <v>259</v>
      </c>
      <c r="AD1305" s="129">
        <v>50.252867999999999</v>
      </c>
      <c r="AE1305" s="125" t="s">
        <v>259</v>
      </c>
      <c r="AF1305" s="125">
        <v>44.945610000000002</v>
      </c>
      <c r="AG1305" s="125" t="s">
        <v>259</v>
      </c>
      <c r="AH1305" s="125">
        <v>35.156715999999996</v>
      </c>
      <c r="AI1305" s="125" t="s">
        <v>259</v>
      </c>
      <c r="AJ1305" s="125">
        <v>0</v>
      </c>
      <c r="AK1305" s="125">
        <v>0</v>
      </c>
      <c r="AL1305" s="125">
        <v>0</v>
      </c>
      <c r="AM1305" s="125">
        <v>0</v>
      </c>
      <c r="AN1305" s="125">
        <v>0</v>
      </c>
      <c r="AO1305" s="125">
        <v>0</v>
      </c>
      <c r="AP1305" s="125"/>
      <c r="AQ1305" s="125"/>
      <c r="AR1305" s="125">
        <v>44.202683999999998</v>
      </c>
      <c r="AS1305" s="125" t="s">
        <v>259</v>
      </c>
      <c r="AT1305" s="125">
        <v>42.937919999999998</v>
      </c>
      <c r="AU1305" s="125" t="s">
        <v>259</v>
      </c>
      <c r="AV1305" s="125">
        <v>45.182063999999997</v>
      </c>
      <c r="AW1305" s="125" t="s">
        <v>259</v>
      </c>
      <c r="AX1305" s="125">
        <f t="shared" si="6"/>
        <v>358.64052279999999</v>
      </c>
      <c r="AY1305" s="294"/>
      <c r="AZ1305" s="181" t="s">
        <v>1429</v>
      </c>
      <c r="BA1305" s="181" t="s">
        <v>254</v>
      </c>
      <c r="BB1305" s="181">
        <v>1</v>
      </c>
      <c r="BC1305" s="294"/>
    </row>
    <row r="1306" spans="1:55" ht="16.350000000000001" customHeight="1" outlineLevel="1">
      <c r="A1306" s="92">
        <v>1296</v>
      </c>
      <c r="B1306" s="99" t="s">
        <v>1036</v>
      </c>
      <c r="C1306" s="122" t="s">
        <v>1030</v>
      </c>
      <c r="D1306" s="161">
        <v>3</v>
      </c>
      <c r="E1306" s="123" t="s">
        <v>734</v>
      </c>
      <c r="F1306" s="124" t="s">
        <v>1425</v>
      </c>
      <c r="G1306" s="133" t="s">
        <v>281</v>
      </c>
      <c r="H1306" s="134" t="s">
        <v>248</v>
      </c>
      <c r="I1306" s="134" t="s">
        <v>1426</v>
      </c>
      <c r="J1306" s="134" t="s">
        <v>139</v>
      </c>
      <c r="K1306" s="124" t="s">
        <v>140</v>
      </c>
      <c r="L1306" s="174">
        <v>1</v>
      </c>
      <c r="M1306" s="174" t="s">
        <v>250</v>
      </c>
      <c r="N1306" s="184">
        <v>89</v>
      </c>
      <c r="O1306" s="184">
        <v>6</v>
      </c>
      <c r="P1306" s="184" t="s">
        <v>1429</v>
      </c>
      <c r="Q1306" s="174" t="s">
        <v>233</v>
      </c>
      <c r="R1306" s="276" t="s">
        <v>240</v>
      </c>
      <c r="S1306" s="276" t="s">
        <v>233</v>
      </c>
      <c r="T1306" s="276" t="s">
        <v>240</v>
      </c>
      <c r="U1306" s="174" t="s">
        <v>1427</v>
      </c>
      <c r="V1306" s="276" t="s">
        <v>240</v>
      </c>
      <c r="W1306" s="130"/>
      <c r="X1306" s="125">
        <v>273.42</v>
      </c>
      <c r="Y1306" s="126">
        <v>277.85000000000002</v>
      </c>
      <c r="Z1306" s="127">
        <v>41.250005999999999</v>
      </c>
      <c r="AA1306" s="128" t="s">
        <v>252</v>
      </c>
      <c r="AB1306" s="125">
        <v>22.720365000000001</v>
      </c>
      <c r="AC1306" s="128" t="s">
        <v>252</v>
      </c>
      <c r="AD1306" s="129">
        <v>41.883282000000001</v>
      </c>
      <c r="AE1306" s="125" t="s">
        <v>252</v>
      </c>
      <c r="AF1306" s="125">
        <v>18.547476</v>
      </c>
      <c r="AG1306" s="125" t="s">
        <v>252</v>
      </c>
      <c r="AH1306" s="125">
        <v>6.7011419999999999</v>
      </c>
      <c r="AI1306" s="125" t="s">
        <v>252</v>
      </c>
      <c r="AJ1306" s="125">
        <v>0</v>
      </c>
      <c r="AK1306" s="125">
        <v>0</v>
      </c>
      <c r="AL1306" s="125">
        <v>0</v>
      </c>
      <c r="AM1306" s="125">
        <v>0</v>
      </c>
      <c r="AN1306" s="125">
        <v>0</v>
      </c>
      <c r="AO1306" s="125">
        <v>0</v>
      </c>
      <c r="AP1306" s="125"/>
      <c r="AQ1306" s="125"/>
      <c r="AR1306" s="125">
        <v>29.847528880799999</v>
      </c>
      <c r="AS1306" s="125" t="s">
        <v>312</v>
      </c>
      <c r="AT1306" s="125">
        <v>25.753136747399999</v>
      </c>
      <c r="AU1306" s="125" t="s">
        <v>312</v>
      </c>
      <c r="AV1306" s="125">
        <v>28.247771606400001</v>
      </c>
      <c r="AW1306" s="125" t="s">
        <v>312</v>
      </c>
      <c r="AX1306" s="125">
        <f t="shared" si="6"/>
        <v>214.9507082346</v>
      </c>
      <c r="AY1306" s="125">
        <f>0.1343+0.0157</f>
        <v>0.15</v>
      </c>
      <c r="AZ1306" s="181" t="s">
        <v>1429</v>
      </c>
      <c r="BA1306" s="181" t="s">
        <v>254</v>
      </c>
      <c r="BB1306" s="181">
        <v>1</v>
      </c>
      <c r="BC1306" s="125" t="s">
        <v>255</v>
      </c>
    </row>
    <row r="1307" spans="1:55" ht="16.350000000000001" customHeight="1" outlineLevel="1">
      <c r="A1307" s="92">
        <v>1297</v>
      </c>
      <c r="B1307" s="99" t="s">
        <v>1037</v>
      </c>
      <c r="C1307" s="122" t="s">
        <v>1030</v>
      </c>
      <c r="D1307" s="161">
        <v>4</v>
      </c>
      <c r="E1307" s="123" t="s">
        <v>734</v>
      </c>
      <c r="F1307" s="124" t="s">
        <v>1425</v>
      </c>
      <c r="G1307" s="133" t="s">
        <v>281</v>
      </c>
      <c r="H1307" s="134" t="s">
        <v>248</v>
      </c>
      <c r="I1307" s="134" t="s">
        <v>1426</v>
      </c>
      <c r="J1307" s="134" t="s">
        <v>139</v>
      </c>
      <c r="K1307" s="124" t="s">
        <v>140</v>
      </c>
      <c r="L1307" s="174">
        <v>1</v>
      </c>
      <c r="M1307" s="174" t="s">
        <v>250</v>
      </c>
      <c r="N1307" s="184">
        <v>89</v>
      </c>
      <c r="O1307" s="184">
        <v>6</v>
      </c>
      <c r="P1307" s="184" t="s">
        <v>1429</v>
      </c>
      <c r="Q1307" s="174" t="s">
        <v>233</v>
      </c>
      <c r="R1307" s="276" t="s">
        <v>240</v>
      </c>
      <c r="S1307" s="276" t="s">
        <v>233</v>
      </c>
      <c r="T1307" s="276" t="s">
        <v>240</v>
      </c>
      <c r="U1307" s="174" t="s">
        <v>1427</v>
      </c>
      <c r="V1307" s="276" t="s">
        <v>240</v>
      </c>
      <c r="W1307" s="130"/>
      <c r="X1307" s="292">
        <v>566.66999999999996</v>
      </c>
      <c r="Y1307" s="295">
        <v>603.16999999999996</v>
      </c>
      <c r="Z1307" s="297">
        <v>76.602212399999999</v>
      </c>
      <c r="AA1307" s="299" t="s">
        <v>252</v>
      </c>
      <c r="AB1307" s="292">
        <v>53.42868</v>
      </c>
      <c r="AC1307" s="299" t="s">
        <v>252</v>
      </c>
      <c r="AD1307" s="301">
        <v>69.625764000000004</v>
      </c>
      <c r="AE1307" s="292" t="s">
        <v>252</v>
      </c>
      <c r="AF1307" s="292">
        <v>32.77037</v>
      </c>
      <c r="AG1307" s="292" t="s">
        <v>252</v>
      </c>
      <c r="AH1307" s="292">
        <v>10.884153</v>
      </c>
      <c r="AI1307" s="292" t="s">
        <v>252</v>
      </c>
      <c r="AJ1307" s="292">
        <v>0</v>
      </c>
      <c r="AK1307" s="292">
        <v>0</v>
      </c>
      <c r="AL1307" s="125">
        <v>0</v>
      </c>
      <c r="AM1307" s="125">
        <v>0</v>
      </c>
      <c r="AN1307" s="125">
        <v>0</v>
      </c>
      <c r="AO1307" s="125">
        <v>0</v>
      </c>
      <c r="AP1307" s="125"/>
      <c r="AQ1307" s="125"/>
      <c r="AR1307" s="125">
        <v>54.853248000000001</v>
      </c>
      <c r="AS1307" s="125" t="s">
        <v>252</v>
      </c>
      <c r="AT1307" s="125">
        <v>55.890333000000005</v>
      </c>
      <c r="AU1307" s="125" t="s">
        <v>252</v>
      </c>
      <c r="AV1307" s="125">
        <v>75.508272000000005</v>
      </c>
      <c r="AW1307" s="125" t="s">
        <v>252</v>
      </c>
      <c r="AX1307" s="125">
        <f t="shared" ref="AX1307" si="7">Z1307+AB1307+AD1307+AF1307+AH1307+AJ1307+AL1307+AN1307+AP1307+AR1307+AT1307+AV1307</f>
        <v>429.5630324</v>
      </c>
      <c r="AY1307" s="125">
        <f>0.0673+0.0127</f>
        <v>0.08</v>
      </c>
      <c r="AZ1307" s="181" t="s">
        <v>1429</v>
      </c>
      <c r="BA1307" s="181" t="s">
        <v>254</v>
      </c>
      <c r="BB1307" s="181">
        <v>1</v>
      </c>
      <c r="BC1307" s="125" t="s">
        <v>255</v>
      </c>
    </row>
    <row r="1308" spans="1:55" ht="16.350000000000001" customHeight="1" outlineLevel="1">
      <c r="A1308" s="92">
        <v>1298</v>
      </c>
      <c r="B1308" s="99" t="s">
        <v>1038</v>
      </c>
      <c r="C1308" s="122" t="s">
        <v>1030</v>
      </c>
      <c r="D1308" s="161">
        <v>5</v>
      </c>
      <c r="E1308" s="123" t="s">
        <v>737</v>
      </c>
      <c r="F1308" s="124" t="s">
        <v>1425</v>
      </c>
      <c r="G1308" s="133" t="s">
        <v>281</v>
      </c>
      <c r="H1308" s="134" t="s">
        <v>248</v>
      </c>
      <c r="I1308" s="134" t="s">
        <v>1426</v>
      </c>
      <c r="J1308" s="134" t="s">
        <v>139</v>
      </c>
      <c r="K1308" s="124" t="s">
        <v>140</v>
      </c>
      <c r="L1308" s="174">
        <v>1</v>
      </c>
      <c r="M1308" s="174" t="s">
        <v>250</v>
      </c>
      <c r="N1308" s="184">
        <v>89</v>
      </c>
      <c r="O1308" s="184">
        <v>6</v>
      </c>
      <c r="P1308" s="184" t="s">
        <v>1429</v>
      </c>
      <c r="Q1308" s="174" t="s">
        <v>233</v>
      </c>
      <c r="R1308" s="276" t="s">
        <v>240</v>
      </c>
      <c r="S1308" s="276" t="s">
        <v>233</v>
      </c>
      <c r="T1308" s="276" t="s">
        <v>240</v>
      </c>
      <c r="U1308" s="174" t="s">
        <v>1427</v>
      </c>
      <c r="V1308" s="276" t="s">
        <v>240</v>
      </c>
      <c r="W1308" s="130"/>
      <c r="X1308" s="294"/>
      <c r="Y1308" s="296"/>
      <c r="Z1308" s="298"/>
      <c r="AA1308" s="300"/>
      <c r="AB1308" s="294"/>
      <c r="AC1308" s="300"/>
      <c r="AD1308" s="302"/>
      <c r="AE1308" s="294"/>
      <c r="AF1308" s="294"/>
      <c r="AG1308" s="294"/>
      <c r="AH1308" s="294"/>
      <c r="AI1308" s="294"/>
      <c r="AJ1308" s="294"/>
      <c r="AK1308" s="294"/>
      <c r="AL1308" s="125">
        <v>0</v>
      </c>
      <c r="AM1308" s="125">
        <v>0</v>
      </c>
      <c r="AN1308" s="125">
        <v>0</v>
      </c>
      <c r="AO1308" s="125">
        <v>0</v>
      </c>
      <c r="AP1308" s="125"/>
      <c r="AQ1308" s="125"/>
      <c r="AR1308" s="125">
        <v>73.286603999999997</v>
      </c>
      <c r="AS1308" s="125" t="s">
        <v>252</v>
      </c>
      <c r="AT1308" s="125">
        <v>65.677652999999992</v>
      </c>
      <c r="AU1308" s="125" t="s">
        <v>252</v>
      </c>
      <c r="AV1308" s="125">
        <v>83.687712000000005</v>
      </c>
      <c r="AW1308" s="125" t="s">
        <v>252</v>
      </c>
      <c r="AX1308" s="125">
        <f t="shared" si="6"/>
        <v>222.65196899999998</v>
      </c>
      <c r="AY1308" s="125">
        <v>0.25</v>
      </c>
      <c r="AZ1308" s="181" t="s">
        <v>1429</v>
      </c>
      <c r="BA1308" s="181" t="s">
        <v>254</v>
      </c>
      <c r="BB1308" s="181">
        <v>1</v>
      </c>
      <c r="BC1308" s="125" t="s">
        <v>255</v>
      </c>
    </row>
    <row r="1309" spans="1:55" ht="16.350000000000001" customHeight="1" outlineLevel="1">
      <c r="A1309" s="92">
        <v>1299</v>
      </c>
      <c r="B1309" s="99" t="s">
        <v>1039</v>
      </c>
      <c r="C1309" s="122" t="s">
        <v>1030</v>
      </c>
      <c r="D1309" s="161">
        <v>6</v>
      </c>
      <c r="E1309" s="123" t="s">
        <v>734</v>
      </c>
      <c r="F1309" s="124" t="s">
        <v>1425</v>
      </c>
      <c r="G1309" s="133" t="s">
        <v>281</v>
      </c>
      <c r="H1309" s="134" t="s">
        <v>248</v>
      </c>
      <c r="I1309" s="134" t="s">
        <v>1426</v>
      </c>
      <c r="J1309" s="134" t="s">
        <v>139</v>
      </c>
      <c r="K1309" s="124" t="s">
        <v>140</v>
      </c>
      <c r="L1309" s="174">
        <v>1</v>
      </c>
      <c r="M1309" s="174" t="s">
        <v>250</v>
      </c>
      <c r="N1309" s="184">
        <v>80</v>
      </c>
      <c r="O1309" s="184">
        <v>6</v>
      </c>
      <c r="P1309" s="184" t="s">
        <v>1429</v>
      </c>
      <c r="Q1309" s="174" t="s">
        <v>233</v>
      </c>
      <c r="R1309" s="276" t="s">
        <v>240</v>
      </c>
      <c r="S1309" s="276" t="s">
        <v>233</v>
      </c>
      <c r="T1309" s="276" t="s">
        <v>240</v>
      </c>
      <c r="U1309" s="174" t="s">
        <v>1427</v>
      </c>
      <c r="V1309" s="276" t="s">
        <v>240</v>
      </c>
      <c r="W1309" s="130"/>
      <c r="X1309" s="125">
        <v>1018.4</v>
      </c>
      <c r="Y1309" s="126">
        <v>994.33</v>
      </c>
      <c r="Z1309" s="127">
        <v>154.31134320000001</v>
      </c>
      <c r="AA1309" s="128" t="s">
        <v>252</v>
      </c>
      <c r="AB1309" s="125">
        <v>109.53373499999999</v>
      </c>
      <c r="AC1309" s="128" t="s">
        <v>252</v>
      </c>
      <c r="AD1309" s="129">
        <v>154.66499999999999</v>
      </c>
      <c r="AE1309" s="125" t="s">
        <v>252</v>
      </c>
      <c r="AF1309" s="125">
        <v>87.511513999999991</v>
      </c>
      <c r="AG1309" s="125" t="s">
        <v>252</v>
      </c>
      <c r="AH1309" s="125">
        <v>31.091633999999999</v>
      </c>
      <c r="AI1309" s="125" t="s">
        <v>252</v>
      </c>
      <c r="AJ1309" s="125">
        <v>0</v>
      </c>
      <c r="AK1309" s="125">
        <v>0</v>
      </c>
      <c r="AL1309" s="125">
        <v>0</v>
      </c>
      <c r="AM1309" s="125">
        <v>0</v>
      </c>
      <c r="AN1309" s="125">
        <v>0</v>
      </c>
      <c r="AO1309" s="125">
        <v>0</v>
      </c>
      <c r="AP1309" s="125"/>
      <c r="AQ1309" s="125"/>
      <c r="AR1309" s="125">
        <v>93.369132000000008</v>
      </c>
      <c r="AS1309" s="125" t="s">
        <v>252</v>
      </c>
      <c r="AT1309" s="125">
        <v>67.548293999999999</v>
      </c>
      <c r="AU1309" s="125" t="s">
        <v>252</v>
      </c>
      <c r="AV1309" s="125">
        <v>100.204368</v>
      </c>
      <c r="AW1309" s="125" t="s">
        <v>252</v>
      </c>
      <c r="AX1309" s="125">
        <f t="shared" si="6"/>
        <v>798.23502019999989</v>
      </c>
      <c r="AY1309" s="125">
        <f>0.0412+0.2388</f>
        <v>0.28000000000000003</v>
      </c>
      <c r="AZ1309" s="181" t="s">
        <v>1429</v>
      </c>
      <c r="BA1309" s="181" t="s">
        <v>254</v>
      </c>
      <c r="BB1309" s="181">
        <v>1</v>
      </c>
      <c r="BC1309" s="125" t="s">
        <v>255</v>
      </c>
    </row>
    <row r="1310" spans="1:55" ht="16.350000000000001" customHeight="1" outlineLevel="1">
      <c r="A1310" s="92">
        <v>1300</v>
      </c>
      <c r="B1310" s="99" t="s">
        <v>1040</v>
      </c>
      <c r="C1310" s="122" t="s">
        <v>1030</v>
      </c>
      <c r="D1310" s="161">
        <v>8</v>
      </c>
      <c r="E1310" s="123" t="s">
        <v>734</v>
      </c>
      <c r="F1310" s="124" t="s">
        <v>1425</v>
      </c>
      <c r="G1310" s="133" t="s">
        <v>281</v>
      </c>
      <c r="H1310" s="134" t="s">
        <v>248</v>
      </c>
      <c r="I1310" s="134" t="s">
        <v>1426</v>
      </c>
      <c r="J1310" s="134" t="s">
        <v>139</v>
      </c>
      <c r="K1310" s="124" t="s">
        <v>140</v>
      </c>
      <c r="L1310" s="174">
        <v>1</v>
      </c>
      <c r="M1310" s="174" t="s">
        <v>250</v>
      </c>
      <c r="N1310" s="315">
        <v>89</v>
      </c>
      <c r="O1310" s="315">
        <v>6</v>
      </c>
      <c r="P1310" s="315" t="s">
        <v>1429</v>
      </c>
      <c r="Q1310" s="317" t="s">
        <v>233</v>
      </c>
      <c r="R1310" s="320" t="s">
        <v>240</v>
      </c>
      <c r="S1310" s="320" t="s">
        <v>233</v>
      </c>
      <c r="T1310" s="320" t="s">
        <v>240</v>
      </c>
      <c r="U1310" s="174" t="s">
        <v>1427</v>
      </c>
      <c r="V1310" s="320" t="s">
        <v>240</v>
      </c>
      <c r="W1310" s="130"/>
      <c r="X1310" s="292">
        <v>999.1</v>
      </c>
      <c r="Y1310" s="295">
        <v>844.8</v>
      </c>
      <c r="Z1310" s="297">
        <v>131.49844680000001</v>
      </c>
      <c r="AA1310" s="299" t="s">
        <v>252</v>
      </c>
      <c r="AB1310" s="292">
        <v>77.870159999999998</v>
      </c>
      <c r="AC1310" s="299" t="s">
        <v>252</v>
      </c>
      <c r="AD1310" s="301">
        <v>120.143772</v>
      </c>
      <c r="AE1310" s="292" t="s">
        <v>252</v>
      </c>
      <c r="AF1310" s="292">
        <v>59.951197999999998</v>
      </c>
      <c r="AG1310" s="292" t="s">
        <v>252</v>
      </c>
      <c r="AH1310" s="292">
        <v>22.885163000000002</v>
      </c>
      <c r="AI1310" s="292" t="s">
        <v>252</v>
      </c>
      <c r="AJ1310" s="292">
        <v>0</v>
      </c>
      <c r="AK1310" s="292">
        <v>0</v>
      </c>
      <c r="AL1310" s="292">
        <v>0</v>
      </c>
      <c r="AM1310" s="292">
        <v>0</v>
      </c>
      <c r="AN1310" s="292">
        <v>0</v>
      </c>
      <c r="AO1310" s="292">
        <v>0</v>
      </c>
      <c r="AP1310" s="292"/>
      <c r="AQ1310" s="292"/>
      <c r="AR1310" s="292">
        <v>65.593176</v>
      </c>
      <c r="AS1310" s="292" t="s">
        <v>252</v>
      </c>
      <c r="AT1310" s="292">
        <v>66.048624000000004</v>
      </c>
      <c r="AU1310" s="292" t="s">
        <v>252</v>
      </c>
      <c r="AV1310" s="292">
        <v>79.618752000000001</v>
      </c>
      <c r="AW1310" s="292" t="s">
        <v>252</v>
      </c>
      <c r="AX1310" s="292">
        <f t="shared" si="6"/>
        <v>623.60929179999994</v>
      </c>
      <c r="AY1310" s="125">
        <f>0.3284+0.0116</f>
        <v>0.34</v>
      </c>
      <c r="AZ1310" s="312" t="s">
        <v>1429</v>
      </c>
      <c r="BA1310" s="312" t="s">
        <v>254</v>
      </c>
      <c r="BB1310" s="312">
        <v>1</v>
      </c>
      <c r="BC1310" s="125" t="s">
        <v>255</v>
      </c>
    </row>
    <row r="1311" spans="1:55" ht="16.350000000000001" customHeight="1" outlineLevel="1">
      <c r="A1311" s="92">
        <v>1301</v>
      </c>
      <c r="B1311" s="99" t="s">
        <v>1041</v>
      </c>
      <c r="C1311" s="122" t="s">
        <v>1048</v>
      </c>
      <c r="D1311" s="161">
        <v>10</v>
      </c>
      <c r="E1311" s="123" t="s">
        <v>734</v>
      </c>
      <c r="F1311" s="124" t="s">
        <v>1425</v>
      </c>
      <c r="G1311" s="133" t="s">
        <v>281</v>
      </c>
      <c r="H1311" s="334" t="s">
        <v>248</v>
      </c>
      <c r="I1311" s="334" t="s">
        <v>1426</v>
      </c>
      <c r="J1311" s="317" t="s">
        <v>139</v>
      </c>
      <c r="K1311" s="317" t="s">
        <v>140</v>
      </c>
      <c r="L1311" s="334">
        <v>1</v>
      </c>
      <c r="M1311" s="334" t="s">
        <v>250</v>
      </c>
      <c r="N1311" s="315"/>
      <c r="O1311" s="315"/>
      <c r="P1311" s="315"/>
      <c r="Q1311" s="319"/>
      <c r="R1311" s="320"/>
      <c r="S1311" s="320"/>
      <c r="T1311" s="320"/>
      <c r="U1311" s="334" t="s">
        <v>1427</v>
      </c>
      <c r="V1311" s="320"/>
      <c r="W1311" s="189"/>
      <c r="X1311" s="294"/>
      <c r="Y1311" s="296"/>
      <c r="Z1311" s="298"/>
      <c r="AA1311" s="300"/>
      <c r="AB1311" s="294"/>
      <c r="AC1311" s="300"/>
      <c r="AD1311" s="302"/>
      <c r="AE1311" s="294"/>
      <c r="AF1311" s="294"/>
      <c r="AG1311" s="294"/>
      <c r="AH1311" s="294"/>
      <c r="AI1311" s="294"/>
      <c r="AJ1311" s="294"/>
      <c r="AK1311" s="294"/>
      <c r="AL1311" s="294"/>
      <c r="AM1311" s="294"/>
      <c r="AN1311" s="294"/>
      <c r="AO1311" s="294"/>
      <c r="AP1311" s="294"/>
      <c r="AQ1311" s="294"/>
      <c r="AR1311" s="294"/>
      <c r="AS1311" s="294"/>
      <c r="AT1311" s="294"/>
      <c r="AU1311" s="294"/>
      <c r="AV1311" s="294"/>
      <c r="AW1311" s="294"/>
      <c r="AX1311" s="294">
        <f t="shared" si="6"/>
        <v>0</v>
      </c>
      <c r="AY1311" s="292">
        <f>0.0031+0.0051+0.002+0.1897+0.0048+0.0053</f>
        <v>0.21000000000000002</v>
      </c>
      <c r="AZ1311" s="312"/>
      <c r="BA1311" s="312"/>
      <c r="BB1311" s="312"/>
      <c r="BC1311" s="336" t="s">
        <v>255</v>
      </c>
    </row>
    <row r="1312" spans="1:55" ht="16.350000000000001" customHeight="1" outlineLevel="1">
      <c r="A1312" s="92">
        <v>1302</v>
      </c>
      <c r="B1312" s="99" t="s">
        <v>1042</v>
      </c>
      <c r="C1312" s="122" t="s">
        <v>1048</v>
      </c>
      <c r="D1312" s="161">
        <v>10</v>
      </c>
      <c r="E1312" s="123" t="s">
        <v>737</v>
      </c>
      <c r="F1312" s="124" t="s">
        <v>1425</v>
      </c>
      <c r="G1312" s="133" t="s">
        <v>281</v>
      </c>
      <c r="H1312" s="335"/>
      <c r="I1312" s="335"/>
      <c r="J1312" s="319"/>
      <c r="K1312" s="319"/>
      <c r="L1312" s="335"/>
      <c r="M1312" s="335"/>
      <c r="N1312" s="315">
        <v>89</v>
      </c>
      <c r="O1312" s="315">
        <v>6</v>
      </c>
      <c r="P1312" s="315" t="s">
        <v>1429</v>
      </c>
      <c r="Q1312" s="317" t="s">
        <v>233</v>
      </c>
      <c r="R1312" s="320" t="s">
        <v>240</v>
      </c>
      <c r="S1312" s="320" t="s">
        <v>233</v>
      </c>
      <c r="T1312" s="320" t="s">
        <v>240</v>
      </c>
      <c r="U1312" s="335"/>
      <c r="V1312" s="320" t="s">
        <v>240</v>
      </c>
      <c r="W1312" s="190"/>
      <c r="X1312" s="292">
        <v>502.6</v>
      </c>
      <c r="Y1312" s="295">
        <v>494.99</v>
      </c>
      <c r="Z1312" s="297">
        <v>82.577842199999992</v>
      </c>
      <c r="AA1312" s="299" t="s">
        <v>252</v>
      </c>
      <c r="AB1312" s="292">
        <v>38.696265000000004</v>
      </c>
      <c r="AC1312" s="299" t="s">
        <v>252</v>
      </c>
      <c r="AD1312" s="301">
        <v>60.796602000000007</v>
      </c>
      <c r="AE1312" s="292" t="s">
        <v>252</v>
      </c>
      <c r="AF1312" s="292">
        <v>33.181481999999995</v>
      </c>
      <c r="AG1312" s="292" t="s">
        <v>252</v>
      </c>
      <c r="AH1312" s="292">
        <v>9.621618999999999</v>
      </c>
      <c r="AI1312" s="292" t="s">
        <v>252</v>
      </c>
      <c r="AJ1312" s="292">
        <v>0</v>
      </c>
      <c r="AK1312" s="292">
        <v>0</v>
      </c>
      <c r="AL1312" s="292">
        <v>0</v>
      </c>
      <c r="AM1312" s="292">
        <v>0</v>
      </c>
      <c r="AN1312" s="292">
        <v>0</v>
      </c>
      <c r="AO1312" s="292">
        <v>0</v>
      </c>
      <c r="AP1312" s="292"/>
      <c r="AQ1312" s="292"/>
      <c r="AR1312" s="292">
        <v>30.919944000000001</v>
      </c>
      <c r="AS1312" s="292" t="s">
        <v>252</v>
      </c>
      <c r="AT1312" s="292">
        <v>31.800896999999999</v>
      </c>
      <c r="AU1312" s="292" t="s">
        <v>252</v>
      </c>
      <c r="AV1312" s="292">
        <v>39.884112000000002</v>
      </c>
      <c r="AW1312" s="292" t="s">
        <v>252</v>
      </c>
      <c r="AX1312" s="292">
        <f t="shared" si="6"/>
        <v>327.47876320000006</v>
      </c>
      <c r="AY1312" s="294"/>
      <c r="AZ1312" s="312" t="s">
        <v>1429</v>
      </c>
      <c r="BA1312" s="312" t="s">
        <v>254</v>
      </c>
      <c r="BB1312" s="312">
        <v>1</v>
      </c>
      <c r="BC1312" s="337"/>
    </row>
    <row r="1313" spans="1:55" ht="16.350000000000001" customHeight="1" outlineLevel="1">
      <c r="A1313" s="92">
        <v>1303</v>
      </c>
      <c r="B1313" s="99" t="s">
        <v>1043</v>
      </c>
      <c r="C1313" s="122" t="s">
        <v>1048</v>
      </c>
      <c r="D1313" s="161">
        <v>12</v>
      </c>
      <c r="E1313" s="123" t="s">
        <v>734</v>
      </c>
      <c r="F1313" s="124" t="s">
        <v>1425</v>
      </c>
      <c r="G1313" s="133" t="s">
        <v>281</v>
      </c>
      <c r="H1313" s="334" t="s">
        <v>248</v>
      </c>
      <c r="I1313" s="334" t="s">
        <v>1426</v>
      </c>
      <c r="J1313" s="317" t="s">
        <v>139</v>
      </c>
      <c r="K1313" s="317" t="s">
        <v>140</v>
      </c>
      <c r="L1313" s="334">
        <v>1</v>
      </c>
      <c r="M1313" s="334" t="s">
        <v>250</v>
      </c>
      <c r="N1313" s="315"/>
      <c r="O1313" s="315"/>
      <c r="P1313" s="315"/>
      <c r="Q1313" s="319"/>
      <c r="R1313" s="320"/>
      <c r="S1313" s="320"/>
      <c r="T1313" s="320"/>
      <c r="U1313" s="334" t="s">
        <v>1427</v>
      </c>
      <c r="V1313" s="320"/>
      <c r="W1313" s="189"/>
      <c r="X1313" s="294"/>
      <c r="Y1313" s="296"/>
      <c r="Z1313" s="298"/>
      <c r="AA1313" s="300"/>
      <c r="AB1313" s="294"/>
      <c r="AC1313" s="300"/>
      <c r="AD1313" s="302"/>
      <c r="AE1313" s="294"/>
      <c r="AF1313" s="294"/>
      <c r="AG1313" s="294"/>
      <c r="AH1313" s="294"/>
      <c r="AI1313" s="294"/>
      <c r="AJ1313" s="294"/>
      <c r="AK1313" s="294"/>
      <c r="AL1313" s="294"/>
      <c r="AM1313" s="294"/>
      <c r="AN1313" s="294"/>
      <c r="AO1313" s="294"/>
      <c r="AP1313" s="294"/>
      <c r="AQ1313" s="294"/>
      <c r="AR1313" s="294"/>
      <c r="AS1313" s="294"/>
      <c r="AT1313" s="294"/>
      <c r="AU1313" s="294"/>
      <c r="AV1313" s="294"/>
      <c r="AW1313" s="294"/>
      <c r="AX1313" s="294">
        <f t="shared" si="6"/>
        <v>0</v>
      </c>
      <c r="AY1313" s="292">
        <f>0.111+0.005+0.033+0.004</f>
        <v>0.15300000000000002</v>
      </c>
      <c r="AZ1313" s="312"/>
      <c r="BA1313" s="312"/>
      <c r="BB1313" s="312"/>
      <c r="BC1313" s="336" t="s">
        <v>255</v>
      </c>
    </row>
    <row r="1314" spans="1:55" ht="16.350000000000001" customHeight="1" outlineLevel="1">
      <c r="A1314" s="92">
        <v>1304</v>
      </c>
      <c r="B1314" s="99" t="s">
        <v>1044</v>
      </c>
      <c r="C1314" s="122" t="s">
        <v>1048</v>
      </c>
      <c r="D1314" s="161">
        <v>12</v>
      </c>
      <c r="E1314" s="123" t="s">
        <v>737</v>
      </c>
      <c r="F1314" s="124" t="s">
        <v>1425</v>
      </c>
      <c r="G1314" s="133" t="s">
        <v>281</v>
      </c>
      <c r="H1314" s="335"/>
      <c r="I1314" s="335"/>
      <c r="J1314" s="319"/>
      <c r="K1314" s="319"/>
      <c r="L1314" s="335"/>
      <c r="M1314" s="335"/>
      <c r="N1314" s="184">
        <v>100</v>
      </c>
      <c r="O1314" s="184">
        <v>6</v>
      </c>
      <c r="P1314" s="184" t="s">
        <v>1429</v>
      </c>
      <c r="Q1314" s="174" t="s">
        <v>233</v>
      </c>
      <c r="R1314" s="276" t="s">
        <v>240</v>
      </c>
      <c r="S1314" s="276" t="s">
        <v>233</v>
      </c>
      <c r="T1314" s="276" t="s">
        <v>240</v>
      </c>
      <c r="U1314" s="335"/>
      <c r="V1314" s="276" t="s">
        <v>240</v>
      </c>
      <c r="W1314" s="190"/>
      <c r="X1314" s="125">
        <v>843.54</v>
      </c>
      <c r="Y1314" s="126">
        <v>803.32</v>
      </c>
      <c r="Z1314" s="127">
        <v>114.9119664</v>
      </c>
      <c r="AA1314" s="128" t="s">
        <v>252</v>
      </c>
      <c r="AB1314" s="125">
        <v>87.439230000000009</v>
      </c>
      <c r="AC1314" s="128" t="s">
        <v>252</v>
      </c>
      <c r="AD1314" s="129">
        <v>121.84066800000002</v>
      </c>
      <c r="AE1314" s="125" t="s">
        <v>252</v>
      </c>
      <c r="AF1314" s="125">
        <v>55.681958000000002</v>
      </c>
      <c r="AG1314" s="125" t="s">
        <v>252</v>
      </c>
      <c r="AH1314" s="125">
        <v>14.387337999999998</v>
      </c>
      <c r="AI1314" s="125" t="s">
        <v>252</v>
      </c>
      <c r="AJ1314" s="125">
        <v>0</v>
      </c>
      <c r="AK1314" s="125">
        <v>0</v>
      </c>
      <c r="AL1314" s="125">
        <v>0</v>
      </c>
      <c r="AM1314" s="125">
        <v>0</v>
      </c>
      <c r="AN1314" s="125">
        <v>0</v>
      </c>
      <c r="AO1314" s="125">
        <v>0</v>
      </c>
      <c r="AP1314" s="125"/>
      <c r="AQ1314" s="125"/>
      <c r="AR1314" s="125">
        <v>54.853248000000001</v>
      </c>
      <c r="AS1314" s="125" t="s">
        <v>252</v>
      </c>
      <c r="AT1314" s="125">
        <v>55.890333000000005</v>
      </c>
      <c r="AU1314" s="125" t="s">
        <v>252</v>
      </c>
      <c r="AV1314" s="125">
        <v>75.508272000000005</v>
      </c>
      <c r="AW1314" s="125" t="s">
        <v>252</v>
      </c>
      <c r="AX1314" s="125">
        <f t="shared" si="6"/>
        <v>580.51301339999998</v>
      </c>
      <c r="AY1314" s="294"/>
      <c r="AZ1314" s="181" t="s">
        <v>1429</v>
      </c>
      <c r="BA1314" s="181" t="s">
        <v>254</v>
      </c>
      <c r="BB1314" s="181">
        <v>1</v>
      </c>
      <c r="BC1314" s="337"/>
    </row>
    <row r="1315" spans="1:55" ht="16.350000000000001" customHeight="1" outlineLevel="1">
      <c r="A1315" s="92">
        <v>1305</v>
      </c>
      <c r="B1315" s="99" t="s">
        <v>1045</v>
      </c>
      <c r="C1315" s="122" t="s">
        <v>1048</v>
      </c>
      <c r="D1315" s="161" t="s">
        <v>1053</v>
      </c>
      <c r="E1315" s="123" t="s">
        <v>734</v>
      </c>
      <c r="F1315" s="124" t="s">
        <v>1425</v>
      </c>
      <c r="G1315" s="133" t="s">
        <v>281</v>
      </c>
      <c r="H1315" s="134" t="s">
        <v>248</v>
      </c>
      <c r="I1315" s="134" t="s">
        <v>1426</v>
      </c>
      <c r="J1315" s="134" t="s">
        <v>139</v>
      </c>
      <c r="K1315" s="124" t="s">
        <v>140</v>
      </c>
      <c r="L1315" s="174">
        <v>1</v>
      </c>
      <c r="M1315" s="174" t="s">
        <v>250</v>
      </c>
      <c r="N1315" s="315">
        <v>89</v>
      </c>
      <c r="O1315" s="315">
        <v>6</v>
      </c>
      <c r="P1315" s="315" t="s">
        <v>1429</v>
      </c>
      <c r="Q1315" s="317" t="s">
        <v>233</v>
      </c>
      <c r="R1315" s="320" t="s">
        <v>240</v>
      </c>
      <c r="S1315" s="320" t="s">
        <v>233</v>
      </c>
      <c r="T1315" s="320" t="s">
        <v>240</v>
      </c>
      <c r="U1315" s="174" t="s">
        <v>1427</v>
      </c>
      <c r="V1315" s="320" t="s">
        <v>240</v>
      </c>
      <c r="W1315" s="130"/>
      <c r="X1315" s="292">
        <v>566.66999999999996</v>
      </c>
      <c r="Y1315" s="295">
        <v>603.16999999999996</v>
      </c>
      <c r="Z1315" s="297">
        <v>76.602212399999999</v>
      </c>
      <c r="AA1315" s="299" t="s">
        <v>252</v>
      </c>
      <c r="AB1315" s="292">
        <v>53.42868</v>
      </c>
      <c r="AC1315" s="299" t="s">
        <v>252</v>
      </c>
      <c r="AD1315" s="301">
        <v>69.625764000000004</v>
      </c>
      <c r="AE1315" s="292" t="s">
        <v>252</v>
      </c>
      <c r="AF1315" s="292">
        <v>32.77037</v>
      </c>
      <c r="AG1315" s="292" t="s">
        <v>252</v>
      </c>
      <c r="AH1315" s="292">
        <v>10.884153</v>
      </c>
      <c r="AI1315" s="292" t="s">
        <v>252</v>
      </c>
      <c r="AJ1315" s="292">
        <v>0</v>
      </c>
      <c r="AK1315" s="292">
        <v>0</v>
      </c>
      <c r="AL1315" s="292">
        <v>0</v>
      </c>
      <c r="AM1315" s="292">
        <v>0</v>
      </c>
      <c r="AN1315" s="292">
        <v>0</v>
      </c>
      <c r="AO1315" s="292">
        <v>0</v>
      </c>
      <c r="AP1315" s="292"/>
      <c r="AQ1315" s="292"/>
      <c r="AR1315" s="292">
        <v>38.247791999999997</v>
      </c>
      <c r="AS1315" s="292" t="s">
        <v>252</v>
      </c>
      <c r="AT1315" s="292">
        <v>33.284781000000002</v>
      </c>
      <c r="AU1315" s="292" t="s">
        <v>252</v>
      </c>
      <c r="AV1315" s="292">
        <v>46.012464000000001</v>
      </c>
      <c r="AW1315" s="292" t="s">
        <v>252</v>
      </c>
      <c r="AX1315" s="292">
        <f t="shared" si="6"/>
        <v>360.85621639999999</v>
      </c>
      <c r="AY1315" s="125">
        <f>0.0101+0.0018+0.0023+0.0065+0.0033+0.266</f>
        <v>0.29000000000000004</v>
      </c>
      <c r="AZ1315" s="312" t="s">
        <v>1429</v>
      </c>
      <c r="BA1315" s="312" t="s">
        <v>254</v>
      </c>
      <c r="BB1315" s="312">
        <v>1</v>
      </c>
      <c r="BC1315" s="125" t="s">
        <v>255</v>
      </c>
    </row>
    <row r="1316" spans="1:55" ht="16.350000000000001" customHeight="1" outlineLevel="1">
      <c r="A1316" s="92">
        <v>1306</v>
      </c>
      <c r="B1316" s="99" t="s">
        <v>1046</v>
      </c>
      <c r="C1316" s="122" t="s">
        <v>1048</v>
      </c>
      <c r="D1316" s="161">
        <v>13</v>
      </c>
      <c r="E1316" s="123" t="s">
        <v>734</v>
      </c>
      <c r="F1316" s="124" t="s">
        <v>1425</v>
      </c>
      <c r="G1316" s="133" t="s">
        <v>281</v>
      </c>
      <c r="H1316" s="334" t="s">
        <v>248</v>
      </c>
      <c r="I1316" s="334" t="s">
        <v>1426</v>
      </c>
      <c r="J1316" s="317" t="s">
        <v>139</v>
      </c>
      <c r="K1316" s="317" t="s">
        <v>140</v>
      </c>
      <c r="L1316" s="334">
        <v>1</v>
      </c>
      <c r="M1316" s="334" t="s">
        <v>250</v>
      </c>
      <c r="N1316" s="315"/>
      <c r="O1316" s="315"/>
      <c r="P1316" s="315"/>
      <c r="Q1316" s="319"/>
      <c r="R1316" s="320"/>
      <c r="S1316" s="320"/>
      <c r="T1316" s="320"/>
      <c r="U1316" s="334" t="s">
        <v>1427</v>
      </c>
      <c r="V1316" s="320"/>
      <c r="W1316" s="189"/>
      <c r="X1316" s="294"/>
      <c r="Y1316" s="296"/>
      <c r="Z1316" s="298"/>
      <c r="AA1316" s="300"/>
      <c r="AB1316" s="294"/>
      <c r="AC1316" s="300"/>
      <c r="AD1316" s="302"/>
      <c r="AE1316" s="294"/>
      <c r="AF1316" s="294"/>
      <c r="AG1316" s="294"/>
      <c r="AH1316" s="294"/>
      <c r="AI1316" s="294"/>
      <c r="AJ1316" s="294"/>
      <c r="AK1316" s="294"/>
      <c r="AL1316" s="294"/>
      <c r="AM1316" s="294"/>
      <c r="AN1316" s="294"/>
      <c r="AO1316" s="294"/>
      <c r="AP1316" s="294"/>
      <c r="AQ1316" s="294"/>
      <c r="AR1316" s="294"/>
      <c r="AS1316" s="294"/>
      <c r="AT1316" s="294"/>
      <c r="AU1316" s="294"/>
      <c r="AV1316" s="294"/>
      <c r="AW1316" s="294"/>
      <c r="AX1316" s="294">
        <f t="shared" si="6"/>
        <v>0</v>
      </c>
      <c r="AY1316" s="292">
        <f>0.1306+0.0094</f>
        <v>0.13999999999999999</v>
      </c>
      <c r="AZ1316" s="312"/>
      <c r="BA1316" s="312"/>
      <c r="BB1316" s="312"/>
      <c r="BC1316" s="336" t="s">
        <v>255</v>
      </c>
    </row>
    <row r="1317" spans="1:55" ht="16.350000000000001" customHeight="1" outlineLevel="1">
      <c r="A1317" s="92">
        <v>1307</v>
      </c>
      <c r="B1317" s="99" t="s">
        <v>1047</v>
      </c>
      <c r="C1317" s="122" t="s">
        <v>1048</v>
      </c>
      <c r="D1317" s="161">
        <v>13</v>
      </c>
      <c r="E1317" s="123" t="s">
        <v>737</v>
      </c>
      <c r="F1317" s="124" t="s">
        <v>1425</v>
      </c>
      <c r="G1317" s="133" t="s">
        <v>281</v>
      </c>
      <c r="H1317" s="335"/>
      <c r="I1317" s="335"/>
      <c r="J1317" s="319"/>
      <c r="K1317" s="319"/>
      <c r="L1317" s="335"/>
      <c r="M1317" s="335"/>
      <c r="N1317" s="315">
        <v>89</v>
      </c>
      <c r="O1317" s="315">
        <v>6</v>
      </c>
      <c r="P1317" s="315" t="s">
        <v>1429</v>
      </c>
      <c r="Q1317" s="317" t="s">
        <v>233</v>
      </c>
      <c r="R1317" s="320" t="s">
        <v>240</v>
      </c>
      <c r="S1317" s="320" t="s">
        <v>233</v>
      </c>
      <c r="T1317" s="320" t="s">
        <v>240</v>
      </c>
      <c r="U1317" s="335"/>
      <c r="V1317" s="320" t="s">
        <v>240</v>
      </c>
      <c r="W1317" s="190"/>
      <c r="X1317" s="292">
        <v>549.59</v>
      </c>
      <c r="Y1317" s="295">
        <v>526.48</v>
      </c>
      <c r="Z1317" s="297">
        <v>81.704414400000005</v>
      </c>
      <c r="AA1317" s="299" t="s">
        <v>252</v>
      </c>
      <c r="AB1317" s="292">
        <v>48.734729999999999</v>
      </c>
      <c r="AC1317" s="299" t="s">
        <v>252</v>
      </c>
      <c r="AD1317" s="301">
        <v>72.630684000000002</v>
      </c>
      <c r="AE1317" s="292" t="s">
        <v>252</v>
      </c>
      <c r="AF1317" s="292">
        <v>36.644309999999997</v>
      </c>
      <c r="AG1317" s="292" t="s">
        <v>252</v>
      </c>
      <c r="AH1317" s="292">
        <v>14.761936</v>
      </c>
      <c r="AI1317" s="292" t="s">
        <v>252</v>
      </c>
      <c r="AJ1317" s="292">
        <v>0</v>
      </c>
      <c r="AK1317" s="292">
        <v>0</v>
      </c>
      <c r="AL1317" s="292">
        <v>0</v>
      </c>
      <c r="AM1317" s="292">
        <v>0</v>
      </c>
      <c r="AN1317" s="292">
        <v>0</v>
      </c>
      <c r="AO1317" s="292">
        <v>0</v>
      </c>
      <c r="AP1317" s="292"/>
      <c r="AQ1317" s="292"/>
      <c r="AR1317" s="292">
        <v>41.139935999999999</v>
      </c>
      <c r="AS1317" s="292" t="s">
        <v>252</v>
      </c>
      <c r="AT1317" s="292">
        <v>38.778309</v>
      </c>
      <c r="AU1317" s="292" t="s">
        <v>252</v>
      </c>
      <c r="AV1317" s="292">
        <v>53.178816000000005</v>
      </c>
      <c r="AW1317" s="292" t="s">
        <v>252</v>
      </c>
      <c r="AX1317" s="292">
        <f t="shared" si="6"/>
        <v>387.57313539999996</v>
      </c>
      <c r="AY1317" s="294"/>
      <c r="AZ1317" s="312" t="s">
        <v>1429</v>
      </c>
      <c r="BA1317" s="312" t="s">
        <v>254</v>
      </c>
      <c r="BB1317" s="312">
        <v>1</v>
      </c>
      <c r="BC1317" s="337"/>
    </row>
    <row r="1318" spans="1:55" ht="16.350000000000001" customHeight="1" outlineLevel="1">
      <c r="A1318" s="92">
        <v>1308</v>
      </c>
      <c r="B1318" s="99" t="s">
        <v>1049</v>
      </c>
      <c r="C1318" s="122" t="s">
        <v>1048</v>
      </c>
      <c r="D1318" s="161">
        <v>14</v>
      </c>
      <c r="E1318" s="123" t="s">
        <v>734</v>
      </c>
      <c r="F1318" s="124" t="s">
        <v>1425</v>
      </c>
      <c r="G1318" s="133" t="s">
        <v>281</v>
      </c>
      <c r="H1318" s="334" t="s">
        <v>248</v>
      </c>
      <c r="I1318" s="334" t="s">
        <v>1426</v>
      </c>
      <c r="J1318" s="317" t="s">
        <v>139</v>
      </c>
      <c r="K1318" s="317" t="s">
        <v>140</v>
      </c>
      <c r="L1318" s="334">
        <v>1</v>
      </c>
      <c r="M1318" s="334" t="s">
        <v>250</v>
      </c>
      <c r="N1318" s="315"/>
      <c r="O1318" s="315"/>
      <c r="P1318" s="315"/>
      <c r="Q1318" s="319"/>
      <c r="R1318" s="320"/>
      <c r="S1318" s="320"/>
      <c r="T1318" s="320"/>
      <c r="U1318" s="334" t="s">
        <v>1427</v>
      </c>
      <c r="V1318" s="320"/>
      <c r="W1318" s="189"/>
      <c r="X1318" s="294"/>
      <c r="Y1318" s="296"/>
      <c r="Z1318" s="298"/>
      <c r="AA1318" s="300"/>
      <c r="AB1318" s="294"/>
      <c r="AC1318" s="300"/>
      <c r="AD1318" s="302"/>
      <c r="AE1318" s="294"/>
      <c r="AF1318" s="294"/>
      <c r="AG1318" s="294"/>
      <c r="AH1318" s="294"/>
      <c r="AI1318" s="294"/>
      <c r="AJ1318" s="294"/>
      <c r="AK1318" s="294"/>
      <c r="AL1318" s="294"/>
      <c r="AM1318" s="294"/>
      <c r="AN1318" s="294"/>
      <c r="AO1318" s="294"/>
      <c r="AP1318" s="294"/>
      <c r="AQ1318" s="294"/>
      <c r="AR1318" s="294"/>
      <c r="AS1318" s="294"/>
      <c r="AT1318" s="294"/>
      <c r="AU1318" s="294"/>
      <c r="AV1318" s="294"/>
      <c r="AW1318" s="294"/>
      <c r="AX1318" s="294">
        <f t="shared" si="6"/>
        <v>0</v>
      </c>
      <c r="AY1318" s="292">
        <f>0.005+0.0016+0.0064+0.1584+0.0086</f>
        <v>0.18000000000000002</v>
      </c>
      <c r="AZ1318" s="312"/>
      <c r="BA1318" s="312"/>
      <c r="BB1318" s="312"/>
      <c r="BC1318" s="336" t="s">
        <v>255</v>
      </c>
    </row>
    <row r="1319" spans="1:55" ht="16.350000000000001" customHeight="1" outlineLevel="1">
      <c r="A1319" s="92">
        <v>1309</v>
      </c>
      <c r="B1319" s="99" t="s">
        <v>1050</v>
      </c>
      <c r="C1319" s="122" t="s">
        <v>1048</v>
      </c>
      <c r="D1319" s="161">
        <v>14</v>
      </c>
      <c r="E1319" s="123" t="s">
        <v>737</v>
      </c>
      <c r="F1319" s="124" t="s">
        <v>1425</v>
      </c>
      <c r="G1319" s="133" t="s">
        <v>281</v>
      </c>
      <c r="H1319" s="335"/>
      <c r="I1319" s="335"/>
      <c r="J1319" s="319"/>
      <c r="K1319" s="319"/>
      <c r="L1319" s="335"/>
      <c r="M1319" s="335"/>
      <c r="N1319" s="184">
        <v>89</v>
      </c>
      <c r="O1319" s="184">
        <v>6</v>
      </c>
      <c r="P1319" s="184" t="s">
        <v>1429</v>
      </c>
      <c r="Q1319" s="174" t="s">
        <v>233</v>
      </c>
      <c r="R1319" s="276" t="s">
        <v>240</v>
      </c>
      <c r="S1319" s="276" t="s">
        <v>233</v>
      </c>
      <c r="T1319" s="276" t="s">
        <v>240</v>
      </c>
      <c r="U1319" s="335"/>
      <c r="V1319" s="276" t="s">
        <v>240</v>
      </c>
      <c r="W1319" s="190"/>
      <c r="X1319" s="125">
        <v>412.46</v>
      </c>
      <c r="Y1319" s="126">
        <v>391.35</v>
      </c>
      <c r="Z1319" s="127">
        <v>61.036172399999998</v>
      </c>
      <c r="AA1319" s="128" t="s">
        <v>252</v>
      </c>
      <c r="AB1319" s="125">
        <v>36.38223</v>
      </c>
      <c r="AC1319" s="128" t="s">
        <v>252</v>
      </c>
      <c r="AD1319" s="129">
        <v>54.336024000000002</v>
      </c>
      <c r="AE1319" s="125" t="s">
        <v>252</v>
      </c>
      <c r="AF1319" s="125">
        <v>27.481255999999998</v>
      </c>
      <c r="AG1319" s="125" t="s">
        <v>252</v>
      </c>
      <c r="AH1319" s="125">
        <v>10.710728</v>
      </c>
      <c r="AI1319" s="125" t="s">
        <v>252</v>
      </c>
      <c r="AJ1319" s="125">
        <v>0</v>
      </c>
      <c r="AK1319" s="125">
        <v>0</v>
      </c>
      <c r="AL1319" s="125">
        <v>0</v>
      </c>
      <c r="AM1319" s="125">
        <v>0</v>
      </c>
      <c r="AN1319" s="125">
        <v>0</v>
      </c>
      <c r="AO1319" s="125">
        <v>0</v>
      </c>
      <c r="AP1319" s="125"/>
      <c r="AQ1319" s="125"/>
      <c r="AR1319" s="125">
        <v>30.383759999999999</v>
      </c>
      <c r="AS1319" s="125" t="s">
        <v>252</v>
      </c>
      <c r="AT1319" s="125">
        <v>28.809450000000002</v>
      </c>
      <c r="AU1319" s="125" t="s">
        <v>252</v>
      </c>
      <c r="AV1319" s="125">
        <v>114.43742400000001</v>
      </c>
      <c r="AW1319" s="125" t="s">
        <v>252</v>
      </c>
      <c r="AX1319" s="125">
        <f t="shared" si="6"/>
        <v>363.57704439999998</v>
      </c>
      <c r="AY1319" s="294"/>
      <c r="AZ1319" s="181" t="s">
        <v>1429</v>
      </c>
      <c r="BA1319" s="181" t="s">
        <v>254</v>
      </c>
      <c r="BB1319" s="181">
        <v>1</v>
      </c>
      <c r="BC1319" s="337"/>
    </row>
    <row r="1320" spans="1:55" ht="16.350000000000001" customHeight="1" outlineLevel="1">
      <c r="A1320" s="92">
        <v>1310</v>
      </c>
      <c r="B1320" s="99" t="s">
        <v>1051</v>
      </c>
      <c r="C1320" s="122" t="s">
        <v>1048</v>
      </c>
      <c r="D1320" s="161">
        <v>16</v>
      </c>
      <c r="E1320" s="123" t="s">
        <v>734</v>
      </c>
      <c r="F1320" s="124" t="s">
        <v>1425</v>
      </c>
      <c r="G1320" s="133" t="s">
        <v>281</v>
      </c>
      <c r="H1320" s="134" t="s">
        <v>248</v>
      </c>
      <c r="I1320" s="134" t="s">
        <v>1426</v>
      </c>
      <c r="J1320" s="134" t="s">
        <v>139</v>
      </c>
      <c r="K1320" s="124" t="s">
        <v>140</v>
      </c>
      <c r="L1320" s="174">
        <v>1</v>
      </c>
      <c r="M1320" s="174" t="s">
        <v>250</v>
      </c>
      <c r="N1320" s="184">
        <v>89</v>
      </c>
      <c r="O1320" s="184">
        <v>6</v>
      </c>
      <c r="P1320" s="184" t="s">
        <v>1429</v>
      </c>
      <c r="Q1320" s="174" t="s">
        <v>233</v>
      </c>
      <c r="R1320" s="276" t="s">
        <v>240</v>
      </c>
      <c r="S1320" s="276" t="s">
        <v>233</v>
      </c>
      <c r="T1320" s="276" t="s">
        <v>240</v>
      </c>
      <c r="U1320" s="174" t="s">
        <v>1427</v>
      </c>
      <c r="V1320" s="276" t="s">
        <v>240</v>
      </c>
      <c r="W1320" s="130"/>
      <c r="X1320" s="125">
        <v>955.66</v>
      </c>
      <c r="Y1320" s="126">
        <v>1062.7</v>
      </c>
      <c r="Z1320" s="127">
        <v>130.4780064</v>
      </c>
      <c r="AA1320" s="128" t="s">
        <v>252</v>
      </c>
      <c r="AB1320" s="125">
        <v>91.144980000000004</v>
      </c>
      <c r="AC1320" s="128" t="s">
        <v>252</v>
      </c>
      <c r="AD1320" s="129">
        <v>118.66782600000002</v>
      </c>
      <c r="AE1320" s="125" t="s">
        <v>252</v>
      </c>
      <c r="AF1320" s="125">
        <v>55.768924000000005</v>
      </c>
      <c r="AG1320" s="125" t="s">
        <v>252</v>
      </c>
      <c r="AH1320" s="125">
        <v>18.729900000000001</v>
      </c>
      <c r="AI1320" s="125" t="s">
        <v>252</v>
      </c>
      <c r="AJ1320" s="125">
        <v>0</v>
      </c>
      <c r="AK1320" s="125">
        <v>0</v>
      </c>
      <c r="AL1320" s="125">
        <v>0</v>
      </c>
      <c r="AM1320" s="125">
        <v>0</v>
      </c>
      <c r="AN1320" s="125">
        <v>0</v>
      </c>
      <c r="AO1320" s="125">
        <v>0</v>
      </c>
      <c r="AP1320" s="125"/>
      <c r="AQ1320" s="125"/>
      <c r="AR1320" s="125">
        <v>65.633796000000004</v>
      </c>
      <c r="AS1320" s="125" t="s">
        <v>252</v>
      </c>
      <c r="AT1320" s="125">
        <v>56.774349000000008</v>
      </c>
      <c r="AU1320" s="125" t="s">
        <v>252</v>
      </c>
      <c r="AV1320" s="125">
        <v>78.555840000000003</v>
      </c>
      <c r="AW1320" s="125" t="s">
        <v>252</v>
      </c>
      <c r="AX1320" s="125">
        <f t="shared" si="6"/>
        <v>615.75362140000004</v>
      </c>
      <c r="AY1320" s="125">
        <f>0.0077+0.0056+0.0018+0.0966+0.0083</f>
        <v>0.12000000000000001</v>
      </c>
      <c r="AZ1320" s="181" t="s">
        <v>1429</v>
      </c>
      <c r="BA1320" s="181" t="s">
        <v>254</v>
      </c>
      <c r="BB1320" s="181">
        <v>1</v>
      </c>
      <c r="BC1320" s="125" t="s">
        <v>255</v>
      </c>
    </row>
    <row r="1321" spans="1:55" ht="16.350000000000001" customHeight="1" outlineLevel="1">
      <c r="A1321" s="92">
        <v>1311</v>
      </c>
      <c r="B1321" s="99" t="s">
        <v>1052</v>
      </c>
      <c r="C1321" s="122" t="s">
        <v>1048</v>
      </c>
      <c r="D1321" s="161">
        <v>17</v>
      </c>
      <c r="E1321" s="123" t="s">
        <v>734</v>
      </c>
      <c r="F1321" s="124" t="s">
        <v>1425</v>
      </c>
      <c r="G1321" s="133" t="s">
        <v>281</v>
      </c>
      <c r="H1321" s="134" t="s">
        <v>248</v>
      </c>
      <c r="I1321" s="134" t="s">
        <v>1426</v>
      </c>
      <c r="J1321" s="134" t="s">
        <v>139</v>
      </c>
      <c r="K1321" s="124" t="s">
        <v>140</v>
      </c>
      <c r="L1321" s="174">
        <v>1</v>
      </c>
      <c r="M1321" s="174" t="s">
        <v>250</v>
      </c>
      <c r="N1321" s="184">
        <v>80</v>
      </c>
      <c r="O1321" s="184">
        <v>6</v>
      </c>
      <c r="P1321" s="184" t="s">
        <v>1429</v>
      </c>
      <c r="Q1321" s="174" t="s">
        <v>233</v>
      </c>
      <c r="R1321" s="276" t="s">
        <v>240</v>
      </c>
      <c r="S1321" s="276" t="s">
        <v>233</v>
      </c>
      <c r="T1321" s="276" t="s">
        <v>240</v>
      </c>
      <c r="U1321" s="174" t="s">
        <v>1427</v>
      </c>
      <c r="V1321" s="276" t="s">
        <v>240</v>
      </c>
      <c r="W1321" s="130"/>
      <c r="X1321" s="125">
        <v>359.13</v>
      </c>
      <c r="Y1321" s="126">
        <v>380.13</v>
      </c>
      <c r="Z1321" s="127">
        <v>45.989000400000002</v>
      </c>
      <c r="AA1321" s="128" t="s">
        <v>252</v>
      </c>
      <c r="AB1321" s="125">
        <v>30.370680000000004</v>
      </c>
      <c r="AC1321" s="128" t="s">
        <v>252</v>
      </c>
      <c r="AD1321" s="129">
        <v>45.674784000000002</v>
      </c>
      <c r="AE1321" s="125" t="s">
        <v>252</v>
      </c>
      <c r="AF1321" s="125">
        <v>26.066081999999998</v>
      </c>
      <c r="AG1321" s="125" t="s">
        <v>252</v>
      </c>
      <c r="AH1321" s="125">
        <v>5.840954</v>
      </c>
      <c r="AI1321" s="125" t="s">
        <v>252</v>
      </c>
      <c r="AJ1321" s="125">
        <v>0</v>
      </c>
      <c r="AK1321" s="125">
        <v>0</v>
      </c>
      <c r="AL1321" s="125">
        <v>0</v>
      </c>
      <c r="AM1321" s="125">
        <v>0</v>
      </c>
      <c r="AN1321" s="125">
        <v>0</v>
      </c>
      <c r="AO1321" s="125">
        <v>0</v>
      </c>
      <c r="AP1321" s="125"/>
      <c r="AQ1321" s="125"/>
      <c r="AR1321" s="125">
        <v>23.746452000000001</v>
      </c>
      <c r="AS1321" s="125" t="s">
        <v>252</v>
      </c>
      <c r="AT1321" s="125">
        <v>21.129560999999999</v>
      </c>
      <c r="AU1321" s="125" t="s">
        <v>252</v>
      </c>
      <c r="AV1321" s="125">
        <v>32.194608000000002</v>
      </c>
      <c r="AW1321" s="125" t="s">
        <v>252</v>
      </c>
      <c r="AX1321" s="125">
        <f t="shared" si="6"/>
        <v>231.01212140000001</v>
      </c>
      <c r="AY1321" s="125">
        <f>0.0025+0.0127+0.001+0.2618+0.012</f>
        <v>0.28999999999999998</v>
      </c>
      <c r="AZ1321" s="181" t="s">
        <v>1429</v>
      </c>
      <c r="BA1321" s="181" t="s">
        <v>254</v>
      </c>
      <c r="BB1321" s="181">
        <v>1</v>
      </c>
      <c r="BC1321" s="125" t="s">
        <v>255</v>
      </c>
    </row>
    <row r="1322" spans="1:55" ht="16.350000000000001" customHeight="1" outlineLevel="1">
      <c r="A1322" s="92">
        <v>1312</v>
      </c>
      <c r="B1322" s="99" t="s">
        <v>1054</v>
      </c>
      <c r="C1322" s="122" t="s">
        <v>1048</v>
      </c>
      <c r="D1322" s="161">
        <v>21</v>
      </c>
      <c r="E1322" s="123" t="s">
        <v>734</v>
      </c>
      <c r="F1322" s="124" t="s">
        <v>1425</v>
      </c>
      <c r="G1322" s="133" t="s">
        <v>281</v>
      </c>
      <c r="H1322" s="134" t="s">
        <v>248</v>
      </c>
      <c r="I1322" s="134" t="s">
        <v>1426</v>
      </c>
      <c r="J1322" s="134" t="s">
        <v>139</v>
      </c>
      <c r="K1322" s="124" t="s">
        <v>140</v>
      </c>
      <c r="L1322" s="174">
        <v>1</v>
      </c>
      <c r="M1322" s="174" t="s">
        <v>250</v>
      </c>
      <c r="N1322" s="315">
        <v>80</v>
      </c>
      <c r="O1322" s="315">
        <v>6</v>
      </c>
      <c r="P1322" s="315" t="s">
        <v>1429</v>
      </c>
      <c r="Q1322" s="317" t="s">
        <v>233</v>
      </c>
      <c r="R1322" s="320" t="s">
        <v>240</v>
      </c>
      <c r="S1322" s="320" t="s">
        <v>233</v>
      </c>
      <c r="T1322" s="320" t="s">
        <v>240</v>
      </c>
      <c r="U1322" s="174" t="s">
        <v>1427</v>
      </c>
      <c r="V1322" s="320" t="s">
        <v>240</v>
      </c>
      <c r="W1322" s="130"/>
      <c r="X1322" s="292">
        <v>1171.1199999999999</v>
      </c>
      <c r="Y1322" s="295">
        <v>1107.02</v>
      </c>
      <c r="Z1322" s="292">
        <v>173.5872894</v>
      </c>
      <c r="AA1322" s="299" t="s">
        <v>252</v>
      </c>
      <c r="AB1322" s="292">
        <v>123.75558000000001</v>
      </c>
      <c r="AC1322" s="299" t="s">
        <v>252</v>
      </c>
      <c r="AD1322" s="301">
        <v>188.78851800000001</v>
      </c>
      <c r="AE1322" s="292" t="s">
        <v>252</v>
      </c>
      <c r="AF1322" s="292">
        <v>86.222836000000001</v>
      </c>
      <c r="AG1322" s="292" t="s">
        <v>252</v>
      </c>
      <c r="AH1322" s="292">
        <v>28.226652999999999</v>
      </c>
      <c r="AI1322" s="292" t="s">
        <v>252</v>
      </c>
      <c r="AJ1322" s="292">
        <v>0</v>
      </c>
      <c r="AK1322" s="292">
        <v>0</v>
      </c>
      <c r="AL1322" s="292">
        <v>0</v>
      </c>
      <c r="AM1322" s="292">
        <v>0</v>
      </c>
      <c r="AN1322" s="292">
        <v>0</v>
      </c>
      <c r="AO1322" s="292">
        <v>0</v>
      </c>
      <c r="AP1322" s="292"/>
      <c r="AQ1322" s="292"/>
      <c r="AR1322" s="292">
        <v>86.536847999999992</v>
      </c>
      <c r="AS1322" s="292" t="s">
        <v>252</v>
      </c>
      <c r="AT1322" s="292">
        <v>67.461471000000003</v>
      </c>
      <c r="AU1322" s="292" t="s">
        <v>252</v>
      </c>
      <c r="AV1322" s="292">
        <v>107.37072000000002</v>
      </c>
      <c r="AW1322" s="292" t="s">
        <v>252</v>
      </c>
      <c r="AX1322" s="292">
        <f t="shared" si="6"/>
        <v>861.94991540000001</v>
      </c>
      <c r="AY1322" s="125">
        <f>0.09</f>
        <v>0.09</v>
      </c>
      <c r="AZ1322" s="312" t="s">
        <v>1429</v>
      </c>
      <c r="BA1322" s="312" t="s">
        <v>254</v>
      </c>
      <c r="BB1322" s="312">
        <v>1</v>
      </c>
      <c r="BC1322" s="125" t="s">
        <v>255</v>
      </c>
    </row>
    <row r="1323" spans="1:55" ht="16.350000000000001" customHeight="1" outlineLevel="1">
      <c r="A1323" s="92">
        <v>1313</v>
      </c>
      <c r="B1323" s="99" t="s">
        <v>1055</v>
      </c>
      <c r="C1323" s="122" t="s">
        <v>1048</v>
      </c>
      <c r="D1323" s="161">
        <v>22</v>
      </c>
      <c r="E1323" s="123" t="s">
        <v>734</v>
      </c>
      <c r="F1323" s="124" t="s">
        <v>1425</v>
      </c>
      <c r="G1323" s="133" t="s">
        <v>281</v>
      </c>
      <c r="H1323" s="334" t="s">
        <v>248</v>
      </c>
      <c r="I1323" s="334" t="s">
        <v>1426</v>
      </c>
      <c r="J1323" s="317" t="s">
        <v>139</v>
      </c>
      <c r="K1323" s="317" t="s">
        <v>140</v>
      </c>
      <c r="L1323" s="334">
        <v>1</v>
      </c>
      <c r="M1323" s="334" t="s">
        <v>250</v>
      </c>
      <c r="N1323" s="315"/>
      <c r="O1323" s="315"/>
      <c r="P1323" s="315"/>
      <c r="Q1323" s="319"/>
      <c r="R1323" s="320"/>
      <c r="S1323" s="320"/>
      <c r="T1323" s="320"/>
      <c r="U1323" s="334" t="s">
        <v>1427</v>
      </c>
      <c r="V1323" s="320"/>
      <c r="W1323" s="189"/>
      <c r="X1323" s="294"/>
      <c r="Y1323" s="296"/>
      <c r="Z1323" s="294"/>
      <c r="AA1323" s="300"/>
      <c r="AB1323" s="294"/>
      <c r="AC1323" s="300"/>
      <c r="AD1323" s="302"/>
      <c r="AE1323" s="294"/>
      <c r="AF1323" s="294"/>
      <c r="AG1323" s="294"/>
      <c r="AH1323" s="294"/>
      <c r="AI1323" s="294"/>
      <c r="AJ1323" s="294"/>
      <c r="AK1323" s="294"/>
      <c r="AL1323" s="294"/>
      <c r="AM1323" s="294"/>
      <c r="AN1323" s="294"/>
      <c r="AO1323" s="294"/>
      <c r="AP1323" s="294"/>
      <c r="AQ1323" s="294"/>
      <c r="AR1323" s="294"/>
      <c r="AS1323" s="294"/>
      <c r="AT1323" s="294"/>
      <c r="AU1323" s="294"/>
      <c r="AV1323" s="294"/>
      <c r="AW1323" s="294"/>
      <c r="AX1323" s="294">
        <f t="shared" si="6"/>
        <v>0</v>
      </c>
      <c r="AY1323" s="292">
        <f>0.34</f>
        <v>0.34</v>
      </c>
      <c r="AZ1323" s="312"/>
      <c r="BA1323" s="312"/>
      <c r="BB1323" s="312"/>
      <c r="BC1323" s="336" t="s">
        <v>255</v>
      </c>
    </row>
    <row r="1324" spans="1:55" ht="16.350000000000001" customHeight="1" outlineLevel="1">
      <c r="A1324" s="92">
        <v>1314</v>
      </c>
      <c r="B1324" s="99" t="s">
        <v>1056</v>
      </c>
      <c r="C1324" s="122" t="s">
        <v>1048</v>
      </c>
      <c r="D1324" s="161">
        <v>22</v>
      </c>
      <c r="E1324" s="123" t="s">
        <v>737</v>
      </c>
      <c r="F1324" s="124" t="s">
        <v>1425</v>
      </c>
      <c r="G1324" s="133" t="s">
        <v>281</v>
      </c>
      <c r="H1324" s="335"/>
      <c r="I1324" s="335"/>
      <c r="J1324" s="319"/>
      <c r="K1324" s="319"/>
      <c r="L1324" s="335"/>
      <c r="M1324" s="335"/>
      <c r="N1324" s="184">
        <v>80</v>
      </c>
      <c r="O1324" s="184">
        <v>6</v>
      </c>
      <c r="P1324" s="184" t="s">
        <v>1429</v>
      </c>
      <c r="Q1324" s="174" t="s">
        <v>233</v>
      </c>
      <c r="R1324" s="276" t="s">
        <v>240</v>
      </c>
      <c r="S1324" s="276" t="s">
        <v>233</v>
      </c>
      <c r="T1324" s="276" t="s">
        <v>240</v>
      </c>
      <c r="U1324" s="335"/>
      <c r="V1324" s="276" t="s">
        <v>240</v>
      </c>
      <c r="W1324" s="190"/>
      <c r="X1324" s="125">
        <v>576.53</v>
      </c>
      <c r="Y1324" s="126">
        <v>593.12</v>
      </c>
      <c r="Z1324" s="127">
        <v>80.926112399999994</v>
      </c>
      <c r="AA1324" s="128" t="s">
        <v>252</v>
      </c>
      <c r="AB1324" s="125">
        <v>53.593379999999996</v>
      </c>
      <c r="AC1324" s="128" t="s">
        <v>252</v>
      </c>
      <c r="AD1324" s="129">
        <v>80.408124000000001</v>
      </c>
      <c r="AE1324" s="125" t="s">
        <v>252</v>
      </c>
      <c r="AF1324" s="125">
        <v>45.815269999999998</v>
      </c>
      <c r="AG1324" s="125" t="s">
        <v>252</v>
      </c>
      <c r="AH1324" s="125">
        <v>10.523429</v>
      </c>
      <c r="AI1324" s="125" t="s">
        <v>252</v>
      </c>
      <c r="AJ1324" s="125">
        <v>0</v>
      </c>
      <c r="AK1324" s="125">
        <v>0</v>
      </c>
      <c r="AL1324" s="125">
        <v>0</v>
      </c>
      <c r="AM1324" s="125">
        <v>0</v>
      </c>
      <c r="AN1324" s="125">
        <v>0</v>
      </c>
      <c r="AO1324" s="125">
        <v>0</v>
      </c>
      <c r="AP1324" s="125"/>
      <c r="AQ1324" s="125"/>
      <c r="AR1324" s="125">
        <v>42.204180000000001</v>
      </c>
      <c r="AS1324" s="125" t="s">
        <v>252</v>
      </c>
      <c r="AT1324" s="125">
        <v>37.610144999999996</v>
      </c>
      <c r="AU1324" s="125" t="s">
        <v>252</v>
      </c>
      <c r="AV1324" s="125">
        <v>56.799360000000007</v>
      </c>
      <c r="AW1324" s="125" t="s">
        <v>252</v>
      </c>
      <c r="AX1324" s="125">
        <f t="shared" si="6"/>
        <v>407.88000039999997</v>
      </c>
      <c r="AY1324" s="294"/>
      <c r="AZ1324" s="181" t="s">
        <v>1429</v>
      </c>
      <c r="BA1324" s="181" t="s">
        <v>254</v>
      </c>
      <c r="BB1324" s="181">
        <v>1</v>
      </c>
      <c r="BC1324" s="337"/>
    </row>
    <row r="1325" spans="1:55" ht="16.350000000000001" customHeight="1" outlineLevel="1">
      <c r="A1325" s="92">
        <v>1315</v>
      </c>
      <c r="B1325" s="99" t="s">
        <v>1057</v>
      </c>
      <c r="C1325" s="122" t="s">
        <v>1048</v>
      </c>
      <c r="D1325" s="161">
        <v>23</v>
      </c>
      <c r="E1325" s="123" t="s">
        <v>734</v>
      </c>
      <c r="F1325" s="124" t="s">
        <v>1425</v>
      </c>
      <c r="G1325" s="133" t="s">
        <v>281</v>
      </c>
      <c r="H1325" s="134" t="s">
        <v>248</v>
      </c>
      <c r="I1325" s="134" t="s">
        <v>1426</v>
      </c>
      <c r="J1325" s="134" t="s">
        <v>139</v>
      </c>
      <c r="K1325" s="124" t="s">
        <v>140</v>
      </c>
      <c r="L1325" s="174">
        <v>1</v>
      </c>
      <c r="M1325" s="174" t="s">
        <v>250</v>
      </c>
      <c r="N1325" s="184">
        <v>80</v>
      </c>
      <c r="O1325" s="184">
        <v>6</v>
      </c>
      <c r="P1325" s="184" t="s">
        <v>1429</v>
      </c>
      <c r="Q1325" s="174" t="s">
        <v>233</v>
      </c>
      <c r="R1325" s="276" t="s">
        <v>240</v>
      </c>
      <c r="S1325" s="276" t="s">
        <v>233</v>
      </c>
      <c r="T1325" s="276" t="s">
        <v>240</v>
      </c>
      <c r="U1325" s="174" t="s">
        <v>1427</v>
      </c>
      <c r="V1325" s="276" t="s">
        <v>240</v>
      </c>
      <c r="W1325" s="130"/>
      <c r="X1325" s="125">
        <v>501.43</v>
      </c>
      <c r="Y1325" s="126">
        <v>496.64</v>
      </c>
      <c r="Z1325" s="127">
        <v>75.400168199999996</v>
      </c>
      <c r="AA1325" s="128" t="s">
        <v>252</v>
      </c>
      <c r="AB1325" s="125">
        <v>53.436914999999999</v>
      </c>
      <c r="AC1325" s="128" t="s">
        <v>252</v>
      </c>
      <c r="AD1325" s="129">
        <v>75.732821999999999</v>
      </c>
      <c r="AE1325" s="125" t="s">
        <v>252</v>
      </c>
      <c r="AF1325" s="125">
        <v>45.056294000000001</v>
      </c>
      <c r="AG1325" s="125" t="s">
        <v>252</v>
      </c>
      <c r="AH1325" s="125">
        <v>7.7486289999999993</v>
      </c>
      <c r="AI1325" s="125" t="s">
        <v>252</v>
      </c>
      <c r="AJ1325" s="125">
        <v>0</v>
      </c>
      <c r="AK1325" s="125">
        <v>0</v>
      </c>
      <c r="AL1325" s="125">
        <v>0</v>
      </c>
      <c r="AM1325" s="125">
        <v>0</v>
      </c>
      <c r="AN1325" s="125">
        <v>0</v>
      </c>
      <c r="AO1325" s="125">
        <v>0</v>
      </c>
      <c r="AP1325" s="125"/>
      <c r="AQ1325" s="125"/>
      <c r="AR1325" s="125">
        <v>41.310540000000003</v>
      </c>
      <c r="AS1325" s="125" t="s">
        <v>252</v>
      </c>
      <c r="AT1325" s="125">
        <v>35.668467</v>
      </c>
      <c r="AU1325" s="125" t="s">
        <v>252</v>
      </c>
      <c r="AV1325" s="125">
        <v>60.120960000000004</v>
      </c>
      <c r="AW1325" s="125" t="s">
        <v>252</v>
      </c>
      <c r="AX1325" s="125">
        <f t="shared" si="6"/>
        <v>394.47479520000007</v>
      </c>
      <c r="AY1325" s="125">
        <f>0.1709+0.0028+0.0014+0.0049</f>
        <v>0.18</v>
      </c>
      <c r="AZ1325" s="181" t="s">
        <v>1429</v>
      </c>
      <c r="BA1325" s="181" t="s">
        <v>254</v>
      </c>
      <c r="BB1325" s="181">
        <v>1</v>
      </c>
      <c r="BC1325" s="125" t="s">
        <v>255</v>
      </c>
    </row>
    <row r="1326" spans="1:55" ht="16.350000000000001" customHeight="1" outlineLevel="1">
      <c r="A1326" s="92">
        <v>1316</v>
      </c>
      <c r="B1326" s="99" t="s">
        <v>1058</v>
      </c>
      <c r="C1326" s="122" t="s">
        <v>1048</v>
      </c>
      <c r="D1326" s="161">
        <v>25</v>
      </c>
      <c r="E1326" s="123" t="s">
        <v>734</v>
      </c>
      <c r="F1326" s="124" t="s">
        <v>1425</v>
      </c>
      <c r="G1326" s="133" t="s">
        <v>281</v>
      </c>
      <c r="H1326" s="134" t="s">
        <v>248</v>
      </c>
      <c r="I1326" s="134" t="s">
        <v>1426</v>
      </c>
      <c r="J1326" s="134" t="s">
        <v>139</v>
      </c>
      <c r="K1326" s="124" t="s">
        <v>140</v>
      </c>
      <c r="L1326" s="174">
        <v>1</v>
      </c>
      <c r="M1326" s="174" t="s">
        <v>250</v>
      </c>
      <c r="N1326" s="184">
        <v>65</v>
      </c>
      <c r="O1326" s="184">
        <v>6</v>
      </c>
      <c r="P1326" s="184" t="s">
        <v>1429</v>
      </c>
      <c r="Q1326" s="174" t="s">
        <v>233</v>
      </c>
      <c r="R1326" s="276" t="s">
        <v>240</v>
      </c>
      <c r="S1326" s="276" t="s">
        <v>233</v>
      </c>
      <c r="T1326" s="276" t="s">
        <v>240</v>
      </c>
      <c r="U1326" s="174" t="s">
        <v>1427</v>
      </c>
      <c r="V1326" s="276" t="s">
        <v>240</v>
      </c>
      <c r="W1326" s="130"/>
      <c r="X1326" s="125">
        <v>585</v>
      </c>
      <c r="Y1326" s="126">
        <v>707.5</v>
      </c>
      <c r="Z1326" s="127">
        <v>91.372654799999992</v>
      </c>
      <c r="AA1326" s="128" t="s">
        <v>252</v>
      </c>
      <c r="AB1326" s="125">
        <v>62.478945000000003</v>
      </c>
      <c r="AC1326" s="128" t="s">
        <v>252</v>
      </c>
      <c r="AD1326" s="129">
        <v>89.581968000000003</v>
      </c>
      <c r="AE1326" s="125" t="s">
        <v>252</v>
      </c>
      <c r="AF1326" s="125">
        <v>54.970418000000002</v>
      </c>
      <c r="AG1326" s="125" t="s">
        <v>252</v>
      </c>
      <c r="AH1326" s="125">
        <v>16.197894999999999</v>
      </c>
      <c r="AI1326" s="125" t="s">
        <v>252</v>
      </c>
      <c r="AJ1326" s="125">
        <v>0</v>
      </c>
      <c r="AK1326" s="125">
        <v>0</v>
      </c>
      <c r="AL1326" s="125">
        <v>0</v>
      </c>
      <c r="AM1326" s="125">
        <v>0</v>
      </c>
      <c r="AN1326" s="125">
        <v>0</v>
      </c>
      <c r="AO1326" s="125">
        <v>0</v>
      </c>
      <c r="AP1326" s="125"/>
      <c r="AQ1326" s="125"/>
      <c r="AR1326" s="125">
        <v>45.429408000000002</v>
      </c>
      <c r="AS1326" s="125" t="s">
        <v>252</v>
      </c>
      <c r="AT1326" s="125">
        <v>40.972562999999994</v>
      </c>
      <c r="AU1326" s="125" t="s">
        <v>252</v>
      </c>
      <c r="AV1326" s="125">
        <v>68.790336000000011</v>
      </c>
      <c r="AW1326" s="125" t="s">
        <v>252</v>
      </c>
      <c r="AX1326" s="125">
        <f t="shared" si="6"/>
        <v>469.79418780000003</v>
      </c>
      <c r="AY1326" s="125">
        <f>0.0036+0.0027+0.0043+0.142+0.0103+0.0171</f>
        <v>0.18</v>
      </c>
      <c r="AZ1326" s="181" t="s">
        <v>1429</v>
      </c>
      <c r="BA1326" s="181" t="s">
        <v>254</v>
      </c>
      <c r="BB1326" s="181">
        <v>1</v>
      </c>
      <c r="BC1326" s="125" t="s">
        <v>255</v>
      </c>
    </row>
    <row r="1327" spans="1:55" ht="16.350000000000001" customHeight="1" outlineLevel="1">
      <c r="A1327" s="92">
        <v>1317</v>
      </c>
      <c r="B1327" s="99" t="s">
        <v>1059</v>
      </c>
      <c r="C1327" s="122" t="s">
        <v>1048</v>
      </c>
      <c r="D1327" s="161">
        <v>29</v>
      </c>
      <c r="E1327" s="123" t="s">
        <v>734</v>
      </c>
      <c r="F1327" s="124" t="s">
        <v>1425</v>
      </c>
      <c r="G1327" s="133" t="s">
        <v>281</v>
      </c>
      <c r="H1327" s="134" t="s">
        <v>248</v>
      </c>
      <c r="I1327" s="134" t="s">
        <v>1426</v>
      </c>
      <c r="J1327" s="134" t="s">
        <v>139</v>
      </c>
      <c r="K1327" s="124" t="s">
        <v>140</v>
      </c>
      <c r="L1327" s="174">
        <v>1</v>
      </c>
      <c r="M1327" s="174" t="s">
        <v>250</v>
      </c>
      <c r="N1327" s="184">
        <v>80</v>
      </c>
      <c r="O1327" s="184">
        <v>6</v>
      </c>
      <c r="P1327" s="184" t="s">
        <v>1429</v>
      </c>
      <c r="Q1327" s="174" t="s">
        <v>233</v>
      </c>
      <c r="R1327" s="276" t="s">
        <v>240</v>
      </c>
      <c r="S1327" s="276" t="s">
        <v>233</v>
      </c>
      <c r="T1327" s="276" t="s">
        <v>240</v>
      </c>
      <c r="U1327" s="174" t="s">
        <v>1427</v>
      </c>
      <c r="V1327" s="276" t="s">
        <v>240</v>
      </c>
      <c r="W1327" s="130"/>
      <c r="X1327" s="125">
        <v>410.11</v>
      </c>
      <c r="Y1327" s="126">
        <v>397.29</v>
      </c>
      <c r="Z1327" s="127">
        <v>59.661172199999996</v>
      </c>
      <c r="AA1327" s="128" t="s">
        <v>252</v>
      </c>
      <c r="AB1327" s="125">
        <v>36.25047</v>
      </c>
      <c r="AC1327" s="128" t="s">
        <v>259</v>
      </c>
      <c r="AD1327" s="129">
        <v>39.116987999999999</v>
      </c>
      <c r="AE1327" s="125" t="s">
        <v>259</v>
      </c>
      <c r="AF1327" s="125">
        <v>34.47016</v>
      </c>
      <c r="AG1327" s="125" t="s">
        <v>259</v>
      </c>
      <c r="AH1327" s="125">
        <v>10.044776000000001</v>
      </c>
      <c r="AI1327" s="125" t="s">
        <v>252</v>
      </c>
      <c r="AJ1327" s="125">
        <v>0</v>
      </c>
      <c r="AK1327" s="125">
        <v>0</v>
      </c>
      <c r="AL1327" s="125">
        <v>0</v>
      </c>
      <c r="AM1327" s="125">
        <v>0</v>
      </c>
      <c r="AN1327" s="125">
        <v>0</v>
      </c>
      <c r="AO1327" s="125">
        <v>0</v>
      </c>
      <c r="AP1327" s="125"/>
      <c r="AQ1327" s="125"/>
      <c r="AR1327" s="125">
        <v>47.505443393999997</v>
      </c>
      <c r="AS1327" s="125" t="s">
        <v>312</v>
      </c>
      <c r="AT1327" s="125">
        <v>35.449590163499998</v>
      </c>
      <c r="AU1327" s="125" t="s">
        <v>312</v>
      </c>
      <c r="AV1327" s="125">
        <v>38.281440000000003</v>
      </c>
      <c r="AW1327" s="125" t="s">
        <v>252</v>
      </c>
      <c r="AX1327" s="125">
        <f t="shared" si="6"/>
        <v>300.78003975749994</v>
      </c>
      <c r="AY1327" s="125">
        <f>0.006+0.003+0.0051+0.1659</f>
        <v>0.18</v>
      </c>
      <c r="AZ1327" s="181" t="s">
        <v>1429</v>
      </c>
      <c r="BA1327" s="181" t="s">
        <v>254</v>
      </c>
      <c r="BB1327" s="181">
        <v>1</v>
      </c>
      <c r="BC1327" s="125" t="s">
        <v>255</v>
      </c>
    </row>
    <row r="1328" spans="1:55" ht="16.350000000000001" customHeight="1" outlineLevel="1">
      <c r="A1328" s="92">
        <v>1318</v>
      </c>
      <c r="B1328" s="99" t="s">
        <v>1060</v>
      </c>
      <c r="C1328" s="122" t="s">
        <v>1048</v>
      </c>
      <c r="D1328" s="161">
        <v>32</v>
      </c>
      <c r="E1328" s="123" t="s">
        <v>734</v>
      </c>
      <c r="F1328" s="124" t="s">
        <v>1425</v>
      </c>
      <c r="G1328" s="133" t="s">
        <v>247</v>
      </c>
      <c r="H1328" s="134" t="s">
        <v>248</v>
      </c>
      <c r="I1328" s="134" t="s">
        <v>1426</v>
      </c>
      <c r="J1328" s="134" t="s">
        <v>139</v>
      </c>
      <c r="K1328" s="124" t="s">
        <v>140</v>
      </c>
      <c r="L1328" s="174">
        <v>1</v>
      </c>
      <c r="M1328" s="174" t="s">
        <v>250</v>
      </c>
      <c r="N1328" s="184">
        <v>65</v>
      </c>
      <c r="O1328" s="184">
        <v>6</v>
      </c>
      <c r="P1328" s="184" t="s">
        <v>1429</v>
      </c>
      <c r="Q1328" s="174" t="s">
        <v>233</v>
      </c>
      <c r="R1328" s="276" t="s">
        <v>240</v>
      </c>
      <c r="S1328" s="276" t="s">
        <v>233</v>
      </c>
      <c r="T1328" s="276" t="s">
        <v>240</v>
      </c>
      <c r="U1328" s="174" t="s">
        <v>1427</v>
      </c>
      <c r="V1328" s="276" t="s">
        <v>240</v>
      </c>
      <c r="W1328" s="130"/>
      <c r="X1328" s="125">
        <v>710.27</v>
      </c>
      <c r="Y1328" s="126">
        <v>741.65</v>
      </c>
      <c r="Z1328" s="127">
        <v>114.13366439999999</v>
      </c>
      <c r="AA1328" s="128" t="s">
        <v>252</v>
      </c>
      <c r="AB1328" s="125">
        <v>59.604929999999996</v>
      </c>
      <c r="AC1328" s="128" t="s">
        <v>252</v>
      </c>
      <c r="AD1328" s="129">
        <v>88.273944</v>
      </c>
      <c r="AE1328" s="125" t="s">
        <v>252</v>
      </c>
      <c r="AF1328" s="125">
        <v>45.111635999999997</v>
      </c>
      <c r="AG1328" s="125" t="s">
        <v>252</v>
      </c>
      <c r="AH1328" s="125">
        <v>12.715520999999999</v>
      </c>
      <c r="AI1328" s="125" t="s">
        <v>252</v>
      </c>
      <c r="AJ1328" s="125">
        <v>0</v>
      </c>
      <c r="AK1328" s="125">
        <v>0</v>
      </c>
      <c r="AL1328" s="125">
        <v>0</v>
      </c>
      <c r="AM1328" s="125">
        <v>0</v>
      </c>
      <c r="AN1328" s="125">
        <v>0</v>
      </c>
      <c r="AO1328" s="125">
        <v>0</v>
      </c>
      <c r="AP1328" s="125"/>
      <c r="AQ1328" s="125"/>
      <c r="AR1328" s="125">
        <v>53.772756000000001</v>
      </c>
      <c r="AS1328" s="125" t="s">
        <v>252</v>
      </c>
      <c r="AT1328" s="125">
        <v>42.109155000000001</v>
      </c>
      <c r="AU1328" s="125" t="s">
        <v>252</v>
      </c>
      <c r="AV1328" s="125">
        <v>62.645375999999999</v>
      </c>
      <c r="AW1328" s="125" t="s">
        <v>252</v>
      </c>
      <c r="AX1328" s="125">
        <f t="shared" si="6"/>
        <v>478.36698239999998</v>
      </c>
      <c r="AY1328" s="125">
        <v>0.13</v>
      </c>
      <c r="AZ1328" s="181" t="s">
        <v>1429</v>
      </c>
      <c r="BA1328" s="181" t="s">
        <v>254</v>
      </c>
      <c r="BB1328" s="181">
        <v>1</v>
      </c>
      <c r="BC1328" s="125" t="s">
        <v>255</v>
      </c>
    </row>
    <row r="1329" spans="1:55" ht="16.350000000000001" customHeight="1" outlineLevel="1">
      <c r="A1329" s="92">
        <v>1319</v>
      </c>
      <c r="B1329" s="99" t="s">
        <v>1061</v>
      </c>
      <c r="C1329" s="122" t="s">
        <v>1048</v>
      </c>
      <c r="D1329" s="161">
        <v>34</v>
      </c>
      <c r="E1329" s="123" t="s">
        <v>734</v>
      </c>
      <c r="F1329" s="124" t="s">
        <v>1425</v>
      </c>
      <c r="G1329" s="133" t="s">
        <v>247</v>
      </c>
      <c r="H1329" s="134" t="s">
        <v>248</v>
      </c>
      <c r="I1329" s="134" t="s">
        <v>1426</v>
      </c>
      <c r="J1329" s="134" t="s">
        <v>139</v>
      </c>
      <c r="K1329" s="124" t="s">
        <v>140</v>
      </c>
      <c r="L1329" s="174">
        <v>1</v>
      </c>
      <c r="M1329" s="174" t="s">
        <v>250</v>
      </c>
      <c r="N1329" s="184">
        <v>89</v>
      </c>
      <c r="O1329" s="184">
        <v>6</v>
      </c>
      <c r="P1329" s="184" t="s">
        <v>1429</v>
      </c>
      <c r="Q1329" s="174" t="s">
        <v>233</v>
      </c>
      <c r="R1329" s="276" t="s">
        <v>240</v>
      </c>
      <c r="S1329" s="276" t="s">
        <v>233</v>
      </c>
      <c r="T1329" s="276" t="s">
        <v>240</v>
      </c>
      <c r="U1329" s="174" t="s">
        <v>1427</v>
      </c>
      <c r="V1329" s="276" t="s">
        <v>240</v>
      </c>
      <c r="W1329" s="130"/>
      <c r="X1329" s="125">
        <v>753.32</v>
      </c>
      <c r="Y1329" s="126">
        <v>872.65</v>
      </c>
      <c r="Z1329" s="127">
        <v>101.1965556</v>
      </c>
      <c r="AA1329" s="128" t="s">
        <v>252</v>
      </c>
      <c r="AB1329" s="125">
        <v>74.353815000000012</v>
      </c>
      <c r="AC1329" s="128" t="s">
        <v>252</v>
      </c>
      <c r="AD1329" s="129">
        <v>107.89430400000001</v>
      </c>
      <c r="AE1329" s="125" t="s">
        <v>252</v>
      </c>
      <c r="AF1329" s="125">
        <v>57.697988000000002</v>
      </c>
      <c r="AG1329" s="125" t="s">
        <v>252</v>
      </c>
      <c r="AH1329" s="125">
        <v>11.903891999999999</v>
      </c>
      <c r="AI1329" s="125" t="s">
        <v>252</v>
      </c>
      <c r="AJ1329" s="125">
        <v>0</v>
      </c>
      <c r="AK1329" s="125">
        <v>0</v>
      </c>
      <c r="AL1329" s="125">
        <v>0</v>
      </c>
      <c r="AM1329" s="125">
        <v>0</v>
      </c>
      <c r="AN1329" s="125">
        <v>0</v>
      </c>
      <c r="AO1329" s="125">
        <v>0</v>
      </c>
      <c r="AP1329" s="125"/>
      <c r="AQ1329" s="125"/>
      <c r="AR1329" s="125">
        <v>49.133952000000001</v>
      </c>
      <c r="AS1329" s="125" t="s">
        <v>252</v>
      </c>
      <c r="AT1329" s="125">
        <v>79.585118999999992</v>
      </c>
      <c r="AU1329" s="125" t="s">
        <v>252</v>
      </c>
      <c r="AV1329" s="125">
        <v>67.893504000000007</v>
      </c>
      <c r="AW1329" s="125" t="s">
        <v>252</v>
      </c>
      <c r="AX1329" s="125">
        <f t="shared" si="6"/>
        <v>549.65912960000003</v>
      </c>
      <c r="AY1329" s="125">
        <f>0.2518+0.0282</f>
        <v>0.28000000000000003</v>
      </c>
      <c r="AZ1329" s="181" t="s">
        <v>1429</v>
      </c>
      <c r="BA1329" s="181" t="s">
        <v>254</v>
      </c>
      <c r="BB1329" s="181">
        <v>1</v>
      </c>
      <c r="BC1329" s="125" t="s">
        <v>255</v>
      </c>
    </row>
    <row r="1330" spans="1:55" ht="16.350000000000001" customHeight="1" outlineLevel="1">
      <c r="A1330" s="92">
        <v>1320</v>
      </c>
      <c r="B1330" s="99" t="s">
        <v>1062</v>
      </c>
      <c r="C1330" s="122" t="s">
        <v>1048</v>
      </c>
      <c r="D1330" s="161">
        <v>37</v>
      </c>
      <c r="E1330" s="123" t="s">
        <v>734</v>
      </c>
      <c r="F1330" s="124" t="s">
        <v>1425</v>
      </c>
      <c r="G1330" s="133" t="s">
        <v>281</v>
      </c>
      <c r="H1330" s="134" t="s">
        <v>1424</v>
      </c>
      <c r="I1330" s="134" t="s">
        <v>1426</v>
      </c>
      <c r="J1330" s="134" t="s">
        <v>139</v>
      </c>
      <c r="K1330" s="124" t="s">
        <v>140</v>
      </c>
      <c r="L1330" s="174">
        <v>1</v>
      </c>
      <c r="M1330" s="174" t="s">
        <v>250</v>
      </c>
      <c r="N1330" s="315">
        <v>89</v>
      </c>
      <c r="O1330" s="315">
        <v>6</v>
      </c>
      <c r="P1330" s="315" t="s">
        <v>1429</v>
      </c>
      <c r="Q1330" s="317" t="s">
        <v>233</v>
      </c>
      <c r="R1330" s="320" t="s">
        <v>240</v>
      </c>
      <c r="S1330" s="320" t="s">
        <v>233</v>
      </c>
      <c r="T1330" s="320" t="s">
        <v>240</v>
      </c>
      <c r="U1330" s="174" t="s">
        <v>1427</v>
      </c>
      <c r="V1330" s="320" t="s">
        <v>240</v>
      </c>
      <c r="W1330" s="130"/>
      <c r="X1330" s="292">
        <v>554.04</v>
      </c>
      <c r="Y1330" s="295">
        <v>431.02</v>
      </c>
      <c r="Z1330" s="297">
        <v>69.07862639999999</v>
      </c>
      <c r="AA1330" s="299" t="s">
        <v>252</v>
      </c>
      <c r="AB1330" s="292">
        <v>33.911729999999999</v>
      </c>
      <c r="AC1330" s="299" t="s">
        <v>252</v>
      </c>
      <c r="AD1330" s="301">
        <v>51.684623999999999</v>
      </c>
      <c r="AE1330" s="292" t="s">
        <v>252</v>
      </c>
      <c r="AF1330" s="292">
        <v>31.521221999999998</v>
      </c>
      <c r="AG1330" s="292" t="s">
        <v>252</v>
      </c>
      <c r="AH1330" s="292">
        <v>9.4828790000000005</v>
      </c>
      <c r="AI1330" s="292" t="s">
        <v>252</v>
      </c>
      <c r="AJ1330" s="292">
        <v>0</v>
      </c>
      <c r="AK1330" s="292">
        <v>0</v>
      </c>
      <c r="AL1330" s="292">
        <v>0</v>
      </c>
      <c r="AM1330" s="292">
        <v>0</v>
      </c>
      <c r="AN1330" s="292">
        <v>0</v>
      </c>
      <c r="AO1330" s="292">
        <v>0</v>
      </c>
      <c r="AP1330" s="292"/>
      <c r="AQ1330" s="292"/>
      <c r="AR1330" s="292">
        <v>29.847576000000004</v>
      </c>
      <c r="AS1330" s="292" t="s">
        <v>252</v>
      </c>
      <c r="AT1330" s="292">
        <v>28.533194999999999</v>
      </c>
      <c r="AU1330" s="292" t="s">
        <v>252</v>
      </c>
      <c r="AV1330" s="292">
        <v>41.295791999999999</v>
      </c>
      <c r="AW1330" s="292" t="s">
        <v>252</v>
      </c>
      <c r="AX1330" s="292">
        <f t="shared" si="6"/>
        <v>295.35564439999996</v>
      </c>
      <c r="AY1330" s="125">
        <f>0.0093+0.2283+0.0037+0.0047</f>
        <v>0.24600000000000002</v>
      </c>
      <c r="AZ1330" s="312" t="s">
        <v>1429</v>
      </c>
      <c r="BA1330" s="312" t="s">
        <v>254</v>
      </c>
      <c r="BB1330" s="312">
        <v>1</v>
      </c>
      <c r="BC1330" s="125" t="s">
        <v>255</v>
      </c>
    </row>
    <row r="1331" spans="1:55" ht="16.350000000000001" customHeight="1" outlineLevel="1">
      <c r="A1331" s="92">
        <v>1321</v>
      </c>
      <c r="B1331" s="99" t="s">
        <v>1063</v>
      </c>
      <c r="C1331" s="122" t="s">
        <v>1048</v>
      </c>
      <c r="D1331" s="161">
        <v>4</v>
      </c>
      <c r="E1331" s="123" t="s">
        <v>734</v>
      </c>
      <c r="F1331" s="124" t="s">
        <v>1425</v>
      </c>
      <c r="G1331" s="133" t="s">
        <v>281</v>
      </c>
      <c r="H1331" s="334" t="s">
        <v>248</v>
      </c>
      <c r="I1331" s="334" t="s">
        <v>1426</v>
      </c>
      <c r="J1331" s="317" t="s">
        <v>139</v>
      </c>
      <c r="K1331" s="317" t="s">
        <v>140</v>
      </c>
      <c r="L1331" s="334">
        <v>1</v>
      </c>
      <c r="M1331" s="334" t="s">
        <v>250</v>
      </c>
      <c r="N1331" s="315"/>
      <c r="O1331" s="315"/>
      <c r="P1331" s="315"/>
      <c r="Q1331" s="319"/>
      <c r="R1331" s="320"/>
      <c r="S1331" s="320"/>
      <c r="T1331" s="320"/>
      <c r="U1331" s="334" t="s">
        <v>1427</v>
      </c>
      <c r="V1331" s="320"/>
      <c r="W1331" s="189"/>
      <c r="X1331" s="294"/>
      <c r="Y1331" s="296"/>
      <c r="Z1331" s="298"/>
      <c r="AA1331" s="300"/>
      <c r="AB1331" s="294"/>
      <c r="AC1331" s="300"/>
      <c r="AD1331" s="302"/>
      <c r="AE1331" s="294"/>
      <c r="AF1331" s="294"/>
      <c r="AG1331" s="294"/>
      <c r="AH1331" s="294"/>
      <c r="AI1331" s="294"/>
      <c r="AJ1331" s="294"/>
      <c r="AK1331" s="294"/>
      <c r="AL1331" s="294"/>
      <c r="AM1331" s="294"/>
      <c r="AN1331" s="294"/>
      <c r="AO1331" s="294"/>
      <c r="AP1331" s="294"/>
      <c r="AQ1331" s="294"/>
      <c r="AR1331" s="294"/>
      <c r="AS1331" s="294"/>
      <c r="AT1331" s="294"/>
      <c r="AU1331" s="294"/>
      <c r="AV1331" s="294"/>
      <c r="AW1331" s="294"/>
      <c r="AX1331" s="294">
        <f t="shared" si="6"/>
        <v>0</v>
      </c>
      <c r="AY1331" s="292">
        <f>0.12</f>
        <v>0.12</v>
      </c>
      <c r="AZ1331" s="312"/>
      <c r="BA1331" s="312"/>
      <c r="BB1331" s="312"/>
      <c r="BC1331" s="336" t="s">
        <v>255</v>
      </c>
    </row>
    <row r="1332" spans="1:55" ht="16.350000000000001" customHeight="1" outlineLevel="1">
      <c r="A1332" s="92">
        <v>1322</v>
      </c>
      <c r="B1332" s="99" t="s">
        <v>1064</v>
      </c>
      <c r="C1332" s="122" t="s">
        <v>1048</v>
      </c>
      <c r="D1332" s="161">
        <v>4</v>
      </c>
      <c r="E1332" s="123" t="s">
        <v>737</v>
      </c>
      <c r="F1332" s="124" t="s">
        <v>1425</v>
      </c>
      <c r="G1332" s="133" t="s">
        <v>281</v>
      </c>
      <c r="H1332" s="335"/>
      <c r="I1332" s="335"/>
      <c r="J1332" s="319"/>
      <c r="K1332" s="319"/>
      <c r="L1332" s="335"/>
      <c r="M1332" s="335"/>
      <c r="N1332" s="184">
        <v>89</v>
      </c>
      <c r="O1332" s="184">
        <v>6</v>
      </c>
      <c r="P1332" s="184" t="s">
        <v>1429</v>
      </c>
      <c r="Q1332" s="174" t="s">
        <v>233</v>
      </c>
      <c r="R1332" s="276" t="s">
        <v>240</v>
      </c>
      <c r="S1332" s="276" t="s">
        <v>233</v>
      </c>
      <c r="T1332" s="276" t="s">
        <v>240</v>
      </c>
      <c r="U1332" s="335"/>
      <c r="V1332" s="276" t="s">
        <v>240</v>
      </c>
      <c r="W1332" s="190"/>
      <c r="X1332" s="125">
        <v>435.33</v>
      </c>
      <c r="Y1332" s="126">
        <v>390.67</v>
      </c>
      <c r="Z1332" s="127">
        <v>62.947336200000002</v>
      </c>
      <c r="AA1332" s="128" t="s">
        <v>252</v>
      </c>
      <c r="AB1332" s="125">
        <v>44.131365000000002</v>
      </c>
      <c r="AC1332" s="128" t="s">
        <v>252</v>
      </c>
      <c r="AD1332" s="129">
        <v>60.964524000000004</v>
      </c>
      <c r="AE1332" s="125" t="s">
        <v>252</v>
      </c>
      <c r="AF1332" s="125">
        <v>28.121641999999998</v>
      </c>
      <c r="AG1332" s="125" t="s">
        <v>252</v>
      </c>
      <c r="AH1332" s="125">
        <v>8.3521479999999997</v>
      </c>
      <c r="AI1332" s="125" t="s">
        <v>252</v>
      </c>
      <c r="AJ1332" s="125">
        <v>0</v>
      </c>
      <c r="AK1332" s="125">
        <v>0</v>
      </c>
      <c r="AL1332" s="125">
        <v>0</v>
      </c>
      <c r="AM1332" s="125">
        <v>0</v>
      </c>
      <c r="AN1332" s="125">
        <v>0</v>
      </c>
      <c r="AO1332" s="125">
        <v>0</v>
      </c>
      <c r="AP1332" s="125"/>
      <c r="AQ1332" s="125"/>
      <c r="AR1332" s="125">
        <v>29.481995999999999</v>
      </c>
      <c r="AS1332" s="125" t="s">
        <v>252</v>
      </c>
      <c r="AT1332" s="125">
        <v>27.846503999999999</v>
      </c>
      <c r="AU1332" s="125" t="s">
        <v>252</v>
      </c>
      <c r="AV1332" s="125">
        <v>40.531824</v>
      </c>
      <c r="AW1332" s="125" t="s">
        <v>252</v>
      </c>
      <c r="AX1332" s="125">
        <f t="shared" si="6"/>
        <v>302.37733920000005</v>
      </c>
      <c r="AY1332" s="294"/>
      <c r="AZ1332" s="181" t="s">
        <v>1429</v>
      </c>
      <c r="BA1332" s="181" t="s">
        <v>254</v>
      </c>
      <c r="BB1332" s="181">
        <v>1</v>
      </c>
      <c r="BC1332" s="337"/>
    </row>
    <row r="1333" spans="1:55" ht="16.350000000000001" customHeight="1" outlineLevel="1">
      <c r="A1333" s="92">
        <v>1323</v>
      </c>
      <c r="B1333" s="99" t="s">
        <v>1065</v>
      </c>
      <c r="C1333" s="122" t="s">
        <v>1048</v>
      </c>
      <c r="D1333" s="161">
        <v>5</v>
      </c>
      <c r="E1333" s="123" t="s">
        <v>734</v>
      </c>
      <c r="F1333" s="124" t="s">
        <v>1425</v>
      </c>
      <c r="G1333" s="133" t="s">
        <v>281</v>
      </c>
      <c r="H1333" s="134" t="s">
        <v>248</v>
      </c>
      <c r="I1333" s="134" t="s">
        <v>1426</v>
      </c>
      <c r="J1333" s="134" t="s">
        <v>139</v>
      </c>
      <c r="K1333" s="124" t="s">
        <v>140</v>
      </c>
      <c r="L1333" s="174">
        <v>1</v>
      </c>
      <c r="M1333" s="174" t="s">
        <v>250</v>
      </c>
      <c r="N1333" s="315">
        <v>89</v>
      </c>
      <c r="O1333" s="315">
        <v>6</v>
      </c>
      <c r="P1333" s="315" t="s">
        <v>1429</v>
      </c>
      <c r="Q1333" s="317" t="s">
        <v>233</v>
      </c>
      <c r="R1333" s="320" t="s">
        <v>240</v>
      </c>
      <c r="S1333" s="320" t="s">
        <v>233</v>
      </c>
      <c r="T1333" s="320" t="s">
        <v>240</v>
      </c>
      <c r="U1333" s="174" t="s">
        <v>1427</v>
      </c>
      <c r="V1333" s="320" t="s">
        <v>240</v>
      </c>
      <c r="W1333" s="130"/>
      <c r="X1333" s="292">
        <v>217.95</v>
      </c>
      <c r="Y1333" s="295">
        <v>184.01</v>
      </c>
      <c r="Z1333" s="297">
        <v>29.047960200000002</v>
      </c>
      <c r="AA1333" s="299" t="s">
        <v>252</v>
      </c>
      <c r="AB1333" s="292">
        <v>17.202915000000001</v>
      </c>
      <c r="AC1333" s="299" t="s">
        <v>252</v>
      </c>
      <c r="AD1333" s="301">
        <v>26.593541999999999</v>
      </c>
      <c r="AE1333" s="292" t="s">
        <v>252</v>
      </c>
      <c r="AF1333" s="292">
        <v>13.274173999999999</v>
      </c>
      <c r="AG1333" s="292" t="s">
        <v>252</v>
      </c>
      <c r="AH1333" s="292">
        <v>5.1125689999999997</v>
      </c>
      <c r="AI1333" s="292" t="s">
        <v>252</v>
      </c>
      <c r="AJ1333" s="292">
        <v>0</v>
      </c>
      <c r="AK1333" s="292">
        <v>0</v>
      </c>
      <c r="AL1333" s="292">
        <v>0</v>
      </c>
      <c r="AM1333" s="292">
        <v>0</v>
      </c>
      <c r="AN1333" s="292">
        <v>0</v>
      </c>
      <c r="AO1333" s="292">
        <v>0</v>
      </c>
      <c r="AP1333" s="292"/>
      <c r="AQ1333" s="292"/>
      <c r="AR1333" s="292">
        <v>14.606952</v>
      </c>
      <c r="AS1333" s="292" t="s">
        <v>252</v>
      </c>
      <c r="AT1333" s="292">
        <v>14.641515</v>
      </c>
      <c r="AU1333" s="292" t="s">
        <v>252</v>
      </c>
      <c r="AV1333" s="292">
        <v>17.604479999999999</v>
      </c>
      <c r="AW1333" s="292" t="s">
        <v>252</v>
      </c>
      <c r="AX1333" s="292">
        <f t="shared" si="6"/>
        <v>138.08410720000001</v>
      </c>
      <c r="AY1333" s="125">
        <f>0.1</f>
        <v>0.1</v>
      </c>
      <c r="AZ1333" s="312" t="s">
        <v>1429</v>
      </c>
      <c r="BA1333" s="312" t="s">
        <v>254</v>
      </c>
      <c r="BB1333" s="312">
        <v>1</v>
      </c>
      <c r="BC1333" s="125" t="s">
        <v>255</v>
      </c>
    </row>
    <row r="1334" spans="1:55" ht="16.350000000000001" customHeight="1" outlineLevel="1">
      <c r="A1334" s="92">
        <v>1324</v>
      </c>
      <c r="B1334" s="99" t="s">
        <v>1066</v>
      </c>
      <c r="C1334" s="122" t="s">
        <v>1048</v>
      </c>
      <c r="D1334" s="161">
        <v>6</v>
      </c>
      <c r="E1334" s="123" t="s">
        <v>734</v>
      </c>
      <c r="F1334" s="124" t="s">
        <v>1425</v>
      </c>
      <c r="G1334" s="133" t="s">
        <v>281</v>
      </c>
      <c r="H1334" s="334" t="s">
        <v>248</v>
      </c>
      <c r="I1334" s="334" t="s">
        <v>1426</v>
      </c>
      <c r="J1334" s="317" t="s">
        <v>139</v>
      </c>
      <c r="K1334" s="317" t="s">
        <v>140</v>
      </c>
      <c r="L1334" s="334">
        <v>1</v>
      </c>
      <c r="M1334" s="334" t="s">
        <v>250</v>
      </c>
      <c r="N1334" s="315"/>
      <c r="O1334" s="315"/>
      <c r="P1334" s="315"/>
      <c r="Q1334" s="319"/>
      <c r="R1334" s="320"/>
      <c r="S1334" s="320"/>
      <c r="T1334" s="320"/>
      <c r="U1334" s="334" t="s">
        <v>1427</v>
      </c>
      <c r="V1334" s="320"/>
      <c r="W1334" s="189"/>
      <c r="X1334" s="294"/>
      <c r="Y1334" s="296"/>
      <c r="Z1334" s="298"/>
      <c r="AA1334" s="300"/>
      <c r="AB1334" s="294"/>
      <c r="AC1334" s="300"/>
      <c r="AD1334" s="302"/>
      <c r="AE1334" s="294"/>
      <c r="AF1334" s="294"/>
      <c r="AG1334" s="294"/>
      <c r="AH1334" s="294"/>
      <c r="AI1334" s="294"/>
      <c r="AJ1334" s="294"/>
      <c r="AK1334" s="294"/>
      <c r="AL1334" s="294"/>
      <c r="AM1334" s="294"/>
      <c r="AN1334" s="294"/>
      <c r="AO1334" s="294"/>
      <c r="AP1334" s="294"/>
      <c r="AQ1334" s="294"/>
      <c r="AR1334" s="294"/>
      <c r="AS1334" s="294"/>
      <c r="AT1334" s="294"/>
      <c r="AU1334" s="294"/>
      <c r="AV1334" s="294"/>
      <c r="AW1334" s="294"/>
      <c r="AX1334" s="294">
        <f t="shared" si="6"/>
        <v>0</v>
      </c>
      <c r="AY1334" s="292">
        <f>0.0367+0.0133</f>
        <v>0.05</v>
      </c>
      <c r="AZ1334" s="312"/>
      <c r="BA1334" s="312"/>
      <c r="BB1334" s="312"/>
      <c r="BC1334" s="336" t="s">
        <v>255</v>
      </c>
    </row>
    <row r="1335" spans="1:55" ht="16.350000000000001" customHeight="1" outlineLevel="1">
      <c r="A1335" s="92">
        <v>1325</v>
      </c>
      <c r="B1335" s="99" t="s">
        <v>1067</v>
      </c>
      <c r="C1335" s="122" t="s">
        <v>1048</v>
      </c>
      <c r="D1335" s="161">
        <v>6</v>
      </c>
      <c r="E1335" s="123" t="s">
        <v>737</v>
      </c>
      <c r="F1335" s="124" t="s">
        <v>1425</v>
      </c>
      <c r="G1335" s="133" t="s">
        <v>281</v>
      </c>
      <c r="H1335" s="335"/>
      <c r="I1335" s="335"/>
      <c r="J1335" s="319"/>
      <c r="K1335" s="319"/>
      <c r="L1335" s="335"/>
      <c r="M1335" s="335"/>
      <c r="N1335" s="315">
        <v>89</v>
      </c>
      <c r="O1335" s="315">
        <v>6</v>
      </c>
      <c r="P1335" s="315" t="s">
        <v>1429</v>
      </c>
      <c r="Q1335" s="317" t="s">
        <v>233</v>
      </c>
      <c r="R1335" s="320" t="s">
        <v>240</v>
      </c>
      <c r="S1335" s="320" t="s">
        <v>233</v>
      </c>
      <c r="T1335" s="320" t="s">
        <v>240</v>
      </c>
      <c r="U1335" s="335"/>
      <c r="V1335" s="320" t="s">
        <v>240</v>
      </c>
      <c r="W1335" s="190"/>
      <c r="X1335" s="292">
        <v>714.97</v>
      </c>
      <c r="Y1335" s="295">
        <v>790.49</v>
      </c>
      <c r="Z1335" s="297">
        <v>86.279100599999992</v>
      </c>
      <c r="AA1335" s="299" t="s">
        <v>252</v>
      </c>
      <c r="AB1335" s="292">
        <v>73.019745</v>
      </c>
      <c r="AC1335" s="299" t="s">
        <v>252</v>
      </c>
      <c r="AD1335" s="301">
        <v>88.433028000000007</v>
      </c>
      <c r="AE1335" s="292" t="s">
        <v>252</v>
      </c>
      <c r="AF1335" s="292">
        <v>44.384284000000001</v>
      </c>
      <c r="AG1335" s="292" t="s">
        <v>252</v>
      </c>
      <c r="AH1335" s="292">
        <v>21.719746999999998</v>
      </c>
      <c r="AI1335" s="292" t="s">
        <v>252</v>
      </c>
      <c r="AJ1335" s="292">
        <v>0</v>
      </c>
      <c r="AK1335" s="292">
        <v>0</v>
      </c>
      <c r="AL1335" s="292">
        <v>0</v>
      </c>
      <c r="AM1335" s="292">
        <v>0</v>
      </c>
      <c r="AN1335" s="292">
        <v>0</v>
      </c>
      <c r="AO1335" s="292">
        <v>0</v>
      </c>
      <c r="AP1335" s="292"/>
      <c r="AQ1335" s="292"/>
      <c r="AR1335" s="292">
        <v>53.488416000000001</v>
      </c>
      <c r="AS1335" s="292" t="s">
        <v>252</v>
      </c>
      <c r="AT1335" s="292">
        <v>40.341123000000003</v>
      </c>
      <c r="AU1335" s="292" t="s">
        <v>252</v>
      </c>
      <c r="AV1335" s="292">
        <v>59.45664</v>
      </c>
      <c r="AW1335" s="292" t="s">
        <v>252</v>
      </c>
      <c r="AX1335" s="292">
        <f t="shared" si="6"/>
        <v>467.12208359999994</v>
      </c>
      <c r="AY1335" s="294"/>
      <c r="AZ1335" s="312" t="s">
        <v>1429</v>
      </c>
      <c r="BA1335" s="312" t="s">
        <v>254</v>
      </c>
      <c r="BB1335" s="312">
        <v>1</v>
      </c>
      <c r="BC1335" s="337"/>
    </row>
    <row r="1336" spans="1:55" ht="16.350000000000001" customHeight="1" outlineLevel="1">
      <c r="A1336" s="92">
        <v>1326</v>
      </c>
      <c r="B1336" s="99" t="s">
        <v>1068</v>
      </c>
      <c r="C1336" s="122" t="s">
        <v>1048</v>
      </c>
      <c r="D1336" s="161">
        <v>7</v>
      </c>
      <c r="E1336" s="123" t="s">
        <v>734</v>
      </c>
      <c r="F1336" s="124" t="s">
        <v>1425</v>
      </c>
      <c r="G1336" s="133" t="s">
        <v>281</v>
      </c>
      <c r="H1336" s="334" t="s">
        <v>248</v>
      </c>
      <c r="I1336" s="334" t="s">
        <v>1426</v>
      </c>
      <c r="J1336" s="317" t="s">
        <v>139</v>
      </c>
      <c r="K1336" s="317" t="s">
        <v>140</v>
      </c>
      <c r="L1336" s="334">
        <v>1</v>
      </c>
      <c r="M1336" s="334" t="s">
        <v>250</v>
      </c>
      <c r="N1336" s="315"/>
      <c r="O1336" s="315"/>
      <c r="P1336" s="315"/>
      <c r="Q1336" s="319"/>
      <c r="R1336" s="320"/>
      <c r="S1336" s="320"/>
      <c r="T1336" s="320"/>
      <c r="U1336" s="334" t="s">
        <v>1427</v>
      </c>
      <c r="V1336" s="320"/>
      <c r="W1336" s="189"/>
      <c r="X1336" s="294"/>
      <c r="Y1336" s="296"/>
      <c r="Z1336" s="298"/>
      <c r="AA1336" s="300"/>
      <c r="AB1336" s="294"/>
      <c r="AC1336" s="300"/>
      <c r="AD1336" s="302"/>
      <c r="AE1336" s="294"/>
      <c r="AF1336" s="294"/>
      <c r="AG1336" s="294"/>
      <c r="AH1336" s="294"/>
      <c r="AI1336" s="294"/>
      <c r="AJ1336" s="294"/>
      <c r="AK1336" s="294"/>
      <c r="AL1336" s="294"/>
      <c r="AM1336" s="294"/>
      <c r="AN1336" s="294"/>
      <c r="AO1336" s="294"/>
      <c r="AP1336" s="294"/>
      <c r="AQ1336" s="294"/>
      <c r="AR1336" s="294"/>
      <c r="AS1336" s="294"/>
      <c r="AT1336" s="294"/>
      <c r="AU1336" s="294"/>
      <c r="AV1336" s="294"/>
      <c r="AW1336" s="294"/>
      <c r="AX1336" s="294">
        <f t="shared" si="6"/>
        <v>0</v>
      </c>
      <c r="AY1336" s="292">
        <v>0.27</v>
      </c>
      <c r="AZ1336" s="312"/>
      <c r="BA1336" s="312"/>
      <c r="BB1336" s="312"/>
      <c r="BC1336" s="336" t="s">
        <v>255</v>
      </c>
    </row>
    <row r="1337" spans="1:55" ht="16.350000000000001" customHeight="1" outlineLevel="1">
      <c r="A1337" s="92">
        <v>1327</v>
      </c>
      <c r="B1337" s="99" t="s">
        <v>1069</v>
      </c>
      <c r="C1337" s="122" t="s">
        <v>1048</v>
      </c>
      <c r="D1337" s="161">
        <v>7</v>
      </c>
      <c r="E1337" s="123" t="s">
        <v>737</v>
      </c>
      <c r="F1337" s="124" t="s">
        <v>1425</v>
      </c>
      <c r="G1337" s="133" t="s">
        <v>281</v>
      </c>
      <c r="H1337" s="335"/>
      <c r="I1337" s="335"/>
      <c r="J1337" s="319"/>
      <c r="K1337" s="319"/>
      <c r="L1337" s="335"/>
      <c r="M1337" s="335"/>
      <c r="N1337" s="184">
        <v>89</v>
      </c>
      <c r="O1337" s="184">
        <v>6</v>
      </c>
      <c r="P1337" s="184" t="s">
        <v>1429</v>
      </c>
      <c r="Q1337" s="174" t="s">
        <v>233</v>
      </c>
      <c r="R1337" s="276" t="s">
        <v>240</v>
      </c>
      <c r="S1337" s="276" t="s">
        <v>233</v>
      </c>
      <c r="T1337" s="276" t="s">
        <v>240</v>
      </c>
      <c r="U1337" s="335"/>
      <c r="V1337" s="276" t="s">
        <v>240</v>
      </c>
      <c r="W1337" s="190"/>
      <c r="X1337" s="125">
        <v>1462.16</v>
      </c>
      <c r="Y1337" s="126">
        <v>1313.42</v>
      </c>
      <c r="Z1337" s="127">
        <v>198.24216720000001</v>
      </c>
      <c r="AA1337" s="128" t="s">
        <v>252</v>
      </c>
      <c r="AB1337" s="125">
        <v>117.62874000000001</v>
      </c>
      <c r="AC1337" s="128" t="s">
        <v>252</v>
      </c>
      <c r="AD1337" s="129">
        <v>181.099458</v>
      </c>
      <c r="AE1337" s="125" t="s">
        <v>252</v>
      </c>
      <c r="AF1337" s="125">
        <v>90.357674000000003</v>
      </c>
      <c r="AG1337" s="125" t="s">
        <v>252</v>
      </c>
      <c r="AH1337" s="125">
        <v>34.518512000000001</v>
      </c>
      <c r="AI1337" s="125" t="s">
        <v>252</v>
      </c>
      <c r="AJ1337" s="125">
        <v>0</v>
      </c>
      <c r="AK1337" s="125">
        <v>0</v>
      </c>
      <c r="AL1337" s="125">
        <v>0</v>
      </c>
      <c r="AM1337" s="125">
        <v>0</v>
      </c>
      <c r="AN1337" s="125">
        <v>0</v>
      </c>
      <c r="AO1337" s="125">
        <v>0</v>
      </c>
      <c r="AP1337" s="125"/>
      <c r="AQ1337" s="125"/>
      <c r="AR1337" s="125">
        <v>99.405264000000003</v>
      </c>
      <c r="AS1337" s="125" t="s">
        <v>252</v>
      </c>
      <c r="AT1337" s="125">
        <v>99.554408999999993</v>
      </c>
      <c r="AU1337" s="125" t="s">
        <v>252</v>
      </c>
      <c r="AV1337" s="125">
        <v>120.24192000000001</v>
      </c>
      <c r="AW1337" s="125" t="s">
        <v>252</v>
      </c>
      <c r="AX1337" s="125">
        <f t="shared" si="6"/>
        <v>941.04814420000002</v>
      </c>
      <c r="AY1337" s="294"/>
      <c r="AZ1337" s="181" t="s">
        <v>1429</v>
      </c>
      <c r="BA1337" s="181" t="s">
        <v>254</v>
      </c>
      <c r="BB1337" s="181">
        <v>1</v>
      </c>
      <c r="BC1337" s="337"/>
    </row>
    <row r="1338" spans="1:55" ht="16.350000000000001" customHeight="1" outlineLevel="1">
      <c r="A1338" s="92">
        <v>1328</v>
      </c>
      <c r="B1338" s="99" t="s">
        <v>1070</v>
      </c>
      <c r="C1338" s="122" t="s">
        <v>1048</v>
      </c>
      <c r="D1338" s="161">
        <v>8</v>
      </c>
      <c r="E1338" s="123" t="s">
        <v>734</v>
      </c>
      <c r="F1338" s="124" t="s">
        <v>1425</v>
      </c>
      <c r="G1338" s="133" t="s">
        <v>281</v>
      </c>
      <c r="H1338" s="134" t="s">
        <v>248</v>
      </c>
      <c r="I1338" s="134" t="s">
        <v>1426</v>
      </c>
      <c r="J1338" s="134" t="s">
        <v>139</v>
      </c>
      <c r="K1338" s="124" t="s">
        <v>140</v>
      </c>
      <c r="L1338" s="174">
        <v>1</v>
      </c>
      <c r="M1338" s="174" t="s">
        <v>250</v>
      </c>
      <c r="N1338" s="184">
        <v>89</v>
      </c>
      <c r="O1338" s="184">
        <v>6</v>
      </c>
      <c r="P1338" s="184" t="s">
        <v>1429</v>
      </c>
      <c r="Q1338" s="174" t="s">
        <v>233</v>
      </c>
      <c r="R1338" s="276" t="s">
        <v>240</v>
      </c>
      <c r="S1338" s="276" t="s">
        <v>233</v>
      </c>
      <c r="T1338" s="276" t="s">
        <v>240</v>
      </c>
      <c r="U1338" s="174" t="s">
        <v>1427</v>
      </c>
      <c r="V1338" s="276" t="s">
        <v>240</v>
      </c>
      <c r="W1338" s="130"/>
      <c r="X1338" s="125">
        <v>553.1</v>
      </c>
      <c r="Y1338" s="126">
        <v>599.01</v>
      </c>
      <c r="Z1338" s="127">
        <v>66.311330400000003</v>
      </c>
      <c r="AA1338" s="128" t="s">
        <v>252</v>
      </c>
      <c r="AB1338" s="125">
        <v>56.146230000000003</v>
      </c>
      <c r="AC1338" s="128" t="s">
        <v>252</v>
      </c>
      <c r="AD1338" s="129">
        <v>68.026086000000006</v>
      </c>
      <c r="AE1338" s="125" t="s">
        <v>252</v>
      </c>
      <c r="AF1338" s="125">
        <v>34.11439</v>
      </c>
      <c r="AG1338" s="125" t="s">
        <v>252</v>
      </c>
      <c r="AH1338" s="125">
        <v>16.558619</v>
      </c>
      <c r="AI1338" s="125" t="s">
        <v>252</v>
      </c>
      <c r="AJ1338" s="125">
        <v>0</v>
      </c>
      <c r="AK1338" s="125">
        <v>0</v>
      </c>
      <c r="AL1338" s="125">
        <v>0</v>
      </c>
      <c r="AM1338" s="125">
        <v>0</v>
      </c>
      <c r="AN1338" s="125">
        <v>0</v>
      </c>
      <c r="AO1338" s="125">
        <v>0</v>
      </c>
      <c r="AP1338" s="125"/>
      <c r="AQ1338" s="125"/>
      <c r="AR1338" s="125">
        <v>41.123688000000001</v>
      </c>
      <c r="AS1338" s="125" t="s">
        <v>252</v>
      </c>
      <c r="AT1338" s="125">
        <v>30.972132000000002</v>
      </c>
      <c r="AU1338" s="125" t="s">
        <v>252</v>
      </c>
      <c r="AV1338" s="125">
        <v>45.705216</v>
      </c>
      <c r="AW1338" s="125" t="s">
        <v>252</v>
      </c>
      <c r="AX1338" s="125">
        <f t="shared" si="6"/>
        <v>358.95769139999999</v>
      </c>
      <c r="AY1338" s="125">
        <f>0.3137+0.0057+0.0087+0.0019</f>
        <v>0.32999999999999996</v>
      </c>
      <c r="AZ1338" s="181" t="s">
        <v>1429</v>
      </c>
      <c r="BA1338" s="181" t="s">
        <v>254</v>
      </c>
      <c r="BB1338" s="181">
        <v>1</v>
      </c>
      <c r="BC1338" s="125" t="s">
        <v>255</v>
      </c>
    </row>
    <row r="1339" spans="1:55" ht="16.350000000000001" customHeight="1" outlineLevel="1">
      <c r="A1339" s="92">
        <v>1329</v>
      </c>
      <c r="B1339" s="99" t="s">
        <v>1071</v>
      </c>
      <c r="C1339" s="122" t="s">
        <v>1048</v>
      </c>
      <c r="D1339" s="161">
        <v>9</v>
      </c>
      <c r="E1339" s="123" t="s">
        <v>737</v>
      </c>
      <c r="F1339" s="124" t="s">
        <v>1425</v>
      </c>
      <c r="G1339" s="133" t="s">
        <v>281</v>
      </c>
      <c r="H1339" s="134" t="s">
        <v>248</v>
      </c>
      <c r="I1339" s="134" t="s">
        <v>1426</v>
      </c>
      <c r="J1339" s="134" t="s">
        <v>139</v>
      </c>
      <c r="K1339" s="124" t="s">
        <v>140</v>
      </c>
      <c r="L1339" s="174">
        <v>1</v>
      </c>
      <c r="M1339" s="174" t="s">
        <v>250</v>
      </c>
      <c r="N1339" s="184">
        <v>89</v>
      </c>
      <c r="O1339" s="184">
        <v>6</v>
      </c>
      <c r="P1339" s="184" t="s">
        <v>1429</v>
      </c>
      <c r="Q1339" s="174" t="s">
        <v>233</v>
      </c>
      <c r="R1339" s="276" t="s">
        <v>240</v>
      </c>
      <c r="S1339" s="276" t="s">
        <v>233</v>
      </c>
      <c r="T1339" s="276" t="s">
        <v>240</v>
      </c>
      <c r="U1339" s="174" t="s">
        <v>1427</v>
      </c>
      <c r="V1339" s="276" t="s">
        <v>240</v>
      </c>
      <c r="W1339" s="130"/>
      <c r="X1339" s="125">
        <v>317.87</v>
      </c>
      <c r="Y1339" s="126">
        <v>319.20999999999998</v>
      </c>
      <c r="Z1339" s="127">
        <v>41.241358200000001</v>
      </c>
      <c r="AA1339" s="128" t="s">
        <v>252</v>
      </c>
      <c r="AB1339" s="125">
        <v>31.037714999999999</v>
      </c>
      <c r="AC1339" s="128" t="s">
        <v>252</v>
      </c>
      <c r="AD1339" s="129">
        <v>43.032221999999997</v>
      </c>
      <c r="AE1339" s="125" t="s">
        <v>252</v>
      </c>
      <c r="AF1339" s="125">
        <v>24.492788000000001</v>
      </c>
      <c r="AG1339" s="125" t="s">
        <v>252</v>
      </c>
      <c r="AH1339" s="125">
        <v>6.2016779999999994</v>
      </c>
      <c r="AI1339" s="125" t="s">
        <v>252</v>
      </c>
      <c r="AJ1339" s="125">
        <v>0</v>
      </c>
      <c r="AK1339" s="125">
        <v>0</v>
      </c>
      <c r="AL1339" s="125">
        <v>0</v>
      </c>
      <c r="AM1339" s="125">
        <v>0</v>
      </c>
      <c r="AN1339" s="125">
        <v>0</v>
      </c>
      <c r="AO1339" s="125">
        <v>0</v>
      </c>
      <c r="AP1339" s="125"/>
      <c r="AQ1339" s="125"/>
      <c r="AR1339" s="125">
        <v>22.316627999999998</v>
      </c>
      <c r="AS1339" s="125" t="s">
        <v>252</v>
      </c>
      <c r="AT1339" s="125">
        <v>20.537586000000001</v>
      </c>
      <c r="AU1339" s="125" t="s">
        <v>252</v>
      </c>
      <c r="AV1339" s="125">
        <v>29.013979195200001</v>
      </c>
      <c r="AW1339" s="125" t="s">
        <v>252</v>
      </c>
      <c r="AX1339" s="125">
        <f t="shared" si="6"/>
        <v>217.87395439519997</v>
      </c>
      <c r="AY1339" s="125">
        <f>0.0069+0.1931</f>
        <v>0.19999999999999998</v>
      </c>
      <c r="AZ1339" s="181" t="s">
        <v>1429</v>
      </c>
      <c r="BA1339" s="181" t="s">
        <v>254</v>
      </c>
      <c r="BB1339" s="181">
        <v>1</v>
      </c>
      <c r="BC1339" s="125" t="s">
        <v>255</v>
      </c>
    </row>
    <row r="1340" spans="1:55" ht="16.350000000000001" customHeight="1" outlineLevel="1">
      <c r="A1340" s="92">
        <v>1330</v>
      </c>
      <c r="B1340" s="99" t="s">
        <v>1072</v>
      </c>
      <c r="C1340" s="122" t="s">
        <v>1081</v>
      </c>
      <c r="D1340" s="161">
        <v>10</v>
      </c>
      <c r="E1340" s="123" t="s">
        <v>734</v>
      </c>
      <c r="F1340" s="124" t="s">
        <v>1425</v>
      </c>
      <c r="G1340" s="133" t="s">
        <v>281</v>
      </c>
      <c r="H1340" s="134" t="s">
        <v>248</v>
      </c>
      <c r="I1340" s="134" t="s">
        <v>1426</v>
      </c>
      <c r="J1340" s="134" t="s">
        <v>139</v>
      </c>
      <c r="K1340" s="124" t="s">
        <v>140</v>
      </c>
      <c r="L1340" s="174">
        <v>1</v>
      </c>
      <c r="M1340" s="174" t="s">
        <v>250</v>
      </c>
      <c r="N1340" s="184">
        <v>89</v>
      </c>
      <c r="O1340" s="184">
        <v>6</v>
      </c>
      <c r="P1340" s="184" t="s">
        <v>1429</v>
      </c>
      <c r="Q1340" s="174" t="s">
        <v>233</v>
      </c>
      <c r="R1340" s="276" t="s">
        <v>240</v>
      </c>
      <c r="S1340" s="276" t="s">
        <v>233</v>
      </c>
      <c r="T1340" s="276" t="s">
        <v>240</v>
      </c>
      <c r="U1340" s="174" t="s">
        <v>1427</v>
      </c>
      <c r="V1340" s="276" t="s">
        <v>240</v>
      </c>
      <c r="W1340" s="130"/>
      <c r="X1340" s="125">
        <f>325.45+270.95</f>
        <v>596.4</v>
      </c>
      <c r="Y1340" s="126">
        <v>675</v>
      </c>
      <c r="Z1340" s="127">
        <v>143.35458059999999</v>
      </c>
      <c r="AA1340" s="128" t="s">
        <v>252</v>
      </c>
      <c r="AB1340" s="125">
        <v>65.130615000000006</v>
      </c>
      <c r="AC1340" s="128" t="s">
        <v>252</v>
      </c>
      <c r="AD1340" s="129">
        <v>90.395064000000005</v>
      </c>
      <c r="AE1340" s="125" t="s">
        <v>252</v>
      </c>
      <c r="AF1340" s="125">
        <v>45.356722000000005</v>
      </c>
      <c r="AG1340" s="125" t="s">
        <v>252</v>
      </c>
      <c r="AH1340" s="125">
        <v>14.442834</v>
      </c>
      <c r="AI1340" s="125" t="s">
        <v>252</v>
      </c>
      <c r="AJ1340" s="125">
        <v>0</v>
      </c>
      <c r="AK1340" s="125">
        <v>0</v>
      </c>
      <c r="AL1340" s="125">
        <v>0</v>
      </c>
      <c r="AM1340" s="125">
        <v>0</v>
      </c>
      <c r="AN1340" s="125">
        <v>0</v>
      </c>
      <c r="AO1340" s="125">
        <v>0</v>
      </c>
      <c r="AP1340" s="125"/>
      <c r="AQ1340" s="125"/>
      <c r="AR1340" s="125">
        <v>49.572648000000001</v>
      </c>
      <c r="AS1340" s="125" t="s">
        <v>252</v>
      </c>
      <c r="AT1340" s="125">
        <v>42.835310999999997</v>
      </c>
      <c r="AU1340" s="125" t="s">
        <v>252</v>
      </c>
      <c r="AV1340" s="125">
        <v>62.560633680000009</v>
      </c>
      <c r="AW1340" s="125" t="s">
        <v>252</v>
      </c>
      <c r="AX1340" s="125">
        <f t="shared" si="6"/>
        <v>513.64840828000001</v>
      </c>
      <c r="AY1340" s="125">
        <v>0.12</v>
      </c>
      <c r="AZ1340" s="181" t="s">
        <v>1429</v>
      </c>
      <c r="BA1340" s="181" t="s">
        <v>254</v>
      </c>
      <c r="BB1340" s="181">
        <v>1</v>
      </c>
      <c r="BC1340" s="125" t="s">
        <v>255</v>
      </c>
    </row>
    <row r="1341" spans="1:55" ht="16.350000000000001" customHeight="1" outlineLevel="1">
      <c r="A1341" s="92">
        <v>1331</v>
      </c>
      <c r="B1341" s="99" t="s">
        <v>1073</v>
      </c>
      <c r="C1341" s="122" t="s">
        <v>1083</v>
      </c>
      <c r="D1341" s="161" t="s">
        <v>1084</v>
      </c>
      <c r="E1341" s="123" t="s">
        <v>734</v>
      </c>
      <c r="F1341" s="124" t="s">
        <v>1425</v>
      </c>
      <c r="G1341" s="133" t="s">
        <v>281</v>
      </c>
      <c r="H1341" s="134" t="s">
        <v>248</v>
      </c>
      <c r="I1341" s="134" t="s">
        <v>1426</v>
      </c>
      <c r="J1341" s="134" t="s">
        <v>139</v>
      </c>
      <c r="K1341" s="124" t="s">
        <v>140</v>
      </c>
      <c r="L1341" s="174">
        <v>1</v>
      </c>
      <c r="M1341" s="174" t="s">
        <v>250</v>
      </c>
      <c r="N1341" s="184">
        <v>89</v>
      </c>
      <c r="O1341" s="184">
        <v>6</v>
      </c>
      <c r="P1341" s="184" t="s">
        <v>1429</v>
      </c>
      <c r="Q1341" s="174" t="s">
        <v>233</v>
      </c>
      <c r="R1341" s="276" t="s">
        <v>240</v>
      </c>
      <c r="S1341" s="276" t="s">
        <v>233</v>
      </c>
      <c r="T1341" s="276" t="s">
        <v>240</v>
      </c>
      <c r="U1341" s="174" t="s">
        <v>1427</v>
      </c>
      <c r="V1341" s="276" t="s">
        <v>240</v>
      </c>
      <c r="W1341" s="130"/>
      <c r="X1341" s="125">
        <v>2193.5300000000002</v>
      </c>
      <c r="Y1341" s="126">
        <v>2127.16</v>
      </c>
      <c r="Z1341" s="127">
        <v>248.11402980000003</v>
      </c>
      <c r="AA1341" s="128" t="s">
        <v>252</v>
      </c>
      <c r="AB1341" s="125">
        <v>187.44507000000002</v>
      </c>
      <c r="AC1341" s="128" t="s">
        <v>252</v>
      </c>
      <c r="AD1341" s="129">
        <v>272.14853400000004</v>
      </c>
      <c r="AE1341" s="125" t="s">
        <v>252</v>
      </c>
      <c r="AF1341" s="125">
        <v>151.33665199999999</v>
      </c>
      <c r="AG1341" s="125" t="s">
        <v>252</v>
      </c>
      <c r="AH1341" s="125">
        <v>69.883337999999995</v>
      </c>
      <c r="AI1341" s="125" t="s">
        <v>252</v>
      </c>
      <c r="AJ1341" s="125">
        <v>0</v>
      </c>
      <c r="AK1341" s="125">
        <v>0</v>
      </c>
      <c r="AL1341" s="125">
        <v>0</v>
      </c>
      <c r="AM1341" s="125">
        <v>0</v>
      </c>
      <c r="AN1341" s="125">
        <v>0</v>
      </c>
      <c r="AO1341" s="125">
        <v>0</v>
      </c>
      <c r="AP1341" s="125"/>
      <c r="AQ1341" s="125"/>
      <c r="AR1341" s="125">
        <v>144.501588</v>
      </c>
      <c r="AS1341" s="125" t="s">
        <v>252</v>
      </c>
      <c r="AT1341" s="125">
        <v>122.11260300000001</v>
      </c>
      <c r="AU1341" s="125" t="s">
        <v>252</v>
      </c>
      <c r="AV1341" s="125">
        <v>179.806512</v>
      </c>
      <c r="AW1341" s="125" t="s">
        <v>252</v>
      </c>
      <c r="AX1341" s="125">
        <f t="shared" si="6"/>
        <v>1375.3483268</v>
      </c>
      <c r="AY1341" s="125">
        <f>0.1+0.12+0.06</f>
        <v>0.28000000000000003</v>
      </c>
      <c r="AZ1341" s="181" t="s">
        <v>1429</v>
      </c>
      <c r="BA1341" s="181" t="s">
        <v>254</v>
      </c>
      <c r="BB1341" s="181">
        <v>1</v>
      </c>
      <c r="BC1341" s="125" t="s">
        <v>255</v>
      </c>
    </row>
    <row r="1342" spans="1:55" ht="16.350000000000001" customHeight="1" outlineLevel="1">
      <c r="A1342" s="92">
        <v>1332</v>
      </c>
      <c r="B1342" s="99" t="s">
        <v>1074</v>
      </c>
      <c r="C1342" s="122" t="s">
        <v>1081</v>
      </c>
      <c r="D1342" s="161">
        <v>3</v>
      </c>
      <c r="E1342" s="123" t="s">
        <v>734</v>
      </c>
      <c r="F1342" s="124" t="s">
        <v>1425</v>
      </c>
      <c r="G1342" s="133" t="s">
        <v>247</v>
      </c>
      <c r="H1342" s="134" t="s">
        <v>248</v>
      </c>
      <c r="I1342" s="134" t="s">
        <v>1426</v>
      </c>
      <c r="J1342" s="134" t="s">
        <v>139</v>
      </c>
      <c r="K1342" s="124" t="s">
        <v>140</v>
      </c>
      <c r="L1342" s="174">
        <v>1</v>
      </c>
      <c r="M1342" s="174" t="s">
        <v>250</v>
      </c>
      <c r="N1342" s="184">
        <v>100</v>
      </c>
      <c r="O1342" s="184">
        <v>6</v>
      </c>
      <c r="P1342" s="184" t="s">
        <v>1429</v>
      </c>
      <c r="Q1342" s="174" t="s">
        <v>233</v>
      </c>
      <c r="R1342" s="276" t="s">
        <v>240</v>
      </c>
      <c r="S1342" s="276" t="s">
        <v>233</v>
      </c>
      <c r="T1342" s="276" t="s">
        <v>240</v>
      </c>
      <c r="U1342" s="174" t="s">
        <v>1427</v>
      </c>
      <c r="V1342" s="276" t="s">
        <v>240</v>
      </c>
      <c r="W1342" s="130"/>
      <c r="X1342" s="125">
        <v>651.16999999999996</v>
      </c>
      <c r="Y1342" s="126">
        <v>645.73</v>
      </c>
      <c r="Z1342" s="127">
        <v>75.547180799999992</v>
      </c>
      <c r="AA1342" s="128" t="s">
        <v>252</v>
      </c>
      <c r="AB1342" s="125">
        <v>64.620045000000005</v>
      </c>
      <c r="AC1342" s="128" t="s">
        <v>252</v>
      </c>
      <c r="AD1342" s="129">
        <v>91.968228000000011</v>
      </c>
      <c r="AE1342" s="125" t="s">
        <v>252</v>
      </c>
      <c r="AF1342" s="125">
        <v>44.226163999999997</v>
      </c>
      <c r="AG1342" s="125" t="s">
        <v>252</v>
      </c>
      <c r="AH1342" s="125">
        <v>10.509555000000001</v>
      </c>
      <c r="AI1342" s="125" t="s">
        <v>252</v>
      </c>
      <c r="AJ1342" s="125">
        <v>0</v>
      </c>
      <c r="AK1342" s="125">
        <v>0</v>
      </c>
      <c r="AL1342" s="125">
        <v>0</v>
      </c>
      <c r="AM1342" s="125">
        <v>0</v>
      </c>
      <c r="AN1342" s="125">
        <v>0</v>
      </c>
      <c r="AO1342" s="125">
        <v>0</v>
      </c>
      <c r="AP1342" s="125"/>
      <c r="AQ1342" s="125"/>
      <c r="AR1342" s="125">
        <v>51.498035999999999</v>
      </c>
      <c r="AS1342" s="125" t="s">
        <v>252</v>
      </c>
      <c r="AT1342" s="125">
        <v>46.710774000000001</v>
      </c>
      <c r="AU1342" s="125" t="s">
        <v>252</v>
      </c>
      <c r="AV1342" s="125">
        <v>64.189920000000001</v>
      </c>
      <c r="AW1342" s="125" t="s">
        <v>252</v>
      </c>
      <c r="AX1342" s="125">
        <f t="shared" si="6"/>
        <v>449.26990279999995</v>
      </c>
      <c r="AY1342" s="125">
        <f>0.0063+0.5537</f>
        <v>0.55999999999999994</v>
      </c>
      <c r="AZ1342" s="181" t="s">
        <v>1429</v>
      </c>
      <c r="BA1342" s="181" t="s">
        <v>254</v>
      </c>
      <c r="BB1342" s="181">
        <v>1</v>
      </c>
      <c r="BC1342" s="125" t="s">
        <v>255</v>
      </c>
    </row>
    <row r="1343" spans="1:55" ht="16.350000000000001" customHeight="1" outlineLevel="1">
      <c r="A1343" s="92">
        <v>1333</v>
      </c>
      <c r="B1343" s="99" t="s">
        <v>1075</v>
      </c>
      <c r="C1343" s="122" t="s">
        <v>1081</v>
      </c>
      <c r="D1343" s="161">
        <v>4</v>
      </c>
      <c r="E1343" s="123" t="s">
        <v>734</v>
      </c>
      <c r="F1343" s="124" t="s">
        <v>1425</v>
      </c>
      <c r="G1343" s="133" t="s">
        <v>281</v>
      </c>
      <c r="H1343" s="134" t="s">
        <v>248</v>
      </c>
      <c r="I1343" s="134" t="s">
        <v>1426</v>
      </c>
      <c r="J1343" s="134" t="s">
        <v>139</v>
      </c>
      <c r="K1343" s="124" t="s">
        <v>140</v>
      </c>
      <c r="L1343" s="174">
        <v>1</v>
      </c>
      <c r="M1343" s="174" t="s">
        <v>250</v>
      </c>
      <c r="N1343" s="315">
        <v>89</v>
      </c>
      <c r="O1343" s="315">
        <v>6</v>
      </c>
      <c r="P1343" s="315" t="s">
        <v>1429</v>
      </c>
      <c r="Q1343" s="317" t="s">
        <v>233</v>
      </c>
      <c r="R1343" s="320" t="s">
        <v>240</v>
      </c>
      <c r="S1343" s="320" t="s">
        <v>233</v>
      </c>
      <c r="T1343" s="320" t="s">
        <v>240</v>
      </c>
      <c r="U1343" s="174" t="s">
        <v>1427</v>
      </c>
      <c r="V1343" s="320" t="s">
        <v>240</v>
      </c>
      <c r="W1343" s="130"/>
      <c r="X1343" s="292">
        <v>451.18</v>
      </c>
      <c r="Y1343" s="295">
        <v>449</v>
      </c>
      <c r="Z1343" s="297">
        <v>76.117935599999996</v>
      </c>
      <c r="AA1343" s="299" t="s">
        <v>252</v>
      </c>
      <c r="AB1343" s="292">
        <v>47.021850000000001</v>
      </c>
      <c r="AC1343" s="299" t="s">
        <v>252</v>
      </c>
      <c r="AD1343" s="301">
        <v>68.034924000000004</v>
      </c>
      <c r="AE1343" s="292" t="s">
        <v>252</v>
      </c>
      <c r="AF1343" s="292">
        <v>33.015456</v>
      </c>
      <c r="AG1343" s="292" t="s">
        <v>252</v>
      </c>
      <c r="AH1343" s="292">
        <v>11.113073999999999</v>
      </c>
      <c r="AI1343" s="292" t="s">
        <v>252</v>
      </c>
      <c r="AJ1343" s="292">
        <v>0</v>
      </c>
      <c r="AK1343" s="292">
        <v>0</v>
      </c>
      <c r="AL1343" s="292">
        <v>0</v>
      </c>
      <c r="AM1343" s="292">
        <v>0</v>
      </c>
      <c r="AN1343" s="292">
        <v>0</v>
      </c>
      <c r="AO1343" s="292">
        <v>0</v>
      </c>
      <c r="AP1343" s="292"/>
      <c r="AQ1343" s="292"/>
      <c r="AR1343" s="292">
        <v>35.160671999999998</v>
      </c>
      <c r="AS1343" s="292" t="s">
        <v>252</v>
      </c>
      <c r="AT1343" s="292">
        <v>30.222297000000001</v>
      </c>
      <c r="AU1343" s="292" t="s">
        <v>252</v>
      </c>
      <c r="AV1343" s="292">
        <v>45.921120000000002</v>
      </c>
      <c r="AW1343" s="292" t="s">
        <v>252</v>
      </c>
      <c r="AX1343" s="292">
        <f t="shared" si="6"/>
        <v>346.60732860000007</v>
      </c>
      <c r="AY1343" s="125">
        <f>0.16</f>
        <v>0.16</v>
      </c>
      <c r="AZ1343" s="312" t="s">
        <v>1429</v>
      </c>
      <c r="BA1343" s="312" t="s">
        <v>254</v>
      </c>
      <c r="BB1343" s="312">
        <v>1</v>
      </c>
      <c r="BC1343" s="125" t="s">
        <v>255</v>
      </c>
    </row>
    <row r="1344" spans="1:55" ht="16.350000000000001" customHeight="1" outlineLevel="1">
      <c r="A1344" s="92">
        <v>1334</v>
      </c>
      <c r="B1344" s="99" t="s">
        <v>1076</v>
      </c>
      <c r="C1344" s="122" t="s">
        <v>1081</v>
      </c>
      <c r="D1344" s="161">
        <v>6</v>
      </c>
      <c r="E1344" s="123" t="s">
        <v>734</v>
      </c>
      <c r="F1344" s="124" t="s">
        <v>1425</v>
      </c>
      <c r="G1344" s="133" t="s">
        <v>247</v>
      </c>
      <c r="H1344" s="334" t="s">
        <v>248</v>
      </c>
      <c r="I1344" s="334" t="s">
        <v>1426</v>
      </c>
      <c r="J1344" s="317" t="s">
        <v>139</v>
      </c>
      <c r="K1344" s="317" t="s">
        <v>140</v>
      </c>
      <c r="L1344" s="334">
        <v>1</v>
      </c>
      <c r="M1344" s="334" t="s">
        <v>250</v>
      </c>
      <c r="N1344" s="315"/>
      <c r="O1344" s="315"/>
      <c r="P1344" s="315"/>
      <c r="Q1344" s="319"/>
      <c r="R1344" s="320"/>
      <c r="S1344" s="320"/>
      <c r="T1344" s="320"/>
      <c r="U1344" s="334" t="s">
        <v>1427</v>
      </c>
      <c r="V1344" s="320"/>
      <c r="W1344" s="189"/>
      <c r="X1344" s="294"/>
      <c r="Y1344" s="296"/>
      <c r="Z1344" s="298"/>
      <c r="AA1344" s="300"/>
      <c r="AB1344" s="294"/>
      <c r="AC1344" s="300"/>
      <c r="AD1344" s="302"/>
      <c r="AE1344" s="294"/>
      <c r="AF1344" s="294"/>
      <c r="AG1344" s="294"/>
      <c r="AH1344" s="294"/>
      <c r="AI1344" s="294"/>
      <c r="AJ1344" s="294"/>
      <c r="AK1344" s="294"/>
      <c r="AL1344" s="294"/>
      <c r="AM1344" s="294"/>
      <c r="AN1344" s="294"/>
      <c r="AO1344" s="294"/>
      <c r="AP1344" s="294"/>
      <c r="AQ1344" s="294"/>
      <c r="AR1344" s="294"/>
      <c r="AS1344" s="294"/>
      <c r="AT1344" s="294"/>
      <c r="AU1344" s="294"/>
      <c r="AV1344" s="294"/>
      <c r="AW1344" s="294"/>
      <c r="AX1344" s="294">
        <f t="shared" si="6"/>
        <v>0</v>
      </c>
      <c r="AY1344" s="292">
        <f>0.14</f>
        <v>0.14000000000000001</v>
      </c>
      <c r="AZ1344" s="312"/>
      <c r="BA1344" s="312"/>
      <c r="BB1344" s="312"/>
      <c r="BC1344" s="336" t="s">
        <v>255</v>
      </c>
    </row>
    <row r="1345" spans="1:55" ht="16.350000000000001" customHeight="1" outlineLevel="1">
      <c r="A1345" s="92">
        <v>1335</v>
      </c>
      <c r="B1345" s="99" t="s">
        <v>1077</v>
      </c>
      <c r="C1345" s="122" t="s">
        <v>1081</v>
      </c>
      <c r="D1345" s="161">
        <v>6</v>
      </c>
      <c r="E1345" s="123" t="s">
        <v>737</v>
      </c>
      <c r="F1345" s="124" t="s">
        <v>1425</v>
      </c>
      <c r="G1345" s="133" t="s">
        <v>247</v>
      </c>
      <c r="H1345" s="335"/>
      <c r="I1345" s="335"/>
      <c r="J1345" s="319"/>
      <c r="K1345" s="319"/>
      <c r="L1345" s="335"/>
      <c r="M1345" s="335"/>
      <c r="N1345" s="184">
        <v>89</v>
      </c>
      <c r="O1345" s="184">
        <v>6</v>
      </c>
      <c r="P1345" s="184" t="s">
        <v>1429</v>
      </c>
      <c r="Q1345" s="174" t="s">
        <v>233</v>
      </c>
      <c r="R1345" s="276" t="s">
        <v>240</v>
      </c>
      <c r="S1345" s="276" t="s">
        <v>233</v>
      </c>
      <c r="T1345" s="276" t="s">
        <v>240</v>
      </c>
      <c r="U1345" s="335"/>
      <c r="V1345" s="276" t="s">
        <v>240</v>
      </c>
      <c r="W1345" s="190"/>
      <c r="X1345" s="125">
        <v>808.6</v>
      </c>
      <c r="Y1345" s="126">
        <v>777.11</v>
      </c>
      <c r="Z1345" s="127">
        <v>127.2783204</v>
      </c>
      <c r="AA1345" s="128" t="s">
        <v>252</v>
      </c>
      <c r="AB1345" s="125">
        <v>83.297025000000005</v>
      </c>
      <c r="AC1345" s="128" t="s">
        <v>252</v>
      </c>
      <c r="AD1345" s="129">
        <v>97.527329999999992</v>
      </c>
      <c r="AE1345" s="125" t="s">
        <v>252</v>
      </c>
      <c r="AF1345" s="125">
        <v>53.610585999999998</v>
      </c>
      <c r="AG1345" s="125" t="s">
        <v>252</v>
      </c>
      <c r="AH1345" s="125">
        <v>19.028191</v>
      </c>
      <c r="AI1345" s="125" t="s">
        <v>252</v>
      </c>
      <c r="AJ1345" s="125">
        <v>0</v>
      </c>
      <c r="AK1345" s="125">
        <v>0</v>
      </c>
      <c r="AL1345" s="125">
        <v>0</v>
      </c>
      <c r="AM1345" s="125">
        <v>0</v>
      </c>
      <c r="AN1345" s="125">
        <v>0</v>
      </c>
      <c r="AO1345" s="125">
        <v>0</v>
      </c>
      <c r="AP1345" s="125"/>
      <c r="AQ1345" s="125"/>
      <c r="AR1345" s="125">
        <v>62.936627999999999</v>
      </c>
      <c r="AS1345" s="125" t="s">
        <v>252</v>
      </c>
      <c r="AT1345" s="125">
        <v>48.549842999999996</v>
      </c>
      <c r="AU1345" s="125" t="s">
        <v>252</v>
      </c>
      <c r="AV1345" s="125">
        <v>72.643392000000006</v>
      </c>
      <c r="AW1345" s="125" t="s">
        <v>252</v>
      </c>
      <c r="AX1345" s="125">
        <f t="shared" si="6"/>
        <v>564.87131539999996</v>
      </c>
      <c r="AY1345" s="294"/>
      <c r="AZ1345" s="181" t="s">
        <v>1429</v>
      </c>
      <c r="BA1345" s="181" t="s">
        <v>254</v>
      </c>
      <c r="BB1345" s="181">
        <v>1</v>
      </c>
      <c r="BC1345" s="337"/>
    </row>
    <row r="1346" spans="1:55" ht="16.350000000000001" customHeight="1" outlineLevel="1">
      <c r="A1346" s="92">
        <v>1336</v>
      </c>
      <c r="B1346" s="99" t="s">
        <v>1078</v>
      </c>
      <c r="C1346" s="122" t="s">
        <v>1081</v>
      </c>
      <c r="D1346" s="161">
        <v>8</v>
      </c>
      <c r="E1346" s="123" t="s">
        <v>734</v>
      </c>
      <c r="F1346" s="124" t="s">
        <v>1425</v>
      </c>
      <c r="G1346" s="133" t="s">
        <v>281</v>
      </c>
      <c r="H1346" s="134" t="s">
        <v>248</v>
      </c>
      <c r="I1346" s="134" t="s">
        <v>1426</v>
      </c>
      <c r="J1346" s="134" t="s">
        <v>139</v>
      </c>
      <c r="K1346" s="124" t="s">
        <v>140</v>
      </c>
      <c r="L1346" s="174">
        <v>1</v>
      </c>
      <c r="M1346" s="174" t="s">
        <v>250</v>
      </c>
      <c r="N1346" s="184">
        <v>89</v>
      </c>
      <c r="O1346" s="184">
        <v>6</v>
      </c>
      <c r="P1346" s="184" t="s">
        <v>1429</v>
      </c>
      <c r="Q1346" s="174" t="s">
        <v>233</v>
      </c>
      <c r="R1346" s="276" t="s">
        <v>240</v>
      </c>
      <c r="S1346" s="276" t="s">
        <v>233</v>
      </c>
      <c r="T1346" s="276" t="s">
        <v>240</v>
      </c>
      <c r="U1346" s="174" t="s">
        <v>1427</v>
      </c>
      <c r="V1346" s="276" t="s">
        <v>240</v>
      </c>
      <c r="W1346" s="130"/>
      <c r="X1346" s="125">
        <v>450.49</v>
      </c>
      <c r="Y1346" s="126">
        <v>438.67</v>
      </c>
      <c r="Z1346" s="127">
        <v>53.9536242</v>
      </c>
      <c r="AA1346" s="128" t="s">
        <v>252</v>
      </c>
      <c r="AB1346" s="125">
        <v>46.107765000000001</v>
      </c>
      <c r="AC1346" s="128" t="s">
        <v>252</v>
      </c>
      <c r="AD1346" s="129">
        <v>65.745882000000009</v>
      </c>
      <c r="AE1346" s="125" t="s">
        <v>252</v>
      </c>
      <c r="AF1346" s="125">
        <v>31.608187999999995</v>
      </c>
      <c r="AG1346" s="125" t="s">
        <v>252</v>
      </c>
      <c r="AH1346" s="125">
        <v>8.0191719999999993</v>
      </c>
      <c r="AI1346" s="125" t="s">
        <v>252</v>
      </c>
      <c r="AJ1346" s="125">
        <v>0</v>
      </c>
      <c r="AK1346" s="125">
        <v>0</v>
      </c>
      <c r="AL1346" s="125">
        <v>0</v>
      </c>
      <c r="AM1346" s="125">
        <v>0</v>
      </c>
      <c r="AN1346" s="125">
        <v>0</v>
      </c>
      <c r="AO1346" s="125">
        <v>0</v>
      </c>
      <c r="AP1346" s="125"/>
      <c r="AQ1346" s="125"/>
      <c r="AR1346" s="125">
        <v>37.565376000000001</v>
      </c>
      <c r="AS1346" s="125" t="s">
        <v>252</v>
      </c>
      <c r="AT1346" s="125">
        <v>33.860970000000002</v>
      </c>
      <c r="AU1346" s="125" t="s">
        <v>252</v>
      </c>
      <c r="AV1346" s="125">
        <v>46.070591999999998</v>
      </c>
      <c r="AW1346" s="125" t="s">
        <v>252</v>
      </c>
      <c r="AX1346" s="125">
        <f t="shared" si="6"/>
        <v>322.93156919999996</v>
      </c>
      <c r="AY1346" s="125">
        <v>0.21</v>
      </c>
      <c r="AZ1346" s="181" t="s">
        <v>1429</v>
      </c>
      <c r="BA1346" s="181" t="s">
        <v>254</v>
      </c>
      <c r="BB1346" s="181">
        <v>1</v>
      </c>
      <c r="BC1346" s="125" t="s">
        <v>255</v>
      </c>
    </row>
    <row r="1347" spans="1:55" ht="16.350000000000001" customHeight="1" outlineLevel="1">
      <c r="A1347" s="92">
        <v>1337</v>
      </c>
      <c r="B1347" s="99" t="s">
        <v>1080</v>
      </c>
      <c r="C1347" s="122" t="s">
        <v>1091</v>
      </c>
      <c r="D1347" s="161" t="s">
        <v>1092</v>
      </c>
      <c r="E1347" s="123" t="s">
        <v>734</v>
      </c>
      <c r="F1347" s="124" t="s">
        <v>1425</v>
      </c>
      <c r="G1347" s="133" t="s">
        <v>281</v>
      </c>
      <c r="H1347" s="134" t="s">
        <v>248</v>
      </c>
      <c r="I1347" s="134" t="s">
        <v>1426</v>
      </c>
      <c r="J1347" s="134" t="s">
        <v>139</v>
      </c>
      <c r="K1347" s="124" t="s">
        <v>140</v>
      </c>
      <c r="L1347" s="174">
        <v>1</v>
      </c>
      <c r="M1347" s="174" t="s">
        <v>250</v>
      </c>
      <c r="N1347" s="184">
        <v>89</v>
      </c>
      <c r="O1347" s="184">
        <v>6</v>
      </c>
      <c r="P1347" s="184" t="s">
        <v>1429</v>
      </c>
      <c r="Q1347" s="174" t="s">
        <v>233</v>
      </c>
      <c r="R1347" s="276" t="s">
        <v>240</v>
      </c>
      <c r="S1347" s="276" t="s">
        <v>233</v>
      </c>
      <c r="T1347" s="276" t="s">
        <v>240</v>
      </c>
      <c r="U1347" s="174" t="s">
        <v>1427</v>
      </c>
      <c r="V1347" s="276" t="s">
        <v>240</v>
      </c>
      <c r="W1347" s="130"/>
      <c r="X1347" s="125">
        <v>377.92</v>
      </c>
      <c r="Y1347" s="126">
        <v>410.75</v>
      </c>
      <c r="Z1347" s="127">
        <v>44.691830400000001</v>
      </c>
      <c r="AA1347" s="128" t="s">
        <v>252</v>
      </c>
      <c r="AB1347" s="125">
        <v>37.94688</v>
      </c>
      <c r="AC1347" s="128" t="s">
        <v>252</v>
      </c>
      <c r="AD1347" s="129">
        <v>45.851544000000004</v>
      </c>
      <c r="AE1347" s="125" t="s">
        <v>252</v>
      </c>
      <c r="AF1347" s="125">
        <v>23.053895999999998</v>
      </c>
      <c r="AG1347" s="125" t="s">
        <v>252</v>
      </c>
      <c r="AH1347" s="125">
        <v>10.988208</v>
      </c>
      <c r="AI1347" s="125" t="s">
        <v>252</v>
      </c>
      <c r="AJ1347" s="125">
        <v>0</v>
      </c>
      <c r="AK1347" s="125">
        <v>0</v>
      </c>
      <c r="AL1347" s="125">
        <v>0</v>
      </c>
      <c r="AM1347" s="125">
        <v>0</v>
      </c>
      <c r="AN1347" s="125">
        <v>0</v>
      </c>
      <c r="AO1347" s="125">
        <v>0</v>
      </c>
      <c r="AP1347" s="125"/>
      <c r="AQ1347" s="125"/>
      <c r="AR1347" s="125">
        <v>27.532236000000001</v>
      </c>
      <c r="AS1347" s="125" t="s">
        <v>252</v>
      </c>
      <c r="AT1347" s="125">
        <v>20.727018000000001</v>
      </c>
      <c r="AU1347" s="125" t="s">
        <v>252</v>
      </c>
      <c r="AV1347" s="125">
        <v>30.782928000000002</v>
      </c>
      <c r="AW1347" s="125" t="s">
        <v>252</v>
      </c>
      <c r="AX1347" s="125">
        <f t="shared" si="6"/>
        <v>241.57454040000002</v>
      </c>
      <c r="AY1347" s="125">
        <f>0.0235+0.1565</f>
        <v>0.18</v>
      </c>
      <c r="AZ1347" s="181" t="s">
        <v>1429</v>
      </c>
      <c r="BA1347" s="181" t="s">
        <v>254</v>
      </c>
      <c r="BB1347" s="181">
        <v>1</v>
      </c>
      <c r="BC1347" s="125" t="s">
        <v>255</v>
      </c>
    </row>
    <row r="1348" spans="1:55" ht="16.350000000000001" customHeight="1" outlineLevel="1">
      <c r="A1348" s="92">
        <v>1338</v>
      </c>
      <c r="B1348" s="99" t="s">
        <v>1082</v>
      </c>
      <c r="C1348" s="122" t="s">
        <v>1094</v>
      </c>
      <c r="D1348" s="161">
        <v>10</v>
      </c>
      <c r="E1348" s="123" t="s">
        <v>734</v>
      </c>
      <c r="F1348" s="124" t="s">
        <v>1425</v>
      </c>
      <c r="G1348" s="133" t="s">
        <v>281</v>
      </c>
      <c r="H1348" s="134" t="s">
        <v>248</v>
      </c>
      <c r="I1348" s="134" t="s">
        <v>1426</v>
      </c>
      <c r="J1348" s="134" t="s">
        <v>139</v>
      </c>
      <c r="K1348" s="124" t="s">
        <v>140</v>
      </c>
      <c r="L1348" s="174">
        <v>1</v>
      </c>
      <c r="M1348" s="174" t="s">
        <v>250</v>
      </c>
      <c r="N1348" s="184">
        <v>89</v>
      </c>
      <c r="O1348" s="184">
        <v>6</v>
      </c>
      <c r="P1348" s="184" t="s">
        <v>1429</v>
      </c>
      <c r="Q1348" s="174" t="s">
        <v>233</v>
      </c>
      <c r="R1348" s="276" t="s">
        <v>240</v>
      </c>
      <c r="S1348" s="276" t="s">
        <v>233</v>
      </c>
      <c r="T1348" s="276" t="s">
        <v>240</v>
      </c>
      <c r="U1348" s="174" t="s">
        <v>1427</v>
      </c>
      <c r="V1348" s="276" t="s">
        <v>240</v>
      </c>
      <c r="W1348" s="130"/>
      <c r="X1348" s="125">
        <v>402.92</v>
      </c>
      <c r="Y1348" s="126">
        <v>433.05</v>
      </c>
      <c r="Z1348" s="127">
        <v>52.569976199999999</v>
      </c>
      <c r="AA1348" s="128" t="s">
        <v>252</v>
      </c>
      <c r="AB1348" s="125">
        <v>39.437415000000001</v>
      </c>
      <c r="AC1348" s="128" t="s">
        <v>252</v>
      </c>
      <c r="AD1348" s="129">
        <v>54.786762000000003</v>
      </c>
      <c r="AE1348" s="125" t="s">
        <v>252</v>
      </c>
      <c r="AF1348" s="125">
        <v>31.125921999999996</v>
      </c>
      <c r="AG1348" s="125" t="s">
        <v>252</v>
      </c>
      <c r="AH1348" s="125">
        <v>7.9706130000000002</v>
      </c>
      <c r="AI1348" s="125" t="s">
        <v>252</v>
      </c>
      <c r="AJ1348" s="125">
        <v>0</v>
      </c>
      <c r="AK1348" s="125">
        <v>0</v>
      </c>
      <c r="AL1348" s="125">
        <v>0</v>
      </c>
      <c r="AM1348" s="125">
        <v>0</v>
      </c>
      <c r="AN1348" s="125">
        <v>0</v>
      </c>
      <c r="AO1348" s="125">
        <v>0</v>
      </c>
      <c r="AP1348" s="125"/>
      <c r="AQ1348" s="125"/>
      <c r="AR1348" s="125">
        <v>28.523364000000001</v>
      </c>
      <c r="AS1348" s="125" t="s">
        <v>252</v>
      </c>
      <c r="AT1348" s="125">
        <v>26.228438999999998</v>
      </c>
      <c r="AU1348" s="125" t="s">
        <v>252</v>
      </c>
      <c r="AV1348" s="125">
        <v>36.958712448</v>
      </c>
      <c r="AW1348" s="125" t="s">
        <v>252</v>
      </c>
      <c r="AX1348" s="125">
        <f t="shared" si="6"/>
        <v>277.60120364800002</v>
      </c>
      <c r="AY1348" s="125">
        <f>0.1129+0.0071</f>
        <v>0.12</v>
      </c>
      <c r="AZ1348" s="181" t="s">
        <v>1429</v>
      </c>
      <c r="BA1348" s="181" t="s">
        <v>254</v>
      </c>
      <c r="BB1348" s="181">
        <v>1</v>
      </c>
      <c r="BC1348" s="125" t="s">
        <v>255</v>
      </c>
    </row>
    <row r="1349" spans="1:55" ht="16.350000000000001" customHeight="1" outlineLevel="1">
      <c r="A1349" s="92">
        <v>1339</v>
      </c>
      <c r="B1349" s="99" t="s">
        <v>1085</v>
      </c>
      <c r="C1349" s="122" t="s">
        <v>1094</v>
      </c>
      <c r="D1349" s="161">
        <v>11</v>
      </c>
      <c r="E1349" s="123" t="s">
        <v>734</v>
      </c>
      <c r="F1349" s="124" t="s">
        <v>1425</v>
      </c>
      <c r="G1349" s="133" t="s">
        <v>281</v>
      </c>
      <c r="H1349" s="134" t="s">
        <v>248</v>
      </c>
      <c r="I1349" s="134" t="s">
        <v>1426</v>
      </c>
      <c r="J1349" s="134" t="s">
        <v>139</v>
      </c>
      <c r="K1349" s="124" t="s">
        <v>140</v>
      </c>
      <c r="L1349" s="174">
        <v>1</v>
      </c>
      <c r="M1349" s="174" t="s">
        <v>250</v>
      </c>
      <c r="N1349" s="184">
        <v>89</v>
      </c>
      <c r="O1349" s="184">
        <v>6</v>
      </c>
      <c r="P1349" s="184" t="s">
        <v>1429</v>
      </c>
      <c r="Q1349" s="174" t="s">
        <v>240</v>
      </c>
      <c r="R1349" s="276" t="s">
        <v>240</v>
      </c>
      <c r="S1349" s="276" t="s">
        <v>233</v>
      </c>
      <c r="T1349" s="276" t="s">
        <v>240</v>
      </c>
      <c r="U1349" s="174" t="s">
        <v>1427</v>
      </c>
      <c r="V1349" s="276" t="s">
        <v>240</v>
      </c>
      <c r="W1349" s="130"/>
      <c r="X1349" s="125">
        <v>1462.16</v>
      </c>
      <c r="Y1349" s="126">
        <v>1313.42</v>
      </c>
      <c r="Z1349" s="127">
        <v>198.24216720000001</v>
      </c>
      <c r="AA1349" s="128" t="s">
        <v>252</v>
      </c>
      <c r="AB1349" s="125">
        <v>117.62874000000001</v>
      </c>
      <c r="AC1349" s="128" t="s">
        <v>252</v>
      </c>
      <c r="AD1349" s="129">
        <v>181.099458</v>
      </c>
      <c r="AE1349" s="125" t="s">
        <v>252</v>
      </c>
      <c r="AF1349" s="125">
        <v>90.357674000000003</v>
      </c>
      <c r="AG1349" s="125" t="s">
        <v>252</v>
      </c>
      <c r="AH1349" s="125">
        <v>34.518512000000001</v>
      </c>
      <c r="AI1349" s="125" t="s">
        <v>252</v>
      </c>
      <c r="AJ1349" s="125">
        <v>0</v>
      </c>
      <c r="AK1349" s="125">
        <v>0</v>
      </c>
      <c r="AL1349" s="125">
        <v>0</v>
      </c>
      <c r="AM1349" s="125">
        <v>0</v>
      </c>
      <c r="AN1349" s="125">
        <v>0</v>
      </c>
      <c r="AO1349" s="125">
        <v>0</v>
      </c>
      <c r="AP1349" s="125"/>
      <c r="AQ1349" s="125"/>
      <c r="AR1349" s="125">
        <v>41.123688000000001</v>
      </c>
      <c r="AS1349" s="125" t="s">
        <v>252</v>
      </c>
      <c r="AT1349" s="125">
        <v>30.972132000000002</v>
      </c>
      <c r="AU1349" s="125" t="s">
        <v>252</v>
      </c>
      <c r="AV1349" s="125">
        <v>45.705216</v>
      </c>
      <c r="AW1349" s="125" t="s">
        <v>252</v>
      </c>
      <c r="AX1349" s="125">
        <f t="shared" ref="AX1349" si="8">Z1349+AB1349+AD1349+AF1349+AH1349+AJ1349+AL1349+AN1349+AP1349+AR1349+AT1349+AV1349</f>
        <v>739.64758719999998</v>
      </c>
      <c r="AY1349" s="125">
        <f>0.1544+0.0056</f>
        <v>0.16</v>
      </c>
      <c r="AZ1349" s="181" t="s">
        <v>1429</v>
      </c>
      <c r="BA1349" s="181" t="s">
        <v>254</v>
      </c>
      <c r="BB1349" s="181">
        <v>1</v>
      </c>
      <c r="BC1349" s="125" t="s">
        <v>255</v>
      </c>
    </row>
    <row r="1350" spans="1:55" ht="16.350000000000001" customHeight="1" outlineLevel="1">
      <c r="A1350" s="92">
        <v>1340</v>
      </c>
      <c r="B1350" s="99" t="s">
        <v>1086</v>
      </c>
      <c r="C1350" s="122" t="s">
        <v>1094</v>
      </c>
      <c r="D1350" s="161">
        <v>12</v>
      </c>
      <c r="E1350" s="123" t="s">
        <v>737</v>
      </c>
      <c r="F1350" s="124" t="s">
        <v>1425</v>
      </c>
      <c r="G1350" s="133" t="s">
        <v>247</v>
      </c>
      <c r="H1350" s="134" t="s">
        <v>248</v>
      </c>
      <c r="I1350" s="134" t="s">
        <v>1426</v>
      </c>
      <c r="J1350" s="134" t="s">
        <v>139</v>
      </c>
      <c r="K1350" s="124" t="s">
        <v>140</v>
      </c>
      <c r="L1350" s="174">
        <v>1</v>
      </c>
      <c r="M1350" s="174" t="s">
        <v>250</v>
      </c>
      <c r="N1350" s="184">
        <v>89</v>
      </c>
      <c r="O1350" s="184">
        <v>6</v>
      </c>
      <c r="P1350" s="184" t="s">
        <v>1429</v>
      </c>
      <c r="Q1350" s="174" t="s">
        <v>233</v>
      </c>
      <c r="R1350" s="276" t="s">
        <v>240</v>
      </c>
      <c r="S1350" s="276" t="s">
        <v>233</v>
      </c>
      <c r="T1350" s="276" t="s">
        <v>240</v>
      </c>
      <c r="U1350" s="174" t="s">
        <v>1427</v>
      </c>
      <c r="V1350" s="276" t="s">
        <v>240</v>
      </c>
      <c r="W1350" s="130"/>
      <c r="X1350" s="125">
        <v>475.28</v>
      </c>
      <c r="Y1350" s="126">
        <v>454.33</v>
      </c>
      <c r="Z1350" s="127">
        <v>58.891517999999998</v>
      </c>
      <c r="AA1350" s="128" t="s">
        <v>252</v>
      </c>
      <c r="AB1350" s="125">
        <v>51.295814999999997</v>
      </c>
      <c r="AC1350" s="128" t="s">
        <v>252</v>
      </c>
      <c r="AD1350" s="129">
        <v>71.216604000000004</v>
      </c>
      <c r="AE1350" s="125" t="s">
        <v>252</v>
      </c>
      <c r="AF1350" s="125">
        <v>33.497721999999996</v>
      </c>
      <c r="AG1350" s="125" t="s">
        <v>252</v>
      </c>
      <c r="AH1350" s="125">
        <v>11.674970999999999</v>
      </c>
      <c r="AI1350" s="125" t="s">
        <v>252</v>
      </c>
      <c r="AJ1350" s="125">
        <v>0</v>
      </c>
      <c r="AK1350" s="125">
        <v>0</v>
      </c>
      <c r="AL1350" s="125">
        <v>0</v>
      </c>
      <c r="AM1350" s="125">
        <v>0</v>
      </c>
      <c r="AN1350" s="125">
        <v>0</v>
      </c>
      <c r="AO1350" s="125">
        <v>0</v>
      </c>
      <c r="AP1350" s="125"/>
      <c r="AQ1350" s="125"/>
      <c r="AR1350" s="125">
        <v>39.783228000000001</v>
      </c>
      <c r="AS1350" s="125" t="s">
        <v>252</v>
      </c>
      <c r="AT1350" s="125">
        <v>33.466319999999996</v>
      </c>
      <c r="AU1350" s="125" t="s">
        <v>252</v>
      </c>
      <c r="AV1350" s="125">
        <v>50.172768000000005</v>
      </c>
      <c r="AW1350" s="125" t="s">
        <v>252</v>
      </c>
      <c r="AX1350" s="125">
        <f t="shared" si="6"/>
        <v>349.99894599999999</v>
      </c>
      <c r="AY1350" s="132">
        <v>0.2</v>
      </c>
      <c r="AZ1350" s="181" t="s">
        <v>1429</v>
      </c>
      <c r="BA1350" s="181" t="s">
        <v>254</v>
      </c>
      <c r="BB1350" s="181">
        <v>1</v>
      </c>
      <c r="BC1350" s="125" t="s">
        <v>255</v>
      </c>
    </row>
    <row r="1351" spans="1:55" ht="16.350000000000001" customHeight="1" outlineLevel="1">
      <c r="A1351" s="92">
        <v>1341</v>
      </c>
      <c r="B1351" s="99" t="s">
        <v>1087</v>
      </c>
      <c r="C1351" s="122" t="s">
        <v>1094</v>
      </c>
      <c r="D1351" s="161">
        <v>13</v>
      </c>
      <c r="E1351" s="123" t="s">
        <v>734</v>
      </c>
      <c r="F1351" s="124" t="s">
        <v>1425</v>
      </c>
      <c r="G1351" s="133" t="s">
        <v>281</v>
      </c>
      <c r="H1351" s="134" t="s">
        <v>248</v>
      </c>
      <c r="I1351" s="134" t="s">
        <v>1426</v>
      </c>
      <c r="J1351" s="134" t="s">
        <v>139</v>
      </c>
      <c r="K1351" s="124" t="s">
        <v>140</v>
      </c>
      <c r="L1351" s="174">
        <v>1</v>
      </c>
      <c r="M1351" s="174" t="s">
        <v>250</v>
      </c>
      <c r="N1351" s="184">
        <v>89</v>
      </c>
      <c r="O1351" s="184">
        <v>6</v>
      </c>
      <c r="P1351" s="184" t="s">
        <v>1429</v>
      </c>
      <c r="Q1351" s="174" t="s">
        <v>233</v>
      </c>
      <c r="R1351" s="276" t="s">
        <v>240</v>
      </c>
      <c r="S1351" s="276" t="s">
        <v>233</v>
      </c>
      <c r="T1351" s="276" t="s">
        <v>240</v>
      </c>
      <c r="U1351" s="174" t="s">
        <v>1427</v>
      </c>
      <c r="V1351" s="276" t="s">
        <v>240</v>
      </c>
      <c r="W1351" s="130"/>
      <c r="X1351" s="125">
        <v>1994.58</v>
      </c>
      <c r="Y1351" s="126">
        <v>1936.75</v>
      </c>
      <c r="Z1351" s="127">
        <v>196.564494</v>
      </c>
      <c r="AA1351" s="128" t="s">
        <v>252</v>
      </c>
      <c r="AB1351" s="125">
        <v>210.75835499999999</v>
      </c>
      <c r="AC1351" s="128" t="s">
        <v>252</v>
      </c>
      <c r="AD1351" s="129">
        <v>293.11226999999997</v>
      </c>
      <c r="AE1351" s="125" t="s">
        <v>252</v>
      </c>
      <c r="AF1351" s="125">
        <v>137.596024</v>
      </c>
      <c r="AG1351" s="125" t="s">
        <v>252</v>
      </c>
      <c r="AH1351" s="125">
        <v>45.811948000000001</v>
      </c>
      <c r="AI1351" s="125" t="s">
        <v>252</v>
      </c>
      <c r="AJ1351" s="125">
        <v>0</v>
      </c>
      <c r="AK1351" s="125">
        <v>0</v>
      </c>
      <c r="AL1351" s="125">
        <v>0</v>
      </c>
      <c r="AM1351" s="125">
        <v>0</v>
      </c>
      <c r="AN1351" s="125">
        <v>0</v>
      </c>
      <c r="AO1351" s="125">
        <v>0</v>
      </c>
      <c r="AP1351" s="125"/>
      <c r="AQ1351" s="125"/>
      <c r="AR1351" s="125">
        <v>159.547236</v>
      </c>
      <c r="AS1351" s="125" t="s">
        <v>252</v>
      </c>
      <c r="AT1351" s="125">
        <v>134.66247300000001</v>
      </c>
      <c r="AU1351" s="125" t="s">
        <v>252</v>
      </c>
      <c r="AV1351" s="125">
        <v>204.85968</v>
      </c>
      <c r="AW1351" s="125" t="s">
        <v>252</v>
      </c>
      <c r="AX1351" s="125">
        <f t="shared" si="6"/>
        <v>1382.9124800000002</v>
      </c>
      <c r="AY1351" s="125">
        <f>0.2</f>
        <v>0.2</v>
      </c>
      <c r="AZ1351" s="181" t="s">
        <v>1429</v>
      </c>
      <c r="BA1351" s="181" t="s">
        <v>254</v>
      </c>
      <c r="BB1351" s="181">
        <v>1</v>
      </c>
      <c r="BC1351" s="125" t="s">
        <v>255</v>
      </c>
    </row>
    <row r="1352" spans="1:55" ht="16.350000000000001" customHeight="1" outlineLevel="1">
      <c r="A1352" s="92">
        <v>1342</v>
      </c>
      <c r="B1352" s="99" t="s">
        <v>1088</v>
      </c>
      <c r="C1352" s="122" t="s">
        <v>1094</v>
      </c>
      <c r="D1352" s="161">
        <v>15</v>
      </c>
      <c r="E1352" s="123" t="s">
        <v>734</v>
      </c>
      <c r="F1352" s="124" t="s">
        <v>1425</v>
      </c>
      <c r="G1352" s="133" t="s">
        <v>281</v>
      </c>
      <c r="H1352" s="134" t="s">
        <v>248</v>
      </c>
      <c r="I1352" s="134" t="s">
        <v>1426</v>
      </c>
      <c r="J1352" s="134" t="s">
        <v>139</v>
      </c>
      <c r="K1352" s="124" t="s">
        <v>140</v>
      </c>
      <c r="L1352" s="174">
        <v>1</v>
      </c>
      <c r="M1352" s="174" t="s">
        <v>250</v>
      </c>
      <c r="N1352" s="315">
        <v>100</v>
      </c>
      <c r="O1352" s="315">
        <v>6</v>
      </c>
      <c r="P1352" s="315" t="s">
        <v>1429</v>
      </c>
      <c r="Q1352" s="317" t="s">
        <v>233</v>
      </c>
      <c r="R1352" s="320" t="s">
        <v>240</v>
      </c>
      <c r="S1352" s="320" t="s">
        <v>233</v>
      </c>
      <c r="T1352" s="320" t="s">
        <v>240</v>
      </c>
      <c r="U1352" s="174" t="s">
        <v>1427</v>
      </c>
      <c r="V1352" s="320" t="s">
        <v>240</v>
      </c>
      <c r="W1352" s="130"/>
      <c r="X1352" s="292">
        <v>1265.8699999999999</v>
      </c>
      <c r="Y1352" s="295">
        <v>1350.2</v>
      </c>
      <c r="Z1352" s="297">
        <v>185.1666936</v>
      </c>
      <c r="AA1352" s="299" t="s">
        <v>252</v>
      </c>
      <c r="AB1352" s="292">
        <v>130.64827500000001</v>
      </c>
      <c r="AC1352" s="299" t="s">
        <v>252</v>
      </c>
      <c r="AD1352" s="301">
        <v>150.634872</v>
      </c>
      <c r="AE1352" s="292" t="s">
        <v>252</v>
      </c>
      <c r="AF1352" s="292">
        <v>80.870474000000002</v>
      </c>
      <c r="AG1352" s="292" t="s">
        <v>252</v>
      </c>
      <c r="AH1352" s="292">
        <v>19.486032999999999</v>
      </c>
      <c r="AI1352" s="292" t="s">
        <v>252</v>
      </c>
      <c r="AJ1352" s="292">
        <v>0</v>
      </c>
      <c r="AK1352" s="292">
        <v>0</v>
      </c>
      <c r="AL1352" s="292">
        <v>0</v>
      </c>
      <c r="AM1352" s="292">
        <v>0</v>
      </c>
      <c r="AN1352" s="292">
        <v>0</v>
      </c>
      <c r="AO1352" s="292">
        <v>0</v>
      </c>
      <c r="AP1352" s="292"/>
      <c r="AQ1352" s="292"/>
      <c r="AR1352" s="292">
        <v>91.793075999999999</v>
      </c>
      <c r="AS1352" s="292" t="s">
        <v>252</v>
      </c>
      <c r="AT1352" s="292">
        <v>70.713386999999997</v>
      </c>
      <c r="AU1352" s="292" t="s">
        <v>252</v>
      </c>
      <c r="AV1352" s="292">
        <v>115.44220800000001</v>
      </c>
      <c r="AW1352" s="292" t="s">
        <v>252</v>
      </c>
      <c r="AX1352" s="292">
        <f t="shared" ref="AX1352:AX1414" si="9">Z1352+AB1352+AD1352+AF1352+AH1352+AJ1352+AL1352+AN1352+AP1352+AR1352+AT1352+AV1352</f>
        <v>844.7550186000002</v>
      </c>
      <c r="AY1352" s="125">
        <f>0.4254+0.0246</f>
        <v>0.45</v>
      </c>
      <c r="AZ1352" s="312" t="s">
        <v>1429</v>
      </c>
      <c r="BA1352" s="312" t="s">
        <v>254</v>
      </c>
      <c r="BB1352" s="312">
        <v>1</v>
      </c>
      <c r="BC1352" s="125" t="s">
        <v>255</v>
      </c>
    </row>
    <row r="1353" spans="1:55" ht="16.350000000000001" customHeight="1" outlineLevel="1">
      <c r="A1353" s="92">
        <v>1343</v>
      </c>
      <c r="B1353" s="99" t="s">
        <v>1089</v>
      </c>
      <c r="C1353" s="122" t="s">
        <v>1094</v>
      </c>
      <c r="D1353" s="161">
        <v>16</v>
      </c>
      <c r="E1353" s="123" t="s">
        <v>734</v>
      </c>
      <c r="F1353" s="124" t="s">
        <v>1425</v>
      </c>
      <c r="G1353" s="133" t="s">
        <v>247</v>
      </c>
      <c r="H1353" s="334" t="s">
        <v>248</v>
      </c>
      <c r="I1353" s="334" t="s">
        <v>1426</v>
      </c>
      <c r="J1353" s="317" t="s">
        <v>139</v>
      </c>
      <c r="K1353" s="317" t="s">
        <v>140</v>
      </c>
      <c r="L1353" s="334">
        <v>1</v>
      </c>
      <c r="M1353" s="334" t="s">
        <v>250</v>
      </c>
      <c r="N1353" s="315"/>
      <c r="O1353" s="315"/>
      <c r="P1353" s="315"/>
      <c r="Q1353" s="319"/>
      <c r="R1353" s="320"/>
      <c r="S1353" s="320"/>
      <c r="T1353" s="320"/>
      <c r="U1353" s="334" t="s">
        <v>1427</v>
      </c>
      <c r="V1353" s="320"/>
      <c r="W1353" s="189"/>
      <c r="X1353" s="294"/>
      <c r="Y1353" s="296"/>
      <c r="Z1353" s="298"/>
      <c r="AA1353" s="300"/>
      <c r="AB1353" s="294"/>
      <c r="AC1353" s="300"/>
      <c r="AD1353" s="302"/>
      <c r="AE1353" s="294"/>
      <c r="AF1353" s="294"/>
      <c r="AG1353" s="294"/>
      <c r="AH1353" s="294"/>
      <c r="AI1353" s="294"/>
      <c r="AJ1353" s="294"/>
      <c r="AK1353" s="294"/>
      <c r="AL1353" s="294"/>
      <c r="AM1353" s="294"/>
      <c r="AN1353" s="294"/>
      <c r="AO1353" s="294"/>
      <c r="AP1353" s="294"/>
      <c r="AQ1353" s="294"/>
      <c r="AR1353" s="294"/>
      <c r="AS1353" s="294"/>
      <c r="AT1353" s="294"/>
      <c r="AU1353" s="294"/>
      <c r="AV1353" s="294"/>
      <c r="AW1353" s="294"/>
      <c r="AX1353" s="294">
        <f t="shared" si="9"/>
        <v>0</v>
      </c>
      <c r="AY1353" s="292">
        <f>0.0089+0.0052+0.0081+0.2628+0.0115+0.0135</f>
        <v>0.31</v>
      </c>
      <c r="AZ1353" s="312"/>
      <c r="BA1353" s="312"/>
      <c r="BB1353" s="312"/>
      <c r="BC1353" s="336" t="s">
        <v>255</v>
      </c>
    </row>
    <row r="1354" spans="1:55" ht="16.350000000000001" customHeight="1" outlineLevel="1">
      <c r="A1354" s="92">
        <v>1344</v>
      </c>
      <c r="B1354" s="99" t="s">
        <v>1090</v>
      </c>
      <c r="C1354" s="122" t="s">
        <v>1094</v>
      </c>
      <c r="D1354" s="161">
        <v>16</v>
      </c>
      <c r="E1354" s="123" t="s">
        <v>737</v>
      </c>
      <c r="F1354" s="124" t="s">
        <v>1425</v>
      </c>
      <c r="G1354" s="133" t="s">
        <v>247</v>
      </c>
      <c r="H1354" s="335"/>
      <c r="I1354" s="335"/>
      <c r="J1354" s="319"/>
      <c r="K1354" s="319"/>
      <c r="L1354" s="335"/>
      <c r="M1354" s="335"/>
      <c r="N1354" s="184">
        <v>89</v>
      </c>
      <c r="O1354" s="184">
        <v>6</v>
      </c>
      <c r="P1354" s="184" t="s">
        <v>1429</v>
      </c>
      <c r="Q1354" s="174" t="s">
        <v>233</v>
      </c>
      <c r="R1354" s="276" t="s">
        <v>240</v>
      </c>
      <c r="S1354" s="276" t="s">
        <v>233</v>
      </c>
      <c r="T1354" s="276" t="s">
        <v>240</v>
      </c>
      <c r="U1354" s="335"/>
      <c r="V1354" s="276" t="s">
        <v>240</v>
      </c>
      <c r="W1354" s="190"/>
      <c r="X1354" s="125">
        <v>618.74</v>
      </c>
      <c r="Y1354" s="126">
        <v>579.08000000000004</v>
      </c>
      <c r="Z1354" s="127">
        <v>97.702844400000004</v>
      </c>
      <c r="AA1354" s="128" t="s">
        <v>252</v>
      </c>
      <c r="AB1354" s="125">
        <v>63.961245000000005</v>
      </c>
      <c r="AC1354" s="128" t="s">
        <v>252</v>
      </c>
      <c r="AD1354" s="129">
        <v>74.769480000000001</v>
      </c>
      <c r="AE1354" s="125" t="s">
        <v>252</v>
      </c>
      <c r="AF1354" s="125">
        <v>41.134917999999999</v>
      </c>
      <c r="AG1354" s="125" t="s">
        <v>252</v>
      </c>
      <c r="AH1354" s="125">
        <v>14.657881</v>
      </c>
      <c r="AI1354" s="125" t="s">
        <v>252</v>
      </c>
      <c r="AJ1354" s="125">
        <v>0</v>
      </c>
      <c r="AK1354" s="125">
        <v>0</v>
      </c>
      <c r="AL1354" s="125">
        <v>0</v>
      </c>
      <c r="AM1354" s="125">
        <v>0</v>
      </c>
      <c r="AN1354" s="125">
        <v>0</v>
      </c>
      <c r="AO1354" s="125">
        <v>0</v>
      </c>
      <c r="AP1354" s="125"/>
      <c r="AQ1354" s="125"/>
      <c r="AR1354" s="125">
        <v>48.589644</v>
      </c>
      <c r="AS1354" s="125" t="s">
        <v>252</v>
      </c>
      <c r="AT1354" s="125">
        <v>37.389140999999995</v>
      </c>
      <c r="AU1354" s="125" t="s">
        <v>252</v>
      </c>
      <c r="AV1354" s="125">
        <v>55.786272000000011</v>
      </c>
      <c r="AW1354" s="125" t="s">
        <v>252</v>
      </c>
      <c r="AX1354" s="125">
        <f t="shared" si="9"/>
        <v>433.99142539999997</v>
      </c>
      <c r="AY1354" s="294"/>
      <c r="AZ1354" s="181" t="s">
        <v>1429</v>
      </c>
      <c r="BA1354" s="181" t="s">
        <v>254</v>
      </c>
      <c r="BB1354" s="181">
        <v>1</v>
      </c>
      <c r="BC1354" s="337"/>
    </row>
    <row r="1355" spans="1:55" ht="16.350000000000001" customHeight="1" outlineLevel="1">
      <c r="A1355" s="92">
        <v>1345</v>
      </c>
      <c r="B1355" s="99" t="s">
        <v>1093</v>
      </c>
      <c r="C1355" s="122" t="s">
        <v>1094</v>
      </c>
      <c r="D1355" s="161">
        <v>3</v>
      </c>
      <c r="E1355" s="123" t="s">
        <v>734</v>
      </c>
      <c r="F1355" s="124" t="s">
        <v>1425</v>
      </c>
      <c r="G1355" s="133" t="s">
        <v>281</v>
      </c>
      <c r="H1355" s="134" t="s">
        <v>248</v>
      </c>
      <c r="I1355" s="134" t="s">
        <v>1426</v>
      </c>
      <c r="J1355" s="134" t="s">
        <v>139</v>
      </c>
      <c r="K1355" s="124" t="s">
        <v>140</v>
      </c>
      <c r="L1355" s="174">
        <v>1</v>
      </c>
      <c r="M1355" s="174" t="s">
        <v>250</v>
      </c>
      <c r="N1355" s="184">
        <v>89</v>
      </c>
      <c r="O1355" s="184">
        <v>6</v>
      </c>
      <c r="P1355" s="184" t="s">
        <v>1429</v>
      </c>
      <c r="Q1355" s="174" t="s">
        <v>233</v>
      </c>
      <c r="R1355" s="276" t="s">
        <v>240</v>
      </c>
      <c r="S1355" s="276" t="s">
        <v>233</v>
      </c>
      <c r="T1355" s="276" t="s">
        <v>240</v>
      </c>
      <c r="U1355" s="174" t="s">
        <v>1427</v>
      </c>
      <c r="V1355" s="276" t="s">
        <v>240</v>
      </c>
      <c r="W1355" s="130"/>
      <c r="X1355" s="125">
        <v>854.98</v>
      </c>
      <c r="Y1355" s="126">
        <v>234.08</v>
      </c>
      <c r="Z1355" s="127">
        <v>136.1855544</v>
      </c>
      <c r="AA1355" s="128" t="s">
        <v>252</v>
      </c>
      <c r="AB1355" s="125">
        <v>89.069760000000002</v>
      </c>
      <c r="AC1355" s="128" t="s">
        <v>252</v>
      </c>
      <c r="AD1355" s="129">
        <v>104.25304799999999</v>
      </c>
      <c r="AE1355" s="125" t="s">
        <v>252</v>
      </c>
      <c r="AF1355" s="125">
        <v>57.421277999999994</v>
      </c>
      <c r="AG1355" s="125" t="s">
        <v>252</v>
      </c>
      <c r="AH1355" s="125">
        <v>20.804062999999999</v>
      </c>
      <c r="AI1355" s="125" t="s">
        <v>252</v>
      </c>
      <c r="AJ1355" s="125">
        <v>0</v>
      </c>
      <c r="AK1355" s="125">
        <v>0</v>
      </c>
      <c r="AL1355" s="125">
        <v>0</v>
      </c>
      <c r="AM1355" s="125">
        <v>0</v>
      </c>
      <c r="AN1355" s="125">
        <v>0</v>
      </c>
      <c r="AO1355" s="125">
        <v>0</v>
      </c>
      <c r="AP1355" s="125"/>
      <c r="AQ1355" s="125"/>
      <c r="AR1355" s="125">
        <v>68.56656000000001</v>
      </c>
      <c r="AS1355" s="125" t="s">
        <v>252</v>
      </c>
      <c r="AT1355" s="125">
        <v>52.583166000000006</v>
      </c>
      <c r="AU1355" s="125" t="s">
        <v>252</v>
      </c>
      <c r="AV1355" s="125">
        <v>77.933039999999991</v>
      </c>
      <c r="AW1355" s="125" t="s">
        <v>252</v>
      </c>
      <c r="AX1355" s="125">
        <f t="shared" si="9"/>
        <v>606.81646939999996</v>
      </c>
      <c r="AY1355" s="125">
        <v>0.17</v>
      </c>
      <c r="AZ1355" s="181" t="s">
        <v>1429</v>
      </c>
      <c r="BA1355" s="181" t="s">
        <v>254</v>
      </c>
      <c r="BB1355" s="181">
        <v>1</v>
      </c>
      <c r="BC1355" s="125" t="s">
        <v>255</v>
      </c>
    </row>
    <row r="1356" spans="1:55" ht="16.350000000000001" customHeight="1" outlineLevel="1">
      <c r="A1356" s="92">
        <v>1346</v>
      </c>
      <c r="B1356" s="99" t="s">
        <v>1095</v>
      </c>
      <c r="C1356" s="122" t="s">
        <v>1094</v>
      </c>
      <c r="D1356" s="161">
        <v>5</v>
      </c>
      <c r="E1356" s="123" t="s">
        <v>734</v>
      </c>
      <c r="F1356" s="124" t="s">
        <v>1425</v>
      </c>
      <c r="G1356" s="133" t="s">
        <v>281</v>
      </c>
      <c r="H1356" s="134" t="s">
        <v>248</v>
      </c>
      <c r="I1356" s="134" t="s">
        <v>1426</v>
      </c>
      <c r="J1356" s="134" t="s">
        <v>139</v>
      </c>
      <c r="K1356" s="124" t="s">
        <v>140</v>
      </c>
      <c r="L1356" s="174">
        <v>1</v>
      </c>
      <c r="M1356" s="174" t="s">
        <v>250</v>
      </c>
      <c r="N1356" s="184">
        <v>89</v>
      </c>
      <c r="O1356" s="184">
        <v>6</v>
      </c>
      <c r="P1356" s="184" t="s">
        <v>1429</v>
      </c>
      <c r="Q1356" s="174" t="s">
        <v>233</v>
      </c>
      <c r="R1356" s="276" t="s">
        <v>240</v>
      </c>
      <c r="S1356" s="276" t="s">
        <v>233</v>
      </c>
      <c r="T1356" s="276" t="s">
        <v>240</v>
      </c>
      <c r="U1356" s="174" t="s">
        <v>1427</v>
      </c>
      <c r="V1356" s="276" t="s">
        <v>240</v>
      </c>
      <c r="W1356" s="130"/>
      <c r="X1356" s="125">
        <v>748.56</v>
      </c>
      <c r="Y1356" s="126">
        <v>667.11</v>
      </c>
      <c r="Z1356" s="127">
        <v>108.4261164</v>
      </c>
      <c r="AA1356" s="128" t="s">
        <v>252</v>
      </c>
      <c r="AB1356" s="125">
        <v>75.910230000000013</v>
      </c>
      <c r="AC1356" s="128" t="s">
        <v>252</v>
      </c>
      <c r="AD1356" s="129">
        <v>105.05730600000001</v>
      </c>
      <c r="AE1356" s="125" t="s">
        <v>252</v>
      </c>
      <c r="AF1356" s="125">
        <v>48.503309999999999</v>
      </c>
      <c r="AG1356" s="125" t="s">
        <v>252</v>
      </c>
      <c r="AH1356" s="125">
        <v>14.380400999999999</v>
      </c>
      <c r="AI1356" s="125" t="s">
        <v>252</v>
      </c>
      <c r="AJ1356" s="125">
        <v>0</v>
      </c>
      <c r="AK1356" s="125">
        <v>0</v>
      </c>
      <c r="AL1356" s="125">
        <v>0</v>
      </c>
      <c r="AM1356" s="125">
        <v>0</v>
      </c>
      <c r="AN1356" s="125">
        <v>0</v>
      </c>
      <c r="AO1356" s="125">
        <v>0</v>
      </c>
      <c r="AP1356" s="125"/>
      <c r="AQ1356" s="125"/>
      <c r="AR1356" s="125">
        <v>50.848116000000005</v>
      </c>
      <c r="AS1356" s="125" t="s">
        <v>252</v>
      </c>
      <c r="AT1356" s="125">
        <v>47.957867999999998</v>
      </c>
      <c r="AU1356" s="125" t="s">
        <v>252</v>
      </c>
      <c r="AV1356" s="125">
        <v>69.853248000000008</v>
      </c>
      <c r="AW1356" s="125" t="s">
        <v>252</v>
      </c>
      <c r="AX1356" s="125">
        <f t="shared" si="9"/>
        <v>520.9365954000001</v>
      </c>
      <c r="AY1356" s="125">
        <f>0.26</f>
        <v>0.26</v>
      </c>
      <c r="AZ1356" s="181" t="s">
        <v>1429</v>
      </c>
      <c r="BA1356" s="181" t="s">
        <v>254</v>
      </c>
      <c r="BB1356" s="181">
        <v>1</v>
      </c>
      <c r="BC1356" s="125" t="s">
        <v>255</v>
      </c>
    </row>
    <row r="1357" spans="1:55" ht="16.350000000000001" customHeight="1" outlineLevel="1">
      <c r="A1357" s="92">
        <v>1347</v>
      </c>
      <c r="B1357" s="99" t="s">
        <v>1096</v>
      </c>
      <c r="C1357" s="122" t="s">
        <v>1094</v>
      </c>
      <c r="D1357" s="161">
        <v>6</v>
      </c>
      <c r="E1357" s="123" t="s">
        <v>734</v>
      </c>
      <c r="F1357" s="124" t="s">
        <v>1425</v>
      </c>
      <c r="G1357" s="133" t="s">
        <v>281</v>
      </c>
      <c r="H1357" s="134" t="s">
        <v>248</v>
      </c>
      <c r="I1357" s="134" t="s">
        <v>1426</v>
      </c>
      <c r="J1357" s="134" t="s">
        <v>139</v>
      </c>
      <c r="K1357" s="124" t="s">
        <v>140</v>
      </c>
      <c r="L1357" s="174">
        <v>1</v>
      </c>
      <c r="M1357" s="174" t="s">
        <v>250</v>
      </c>
      <c r="N1357" s="315">
        <v>89</v>
      </c>
      <c r="O1357" s="315">
        <v>6</v>
      </c>
      <c r="P1357" s="315" t="s">
        <v>1429</v>
      </c>
      <c r="Q1357" s="317" t="s">
        <v>233</v>
      </c>
      <c r="R1357" s="320" t="s">
        <v>240</v>
      </c>
      <c r="S1357" s="320" t="s">
        <v>233</v>
      </c>
      <c r="T1357" s="320" t="s">
        <v>240</v>
      </c>
      <c r="U1357" s="174" t="s">
        <v>1427</v>
      </c>
      <c r="V1357" s="320" t="s">
        <v>240</v>
      </c>
      <c r="W1357" s="130"/>
      <c r="X1357" s="292">
        <v>392.86</v>
      </c>
      <c r="Y1357" s="295">
        <v>403.3</v>
      </c>
      <c r="Z1357" s="297">
        <v>50.658812399999995</v>
      </c>
      <c r="AA1357" s="299" t="s">
        <v>252</v>
      </c>
      <c r="AB1357" s="292">
        <v>38.119815000000003</v>
      </c>
      <c r="AC1357" s="299" t="s">
        <v>252</v>
      </c>
      <c r="AD1357" s="301">
        <v>52.833564000000003</v>
      </c>
      <c r="AE1357" s="292" t="s">
        <v>252</v>
      </c>
      <c r="AF1357" s="292">
        <v>30.019081999999997</v>
      </c>
      <c r="AG1357" s="292" t="s">
        <v>252</v>
      </c>
      <c r="AH1357" s="292">
        <v>7.4850229999999991</v>
      </c>
      <c r="AI1357" s="292" t="s">
        <v>252</v>
      </c>
      <c r="AJ1357" s="292">
        <v>0</v>
      </c>
      <c r="AK1357" s="292">
        <v>0</v>
      </c>
      <c r="AL1357" s="292">
        <v>0</v>
      </c>
      <c r="AM1357" s="292">
        <v>0</v>
      </c>
      <c r="AN1357" s="292">
        <v>0</v>
      </c>
      <c r="AO1357" s="292">
        <v>0</v>
      </c>
      <c r="AP1357" s="292"/>
      <c r="AQ1357" s="292"/>
      <c r="AR1357" s="292">
        <v>27.199151999999998</v>
      </c>
      <c r="AS1357" s="292" t="s">
        <v>252</v>
      </c>
      <c r="AT1357" s="292">
        <v>25.044488999999999</v>
      </c>
      <c r="AU1357" s="292" t="s">
        <v>252</v>
      </c>
      <c r="AV1357" s="292">
        <v>35.542283390400002</v>
      </c>
      <c r="AW1357" s="292" t="s">
        <v>252</v>
      </c>
      <c r="AX1357" s="292">
        <f t="shared" si="9"/>
        <v>266.90222079040001</v>
      </c>
      <c r="AY1357" s="125">
        <f>0.17</f>
        <v>0.17</v>
      </c>
      <c r="AZ1357" s="312" t="s">
        <v>1429</v>
      </c>
      <c r="BA1357" s="312" t="s">
        <v>254</v>
      </c>
      <c r="BB1357" s="312">
        <v>1</v>
      </c>
      <c r="BC1357" s="125" t="s">
        <v>255</v>
      </c>
    </row>
    <row r="1358" spans="1:55" ht="16.350000000000001" customHeight="1" outlineLevel="1">
      <c r="A1358" s="92">
        <v>1348</v>
      </c>
      <c r="B1358" s="99" t="s">
        <v>1097</v>
      </c>
      <c r="C1358" s="122" t="s">
        <v>1094</v>
      </c>
      <c r="D1358" s="161">
        <v>7</v>
      </c>
      <c r="E1358" s="123" t="s">
        <v>734</v>
      </c>
      <c r="F1358" s="124" t="s">
        <v>1425</v>
      </c>
      <c r="G1358" s="133" t="s">
        <v>281</v>
      </c>
      <c r="H1358" s="334" t="s">
        <v>248</v>
      </c>
      <c r="I1358" s="334" t="s">
        <v>1426</v>
      </c>
      <c r="J1358" s="317" t="s">
        <v>139</v>
      </c>
      <c r="K1358" s="317" t="s">
        <v>140</v>
      </c>
      <c r="L1358" s="334">
        <v>1</v>
      </c>
      <c r="M1358" s="334" t="s">
        <v>250</v>
      </c>
      <c r="N1358" s="315"/>
      <c r="O1358" s="315"/>
      <c r="P1358" s="315"/>
      <c r="Q1358" s="319"/>
      <c r="R1358" s="320"/>
      <c r="S1358" s="320"/>
      <c r="T1358" s="320"/>
      <c r="U1358" s="334" t="s">
        <v>1427</v>
      </c>
      <c r="V1358" s="320"/>
      <c r="W1358" s="189"/>
      <c r="X1358" s="294"/>
      <c r="Y1358" s="296"/>
      <c r="Z1358" s="298"/>
      <c r="AA1358" s="300"/>
      <c r="AB1358" s="294"/>
      <c r="AC1358" s="300"/>
      <c r="AD1358" s="302"/>
      <c r="AE1358" s="294"/>
      <c r="AF1358" s="294"/>
      <c r="AG1358" s="294"/>
      <c r="AH1358" s="294"/>
      <c r="AI1358" s="294"/>
      <c r="AJ1358" s="294"/>
      <c r="AK1358" s="294"/>
      <c r="AL1358" s="294"/>
      <c r="AM1358" s="294"/>
      <c r="AN1358" s="294"/>
      <c r="AO1358" s="294"/>
      <c r="AP1358" s="294"/>
      <c r="AQ1358" s="294"/>
      <c r="AR1358" s="294"/>
      <c r="AS1358" s="294"/>
      <c r="AT1358" s="294"/>
      <c r="AU1358" s="294"/>
      <c r="AV1358" s="294"/>
      <c r="AW1358" s="294"/>
      <c r="AX1358" s="294">
        <f t="shared" si="9"/>
        <v>0</v>
      </c>
      <c r="AY1358" s="292">
        <v>0.14000000000000001</v>
      </c>
      <c r="AZ1358" s="312"/>
      <c r="BA1358" s="312"/>
      <c r="BB1358" s="312"/>
      <c r="BC1358" s="336" t="s">
        <v>255</v>
      </c>
    </row>
    <row r="1359" spans="1:55" ht="16.350000000000001" customHeight="1" outlineLevel="1">
      <c r="A1359" s="92">
        <v>1349</v>
      </c>
      <c r="B1359" s="99" t="s">
        <v>1098</v>
      </c>
      <c r="C1359" s="122" t="s">
        <v>1094</v>
      </c>
      <c r="D1359" s="161">
        <v>7</v>
      </c>
      <c r="E1359" s="123" t="s">
        <v>737</v>
      </c>
      <c r="F1359" s="124" t="s">
        <v>1425</v>
      </c>
      <c r="G1359" s="133" t="s">
        <v>281</v>
      </c>
      <c r="H1359" s="335"/>
      <c r="I1359" s="335"/>
      <c r="J1359" s="319"/>
      <c r="K1359" s="319"/>
      <c r="L1359" s="335"/>
      <c r="M1359" s="335"/>
      <c r="N1359" s="184">
        <v>89</v>
      </c>
      <c r="O1359" s="184">
        <v>6</v>
      </c>
      <c r="P1359" s="184" t="s">
        <v>1429</v>
      </c>
      <c r="Q1359" s="174" t="s">
        <v>233</v>
      </c>
      <c r="R1359" s="276" t="s">
        <v>240</v>
      </c>
      <c r="S1359" s="276" t="s">
        <v>233</v>
      </c>
      <c r="T1359" s="276" t="s">
        <v>240</v>
      </c>
      <c r="U1359" s="335"/>
      <c r="V1359" s="276" t="s">
        <v>240</v>
      </c>
      <c r="W1359" s="190"/>
      <c r="X1359" s="125">
        <v>583.87</v>
      </c>
      <c r="Y1359" s="126">
        <v>597.71</v>
      </c>
      <c r="Z1359" s="127">
        <v>74.907243600000001</v>
      </c>
      <c r="AA1359" s="128" t="s">
        <v>252</v>
      </c>
      <c r="AB1359" s="125">
        <v>56.385044999999998</v>
      </c>
      <c r="AC1359" s="128" t="s">
        <v>252</v>
      </c>
      <c r="AD1359" s="129">
        <v>78.269328000000002</v>
      </c>
      <c r="AE1359" s="125" t="s">
        <v>252</v>
      </c>
      <c r="AF1359" s="125">
        <v>44.510779999999997</v>
      </c>
      <c r="AG1359" s="125" t="s">
        <v>252</v>
      </c>
      <c r="AH1359" s="125">
        <v>11.015956000000001</v>
      </c>
      <c r="AI1359" s="125" t="s">
        <v>252</v>
      </c>
      <c r="AJ1359" s="125">
        <v>0</v>
      </c>
      <c r="AK1359" s="125">
        <v>0</v>
      </c>
      <c r="AL1359" s="125">
        <v>0</v>
      </c>
      <c r="AM1359" s="125">
        <v>0</v>
      </c>
      <c r="AN1359" s="125">
        <v>0</v>
      </c>
      <c r="AO1359" s="125">
        <v>0</v>
      </c>
      <c r="AP1359" s="125"/>
      <c r="AQ1359" s="125"/>
      <c r="AR1359" s="125">
        <v>40.311287999999998</v>
      </c>
      <c r="AS1359" s="125" t="s">
        <v>252</v>
      </c>
      <c r="AT1359" s="125">
        <v>36.970812000000002</v>
      </c>
      <c r="AU1359" s="125" t="s">
        <v>252</v>
      </c>
      <c r="AV1359" s="125">
        <v>52.598845540799999</v>
      </c>
      <c r="AW1359" s="125" t="s">
        <v>252</v>
      </c>
      <c r="AX1359" s="125">
        <f t="shared" si="9"/>
        <v>394.96929814079999</v>
      </c>
      <c r="AY1359" s="294"/>
      <c r="AZ1359" s="181" t="s">
        <v>1429</v>
      </c>
      <c r="BA1359" s="181" t="s">
        <v>254</v>
      </c>
      <c r="BB1359" s="181">
        <v>1</v>
      </c>
      <c r="BC1359" s="337"/>
    </row>
    <row r="1360" spans="1:55" ht="16.350000000000001" customHeight="1" outlineLevel="1">
      <c r="A1360" s="92">
        <v>1350</v>
      </c>
      <c r="B1360" s="99" t="s">
        <v>1099</v>
      </c>
      <c r="C1360" s="122" t="s">
        <v>1094</v>
      </c>
      <c r="D1360" s="161">
        <v>9</v>
      </c>
      <c r="E1360" s="123" t="s">
        <v>734</v>
      </c>
      <c r="F1360" s="124" t="s">
        <v>1425</v>
      </c>
      <c r="G1360" s="133" t="s">
        <v>281</v>
      </c>
      <c r="H1360" s="134" t="s">
        <v>248</v>
      </c>
      <c r="I1360" s="134" t="s">
        <v>1426</v>
      </c>
      <c r="J1360" s="134" t="s">
        <v>139</v>
      </c>
      <c r="K1360" s="124" t="s">
        <v>140</v>
      </c>
      <c r="L1360" s="174">
        <v>1</v>
      </c>
      <c r="M1360" s="174" t="s">
        <v>250</v>
      </c>
      <c r="N1360" s="315">
        <v>100</v>
      </c>
      <c r="O1360" s="315">
        <v>6</v>
      </c>
      <c r="P1360" s="315" t="s">
        <v>1429</v>
      </c>
      <c r="Q1360" s="317" t="s">
        <v>233</v>
      </c>
      <c r="R1360" s="320" t="s">
        <v>240</v>
      </c>
      <c r="S1360" s="320" t="s">
        <v>233</v>
      </c>
      <c r="T1360" s="320" t="s">
        <v>240</v>
      </c>
      <c r="U1360" s="174" t="s">
        <v>1427</v>
      </c>
      <c r="V1360" s="320" t="s">
        <v>240</v>
      </c>
      <c r="W1360" s="130"/>
      <c r="X1360" s="292">
        <v>505.99</v>
      </c>
      <c r="Y1360" s="295">
        <v>558.55999999999995</v>
      </c>
      <c r="Z1360" s="297">
        <v>81.99</v>
      </c>
      <c r="AA1360" s="299" t="s">
        <v>252</v>
      </c>
      <c r="AB1360" s="292">
        <v>71.3</v>
      </c>
      <c r="AC1360" s="299" t="s">
        <v>252</v>
      </c>
      <c r="AD1360" s="301">
        <v>90.8</v>
      </c>
      <c r="AE1360" s="292" t="s">
        <v>252</v>
      </c>
      <c r="AF1360" s="292">
        <v>47.48</v>
      </c>
      <c r="AG1360" s="292" t="s">
        <v>252</v>
      </c>
      <c r="AH1360" s="292">
        <v>13.81</v>
      </c>
      <c r="AI1360" s="292" t="s">
        <v>252</v>
      </c>
      <c r="AJ1360" s="292">
        <v>0</v>
      </c>
      <c r="AK1360" s="292">
        <v>0</v>
      </c>
      <c r="AL1360" s="292">
        <v>0</v>
      </c>
      <c r="AM1360" s="292">
        <v>0</v>
      </c>
      <c r="AN1360" s="292">
        <v>0</v>
      </c>
      <c r="AO1360" s="292">
        <v>0</v>
      </c>
      <c r="AP1360" s="292"/>
      <c r="AQ1360" s="292"/>
      <c r="AR1360" s="292">
        <v>47.19</v>
      </c>
      <c r="AS1360" s="292" t="s">
        <v>252</v>
      </c>
      <c r="AT1360" s="292">
        <v>43.42</v>
      </c>
      <c r="AU1360" s="292" t="s">
        <v>252</v>
      </c>
      <c r="AV1360" s="292">
        <v>59.64</v>
      </c>
      <c r="AW1360" s="292" t="s">
        <v>252</v>
      </c>
      <c r="AX1360" s="292">
        <f t="shared" si="9"/>
        <v>455.63</v>
      </c>
      <c r="AY1360" s="125">
        <f>0.19</f>
        <v>0.19</v>
      </c>
      <c r="AZ1360" s="312" t="s">
        <v>1429</v>
      </c>
      <c r="BA1360" s="312" t="s">
        <v>254</v>
      </c>
      <c r="BB1360" s="312">
        <v>1</v>
      </c>
      <c r="BC1360" s="125" t="s">
        <v>255</v>
      </c>
    </row>
    <row r="1361" spans="1:55" ht="16.350000000000001" customHeight="1" outlineLevel="1">
      <c r="A1361" s="92">
        <v>1351</v>
      </c>
      <c r="B1361" s="99" t="s">
        <v>1100</v>
      </c>
      <c r="C1361" s="122" t="s">
        <v>1108</v>
      </c>
      <c r="D1361" s="161" t="s">
        <v>1109</v>
      </c>
      <c r="E1361" s="123" t="s">
        <v>734</v>
      </c>
      <c r="F1361" s="124" t="s">
        <v>1425</v>
      </c>
      <c r="G1361" s="133" t="s">
        <v>281</v>
      </c>
      <c r="H1361" s="134" t="s">
        <v>248</v>
      </c>
      <c r="I1361" s="134" t="s">
        <v>1426</v>
      </c>
      <c r="J1361" s="134" t="s">
        <v>139</v>
      </c>
      <c r="K1361" s="124" t="s">
        <v>140</v>
      </c>
      <c r="L1361" s="174">
        <v>1</v>
      </c>
      <c r="M1361" s="174" t="s">
        <v>250</v>
      </c>
      <c r="N1361" s="315"/>
      <c r="O1361" s="315"/>
      <c r="P1361" s="315"/>
      <c r="Q1361" s="319"/>
      <c r="R1361" s="320"/>
      <c r="S1361" s="320"/>
      <c r="T1361" s="320"/>
      <c r="U1361" s="174" t="s">
        <v>1427</v>
      </c>
      <c r="V1361" s="320"/>
      <c r="W1361" s="130"/>
      <c r="X1361" s="294"/>
      <c r="Y1361" s="296"/>
      <c r="Z1361" s="298"/>
      <c r="AA1361" s="300"/>
      <c r="AB1361" s="294"/>
      <c r="AC1361" s="300"/>
      <c r="AD1361" s="302"/>
      <c r="AE1361" s="294"/>
      <c r="AF1361" s="294"/>
      <c r="AG1361" s="294"/>
      <c r="AH1361" s="294"/>
      <c r="AI1361" s="294"/>
      <c r="AJ1361" s="294"/>
      <c r="AK1361" s="294"/>
      <c r="AL1361" s="294"/>
      <c r="AM1361" s="294"/>
      <c r="AN1361" s="294"/>
      <c r="AO1361" s="294"/>
      <c r="AP1361" s="294"/>
      <c r="AQ1361" s="294"/>
      <c r="AR1361" s="294"/>
      <c r="AS1361" s="294"/>
      <c r="AT1361" s="294"/>
      <c r="AU1361" s="294"/>
      <c r="AV1361" s="294"/>
      <c r="AW1361" s="294"/>
      <c r="AX1361" s="294">
        <f t="shared" si="9"/>
        <v>0</v>
      </c>
      <c r="AY1361" s="125">
        <v>0.15</v>
      </c>
      <c r="AZ1361" s="312"/>
      <c r="BA1361" s="312"/>
      <c r="BB1361" s="312"/>
      <c r="BC1361" s="125" t="s">
        <v>255</v>
      </c>
    </row>
    <row r="1362" spans="1:55" ht="16.350000000000001" customHeight="1" outlineLevel="1">
      <c r="A1362" s="92">
        <v>1352</v>
      </c>
      <c r="B1362" s="99" t="s">
        <v>1101</v>
      </c>
      <c r="C1362" s="122" t="s">
        <v>1111</v>
      </c>
      <c r="D1362" s="161">
        <v>3</v>
      </c>
      <c r="E1362" s="123" t="s">
        <v>734</v>
      </c>
      <c r="F1362" s="124" t="s">
        <v>1425</v>
      </c>
      <c r="G1362" s="133" t="s">
        <v>281</v>
      </c>
      <c r="H1362" s="334" t="s">
        <v>1424</v>
      </c>
      <c r="I1362" s="334" t="s">
        <v>1426</v>
      </c>
      <c r="J1362" s="317" t="s">
        <v>139</v>
      </c>
      <c r="K1362" s="317" t="s">
        <v>140</v>
      </c>
      <c r="L1362" s="334">
        <v>1</v>
      </c>
      <c r="M1362" s="334" t="s">
        <v>250</v>
      </c>
      <c r="N1362" s="315">
        <v>100</v>
      </c>
      <c r="O1362" s="315">
        <v>6</v>
      </c>
      <c r="P1362" s="315" t="s">
        <v>1429</v>
      </c>
      <c r="Q1362" s="317" t="s">
        <v>233</v>
      </c>
      <c r="R1362" s="320" t="s">
        <v>240</v>
      </c>
      <c r="S1362" s="320" t="s">
        <v>233</v>
      </c>
      <c r="T1362" s="320" t="s">
        <v>240</v>
      </c>
      <c r="U1362" s="334" t="s">
        <v>1427</v>
      </c>
      <c r="V1362" s="320" t="s">
        <v>240</v>
      </c>
      <c r="W1362" s="189"/>
      <c r="X1362" s="292">
        <v>1699.31</v>
      </c>
      <c r="Y1362" s="295">
        <v>1575.17</v>
      </c>
      <c r="Z1362" s="297">
        <v>221.07235919999999</v>
      </c>
      <c r="AA1362" s="299" t="s">
        <v>252</v>
      </c>
      <c r="AB1362" s="292">
        <v>160.08016499999999</v>
      </c>
      <c r="AC1362" s="299" t="s">
        <v>252</v>
      </c>
      <c r="AD1362" s="301">
        <v>227.60501399999998</v>
      </c>
      <c r="AE1362" s="292" t="s">
        <v>252</v>
      </c>
      <c r="AF1362" s="292">
        <v>101.60000599999999</v>
      </c>
      <c r="AG1362" s="292" t="s">
        <v>252</v>
      </c>
      <c r="AH1362" s="292">
        <v>36.28051</v>
      </c>
      <c r="AI1362" s="292" t="s">
        <v>252</v>
      </c>
      <c r="AJ1362" s="292">
        <v>0</v>
      </c>
      <c r="AK1362" s="292">
        <v>0</v>
      </c>
      <c r="AL1362" s="292">
        <v>0</v>
      </c>
      <c r="AM1362" s="292">
        <v>0</v>
      </c>
      <c r="AN1362" s="292">
        <v>0</v>
      </c>
      <c r="AO1362" s="292">
        <v>0</v>
      </c>
      <c r="AP1362" s="292"/>
      <c r="AQ1362" s="292"/>
      <c r="AR1362" s="292">
        <v>171.41305291200001</v>
      </c>
      <c r="AS1362" s="292" t="s">
        <v>312</v>
      </c>
      <c r="AT1362" s="292">
        <v>142.88406411509999</v>
      </c>
      <c r="AU1362" s="292" t="s">
        <v>312</v>
      </c>
      <c r="AV1362" s="292">
        <v>166.96022400000001</v>
      </c>
      <c r="AW1362" s="292" t="s">
        <v>252</v>
      </c>
      <c r="AX1362" s="292">
        <f t="shared" si="9"/>
        <v>1227.8953952270999</v>
      </c>
      <c r="AY1362" s="292">
        <f>0.134+0.036</f>
        <v>0.17</v>
      </c>
      <c r="AZ1362" s="312" t="s">
        <v>1429</v>
      </c>
      <c r="BA1362" s="312" t="s">
        <v>254</v>
      </c>
      <c r="BB1362" s="312">
        <v>1</v>
      </c>
      <c r="BC1362" s="336" t="s">
        <v>255</v>
      </c>
    </row>
    <row r="1363" spans="1:55" ht="16.350000000000001" customHeight="1" outlineLevel="1">
      <c r="A1363" s="92">
        <v>1353</v>
      </c>
      <c r="B1363" s="99" t="s">
        <v>1102</v>
      </c>
      <c r="C1363" s="122" t="s">
        <v>1111</v>
      </c>
      <c r="D1363" s="161">
        <v>3</v>
      </c>
      <c r="E1363" s="123" t="s">
        <v>737</v>
      </c>
      <c r="F1363" s="124" t="s">
        <v>1425</v>
      </c>
      <c r="G1363" s="133" t="s">
        <v>281</v>
      </c>
      <c r="H1363" s="335"/>
      <c r="I1363" s="335"/>
      <c r="J1363" s="319"/>
      <c r="K1363" s="319"/>
      <c r="L1363" s="335"/>
      <c r="M1363" s="335"/>
      <c r="N1363" s="315"/>
      <c r="O1363" s="315"/>
      <c r="P1363" s="315"/>
      <c r="Q1363" s="319"/>
      <c r="R1363" s="320"/>
      <c r="S1363" s="320"/>
      <c r="T1363" s="320"/>
      <c r="U1363" s="335"/>
      <c r="V1363" s="320"/>
      <c r="W1363" s="190"/>
      <c r="X1363" s="294"/>
      <c r="Y1363" s="296"/>
      <c r="Z1363" s="298"/>
      <c r="AA1363" s="300"/>
      <c r="AB1363" s="294"/>
      <c r="AC1363" s="300"/>
      <c r="AD1363" s="302"/>
      <c r="AE1363" s="294"/>
      <c r="AF1363" s="294"/>
      <c r="AG1363" s="294"/>
      <c r="AH1363" s="294"/>
      <c r="AI1363" s="294"/>
      <c r="AJ1363" s="294"/>
      <c r="AK1363" s="294"/>
      <c r="AL1363" s="294"/>
      <c r="AM1363" s="294"/>
      <c r="AN1363" s="294"/>
      <c r="AO1363" s="294"/>
      <c r="AP1363" s="294"/>
      <c r="AQ1363" s="294"/>
      <c r="AR1363" s="294"/>
      <c r="AS1363" s="294"/>
      <c r="AT1363" s="294"/>
      <c r="AU1363" s="294"/>
      <c r="AV1363" s="294"/>
      <c r="AW1363" s="294"/>
      <c r="AX1363" s="294">
        <f t="shared" si="9"/>
        <v>0</v>
      </c>
      <c r="AY1363" s="294"/>
      <c r="AZ1363" s="312"/>
      <c r="BA1363" s="312"/>
      <c r="BB1363" s="312"/>
      <c r="BC1363" s="337"/>
    </row>
    <row r="1364" spans="1:55" ht="16.350000000000001" customHeight="1" outlineLevel="1">
      <c r="A1364" s="92">
        <v>1354</v>
      </c>
      <c r="B1364" s="99" t="s">
        <v>1103</v>
      </c>
      <c r="C1364" s="122" t="s">
        <v>1114</v>
      </c>
      <c r="D1364" s="161">
        <v>1</v>
      </c>
      <c r="E1364" s="123" t="s">
        <v>734</v>
      </c>
      <c r="F1364" s="124" t="s">
        <v>1425</v>
      </c>
      <c r="G1364" s="133" t="s">
        <v>247</v>
      </c>
      <c r="H1364" s="334" t="s">
        <v>248</v>
      </c>
      <c r="I1364" s="334" t="s">
        <v>1426</v>
      </c>
      <c r="J1364" s="317" t="s">
        <v>139</v>
      </c>
      <c r="K1364" s="317" t="s">
        <v>140</v>
      </c>
      <c r="L1364" s="334">
        <v>1</v>
      </c>
      <c r="M1364" s="334" t="s">
        <v>250</v>
      </c>
      <c r="N1364" s="184">
        <v>89</v>
      </c>
      <c r="O1364" s="184">
        <v>6</v>
      </c>
      <c r="P1364" s="184" t="s">
        <v>1429</v>
      </c>
      <c r="Q1364" s="174" t="s">
        <v>233</v>
      </c>
      <c r="R1364" s="276" t="s">
        <v>240</v>
      </c>
      <c r="S1364" s="276" t="s">
        <v>233</v>
      </c>
      <c r="T1364" s="276" t="s">
        <v>240</v>
      </c>
      <c r="U1364" s="334" t="s">
        <v>1427</v>
      </c>
      <c r="V1364" s="276" t="s">
        <v>240</v>
      </c>
      <c r="W1364" s="189"/>
      <c r="X1364" s="125">
        <v>979.65</v>
      </c>
      <c r="Y1364" s="126">
        <v>1033.3800000000001</v>
      </c>
      <c r="Z1364" s="127">
        <v>131.32549080000001</v>
      </c>
      <c r="AA1364" s="128" t="s">
        <v>252</v>
      </c>
      <c r="AB1364" s="125">
        <v>103.291605</v>
      </c>
      <c r="AC1364" s="128" t="s">
        <v>252</v>
      </c>
      <c r="AD1364" s="129">
        <v>144.536652</v>
      </c>
      <c r="AE1364" s="125" t="s">
        <v>252</v>
      </c>
      <c r="AF1364" s="125">
        <v>71.683701999999997</v>
      </c>
      <c r="AG1364" s="125" t="s">
        <v>252</v>
      </c>
      <c r="AH1364" s="125">
        <v>23.703728999999999</v>
      </c>
      <c r="AI1364" s="125" t="s">
        <v>252</v>
      </c>
      <c r="AJ1364" s="125">
        <v>0</v>
      </c>
      <c r="AK1364" s="125">
        <v>0</v>
      </c>
      <c r="AL1364" s="125">
        <v>0</v>
      </c>
      <c r="AM1364" s="125">
        <v>0</v>
      </c>
      <c r="AN1364" s="125">
        <v>0</v>
      </c>
      <c r="AO1364" s="125">
        <v>0</v>
      </c>
      <c r="AP1364" s="125"/>
      <c r="AQ1364" s="125"/>
      <c r="AR1364" s="125">
        <v>85.765067999999999</v>
      </c>
      <c r="AS1364" s="125" t="s">
        <v>252</v>
      </c>
      <c r="AT1364" s="125">
        <v>78.495885000000001</v>
      </c>
      <c r="AU1364" s="125" t="s">
        <v>252</v>
      </c>
      <c r="AV1364" s="125">
        <v>102.454752</v>
      </c>
      <c r="AW1364" s="125" t="s">
        <v>252</v>
      </c>
      <c r="AX1364" s="125">
        <f t="shared" si="9"/>
        <v>741.25688380000008</v>
      </c>
      <c r="AY1364" s="292">
        <f>0.3711+0.0184+0.0105</f>
        <v>0.39999999999999997</v>
      </c>
      <c r="AZ1364" s="181" t="s">
        <v>1429</v>
      </c>
      <c r="BA1364" s="181" t="s">
        <v>254</v>
      </c>
      <c r="BB1364" s="181">
        <v>1</v>
      </c>
      <c r="BC1364" s="336" t="s">
        <v>255</v>
      </c>
    </row>
    <row r="1365" spans="1:55" ht="16.350000000000001" customHeight="1" outlineLevel="1">
      <c r="A1365" s="92">
        <v>1355</v>
      </c>
      <c r="B1365" s="99" t="s">
        <v>1104</v>
      </c>
      <c r="C1365" s="122" t="s">
        <v>1114</v>
      </c>
      <c r="D1365" s="161">
        <v>1</v>
      </c>
      <c r="E1365" s="123" t="s">
        <v>737</v>
      </c>
      <c r="F1365" s="124" t="s">
        <v>1425</v>
      </c>
      <c r="G1365" s="133" t="s">
        <v>247</v>
      </c>
      <c r="H1365" s="335"/>
      <c r="I1365" s="335"/>
      <c r="J1365" s="319"/>
      <c r="K1365" s="319"/>
      <c r="L1365" s="335"/>
      <c r="M1365" s="335"/>
      <c r="N1365" s="184">
        <v>89</v>
      </c>
      <c r="O1365" s="184">
        <v>6</v>
      </c>
      <c r="P1365" s="184" t="s">
        <v>1429</v>
      </c>
      <c r="Q1365" s="174" t="s">
        <v>233</v>
      </c>
      <c r="R1365" s="276" t="s">
        <v>240</v>
      </c>
      <c r="S1365" s="276" t="s">
        <v>233</v>
      </c>
      <c r="T1365" s="276" t="s">
        <v>240</v>
      </c>
      <c r="U1365" s="335"/>
      <c r="V1365" s="276" t="s">
        <v>240</v>
      </c>
      <c r="W1365" s="190"/>
      <c r="X1365" s="125">
        <v>465.19</v>
      </c>
      <c r="Y1365" s="126">
        <v>436.36</v>
      </c>
      <c r="Z1365" s="127">
        <v>68.646236399999992</v>
      </c>
      <c r="AA1365" s="128" t="s">
        <v>252</v>
      </c>
      <c r="AB1365" s="125">
        <v>40.993830000000003</v>
      </c>
      <c r="AC1365" s="128" t="s">
        <v>252</v>
      </c>
      <c r="AD1365" s="129">
        <v>61.044065999999994</v>
      </c>
      <c r="AE1365" s="125" t="s">
        <v>252</v>
      </c>
      <c r="AF1365" s="125">
        <v>30.793870000000002</v>
      </c>
      <c r="AG1365" s="125" t="s">
        <v>252</v>
      </c>
      <c r="AH1365" s="125">
        <v>12.077316999999999</v>
      </c>
      <c r="AI1365" s="125" t="s">
        <v>252</v>
      </c>
      <c r="AJ1365" s="125">
        <v>0</v>
      </c>
      <c r="AK1365" s="125">
        <v>0</v>
      </c>
      <c r="AL1365" s="125">
        <v>0</v>
      </c>
      <c r="AM1365" s="125">
        <v>0</v>
      </c>
      <c r="AN1365" s="125">
        <v>0</v>
      </c>
      <c r="AO1365" s="125">
        <v>0</v>
      </c>
      <c r="AP1365" s="125"/>
      <c r="AQ1365" s="125"/>
      <c r="AR1365" s="125">
        <v>34.080180000000006</v>
      </c>
      <c r="AS1365" s="125" t="s">
        <v>252</v>
      </c>
      <c r="AT1365" s="125">
        <v>32.321835</v>
      </c>
      <c r="AU1365" s="125" t="s">
        <v>252</v>
      </c>
      <c r="AV1365" s="125">
        <v>44.683824000000001</v>
      </c>
      <c r="AW1365" s="125" t="s">
        <v>252</v>
      </c>
      <c r="AX1365" s="125">
        <f t="shared" si="9"/>
        <v>324.64115839999999</v>
      </c>
      <c r="AY1365" s="294"/>
      <c r="AZ1365" s="181" t="s">
        <v>1429</v>
      </c>
      <c r="BA1365" s="181" t="s">
        <v>254</v>
      </c>
      <c r="BB1365" s="181">
        <v>1</v>
      </c>
      <c r="BC1365" s="337"/>
    </row>
    <row r="1366" spans="1:55" ht="16.350000000000001" customHeight="1" outlineLevel="1">
      <c r="A1366" s="92">
        <v>1356</v>
      </c>
      <c r="B1366" s="99" t="s">
        <v>1105</v>
      </c>
      <c r="C1366" s="122" t="s">
        <v>1117</v>
      </c>
      <c r="D1366" s="161" t="s">
        <v>168</v>
      </c>
      <c r="E1366" s="123" t="s">
        <v>734</v>
      </c>
      <c r="F1366" s="124" t="s">
        <v>1425</v>
      </c>
      <c r="G1366" s="133" t="s">
        <v>281</v>
      </c>
      <c r="H1366" s="134" t="s">
        <v>248</v>
      </c>
      <c r="I1366" s="134" t="s">
        <v>1426</v>
      </c>
      <c r="J1366" s="134" t="s">
        <v>139</v>
      </c>
      <c r="K1366" s="124" t="s">
        <v>140</v>
      </c>
      <c r="L1366" s="174">
        <v>1</v>
      </c>
      <c r="M1366" s="174" t="s">
        <v>250</v>
      </c>
      <c r="N1366" s="184">
        <v>80</v>
      </c>
      <c r="O1366" s="184">
        <v>6</v>
      </c>
      <c r="P1366" s="184" t="s">
        <v>1429</v>
      </c>
      <c r="Q1366" s="174" t="s">
        <v>233</v>
      </c>
      <c r="R1366" s="276" t="s">
        <v>240</v>
      </c>
      <c r="S1366" s="276" t="s">
        <v>233</v>
      </c>
      <c r="T1366" s="276" t="s">
        <v>240</v>
      </c>
      <c r="U1366" s="174" t="s">
        <v>1427</v>
      </c>
      <c r="V1366" s="276" t="s">
        <v>240</v>
      </c>
      <c r="W1366" s="130"/>
      <c r="X1366" s="125">
        <v>497.67</v>
      </c>
      <c r="Y1366" s="126">
        <v>532.39</v>
      </c>
      <c r="Z1366" s="127">
        <v>57.758656200000004</v>
      </c>
      <c r="AA1366" s="128" t="s">
        <v>259</v>
      </c>
      <c r="AB1366" s="125">
        <v>54.828629999999997</v>
      </c>
      <c r="AC1366" s="128" t="s">
        <v>259</v>
      </c>
      <c r="AD1366" s="129">
        <v>59.320656000000007</v>
      </c>
      <c r="AE1366" s="125" t="s">
        <v>259</v>
      </c>
      <c r="AF1366" s="125">
        <v>45.530653999999998</v>
      </c>
      <c r="AG1366" s="125" t="s">
        <v>252</v>
      </c>
      <c r="AH1366" s="125">
        <v>11.661096999999998</v>
      </c>
      <c r="AI1366" s="125" t="s">
        <v>252</v>
      </c>
      <c r="AJ1366" s="125">
        <v>0</v>
      </c>
      <c r="AK1366" s="125">
        <v>0</v>
      </c>
      <c r="AL1366" s="125">
        <v>0</v>
      </c>
      <c r="AM1366" s="125">
        <v>0</v>
      </c>
      <c r="AN1366" s="125">
        <v>0</v>
      </c>
      <c r="AO1366" s="125">
        <v>0</v>
      </c>
      <c r="AP1366" s="125"/>
      <c r="AQ1366" s="125"/>
      <c r="AR1366" s="125">
        <v>44.259551999999999</v>
      </c>
      <c r="AS1366" s="125" t="s">
        <v>252</v>
      </c>
      <c r="AT1366" s="125">
        <v>41.951295000000002</v>
      </c>
      <c r="AU1366" s="125" t="s">
        <v>252</v>
      </c>
      <c r="AV1366" s="125">
        <v>52.763615999999999</v>
      </c>
      <c r="AW1366" s="125" t="s">
        <v>252</v>
      </c>
      <c r="AX1366" s="125">
        <f t="shared" si="9"/>
        <v>368.0741562</v>
      </c>
      <c r="AY1366" s="125">
        <f>0.2573+0.0127</f>
        <v>0.26999999999999996</v>
      </c>
      <c r="AZ1366" s="181" t="s">
        <v>1429</v>
      </c>
      <c r="BA1366" s="181" t="s">
        <v>254</v>
      </c>
      <c r="BB1366" s="181">
        <v>1</v>
      </c>
      <c r="BC1366" s="125" t="s">
        <v>255</v>
      </c>
    </row>
    <row r="1367" spans="1:55" ht="16.350000000000001" customHeight="1" outlineLevel="1">
      <c r="A1367" s="92">
        <v>1357</v>
      </c>
      <c r="B1367" s="99" t="s">
        <v>1106</v>
      </c>
      <c r="C1367" s="122" t="s">
        <v>1114</v>
      </c>
      <c r="D1367" s="161">
        <v>17</v>
      </c>
      <c r="E1367" s="123" t="s">
        <v>734</v>
      </c>
      <c r="F1367" s="124" t="s">
        <v>1425</v>
      </c>
      <c r="G1367" s="133" t="s">
        <v>281</v>
      </c>
      <c r="H1367" s="134" t="s">
        <v>248</v>
      </c>
      <c r="I1367" s="134" t="s">
        <v>1426</v>
      </c>
      <c r="J1367" s="134" t="s">
        <v>139</v>
      </c>
      <c r="K1367" s="124" t="s">
        <v>140</v>
      </c>
      <c r="L1367" s="174">
        <v>1</v>
      </c>
      <c r="M1367" s="174" t="s">
        <v>250</v>
      </c>
      <c r="N1367" s="184">
        <v>100</v>
      </c>
      <c r="O1367" s="184">
        <v>6</v>
      </c>
      <c r="P1367" s="184" t="s">
        <v>1429</v>
      </c>
      <c r="Q1367" s="174" t="s">
        <v>233</v>
      </c>
      <c r="R1367" s="276" t="s">
        <v>240</v>
      </c>
      <c r="S1367" s="276" t="s">
        <v>233</v>
      </c>
      <c r="T1367" s="276" t="s">
        <v>240</v>
      </c>
      <c r="U1367" s="174" t="s">
        <v>1427</v>
      </c>
      <c r="V1367" s="276" t="s">
        <v>240</v>
      </c>
      <c r="W1367" s="130"/>
      <c r="X1367" s="125">
        <v>248.02</v>
      </c>
      <c r="Y1367" s="126">
        <v>2255.0100000000002</v>
      </c>
      <c r="Z1367" s="127">
        <v>267.60617099999996</v>
      </c>
      <c r="AA1367" s="128" t="s">
        <v>252</v>
      </c>
      <c r="AB1367" s="125">
        <v>201.87278999999998</v>
      </c>
      <c r="AC1367" s="128" t="s">
        <v>252</v>
      </c>
      <c r="AD1367" s="129">
        <v>278.635626</v>
      </c>
      <c r="AE1367" s="125" t="s">
        <v>252</v>
      </c>
      <c r="AF1367" s="125">
        <v>106.00364800000001</v>
      </c>
      <c r="AG1367" s="125" t="s">
        <v>252</v>
      </c>
      <c r="AH1367" s="125">
        <v>61.628308000000004</v>
      </c>
      <c r="AI1367" s="125" t="s">
        <v>252</v>
      </c>
      <c r="AJ1367" s="125">
        <v>0</v>
      </c>
      <c r="AK1367" s="125">
        <v>0</v>
      </c>
      <c r="AL1367" s="125">
        <v>0</v>
      </c>
      <c r="AM1367" s="125">
        <v>0</v>
      </c>
      <c r="AN1367" s="125">
        <v>0</v>
      </c>
      <c r="AO1367" s="125">
        <v>0</v>
      </c>
      <c r="AP1367" s="125"/>
      <c r="AQ1367" s="125"/>
      <c r="AR1367" s="125">
        <v>116.9439555636</v>
      </c>
      <c r="AS1367" s="125" t="s">
        <v>252</v>
      </c>
      <c r="AT1367" s="125">
        <v>178.32239728200003</v>
      </c>
      <c r="AU1367" s="125" t="s">
        <v>252</v>
      </c>
      <c r="AV1367" s="125">
        <v>168.38020800000001</v>
      </c>
      <c r="AW1367" s="125" t="s">
        <v>252</v>
      </c>
      <c r="AX1367" s="125">
        <f t="shared" si="9"/>
        <v>1379.3931038456001</v>
      </c>
      <c r="AY1367" s="125">
        <f>0.13</f>
        <v>0.13</v>
      </c>
      <c r="AZ1367" s="181" t="s">
        <v>1429</v>
      </c>
      <c r="BA1367" s="181" t="s">
        <v>254</v>
      </c>
      <c r="BB1367" s="181">
        <v>1</v>
      </c>
      <c r="BC1367" s="125" t="s">
        <v>255</v>
      </c>
    </row>
    <row r="1368" spans="1:55" ht="16.350000000000001" customHeight="1" outlineLevel="1">
      <c r="A1368" s="92">
        <v>1358</v>
      </c>
      <c r="B1368" s="99" t="s">
        <v>1107</v>
      </c>
      <c r="C1368" s="122" t="s">
        <v>1114</v>
      </c>
      <c r="D1368" s="161">
        <v>29</v>
      </c>
      <c r="E1368" s="123" t="s">
        <v>734</v>
      </c>
      <c r="F1368" s="124" t="s">
        <v>1425</v>
      </c>
      <c r="G1368" s="133" t="s">
        <v>281</v>
      </c>
      <c r="H1368" s="134" t="s">
        <v>248</v>
      </c>
      <c r="I1368" s="134" t="s">
        <v>1426</v>
      </c>
      <c r="J1368" s="134" t="s">
        <v>139</v>
      </c>
      <c r="K1368" s="124" t="s">
        <v>140</v>
      </c>
      <c r="L1368" s="174">
        <v>1</v>
      </c>
      <c r="M1368" s="174" t="s">
        <v>250</v>
      </c>
      <c r="N1368" s="184">
        <v>100</v>
      </c>
      <c r="O1368" s="184">
        <v>6</v>
      </c>
      <c r="P1368" s="184" t="s">
        <v>1429</v>
      </c>
      <c r="Q1368" s="174" t="s">
        <v>233</v>
      </c>
      <c r="R1368" s="276" t="s">
        <v>240</v>
      </c>
      <c r="S1368" s="276" t="s">
        <v>233</v>
      </c>
      <c r="T1368" s="276" t="s">
        <v>240</v>
      </c>
      <c r="U1368" s="174" t="s">
        <v>1427</v>
      </c>
      <c r="V1368" s="276" t="s">
        <v>240</v>
      </c>
      <c r="W1368" s="130"/>
      <c r="X1368" s="274">
        <v>599.48</v>
      </c>
      <c r="Y1368" s="126">
        <v>631.67999999999995</v>
      </c>
      <c r="Z1368" s="127">
        <v>71.4221802</v>
      </c>
      <c r="AA1368" s="128" t="s">
        <v>252</v>
      </c>
      <c r="AB1368" s="274">
        <v>56.566215</v>
      </c>
      <c r="AC1368" s="128" t="s">
        <v>252</v>
      </c>
      <c r="AD1368" s="129">
        <v>72.825120000000013</v>
      </c>
      <c r="AE1368" s="274" t="s">
        <v>252</v>
      </c>
      <c r="AF1368" s="274">
        <v>48.455873999999994</v>
      </c>
      <c r="AG1368" s="274" t="s">
        <v>252</v>
      </c>
      <c r="AH1368" s="274">
        <v>18.272057999999998</v>
      </c>
      <c r="AI1368" s="274" t="s">
        <v>252</v>
      </c>
      <c r="AJ1368" s="274">
        <v>0</v>
      </c>
      <c r="AK1368" s="274">
        <v>0</v>
      </c>
      <c r="AL1368" s="274">
        <v>0</v>
      </c>
      <c r="AM1368" s="274">
        <v>0</v>
      </c>
      <c r="AN1368" s="274">
        <v>0</v>
      </c>
      <c r="AO1368" s="274">
        <v>0</v>
      </c>
      <c r="AP1368" s="274"/>
      <c r="AQ1368" s="274"/>
      <c r="AR1368" s="274">
        <v>47.127324000000002</v>
      </c>
      <c r="AS1368" s="274" t="s">
        <v>252</v>
      </c>
      <c r="AT1368" s="274">
        <v>47.728971000000001</v>
      </c>
      <c r="AU1368" s="274" t="s">
        <v>252</v>
      </c>
      <c r="AV1368" s="274">
        <v>71.779775999999998</v>
      </c>
      <c r="AW1368" s="274" t="s">
        <v>252</v>
      </c>
      <c r="AX1368" s="274">
        <f t="shared" si="9"/>
        <v>434.17751820000001</v>
      </c>
      <c r="AY1368" s="274">
        <f>0.1829+0.0071</f>
        <v>0.19</v>
      </c>
      <c r="AZ1368" s="273" t="s">
        <v>1429</v>
      </c>
      <c r="BA1368" s="273" t="s">
        <v>254</v>
      </c>
      <c r="BB1368" s="181">
        <v>1</v>
      </c>
      <c r="BC1368" s="125" t="s">
        <v>255</v>
      </c>
    </row>
    <row r="1369" spans="1:55" ht="16.350000000000001" customHeight="1" outlineLevel="1">
      <c r="A1369" s="92">
        <v>1359</v>
      </c>
      <c r="B1369" s="99" t="s">
        <v>1110</v>
      </c>
      <c r="C1369" s="122" t="s">
        <v>1126</v>
      </c>
      <c r="D1369" s="161" t="s">
        <v>1127</v>
      </c>
      <c r="E1369" s="123" t="s">
        <v>734</v>
      </c>
      <c r="F1369" s="124" t="s">
        <v>1425</v>
      </c>
      <c r="G1369" s="133" t="s">
        <v>281</v>
      </c>
      <c r="H1369" s="134" t="s">
        <v>248</v>
      </c>
      <c r="I1369" s="134" t="s">
        <v>1426</v>
      </c>
      <c r="J1369" s="134" t="s">
        <v>139</v>
      </c>
      <c r="K1369" s="124" t="s">
        <v>140</v>
      </c>
      <c r="L1369" s="174">
        <v>1</v>
      </c>
      <c r="M1369" s="174" t="s">
        <v>250</v>
      </c>
      <c r="N1369" s="184">
        <v>100</v>
      </c>
      <c r="O1369" s="184">
        <v>6</v>
      </c>
      <c r="P1369" s="184" t="s">
        <v>1429</v>
      </c>
      <c r="Q1369" s="174" t="s">
        <v>233</v>
      </c>
      <c r="R1369" s="276" t="s">
        <v>240</v>
      </c>
      <c r="S1369" s="276" t="s">
        <v>233</v>
      </c>
      <c r="T1369" s="276" t="s">
        <v>240</v>
      </c>
      <c r="U1369" s="174" t="s">
        <v>1427</v>
      </c>
      <c r="V1369" s="276" t="s">
        <v>240</v>
      </c>
      <c r="W1369" s="130"/>
      <c r="X1369" s="274">
        <v>818.07</v>
      </c>
      <c r="Y1369" s="126">
        <v>812.16</v>
      </c>
      <c r="Z1369" s="127">
        <v>97.322341200000011</v>
      </c>
      <c r="AA1369" s="128" t="s">
        <v>252</v>
      </c>
      <c r="AB1369" s="274">
        <v>76.791375000000002</v>
      </c>
      <c r="AC1369" s="128" t="s">
        <v>252</v>
      </c>
      <c r="AD1369" s="129">
        <v>99.259578000000005</v>
      </c>
      <c r="AE1369" s="274" t="s">
        <v>252</v>
      </c>
      <c r="AF1369" s="274">
        <v>65.888604000000001</v>
      </c>
      <c r="AG1369" s="274" t="s">
        <v>252</v>
      </c>
      <c r="AH1369" s="274">
        <v>24.688783000000001</v>
      </c>
      <c r="AI1369" s="274" t="s">
        <v>252</v>
      </c>
      <c r="AJ1369" s="274">
        <v>0</v>
      </c>
      <c r="AK1369" s="274">
        <v>0</v>
      </c>
      <c r="AL1369" s="274">
        <v>0</v>
      </c>
      <c r="AM1369" s="274">
        <v>0</v>
      </c>
      <c r="AN1369" s="274">
        <v>0</v>
      </c>
      <c r="AO1369" s="274">
        <v>0</v>
      </c>
      <c r="AP1369" s="274"/>
      <c r="AQ1369" s="274"/>
      <c r="AR1369" s="274">
        <v>71.101247999999998</v>
      </c>
      <c r="AS1369" s="274" t="s">
        <v>252</v>
      </c>
      <c r="AT1369" s="274">
        <v>64.817316000000005</v>
      </c>
      <c r="AU1369" s="274" t="s">
        <v>252</v>
      </c>
      <c r="AV1369" s="274">
        <v>97.746383999999992</v>
      </c>
      <c r="AW1369" s="274" t="s">
        <v>252</v>
      </c>
      <c r="AX1369" s="274">
        <f t="shared" si="9"/>
        <v>597.61562920000006</v>
      </c>
      <c r="AY1369" s="274">
        <f>0.0043+0.0099+0.0158+0.4215+0.015+0.0135+0.09</f>
        <v>0.57000000000000006</v>
      </c>
      <c r="AZ1369" s="273" t="s">
        <v>1429</v>
      </c>
      <c r="BA1369" s="273" t="s">
        <v>254</v>
      </c>
      <c r="BB1369" s="181">
        <v>1</v>
      </c>
      <c r="BC1369" s="125" t="s">
        <v>255</v>
      </c>
    </row>
    <row r="1370" spans="1:55" ht="16.350000000000001" customHeight="1" outlineLevel="1">
      <c r="A1370" s="92">
        <v>1360</v>
      </c>
      <c r="B1370" s="99" t="s">
        <v>1112</v>
      </c>
      <c r="C1370" s="122" t="s">
        <v>1114</v>
      </c>
      <c r="D1370" s="161">
        <v>31</v>
      </c>
      <c r="E1370" s="123" t="s">
        <v>734</v>
      </c>
      <c r="F1370" s="124" t="s">
        <v>1425</v>
      </c>
      <c r="G1370" s="133" t="s">
        <v>281</v>
      </c>
      <c r="H1370" s="134" t="s">
        <v>248</v>
      </c>
      <c r="I1370" s="134" t="s">
        <v>1426</v>
      </c>
      <c r="J1370" s="134" t="s">
        <v>139</v>
      </c>
      <c r="K1370" s="124" t="s">
        <v>140</v>
      </c>
      <c r="L1370" s="174">
        <v>1</v>
      </c>
      <c r="M1370" s="174" t="s">
        <v>250</v>
      </c>
      <c r="N1370" s="184">
        <v>100</v>
      </c>
      <c r="O1370" s="184">
        <v>6</v>
      </c>
      <c r="P1370" s="184" t="s">
        <v>1429</v>
      </c>
      <c r="Q1370" s="174" t="s">
        <v>233</v>
      </c>
      <c r="R1370" s="276" t="s">
        <v>240</v>
      </c>
      <c r="S1370" s="276" t="s">
        <v>233</v>
      </c>
      <c r="T1370" s="276" t="s">
        <v>240</v>
      </c>
      <c r="U1370" s="174" t="s">
        <v>1427</v>
      </c>
      <c r="V1370" s="276" t="s">
        <v>240</v>
      </c>
      <c r="W1370" s="130"/>
      <c r="X1370" s="274">
        <v>921.07</v>
      </c>
      <c r="Y1370" s="126">
        <v>993.69</v>
      </c>
      <c r="Z1370" s="127">
        <v>101.25709020000001</v>
      </c>
      <c r="AA1370" s="128" t="s">
        <v>259</v>
      </c>
      <c r="AB1370" s="274">
        <v>96.168329999999997</v>
      </c>
      <c r="AC1370" s="128" t="s">
        <v>259</v>
      </c>
      <c r="AD1370" s="129">
        <v>103.48414200000001</v>
      </c>
      <c r="AE1370" s="274" t="s">
        <v>259</v>
      </c>
      <c r="AF1370" s="274">
        <v>92.484387999999996</v>
      </c>
      <c r="AG1370" s="274" t="s">
        <v>259</v>
      </c>
      <c r="AH1370" s="274">
        <v>80.337396999999996</v>
      </c>
      <c r="AI1370" s="274" t="s">
        <v>259</v>
      </c>
      <c r="AJ1370" s="274">
        <v>0</v>
      </c>
      <c r="AK1370" s="274">
        <v>0</v>
      </c>
      <c r="AL1370" s="274">
        <v>0</v>
      </c>
      <c r="AM1370" s="274">
        <v>0</v>
      </c>
      <c r="AN1370" s="274">
        <v>0</v>
      </c>
      <c r="AO1370" s="274">
        <v>0</v>
      </c>
      <c r="AP1370" s="274"/>
      <c r="AQ1370" s="274"/>
      <c r="AR1370" s="274">
        <v>89.445239999999998</v>
      </c>
      <c r="AS1370" s="274" t="s">
        <v>259</v>
      </c>
      <c r="AT1370" s="274">
        <v>81.179504999999992</v>
      </c>
      <c r="AU1370" s="274" t="s">
        <v>252</v>
      </c>
      <c r="AV1370" s="274">
        <v>99.050111999999999</v>
      </c>
      <c r="AW1370" s="274" t="s">
        <v>252</v>
      </c>
      <c r="AX1370" s="274">
        <f t="shared" si="9"/>
        <v>743.40620420000005</v>
      </c>
      <c r="AY1370" s="274">
        <f>0.0061+0.1814+0.0025</f>
        <v>0.19</v>
      </c>
      <c r="AZ1370" s="273" t="s">
        <v>1429</v>
      </c>
      <c r="BA1370" s="273" t="s">
        <v>254</v>
      </c>
      <c r="BB1370" s="181">
        <v>1</v>
      </c>
      <c r="BC1370" s="125" t="s">
        <v>255</v>
      </c>
    </row>
    <row r="1371" spans="1:55" ht="16.350000000000001" customHeight="1" outlineLevel="1">
      <c r="A1371" s="92">
        <v>1361</v>
      </c>
      <c r="B1371" s="99" t="s">
        <v>1113</v>
      </c>
      <c r="C1371" s="122" t="s">
        <v>1114</v>
      </c>
      <c r="D1371" s="161">
        <v>33</v>
      </c>
      <c r="E1371" s="123" t="s">
        <v>734</v>
      </c>
      <c r="F1371" s="124" t="s">
        <v>1425</v>
      </c>
      <c r="G1371" s="133" t="s">
        <v>281</v>
      </c>
      <c r="H1371" s="134" t="s">
        <v>248</v>
      </c>
      <c r="I1371" s="134" t="s">
        <v>1426</v>
      </c>
      <c r="J1371" s="134" t="s">
        <v>139</v>
      </c>
      <c r="K1371" s="124" t="s">
        <v>140</v>
      </c>
      <c r="L1371" s="174">
        <v>1</v>
      </c>
      <c r="M1371" s="174" t="s">
        <v>250</v>
      </c>
      <c r="N1371" s="184">
        <v>100</v>
      </c>
      <c r="O1371" s="184">
        <v>6</v>
      </c>
      <c r="P1371" s="184" t="s">
        <v>1429</v>
      </c>
      <c r="Q1371" s="174" t="s">
        <v>233</v>
      </c>
      <c r="R1371" s="276" t="s">
        <v>240</v>
      </c>
      <c r="S1371" s="276" t="s">
        <v>233</v>
      </c>
      <c r="T1371" s="276" t="s">
        <v>240</v>
      </c>
      <c r="U1371" s="174" t="s">
        <v>1427</v>
      </c>
      <c r="V1371" s="276" t="s">
        <v>240</v>
      </c>
      <c r="W1371" s="130"/>
      <c r="X1371" s="274">
        <v>2207.17</v>
      </c>
      <c r="Y1371" s="126">
        <v>2289.63</v>
      </c>
      <c r="Z1371" s="127">
        <v>207.0629232</v>
      </c>
      <c r="AA1371" s="128" t="s">
        <v>259</v>
      </c>
      <c r="AB1371" s="274">
        <v>198.09292500000001</v>
      </c>
      <c r="AC1371" s="128" t="s">
        <v>259</v>
      </c>
      <c r="AD1371" s="129">
        <v>210.41510400000001</v>
      </c>
      <c r="AE1371" s="274" t="s">
        <v>259</v>
      </c>
      <c r="AF1371" s="274">
        <v>181.92496600000001</v>
      </c>
      <c r="AG1371" s="274" t="s">
        <v>259</v>
      </c>
      <c r="AH1371" s="274">
        <v>133.98121799999998</v>
      </c>
      <c r="AI1371" s="274" t="s">
        <v>259</v>
      </c>
      <c r="AJ1371" s="274">
        <v>0</v>
      </c>
      <c r="AK1371" s="274">
        <v>0</v>
      </c>
      <c r="AL1371" s="274">
        <v>0</v>
      </c>
      <c r="AM1371" s="274">
        <v>0</v>
      </c>
      <c r="AN1371" s="274">
        <v>0</v>
      </c>
      <c r="AO1371" s="274">
        <v>0</v>
      </c>
      <c r="AP1371" s="274"/>
      <c r="AQ1371" s="274"/>
      <c r="AR1371" s="274">
        <v>181.61202</v>
      </c>
      <c r="AS1371" s="274" t="s">
        <v>259</v>
      </c>
      <c r="AT1371" s="274">
        <v>171.23863499999999</v>
      </c>
      <c r="AU1371" s="274" t="s">
        <v>259</v>
      </c>
      <c r="AV1371" s="274">
        <v>175.911936</v>
      </c>
      <c r="AW1371" s="274" t="s">
        <v>259</v>
      </c>
      <c r="AX1371" s="274">
        <f t="shared" si="9"/>
        <v>1460.2397272000001</v>
      </c>
      <c r="AY1371" s="274">
        <f>0.2496+0.0104</f>
        <v>0.26</v>
      </c>
      <c r="AZ1371" s="273" t="s">
        <v>1429</v>
      </c>
      <c r="BA1371" s="273" t="s">
        <v>254</v>
      </c>
      <c r="BB1371" s="181">
        <v>1</v>
      </c>
      <c r="BC1371" s="125" t="s">
        <v>255</v>
      </c>
    </row>
    <row r="1372" spans="1:55" ht="16.350000000000001" customHeight="1" outlineLevel="1">
      <c r="A1372" s="92">
        <v>1362</v>
      </c>
      <c r="B1372" s="99" t="s">
        <v>1115</v>
      </c>
      <c r="C1372" s="122" t="s">
        <v>1114</v>
      </c>
      <c r="D1372" s="161">
        <v>37</v>
      </c>
      <c r="E1372" s="123" t="s">
        <v>734</v>
      </c>
      <c r="F1372" s="124" t="s">
        <v>1425</v>
      </c>
      <c r="G1372" s="133" t="s">
        <v>281</v>
      </c>
      <c r="H1372" s="134" t="s">
        <v>248</v>
      </c>
      <c r="I1372" s="134" t="s">
        <v>1426</v>
      </c>
      <c r="J1372" s="134" t="s">
        <v>139</v>
      </c>
      <c r="K1372" s="124" t="s">
        <v>140</v>
      </c>
      <c r="L1372" s="174">
        <v>1</v>
      </c>
      <c r="M1372" s="174" t="s">
        <v>250</v>
      </c>
      <c r="N1372" s="184">
        <v>108</v>
      </c>
      <c r="O1372" s="184">
        <v>5.5</v>
      </c>
      <c r="P1372" s="184" t="s">
        <v>253</v>
      </c>
      <c r="Q1372" s="174" t="s">
        <v>240</v>
      </c>
      <c r="R1372" s="276" t="s">
        <v>240</v>
      </c>
      <c r="S1372" s="276" t="s">
        <v>240</v>
      </c>
      <c r="T1372" s="276" t="s">
        <v>233</v>
      </c>
      <c r="U1372" s="174" t="s">
        <v>1427</v>
      </c>
      <c r="V1372" s="276" t="s">
        <v>240</v>
      </c>
      <c r="W1372" s="130"/>
      <c r="X1372" s="274">
        <v>623.5</v>
      </c>
      <c r="Y1372" s="126">
        <v>806.5</v>
      </c>
      <c r="Z1372" s="127">
        <f>26.76+77.55</f>
        <v>104.31</v>
      </c>
      <c r="AA1372" s="128" t="s">
        <v>259</v>
      </c>
      <c r="AB1372" s="274">
        <f>26.76+77.55</f>
        <v>104.31</v>
      </c>
      <c r="AC1372" s="128" t="s">
        <v>259</v>
      </c>
      <c r="AD1372" s="129">
        <f>26.76+77.55</f>
        <v>104.31</v>
      </c>
      <c r="AE1372" s="274" t="s">
        <v>259</v>
      </c>
      <c r="AF1372" s="274">
        <f>26.76+77.55</f>
        <v>104.31</v>
      </c>
      <c r="AG1372" s="274" t="s">
        <v>259</v>
      </c>
      <c r="AH1372" s="274">
        <f>7.77+22.52</f>
        <v>30.29</v>
      </c>
      <c r="AI1372" s="274" t="s">
        <v>259</v>
      </c>
      <c r="AJ1372" s="274">
        <v>0</v>
      </c>
      <c r="AK1372" s="274">
        <v>0</v>
      </c>
      <c r="AL1372" s="274">
        <v>0</v>
      </c>
      <c r="AM1372" s="274">
        <v>0</v>
      </c>
      <c r="AN1372" s="274">
        <v>0</v>
      </c>
      <c r="AO1372" s="274">
        <v>0</v>
      </c>
      <c r="AP1372" s="274">
        <f>5.97+17.29</f>
        <v>23.259999999999998</v>
      </c>
      <c r="AQ1372" s="274" t="s">
        <v>259</v>
      </c>
      <c r="AR1372" s="274">
        <f>25.58+74.12</f>
        <v>99.7</v>
      </c>
      <c r="AS1372" s="274" t="s">
        <v>259</v>
      </c>
      <c r="AT1372" s="274">
        <f>25.58+74.12</f>
        <v>99.7</v>
      </c>
      <c r="AU1372" s="274" t="s">
        <v>259</v>
      </c>
      <c r="AV1372" s="274">
        <f>25.58+74.12</f>
        <v>99.7</v>
      </c>
      <c r="AW1372" s="274" t="s">
        <v>259</v>
      </c>
      <c r="AX1372" s="274">
        <f t="shared" si="9"/>
        <v>769.8900000000001</v>
      </c>
      <c r="AY1372" s="274">
        <f>0.0073+0.2235+0.0053+0.0032+0.0107</f>
        <v>0.25</v>
      </c>
      <c r="AZ1372" s="273" t="s">
        <v>253</v>
      </c>
      <c r="BA1372" s="273" t="s">
        <v>254</v>
      </c>
      <c r="BB1372" s="181" t="s">
        <v>1430</v>
      </c>
      <c r="BC1372" s="125" t="s">
        <v>255</v>
      </c>
    </row>
    <row r="1373" spans="1:55" ht="16.350000000000001" customHeight="1" outlineLevel="1">
      <c r="A1373" s="92">
        <v>1363</v>
      </c>
      <c r="B1373" s="99" t="s">
        <v>1116</v>
      </c>
      <c r="C1373" s="122" t="s">
        <v>1132</v>
      </c>
      <c r="D1373" s="161" t="s">
        <v>1133</v>
      </c>
      <c r="E1373" s="123" t="s">
        <v>734</v>
      </c>
      <c r="F1373" s="124" t="s">
        <v>1425</v>
      </c>
      <c r="G1373" s="133" t="s">
        <v>247</v>
      </c>
      <c r="H1373" s="134" t="s">
        <v>248</v>
      </c>
      <c r="I1373" s="134" t="s">
        <v>1426</v>
      </c>
      <c r="J1373" s="134" t="s">
        <v>139</v>
      </c>
      <c r="K1373" s="124" t="s">
        <v>140</v>
      </c>
      <c r="L1373" s="174">
        <v>1</v>
      </c>
      <c r="M1373" s="174" t="s">
        <v>250</v>
      </c>
      <c r="N1373" s="184">
        <v>80</v>
      </c>
      <c r="O1373" s="184">
        <v>6</v>
      </c>
      <c r="P1373" s="184" t="s">
        <v>1429</v>
      </c>
      <c r="Q1373" s="174" t="s">
        <v>233</v>
      </c>
      <c r="R1373" s="276" t="s">
        <v>240</v>
      </c>
      <c r="S1373" s="276" t="s">
        <v>233</v>
      </c>
      <c r="T1373" s="276" t="s">
        <v>240</v>
      </c>
      <c r="U1373" s="174" t="s">
        <v>1427</v>
      </c>
      <c r="V1373" s="276" t="s">
        <v>240</v>
      </c>
      <c r="W1373" s="130"/>
      <c r="X1373" s="274">
        <v>820.93</v>
      </c>
      <c r="Y1373" s="126">
        <v>980.92</v>
      </c>
      <c r="Z1373" s="127">
        <v>133.66904460000001</v>
      </c>
      <c r="AA1373" s="128" t="s">
        <v>252</v>
      </c>
      <c r="AB1373" s="274">
        <v>81.839429999999993</v>
      </c>
      <c r="AC1373" s="128" t="s">
        <v>252</v>
      </c>
      <c r="AD1373" s="129">
        <v>121.062924</v>
      </c>
      <c r="AE1373" s="274" t="s">
        <v>252</v>
      </c>
      <c r="AF1373" s="274">
        <v>75.027940000000001</v>
      </c>
      <c r="AG1373" s="274" t="s">
        <v>252</v>
      </c>
      <c r="AH1373" s="274">
        <v>30.710099000000003</v>
      </c>
      <c r="AI1373" s="274" t="s">
        <v>252</v>
      </c>
      <c r="AJ1373" s="274">
        <v>0</v>
      </c>
      <c r="AK1373" s="274">
        <v>0</v>
      </c>
      <c r="AL1373" s="274">
        <v>0</v>
      </c>
      <c r="AM1373" s="274">
        <v>0</v>
      </c>
      <c r="AN1373" s="274">
        <v>0</v>
      </c>
      <c r="AO1373" s="274">
        <v>0</v>
      </c>
      <c r="AP1373" s="274"/>
      <c r="AQ1373" s="274"/>
      <c r="AR1373" s="274">
        <v>124.4395267932</v>
      </c>
      <c r="AS1373" s="274" t="s">
        <v>312</v>
      </c>
      <c r="AT1373" s="274">
        <v>84.346384975199996</v>
      </c>
      <c r="AU1373" s="274" t="s">
        <v>312</v>
      </c>
      <c r="AV1373" s="274">
        <v>94.275312</v>
      </c>
      <c r="AW1373" s="274" t="s">
        <v>252</v>
      </c>
      <c r="AX1373" s="274">
        <f t="shared" si="9"/>
        <v>745.37066136839996</v>
      </c>
      <c r="AY1373" s="274">
        <f>0.0006+0.469+0.0015+0.0018+0.0066+0.011+0.0025+0.0041+0.0139+0.0045+0.0036+0.0038+0.0071</f>
        <v>0.53</v>
      </c>
      <c r="AZ1373" s="273" t="s">
        <v>1429</v>
      </c>
      <c r="BA1373" s="273" t="s">
        <v>254</v>
      </c>
      <c r="BB1373" s="181">
        <v>1</v>
      </c>
      <c r="BC1373" s="125" t="s">
        <v>255</v>
      </c>
    </row>
    <row r="1374" spans="1:55" ht="16.350000000000001" customHeight="1" outlineLevel="1">
      <c r="A1374" s="92">
        <v>1364</v>
      </c>
      <c r="B1374" s="99" t="s">
        <v>1118</v>
      </c>
      <c r="C1374" s="122" t="s">
        <v>1138</v>
      </c>
      <c r="D1374" s="161">
        <v>40</v>
      </c>
      <c r="E1374" s="123" t="s">
        <v>737</v>
      </c>
      <c r="F1374" s="124" t="s">
        <v>1234</v>
      </c>
      <c r="G1374" s="133" t="s">
        <v>247</v>
      </c>
      <c r="H1374" s="134" t="s">
        <v>248</v>
      </c>
      <c r="I1374" s="134" t="s">
        <v>1426</v>
      </c>
      <c r="J1374" s="134" t="s">
        <v>139</v>
      </c>
      <c r="K1374" s="124" t="s">
        <v>140</v>
      </c>
      <c r="L1374" s="174">
        <v>1</v>
      </c>
      <c r="M1374" s="174" t="s">
        <v>250</v>
      </c>
      <c r="N1374" s="184">
        <v>76</v>
      </c>
      <c r="O1374" s="184">
        <v>5.4</v>
      </c>
      <c r="P1374" s="184" t="s">
        <v>253</v>
      </c>
      <c r="Q1374" s="174" t="s">
        <v>240</v>
      </c>
      <c r="R1374" s="276" t="s">
        <v>240</v>
      </c>
      <c r="S1374" s="276" t="s">
        <v>240</v>
      </c>
      <c r="T1374" s="276" t="s">
        <v>233</v>
      </c>
      <c r="U1374" s="174" t="s">
        <v>1427</v>
      </c>
      <c r="V1374" s="276" t="s">
        <v>240</v>
      </c>
      <c r="W1374" s="130"/>
      <c r="X1374" s="274">
        <v>292.95999999999998</v>
      </c>
      <c r="Y1374" s="126">
        <v>411.24</v>
      </c>
      <c r="Z1374" s="127">
        <f>13.47+40.15</f>
        <v>53.62</v>
      </c>
      <c r="AA1374" s="128" t="s">
        <v>259</v>
      </c>
      <c r="AB1374" s="274">
        <f>13.47+40.15</f>
        <v>53.62</v>
      </c>
      <c r="AC1374" s="128" t="s">
        <v>259</v>
      </c>
      <c r="AD1374" s="129">
        <f>13.47+40.15</f>
        <v>53.62</v>
      </c>
      <c r="AE1374" s="274" t="s">
        <v>259</v>
      </c>
      <c r="AF1374" s="274">
        <f>13.47+40.15</f>
        <v>53.62</v>
      </c>
      <c r="AG1374" s="274" t="s">
        <v>259</v>
      </c>
      <c r="AH1374" s="274">
        <f>3.91+11.66</f>
        <v>15.57</v>
      </c>
      <c r="AI1374" s="274" t="s">
        <v>259</v>
      </c>
      <c r="AJ1374" s="274">
        <v>0</v>
      </c>
      <c r="AK1374" s="274">
        <v>0</v>
      </c>
      <c r="AL1374" s="274">
        <v>0</v>
      </c>
      <c r="AM1374" s="274">
        <v>0</v>
      </c>
      <c r="AN1374" s="274">
        <v>0</v>
      </c>
      <c r="AO1374" s="274">
        <v>0</v>
      </c>
      <c r="AP1374" s="274">
        <f>2.76+8.21</f>
        <v>10.97</v>
      </c>
      <c r="AQ1374" s="274" t="s">
        <v>259</v>
      </c>
      <c r="AR1374" s="274">
        <f>11.81+35.19</f>
        <v>47</v>
      </c>
      <c r="AS1374" s="274" t="s">
        <v>259</v>
      </c>
      <c r="AT1374" s="274">
        <f>11.81+35.19</f>
        <v>47</v>
      </c>
      <c r="AU1374" s="274" t="s">
        <v>259</v>
      </c>
      <c r="AV1374" s="274">
        <f>11.81+35.19</f>
        <v>47</v>
      </c>
      <c r="AW1374" s="274" t="s">
        <v>259</v>
      </c>
      <c r="AX1374" s="274">
        <f t="shared" si="9"/>
        <v>382.02</v>
      </c>
      <c r="AY1374" s="274">
        <v>0.23038</v>
      </c>
      <c r="AZ1374" s="273" t="s">
        <v>253</v>
      </c>
      <c r="BA1374" s="273" t="s">
        <v>254</v>
      </c>
      <c r="BB1374" s="181" t="s">
        <v>1430</v>
      </c>
      <c r="BC1374" s="125" t="s">
        <v>255</v>
      </c>
    </row>
    <row r="1375" spans="1:55" ht="16.350000000000001" customHeight="1" outlineLevel="1">
      <c r="A1375" s="92">
        <v>1365</v>
      </c>
      <c r="B1375" s="99" t="s">
        <v>1120</v>
      </c>
      <c r="C1375" s="122" t="s">
        <v>1138</v>
      </c>
      <c r="D1375" s="161">
        <v>44</v>
      </c>
      <c r="E1375" s="123" t="s">
        <v>734</v>
      </c>
      <c r="F1375" s="124" t="s">
        <v>1234</v>
      </c>
      <c r="G1375" s="133" t="s">
        <v>281</v>
      </c>
      <c r="H1375" s="134" t="s">
        <v>1424</v>
      </c>
      <c r="I1375" s="134" t="s">
        <v>1426</v>
      </c>
      <c r="J1375" s="134" t="s">
        <v>139</v>
      </c>
      <c r="K1375" s="124" t="s">
        <v>140</v>
      </c>
      <c r="L1375" s="174">
        <v>0</v>
      </c>
      <c r="M1375" s="174" t="s">
        <v>250</v>
      </c>
      <c r="N1375" s="184">
        <v>80</v>
      </c>
      <c r="O1375" s="184">
        <v>6</v>
      </c>
      <c r="P1375" s="184" t="s">
        <v>1429</v>
      </c>
      <c r="Q1375" s="174" t="s">
        <v>233</v>
      </c>
      <c r="R1375" s="276" t="s">
        <v>240</v>
      </c>
      <c r="S1375" s="276" t="s">
        <v>233</v>
      </c>
      <c r="T1375" s="276" t="s">
        <v>240</v>
      </c>
      <c r="U1375" s="174" t="s">
        <v>1428</v>
      </c>
      <c r="V1375" s="276" t="s">
        <v>240</v>
      </c>
      <c r="W1375" s="130"/>
      <c r="X1375" s="274">
        <v>1087.3599999999999</v>
      </c>
      <c r="Y1375" s="126">
        <v>1069.1099999999999</v>
      </c>
      <c r="Z1375" s="127">
        <v>168.8396472</v>
      </c>
      <c r="AA1375" s="128" t="s">
        <v>252</v>
      </c>
      <c r="AB1375" s="274">
        <v>127.95542999999999</v>
      </c>
      <c r="AC1375" s="128" t="s">
        <v>252</v>
      </c>
      <c r="AD1375" s="129">
        <v>173.34853200000001</v>
      </c>
      <c r="AE1375" s="274" t="s">
        <v>252</v>
      </c>
      <c r="AF1375" s="274">
        <v>65.327277999999993</v>
      </c>
      <c r="AG1375" s="274" t="s">
        <v>252</v>
      </c>
      <c r="AH1375" s="274">
        <v>22.330202999999997</v>
      </c>
      <c r="AI1375" s="274" t="s">
        <v>252</v>
      </c>
      <c r="AJ1375" s="274">
        <v>0</v>
      </c>
      <c r="AK1375" s="274">
        <v>0</v>
      </c>
      <c r="AL1375" s="274">
        <v>0</v>
      </c>
      <c r="AM1375" s="274">
        <v>0</v>
      </c>
      <c r="AN1375" s="274">
        <v>0</v>
      </c>
      <c r="AO1375" s="274">
        <v>0</v>
      </c>
      <c r="AP1375" s="274"/>
      <c r="AQ1375" s="274"/>
      <c r="AR1375" s="274">
        <v>16.320129746399999</v>
      </c>
      <c r="AS1375" s="274" t="s">
        <v>312</v>
      </c>
      <c r="AT1375" s="274">
        <v>103.81100208030001</v>
      </c>
      <c r="AU1375" s="274" t="s">
        <v>312</v>
      </c>
      <c r="AV1375" s="274">
        <v>106.399152</v>
      </c>
      <c r="AW1375" s="274" t="s">
        <v>252</v>
      </c>
      <c r="AX1375" s="274">
        <f t="shared" si="9"/>
        <v>784.3313740266999</v>
      </c>
      <c r="AY1375" s="274">
        <v>0.33322000000000002</v>
      </c>
      <c r="AZ1375" s="273" t="s">
        <v>1429</v>
      </c>
      <c r="BA1375" s="273" t="s">
        <v>254</v>
      </c>
      <c r="BB1375" s="181">
        <v>1</v>
      </c>
      <c r="BC1375" s="125" t="s">
        <v>255</v>
      </c>
    </row>
    <row r="1376" spans="1:55" ht="16.350000000000001" customHeight="1" outlineLevel="1">
      <c r="A1376" s="92">
        <v>1366</v>
      </c>
      <c r="B1376" s="99" t="s">
        <v>1121</v>
      </c>
      <c r="C1376" s="122" t="s">
        <v>1141</v>
      </c>
      <c r="D1376" s="161" t="s">
        <v>1142</v>
      </c>
      <c r="E1376" s="123" t="s">
        <v>734</v>
      </c>
      <c r="F1376" s="124" t="s">
        <v>1425</v>
      </c>
      <c r="G1376" s="133" t="s">
        <v>247</v>
      </c>
      <c r="H1376" s="134" t="s">
        <v>1424</v>
      </c>
      <c r="I1376" s="134" t="s">
        <v>1426</v>
      </c>
      <c r="J1376" s="134" t="s">
        <v>139</v>
      </c>
      <c r="K1376" s="124" t="s">
        <v>140</v>
      </c>
      <c r="L1376" s="174">
        <v>1</v>
      </c>
      <c r="M1376" s="174" t="s">
        <v>250</v>
      </c>
      <c r="N1376" s="184">
        <v>108</v>
      </c>
      <c r="O1376" s="184">
        <v>5.4</v>
      </c>
      <c r="P1376" s="184" t="s">
        <v>253</v>
      </c>
      <c r="Q1376" s="174" t="s">
        <v>240</v>
      </c>
      <c r="R1376" s="276" t="s">
        <v>240</v>
      </c>
      <c r="S1376" s="276" t="s">
        <v>240</v>
      </c>
      <c r="T1376" s="276" t="s">
        <v>233</v>
      </c>
      <c r="U1376" s="174" t="s">
        <v>1427</v>
      </c>
      <c r="V1376" s="276" t="s">
        <v>240</v>
      </c>
      <c r="W1376" s="130"/>
      <c r="X1376" s="274">
        <v>495.8</v>
      </c>
      <c r="Y1376" s="126">
        <v>688.94</v>
      </c>
      <c r="Z1376" s="127">
        <f>35.1+56.18</f>
        <v>91.28</v>
      </c>
      <c r="AA1376" s="128" t="s">
        <v>259</v>
      </c>
      <c r="AB1376" s="274">
        <f>35.1+56.18</f>
        <v>91.28</v>
      </c>
      <c r="AC1376" s="128" t="s">
        <v>259</v>
      </c>
      <c r="AD1376" s="129">
        <f>35.1+56.18</f>
        <v>91.28</v>
      </c>
      <c r="AE1376" s="274" t="s">
        <v>259</v>
      </c>
      <c r="AF1376" s="274">
        <f>35.1+56.18</f>
        <v>91.28</v>
      </c>
      <c r="AG1376" s="274" t="s">
        <v>259</v>
      </c>
      <c r="AH1376" s="274">
        <f>10.19+16.31</f>
        <v>26.5</v>
      </c>
      <c r="AI1376" s="274" t="s">
        <v>259</v>
      </c>
      <c r="AJ1376" s="274">
        <v>0</v>
      </c>
      <c r="AK1376" s="274">
        <v>0</v>
      </c>
      <c r="AL1376" s="274">
        <v>0</v>
      </c>
      <c r="AM1376" s="274">
        <v>0</v>
      </c>
      <c r="AN1376" s="274">
        <v>0</v>
      </c>
      <c r="AO1376" s="274">
        <v>0</v>
      </c>
      <c r="AP1376" s="274">
        <f>7.71+12.35</f>
        <v>20.059999999999999</v>
      </c>
      <c r="AQ1376" s="274" t="s">
        <v>259</v>
      </c>
      <c r="AR1376" s="274">
        <f>33.06+52.91</f>
        <v>85.97</v>
      </c>
      <c r="AS1376" s="274" t="s">
        <v>259</v>
      </c>
      <c r="AT1376" s="274">
        <f>33.06+52.91</f>
        <v>85.97</v>
      </c>
      <c r="AU1376" s="274" t="s">
        <v>259</v>
      </c>
      <c r="AV1376" s="274">
        <f>33.06+52.91</f>
        <v>85.97</v>
      </c>
      <c r="AW1376" s="274" t="s">
        <v>259</v>
      </c>
      <c r="AX1376" s="274">
        <f t="shared" si="9"/>
        <v>669.59</v>
      </c>
      <c r="AY1376" s="274">
        <f>0.2024+0.0276</f>
        <v>0.22999999999999998</v>
      </c>
      <c r="AZ1376" s="273" t="s">
        <v>253</v>
      </c>
      <c r="BA1376" s="273" t="s">
        <v>254</v>
      </c>
      <c r="BB1376" s="181" t="s">
        <v>1430</v>
      </c>
      <c r="BC1376" s="125" t="s">
        <v>255</v>
      </c>
    </row>
    <row r="1377" spans="1:55" ht="16.350000000000001" customHeight="1" outlineLevel="1">
      <c r="A1377" s="92">
        <v>1367</v>
      </c>
      <c r="B1377" s="99" t="s">
        <v>1122</v>
      </c>
      <c r="C1377" s="122" t="s">
        <v>1138</v>
      </c>
      <c r="D1377" s="161">
        <v>46</v>
      </c>
      <c r="E1377" s="123" t="s">
        <v>734</v>
      </c>
      <c r="F1377" s="124" t="s">
        <v>1234</v>
      </c>
      <c r="G1377" s="133" t="s">
        <v>281</v>
      </c>
      <c r="H1377" s="134" t="s">
        <v>1424</v>
      </c>
      <c r="I1377" s="134" t="s">
        <v>1426</v>
      </c>
      <c r="J1377" s="134" t="s">
        <v>139</v>
      </c>
      <c r="K1377" s="124" t="s">
        <v>140</v>
      </c>
      <c r="L1377" s="174">
        <v>0</v>
      </c>
      <c r="M1377" s="174" t="s">
        <v>250</v>
      </c>
      <c r="N1377" s="184">
        <v>80</v>
      </c>
      <c r="O1377" s="184">
        <v>6</v>
      </c>
      <c r="P1377" s="184" t="s">
        <v>1429</v>
      </c>
      <c r="Q1377" s="174" t="s">
        <v>233</v>
      </c>
      <c r="R1377" s="276" t="s">
        <v>240</v>
      </c>
      <c r="S1377" s="276" t="s">
        <v>233</v>
      </c>
      <c r="T1377" s="276" t="s">
        <v>240</v>
      </c>
      <c r="U1377" s="174" t="s">
        <v>1428</v>
      </c>
      <c r="V1377" s="276" t="s">
        <v>240</v>
      </c>
      <c r="W1377" s="130"/>
      <c r="X1377" s="274">
        <v>1424.78</v>
      </c>
      <c r="Y1377" s="126">
        <v>1461.15</v>
      </c>
      <c r="Z1377" s="127">
        <v>181.91512080000001</v>
      </c>
      <c r="AA1377" s="128" t="s">
        <v>252</v>
      </c>
      <c r="AB1377" s="274">
        <v>142.85254499999999</v>
      </c>
      <c r="AC1377" s="128" t="s">
        <v>252</v>
      </c>
      <c r="AD1377" s="129">
        <v>194.32110600000001</v>
      </c>
      <c r="AE1377" s="274" t="s">
        <v>252</v>
      </c>
      <c r="AF1377" s="274">
        <v>107.52159999999999</v>
      </c>
      <c r="AG1377" s="274" t="s">
        <v>252</v>
      </c>
      <c r="AH1377" s="274">
        <v>41.677495999999998</v>
      </c>
      <c r="AI1377" s="274" t="s">
        <v>252</v>
      </c>
      <c r="AJ1377" s="274">
        <v>0</v>
      </c>
      <c r="AK1377" s="274">
        <v>0</v>
      </c>
      <c r="AL1377" s="274">
        <v>0</v>
      </c>
      <c r="AM1377" s="274">
        <v>0</v>
      </c>
      <c r="AN1377" s="274">
        <v>0</v>
      </c>
      <c r="AO1377" s="274">
        <v>0</v>
      </c>
      <c r="AP1377" s="274"/>
      <c r="AQ1377" s="274"/>
      <c r="AR1377" s="274">
        <v>114.01221600000001</v>
      </c>
      <c r="AS1377" s="274" t="s">
        <v>252</v>
      </c>
      <c r="AT1377" s="274">
        <v>82.797570000000007</v>
      </c>
      <c r="AU1377" s="274" t="s">
        <v>252</v>
      </c>
      <c r="AV1377" s="274">
        <v>129.135504</v>
      </c>
      <c r="AW1377" s="274" t="s">
        <v>252</v>
      </c>
      <c r="AX1377" s="274">
        <f t="shared" si="9"/>
        <v>994.23315779999996</v>
      </c>
      <c r="AY1377" s="274">
        <v>0.15658</v>
      </c>
      <c r="AZ1377" s="273" t="s">
        <v>1429</v>
      </c>
      <c r="BA1377" s="273" t="s">
        <v>254</v>
      </c>
      <c r="BB1377" s="181">
        <v>1</v>
      </c>
      <c r="BC1377" s="125" t="s">
        <v>255</v>
      </c>
    </row>
    <row r="1378" spans="1:55" ht="16.350000000000001" customHeight="1" outlineLevel="1">
      <c r="A1378" s="92">
        <v>1368</v>
      </c>
      <c r="B1378" s="99" t="s">
        <v>1123</v>
      </c>
      <c r="C1378" s="122" t="s">
        <v>1138</v>
      </c>
      <c r="D1378" s="161">
        <v>47</v>
      </c>
      <c r="E1378" s="123" t="s">
        <v>734</v>
      </c>
      <c r="F1378" s="124" t="s">
        <v>1425</v>
      </c>
      <c r="G1378" s="133" t="s">
        <v>247</v>
      </c>
      <c r="H1378" s="134" t="s">
        <v>248</v>
      </c>
      <c r="I1378" s="134" t="s">
        <v>1426</v>
      </c>
      <c r="J1378" s="134" t="s">
        <v>139</v>
      </c>
      <c r="K1378" s="124" t="s">
        <v>140</v>
      </c>
      <c r="L1378" s="174">
        <v>1</v>
      </c>
      <c r="M1378" s="174" t="s">
        <v>250</v>
      </c>
      <c r="N1378" s="184">
        <v>100</v>
      </c>
      <c r="O1378" s="184">
        <v>6</v>
      </c>
      <c r="P1378" s="184" t="s">
        <v>1429</v>
      </c>
      <c r="Q1378" s="174" t="s">
        <v>233</v>
      </c>
      <c r="R1378" s="276" t="s">
        <v>240</v>
      </c>
      <c r="S1378" s="276" t="s">
        <v>233</v>
      </c>
      <c r="T1378" s="276" t="s">
        <v>240</v>
      </c>
      <c r="U1378" s="174" t="s">
        <v>1427</v>
      </c>
      <c r="V1378" s="276" t="s">
        <v>240</v>
      </c>
      <c r="W1378" s="130"/>
      <c r="X1378" s="274">
        <v>1328.63</v>
      </c>
      <c r="Y1378" s="126">
        <v>1332.2</v>
      </c>
      <c r="Z1378" s="127">
        <v>208.86166560000001</v>
      </c>
      <c r="AA1378" s="128" t="s">
        <v>252</v>
      </c>
      <c r="AB1378" s="274">
        <v>145.92419999999998</v>
      </c>
      <c r="AC1378" s="128" t="s">
        <v>252</v>
      </c>
      <c r="AD1378" s="129">
        <v>201.736188</v>
      </c>
      <c r="AE1378" s="274" t="s">
        <v>252</v>
      </c>
      <c r="AF1378" s="274">
        <v>89.741005999999999</v>
      </c>
      <c r="AG1378" s="274" t="s">
        <v>252</v>
      </c>
      <c r="AH1378" s="274">
        <v>26.249608000000002</v>
      </c>
      <c r="AI1378" s="274" t="s">
        <v>252</v>
      </c>
      <c r="AJ1378" s="274">
        <v>0</v>
      </c>
      <c r="AK1378" s="274">
        <v>0</v>
      </c>
      <c r="AL1378" s="274">
        <v>0</v>
      </c>
      <c r="AM1378" s="274">
        <v>0</v>
      </c>
      <c r="AN1378" s="274">
        <v>0</v>
      </c>
      <c r="AO1378" s="274">
        <v>0</v>
      </c>
      <c r="AP1378" s="274"/>
      <c r="AQ1378" s="274"/>
      <c r="AR1378" s="274">
        <v>95.002055999999996</v>
      </c>
      <c r="AS1378" s="274" t="s">
        <v>252</v>
      </c>
      <c r="AT1378" s="274">
        <v>98.812466999999998</v>
      </c>
      <c r="AU1378" s="274" t="s">
        <v>252</v>
      </c>
      <c r="AV1378" s="274">
        <v>150.617952</v>
      </c>
      <c r="AW1378" s="274" t="s">
        <v>252</v>
      </c>
      <c r="AX1378" s="274">
        <f t="shared" si="9"/>
        <v>1016.9451425999998</v>
      </c>
      <c r="AY1378" s="274">
        <f>0.33</f>
        <v>0.33</v>
      </c>
      <c r="AZ1378" s="273" t="s">
        <v>1429</v>
      </c>
      <c r="BA1378" s="273" t="s">
        <v>254</v>
      </c>
      <c r="BB1378" s="181">
        <v>1</v>
      </c>
      <c r="BC1378" s="125" t="s">
        <v>255</v>
      </c>
    </row>
    <row r="1379" spans="1:55" ht="16.350000000000001" customHeight="1" outlineLevel="1">
      <c r="A1379" s="92">
        <v>1369</v>
      </c>
      <c r="B1379" s="99" t="s">
        <v>1124</v>
      </c>
      <c r="C1379" s="122" t="s">
        <v>1138</v>
      </c>
      <c r="D1379" s="161">
        <v>48</v>
      </c>
      <c r="E1379" s="123" t="s">
        <v>734</v>
      </c>
      <c r="F1379" s="124" t="s">
        <v>1234</v>
      </c>
      <c r="G1379" s="133" t="s">
        <v>281</v>
      </c>
      <c r="H1379" s="134" t="s">
        <v>1424</v>
      </c>
      <c r="I1379" s="134" t="s">
        <v>1426</v>
      </c>
      <c r="J1379" s="134" t="s">
        <v>139</v>
      </c>
      <c r="K1379" s="124" t="s">
        <v>140</v>
      </c>
      <c r="L1379" s="174">
        <v>0</v>
      </c>
      <c r="M1379" s="174" t="s">
        <v>250</v>
      </c>
      <c r="N1379" s="184">
        <v>100</v>
      </c>
      <c r="O1379" s="184">
        <v>6</v>
      </c>
      <c r="P1379" s="184" t="s">
        <v>1429</v>
      </c>
      <c r="Q1379" s="174" t="s">
        <v>240</v>
      </c>
      <c r="R1379" s="276" t="s">
        <v>240</v>
      </c>
      <c r="S1379" s="276" t="s">
        <v>233</v>
      </c>
      <c r="T1379" s="276" t="s">
        <v>240</v>
      </c>
      <c r="U1379" s="174" t="s">
        <v>1428</v>
      </c>
      <c r="V1379" s="276" t="s">
        <v>240</v>
      </c>
      <c r="W1379" s="130"/>
      <c r="X1379" s="274">
        <v>454.15</v>
      </c>
      <c r="Y1379" s="126">
        <v>424.19</v>
      </c>
      <c r="Z1379" s="127">
        <v>64.599066000000008</v>
      </c>
      <c r="AA1379" s="128" t="s">
        <v>252</v>
      </c>
      <c r="AB1379" s="274">
        <v>38.869199999999999</v>
      </c>
      <c r="AC1379" s="128" t="s">
        <v>252</v>
      </c>
      <c r="AD1379" s="129">
        <v>63.45684</v>
      </c>
      <c r="AE1379" s="274" t="s">
        <v>252</v>
      </c>
      <c r="AF1379" s="274">
        <v>33.44238</v>
      </c>
      <c r="AG1379" s="274" t="s">
        <v>252</v>
      </c>
      <c r="AH1379" s="274">
        <v>10.26676</v>
      </c>
      <c r="AI1379" s="274" t="s">
        <v>252</v>
      </c>
      <c r="AJ1379" s="274">
        <v>0</v>
      </c>
      <c r="AK1379" s="274">
        <v>0</v>
      </c>
      <c r="AL1379" s="274">
        <v>0</v>
      </c>
      <c r="AM1379" s="274">
        <v>0</v>
      </c>
      <c r="AN1379" s="274">
        <v>0</v>
      </c>
      <c r="AO1379" s="274">
        <v>0</v>
      </c>
      <c r="AP1379" s="274"/>
      <c r="AQ1379" s="274"/>
      <c r="AR1379" s="274">
        <v>39.563880000000005</v>
      </c>
      <c r="AS1379" s="274" t="s">
        <v>252</v>
      </c>
      <c r="AT1379" s="274">
        <v>31.571999999999999</v>
      </c>
      <c r="AU1379" s="274" t="s">
        <v>252</v>
      </c>
      <c r="AV1379" s="274">
        <v>44.011200000000002</v>
      </c>
      <c r="AW1379" s="274" t="s">
        <v>252</v>
      </c>
      <c r="AX1379" s="274">
        <f t="shared" si="9"/>
        <v>325.78132600000004</v>
      </c>
      <c r="AY1379" s="274">
        <v>0.26496999999999998</v>
      </c>
      <c r="AZ1379" s="273" t="s">
        <v>1429</v>
      </c>
      <c r="BA1379" s="273" t="s">
        <v>254</v>
      </c>
      <c r="BB1379" s="181">
        <v>1</v>
      </c>
      <c r="BC1379" s="125" t="s">
        <v>255</v>
      </c>
    </row>
    <row r="1380" spans="1:55" ht="16.350000000000001" customHeight="1" outlineLevel="1">
      <c r="A1380" s="92">
        <v>1370</v>
      </c>
      <c r="B1380" s="99" t="s">
        <v>1125</v>
      </c>
      <c r="C1380" s="122" t="s">
        <v>1138</v>
      </c>
      <c r="D1380" s="161">
        <v>49</v>
      </c>
      <c r="E1380" s="123" t="s">
        <v>734</v>
      </c>
      <c r="F1380" s="124" t="s">
        <v>1425</v>
      </c>
      <c r="G1380" s="133" t="s">
        <v>247</v>
      </c>
      <c r="H1380" s="134" t="s">
        <v>248</v>
      </c>
      <c r="I1380" s="134" t="s">
        <v>1426</v>
      </c>
      <c r="J1380" s="134" t="s">
        <v>139</v>
      </c>
      <c r="K1380" s="124" t="s">
        <v>140</v>
      </c>
      <c r="L1380" s="174">
        <v>1</v>
      </c>
      <c r="M1380" s="174" t="s">
        <v>250</v>
      </c>
      <c r="N1380" s="184">
        <v>100</v>
      </c>
      <c r="O1380" s="184">
        <v>6</v>
      </c>
      <c r="P1380" s="184" t="s">
        <v>1429</v>
      </c>
      <c r="Q1380" s="174" t="s">
        <v>233</v>
      </c>
      <c r="R1380" s="276" t="s">
        <v>240</v>
      </c>
      <c r="S1380" s="276" t="s">
        <v>233</v>
      </c>
      <c r="T1380" s="276" t="s">
        <v>240</v>
      </c>
      <c r="U1380" s="174" t="s">
        <v>1427</v>
      </c>
      <c r="V1380" s="276" t="s">
        <v>240</v>
      </c>
      <c r="W1380" s="130"/>
      <c r="X1380" s="274">
        <v>2249.87</v>
      </c>
      <c r="Y1380" s="126">
        <v>1938.34</v>
      </c>
      <c r="Z1380" s="127">
        <v>279.54878279999997</v>
      </c>
      <c r="AA1380" s="128" t="s">
        <v>252</v>
      </c>
      <c r="AB1380" s="274">
        <v>229.20475499999998</v>
      </c>
      <c r="AC1380" s="128" t="s">
        <v>252</v>
      </c>
      <c r="AD1380" s="129">
        <v>272.70532800000001</v>
      </c>
      <c r="AE1380" s="274" t="s">
        <v>252</v>
      </c>
      <c r="AF1380" s="274">
        <v>158.50739400000001</v>
      </c>
      <c r="AG1380" s="274" t="s">
        <v>252</v>
      </c>
      <c r="AH1380" s="274">
        <v>41.698307</v>
      </c>
      <c r="AI1380" s="274" t="s">
        <v>252</v>
      </c>
      <c r="AJ1380" s="274">
        <v>0</v>
      </c>
      <c r="AK1380" s="274">
        <v>0</v>
      </c>
      <c r="AL1380" s="274">
        <v>0</v>
      </c>
      <c r="AM1380" s="274">
        <v>0</v>
      </c>
      <c r="AN1380" s="274">
        <v>0</v>
      </c>
      <c r="AO1380" s="274">
        <v>0</v>
      </c>
      <c r="AP1380" s="274"/>
      <c r="AQ1380" s="274"/>
      <c r="AR1380" s="274">
        <v>163.65797999999998</v>
      </c>
      <c r="AS1380" s="274" t="s">
        <v>252</v>
      </c>
      <c r="AT1380" s="274">
        <v>116.75325599999999</v>
      </c>
      <c r="AU1380" s="274" t="s">
        <v>252</v>
      </c>
      <c r="AV1380" s="274">
        <v>161.23046400000001</v>
      </c>
      <c r="AW1380" s="274" t="s">
        <v>252</v>
      </c>
      <c r="AX1380" s="274">
        <f t="shared" si="9"/>
        <v>1423.3062668</v>
      </c>
      <c r="AY1380" s="274">
        <f>0.3934+0.0366</f>
        <v>0.43000000000000005</v>
      </c>
      <c r="AZ1380" s="273" t="s">
        <v>1429</v>
      </c>
      <c r="BA1380" s="273" t="s">
        <v>254</v>
      </c>
      <c r="BB1380" s="181">
        <v>1</v>
      </c>
      <c r="BC1380" s="125" t="s">
        <v>255</v>
      </c>
    </row>
    <row r="1381" spans="1:55" ht="16.350000000000001" customHeight="1" outlineLevel="1">
      <c r="A1381" s="92">
        <v>1371</v>
      </c>
      <c r="B1381" s="99" t="s">
        <v>1128</v>
      </c>
      <c r="C1381" s="122" t="s">
        <v>1138</v>
      </c>
      <c r="D1381" s="161">
        <v>51</v>
      </c>
      <c r="E1381" s="123" t="s">
        <v>734</v>
      </c>
      <c r="F1381" s="124" t="s">
        <v>1425</v>
      </c>
      <c r="G1381" s="133" t="s">
        <v>247</v>
      </c>
      <c r="H1381" s="134" t="s">
        <v>248</v>
      </c>
      <c r="I1381" s="134" t="s">
        <v>1426</v>
      </c>
      <c r="J1381" s="134" t="s">
        <v>139</v>
      </c>
      <c r="K1381" s="124" t="s">
        <v>140</v>
      </c>
      <c r="L1381" s="174">
        <v>1</v>
      </c>
      <c r="M1381" s="174" t="s">
        <v>250</v>
      </c>
      <c r="N1381" s="315">
        <v>100</v>
      </c>
      <c r="O1381" s="315">
        <v>6</v>
      </c>
      <c r="P1381" s="315" t="s">
        <v>1429</v>
      </c>
      <c r="Q1381" s="317" t="s">
        <v>233</v>
      </c>
      <c r="R1381" s="320" t="s">
        <v>240</v>
      </c>
      <c r="S1381" s="320" t="s">
        <v>233</v>
      </c>
      <c r="T1381" s="320" t="s">
        <v>240</v>
      </c>
      <c r="U1381" s="174" t="s">
        <v>1427</v>
      </c>
      <c r="V1381" s="320" t="s">
        <v>240</v>
      </c>
      <c r="W1381" s="130"/>
      <c r="X1381" s="292">
        <v>2613.85</v>
      </c>
      <c r="Y1381" s="295">
        <v>2431.4499999999998</v>
      </c>
      <c r="Z1381" s="297">
        <v>348.06530220000002</v>
      </c>
      <c r="AA1381" s="299" t="s">
        <v>252</v>
      </c>
      <c r="AB1381" s="292">
        <v>240.783165</v>
      </c>
      <c r="AC1381" s="299" t="s">
        <v>252</v>
      </c>
      <c r="AD1381" s="301">
        <v>342.993942</v>
      </c>
      <c r="AE1381" s="292" t="s">
        <v>252</v>
      </c>
      <c r="AF1381" s="292">
        <v>199.68184199999999</v>
      </c>
      <c r="AG1381" s="292" t="s">
        <v>252</v>
      </c>
      <c r="AH1381" s="292">
        <v>53.366341000000006</v>
      </c>
      <c r="AI1381" s="292" t="s">
        <v>252</v>
      </c>
      <c r="AJ1381" s="292">
        <v>0</v>
      </c>
      <c r="AK1381" s="292">
        <v>0</v>
      </c>
      <c r="AL1381" s="292">
        <v>0</v>
      </c>
      <c r="AM1381" s="292">
        <v>0</v>
      </c>
      <c r="AN1381" s="292">
        <v>0</v>
      </c>
      <c r="AO1381" s="292">
        <v>0</v>
      </c>
      <c r="AP1381" s="292"/>
      <c r="AQ1381" s="292"/>
      <c r="AR1381" s="292">
        <v>184.203576</v>
      </c>
      <c r="AS1381" s="292" t="s">
        <v>252</v>
      </c>
      <c r="AT1381" s="292">
        <v>183.338604</v>
      </c>
      <c r="AU1381" s="292" t="s">
        <v>252</v>
      </c>
      <c r="AV1381" s="292">
        <v>241.19798399999999</v>
      </c>
      <c r="AW1381" s="292" t="s">
        <v>252</v>
      </c>
      <c r="AX1381" s="292">
        <f t="shared" si="9"/>
        <v>1793.6307561999997</v>
      </c>
      <c r="AY1381" s="274">
        <v>0.38</v>
      </c>
      <c r="AZ1381" s="312" t="s">
        <v>1429</v>
      </c>
      <c r="BA1381" s="312" t="s">
        <v>254</v>
      </c>
      <c r="BB1381" s="312">
        <v>1</v>
      </c>
      <c r="BC1381" s="125" t="s">
        <v>255</v>
      </c>
    </row>
    <row r="1382" spans="1:55" ht="16.350000000000001" customHeight="1" outlineLevel="1">
      <c r="A1382" s="92">
        <v>1372</v>
      </c>
      <c r="B1382" s="99" t="s">
        <v>1129</v>
      </c>
      <c r="C1382" s="122" t="s">
        <v>1138</v>
      </c>
      <c r="D1382" s="161">
        <v>58</v>
      </c>
      <c r="E1382" s="123" t="s">
        <v>734</v>
      </c>
      <c r="F1382" s="124" t="s">
        <v>1425</v>
      </c>
      <c r="G1382" s="133" t="s">
        <v>281</v>
      </c>
      <c r="H1382" s="134" t="s">
        <v>248</v>
      </c>
      <c r="I1382" s="134" t="s">
        <v>1426</v>
      </c>
      <c r="J1382" s="134" t="s">
        <v>139</v>
      </c>
      <c r="K1382" s="124" t="s">
        <v>140</v>
      </c>
      <c r="L1382" s="174">
        <v>1</v>
      </c>
      <c r="M1382" s="174" t="s">
        <v>250</v>
      </c>
      <c r="N1382" s="315"/>
      <c r="O1382" s="315"/>
      <c r="P1382" s="315"/>
      <c r="Q1382" s="319"/>
      <c r="R1382" s="320"/>
      <c r="S1382" s="320"/>
      <c r="T1382" s="320"/>
      <c r="U1382" s="174" t="s">
        <v>1427</v>
      </c>
      <c r="V1382" s="320"/>
      <c r="W1382" s="130"/>
      <c r="X1382" s="294"/>
      <c r="Y1382" s="296"/>
      <c r="Z1382" s="298"/>
      <c r="AA1382" s="300"/>
      <c r="AB1382" s="294"/>
      <c r="AC1382" s="300"/>
      <c r="AD1382" s="302"/>
      <c r="AE1382" s="294"/>
      <c r="AF1382" s="294"/>
      <c r="AG1382" s="294"/>
      <c r="AH1382" s="294"/>
      <c r="AI1382" s="294"/>
      <c r="AJ1382" s="294"/>
      <c r="AK1382" s="294"/>
      <c r="AL1382" s="294"/>
      <c r="AM1382" s="294"/>
      <c r="AN1382" s="294"/>
      <c r="AO1382" s="294"/>
      <c r="AP1382" s="294"/>
      <c r="AQ1382" s="294"/>
      <c r="AR1382" s="294"/>
      <c r="AS1382" s="294"/>
      <c r="AT1382" s="294"/>
      <c r="AU1382" s="294"/>
      <c r="AV1382" s="294"/>
      <c r="AW1382" s="294"/>
      <c r="AX1382" s="294">
        <f t="shared" si="9"/>
        <v>0</v>
      </c>
      <c r="AY1382" s="274">
        <v>0.28000000000000003</v>
      </c>
      <c r="AZ1382" s="312"/>
      <c r="BA1382" s="312"/>
      <c r="BB1382" s="312"/>
      <c r="BC1382" s="125" t="s">
        <v>255</v>
      </c>
    </row>
    <row r="1383" spans="1:55" ht="16.350000000000001" customHeight="1" outlineLevel="1">
      <c r="A1383" s="92">
        <v>1373</v>
      </c>
      <c r="B1383" s="99" t="s">
        <v>1130</v>
      </c>
      <c r="C1383" s="122" t="s">
        <v>1138</v>
      </c>
      <c r="D1383" s="161">
        <v>59</v>
      </c>
      <c r="E1383" s="123" t="s">
        <v>734</v>
      </c>
      <c r="F1383" s="124" t="s">
        <v>1425</v>
      </c>
      <c r="G1383" s="133" t="s">
        <v>247</v>
      </c>
      <c r="H1383" s="134" t="s">
        <v>248</v>
      </c>
      <c r="I1383" s="134" t="s">
        <v>1426</v>
      </c>
      <c r="J1383" s="134" t="s">
        <v>139</v>
      </c>
      <c r="K1383" s="124" t="s">
        <v>140</v>
      </c>
      <c r="L1383" s="174">
        <v>1</v>
      </c>
      <c r="M1383" s="174" t="s">
        <v>250</v>
      </c>
      <c r="N1383" s="184">
        <v>65</v>
      </c>
      <c r="O1383" s="184">
        <v>6</v>
      </c>
      <c r="P1383" s="184" t="s">
        <v>1429</v>
      </c>
      <c r="Q1383" s="174" t="s">
        <v>233</v>
      </c>
      <c r="R1383" s="276" t="s">
        <v>240</v>
      </c>
      <c r="S1383" s="276" t="s">
        <v>233</v>
      </c>
      <c r="T1383" s="276" t="s">
        <v>240</v>
      </c>
      <c r="U1383" s="174" t="s">
        <v>1427</v>
      </c>
      <c r="V1383" s="276" t="s">
        <v>240</v>
      </c>
      <c r="W1383" s="130"/>
      <c r="X1383" s="125">
        <v>1773.5</v>
      </c>
      <c r="Y1383" s="126">
        <v>397.29</v>
      </c>
      <c r="Z1383" s="127">
        <v>280.8113616</v>
      </c>
      <c r="AA1383" s="128" t="s">
        <v>252</v>
      </c>
      <c r="AB1383" s="125">
        <v>192.32019</v>
      </c>
      <c r="AC1383" s="128" t="s">
        <v>252</v>
      </c>
      <c r="AD1383" s="129">
        <v>275.48045999999999</v>
      </c>
      <c r="AE1383" s="125" t="s">
        <v>252</v>
      </c>
      <c r="AF1383" s="125">
        <v>168.95121999999998</v>
      </c>
      <c r="AG1383" s="125" t="s">
        <v>252</v>
      </c>
      <c r="AH1383" s="125">
        <v>50.771902999999995</v>
      </c>
      <c r="AI1383" s="125" t="s">
        <v>252</v>
      </c>
      <c r="AJ1383" s="125">
        <v>0</v>
      </c>
      <c r="AK1383" s="125">
        <v>0</v>
      </c>
      <c r="AL1383" s="125">
        <v>0</v>
      </c>
      <c r="AM1383" s="125">
        <v>0</v>
      </c>
      <c r="AN1383" s="125">
        <v>0</v>
      </c>
      <c r="AO1383" s="125">
        <v>0</v>
      </c>
      <c r="AP1383" s="125"/>
      <c r="AQ1383" s="125"/>
      <c r="AR1383" s="125">
        <v>141.62569200000002</v>
      </c>
      <c r="AS1383" s="125" t="s">
        <v>252</v>
      </c>
      <c r="AT1383" s="125">
        <v>127.15622999999999</v>
      </c>
      <c r="AU1383" s="125" t="s">
        <v>252</v>
      </c>
      <c r="AV1383" s="125">
        <v>212.04264000000001</v>
      </c>
      <c r="AW1383" s="125" t="s">
        <v>252</v>
      </c>
      <c r="AX1383" s="125">
        <f t="shared" si="9"/>
        <v>1449.1596965999997</v>
      </c>
      <c r="AY1383" s="125">
        <f>0.4745+0.0555</f>
        <v>0.53</v>
      </c>
      <c r="AZ1383" s="181" t="s">
        <v>1429</v>
      </c>
      <c r="BA1383" s="181" t="s">
        <v>254</v>
      </c>
      <c r="BB1383" s="181">
        <v>1</v>
      </c>
      <c r="BC1383" s="125" t="s">
        <v>255</v>
      </c>
    </row>
    <row r="1384" spans="1:55" ht="16.350000000000001" customHeight="1" outlineLevel="1">
      <c r="A1384" s="92">
        <v>1374</v>
      </c>
      <c r="B1384" s="99" t="s">
        <v>1131</v>
      </c>
      <c r="C1384" s="122" t="s">
        <v>1138</v>
      </c>
      <c r="D1384" s="161">
        <v>60</v>
      </c>
      <c r="E1384" s="123" t="s">
        <v>734</v>
      </c>
      <c r="F1384" s="124" t="s">
        <v>1425</v>
      </c>
      <c r="G1384" s="133" t="s">
        <v>247</v>
      </c>
      <c r="H1384" s="334" t="s">
        <v>248</v>
      </c>
      <c r="I1384" s="334" t="s">
        <v>1426</v>
      </c>
      <c r="J1384" s="317" t="s">
        <v>139</v>
      </c>
      <c r="K1384" s="317" t="s">
        <v>140</v>
      </c>
      <c r="L1384" s="334">
        <v>1</v>
      </c>
      <c r="M1384" s="334" t="s">
        <v>250</v>
      </c>
      <c r="N1384" s="184">
        <v>65</v>
      </c>
      <c r="O1384" s="184">
        <v>6</v>
      </c>
      <c r="P1384" s="184" t="s">
        <v>1429</v>
      </c>
      <c r="Q1384" s="174" t="s">
        <v>233</v>
      </c>
      <c r="R1384" s="276" t="s">
        <v>240</v>
      </c>
      <c r="S1384" s="276" t="s">
        <v>233</v>
      </c>
      <c r="T1384" s="276" t="s">
        <v>240</v>
      </c>
      <c r="U1384" s="334" t="s">
        <v>1427</v>
      </c>
      <c r="V1384" s="276" t="s">
        <v>240</v>
      </c>
      <c r="W1384" s="372"/>
      <c r="X1384" s="125">
        <v>818.52</v>
      </c>
      <c r="Y1384" s="126">
        <v>944.12</v>
      </c>
      <c r="Z1384" s="127">
        <v>128.10850919999999</v>
      </c>
      <c r="AA1384" s="128" t="s">
        <v>252</v>
      </c>
      <c r="AB1384" s="125">
        <v>87.834509999999995</v>
      </c>
      <c r="AC1384" s="128" t="s">
        <v>252</v>
      </c>
      <c r="AD1384" s="129">
        <v>125.72055</v>
      </c>
      <c r="AE1384" s="125" t="s">
        <v>252</v>
      </c>
      <c r="AF1384" s="125">
        <v>77.162559999999999</v>
      </c>
      <c r="AG1384" s="125" t="s">
        <v>252</v>
      </c>
      <c r="AH1384" s="125">
        <v>22.961470000000002</v>
      </c>
      <c r="AI1384" s="125" t="s">
        <v>252</v>
      </c>
      <c r="AJ1384" s="125">
        <v>0</v>
      </c>
      <c r="AK1384" s="125">
        <v>0</v>
      </c>
      <c r="AL1384" s="125">
        <v>0</v>
      </c>
      <c r="AM1384" s="125">
        <v>0</v>
      </c>
      <c r="AN1384" s="125">
        <v>0</v>
      </c>
      <c r="AO1384" s="125">
        <v>0</v>
      </c>
      <c r="AP1384" s="125"/>
      <c r="AQ1384" s="125"/>
      <c r="AR1384" s="125">
        <v>64.260840000000002</v>
      </c>
      <c r="AS1384" s="125" t="s">
        <v>252</v>
      </c>
      <c r="AT1384" s="125">
        <v>57.745187999999999</v>
      </c>
      <c r="AU1384" s="125" t="s">
        <v>252</v>
      </c>
      <c r="AV1384" s="125">
        <v>96.724992</v>
      </c>
      <c r="AW1384" s="125" t="s">
        <v>252</v>
      </c>
      <c r="AX1384" s="125">
        <f t="shared" si="9"/>
        <v>660.51861919999999</v>
      </c>
      <c r="AY1384" s="292">
        <f>0.5097+0.0064+0.1439</f>
        <v>0.66</v>
      </c>
      <c r="AZ1384" s="181" t="s">
        <v>1429</v>
      </c>
      <c r="BA1384" s="181" t="s">
        <v>254</v>
      </c>
      <c r="BB1384" s="181">
        <v>1</v>
      </c>
      <c r="BC1384" s="336" t="s">
        <v>255</v>
      </c>
    </row>
    <row r="1385" spans="1:55" ht="16.350000000000001" customHeight="1" outlineLevel="1">
      <c r="A1385" s="92">
        <v>1375</v>
      </c>
      <c r="B1385" s="99" t="s">
        <v>1134</v>
      </c>
      <c r="C1385" s="122" t="s">
        <v>1138</v>
      </c>
      <c r="D1385" s="161">
        <v>60</v>
      </c>
      <c r="E1385" s="123" t="s">
        <v>737</v>
      </c>
      <c r="F1385" s="124" t="s">
        <v>1425</v>
      </c>
      <c r="G1385" s="133" t="s">
        <v>247</v>
      </c>
      <c r="H1385" s="335"/>
      <c r="I1385" s="335"/>
      <c r="J1385" s="319"/>
      <c r="K1385" s="319"/>
      <c r="L1385" s="335"/>
      <c r="M1385" s="335"/>
      <c r="N1385" s="184">
        <v>80</v>
      </c>
      <c r="O1385" s="184">
        <v>6</v>
      </c>
      <c r="P1385" s="184" t="s">
        <v>1429</v>
      </c>
      <c r="Q1385" s="174" t="s">
        <v>233</v>
      </c>
      <c r="R1385" s="276" t="s">
        <v>240</v>
      </c>
      <c r="S1385" s="276" t="s">
        <v>233</v>
      </c>
      <c r="T1385" s="276" t="s">
        <v>240</v>
      </c>
      <c r="U1385" s="335"/>
      <c r="V1385" s="276" t="s">
        <v>240</v>
      </c>
      <c r="W1385" s="373"/>
      <c r="X1385" s="125">
        <f>97.45+4972.53</f>
        <v>5069.9799999999996</v>
      </c>
      <c r="Y1385" s="126">
        <v>4560.21</v>
      </c>
      <c r="Z1385" s="127">
        <v>426.25006200000001</v>
      </c>
      <c r="AA1385" s="128" t="s">
        <v>1237</v>
      </c>
      <c r="AB1385" s="125">
        <v>297.67878000000002</v>
      </c>
      <c r="AC1385" s="128" t="s">
        <v>1237</v>
      </c>
      <c r="AD1385" s="129">
        <v>424.74544200000003</v>
      </c>
      <c r="AE1385" s="125" t="s">
        <v>1237</v>
      </c>
      <c r="AF1385" s="125">
        <v>223.93744999999998</v>
      </c>
      <c r="AG1385" s="125" t="s">
        <v>1237</v>
      </c>
      <c r="AH1385" s="125">
        <v>75.273386999999985</v>
      </c>
      <c r="AI1385" s="125" t="s">
        <v>1237</v>
      </c>
      <c r="AJ1385" s="125">
        <v>0</v>
      </c>
      <c r="AK1385" s="125">
        <v>0</v>
      </c>
      <c r="AL1385" s="125">
        <v>0</v>
      </c>
      <c r="AM1385" s="125">
        <v>0</v>
      </c>
      <c r="AN1385" s="125">
        <v>0</v>
      </c>
      <c r="AO1385" s="125">
        <v>0</v>
      </c>
      <c r="AP1385" s="125"/>
      <c r="AQ1385" s="125"/>
      <c r="AR1385" s="125">
        <v>246.09220799999997</v>
      </c>
      <c r="AS1385" s="125" t="s">
        <v>1237</v>
      </c>
      <c r="AT1385" s="125">
        <v>183.70168200000001</v>
      </c>
      <c r="AU1385" s="125" t="s">
        <v>1237</v>
      </c>
      <c r="AV1385" s="125">
        <v>277.29547199999996</v>
      </c>
      <c r="AW1385" s="125" t="s">
        <v>1237</v>
      </c>
      <c r="AX1385" s="125">
        <f t="shared" si="9"/>
        <v>2154.974483</v>
      </c>
      <c r="AY1385" s="294"/>
      <c r="AZ1385" s="181" t="s">
        <v>1429</v>
      </c>
      <c r="BA1385" s="181" t="s">
        <v>254</v>
      </c>
      <c r="BB1385" s="181">
        <v>3</v>
      </c>
      <c r="BC1385" s="337"/>
    </row>
    <row r="1386" spans="1:55" ht="16.350000000000001" customHeight="1" outlineLevel="1">
      <c r="A1386" s="92">
        <v>1376</v>
      </c>
      <c r="B1386" s="99" t="s">
        <v>1137</v>
      </c>
      <c r="C1386" s="122" t="s">
        <v>1138</v>
      </c>
      <c r="D1386" s="161">
        <v>65</v>
      </c>
      <c r="E1386" s="123" t="s">
        <v>734</v>
      </c>
      <c r="F1386" s="124" t="s">
        <v>1425</v>
      </c>
      <c r="G1386" s="133" t="s">
        <v>281</v>
      </c>
      <c r="H1386" s="134" t="s">
        <v>248</v>
      </c>
      <c r="I1386" s="134" t="s">
        <v>1426</v>
      </c>
      <c r="J1386" s="134" t="s">
        <v>139</v>
      </c>
      <c r="K1386" s="124" t="s">
        <v>140</v>
      </c>
      <c r="L1386" s="174">
        <v>1</v>
      </c>
      <c r="M1386" s="174" t="s">
        <v>250</v>
      </c>
      <c r="N1386" s="184">
        <v>89</v>
      </c>
      <c r="O1386" s="184">
        <v>4</v>
      </c>
      <c r="P1386" s="184" t="s">
        <v>253</v>
      </c>
      <c r="Q1386" s="174" t="s">
        <v>240</v>
      </c>
      <c r="R1386" s="276" t="s">
        <v>240</v>
      </c>
      <c r="S1386" s="276" t="s">
        <v>233</v>
      </c>
      <c r="T1386" s="276" t="s">
        <v>240</v>
      </c>
      <c r="U1386" s="174" t="s">
        <v>1427</v>
      </c>
      <c r="V1386" s="276" t="s">
        <v>240</v>
      </c>
      <c r="W1386" s="130"/>
      <c r="X1386" s="274">
        <v>412.47</v>
      </c>
      <c r="Y1386" s="126">
        <v>489.35</v>
      </c>
      <c r="Z1386" s="127">
        <f>22.19+56.61</f>
        <v>78.8</v>
      </c>
      <c r="AA1386" s="128" t="s">
        <v>252</v>
      </c>
      <c r="AB1386" s="274">
        <f>18.47+47.13</f>
        <v>65.599999999999994</v>
      </c>
      <c r="AC1386" s="128" t="s">
        <v>252</v>
      </c>
      <c r="AD1386" s="129">
        <f>25.06+63.94</f>
        <v>89</v>
      </c>
      <c r="AE1386" s="274" t="s">
        <v>252</v>
      </c>
      <c r="AF1386" s="274">
        <f>10.14+25.86</f>
        <v>36</v>
      </c>
      <c r="AG1386" s="274" t="s">
        <v>252</v>
      </c>
      <c r="AH1386" s="274">
        <f>4.35+11.05</f>
        <v>15.4</v>
      </c>
      <c r="AI1386" s="274" t="s">
        <v>252</v>
      </c>
      <c r="AJ1386" s="274">
        <v>0</v>
      </c>
      <c r="AK1386" s="274">
        <v>0</v>
      </c>
      <c r="AL1386" s="274">
        <v>0</v>
      </c>
      <c r="AM1386" s="274">
        <v>0</v>
      </c>
      <c r="AN1386" s="274">
        <v>0</v>
      </c>
      <c r="AO1386" s="274">
        <v>0</v>
      </c>
      <c r="AP1386" s="274"/>
      <c r="AQ1386" s="274"/>
      <c r="AR1386" s="274">
        <f>11.46+29.26</f>
        <v>40.72</v>
      </c>
      <c r="AS1386" s="274" t="s">
        <v>252</v>
      </c>
      <c r="AT1386" s="274">
        <f>11.91+30.42</f>
        <v>42.33</v>
      </c>
      <c r="AU1386" s="274" t="s">
        <v>252</v>
      </c>
      <c r="AV1386" s="274">
        <f>16.54+42.19</f>
        <v>58.73</v>
      </c>
      <c r="AW1386" s="274" t="s">
        <v>252</v>
      </c>
      <c r="AX1386" s="274">
        <f t="shared" si="9"/>
        <v>426.58</v>
      </c>
      <c r="AY1386" s="274">
        <f>0.0361+0.0059+0.0047+0.0077+0.0223+0.5758+0.0075</f>
        <v>0.65999999999999992</v>
      </c>
      <c r="AZ1386" s="273" t="s">
        <v>253</v>
      </c>
      <c r="BA1386" s="181" t="s">
        <v>254</v>
      </c>
      <c r="BB1386" s="181" t="s">
        <v>1430</v>
      </c>
      <c r="BC1386" s="125" t="s">
        <v>255</v>
      </c>
    </row>
    <row r="1387" spans="1:55" ht="16.350000000000001" customHeight="1" outlineLevel="1">
      <c r="A1387" s="92">
        <v>1377</v>
      </c>
      <c r="B1387" s="99" t="s">
        <v>1139</v>
      </c>
      <c r="C1387" s="122" t="s">
        <v>1138</v>
      </c>
      <c r="D1387" s="161">
        <v>67</v>
      </c>
      <c r="E1387" s="123" t="s">
        <v>734</v>
      </c>
      <c r="F1387" s="124" t="s">
        <v>1425</v>
      </c>
      <c r="G1387" s="133" t="s">
        <v>247</v>
      </c>
      <c r="H1387" s="134" t="s">
        <v>1424</v>
      </c>
      <c r="I1387" s="134" t="s">
        <v>1426</v>
      </c>
      <c r="J1387" s="134" t="s">
        <v>139</v>
      </c>
      <c r="K1387" s="124" t="s">
        <v>140</v>
      </c>
      <c r="L1387" s="174">
        <v>1</v>
      </c>
      <c r="M1387" s="174" t="s">
        <v>250</v>
      </c>
      <c r="N1387" s="184">
        <v>89</v>
      </c>
      <c r="O1387" s="184">
        <v>4</v>
      </c>
      <c r="P1387" s="184" t="s">
        <v>253</v>
      </c>
      <c r="Q1387" s="174" t="s">
        <v>240</v>
      </c>
      <c r="R1387" s="276" t="s">
        <v>240</v>
      </c>
      <c r="S1387" s="276" t="s">
        <v>233</v>
      </c>
      <c r="T1387" s="276" t="s">
        <v>240</v>
      </c>
      <c r="U1387" s="174" t="s">
        <v>1427</v>
      </c>
      <c r="V1387" s="276" t="s">
        <v>240</v>
      </c>
      <c r="W1387" s="130"/>
      <c r="X1387" s="274">
        <v>264.27999999999997</v>
      </c>
      <c r="Y1387" s="126">
        <v>303.06</v>
      </c>
      <c r="Z1387" s="127">
        <f>6.99+31.41</f>
        <v>38.4</v>
      </c>
      <c r="AA1387" s="128" t="s">
        <v>252</v>
      </c>
      <c r="AB1387" s="274">
        <f>6.16+27.74</f>
        <v>33.9</v>
      </c>
      <c r="AC1387" s="128" t="s">
        <v>252</v>
      </c>
      <c r="AD1387" s="129">
        <f>8.23+37.07</f>
        <v>45.3</v>
      </c>
      <c r="AE1387" s="274" t="s">
        <v>252</v>
      </c>
      <c r="AF1387" s="274">
        <f>3.22+14.48</f>
        <v>17.7</v>
      </c>
      <c r="AG1387" s="274" t="s">
        <v>252</v>
      </c>
      <c r="AH1387" s="274">
        <f>1.31+5.89</f>
        <v>7.1999999999999993</v>
      </c>
      <c r="AI1387" s="274" t="s">
        <v>252</v>
      </c>
      <c r="AJ1387" s="274">
        <v>0</v>
      </c>
      <c r="AK1387" s="274">
        <v>0</v>
      </c>
      <c r="AL1387" s="274">
        <v>0</v>
      </c>
      <c r="AM1387" s="274">
        <v>0</v>
      </c>
      <c r="AN1387" s="274">
        <v>0</v>
      </c>
      <c r="AO1387" s="274">
        <v>0</v>
      </c>
      <c r="AP1387" s="274"/>
      <c r="AQ1387" s="274"/>
      <c r="AR1387" s="274">
        <f>3.44+15.5</f>
        <v>18.940000000000001</v>
      </c>
      <c r="AS1387" s="274" t="s">
        <v>252</v>
      </c>
      <c r="AT1387" s="274">
        <f>3.8+17.1</f>
        <v>20.900000000000002</v>
      </c>
      <c r="AU1387" s="274" t="s">
        <v>252</v>
      </c>
      <c r="AV1387" s="274">
        <f>5.67+25.53</f>
        <v>31.200000000000003</v>
      </c>
      <c r="AW1387" s="274" t="s">
        <v>252</v>
      </c>
      <c r="AX1387" s="274">
        <f t="shared" si="9"/>
        <v>213.53999999999996</v>
      </c>
      <c r="AY1387" s="274">
        <f>0.0111+0.2658+0.0031</f>
        <v>0.27999999999999997</v>
      </c>
      <c r="AZ1387" s="273" t="s">
        <v>253</v>
      </c>
      <c r="BA1387" s="181" t="s">
        <v>254</v>
      </c>
      <c r="BB1387" s="181" t="s">
        <v>1430</v>
      </c>
      <c r="BC1387" s="125" t="s">
        <v>255</v>
      </c>
    </row>
    <row r="1388" spans="1:55" ht="16.350000000000001" customHeight="1" outlineLevel="1">
      <c r="A1388" s="92">
        <v>1378</v>
      </c>
      <c r="B1388" s="99" t="s">
        <v>1140</v>
      </c>
      <c r="C1388" s="122" t="s">
        <v>1157</v>
      </c>
      <c r="D1388" s="161">
        <v>13</v>
      </c>
      <c r="E1388" s="123" t="s">
        <v>734</v>
      </c>
      <c r="F1388" s="124" t="s">
        <v>1425</v>
      </c>
      <c r="G1388" s="133" t="s">
        <v>247</v>
      </c>
      <c r="H1388" s="134" t="s">
        <v>1424</v>
      </c>
      <c r="I1388" s="134" t="s">
        <v>1426</v>
      </c>
      <c r="J1388" s="134" t="s">
        <v>139</v>
      </c>
      <c r="K1388" s="124" t="s">
        <v>140</v>
      </c>
      <c r="L1388" s="174">
        <v>3</v>
      </c>
      <c r="M1388" s="174" t="s">
        <v>250</v>
      </c>
      <c r="N1388" s="184">
        <v>100</v>
      </c>
      <c r="O1388" s="184">
        <v>4.0999999999999996</v>
      </c>
      <c r="P1388" s="184" t="s">
        <v>253</v>
      </c>
      <c r="Q1388" s="174" t="s">
        <v>240</v>
      </c>
      <c r="R1388" s="276" t="s">
        <v>240</v>
      </c>
      <c r="S1388" s="276" t="s">
        <v>233</v>
      </c>
      <c r="T1388" s="276" t="s">
        <v>240</v>
      </c>
      <c r="U1388" s="174" t="s">
        <v>1427</v>
      </c>
      <c r="V1388" s="276" t="s">
        <v>240</v>
      </c>
      <c r="W1388" s="130"/>
      <c r="X1388" s="274">
        <v>541.04999999999995</v>
      </c>
      <c r="Y1388" s="126">
        <v>798.1</v>
      </c>
      <c r="Z1388" s="127">
        <f>14.75+85.59</f>
        <v>100.34</v>
      </c>
      <c r="AA1388" s="128" t="s">
        <v>259</v>
      </c>
      <c r="AB1388" s="274">
        <f>14.75+85.59</f>
        <v>100.34</v>
      </c>
      <c r="AC1388" s="128" t="s">
        <v>259</v>
      </c>
      <c r="AD1388" s="129">
        <f>14.75+85.59-1.56+16.6</f>
        <v>115.38</v>
      </c>
      <c r="AE1388" s="274" t="s">
        <v>259</v>
      </c>
      <c r="AF1388" s="274">
        <f>5.86+45.34</f>
        <v>51.2</v>
      </c>
      <c r="AG1388" s="274" t="s">
        <v>252</v>
      </c>
      <c r="AH1388" s="274">
        <f>2.59+20.11</f>
        <v>22.7</v>
      </c>
      <c r="AI1388" s="274" t="s">
        <v>252</v>
      </c>
      <c r="AJ1388" s="274">
        <v>0</v>
      </c>
      <c r="AK1388" s="274">
        <v>0</v>
      </c>
      <c r="AL1388" s="274">
        <v>0</v>
      </c>
      <c r="AM1388" s="274">
        <v>0</v>
      </c>
      <c r="AN1388" s="274">
        <v>0</v>
      </c>
      <c r="AO1388" s="274">
        <v>0</v>
      </c>
      <c r="AP1388" s="274"/>
      <c r="AQ1388" s="274"/>
      <c r="AR1388" s="274">
        <f>5.53+42.82</f>
        <v>48.35</v>
      </c>
      <c r="AS1388" s="274" t="s">
        <v>252</v>
      </c>
      <c r="AT1388" s="274">
        <f>6.12+47.47</f>
        <v>53.589999999999996</v>
      </c>
      <c r="AU1388" s="274" t="s">
        <v>252</v>
      </c>
      <c r="AV1388" s="274">
        <f>8.65+67.07</f>
        <v>75.72</v>
      </c>
      <c r="AW1388" s="274" t="s">
        <v>252</v>
      </c>
      <c r="AX1388" s="274">
        <f t="shared" si="9"/>
        <v>567.62</v>
      </c>
      <c r="AY1388" s="274">
        <f>0.0952+1.0148+0.05</f>
        <v>1.1599999999999999</v>
      </c>
      <c r="AZ1388" s="273" t="s">
        <v>253</v>
      </c>
      <c r="BA1388" s="181" t="s">
        <v>254</v>
      </c>
      <c r="BB1388" s="181" t="s">
        <v>1430</v>
      </c>
      <c r="BC1388" s="125" t="s">
        <v>255</v>
      </c>
    </row>
    <row r="1389" spans="1:55" ht="16.350000000000001" customHeight="1" outlineLevel="1">
      <c r="A1389" s="92">
        <v>1379</v>
      </c>
      <c r="B1389" s="99" t="s">
        <v>1143</v>
      </c>
      <c r="C1389" s="122" t="s">
        <v>1157</v>
      </c>
      <c r="D1389" s="161">
        <v>3</v>
      </c>
      <c r="E1389" s="123" t="s">
        <v>734</v>
      </c>
      <c r="F1389" s="124" t="s">
        <v>1234</v>
      </c>
      <c r="G1389" s="133" t="s">
        <v>247</v>
      </c>
      <c r="H1389" s="134" t="s">
        <v>1424</v>
      </c>
      <c r="I1389" s="134" t="s">
        <v>1426</v>
      </c>
      <c r="J1389" s="134" t="s">
        <v>139</v>
      </c>
      <c r="K1389" s="124" t="s">
        <v>140</v>
      </c>
      <c r="L1389" s="184">
        <v>1</v>
      </c>
      <c r="M1389" s="174" t="s">
        <v>250</v>
      </c>
      <c r="N1389" s="184">
        <v>125</v>
      </c>
      <c r="O1389" s="184">
        <v>3.3</v>
      </c>
      <c r="P1389" s="184" t="s">
        <v>253</v>
      </c>
      <c r="Q1389" s="174" t="s">
        <v>240</v>
      </c>
      <c r="R1389" s="276" t="s">
        <v>240</v>
      </c>
      <c r="S1389" s="276" t="s">
        <v>233</v>
      </c>
      <c r="T1389" s="276" t="s">
        <v>240</v>
      </c>
      <c r="U1389" s="174" t="s">
        <v>1428</v>
      </c>
      <c r="V1389" s="276" t="s">
        <v>240</v>
      </c>
      <c r="W1389" s="130"/>
      <c r="X1389" s="274">
        <v>902.93</v>
      </c>
      <c r="Y1389" s="126">
        <v>1357.37</v>
      </c>
      <c r="Z1389" s="127">
        <f>24.75+139.21</f>
        <v>163.96</v>
      </c>
      <c r="AA1389" s="128" t="s">
        <v>259</v>
      </c>
      <c r="AB1389" s="274">
        <f>24.75+139.21</f>
        <v>163.96</v>
      </c>
      <c r="AC1389" s="128" t="s">
        <v>259</v>
      </c>
      <c r="AD1389" s="129">
        <f>24.75+139.21</f>
        <v>163.96</v>
      </c>
      <c r="AE1389" s="274" t="s">
        <v>259</v>
      </c>
      <c r="AF1389" s="274">
        <f>24.75+139.21</f>
        <v>163.96</v>
      </c>
      <c r="AG1389" s="274" t="s">
        <v>259</v>
      </c>
      <c r="AH1389" s="274">
        <f>7.98+44.91</f>
        <v>52.89</v>
      </c>
      <c r="AI1389" s="274" t="s">
        <v>259</v>
      </c>
      <c r="AJ1389" s="274">
        <v>0</v>
      </c>
      <c r="AK1389" s="274">
        <v>0</v>
      </c>
      <c r="AL1389" s="274">
        <v>0</v>
      </c>
      <c r="AM1389" s="274">
        <v>0</v>
      </c>
      <c r="AN1389" s="274">
        <v>0</v>
      </c>
      <c r="AO1389" s="274">
        <v>0</v>
      </c>
      <c r="AP1389" s="274"/>
      <c r="AQ1389" s="274"/>
      <c r="AR1389" s="274">
        <f>13.35+85.74</f>
        <v>99.089999999999989</v>
      </c>
      <c r="AS1389" s="274" t="s">
        <v>252</v>
      </c>
      <c r="AT1389" s="274">
        <f>15.39+98.86</f>
        <v>114.25</v>
      </c>
      <c r="AU1389" s="274" t="s">
        <v>252</v>
      </c>
      <c r="AV1389" s="274">
        <f>24.36+137.02</f>
        <v>161.38</v>
      </c>
      <c r="AW1389" s="274" t="s">
        <v>259</v>
      </c>
      <c r="AX1389" s="274">
        <f t="shared" si="9"/>
        <v>1083.45</v>
      </c>
      <c r="AY1389" s="274">
        <v>0.20674999999999999</v>
      </c>
      <c r="AZ1389" s="273" t="s">
        <v>253</v>
      </c>
      <c r="BA1389" s="181" t="s">
        <v>254</v>
      </c>
      <c r="BB1389" s="181" t="s">
        <v>1430</v>
      </c>
      <c r="BC1389" s="125" t="s">
        <v>255</v>
      </c>
    </row>
    <row r="1390" spans="1:55" ht="16.350000000000001" customHeight="1" outlineLevel="1">
      <c r="A1390" s="92">
        <v>1380</v>
      </c>
      <c r="B1390" s="99" t="s">
        <v>1144</v>
      </c>
      <c r="C1390" s="122" t="s">
        <v>1157</v>
      </c>
      <c r="D1390" s="161">
        <v>5</v>
      </c>
      <c r="E1390" s="123" t="s">
        <v>734</v>
      </c>
      <c r="F1390" s="124" t="s">
        <v>1234</v>
      </c>
      <c r="G1390" s="133" t="s">
        <v>247</v>
      </c>
      <c r="H1390" s="134" t="s">
        <v>1424</v>
      </c>
      <c r="I1390" s="134" t="s">
        <v>1426</v>
      </c>
      <c r="J1390" s="134" t="s">
        <v>139</v>
      </c>
      <c r="K1390" s="124" t="s">
        <v>140</v>
      </c>
      <c r="L1390" s="184">
        <v>1</v>
      </c>
      <c r="M1390" s="174" t="s">
        <v>250</v>
      </c>
      <c r="N1390" s="315">
        <v>89</v>
      </c>
      <c r="O1390" s="315">
        <v>4.2</v>
      </c>
      <c r="P1390" s="315" t="s">
        <v>253</v>
      </c>
      <c r="Q1390" s="317" t="s">
        <v>240</v>
      </c>
      <c r="R1390" s="320" t="s">
        <v>240</v>
      </c>
      <c r="S1390" s="320" t="s">
        <v>233</v>
      </c>
      <c r="T1390" s="320" t="s">
        <v>240</v>
      </c>
      <c r="U1390" s="174" t="s">
        <v>1428</v>
      </c>
      <c r="V1390" s="320" t="s">
        <v>240</v>
      </c>
      <c r="W1390" s="130"/>
      <c r="X1390" s="292">
        <v>411.63</v>
      </c>
      <c r="Y1390" s="295">
        <v>581.91999999999996</v>
      </c>
      <c r="Z1390" s="297">
        <f>5.3+65.49</f>
        <v>70.789999999999992</v>
      </c>
      <c r="AA1390" s="299" t="s">
        <v>259</v>
      </c>
      <c r="AB1390" s="292">
        <f>1.66+68.94</f>
        <v>70.599999999999994</v>
      </c>
      <c r="AC1390" s="299" t="s">
        <v>252</v>
      </c>
      <c r="AD1390" s="301">
        <f>2.29+95.41</f>
        <v>97.7</v>
      </c>
      <c r="AE1390" s="292" t="s">
        <v>252</v>
      </c>
      <c r="AF1390" s="292">
        <f>1.08+44.62</f>
        <v>45.699999999999996</v>
      </c>
      <c r="AG1390" s="292" t="s">
        <v>252</v>
      </c>
      <c r="AH1390" s="292">
        <f>0.47+19.53</f>
        <v>20</v>
      </c>
      <c r="AI1390" s="292" t="s">
        <v>252</v>
      </c>
      <c r="AJ1390" s="292">
        <v>0</v>
      </c>
      <c r="AK1390" s="292">
        <v>0</v>
      </c>
      <c r="AL1390" s="292">
        <v>0</v>
      </c>
      <c r="AM1390" s="292">
        <v>0</v>
      </c>
      <c r="AN1390" s="292">
        <v>0</v>
      </c>
      <c r="AO1390" s="292">
        <v>0</v>
      </c>
      <c r="AP1390" s="292"/>
      <c r="AQ1390" s="292"/>
      <c r="AR1390" s="292">
        <f>0.9+37.35</f>
        <v>38.25</v>
      </c>
      <c r="AS1390" s="292" t="s">
        <v>252</v>
      </c>
      <c r="AT1390" s="292">
        <f>1.01+41.77</f>
        <v>42.78</v>
      </c>
      <c r="AU1390" s="292" t="s">
        <v>252</v>
      </c>
      <c r="AV1390" s="292">
        <f>1.41+58.5</f>
        <v>59.91</v>
      </c>
      <c r="AW1390" s="292" t="s">
        <v>252</v>
      </c>
      <c r="AX1390" s="292">
        <f t="shared" si="9"/>
        <v>445.7299999999999</v>
      </c>
      <c r="AY1390" s="274">
        <v>0.13249</v>
      </c>
      <c r="AZ1390" s="312" t="s">
        <v>253</v>
      </c>
      <c r="BA1390" s="312" t="s">
        <v>254</v>
      </c>
      <c r="BB1390" s="312" t="s">
        <v>1430</v>
      </c>
      <c r="BC1390" s="125" t="s">
        <v>255</v>
      </c>
    </row>
    <row r="1391" spans="1:55" ht="16.350000000000001" customHeight="1" outlineLevel="1">
      <c r="A1391" s="92">
        <v>1381</v>
      </c>
      <c r="B1391" s="99" t="s">
        <v>1145</v>
      </c>
      <c r="C1391" s="122" t="s">
        <v>1162</v>
      </c>
      <c r="D1391" s="161" t="s">
        <v>1163</v>
      </c>
      <c r="E1391" s="123" t="s">
        <v>734</v>
      </c>
      <c r="F1391" s="124" t="s">
        <v>1234</v>
      </c>
      <c r="G1391" s="133" t="s">
        <v>247</v>
      </c>
      <c r="H1391" s="134" t="s">
        <v>1424</v>
      </c>
      <c r="I1391" s="134" t="s">
        <v>1426</v>
      </c>
      <c r="J1391" s="134" t="s">
        <v>139</v>
      </c>
      <c r="K1391" s="124" t="s">
        <v>140</v>
      </c>
      <c r="L1391" s="184">
        <v>1</v>
      </c>
      <c r="M1391" s="174" t="s">
        <v>250</v>
      </c>
      <c r="N1391" s="315"/>
      <c r="O1391" s="315"/>
      <c r="P1391" s="315"/>
      <c r="Q1391" s="319"/>
      <c r="R1391" s="320"/>
      <c r="S1391" s="320"/>
      <c r="T1391" s="320"/>
      <c r="U1391" s="174" t="s">
        <v>1428</v>
      </c>
      <c r="V1391" s="320"/>
      <c r="W1391" s="130"/>
      <c r="X1391" s="294"/>
      <c r="Y1391" s="296"/>
      <c r="Z1391" s="298"/>
      <c r="AA1391" s="300"/>
      <c r="AB1391" s="294"/>
      <c r="AC1391" s="300"/>
      <c r="AD1391" s="302"/>
      <c r="AE1391" s="294"/>
      <c r="AF1391" s="294"/>
      <c r="AG1391" s="294"/>
      <c r="AH1391" s="294"/>
      <c r="AI1391" s="294"/>
      <c r="AJ1391" s="294"/>
      <c r="AK1391" s="294"/>
      <c r="AL1391" s="294"/>
      <c r="AM1391" s="294"/>
      <c r="AN1391" s="294"/>
      <c r="AO1391" s="294"/>
      <c r="AP1391" s="294"/>
      <c r="AQ1391" s="294"/>
      <c r="AR1391" s="294"/>
      <c r="AS1391" s="294"/>
      <c r="AT1391" s="294"/>
      <c r="AU1391" s="294"/>
      <c r="AV1391" s="294"/>
      <c r="AW1391" s="294"/>
      <c r="AX1391" s="294">
        <f t="shared" si="9"/>
        <v>0</v>
      </c>
      <c r="AY1391" s="274">
        <v>0.28103</v>
      </c>
      <c r="AZ1391" s="312"/>
      <c r="BA1391" s="312"/>
      <c r="BB1391" s="312"/>
      <c r="BC1391" s="125" t="s">
        <v>255</v>
      </c>
    </row>
    <row r="1392" spans="1:55" ht="16.350000000000001" customHeight="1" outlineLevel="1">
      <c r="A1392" s="92">
        <v>1382</v>
      </c>
      <c r="B1392" s="99" t="s">
        <v>1146</v>
      </c>
      <c r="C1392" s="122" t="s">
        <v>1162</v>
      </c>
      <c r="D1392" s="161" t="s">
        <v>1165</v>
      </c>
      <c r="E1392" s="123" t="s">
        <v>734</v>
      </c>
      <c r="F1392" s="124" t="s">
        <v>1234</v>
      </c>
      <c r="G1392" s="133" t="s">
        <v>247</v>
      </c>
      <c r="H1392" s="134" t="s">
        <v>1424</v>
      </c>
      <c r="I1392" s="134" t="s">
        <v>1426</v>
      </c>
      <c r="J1392" s="134" t="s">
        <v>139</v>
      </c>
      <c r="K1392" s="124" t="s">
        <v>140</v>
      </c>
      <c r="L1392" s="184">
        <v>1</v>
      </c>
      <c r="M1392" s="174" t="s">
        <v>250</v>
      </c>
      <c r="N1392" s="184">
        <v>89</v>
      </c>
      <c r="O1392" s="184">
        <v>4.2</v>
      </c>
      <c r="P1392" s="184" t="s">
        <v>253</v>
      </c>
      <c r="Q1392" s="174" t="s">
        <v>240</v>
      </c>
      <c r="R1392" s="276" t="s">
        <v>240</v>
      </c>
      <c r="S1392" s="276" t="s">
        <v>233</v>
      </c>
      <c r="T1392" s="276" t="s">
        <v>240</v>
      </c>
      <c r="U1392" s="174" t="s">
        <v>1428</v>
      </c>
      <c r="V1392" s="276" t="s">
        <v>240</v>
      </c>
      <c r="W1392" s="130"/>
      <c r="X1392" s="274">
        <v>471.48</v>
      </c>
      <c r="Y1392" s="126">
        <v>707.21</v>
      </c>
      <c r="Z1392" s="127">
        <f>17.02+72.12+6.75</f>
        <v>95.89</v>
      </c>
      <c r="AA1392" s="128" t="s">
        <v>259</v>
      </c>
      <c r="AB1392" s="274">
        <f>6.99+61.94+5.17</f>
        <v>74.099999999999994</v>
      </c>
      <c r="AC1392" s="128" t="s">
        <v>252</v>
      </c>
      <c r="AD1392" s="129">
        <f>9.84+87.2+7.26</f>
        <v>104.30000000000001</v>
      </c>
      <c r="AE1392" s="274" t="s">
        <v>252</v>
      </c>
      <c r="AF1392" s="274">
        <f>4.45+39.46+3.29</f>
        <v>47.2</v>
      </c>
      <c r="AG1392" s="274" t="s">
        <v>252</v>
      </c>
      <c r="AH1392" s="274">
        <f>2.14+18.91+1.55</f>
        <v>22.6</v>
      </c>
      <c r="AI1392" s="274" t="s">
        <v>252</v>
      </c>
      <c r="AJ1392" s="274">
        <v>0</v>
      </c>
      <c r="AK1392" s="274">
        <v>0</v>
      </c>
      <c r="AL1392" s="274">
        <v>0</v>
      </c>
      <c r="AM1392" s="274">
        <v>0</v>
      </c>
      <c r="AN1392" s="274">
        <v>0</v>
      </c>
      <c r="AO1392" s="274">
        <v>0</v>
      </c>
      <c r="AP1392" s="274"/>
      <c r="AQ1392" s="274"/>
      <c r="AR1392" s="274">
        <f>4.25+37.68+3.15</f>
        <v>45.08</v>
      </c>
      <c r="AS1392" s="274" t="s">
        <v>252</v>
      </c>
      <c r="AT1392" s="274">
        <f>4.69+41.54+3.46</f>
        <v>49.69</v>
      </c>
      <c r="AU1392" s="274" t="s">
        <v>252</v>
      </c>
      <c r="AV1392" s="274">
        <f>7.09+62.87+5.24</f>
        <v>75.199999999999989</v>
      </c>
      <c r="AW1392" s="274" t="s">
        <v>252</v>
      </c>
      <c r="AX1392" s="274">
        <f t="shared" si="9"/>
        <v>514.05999999999995</v>
      </c>
      <c r="AY1392" s="274">
        <v>0.43961</v>
      </c>
      <c r="AZ1392" s="273" t="s">
        <v>253</v>
      </c>
      <c r="BA1392" s="181" t="s">
        <v>254</v>
      </c>
      <c r="BB1392" s="181" t="s">
        <v>1430</v>
      </c>
      <c r="BC1392" s="125" t="s">
        <v>255</v>
      </c>
    </row>
    <row r="1393" spans="1:55" ht="16.350000000000001" customHeight="1" outlineLevel="1">
      <c r="A1393" s="92">
        <v>1383</v>
      </c>
      <c r="B1393" s="99" t="s">
        <v>1147</v>
      </c>
      <c r="C1393" s="122" t="s">
        <v>1171</v>
      </c>
      <c r="D1393" s="161">
        <v>3</v>
      </c>
      <c r="E1393" s="123" t="s">
        <v>734</v>
      </c>
      <c r="F1393" s="124" t="s">
        <v>1234</v>
      </c>
      <c r="G1393" s="133" t="s">
        <v>247</v>
      </c>
      <c r="H1393" s="334" t="s">
        <v>1424</v>
      </c>
      <c r="I1393" s="334" t="s">
        <v>1426</v>
      </c>
      <c r="J1393" s="317" t="s">
        <v>139</v>
      </c>
      <c r="K1393" s="317" t="s">
        <v>140</v>
      </c>
      <c r="L1393" s="315">
        <v>1</v>
      </c>
      <c r="M1393" s="334" t="s">
        <v>250</v>
      </c>
      <c r="N1393" s="184">
        <v>80</v>
      </c>
      <c r="O1393" s="184">
        <v>4.2</v>
      </c>
      <c r="P1393" s="184" t="s">
        <v>253</v>
      </c>
      <c r="Q1393" s="174" t="s">
        <v>240</v>
      </c>
      <c r="R1393" s="276" t="s">
        <v>240</v>
      </c>
      <c r="S1393" s="276" t="s">
        <v>233</v>
      </c>
      <c r="T1393" s="276" t="s">
        <v>240</v>
      </c>
      <c r="U1393" s="334" t="s">
        <v>1428</v>
      </c>
      <c r="V1393" s="276" t="s">
        <v>240</v>
      </c>
      <c r="W1393" s="372"/>
      <c r="X1393" s="274">
        <v>425.13</v>
      </c>
      <c r="Y1393" s="126">
        <v>555.98</v>
      </c>
      <c r="Z1393" s="127">
        <f>26.31+55.3</f>
        <v>81.61</v>
      </c>
      <c r="AA1393" s="128" t="s">
        <v>259</v>
      </c>
      <c r="AB1393" s="274">
        <f>4.33+63.87</f>
        <v>68.2</v>
      </c>
      <c r="AC1393" s="128" t="s">
        <v>252</v>
      </c>
      <c r="AD1393" s="129">
        <f>5.99+88.21</f>
        <v>94.199999999999989</v>
      </c>
      <c r="AE1393" s="274" t="s">
        <v>252</v>
      </c>
      <c r="AF1393" s="274">
        <f>2.67+39.23</f>
        <v>41.9</v>
      </c>
      <c r="AG1393" s="274" t="s">
        <v>252</v>
      </c>
      <c r="AH1393" s="274">
        <f>1.15+17.02</f>
        <v>18.169999999999998</v>
      </c>
      <c r="AI1393" s="274" t="s">
        <v>252</v>
      </c>
      <c r="AJ1393" s="274">
        <v>0</v>
      </c>
      <c r="AK1393" s="274">
        <v>0</v>
      </c>
      <c r="AL1393" s="274">
        <v>0</v>
      </c>
      <c r="AM1393" s="274">
        <v>0</v>
      </c>
      <c r="AN1393" s="274">
        <v>0</v>
      </c>
      <c r="AO1393" s="274">
        <v>0</v>
      </c>
      <c r="AP1393" s="274"/>
      <c r="AQ1393" s="274"/>
      <c r="AR1393" s="274">
        <f>2.68+39.39</f>
        <v>42.07</v>
      </c>
      <c r="AS1393" s="274" t="s">
        <v>252</v>
      </c>
      <c r="AT1393" s="274">
        <f>2.81+41.29</f>
        <v>44.1</v>
      </c>
      <c r="AU1393" s="274" t="s">
        <v>252</v>
      </c>
      <c r="AV1393" s="274">
        <f>4.11+60.5</f>
        <v>64.61</v>
      </c>
      <c r="AW1393" s="274" t="s">
        <v>252</v>
      </c>
      <c r="AX1393" s="274">
        <f t="shared" si="9"/>
        <v>454.86</v>
      </c>
      <c r="AY1393" s="292">
        <v>0.21378</v>
      </c>
      <c r="AZ1393" s="273" t="s">
        <v>253</v>
      </c>
      <c r="BA1393" s="181" t="s">
        <v>254</v>
      </c>
      <c r="BB1393" s="181" t="s">
        <v>1430</v>
      </c>
      <c r="BC1393" s="336" t="s">
        <v>255</v>
      </c>
    </row>
    <row r="1394" spans="1:55" ht="16.350000000000001" customHeight="1" outlineLevel="1">
      <c r="A1394" s="92">
        <v>1384</v>
      </c>
      <c r="B1394" s="99" t="s">
        <v>1148</v>
      </c>
      <c r="C1394" s="122" t="s">
        <v>1171</v>
      </c>
      <c r="D1394" s="161">
        <v>3</v>
      </c>
      <c r="E1394" s="123" t="s">
        <v>737</v>
      </c>
      <c r="F1394" s="124" t="s">
        <v>1234</v>
      </c>
      <c r="G1394" s="133" t="s">
        <v>247</v>
      </c>
      <c r="H1394" s="335"/>
      <c r="I1394" s="335"/>
      <c r="J1394" s="319"/>
      <c r="K1394" s="319"/>
      <c r="L1394" s="315"/>
      <c r="M1394" s="335"/>
      <c r="N1394" s="315">
        <v>125</v>
      </c>
      <c r="O1394" s="315">
        <v>4.2</v>
      </c>
      <c r="P1394" s="315" t="s">
        <v>253</v>
      </c>
      <c r="Q1394" s="317" t="s">
        <v>240</v>
      </c>
      <c r="R1394" s="320" t="s">
        <v>240</v>
      </c>
      <c r="S1394" s="320" t="s">
        <v>233</v>
      </c>
      <c r="T1394" s="320" t="s">
        <v>240</v>
      </c>
      <c r="U1394" s="335"/>
      <c r="V1394" s="320" t="s">
        <v>240</v>
      </c>
      <c r="W1394" s="373"/>
      <c r="X1394" s="292">
        <v>1393.27</v>
      </c>
      <c r="Y1394" s="295">
        <v>2102.0100000000002</v>
      </c>
      <c r="Z1394" s="297">
        <f>25.99+208.78+5.96+25.96</f>
        <v>266.69</v>
      </c>
      <c r="AA1394" s="299" t="s">
        <v>259</v>
      </c>
      <c r="AB1394" s="292">
        <f>12.47+164.79+4.16+18.28</f>
        <v>199.7</v>
      </c>
      <c r="AC1394" s="299" t="s">
        <v>252</v>
      </c>
      <c r="AD1394" s="301">
        <f>17.38+229.92+5.8+25.5</f>
        <v>278.60000000000002</v>
      </c>
      <c r="AE1394" s="292" t="s">
        <v>252</v>
      </c>
      <c r="AF1394" s="292">
        <f>8.11+107.19+2.71+11.89</f>
        <v>129.89999999999998</v>
      </c>
      <c r="AG1394" s="292" t="s">
        <v>252</v>
      </c>
      <c r="AH1394" s="292">
        <f>3.58+47.37+1.19+5.26</f>
        <v>57.399999999999991</v>
      </c>
      <c r="AI1394" s="292" t="s">
        <v>252</v>
      </c>
      <c r="AJ1394" s="292">
        <v>0</v>
      </c>
      <c r="AK1394" s="292">
        <v>0</v>
      </c>
      <c r="AL1394" s="292">
        <v>0</v>
      </c>
      <c r="AM1394" s="292">
        <v>0</v>
      </c>
      <c r="AN1394" s="292">
        <v>0</v>
      </c>
      <c r="AO1394" s="292">
        <v>0</v>
      </c>
      <c r="AP1394" s="292"/>
      <c r="AQ1394" s="292"/>
      <c r="AR1394" s="292">
        <f>7.43+98.17+2.48+10.88</f>
        <v>118.96</v>
      </c>
      <c r="AS1394" s="292" t="s">
        <v>252</v>
      </c>
      <c r="AT1394" s="292">
        <f>7.94+105.01+2.65+11.65</f>
        <v>127.25000000000001</v>
      </c>
      <c r="AU1394" s="292" t="s">
        <v>252</v>
      </c>
      <c r="AV1394" s="292">
        <f>11.32+149.63+3.78+16.6</f>
        <v>181.32999999999998</v>
      </c>
      <c r="AW1394" s="292" t="s">
        <v>252</v>
      </c>
      <c r="AX1394" s="292">
        <f t="shared" si="9"/>
        <v>1359.83</v>
      </c>
      <c r="AY1394" s="294"/>
      <c r="AZ1394" s="312" t="s">
        <v>253</v>
      </c>
      <c r="BA1394" s="312" t="s">
        <v>254</v>
      </c>
      <c r="BB1394" s="312" t="s">
        <v>1430</v>
      </c>
      <c r="BC1394" s="337"/>
    </row>
    <row r="1395" spans="1:55" ht="16.350000000000001" customHeight="1" outlineLevel="1">
      <c r="A1395" s="92">
        <v>1385</v>
      </c>
      <c r="B1395" s="99" t="s">
        <v>1149</v>
      </c>
      <c r="C1395" s="122" t="s">
        <v>1171</v>
      </c>
      <c r="D1395" s="161">
        <v>4</v>
      </c>
      <c r="E1395" s="123" t="s">
        <v>734</v>
      </c>
      <c r="F1395" s="124" t="s">
        <v>1234</v>
      </c>
      <c r="G1395" s="133" t="s">
        <v>247</v>
      </c>
      <c r="H1395" s="134" t="s">
        <v>1424</v>
      </c>
      <c r="I1395" s="134" t="s">
        <v>1426</v>
      </c>
      <c r="J1395" s="134" t="s">
        <v>139</v>
      </c>
      <c r="K1395" s="124" t="s">
        <v>140</v>
      </c>
      <c r="L1395" s="184">
        <v>1</v>
      </c>
      <c r="M1395" s="174" t="s">
        <v>250</v>
      </c>
      <c r="N1395" s="315"/>
      <c r="O1395" s="315"/>
      <c r="P1395" s="315"/>
      <c r="Q1395" s="319"/>
      <c r="R1395" s="320"/>
      <c r="S1395" s="320"/>
      <c r="T1395" s="320"/>
      <c r="U1395" s="174" t="s">
        <v>1428</v>
      </c>
      <c r="V1395" s="320"/>
      <c r="W1395" s="130"/>
      <c r="X1395" s="294"/>
      <c r="Y1395" s="296"/>
      <c r="Z1395" s="298"/>
      <c r="AA1395" s="300"/>
      <c r="AB1395" s="294"/>
      <c r="AC1395" s="300"/>
      <c r="AD1395" s="302"/>
      <c r="AE1395" s="294"/>
      <c r="AF1395" s="294"/>
      <c r="AG1395" s="294"/>
      <c r="AH1395" s="294"/>
      <c r="AI1395" s="294"/>
      <c r="AJ1395" s="294"/>
      <c r="AK1395" s="294"/>
      <c r="AL1395" s="294"/>
      <c r="AM1395" s="294"/>
      <c r="AN1395" s="294"/>
      <c r="AO1395" s="294"/>
      <c r="AP1395" s="294"/>
      <c r="AQ1395" s="294"/>
      <c r="AR1395" s="294"/>
      <c r="AS1395" s="294"/>
      <c r="AT1395" s="294"/>
      <c r="AU1395" s="294"/>
      <c r="AV1395" s="294"/>
      <c r="AW1395" s="294"/>
      <c r="AX1395" s="294">
        <f t="shared" si="9"/>
        <v>0</v>
      </c>
      <c r="AY1395" s="274">
        <f>0.22783+0.01706</f>
        <v>0.24489</v>
      </c>
      <c r="AZ1395" s="312"/>
      <c r="BA1395" s="312"/>
      <c r="BB1395" s="312"/>
      <c r="BC1395" s="125" t="s">
        <v>255</v>
      </c>
    </row>
    <row r="1396" spans="1:55" ht="16.350000000000001" customHeight="1" outlineLevel="1">
      <c r="A1396" s="92">
        <v>1386</v>
      </c>
      <c r="B1396" s="99" t="s">
        <v>1150</v>
      </c>
      <c r="C1396" s="122" t="s">
        <v>1171</v>
      </c>
      <c r="D1396" s="161">
        <v>5</v>
      </c>
      <c r="E1396" s="123" t="s">
        <v>734</v>
      </c>
      <c r="F1396" s="124" t="s">
        <v>1234</v>
      </c>
      <c r="G1396" s="133" t="s">
        <v>247</v>
      </c>
      <c r="H1396" s="134" t="s">
        <v>1424</v>
      </c>
      <c r="I1396" s="134" t="s">
        <v>1426</v>
      </c>
      <c r="J1396" s="134" t="s">
        <v>139</v>
      </c>
      <c r="K1396" s="124" t="s">
        <v>140</v>
      </c>
      <c r="L1396" s="184">
        <v>1</v>
      </c>
      <c r="M1396" s="174" t="s">
        <v>250</v>
      </c>
      <c r="N1396" s="184">
        <v>80</v>
      </c>
      <c r="O1396" s="184">
        <v>4.3</v>
      </c>
      <c r="P1396" s="184" t="s">
        <v>253</v>
      </c>
      <c r="Q1396" s="174" t="s">
        <v>240</v>
      </c>
      <c r="R1396" s="276" t="s">
        <v>240</v>
      </c>
      <c r="S1396" s="276" t="s">
        <v>233</v>
      </c>
      <c r="T1396" s="276" t="s">
        <v>240</v>
      </c>
      <c r="U1396" s="174" t="s">
        <v>1428</v>
      </c>
      <c r="V1396" s="276" t="s">
        <v>240</v>
      </c>
      <c r="W1396" s="130"/>
      <c r="X1396" s="274">
        <v>490.83</v>
      </c>
      <c r="Y1396" s="126">
        <v>677.11</v>
      </c>
      <c r="Z1396" s="127">
        <f>13.8+72.21</f>
        <v>86.009999999999991</v>
      </c>
      <c r="AA1396" s="128" t="s">
        <v>259</v>
      </c>
      <c r="AB1396" s="274">
        <f>5.62+69.48</f>
        <v>75.100000000000009</v>
      </c>
      <c r="AC1396" s="128" t="s">
        <v>252</v>
      </c>
      <c r="AD1396" s="129">
        <f>7.82+96.68</f>
        <v>104.5</v>
      </c>
      <c r="AE1396" s="274" t="s">
        <v>252</v>
      </c>
      <c r="AF1396" s="274">
        <f>3.65+45.05</f>
        <v>48.699999999999996</v>
      </c>
      <c r="AG1396" s="274" t="s">
        <v>252</v>
      </c>
      <c r="AH1396" s="274">
        <f>1.64+20.16</f>
        <v>21.8</v>
      </c>
      <c r="AI1396" s="274" t="s">
        <v>252</v>
      </c>
      <c r="AJ1396" s="274">
        <v>0</v>
      </c>
      <c r="AK1396" s="274">
        <v>0</v>
      </c>
      <c r="AL1396" s="274">
        <v>0</v>
      </c>
      <c r="AM1396" s="274">
        <v>0</v>
      </c>
      <c r="AN1396" s="274">
        <v>0</v>
      </c>
      <c r="AO1396" s="274">
        <v>0</v>
      </c>
      <c r="AP1396" s="274"/>
      <c r="AQ1396" s="274"/>
      <c r="AR1396" s="274">
        <f>3.21+39.61</f>
        <v>42.82</v>
      </c>
      <c r="AS1396" s="274" t="s">
        <v>252</v>
      </c>
      <c r="AT1396" s="274">
        <f>3.5+43.29</f>
        <v>46.79</v>
      </c>
      <c r="AU1396" s="274" t="s">
        <v>252</v>
      </c>
      <c r="AV1396" s="274">
        <f>4.95+61.22</f>
        <v>66.17</v>
      </c>
      <c r="AW1396" s="274" t="s">
        <v>252</v>
      </c>
      <c r="AX1396" s="274">
        <f t="shared" si="9"/>
        <v>491.89000000000004</v>
      </c>
      <c r="AY1396" s="274">
        <v>0.2208</v>
      </c>
      <c r="AZ1396" s="273" t="s">
        <v>253</v>
      </c>
      <c r="BA1396" s="181" t="s">
        <v>254</v>
      </c>
      <c r="BB1396" s="181" t="s">
        <v>1430</v>
      </c>
      <c r="BC1396" s="125" t="s">
        <v>255</v>
      </c>
    </row>
    <row r="1397" spans="1:55" ht="16.350000000000001" customHeight="1" outlineLevel="1">
      <c r="A1397" s="92">
        <v>1387</v>
      </c>
      <c r="B1397" s="99" t="s">
        <v>1151</v>
      </c>
      <c r="C1397" s="122" t="s">
        <v>1171</v>
      </c>
      <c r="D1397" s="161" t="s">
        <v>1176</v>
      </c>
      <c r="E1397" s="123" t="s">
        <v>734</v>
      </c>
      <c r="F1397" s="124" t="s">
        <v>1234</v>
      </c>
      <c r="G1397" s="133" t="s">
        <v>247</v>
      </c>
      <c r="H1397" s="334" t="s">
        <v>1424</v>
      </c>
      <c r="I1397" s="334" t="s">
        <v>1426</v>
      </c>
      <c r="J1397" s="317" t="s">
        <v>139</v>
      </c>
      <c r="K1397" s="317" t="s">
        <v>140</v>
      </c>
      <c r="L1397" s="315">
        <v>1</v>
      </c>
      <c r="M1397" s="334" t="s">
        <v>250</v>
      </c>
      <c r="N1397" s="184">
        <v>80</v>
      </c>
      <c r="O1397" s="184">
        <v>4.3</v>
      </c>
      <c r="P1397" s="184" t="s">
        <v>253</v>
      </c>
      <c r="Q1397" s="174" t="s">
        <v>240</v>
      </c>
      <c r="R1397" s="276" t="s">
        <v>240</v>
      </c>
      <c r="S1397" s="276" t="s">
        <v>233</v>
      </c>
      <c r="T1397" s="276" t="s">
        <v>240</v>
      </c>
      <c r="U1397" s="334" t="s">
        <v>1428</v>
      </c>
      <c r="V1397" s="276" t="s">
        <v>240</v>
      </c>
      <c r="W1397" s="372"/>
      <c r="X1397" s="274">
        <v>1297.48</v>
      </c>
      <c r="Y1397" s="126">
        <v>2032.92</v>
      </c>
      <c r="Z1397" s="127">
        <f>42.4+292</f>
        <v>334.4</v>
      </c>
      <c r="AA1397" s="128" t="s">
        <v>252</v>
      </c>
      <c r="AB1397" s="274">
        <f>25.45+175.35</f>
        <v>200.79999999999998</v>
      </c>
      <c r="AC1397" s="128" t="s">
        <v>252</v>
      </c>
      <c r="AD1397" s="129">
        <f>35.83+246.77</f>
        <v>282.60000000000002</v>
      </c>
      <c r="AE1397" s="274" t="s">
        <v>252</v>
      </c>
      <c r="AF1397" s="274">
        <f>13.78+94.92</f>
        <v>108.7</v>
      </c>
      <c r="AG1397" s="274" t="s">
        <v>252</v>
      </c>
      <c r="AH1397" s="274">
        <f>5.94+40.86</f>
        <v>46.8</v>
      </c>
      <c r="AI1397" s="274" t="s">
        <v>252</v>
      </c>
      <c r="AJ1397" s="274">
        <v>0</v>
      </c>
      <c r="AK1397" s="274">
        <v>0</v>
      </c>
      <c r="AL1397" s="274">
        <v>0</v>
      </c>
      <c r="AM1397" s="274">
        <v>0</v>
      </c>
      <c r="AN1397" s="274">
        <v>0</v>
      </c>
      <c r="AO1397" s="274">
        <v>0</v>
      </c>
      <c r="AP1397" s="274"/>
      <c r="AQ1397" s="274"/>
      <c r="AR1397" s="274">
        <f>15.48+106.55</f>
        <v>122.03</v>
      </c>
      <c r="AS1397" s="274" t="s">
        <v>252</v>
      </c>
      <c r="AT1397" s="274">
        <f>17.48+120.4</f>
        <v>137.88</v>
      </c>
      <c r="AU1397" s="274" t="s">
        <v>252</v>
      </c>
      <c r="AV1397" s="274">
        <f>23.61+162.62</f>
        <v>186.23000000000002</v>
      </c>
      <c r="AW1397" s="274" t="s">
        <v>252</v>
      </c>
      <c r="AX1397" s="274">
        <f t="shared" si="9"/>
        <v>1419.44</v>
      </c>
      <c r="AY1397" s="274">
        <v>0.64234999999999998</v>
      </c>
      <c r="AZ1397" s="273" t="s">
        <v>253</v>
      </c>
      <c r="BA1397" s="181" t="s">
        <v>254</v>
      </c>
      <c r="BB1397" s="181" t="s">
        <v>1430</v>
      </c>
      <c r="BC1397" s="336" t="s">
        <v>255</v>
      </c>
    </row>
    <row r="1398" spans="1:55" ht="16.350000000000001" customHeight="1" outlineLevel="1">
      <c r="A1398" s="92">
        <v>1388</v>
      </c>
      <c r="B1398" s="99" t="s">
        <v>1152</v>
      </c>
      <c r="C1398" s="122" t="s">
        <v>1171</v>
      </c>
      <c r="D1398" s="161" t="s">
        <v>1176</v>
      </c>
      <c r="E1398" s="123" t="s">
        <v>1178</v>
      </c>
      <c r="F1398" s="124" t="s">
        <v>1234</v>
      </c>
      <c r="G1398" s="133" t="s">
        <v>247</v>
      </c>
      <c r="H1398" s="335"/>
      <c r="I1398" s="335"/>
      <c r="J1398" s="319"/>
      <c r="K1398" s="319"/>
      <c r="L1398" s="315"/>
      <c r="M1398" s="335"/>
      <c r="N1398" s="184">
        <v>89</v>
      </c>
      <c r="O1398" s="184">
        <v>4.3</v>
      </c>
      <c r="P1398" s="184" t="s">
        <v>253</v>
      </c>
      <c r="Q1398" s="174" t="s">
        <v>240</v>
      </c>
      <c r="R1398" s="276" t="s">
        <v>240</v>
      </c>
      <c r="S1398" s="276" t="s">
        <v>233</v>
      </c>
      <c r="T1398" s="276" t="s">
        <v>240</v>
      </c>
      <c r="U1398" s="335"/>
      <c r="V1398" s="276" t="s">
        <v>240</v>
      </c>
      <c r="W1398" s="373"/>
      <c r="X1398" s="274">
        <v>473.46</v>
      </c>
      <c r="Y1398" s="126">
        <v>627.79999999999995</v>
      </c>
      <c r="Z1398" s="127">
        <f>36.1+46.21</f>
        <v>82.31</v>
      </c>
      <c r="AA1398" s="128" t="s">
        <v>259</v>
      </c>
      <c r="AB1398" s="274">
        <f>35.59+45.91</f>
        <v>81.5</v>
      </c>
      <c r="AC1398" s="128" t="s">
        <v>252</v>
      </c>
      <c r="AD1398" s="129">
        <f>49.48+63.82</f>
        <v>113.3</v>
      </c>
      <c r="AE1398" s="274" t="s">
        <v>252</v>
      </c>
      <c r="AF1398" s="274">
        <f>22.24+28.66</f>
        <v>50.9</v>
      </c>
      <c r="AG1398" s="274" t="s">
        <v>252</v>
      </c>
      <c r="AH1398" s="274">
        <f>9.42+12.18</f>
        <v>21.6</v>
      </c>
      <c r="AI1398" s="274" t="s">
        <v>252</v>
      </c>
      <c r="AJ1398" s="274">
        <v>0</v>
      </c>
      <c r="AK1398" s="274">
        <v>0</v>
      </c>
      <c r="AL1398" s="274">
        <v>0</v>
      </c>
      <c r="AM1398" s="274">
        <v>0</v>
      </c>
      <c r="AN1398" s="274">
        <v>0</v>
      </c>
      <c r="AO1398" s="274">
        <v>0</v>
      </c>
      <c r="AP1398" s="274"/>
      <c r="AQ1398" s="274"/>
      <c r="AR1398" s="274">
        <f>20.55+26.43</f>
        <v>46.980000000000004</v>
      </c>
      <c r="AS1398" s="274" t="s">
        <v>252</v>
      </c>
      <c r="AT1398" s="274">
        <f>21.81+28.12</f>
        <v>49.93</v>
      </c>
      <c r="AU1398" s="274" t="s">
        <v>252</v>
      </c>
      <c r="AV1398" s="274">
        <f>30.79+39.69</f>
        <v>70.47999999999999</v>
      </c>
      <c r="AW1398" s="274" t="s">
        <v>252</v>
      </c>
      <c r="AX1398" s="274">
        <f t="shared" si="9"/>
        <v>517</v>
      </c>
      <c r="AY1398" s="274">
        <v>8.1299999999999997E-2</v>
      </c>
      <c r="AZ1398" s="273" t="s">
        <v>1429</v>
      </c>
      <c r="BA1398" s="181" t="s">
        <v>254</v>
      </c>
      <c r="BB1398" s="181" t="s">
        <v>1430</v>
      </c>
      <c r="BC1398" s="337"/>
    </row>
    <row r="1399" spans="1:55" ht="16.350000000000001" customHeight="1" outlineLevel="1">
      <c r="A1399" s="92">
        <v>1389</v>
      </c>
      <c r="B1399" s="99" t="s">
        <v>1153</v>
      </c>
      <c r="C1399" s="122" t="s">
        <v>1180</v>
      </c>
      <c r="D1399" s="161" t="s">
        <v>976</v>
      </c>
      <c r="E1399" s="123" t="s">
        <v>734</v>
      </c>
      <c r="F1399" s="124" t="s">
        <v>1234</v>
      </c>
      <c r="G1399" s="133" t="s">
        <v>247</v>
      </c>
      <c r="H1399" s="134" t="s">
        <v>1424</v>
      </c>
      <c r="I1399" s="134" t="s">
        <v>1426</v>
      </c>
      <c r="J1399" s="134" t="s">
        <v>139</v>
      </c>
      <c r="K1399" s="124" t="s">
        <v>140</v>
      </c>
      <c r="L1399" s="184">
        <v>1</v>
      </c>
      <c r="M1399" s="174" t="s">
        <v>250</v>
      </c>
      <c r="N1399" s="184">
        <v>89</v>
      </c>
      <c r="O1399" s="184">
        <v>6</v>
      </c>
      <c r="P1399" s="184" t="s">
        <v>1429</v>
      </c>
      <c r="Q1399" s="174" t="s">
        <v>233</v>
      </c>
      <c r="R1399" s="276" t="s">
        <v>240</v>
      </c>
      <c r="S1399" s="276" t="s">
        <v>233</v>
      </c>
      <c r="T1399" s="276" t="s">
        <v>240</v>
      </c>
      <c r="U1399" s="174" t="s">
        <v>1428</v>
      </c>
      <c r="V1399" s="276" t="s">
        <v>240</v>
      </c>
      <c r="W1399" s="130"/>
      <c r="X1399" s="274">
        <v>1594.36</v>
      </c>
      <c r="Y1399" s="126">
        <v>1725.19</v>
      </c>
      <c r="Z1399" s="127">
        <v>206.8467282</v>
      </c>
      <c r="AA1399" s="128" t="s">
        <v>252</v>
      </c>
      <c r="AB1399" s="274">
        <v>147.447675</v>
      </c>
      <c r="AC1399" s="128" t="s">
        <v>252</v>
      </c>
      <c r="AD1399" s="129">
        <v>208.815426</v>
      </c>
      <c r="AE1399" s="274" t="s">
        <v>252</v>
      </c>
      <c r="AF1399" s="274">
        <v>118.542564</v>
      </c>
      <c r="AG1399" s="274" t="s">
        <v>252</v>
      </c>
      <c r="AH1399" s="274">
        <v>38.535035000000001</v>
      </c>
      <c r="AI1399" s="274" t="s">
        <v>252</v>
      </c>
      <c r="AJ1399" s="274">
        <v>0</v>
      </c>
      <c r="AK1399" s="274">
        <v>0</v>
      </c>
      <c r="AL1399" s="274">
        <v>0</v>
      </c>
      <c r="AM1399" s="274">
        <v>0</v>
      </c>
      <c r="AN1399" s="274">
        <v>0</v>
      </c>
      <c r="AO1399" s="274">
        <v>0</v>
      </c>
      <c r="AP1399" s="274"/>
      <c r="AQ1399" s="274"/>
      <c r="AR1399" s="274">
        <v>219.78335216160002</v>
      </c>
      <c r="AS1399" s="274" t="s">
        <v>312</v>
      </c>
      <c r="AT1399" s="274">
        <v>146.55067202070001</v>
      </c>
      <c r="AU1399" s="274" t="s">
        <v>312</v>
      </c>
      <c r="AV1399" s="274">
        <v>218.56958399999999</v>
      </c>
      <c r="AW1399" s="274" t="s">
        <v>252</v>
      </c>
      <c r="AX1399" s="274">
        <f t="shared" si="9"/>
        <v>1305.0910363823</v>
      </c>
      <c r="AY1399" s="274">
        <v>0.25492999999999999</v>
      </c>
      <c r="AZ1399" s="273" t="s">
        <v>1429</v>
      </c>
      <c r="BA1399" s="181" t="s">
        <v>254</v>
      </c>
      <c r="BB1399" s="181">
        <v>1</v>
      </c>
      <c r="BC1399" s="125" t="s">
        <v>255</v>
      </c>
    </row>
    <row r="1400" spans="1:55" ht="16.350000000000001" customHeight="1" outlineLevel="1">
      <c r="A1400" s="92">
        <v>1390</v>
      </c>
      <c r="B1400" s="99" t="s">
        <v>1154</v>
      </c>
      <c r="C1400" s="122" t="s">
        <v>1171</v>
      </c>
      <c r="D1400" s="161" t="s">
        <v>1182</v>
      </c>
      <c r="E1400" s="123" t="s">
        <v>734</v>
      </c>
      <c r="F1400" s="124" t="s">
        <v>1234</v>
      </c>
      <c r="G1400" s="133" t="s">
        <v>247</v>
      </c>
      <c r="H1400" s="134" t="s">
        <v>1424</v>
      </c>
      <c r="I1400" s="134" t="s">
        <v>1426</v>
      </c>
      <c r="J1400" s="134" t="s">
        <v>139</v>
      </c>
      <c r="K1400" s="124" t="s">
        <v>140</v>
      </c>
      <c r="L1400" s="184">
        <v>1</v>
      </c>
      <c r="M1400" s="174" t="s">
        <v>250</v>
      </c>
      <c r="N1400" s="184">
        <v>80</v>
      </c>
      <c r="O1400" s="184">
        <v>6</v>
      </c>
      <c r="P1400" s="184" t="s">
        <v>1429</v>
      </c>
      <c r="Q1400" s="174" t="s">
        <v>233</v>
      </c>
      <c r="R1400" s="276" t="s">
        <v>240</v>
      </c>
      <c r="S1400" s="276" t="s">
        <v>233</v>
      </c>
      <c r="T1400" s="276" t="s">
        <v>240</v>
      </c>
      <c r="U1400" s="174" t="s">
        <v>1428</v>
      </c>
      <c r="V1400" s="276" t="s">
        <v>240</v>
      </c>
      <c r="W1400" s="130"/>
      <c r="X1400" s="274">
        <v>465.55</v>
      </c>
      <c r="Y1400" s="126">
        <v>476.46</v>
      </c>
      <c r="Z1400" s="127">
        <v>65.213059799999996</v>
      </c>
      <c r="AA1400" s="128" t="s">
        <v>252</v>
      </c>
      <c r="AB1400" s="274">
        <v>45.885419999999996</v>
      </c>
      <c r="AC1400" s="128" t="s">
        <v>252</v>
      </c>
      <c r="AD1400" s="129">
        <v>65.339334000000008</v>
      </c>
      <c r="AE1400" s="274" t="s">
        <v>252</v>
      </c>
      <c r="AF1400" s="274">
        <v>37.237259999999999</v>
      </c>
      <c r="AG1400" s="274" t="s">
        <v>252</v>
      </c>
      <c r="AH1400" s="274">
        <v>10.141893999999999</v>
      </c>
      <c r="AI1400" s="274" t="s">
        <v>252</v>
      </c>
      <c r="AJ1400" s="274">
        <v>0</v>
      </c>
      <c r="AK1400" s="274">
        <v>0</v>
      </c>
      <c r="AL1400" s="274">
        <v>0</v>
      </c>
      <c r="AM1400" s="274">
        <v>0</v>
      </c>
      <c r="AN1400" s="274">
        <v>0</v>
      </c>
      <c r="AO1400" s="274">
        <v>0</v>
      </c>
      <c r="AP1400" s="274"/>
      <c r="AQ1400" s="274"/>
      <c r="AR1400" s="274">
        <v>41.237423999999997</v>
      </c>
      <c r="AS1400" s="274" t="s">
        <v>252</v>
      </c>
      <c r="AT1400" s="274">
        <v>38.091617999999997</v>
      </c>
      <c r="AU1400" s="274" t="s">
        <v>252</v>
      </c>
      <c r="AV1400" s="274">
        <v>53.569104000000003</v>
      </c>
      <c r="AW1400" s="274" t="s">
        <v>252</v>
      </c>
      <c r="AX1400" s="274">
        <f t="shared" si="9"/>
        <v>356.71511379999998</v>
      </c>
      <c r="AY1400" s="274">
        <v>0.62527999999999995</v>
      </c>
      <c r="AZ1400" s="273" t="s">
        <v>1429</v>
      </c>
      <c r="BA1400" s="181" t="s">
        <v>254</v>
      </c>
      <c r="BB1400" s="181">
        <v>1</v>
      </c>
      <c r="BC1400" s="125" t="s">
        <v>255</v>
      </c>
    </row>
    <row r="1401" spans="1:55" ht="16.350000000000001" customHeight="1" outlineLevel="1">
      <c r="A1401" s="92">
        <v>1391</v>
      </c>
      <c r="B1401" s="99" t="s">
        <v>1155</v>
      </c>
      <c r="C1401" s="122" t="s">
        <v>1184</v>
      </c>
      <c r="D1401" s="161" t="s">
        <v>163</v>
      </c>
      <c r="E1401" s="123" t="s">
        <v>734</v>
      </c>
      <c r="F1401" s="124" t="s">
        <v>1234</v>
      </c>
      <c r="G1401" s="133" t="s">
        <v>247</v>
      </c>
      <c r="H1401" s="134" t="s">
        <v>1424</v>
      </c>
      <c r="I1401" s="134" t="s">
        <v>1426</v>
      </c>
      <c r="J1401" s="134" t="s">
        <v>139</v>
      </c>
      <c r="K1401" s="124" t="s">
        <v>140</v>
      </c>
      <c r="L1401" s="184">
        <v>1</v>
      </c>
      <c r="M1401" s="174" t="s">
        <v>250</v>
      </c>
      <c r="N1401" s="184">
        <v>89</v>
      </c>
      <c r="O1401" s="184">
        <v>6</v>
      </c>
      <c r="P1401" s="184" t="s">
        <v>1429</v>
      </c>
      <c r="Q1401" s="174" t="s">
        <v>233</v>
      </c>
      <c r="R1401" s="276" t="s">
        <v>240</v>
      </c>
      <c r="S1401" s="276" t="s">
        <v>233</v>
      </c>
      <c r="T1401" s="276" t="s">
        <v>240</v>
      </c>
      <c r="U1401" s="174" t="s">
        <v>1428</v>
      </c>
      <c r="V1401" s="276" t="s">
        <v>240</v>
      </c>
      <c r="W1401" s="130"/>
      <c r="X1401" s="274">
        <v>672.79</v>
      </c>
      <c r="Y1401" s="126">
        <v>656.6</v>
      </c>
      <c r="Z1401" s="127">
        <v>95.108504400000001</v>
      </c>
      <c r="AA1401" s="128" t="s">
        <v>252</v>
      </c>
      <c r="AB1401" s="274">
        <v>67.922280000000001</v>
      </c>
      <c r="AC1401" s="128" t="s">
        <v>252</v>
      </c>
      <c r="AD1401" s="129">
        <v>98.455320000000015</v>
      </c>
      <c r="AE1401" s="274" t="s">
        <v>252</v>
      </c>
      <c r="AF1401" s="274">
        <v>49.768270000000001</v>
      </c>
      <c r="AG1401" s="274" t="s">
        <v>252</v>
      </c>
      <c r="AH1401" s="274">
        <v>13.103993000000001</v>
      </c>
      <c r="AI1401" s="274" t="s">
        <v>252</v>
      </c>
      <c r="AJ1401" s="274">
        <v>0</v>
      </c>
      <c r="AK1401" s="274">
        <v>0</v>
      </c>
      <c r="AL1401" s="274">
        <v>0</v>
      </c>
      <c r="AM1401" s="274">
        <v>0</v>
      </c>
      <c r="AN1401" s="274">
        <v>0</v>
      </c>
      <c r="AO1401" s="274">
        <v>0</v>
      </c>
      <c r="AP1401" s="274"/>
      <c r="AQ1401" s="274"/>
      <c r="AR1401" s="274">
        <v>59.890127999999997</v>
      </c>
      <c r="AS1401" s="274" t="s">
        <v>252</v>
      </c>
      <c r="AT1401" s="274">
        <v>44.729631000000005</v>
      </c>
      <c r="AU1401" s="274" t="s">
        <v>252</v>
      </c>
      <c r="AV1401" s="274">
        <v>67.112927999999997</v>
      </c>
      <c r="AW1401" s="274" t="s">
        <v>252</v>
      </c>
      <c r="AX1401" s="274">
        <f t="shared" si="9"/>
        <v>496.09105440000008</v>
      </c>
      <c r="AY1401" s="274">
        <v>0.24590000000000001</v>
      </c>
      <c r="AZ1401" s="273" t="s">
        <v>1429</v>
      </c>
      <c r="BA1401" s="181" t="s">
        <v>254</v>
      </c>
      <c r="BB1401" s="181">
        <v>1</v>
      </c>
      <c r="BC1401" s="125" t="s">
        <v>255</v>
      </c>
    </row>
    <row r="1402" spans="1:55" ht="16.350000000000001" customHeight="1" outlineLevel="1">
      <c r="A1402" s="92">
        <v>1392</v>
      </c>
      <c r="B1402" s="99" t="s">
        <v>1156</v>
      </c>
      <c r="C1402" s="122" t="s">
        <v>1186</v>
      </c>
      <c r="D1402" s="161" t="s">
        <v>225</v>
      </c>
      <c r="E1402" s="123" t="s">
        <v>734</v>
      </c>
      <c r="F1402" s="124" t="s">
        <v>1425</v>
      </c>
      <c r="G1402" s="133" t="s">
        <v>247</v>
      </c>
      <c r="H1402" s="134" t="s">
        <v>248</v>
      </c>
      <c r="I1402" s="134" t="s">
        <v>1426</v>
      </c>
      <c r="J1402" s="134" t="s">
        <v>139</v>
      </c>
      <c r="K1402" s="124" t="s">
        <v>140</v>
      </c>
      <c r="L1402" s="184">
        <v>1</v>
      </c>
      <c r="M1402" s="174" t="s">
        <v>250</v>
      </c>
      <c r="N1402" s="184">
        <v>100</v>
      </c>
      <c r="O1402" s="184">
        <v>6</v>
      </c>
      <c r="P1402" s="184" t="s">
        <v>1429</v>
      </c>
      <c r="Q1402" s="174" t="s">
        <v>233</v>
      </c>
      <c r="R1402" s="276" t="s">
        <v>240</v>
      </c>
      <c r="S1402" s="276" t="s">
        <v>233</v>
      </c>
      <c r="T1402" s="276" t="s">
        <v>240</v>
      </c>
      <c r="U1402" s="174" t="s">
        <v>1427</v>
      </c>
      <c r="V1402" s="276" t="s">
        <v>240</v>
      </c>
      <c r="W1402" s="130"/>
      <c r="X1402" s="274">
        <v>1015.47</v>
      </c>
      <c r="Y1402" s="126">
        <v>1120.94</v>
      </c>
      <c r="Z1402" s="127">
        <v>153.67140599999999</v>
      </c>
      <c r="AA1402" s="128" t="s">
        <v>252</v>
      </c>
      <c r="AB1402" s="274">
        <v>114.96883500000001</v>
      </c>
      <c r="AC1402" s="128" t="s">
        <v>252</v>
      </c>
      <c r="AD1402" s="129">
        <v>163.14948000000001</v>
      </c>
      <c r="AE1402" s="274" t="s">
        <v>252</v>
      </c>
      <c r="AF1402" s="274">
        <v>95.030119999999997</v>
      </c>
      <c r="AG1402" s="274" t="s">
        <v>252</v>
      </c>
      <c r="AH1402" s="274">
        <v>24.459861999999998</v>
      </c>
      <c r="AI1402" s="274" t="s">
        <v>252</v>
      </c>
      <c r="AJ1402" s="274">
        <v>0</v>
      </c>
      <c r="AK1402" s="274">
        <v>0</v>
      </c>
      <c r="AL1402" s="274">
        <v>0</v>
      </c>
      <c r="AM1402" s="274">
        <v>0</v>
      </c>
      <c r="AN1402" s="274">
        <v>0</v>
      </c>
      <c r="AO1402" s="274">
        <v>0</v>
      </c>
      <c r="AP1402" s="274"/>
      <c r="AQ1402" s="274"/>
      <c r="AR1402" s="274">
        <v>95.741339999999994</v>
      </c>
      <c r="AS1402" s="274" t="s">
        <v>252</v>
      </c>
      <c r="AT1402" s="274">
        <v>78.882642000000004</v>
      </c>
      <c r="AU1402" s="274" t="s">
        <v>252</v>
      </c>
      <c r="AV1402" s="274">
        <v>125.490048</v>
      </c>
      <c r="AW1402" s="274" t="s">
        <v>252</v>
      </c>
      <c r="AX1402" s="274">
        <f t="shared" si="9"/>
        <v>851.39373300000011</v>
      </c>
      <c r="AY1402" s="274">
        <f>0.3+0.008+0.005+0.075+0.017+0.003+0.065+0.007</f>
        <v>0.48000000000000004</v>
      </c>
      <c r="AZ1402" s="273" t="s">
        <v>1429</v>
      </c>
      <c r="BA1402" s="181" t="s">
        <v>254</v>
      </c>
      <c r="BB1402" s="181">
        <v>1</v>
      </c>
      <c r="BC1402" s="125" t="s">
        <v>255</v>
      </c>
    </row>
    <row r="1403" spans="1:55" ht="16.350000000000001" customHeight="1" outlineLevel="1">
      <c r="A1403" s="92">
        <v>1393</v>
      </c>
      <c r="B1403" s="99" t="s">
        <v>1158</v>
      </c>
      <c r="C1403" s="122" t="s">
        <v>1188</v>
      </c>
      <c r="D1403" s="161" t="s">
        <v>989</v>
      </c>
      <c r="E1403" s="123" t="s">
        <v>734</v>
      </c>
      <c r="F1403" s="124" t="s">
        <v>1425</v>
      </c>
      <c r="G1403" s="133" t="s">
        <v>281</v>
      </c>
      <c r="H1403" s="134" t="s">
        <v>248</v>
      </c>
      <c r="I1403" s="134" t="s">
        <v>1426</v>
      </c>
      <c r="J1403" s="134" t="s">
        <v>139</v>
      </c>
      <c r="K1403" s="124" t="s">
        <v>140</v>
      </c>
      <c r="L1403" s="184">
        <v>1</v>
      </c>
      <c r="M1403" s="174" t="s">
        <v>250</v>
      </c>
      <c r="N1403" s="184">
        <v>100</v>
      </c>
      <c r="O1403" s="184">
        <v>6</v>
      </c>
      <c r="P1403" s="184" t="s">
        <v>1429</v>
      </c>
      <c r="Q1403" s="174" t="s">
        <v>233</v>
      </c>
      <c r="R1403" s="276" t="s">
        <v>240</v>
      </c>
      <c r="S1403" s="276" t="s">
        <v>233</v>
      </c>
      <c r="T1403" s="276" t="s">
        <v>240</v>
      </c>
      <c r="U1403" s="174" t="s">
        <v>1427</v>
      </c>
      <c r="V1403" s="276" t="s">
        <v>240</v>
      </c>
      <c r="W1403" s="130"/>
      <c r="X1403" s="274">
        <v>1689.43</v>
      </c>
      <c r="Y1403" s="126">
        <v>1743.46</v>
      </c>
      <c r="Z1403" s="127">
        <v>156.19656359999999</v>
      </c>
      <c r="AA1403" s="128" t="s">
        <v>259</v>
      </c>
      <c r="AB1403" s="274">
        <v>149.00408999999999</v>
      </c>
      <c r="AC1403" s="128" t="s">
        <v>259</v>
      </c>
      <c r="AD1403" s="129">
        <v>158.96026800000001</v>
      </c>
      <c r="AE1403" s="274" t="s">
        <v>259</v>
      </c>
      <c r="AF1403" s="274">
        <v>142.72701799999999</v>
      </c>
      <c r="AG1403" s="274" t="s">
        <v>259</v>
      </c>
      <c r="AH1403" s="274">
        <v>123.38148200000001</v>
      </c>
      <c r="AI1403" s="274" t="s">
        <v>259</v>
      </c>
      <c r="AJ1403" s="274">
        <v>0</v>
      </c>
      <c r="AK1403" s="274">
        <v>0</v>
      </c>
      <c r="AL1403" s="274">
        <v>0</v>
      </c>
      <c r="AM1403" s="274">
        <v>0</v>
      </c>
      <c r="AN1403" s="274">
        <v>0</v>
      </c>
      <c r="AO1403" s="274">
        <v>0</v>
      </c>
      <c r="AP1403" s="274"/>
      <c r="AQ1403" s="274"/>
      <c r="AR1403" s="274">
        <v>146.581332</v>
      </c>
      <c r="AS1403" s="274" t="s">
        <v>259</v>
      </c>
      <c r="AT1403" s="274">
        <v>124.22792699999999</v>
      </c>
      <c r="AU1403" s="274" t="s">
        <v>252</v>
      </c>
      <c r="AV1403" s="274">
        <v>152.50296</v>
      </c>
      <c r="AW1403" s="274" t="s">
        <v>252</v>
      </c>
      <c r="AX1403" s="274">
        <f t="shared" si="9"/>
        <v>1153.5816405999999</v>
      </c>
      <c r="AY1403" s="274">
        <f>0.0101+0.1499</f>
        <v>0.16</v>
      </c>
      <c r="AZ1403" s="273" t="s">
        <v>1429</v>
      </c>
      <c r="BA1403" s="181" t="s">
        <v>254</v>
      </c>
      <c r="BB1403" s="181">
        <v>1</v>
      </c>
      <c r="BC1403" s="125" t="s">
        <v>255</v>
      </c>
    </row>
    <row r="1404" spans="1:55" ht="16.350000000000001" customHeight="1" outlineLevel="1">
      <c r="A1404" s="92">
        <v>1394</v>
      </c>
      <c r="B1404" s="99" t="s">
        <v>1159</v>
      </c>
      <c r="C1404" s="122" t="s">
        <v>1190</v>
      </c>
      <c r="D1404" s="161" t="s">
        <v>448</v>
      </c>
      <c r="E1404" s="123" t="s">
        <v>734</v>
      </c>
      <c r="F1404" s="124" t="s">
        <v>1425</v>
      </c>
      <c r="G1404" s="133" t="s">
        <v>281</v>
      </c>
      <c r="H1404" s="134" t="s">
        <v>248</v>
      </c>
      <c r="I1404" s="134" t="s">
        <v>1426</v>
      </c>
      <c r="J1404" s="134" t="s">
        <v>139</v>
      </c>
      <c r="K1404" s="124" t="s">
        <v>140</v>
      </c>
      <c r="L1404" s="184">
        <v>1</v>
      </c>
      <c r="M1404" s="174" t="s">
        <v>250</v>
      </c>
      <c r="N1404" s="184">
        <v>89</v>
      </c>
      <c r="O1404" s="184">
        <v>6</v>
      </c>
      <c r="P1404" s="184" t="s">
        <v>1429</v>
      </c>
      <c r="Q1404" s="174" t="s">
        <v>233</v>
      </c>
      <c r="R1404" s="276" t="s">
        <v>240</v>
      </c>
      <c r="S1404" s="276" t="s">
        <v>233</v>
      </c>
      <c r="T1404" s="276" t="s">
        <v>240</v>
      </c>
      <c r="U1404" s="174" t="s">
        <v>1427</v>
      </c>
      <c r="V1404" s="276" t="s">
        <v>240</v>
      </c>
      <c r="W1404" s="130"/>
      <c r="X1404" s="125">
        <v>886.47</v>
      </c>
      <c r="Y1404" s="126">
        <v>759.18</v>
      </c>
      <c r="Z1404" s="127">
        <v>110.65724879999999</v>
      </c>
      <c r="AA1404" s="128" t="s">
        <v>252</v>
      </c>
      <c r="AB1404" s="125">
        <v>82.687635</v>
      </c>
      <c r="AC1404" s="128" t="s">
        <v>252</v>
      </c>
      <c r="AD1404" s="129">
        <v>120.75359400000001</v>
      </c>
      <c r="AE1404" s="125" t="s">
        <v>252</v>
      </c>
      <c r="AF1404" s="125">
        <v>55.974479999999993</v>
      </c>
      <c r="AG1404" s="125" t="s">
        <v>252</v>
      </c>
      <c r="AH1404" s="125">
        <v>15.254462999999998</v>
      </c>
      <c r="AI1404" s="125" t="s">
        <v>252</v>
      </c>
      <c r="AJ1404" s="125">
        <v>0</v>
      </c>
      <c r="AK1404" s="125">
        <v>0</v>
      </c>
      <c r="AL1404" s="125">
        <v>0</v>
      </c>
      <c r="AM1404" s="125">
        <v>0</v>
      </c>
      <c r="AN1404" s="125">
        <v>0</v>
      </c>
      <c r="AO1404" s="125">
        <v>0</v>
      </c>
      <c r="AP1404" s="125"/>
      <c r="AQ1404" s="125"/>
      <c r="AR1404" s="125">
        <v>72.108624000000006</v>
      </c>
      <c r="AS1404" s="125" t="s">
        <v>252</v>
      </c>
      <c r="AT1404" s="125">
        <v>49.536467999999999</v>
      </c>
      <c r="AU1404" s="125" t="s">
        <v>252</v>
      </c>
      <c r="AV1404" s="125">
        <v>74.885472000000007</v>
      </c>
      <c r="AW1404" s="125" t="s">
        <v>252</v>
      </c>
      <c r="AX1404" s="125">
        <f t="shared" si="9"/>
        <v>581.85798480000005</v>
      </c>
      <c r="AY1404" s="125">
        <f>0.0204+0.2096</f>
        <v>0.23</v>
      </c>
      <c r="AZ1404" s="181" t="s">
        <v>1429</v>
      </c>
      <c r="BA1404" s="181" t="s">
        <v>254</v>
      </c>
      <c r="BB1404" s="181">
        <v>1</v>
      </c>
      <c r="BC1404" s="125" t="s">
        <v>255</v>
      </c>
    </row>
    <row r="1405" spans="1:55" ht="16.350000000000001" customHeight="1" outlineLevel="1">
      <c r="A1405" s="92">
        <v>1395</v>
      </c>
      <c r="B1405" s="99" t="s">
        <v>1160</v>
      </c>
      <c r="C1405" s="122" t="s">
        <v>1192</v>
      </c>
      <c r="D1405" s="161" t="s">
        <v>165</v>
      </c>
      <c r="E1405" s="123" t="s">
        <v>734</v>
      </c>
      <c r="F1405" s="124" t="s">
        <v>1425</v>
      </c>
      <c r="G1405" s="133" t="s">
        <v>281</v>
      </c>
      <c r="H1405" s="134" t="s">
        <v>248</v>
      </c>
      <c r="I1405" s="134" t="s">
        <v>1426</v>
      </c>
      <c r="J1405" s="134" t="s">
        <v>139</v>
      </c>
      <c r="K1405" s="124" t="s">
        <v>140</v>
      </c>
      <c r="L1405" s="184">
        <v>1</v>
      </c>
      <c r="M1405" s="174" t="s">
        <v>250</v>
      </c>
      <c r="N1405" s="184">
        <v>89</v>
      </c>
      <c r="O1405" s="184">
        <v>6</v>
      </c>
      <c r="P1405" s="184" t="s">
        <v>1429</v>
      </c>
      <c r="Q1405" s="174" t="s">
        <v>233</v>
      </c>
      <c r="R1405" s="276" t="s">
        <v>240</v>
      </c>
      <c r="S1405" s="276" t="s">
        <v>233</v>
      </c>
      <c r="T1405" s="276" t="s">
        <v>240</v>
      </c>
      <c r="U1405" s="174" t="s">
        <v>1427</v>
      </c>
      <c r="V1405" s="276" t="s">
        <v>240</v>
      </c>
      <c r="W1405" s="130"/>
      <c r="X1405" s="125">
        <v>488.22</v>
      </c>
      <c r="Y1405" s="126">
        <v>455.18</v>
      </c>
      <c r="Z1405" s="127">
        <v>53.944976400000002</v>
      </c>
      <c r="AA1405" s="128" t="s">
        <v>252</v>
      </c>
      <c r="AB1405" s="125">
        <v>40.400910000000003</v>
      </c>
      <c r="AC1405" s="128" t="s">
        <v>252</v>
      </c>
      <c r="AD1405" s="129">
        <v>58.825728000000005</v>
      </c>
      <c r="AE1405" s="125" t="s">
        <v>252</v>
      </c>
      <c r="AF1405" s="125">
        <v>27.425913999999999</v>
      </c>
      <c r="AG1405" s="125" t="s">
        <v>252</v>
      </c>
      <c r="AH1405" s="125">
        <v>7.582141</v>
      </c>
      <c r="AI1405" s="125" t="s">
        <v>252</v>
      </c>
      <c r="AJ1405" s="125">
        <v>0</v>
      </c>
      <c r="AK1405" s="125">
        <v>0</v>
      </c>
      <c r="AL1405" s="125">
        <v>0</v>
      </c>
      <c r="AM1405" s="125">
        <v>0</v>
      </c>
      <c r="AN1405" s="125">
        <v>0</v>
      </c>
      <c r="AO1405" s="125">
        <v>0</v>
      </c>
      <c r="AP1405" s="125"/>
      <c r="AQ1405" s="125"/>
      <c r="AR1405" s="125">
        <v>35.339399999999998</v>
      </c>
      <c r="AS1405" s="125" t="s">
        <v>252</v>
      </c>
      <c r="AT1405" s="125">
        <v>24.420942</v>
      </c>
      <c r="AU1405" s="125" t="s">
        <v>252</v>
      </c>
      <c r="AV1405" s="125">
        <v>36.612336000000006</v>
      </c>
      <c r="AW1405" s="125" t="s">
        <v>252</v>
      </c>
      <c r="AX1405" s="125">
        <f t="shared" si="9"/>
        <v>284.55234740000003</v>
      </c>
      <c r="AY1405" s="125">
        <f>0.29</f>
        <v>0.28999999999999998</v>
      </c>
      <c r="AZ1405" s="181" t="s">
        <v>1429</v>
      </c>
      <c r="BA1405" s="181" t="s">
        <v>254</v>
      </c>
      <c r="BB1405" s="181">
        <v>1</v>
      </c>
      <c r="BC1405" s="125" t="s">
        <v>255</v>
      </c>
    </row>
    <row r="1406" spans="1:55" ht="16.350000000000001" customHeight="1" outlineLevel="1">
      <c r="A1406" s="92">
        <v>1396</v>
      </c>
      <c r="B1406" s="99" t="s">
        <v>1161</v>
      </c>
      <c r="C1406" s="122" t="s">
        <v>1194</v>
      </c>
      <c r="D1406" s="161" t="s">
        <v>1195</v>
      </c>
      <c r="E1406" s="123" t="s">
        <v>734</v>
      </c>
      <c r="F1406" s="124" t="s">
        <v>1425</v>
      </c>
      <c r="G1406" s="133" t="s">
        <v>281</v>
      </c>
      <c r="H1406" s="134" t="s">
        <v>248</v>
      </c>
      <c r="I1406" s="134" t="s">
        <v>1426</v>
      </c>
      <c r="J1406" s="134" t="s">
        <v>139</v>
      </c>
      <c r="K1406" s="124" t="s">
        <v>140</v>
      </c>
      <c r="L1406" s="184">
        <v>1</v>
      </c>
      <c r="M1406" s="174" t="s">
        <v>250</v>
      </c>
      <c r="N1406" s="184">
        <v>89</v>
      </c>
      <c r="O1406" s="184">
        <v>6</v>
      </c>
      <c r="P1406" s="184" t="s">
        <v>1429</v>
      </c>
      <c r="Q1406" s="174" t="s">
        <v>233</v>
      </c>
      <c r="R1406" s="276" t="s">
        <v>240</v>
      </c>
      <c r="S1406" s="276" t="s">
        <v>233</v>
      </c>
      <c r="T1406" s="276" t="s">
        <v>240</v>
      </c>
      <c r="U1406" s="174" t="s">
        <v>1427</v>
      </c>
      <c r="V1406" s="276" t="s">
        <v>240</v>
      </c>
      <c r="W1406" s="130"/>
      <c r="X1406" s="125">
        <v>1519.38</v>
      </c>
      <c r="Y1406" s="126">
        <v>1523.55</v>
      </c>
      <c r="Z1406" s="127">
        <v>196.4434248</v>
      </c>
      <c r="AA1406" s="128" t="s">
        <v>252</v>
      </c>
      <c r="AB1406" s="125">
        <v>131.24942999999999</v>
      </c>
      <c r="AC1406" s="128" t="s">
        <v>252</v>
      </c>
      <c r="AD1406" s="129">
        <v>184.59046800000002</v>
      </c>
      <c r="AE1406" s="125" t="s">
        <v>252</v>
      </c>
      <c r="AF1406" s="125">
        <v>88.151899999999998</v>
      </c>
      <c r="AG1406" s="125" t="s">
        <v>252</v>
      </c>
      <c r="AH1406" s="125">
        <v>24.022831</v>
      </c>
      <c r="AI1406" s="125" t="s">
        <v>252</v>
      </c>
      <c r="AJ1406" s="125">
        <v>0</v>
      </c>
      <c r="AK1406" s="125">
        <v>0</v>
      </c>
      <c r="AL1406" s="125">
        <v>0</v>
      </c>
      <c r="AM1406" s="125">
        <v>0</v>
      </c>
      <c r="AN1406" s="125">
        <v>0</v>
      </c>
      <c r="AO1406" s="125">
        <v>0</v>
      </c>
      <c r="AP1406" s="125"/>
      <c r="AQ1406" s="125"/>
      <c r="AR1406" s="125">
        <v>140.3729866356</v>
      </c>
      <c r="AS1406" s="125" t="s">
        <v>312</v>
      </c>
      <c r="AT1406" s="125">
        <v>119.9401297335</v>
      </c>
      <c r="AU1406" s="125" t="s">
        <v>312</v>
      </c>
      <c r="AV1406" s="125">
        <v>133.14710328960001</v>
      </c>
      <c r="AW1406" s="125" t="s">
        <v>312</v>
      </c>
      <c r="AX1406" s="125">
        <f t="shared" si="9"/>
        <v>1017.9182734587</v>
      </c>
      <c r="AY1406" s="125">
        <f>0.0037+0.0044+0.0189+0.3294+0.0036</f>
        <v>0.36000000000000004</v>
      </c>
      <c r="AZ1406" s="181" t="s">
        <v>1429</v>
      </c>
      <c r="BA1406" s="181" t="s">
        <v>254</v>
      </c>
      <c r="BB1406" s="181">
        <v>1</v>
      </c>
      <c r="BC1406" s="125" t="s">
        <v>255</v>
      </c>
    </row>
    <row r="1407" spans="1:55" ht="16.350000000000001" customHeight="1" outlineLevel="1">
      <c r="A1407" s="92">
        <v>1397</v>
      </c>
      <c r="B1407" s="99" t="s">
        <v>1164</v>
      </c>
      <c r="C1407" s="122" t="s">
        <v>1197</v>
      </c>
      <c r="D1407" s="161" t="s">
        <v>165</v>
      </c>
      <c r="E1407" s="123" t="s">
        <v>734</v>
      </c>
      <c r="F1407" s="124" t="s">
        <v>1425</v>
      </c>
      <c r="G1407" s="133" t="s">
        <v>281</v>
      </c>
      <c r="H1407" s="134" t="s">
        <v>248</v>
      </c>
      <c r="I1407" s="134" t="s">
        <v>1426</v>
      </c>
      <c r="J1407" s="134" t="s">
        <v>139</v>
      </c>
      <c r="K1407" s="124" t="s">
        <v>140</v>
      </c>
      <c r="L1407" s="184">
        <v>1</v>
      </c>
      <c r="M1407" s="174" t="s">
        <v>250</v>
      </c>
      <c r="N1407" s="184">
        <v>89</v>
      </c>
      <c r="O1407" s="184">
        <v>6</v>
      </c>
      <c r="P1407" s="184" t="s">
        <v>1429</v>
      </c>
      <c r="Q1407" s="174" t="s">
        <v>233</v>
      </c>
      <c r="R1407" s="276" t="s">
        <v>240</v>
      </c>
      <c r="S1407" s="276" t="s">
        <v>233</v>
      </c>
      <c r="T1407" s="276" t="s">
        <v>240</v>
      </c>
      <c r="U1407" s="174" t="s">
        <v>1427</v>
      </c>
      <c r="V1407" s="276" t="s">
        <v>240</v>
      </c>
      <c r="W1407" s="130"/>
      <c r="X1407" s="125">
        <v>682.87</v>
      </c>
      <c r="Y1407" s="126">
        <v>768.4</v>
      </c>
      <c r="Z1407" s="127">
        <v>106.41117899999999</v>
      </c>
      <c r="AA1407" s="128" t="s">
        <v>252</v>
      </c>
      <c r="AB1407" s="125">
        <v>73.242090000000005</v>
      </c>
      <c r="AC1407" s="128" t="s">
        <v>252</v>
      </c>
      <c r="AD1407" s="129">
        <v>110.15683200000001</v>
      </c>
      <c r="AE1407" s="125" t="s">
        <v>252</v>
      </c>
      <c r="AF1407" s="125">
        <v>57.690081999999997</v>
      </c>
      <c r="AG1407" s="125" t="s">
        <v>252</v>
      </c>
      <c r="AH1407" s="125">
        <v>20.242166000000001</v>
      </c>
      <c r="AI1407" s="125" t="s">
        <v>252</v>
      </c>
      <c r="AJ1407" s="125">
        <v>0</v>
      </c>
      <c r="AK1407" s="125">
        <v>0</v>
      </c>
      <c r="AL1407" s="125">
        <v>0</v>
      </c>
      <c r="AM1407" s="125">
        <v>0</v>
      </c>
      <c r="AN1407" s="125">
        <v>0</v>
      </c>
      <c r="AO1407" s="125">
        <v>0</v>
      </c>
      <c r="AP1407" s="125"/>
      <c r="AQ1407" s="125"/>
      <c r="AR1407" s="125">
        <v>58.435932000000008</v>
      </c>
      <c r="AS1407" s="125" t="s">
        <v>252</v>
      </c>
      <c r="AT1407" s="125">
        <v>53.743437</v>
      </c>
      <c r="AU1407" s="125" t="s">
        <v>252</v>
      </c>
      <c r="AV1407" s="125">
        <v>73.183151999999993</v>
      </c>
      <c r="AW1407" s="125" t="s">
        <v>252</v>
      </c>
      <c r="AX1407" s="125">
        <f t="shared" si="9"/>
        <v>553.10487000000001</v>
      </c>
      <c r="AY1407" s="125">
        <f>0.248+0.002</f>
        <v>0.25</v>
      </c>
      <c r="AZ1407" s="181" t="s">
        <v>1429</v>
      </c>
      <c r="BA1407" s="181" t="s">
        <v>254</v>
      </c>
      <c r="BB1407" s="181">
        <v>1</v>
      </c>
      <c r="BC1407" s="125" t="s">
        <v>255</v>
      </c>
    </row>
    <row r="1408" spans="1:55" ht="16.350000000000001" customHeight="1" outlineLevel="1">
      <c r="A1408" s="92">
        <v>1398</v>
      </c>
      <c r="B1408" s="99" t="s">
        <v>1166</v>
      </c>
      <c r="C1408" s="122" t="s">
        <v>1199</v>
      </c>
      <c r="D1408" s="161" t="s">
        <v>167</v>
      </c>
      <c r="E1408" s="123" t="s">
        <v>734</v>
      </c>
      <c r="F1408" s="124" t="s">
        <v>1425</v>
      </c>
      <c r="G1408" s="133" t="s">
        <v>247</v>
      </c>
      <c r="H1408" s="134" t="s">
        <v>248</v>
      </c>
      <c r="I1408" s="134" t="s">
        <v>1426</v>
      </c>
      <c r="J1408" s="134" t="s">
        <v>139</v>
      </c>
      <c r="K1408" s="124" t="s">
        <v>140</v>
      </c>
      <c r="L1408" s="184">
        <v>1</v>
      </c>
      <c r="M1408" s="174" t="s">
        <v>250</v>
      </c>
      <c r="N1408" s="184">
        <v>89</v>
      </c>
      <c r="O1408" s="184">
        <v>6</v>
      </c>
      <c r="P1408" s="184" t="s">
        <v>1429</v>
      </c>
      <c r="Q1408" s="174" t="s">
        <v>233</v>
      </c>
      <c r="R1408" s="278" t="s">
        <v>240</v>
      </c>
      <c r="S1408" s="278" t="s">
        <v>233</v>
      </c>
      <c r="T1408" s="278" t="s">
        <v>240</v>
      </c>
      <c r="U1408" s="174" t="s">
        <v>1427</v>
      </c>
      <c r="V1408" s="278" t="s">
        <v>240</v>
      </c>
      <c r="W1408" s="130"/>
      <c r="X1408" s="125">
        <v>1015.47</v>
      </c>
      <c r="Y1408" s="126">
        <v>1120.94</v>
      </c>
      <c r="Z1408" s="127">
        <v>153.67140599999999</v>
      </c>
      <c r="AA1408" s="128" t="s">
        <v>252</v>
      </c>
      <c r="AB1408" s="125">
        <v>114.96883500000001</v>
      </c>
      <c r="AC1408" s="128" t="s">
        <v>252</v>
      </c>
      <c r="AD1408" s="129">
        <v>163.14948000000001</v>
      </c>
      <c r="AE1408" s="125" t="s">
        <v>252</v>
      </c>
      <c r="AF1408" s="125">
        <v>95.030119999999997</v>
      </c>
      <c r="AG1408" s="125" t="s">
        <v>252</v>
      </c>
      <c r="AH1408" s="125">
        <v>24.459861999999998</v>
      </c>
      <c r="AI1408" s="125" t="s">
        <v>252</v>
      </c>
      <c r="AJ1408" s="125">
        <v>0</v>
      </c>
      <c r="AK1408" s="125">
        <v>0</v>
      </c>
      <c r="AL1408" s="125">
        <v>0</v>
      </c>
      <c r="AM1408" s="125">
        <v>0</v>
      </c>
      <c r="AN1408" s="125">
        <v>0</v>
      </c>
      <c r="AO1408" s="125">
        <v>0</v>
      </c>
      <c r="AP1408" s="125"/>
      <c r="AQ1408" s="125"/>
      <c r="AR1408" s="125">
        <v>95.741339999999994</v>
      </c>
      <c r="AS1408" s="125" t="s">
        <v>252</v>
      </c>
      <c r="AT1408" s="125">
        <v>78.882642000000004</v>
      </c>
      <c r="AU1408" s="125" t="s">
        <v>252</v>
      </c>
      <c r="AV1408" s="125">
        <v>125.490048</v>
      </c>
      <c r="AW1408" s="125" t="s">
        <v>252</v>
      </c>
      <c r="AX1408" s="125">
        <f t="shared" ref="AX1408" si="10">Z1408+AB1408+AD1408+AF1408+AH1408+AJ1408+AL1408+AN1408+AP1408+AR1408+AT1408+AV1408</f>
        <v>851.39373300000011</v>
      </c>
      <c r="AY1408" s="125">
        <f>0.3+0.008+0.005+0.075+0.017+0.003+0.065+0.007</f>
        <v>0.48000000000000004</v>
      </c>
      <c r="AZ1408" s="181" t="s">
        <v>1429</v>
      </c>
      <c r="BA1408" s="181" t="s">
        <v>254</v>
      </c>
      <c r="BB1408" s="181">
        <v>1</v>
      </c>
      <c r="BC1408" s="125" t="s">
        <v>255</v>
      </c>
    </row>
    <row r="1409" spans="1:55" ht="16.350000000000001" customHeight="1" outlineLevel="1">
      <c r="A1409" s="92">
        <v>1399</v>
      </c>
      <c r="B1409" s="99" t="s">
        <v>1169</v>
      </c>
      <c r="C1409" s="122" t="s">
        <v>1201</v>
      </c>
      <c r="D1409" s="161" t="s">
        <v>171</v>
      </c>
      <c r="E1409" s="123" t="s">
        <v>734</v>
      </c>
      <c r="F1409" s="124" t="s">
        <v>1425</v>
      </c>
      <c r="G1409" s="133" t="s">
        <v>247</v>
      </c>
      <c r="H1409" s="134" t="s">
        <v>248</v>
      </c>
      <c r="I1409" s="134" t="s">
        <v>1426</v>
      </c>
      <c r="J1409" s="134" t="s">
        <v>139</v>
      </c>
      <c r="K1409" s="124" t="s">
        <v>140</v>
      </c>
      <c r="L1409" s="184">
        <v>1</v>
      </c>
      <c r="M1409" s="174" t="s">
        <v>250</v>
      </c>
      <c r="N1409" s="184">
        <v>80</v>
      </c>
      <c r="O1409" s="184">
        <v>6</v>
      </c>
      <c r="P1409" s="184" t="s">
        <v>1429</v>
      </c>
      <c r="Q1409" s="174" t="s">
        <v>233</v>
      </c>
      <c r="R1409" s="276" t="s">
        <v>240</v>
      </c>
      <c r="S1409" s="276" t="s">
        <v>233</v>
      </c>
      <c r="T1409" s="276" t="s">
        <v>240</v>
      </c>
      <c r="U1409" s="174" t="s">
        <v>1427</v>
      </c>
      <c r="V1409" s="276" t="s">
        <v>240</v>
      </c>
      <c r="W1409" s="130"/>
      <c r="X1409" s="125">
        <v>572.96</v>
      </c>
      <c r="Y1409" s="126">
        <v>560.08000000000004</v>
      </c>
      <c r="Z1409" s="127">
        <v>68.568406199999998</v>
      </c>
      <c r="AA1409" s="128" t="s">
        <v>252</v>
      </c>
      <c r="AB1409" s="125">
        <v>55.248615000000001</v>
      </c>
      <c r="AC1409" s="128" t="s">
        <v>252</v>
      </c>
      <c r="AD1409" s="129">
        <v>75.10532400000001</v>
      </c>
      <c r="AE1409" s="125" t="s">
        <v>252</v>
      </c>
      <c r="AF1409" s="125">
        <v>54.590929999999993</v>
      </c>
      <c r="AG1409" s="125" t="s">
        <v>252</v>
      </c>
      <c r="AH1409" s="125">
        <v>16.926279999999998</v>
      </c>
      <c r="AI1409" s="125" t="s">
        <v>252</v>
      </c>
      <c r="AJ1409" s="125">
        <v>0</v>
      </c>
      <c r="AK1409" s="125">
        <v>0</v>
      </c>
      <c r="AL1409" s="125">
        <v>0</v>
      </c>
      <c r="AM1409" s="125">
        <v>0</v>
      </c>
      <c r="AN1409" s="125">
        <v>0</v>
      </c>
      <c r="AO1409" s="125">
        <v>0</v>
      </c>
      <c r="AP1409" s="125"/>
      <c r="AQ1409" s="125"/>
      <c r="AR1409" s="125">
        <v>51.587400000000002</v>
      </c>
      <c r="AS1409" s="125" t="s">
        <v>252</v>
      </c>
      <c r="AT1409" s="125">
        <v>38.423124000000001</v>
      </c>
      <c r="AU1409" s="125" t="s">
        <v>252</v>
      </c>
      <c r="AV1409" s="125">
        <v>64.131792000000004</v>
      </c>
      <c r="AW1409" s="125" t="s">
        <v>252</v>
      </c>
      <c r="AX1409" s="125">
        <f t="shared" si="9"/>
        <v>424.58187120000002</v>
      </c>
      <c r="AY1409" s="125">
        <f>0.0033+0.0041+0.0014+0.0017+0.0061+0.007+0.004+0.001+0.0039+0.0546+0.0062+0.0011+0.3339+0.0052+0.0765</f>
        <v>0.51</v>
      </c>
      <c r="AZ1409" s="181" t="s">
        <v>1429</v>
      </c>
      <c r="BA1409" s="181" t="s">
        <v>254</v>
      </c>
      <c r="BB1409" s="181">
        <v>1</v>
      </c>
      <c r="BC1409" s="125" t="s">
        <v>255</v>
      </c>
    </row>
    <row r="1410" spans="1:55" ht="16.350000000000001" customHeight="1" outlineLevel="1">
      <c r="A1410" s="92">
        <v>1400</v>
      </c>
      <c r="B1410" s="99" t="s">
        <v>1170</v>
      </c>
      <c r="C1410" s="122" t="s">
        <v>1203</v>
      </c>
      <c r="D1410" s="161">
        <v>101</v>
      </c>
      <c r="E1410" s="123" t="s">
        <v>734</v>
      </c>
      <c r="F1410" s="124" t="s">
        <v>1425</v>
      </c>
      <c r="G1410" s="133" t="s">
        <v>281</v>
      </c>
      <c r="H1410" s="134" t="s">
        <v>248</v>
      </c>
      <c r="I1410" s="134" t="s">
        <v>1426</v>
      </c>
      <c r="J1410" s="134" t="s">
        <v>139</v>
      </c>
      <c r="K1410" s="124" t="s">
        <v>140</v>
      </c>
      <c r="L1410" s="184">
        <v>1</v>
      </c>
      <c r="M1410" s="174" t="s">
        <v>250</v>
      </c>
      <c r="N1410" s="184">
        <v>80</v>
      </c>
      <c r="O1410" s="184">
        <v>6</v>
      </c>
      <c r="P1410" s="184" t="s">
        <v>1429</v>
      </c>
      <c r="Q1410" s="174" t="s">
        <v>233</v>
      </c>
      <c r="R1410" s="276" t="s">
        <v>240</v>
      </c>
      <c r="S1410" s="276" t="s">
        <v>233</v>
      </c>
      <c r="T1410" s="276" t="s">
        <v>240</v>
      </c>
      <c r="U1410" s="174" t="s">
        <v>1427</v>
      </c>
      <c r="V1410" s="276" t="s">
        <v>240</v>
      </c>
      <c r="W1410" s="130"/>
      <c r="X1410" s="125">
        <v>1794.87</v>
      </c>
      <c r="Y1410" s="126">
        <v>1730.2</v>
      </c>
      <c r="Z1410" s="127">
        <v>257.95522620000003</v>
      </c>
      <c r="AA1410" s="128" t="s">
        <v>252</v>
      </c>
      <c r="AB1410" s="125">
        <v>173.849085</v>
      </c>
      <c r="AC1410" s="128" t="s">
        <v>252</v>
      </c>
      <c r="AD1410" s="129">
        <v>248.29477199999999</v>
      </c>
      <c r="AE1410" s="125" t="s">
        <v>252</v>
      </c>
      <c r="AF1410" s="125">
        <v>144.10266200000001</v>
      </c>
      <c r="AG1410" s="125" t="s">
        <v>252</v>
      </c>
      <c r="AH1410" s="125">
        <v>45.922940000000004</v>
      </c>
      <c r="AI1410" s="125" t="s">
        <v>252</v>
      </c>
      <c r="AJ1410" s="125">
        <v>0</v>
      </c>
      <c r="AK1410" s="125">
        <v>0</v>
      </c>
      <c r="AL1410" s="125">
        <v>0</v>
      </c>
      <c r="AM1410" s="125">
        <v>0</v>
      </c>
      <c r="AN1410" s="125">
        <v>0</v>
      </c>
      <c r="AO1410" s="125">
        <v>0</v>
      </c>
      <c r="AP1410" s="125"/>
      <c r="AQ1410" s="125"/>
      <c r="AR1410" s="125">
        <v>154.42911599999999</v>
      </c>
      <c r="AS1410" s="125" t="s">
        <v>252</v>
      </c>
      <c r="AT1410" s="125">
        <v>119.231658</v>
      </c>
      <c r="AU1410" s="125" t="s">
        <v>252</v>
      </c>
      <c r="AV1410" s="125">
        <v>188.78313600000001</v>
      </c>
      <c r="AW1410" s="125" t="s">
        <v>252</v>
      </c>
      <c r="AX1410" s="125">
        <f t="shared" si="9"/>
        <v>1332.5685951999999</v>
      </c>
      <c r="AY1410" s="125">
        <v>0.2</v>
      </c>
      <c r="AZ1410" s="181" t="s">
        <v>1429</v>
      </c>
      <c r="BA1410" s="181" t="s">
        <v>254</v>
      </c>
      <c r="BB1410" s="181">
        <v>1</v>
      </c>
      <c r="BC1410" s="125" t="s">
        <v>255</v>
      </c>
    </row>
    <row r="1411" spans="1:55" ht="16.350000000000001" customHeight="1" outlineLevel="1">
      <c r="A1411" s="92">
        <v>1401</v>
      </c>
      <c r="B1411" s="99" t="s">
        <v>1172</v>
      </c>
      <c r="C1411" s="122" t="s">
        <v>1203</v>
      </c>
      <c r="D1411" s="161">
        <v>103</v>
      </c>
      <c r="E1411" s="123" t="s">
        <v>734</v>
      </c>
      <c r="F1411" s="124" t="s">
        <v>1425</v>
      </c>
      <c r="G1411" s="133" t="s">
        <v>281</v>
      </c>
      <c r="H1411" s="134" t="s">
        <v>248</v>
      </c>
      <c r="I1411" s="134" t="s">
        <v>1426</v>
      </c>
      <c r="J1411" s="134" t="s">
        <v>139</v>
      </c>
      <c r="K1411" s="124" t="s">
        <v>140</v>
      </c>
      <c r="L1411" s="184">
        <v>1</v>
      </c>
      <c r="M1411" s="174" t="s">
        <v>250</v>
      </c>
      <c r="N1411" s="184">
        <v>80</v>
      </c>
      <c r="O1411" s="184">
        <v>6</v>
      </c>
      <c r="P1411" s="184" t="s">
        <v>1429</v>
      </c>
      <c r="Q1411" s="174" t="s">
        <v>233</v>
      </c>
      <c r="R1411" s="276" t="s">
        <v>240</v>
      </c>
      <c r="S1411" s="276" t="s">
        <v>240</v>
      </c>
      <c r="T1411" s="276" t="s">
        <v>233</v>
      </c>
      <c r="U1411" s="174" t="s">
        <v>1427</v>
      </c>
      <c r="V1411" s="276" t="s">
        <v>240</v>
      </c>
      <c r="W1411" s="130"/>
      <c r="X1411" s="125">
        <v>886.47</v>
      </c>
      <c r="Y1411" s="126">
        <v>759.18</v>
      </c>
      <c r="Z1411" s="127">
        <v>110.65724879999999</v>
      </c>
      <c r="AA1411" s="128" t="s">
        <v>252</v>
      </c>
      <c r="AB1411" s="125">
        <v>82.687635</v>
      </c>
      <c r="AC1411" s="128" t="s">
        <v>252</v>
      </c>
      <c r="AD1411" s="129">
        <v>120.75359400000001</v>
      </c>
      <c r="AE1411" s="125" t="s">
        <v>252</v>
      </c>
      <c r="AF1411" s="125">
        <v>55.974479999999993</v>
      </c>
      <c r="AG1411" s="125" t="s">
        <v>252</v>
      </c>
      <c r="AH1411" s="125">
        <v>15.254462999999998</v>
      </c>
      <c r="AI1411" s="125" t="s">
        <v>252</v>
      </c>
      <c r="AJ1411" s="125">
        <v>0</v>
      </c>
      <c r="AK1411" s="125">
        <v>0</v>
      </c>
      <c r="AL1411" s="125">
        <v>0</v>
      </c>
      <c r="AM1411" s="125">
        <v>0</v>
      </c>
      <c r="AN1411" s="125">
        <v>0</v>
      </c>
      <c r="AO1411" s="125">
        <v>0</v>
      </c>
      <c r="AP1411" s="125"/>
      <c r="AQ1411" s="125"/>
      <c r="AR1411" s="125">
        <v>95.741339999999994</v>
      </c>
      <c r="AS1411" s="125" t="s">
        <v>252</v>
      </c>
      <c r="AT1411" s="125">
        <v>78.882642000000004</v>
      </c>
      <c r="AU1411" s="125" t="s">
        <v>252</v>
      </c>
      <c r="AV1411" s="125">
        <v>125.490048</v>
      </c>
      <c r="AW1411" s="125" t="s">
        <v>252</v>
      </c>
      <c r="AX1411" s="125">
        <f t="shared" ref="AX1411" si="11">Z1411+AB1411+AD1411+AF1411+AH1411+AJ1411+AL1411+AN1411+AP1411+AR1411+AT1411+AV1411</f>
        <v>685.44145079999998</v>
      </c>
      <c r="AY1411" s="125">
        <f>0.3+0.008+0.005+0.075+0.017+0.003+0.065+0.007</f>
        <v>0.48000000000000004</v>
      </c>
      <c r="AZ1411" s="181" t="s">
        <v>1429</v>
      </c>
      <c r="BA1411" s="181" t="s">
        <v>254</v>
      </c>
      <c r="BB1411" s="181">
        <v>1</v>
      </c>
      <c r="BC1411" s="125" t="s">
        <v>255</v>
      </c>
    </row>
    <row r="1412" spans="1:55" ht="16.350000000000001" customHeight="1" outlineLevel="1">
      <c r="A1412" s="92">
        <v>1402</v>
      </c>
      <c r="B1412" s="99" t="s">
        <v>1173</v>
      </c>
      <c r="C1412" s="122" t="s">
        <v>1203</v>
      </c>
      <c r="D1412" s="161">
        <v>107</v>
      </c>
      <c r="E1412" s="123" t="s">
        <v>734</v>
      </c>
      <c r="F1412" s="124" t="s">
        <v>1425</v>
      </c>
      <c r="G1412" s="133" t="s">
        <v>247</v>
      </c>
      <c r="H1412" s="134" t="s">
        <v>248</v>
      </c>
      <c r="I1412" s="134" t="s">
        <v>1426</v>
      </c>
      <c r="J1412" s="134" t="s">
        <v>139</v>
      </c>
      <c r="K1412" s="124" t="s">
        <v>140</v>
      </c>
      <c r="L1412" s="184">
        <v>1</v>
      </c>
      <c r="M1412" s="174" t="s">
        <v>250</v>
      </c>
      <c r="N1412" s="184">
        <v>80</v>
      </c>
      <c r="O1412" s="184">
        <v>6</v>
      </c>
      <c r="P1412" s="184" t="s">
        <v>1429</v>
      </c>
      <c r="Q1412" s="174" t="s">
        <v>233</v>
      </c>
      <c r="R1412" s="276" t="s">
        <v>240</v>
      </c>
      <c r="S1412" s="276" t="s">
        <v>233</v>
      </c>
      <c r="T1412" s="276" t="s">
        <v>240</v>
      </c>
      <c r="U1412" s="174" t="s">
        <v>1427</v>
      </c>
      <c r="V1412" s="276" t="s">
        <v>240</v>
      </c>
      <c r="W1412" s="130"/>
      <c r="X1412" s="125">
        <v>2844.04</v>
      </c>
      <c r="Y1412" s="126">
        <v>2678.38</v>
      </c>
      <c r="Z1412" s="127">
        <v>448.14629160000004</v>
      </c>
      <c r="AA1412" s="128" t="s">
        <v>252</v>
      </c>
      <c r="AB1412" s="125">
        <v>284.11573499999997</v>
      </c>
      <c r="AC1412" s="128" t="s">
        <v>252</v>
      </c>
      <c r="AD1412" s="129">
        <v>406.38007800000003</v>
      </c>
      <c r="AE1412" s="125" t="s">
        <v>252</v>
      </c>
      <c r="AF1412" s="125">
        <v>231.01331999999999</v>
      </c>
      <c r="AG1412" s="125" t="s">
        <v>252</v>
      </c>
      <c r="AH1412" s="125">
        <v>49.599550000000001</v>
      </c>
      <c r="AI1412" s="125" t="s">
        <v>252</v>
      </c>
      <c r="AJ1412" s="125">
        <v>0</v>
      </c>
      <c r="AK1412" s="125">
        <v>0</v>
      </c>
      <c r="AL1412" s="125">
        <v>0</v>
      </c>
      <c r="AM1412" s="125">
        <v>0</v>
      </c>
      <c r="AN1412" s="125">
        <v>0</v>
      </c>
      <c r="AO1412" s="125">
        <v>0</v>
      </c>
      <c r="AP1412" s="125"/>
      <c r="AQ1412" s="125"/>
      <c r="AR1412" s="125">
        <v>224.73421199999999</v>
      </c>
      <c r="AS1412" s="125" t="s">
        <v>252</v>
      </c>
      <c r="AT1412" s="125">
        <v>192.123513</v>
      </c>
      <c r="AU1412" s="125" t="s">
        <v>252</v>
      </c>
      <c r="AV1412" s="125">
        <v>279.977664</v>
      </c>
      <c r="AW1412" s="125" t="s">
        <v>252</v>
      </c>
      <c r="AX1412" s="125">
        <f t="shared" si="9"/>
        <v>2116.0903636000003</v>
      </c>
      <c r="AY1412" s="125">
        <f>0.0021+0.1581+0.0069+0.0029</f>
        <v>0.16999999999999998</v>
      </c>
      <c r="AZ1412" s="181" t="s">
        <v>1429</v>
      </c>
      <c r="BA1412" s="181" t="s">
        <v>254</v>
      </c>
      <c r="BB1412" s="181">
        <v>1</v>
      </c>
      <c r="BC1412" s="125" t="s">
        <v>255</v>
      </c>
    </row>
    <row r="1413" spans="1:55" ht="16.350000000000001" customHeight="1" outlineLevel="1">
      <c r="A1413" s="92">
        <v>1403</v>
      </c>
      <c r="B1413" s="99" t="s">
        <v>1174</v>
      </c>
      <c r="C1413" s="122" t="s">
        <v>1203</v>
      </c>
      <c r="D1413" s="161">
        <v>109</v>
      </c>
      <c r="E1413" s="123" t="s">
        <v>734</v>
      </c>
      <c r="F1413" s="124" t="s">
        <v>1425</v>
      </c>
      <c r="G1413" s="133" t="s">
        <v>247</v>
      </c>
      <c r="H1413" s="134" t="s">
        <v>248</v>
      </c>
      <c r="I1413" s="134" t="s">
        <v>1426</v>
      </c>
      <c r="J1413" s="134" t="s">
        <v>139</v>
      </c>
      <c r="K1413" s="124" t="s">
        <v>140</v>
      </c>
      <c r="L1413" s="184">
        <v>1</v>
      </c>
      <c r="M1413" s="174" t="s">
        <v>250</v>
      </c>
      <c r="N1413" s="184">
        <v>80</v>
      </c>
      <c r="O1413" s="184">
        <v>6</v>
      </c>
      <c r="P1413" s="184" t="s">
        <v>1429</v>
      </c>
      <c r="Q1413" s="174" t="s">
        <v>233</v>
      </c>
      <c r="R1413" s="276" t="s">
        <v>240</v>
      </c>
      <c r="S1413" s="276" t="s">
        <v>233</v>
      </c>
      <c r="T1413" s="276" t="s">
        <v>240</v>
      </c>
      <c r="U1413" s="174" t="s">
        <v>1427</v>
      </c>
      <c r="V1413" s="276" t="s">
        <v>240</v>
      </c>
      <c r="W1413" s="130"/>
      <c r="X1413" s="125">
        <v>2821.37</v>
      </c>
      <c r="Y1413" s="126">
        <v>2695.59</v>
      </c>
      <c r="Z1413" s="127">
        <v>426.99377279999999</v>
      </c>
      <c r="AA1413" s="128" t="s">
        <v>252</v>
      </c>
      <c r="AB1413" s="125">
        <v>262.25180999999998</v>
      </c>
      <c r="AC1413" s="128" t="s">
        <v>252</v>
      </c>
      <c r="AD1413" s="129">
        <v>344.13404400000002</v>
      </c>
      <c r="AE1413" s="125" t="s">
        <v>252</v>
      </c>
      <c r="AF1413" s="125">
        <v>207.38228599999999</v>
      </c>
      <c r="AG1413" s="125" t="s">
        <v>252</v>
      </c>
      <c r="AH1413" s="125">
        <v>68.294764999999998</v>
      </c>
      <c r="AI1413" s="125" t="s">
        <v>252</v>
      </c>
      <c r="AJ1413" s="125">
        <v>0</v>
      </c>
      <c r="AK1413" s="125">
        <v>0</v>
      </c>
      <c r="AL1413" s="125">
        <v>0</v>
      </c>
      <c r="AM1413" s="125">
        <v>0</v>
      </c>
      <c r="AN1413" s="125">
        <v>0</v>
      </c>
      <c r="AO1413" s="125">
        <v>0</v>
      </c>
      <c r="AP1413" s="125"/>
      <c r="AQ1413" s="125"/>
      <c r="AR1413" s="125">
        <v>201.77578800000001</v>
      </c>
      <c r="AS1413" s="125" t="s">
        <v>252</v>
      </c>
      <c r="AT1413" s="125">
        <v>188.34276600000001</v>
      </c>
      <c r="AU1413" s="125" t="s">
        <v>252</v>
      </c>
      <c r="AV1413" s="125">
        <v>263.22849600000001</v>
      </c>
      <c r="AW1413" s="125" t="s">
        <v>252</v>
      </c>
      <c r="AX1413" s="125">
        <f t="shared" si="9"/>
        <v>1962.4037278000001</v>
      </c>
      <c r="AY1413" s="125">
        <f>0.4216+0.0325+0.047+0.0042+0.0057+0.019</f>
        <v>0.53</v>
      </c>
      <c r="AZ1413" s="181" t="s">
        <v>1429</v>
      </c>
      <c r="BA1413" s="181" t="s">
        <v>254</v>
      </c>
      <c r="BB1413" s="181">
        <v>1</v>
      </c>
      <c r="BC1413" s="125" t="s">
        <v>255</v>
      </c>
    </row>
    <row r="1414" spans="1:55" ht="16.350000000000001" customHeight="1" outlineLevel="1">
      <c r="A1414" s="92">
        <v>1404</v>
      </c>
      <c r="B1414" s="99" t="s">
        <v>1175</v>
      </c>
      <c r="C1414" s="175" t="s">
        <v>1203</v>
      </c>
      <c r="D1414" s="176">
        <v>117</v>
      </c>
      <c r="E1414" s="123" t="s">
        <v>745</v>
      </c>
      <c r="F1414" s="124" t="s">
        <v>1425</v>
      </c>
      <c r="G1414" s="133" t="s">
        <v>247</v>
      </c>
      <c r="H1414" s="134" t="s">
        <v>248</v>
      </c>
      <c r="I1414" s="134" t="s">
        <v>1426</v>
      </c>
      <c r="J1414" s="134" t="s">
        <v>139</v>
      </c>
      <c r="K1414" s="124" t="s">
        <v>140</v>
      </c>
      <c r="L1414" s="184">
        <v>0</v>
      </c>
      <c r="M1414" s="174" t="s">
        <v>250</v>
      </c>
      <c r="N1414" s="184">
        <v>80</v>
      </c>
      <c r="O1414" s="184">
        <v>6</v>
      </c>
      <c r="P1414" s="184" t="s">
        <v>1429</v>
      </c>
      <c r="Q1414" s="174" t="s">
        <v>233</v>
      </c>
      <c r="R1414" s="276" t="s">
        <v>240</v>
      </c>
      <c r="S1414" s="276" t="s">
        <v>233</v>
      </c>
      <c r="T1414" s="276" t="s">
        <v>240</v>
      </c>
      <c r="U1414" s="174" t="s">
        <v>1427</v>
      </c>
      <c r="V1414" s="276" t="s">
        <v>240</v>
      </c>
      <c r="W1414" s="130"/>
      <c r="X1414" s="125">
        <v>1769.37</v>
      </c>
      <c r="Y1414" s="126">
        <v>1704.02</v>
      </c>
      <c r="Z1414" s="127">
        <v>268.7909196</v>
      </c>
      <c r="AA1414" s="128" t="s">
        <v>252</v>
      </c>
      <c r="AB1414" s="125">
        <v>165.12822</v>
      </c>
      <c r="AC1414" s="128" t="s">
        <v>252</v>
      </c>
      <c r="AD1414" s="129">
        <v>216.645894</v>
      </c>
      <c r="AE1414" s="125" t="s">
        <v>252</v>
      </c>
      <c r="AF1414" s="125">
        <v>130.63083799999998</v>
      </c>
      <c r="AG1414" s="125" t="s">
        <v>252</v>
      </c>
      <c r="AH1414" s="125">
        <v>43.189761999999995</v>
      </c>
      <c r="AI1414" s="125" t="s">
        <v>252</v>
      </c>
      <c r="AJ1414" s="125">
        <v>0</v>
      </c>
      <c r="AK1414" s="125">
        <v>0</v>
      </c>
      <c r="AL1414" s="125">
        <v>0</v>
      </c>
      <c r="AM1414" s="125">
        <v>0</v>
      </c>
      <c r="AN1414" s="125">
        <v>0</v>
      </c>
      <c r="AO1414" s="125">
        <v>0</v>
      </c>
      <c r="AP1414" s="125"/>
      <c r="AQ1414" s="125"/>
      <c r="AR1414" s="125">
        <v>127.48180799999999</v>
      </c>
      <c r="AS1414" s="125" t="s">
        <v>252</v>
      </c>
      <c r="AT1414" s="125">
        <v>118.80543600000001</v>
      </c>
      <c r="AU1414" s="125" t="s">
        <v>252</v>
      </c>
      <c r="AV1414" s="125">
        <v>165.78936000000002</v>
      </c>
      <c r="AW1414" s="125" t="s">
        <v>252</v>
      </c>
      <c r="AX1414" s="125">
        <f t="shared" si="9"/>
        <v>1236.4622376</v>
      </c>
      <c r="AY1414" s="274">
        <v>0.51</v>
      </c>
      <c r="AZ1414" s="181" t="s">
        <v>1429</v>
      </c>
      <c r="BA1414" s="181" t="s">
        <v>254</v>
      </c>
      <c r="BB1414" s="181">
        <v>1</v>
      </c>
      <c r="BC1414" s="125" t="s">
        <v>255</v>
      </c>
    </row>
    <row r="1415" spans="1:55" ht="16.350000000000001" customHeight="1" outlineLevel="1">
      <c r="A1415" s="92">
        <v>1405</v>
      </c>
      <c r="B1415" s="99" t="s">
        <v>1177</v>
      </c>
      <c r="C1415" s="122" t="s">
        <v>1203</v>
      </c>
      <c r="D1415" s="161">
        <v>121</v>
      </c>
      <c r="E1415" s="123" t="s">
        <v>734</v>
      </c>
      <c r="F1415" s="124" t="s">
        <v>1425</v>
      </c>
      <c r="G1415" s="133" t="s">
        <v>247</v>
      </c>
      <c r="H1415" s="134" t="s">
        <v>248</v>
      </c>
      <c r="I1415" s="134" t="s">
        <v>1426</v>
      </c>
      <c r="J1415" s="134" t="s">
        <v>139</v>
      </c>
      <c r="K1415" s="124" t="s">
        <v>140</v>
      </c>
      <c r="L1415" s="184">
        <v>1</v>
      </c>
      <c r="M1415" s="174" t="s">
        <v>250</v>
      </c>
      <c r="N1415" s="184">
        <v>80</v>
      </c>
      <c r="O1415" s="184">
        <v>6</v>
      </c>
      <c r="P1415" s="184" t="s">
        <v>1429</v>
      </c>
      <c r="Q1415" s="174" t="s">
        <v>240</v>
      </c>
      <c r="R1415" s="276" t="s">
        <v>240</v>
      </c>
      <c r="S1415" s="276" t="s">
        <v>233</v>
      </c>
      <c r="T1415" s="276" t="s">
        <v>240</v>
      </c>
      <c r="U1415" s="174" t="s">
        <v>1427</v>
      </c>
      <c r="V1415" s="276" t="s">
        <v>233</v>
      </c>
      <c r="W1415" s="130"/>
      <c r="X1415" s="125">
        <v>886.47</v>
      </c>
      <c r="Y1415" s="126">
        <v>759.18</v>
      </c>
      <c r="Z1415" s="127">
        <v>110.65724879999999</v>
      </c>
      <c r="AA1415" s="128" t="s">
        <v>252</v>
      </c>
      <c r="AB1415" s="125">
        <v>82.687635</v>
      </c>
      <c r="AC1415" s="128" t="s">
        <v>252</v>
      </c>
      <c r="AD1415" s="129">
        <v>120.75359400000001</v>
      </c>
      <c r="AE1415" s="125" t="s">
        <v>252</v>
      </c>
      <c r="AF1415" s="125">
        <v>55.974479999999993</v>
      </c>
      <c r="AG1415" s="125" t="s">
        <v>252</v>
      </c>
      <c r="AH1415" s="125">
        <v>15.254462999999998</v>
      </c>
      <c r="AI1415" s="125" t="s">
        <v>252</v>
      </c>
      <c r="AJ1415" s="125">
        <v>0</v>
      </c>
      <c r="AK1415" s="125">
        <v>0</v>
      </c>
      <c r="AL1415" s="125">
        <v>0</v>
      </c>
      <c r="AM1415" s="125">
        <v>0</v>
      </c>
      <c r="AN1415" s="125">
        <v>0</v>
      </c>
      <c r="AO1415" s="125">
        <v>0</v>
      </c>
      <c r="AP1415" s="125"/>
      <c r="AQ1415" s="125"/>
      <c r="AR1415" s="125">
        <v>95.741339999999994</v>
      </c>
      <c r="AS1415" s="125" t="s">
        <v>252</v>
      </c>
      <c r="AT1415" s="125">
        <v>78.882642000000004</v>
      </c>
      <c r="AU1415" s="125" t="s">
        <v>252</v>
      </c>
      <c r="AV1415" s="125">
        <v>125.490048</v>
      </c>
      <c r="AW1415" s="125" t="s">
        <v>252</v>
      </c>
      <c r="AX1415" s="125">
        <f t="shared" ref="AX1415" si="12">Z1415+AB1415+AD1415+AF1415+AH1415+AJ1415+AL1415+AN1415+AP1415+AR1415+AT1415+AV1415</f>
        <v>685.44145079999998</v>
      </c>
      <c r="AY1415" s="274">
        <f>0.3+0.008+0.005+0.075+0.017+0.003+0.065+0.007</f>
        <v>0.48000000000000004</v>
      </c>
      <c r="AZ1415" s="181" t="s">
        <v>1429</v>
      </c>
      <c r="BA1415" s="181" t="s">
        <v>254</v>
      </c>
      <c r="BB1415" s="181" t="s">
        <v>1430</v>
      </c>
      <c r="BC1415" s="125" t="s">
        <v>255</v>
      </c>
    </row>
    <row r="1416" spans="1:55" ht="16.350000000000001" customHeight="1" outlineLevel="1">
      <c r="A1416" s="92">
        <v>1406</v>
      </c>
      <c r="B1416" s="99" t="s">
        <v>1179</v>
      </c>
      <c r="C1416" s="122" t="s">
        <v>1203</v>
      </c>
      <c r="D1416" s="161">
        <v>127</v>
      </c>
      <c r="E1416" s="123" t="s">
        <v>734</v>
      </c>
      <c r="F1416" s="124" t="s">
        <v>1425</v>
      </c>
      <c r="G1416" s="133" t="s">
        <v>281</v>
      </c>
      <c r="H1416" s="134" t="s">
        <v>248</v>
      </c>
      <c r="I1416" s="134" t="s">
        <v>1426</v>
      </c>
      <c r="J1416" s="134" t="s">
        <v>139</v>
      </c>
      <c r="K1416" s="124" t="s">
        <v>140</v>
      </c>
      <c r="L1416" s="184">
        <v>1</v>
      </c>
      <c r="M1416" s="174" t="s">
        <v>250</v>
      </c>
      <c r="N1416" s="184">
        <v>80</v>
      </c>
      <c r="O1416" s="184">
        <v>6</v>
      </c>
      <c r="P1416" s="184" t="s">
        <v>1429</v>
      </c>
      <c r="Q1416" s="174" t="s">
        <v>233</v>
      </c>
      <c r="R1416" s="276" t="s">
        <v>240</v>
      </c>
      <c r="S1416" s="276" t="s">
        <v>233</v>
      </c>
      <c r="T1416" s="276" t="s">
        <v>240</v>
      </c>
      <c r="U1416" s="174" t="s">
        <v>1427</v>
      </c>
      <c r="V1416" s="276" t="s">
        <v>240</v>
      </c>
      <c r="W1416" s="130"/>
      <c r="X1416" s="125">
        <v>2397.5500000000002</v>
      </c>
      <c r="Y1416" s="126">
        <v>2252.59</v>
      </c>
      <c r="Z1416" s="127">
        <v>364.86797760000002</v>
      </c>
      <c r="AA1416" s="128" t="s">
        <v>252</v>
      </c>
      <c r="AB1416" s="125">
        <v>230.15178000000003</v>
      </c>
      <c r="AC1416" s="128" t="s">
        <v>252</v>
      </c>
      <c r="AD1416" s="129">
        <v>330.19651800000003</v>
      </c>
      <c r="AE1416" s="125" t="s">
        <v>252</v>
      </c>
      <c r="AF1416" s="125">
        <v>173.87665799999999</v>
      </c>
      <c r="AG1416" s="125" t="s">
        <v>252</v>
      </c>
      <c r="AH1416" s="125">
        <v>71.222178999999997</v>
      </c>
      <c r="AI1416" s="125" t="s">
        <v>252</v>
      </c>
      <c r="AJ1416" s="125">
        <v>0</v>
      </c>
      <c r="AK1416" s="125">
        <v>0</v>
      </c>
      <c r="AL1416" s="125">
        <v>0</v>
      </c>
      <c r="AM1416" s="125">
        <v>0</v>
      </c>
      <c r="AN1416" s="125">
        <v>0</v>
      </c>
      <c r="AO1416" s="125">
        <v>0</v>
      </c>
      <c r="AP1416" s="125"/>
      <c r="AQ1416" s="125"/>
      <c r="AR1416" s="125">
        <v>187.80250799999999</v>
      </c>
      <c r="AS1416" s="125" t="s">
        <v>252</v>
      </c>
      <c r="AT1416" s="125">
        <v>176.17175999999998</v>
      </c>
      <c r="AU1416" s="125" t="s">
        <v>252</v>
      </c>
      <c r="AV1416" s="125">
        <v>226.292304</v>
      </c>
      <c r="AW1416" s="125" t="s">
        <v>252</v>
      </c>
      <c r="AX1416" s="125">
        <f t="shared" ref="AX1416:AX1434" si="13">Z1416+AB1416+AD1416+AF1416+AH1416+AJ1416+AL1416+AN1416+AP1416+AR1416+AT1416+AV1416</f>
        <v>1760.5816846</v>
      </c>
      <c r="AY1416" s="274">
        <f>0.0493+0.5807</f>
        <v>0.63</v>
      </c>
      <c r="AZ1416" s="181" t="s">
        <v>1429</v>
      </c>
      <c r="BA1416" s="181" t="s">
        <v>254</v>
      </c>
      <c r="BB1416" s="181">
        <v>1</v>
      </c>
      <c r="BC1416" s="125" t="s">
        <v>255</v>
      </c>
    </row>
    <row r="1417" spans="1:55" ht="16.350000000000001" customHeight="1" outlineLevel="1">
      <c r="A1417" s="92">
        <v>1407</v>
      </c>
      <c r="B1417" s="99" t="s">
        <v>1181</v>
      </c>
      <c r="C1417" s="122" t="s">
        <v>1203</v>
      </c>
      <c r="D1417" s="161">
        <v>129</v>
      </c>
      <c r="E1417" s="123" t="s">
        <v>734</v>
      </c>
      <c r="F1417" s="124" t="s">
        <v>1425</v>
      </c>
      <c r="G1417" s="133" t="s">
        <v>281</v>
      </c>
      <c r="H1417" s="134" t="s">
        <v>248</v>
      </c>
      <c r="I1417" s="134" t="s">
        <v>1426</v>
      </c>
      <c r="J1417" s="134" t="s">
        <v>139</v>
      </c>
      <c r="K1417" s="124" t="s">
        <v>140</v>
      </c>
      <c r="L1417" s="184">
        <v>1</v>
      </c>
      <c r="M1417" s="174" t="s">
        <v>250</v>
      </c>
      <c r="N1417" s="315">
        <v>80</v>
      </c>
      <c r="O1417" s="315">
        <v>6</v>
      </c>
      <c r="P1417" s="315" t="s">
        <v>1429</v>
      </c>
      <c r="Q1417" s="317" t="s">
        <v>233</v>
      </c>
      <c r="R1417" s="320" t="s">
        <v>240</v>
      </c>
      <c r="S1417" s="320" t="s">
        <v>233</v>
      </c>
      <c r="T1417" s="320" t="s">
        <v>240</v>
      </c>
      <c r="U1417" s="174" t="s">
        <v>1427</v>
      </c>
      <c r="V1417" s="320" t="s">
        <v>240</v>
      </c>
      <c r="W1417" s="130"/>
      <c r="X1417" s="292">
        <v>1014.93</v>
      </c>
      <c r="Y1417" s="295">
        <v>906.35</v>
      </c>
      <c r="Z1417" s="297">
        <v>148.57785179999999</v>
      </c>
      <c r="AA1417" s="299" t="s">
        <v>252</v>
      </c>
      <c r="AB1417" s="292">
        <v>93.689594999999997</v>
      </c>
      <c r="AC1417" s="299" t="s">
        <v>252</v>
      </c>
      <c r="AD1417" s="301">
        <v>134.461332</v>
      </c>
      <c r="AE1417" s="292" t="s">
        <v>252</v>
      </c>
      <c r="AF1417" s="292">
        <v>70.869383999999997</v>
      </c>
      <c r="AG1417" s="292" t="s">
        <v>252</v>
      </c>
      <c r="AH1417" s="292">
        <v>29.294950999999998</v>
      </c>
      <c r="AI1417" s="292" t="s">
        <v>252</v>
      </c>
      <c r="AJ1417" s="292">
        <v>0</v>
      </c>
      <c r="AK1417" s="292">
        <v>0</v>
      </c>
      <c r="AL1417" s="292">
        <v>0</v>
      </c>
      <c r="AM1417" s="292">
        <v>0</v>
      </c>
      <c r="AN1417" s="292">
        <v>0</v>
      </c>
      <c r="AO1417" s="292">
        <v>0</v>
      </c>
      <c r="AP1417" s="292"/>
      <c r="AQ1417" s="292"/>
      <c r="AR1417" s="292">
        <v>77.161752000000007</v>
      </c>
      <c r="AS1417" s="292" t="s">
        <v>252</v>
      </c>
      <c r="AT1417" s="292">
        <v>72.181485000000009</v>
      </c>
      <c r="AU1417" s="292" t="s">
        <v>252</v>
      </c>
      <c r="AV1417" s="292">
        <v>92.191007999999997</v>
      </c>
      <c r="AW1417" s="292" t="s">
        <v>252</v>
      </c>
      <c r="AX1417" s="292">
        <f t="shared" si="13"/>
        <v>718.42735879999987</v>
      </c>
      <c r="AY1417" s="274">
        <f>0.0233+0.3967</f>
        <v>0.42</v>
      </c>
      <c r="AZ1417" s="312" t="s">
        <v>1429</v>
      </c>
      <c r="BA1417" s="312" t="s">
        <v>254</v>
      </c>
      <c r="BB1417" s="312">
        <v>1</v>
      </c>
      <c r="BC1417" s="125" t="s">
        <v>255</v>
      </c>
    </row>
    <row r="1418" spans="1:55" ht="16.350000000000001" customHeight="1" outlineLevel="1">
      <c r="A1418" s="92">
        <v>1408</v>
      </c>
      <c r="B1418" s="99" t="s">
        <v>1183</v>
      </c>
      <c r="C1418" s="122" t="s">
        <v>1203</v>
      </c>
      <c r="D1418" s="161">
        <v>131</v>
      </c>
      <c r="E1418" s="123" t="s">
        <v>734</v>
      </c>
      <c r="F1418" s="124" t="s">
        <v>1425</v>
      </c>
      <c r="G1418" s="133" t="s">
        <v>247</v>
      </c>
      <c r="H1418" s="134" t="s">
        <v>1424</v>
      </c>
      <c r="I1418" s="134" t="s">
        <v>1426</v>
      </c>
      <c r="J1418" s="134" t="s">
        <v>139</v>
      </c>
      <c r="K1418" s="124" t="s">
        <v>140</v>
      </c>
      <c r="L1418" s="184">
        <v>1</v>
      </c>
      <c r="M1418" s="174" t="s">
        <v>250</v>
      </c>
      <c r="N1418" s="315"/>
      <c r="O1418" s="315"/>
      <c r="P1418" s="315"/>
      <c r="Q1418" s="319"/>
      <c r="R1418" s="320"/>
      <c r="S1418" s="320"/>
      <c r="T1418" s="320"/>
      <c r="U1418" s="174" t="s">
        <v>1427</v>
      </c>
      <c r="V1418" s="320"/>
      <c r="W1418" s="130"/>
      <c r="X1418" s="294"/>
      <c r="Y1418" s="296"/>
      <c r="Z1418" s="298"/>
      <c r="AA1418" s="300"/>
      <c r="AB1418" s="294"/>
      <c r="AC1418" s="300"/>
      <c r="AD1418" s="302"/>
      <c r="AE1418" s="294"/>
      <c r="AF1418" s="294"/>
      <c r="AG1418" s="294"/>
      <c r="AH1418" s="294"/>
      <c r="AI1418" s="294"/>
      <c r="AJ1418" s="294"/>
      <c r="AK1418" s="294"/>
      <c r="AL1418" s="294"/>
      <c r="AM1418" s="294"/>
      <c r="AN1418" s="294"/>
      <c r="AO1418" s="294"/>
      <c r="AP1418" s="294"/>
      <c r="AQ1418" s="294"/>
      <c r="AR1418" s="294"/>
      <c r="AS1418" s="294"/>
      <c r="AT1418" s="294"/>
      <c r="AU1418" s="294"/>
      <c r="AV1418" s="294"/>
      <c r="AW1418" s="294"/>
      <c r="AX1418" s="294">
        <f t="shared" si="13"/>
        <v>0</v>
      </c>
      <c r="AY1418" s="274">
        <v>0.85</v>
      </c>
      <c r="AZ1418" s="312"/>
      <c r="BA1418" s="312"/>
      <c r="BB1418" s="312"/>
      <c r="BC1418" s="125" t="s">
        <v>255</v>
      </c>
    </row>
    <row r="1419" spans="1:55" ht="16.350000000000001" customHeight="1" outlineLevel="1">
      <c r="A1419" s="92">
        <v>1409</v>
      </c>
      <c r="B1419" s="99" t="s">
        <v>1185</v>
      </c>
      <c r="C1419" s="122" t="s">
        <v>1203</v>
      </c>
      <c r="D1419" s="161">
        <v>133</v>
      </c>
      <c r="E1419" s="123" t="s">
        <v>734</v>
      </c>
      <c r="F1419" s="124" t="s">
        <v>1425</v>
      </c>
      <c r="G1419" s="133" t="s">
        <v>281</v>
      </c>
      <c r="H1419" s="134" t="s">
        <v>248</v>
      </c>
      <c r="I1419" s="134" t="s">
        <v>1426</v>
      </c>
      <c r="J1419" s="134" t="s">
        <v>139</v>
      </c>
      <c r="K1419" s="124" t="s">
        <v>140</v>
      </c>
      <c r="L1419" s="184">
        <v>1</v>
      </c>
      <c r="M1419" s="174" t="s">
        <v>250</v>
      </c>
      <c r="N1419" s="184">
        <v>57</v>
      </c>
      <c r="O1419" s="314">
        <v>5.5</v>
      </c>
      <c r="P1419" s="314" t="s">
        <v>253</v>
      </c>
      <c r="Q1419" s="317" t="s">
        <v>240</v>
      </c>
      <c r="R1419" s="321" t="s">
        <v>240</v>
      </c>
      <c r="S1419" s="321" t="s">
        <v>233</v>
      </c>
      <c r="T1419" s="321" t="s">
        <v>240</v>
      </c>
      <c r="U1419" s="174" t="s">
        <v>1427</v>
      </c>
      <c r="V1419" s="321" t="s">
        <v>240</v>
      </c>
      <c r="W1419" s="130"/>
      <c r="X1419" s="292">
        <v>1097.53</v>
      </c>
      <c r="Y1419" s="295">
        <v>1614.77</v>
      </c>
      <c r="Z1419" s="297">
        <f>16.39+102.7+2.05+35.44+4.1+28.95+5.6+1.71</f>
        <v>196.93999999999997</v>
      </c>
      <c r="AA1419" s="299" t="s">
        <v>259</v>
      </c>
      <c r="AB1419" s="292">
        <f>33.1+62.2+1.8+33.89+3.54+27.23+4.84+2.99</f>
        <v>169.59</v>
      </c>
      <c r="AC1419" s="299" t="s">
        <v>252</v>
      </c>
      <c r="AD1419" s="301">
        <f>43.2+80.7+2.45+46.15+4.58+35.29+6.27+3.86</f>
        <v>222.50000000000003</v>
      </c>
      <c r="AE1419" s="292" t="s">
        <v>252</v>
      </c>
      <c r="AF1419" s="292">
        <f>16.6+34.1+0.92+17.18+1.94+14.84+2.68+1.64</f>
        <v>89.90000000000002</v>
      </c>
      <c r="AG1419" s="292" t="s">
        <v>252</v>
      </c>
      <c r="AH1419" s="292">
        <f>6.1+11.1+0.37+6.83+0.66+5.15+0.93+0.56</f>
        <v>31.7</v>
      </c>
      <c r="AI1419" s="292" t="s">
        <v>252</v>
      </c>
      <c r="AJ1419" s="292">
        <v>0</v>
      </c>
      <c r="AK1419" s="292">
        <v>0</v>
      </c>
      <c r="AL1419" s="292">
        <v>0</v>
      </c>
      <c r="AM1419" s="292">
        <v>0</v>
      </c>
      <c r="AN1419" s="292">
        <v>0</v>
      </c>
      <c r="AO1419" s="292">
        <v>0</v>
      </c>
      <c r="AP1419" s="292"/>
      <c r="AQ1419" s="292"/>
      <c r="AR1419" s="292">
        <f>16.7+22.22+0.88+16.6+1.83+14.07+2.5+1.55</f>
        <v>76.350000000000009</v>
      </c>
      <c r="AS1419" s="292" t="s">
        <v>252</v>
      </c>
      <c r="AT1419" s="292">
        <f>19.68+47+1.06+19.9+2.22+17.1+3.04+1.88</f>
        <v>111.88000000000001</v>
      </c>
      <c r="AU1419" s="292" t="s">
        <v>252</v>
      </c>
      <c r="AV1419" s="292">
        <f>32.78+37.49+1.55+29+3.16+24.33+4.31+2.65</f>
        <v>135.27000000000001</v>
      </c>
      <c r="AW1419" s="292" t="s">
        <v>252</v>
      </c>
      <c r="AX1419" s="292">
        <f t="shared" si="13"/>
        <v>1034.1300000000001</v>
      </c>
      <c r="AY1419" s="274">
        <v>0.69</v>
      </c>
      <c r="AZ1419" s="313" t="s">
        <v>253</v>
      </c>
      <c r="BA1419" s="313" t="s">
        <v>254</v>
      </c>
      <c r="BB1419" s="313" t="s">
        <v>1430</v>
      </c>
      <c r="BC1419" s="125" t="s">
        <v>255</v>
      </c>
    </row>
    <row r="1420" spans="1:55" ht="16.350000000000001" customHeight="1" outlineLevel="1">
      <c r="A1420" s="92">
        <v>1410</v>
      </c>
      <c r="B1420" s="99" t="s">
        <v>1187</v>
      </c>
      <c r="C1420" s="122" t="s">
        <v>1203</v>
      </c>
      <c r="D1420" s="161">
        <v>135</v>
      </c>
      <c r="E1420" s="123" t="s">
        <v>734</v>
      </c>
      <c r="F1420" s="124" t="s">
        <v>1425</v>
      </c>
      <c r="G1420" s="133" t="s">
        <v>281</v>
      </c>
      <c r="H1420" s="334" t="s">
        <v>248</v>
      </c>
      <c r="I1420" s="334" t="s">
        <v>1426</v>
      </c>
      <c r="J1420" s="317" t="s">
        <v>139</v>
      </c>
      <c r="K1420" s="317" t="s">
        <v>140</v>
      </c>
      <c r="L1420" s="315">
        <v>1</v>
      </c>
      <c r="M1420" s="334" t="s">
        <v>250</v>
      </c>
      <c r="N1420" s="184">
        <v>57</v>
      </c>
      <c r="O1420" s="314"/>
      <c r="P1420" s="314"/>
      <c r="Q1420" s="318"/>
      <c r="R1420" s="321"/>
      <c r="S1420" s="321"/>
      <c r="T1420" s="321"/>
      <c r="U1420" s="334" t="s">
        <v>1427</v>
      </c>
      <c r="V1420" s="321"/>
      <c r="W1420" s="189"/>
      <c r="X1420" s="293"/>
      <c r="Y1420" s="308"/>
      <c r="Z1420" s="309"/>
      <c r="AA1420" s="310"/>
      <c r="AB1420" s="293"/>
      <c r="AC1420" s="310"/>
      <c r="AD1420" s="311"/>
      <c r="AE1420" s="293"/>
      <c r="AF1420" s="293"/>
      <c r="AG1420" s="293"/>
      <c r="AH1420" s="293"/>
      <c r="AI1420" s="293"/>
      <c r="AJ1420" s="293"/>
      <c r="AK1420" s="293"/>
      <c r="AL1420" s="293"/>
      <c r="AM1420" s="293"/>
      <c r="AN1420" s="293"/>
      <c r="AO1420" s="293"/>
      <c r="AP1420" s="293"/>
      <c r="AQ1420" s="293"/>
      <c r="AR1420" s="293"/>
      <c r="AS1420" s="293"/>
      <c r="AT1420" s="293"/>
      <c r="AU1420" s="293"/>
      <c r="AV1420" s="293"/>
      <c r="AW1420" s="293"/>
      <c r="AX1420" s="293">
        <f t="shared" si="13"/>
        <v>0</v>
      </c>
      <c r="AY1420" s="292">
        <v>0.3</v>
      </c>
      <c r="AZ1420" s="313"/>
      <c r="BA1420" s="313"/>
      <c r="BB1420" s="313"/>
      <c r="BC1420" s="336" t="s">
        <v>255</v>
      </c>
    </row>
    <row r="1421" spans="1:55" ht="16.350000000000001" customHeight="1" outlineLevel="1">
      <c r="A1421" s="92">
        <v>1411</v>
      </c>
      <c r="B1421" s="99" t="s">
        <v>1189</v>
      </c>
      <c r="C1421" s="122" t="s">
        <v>1203</v>
      </c>
      <c r="D1421" s="161">
        <v>135</v>
      </c>
      <c r="E1421" s="123" t="s">
        <v>737</v>
      </c>
      <c r="F1421" s="124" t="s">
        <v>1425</v>
      </c>
      <c r="G1421" s="133" t="s">
        <v>247</v>
      </c>
      <c r="H1421" s="335"/>
      <c r="I1421" s="335"/>
      <c r="J1421" s="319"/>
      <c r="K1421" s="319"/>
      <c r="L1421" s="315"/>
      <c r="M1421" s="335"/>
      <c r="N1421" s="184">
        <v>76</v>
      </c>
      <c r="O1421" s="314"/>
      <c r="P1421" s="314"/>
      <c r="Q1421" s="319"/>
      <c r="R1421" s="321"/>
      <c r="S1421" s="321"/>
      <c r="T1421" s="321"/>
      <c r="U1421" s="335"/>
      <c r="V1421" s="321"/>
      <c r="W1421" s="190"/>
      <c r="X1421" s="294"/>
      <c r="Y1421" s="296"/>
      <c r="Z1421" s="298"/>
      <c r="AA1421" s="300"/>
      <c r="AB1421" s="294"/>
      <c r="AC1421" s="300"/>
      <c r="AD1421" s="302"/>
      <c r="AE1421" s="294"/>
      <c r="AF1421" s="294"/>
      <c r="AG1421" s="294"/>
      <c r="AH1421" s="294"/>
      <c r="AI1421" s="294"/>
      <c r="AJ1421" s="294"/>
      <c r="AK1421" s="294"/>
      <c r="AL1421" s="294"/>
      <c r="AM1421" s="294"/>
      <c r="AN1421" s="294"/>
      <c r="AO1421" s="294"/>
      <c r="AP1421" s="294"/>
      <c r="AQ1421" s="294"/>
      <c r="AR1421" s="294"/>
      <c r="AS1421" s="294"/>
      <c r="AT1421" s="294"/>
      <c r="AU1421" s="294"/>
      <c r="AV1421" s="294"/>
      <c r="AW1421" s="294"/>
      <c r="AX1421" s="294">
        <f t="shared" si="13"/>
        <v>0</v>
      </c>
      <c r="AY1421" s="294"/>
      <c r="AZ1421" s="313"/>
      <c r="BA1421" s="313"/>
      <c r="BB1421" s="313"/>
      <c r="BC1421" s="337"/>
    </row>
    <row r="1422" spans="1:55" ht="16.350000000000001" customHeight="1" outlineLevel="1">
      <c r="A1422" s="92">
        <v>1412</v>
      </c>
      <c r="B1422" s="99" t="s">
        <v>1191</v>
      </c>
      <c r="C1422" s="122" t="s">
        <v>1203</v>
      </c>
      <c r="D1422" s="161">
        <v>137</v>
      </c>
      <c r="E1422" s="123" t="s">
        <v>734</v>
      </c>
      <c r="F1422" s="124" t="s">
        <v>1234</v>
      </c>
      <c r="G1422" s="133" t="s">
        <v>247</v>
      </c>
      <c r="H1422" s="317" t="s">
        <v>1424</v>
      </c>
      <c r="I1422" s="317" t="s">
        <v>1426</v>
      </c>
      <c r="J1422" s="317" t="s">
        <v>139</v>
      </c>
      <c r="K1422" s="317" t="s">
        <v>140</v>
      </c>
      <c r="L1422" s="314">
        <v>4</v>
      </c>
      <c r="M1422" s="317" t="s">
        <v>250</v>
      </c>
      <c r="N1422" s="184">
        <v>100</v>
      </c>
      <c r="O1422" s="184">
        <v>6</v>
      </c>
      <c r="P1422" s="184" t="s">
        <v>1429</v>
      </c>
      <c r="Q1422" s="174" t="s">
        <v>233</v>
      </c>
      <c r="R1422" s="276" t="s">
        <v>240</v>
      </c>
      <c r="S1422" s="276" t="s">
        <v>233</v>
      </c>
      <c r="T1422" s="276" t="s">
        <v>240</v>
      </c>
      <c r="U1422" s="317" t="s">
        <v>1428</v>
      </c>
      <c r="V1422" s="276" t="s">
        <v>240</v>
      </c>
      <c r="W1422" s="165"/>
      <c r="X1422" s="274">
        <v>883.54</v>
      </c>
      <c r="Y1422" s="126">
        <v>1198.3800000000001</v>
      </c>
      <c r="Z1422" s="127">
        <v>117.16039439999999</v>
      </c>
      <c r="AA1422" s="128" t="s">
        <v>259</v>
      </c>
      <c r="AB1422" s="274">
        <v>111.328965</v>
      </c>
      <c r="AC1422" s="128" t="s">
        <v>259</v>
      </c>
      <c r="AD1422" s="129">
        <v>118.61479800000001</v>
      </c>
      <c r="AE1422" s="274" t="s">
        <v>259</v>
      </c>
      <c r="AF1422" s="274">
        <v>107.735062</v>
      </c>
      <c r="AG1422" s="274" t="s">
        <v>259</v>
      </c>
      <c r="AH1422" s="274">
        <v>90.458480000000009</v>
      </c>
      <c r="AI1422" s="274" t="s">
        <v>259</v>
      </c>
      <c r="AJ1422" s="274">
        <v>0</v>
      </c>
      <c r="AK1422" s="274">
        <v>0</v>
      </c>
      <c r="AL1422" s="274">
        <v>0</v>
      </c>
      <c r="AM1422" s="274">
        <v>0</v>
      </c>
      <c r="AN1422" s="274">
        <v>0</v>
      </c>
      <c r="AO1422" s="274">
        <v>0</v>
      </c>
      <c r="AP1422" s="274"/>
      <c r="AQ1422" s="274"/>
      <c r="AR1422" s="274">
        <v>93.637224000000003</v>
      </c>
      <c r="AS1422" s="274" t="s">
        <v>259</v>
      </c>
      <c r="AT1422" s="274">
        <v>88.669961999999998</v>
      </c>
      <c r="AU1422" s="274" t="s">
        <v>252</v>
      </c>
      <c r="AV1422" s="274">
        <v>133.56153600000002</v>
      </c>
      <c r="AW1422" s="274" t="s">
        <v>252</v>
      </c>
      <c r="AX1422" s="274">
        <f t="shared" si="13"/>
        <v>861.16642139999988</v>
      </c>
      <c r="AY1422" s="292">
        <f>0.30211+0.09936+0.08732+0.02194</f>
        <v>0.51073000000000002</v>
      </c>
      <c r="AZ1422" s="181" t="s">
        <v>1429</v>
      </c>
      <c r="BA1422" s="181" t="s">
        <v>254</v>
      </c>
      <c r="BB1422" s="181" t="s">
        <v>1430</v>
      </c>
      <c r="BC1422" s="292" t="s">
        <v>255</v>
      </c>
    </row>
    <row r="1423" spans="1:55" ht="16.350000000000001" customHeight="1" outlineLevel="1">
      <c r="A1423" s="92">
        <v>1413</v>
      </c>
      <c r="B1423" s="99" t="s">
        <v>1193</v>
      </c>
      <c r="C1423" s="122" t="s">
        <v>1203</v>
      </c>
      <c r="D1423" s="161">
        <v>137</v>
      </c>
      <c r="E1423" s="123" t="s">
        <v>737</v>
      </c>
      <c r="F1423" s="124" t="s">
        <v>1234</v>
      </c>
      <c r="G1423" s="133" t="s">
        <v>247</v>
      </c>
      <c r="H1423" s="318"/>
      <c r="I1423" s="318"/>
      <c r="J1423" s="318"/>
      <c r="K1423" s="318"/>
      <c r="L1423" s="314"/>
      <c r="M1423" s="318"/>
      <c r="N1423" s="184">
        <v>89</v>
      </c>
      <c r="O1423" s="184">
        <v>6</v>
      </c>
      <c r="P1423" s="184" t="s">
        <v>1429</v>
      </c>
      <c r="Q1423" s="174" t="s">
        <v>233</v>
      </c>
      <c r="R1423" s="276" t="s">
        <v>240</v>
      </c>
      <c r="S1423" s="276" t="s">
        <v>233</v>
      </c>
      <c r="T1423" s="276" t="s">
        <v>240</v>
      </c>
      <c r="U1423" s="318"/>
      <c r="V1423" s="276" t="s">
        <v>240</v>
      </c>
      <c r="W1423" s="169"/>
      <c r="X1423" s="274">
        <v>826.48</v>
      </c>
      <c r="Y1423" s="126">
        <v>809.6</v>
      </c>
      <c r="Z1423" s="127">
        <v>109.86165120000001</v>
      </c>
      <c r="AA1423" s="128" t="s">
        <v>252</v>
      </c>
      <c r="AB1423" s="274">
        <v>77.441940000000002</v>
      </c>
      <c r="AC1423" s="128" t="s">
        <v>252</v>
      </c>
      <c r="AD1423" s="129">
        <v>107.07237000000001</v>
      </c>
      <c r="AE1423" s="274" t="s">
        <v>252</v>
      </c>
      <c r="AF1423" s="274">
        <v>57.777047999999994</v>
      </c>
      <c r="AG1423" s="274" t="s">
        <v>252</v>
      </c>
      <c r="AH1423" s="274">
        <v>11.501545999999999</v>
      </c>
      <c r="AI1423" s="274" t="s">
        <v>252</v>
      </c>
      <c r="AJ1423" s="274">
        <v>0</v>
      </c>
      <c r="AK1423" s="274">
        <v>0</v>
      </c>
      <c r="AL1423" s="274">
        <v>0</v>
      </c>
      <c r="AM1423" s="274">
        <v>0</v>
      </c>
      <c r="AN1423" s="274">
        <v>0</v>
      </c>
      <c r="AO1423" s="274">
        <v>0</v>
      </c>
      <c r="AP1423" s="274"/>
      <c r="AQ1423" s="274"/>
      <c r="AR1423" s="274">
        <v>64.66704</v>
      </c>
      <c r="AS1423" s="274" t="s">
        <v>252</v>
      </c>
      <c r="AT1423" s="274">
        <v>47.594789999999996</v>
      </c>
      <c r="AU1423" s="274" t="s">
        <v>252</v>
      </c>
      <c r="AV1423" s="274">
        <v>69.778512000000006</v>
      </c>
      <c r="AW1423" s="274" t="s">
        <v>252</v>
      </c>
      <c r="AX1423" s="274">
        <f t="shared" si="13"/>
        <v>545.69489720000001</v>
      </c>
      <c r="AY1423" s="293"/>
      <c r="AZ1423" s="181" t="s">
        <v>1429</v>
      </c>
      <c r="BA1423" s="181" t="s">
        <v>254</v>
      </c>
      <c r="BB1423" s="181">
        <v>1</v>
      </c>
      <c r="BC1423" s="293"/>
    </row>
    <row r="1424" spans="1:55" ht="16.350000000000001" customHeight="1" outlineLevel="1">
      <c r="A1424" s="92">
        <v>1414</v>
      </c>
      <c r="B1424" s="99" t="s">
        <v>1196</v>
      </c>
      <c r="C1424" s="122" t="s">
        <v>1203</v>
      </c>
      <c r="D1424" s="161">
        <v>137</v>
      </c>
      <c r="E1424" s="123" t="s">
        <v>745</v>
      </c>
      <c r="F1424" s="124" t="s">
        <v>1234</v>
      </c>
      <c r="G1424" s="133" t="s">
        <v>247</v>
      </c>
      <c r="H1424" s="319"/>
      <c r="I1424" s="319"/>
      <c r="J1424" s="319"/>
      <c r="K1424" s="319"/>
      <c r="L1424" s="314"/>
      <c r="M1424" s="319"/>
      <c r="N1424" s="314">
        <v>45.57</v>
      </c>
      <c r="O1424" s="314">
        <v>5.8</v>
      </c>
      <c r="P1424" s="314" t="s">
        <v>253</v>
      </c>
      <c r="Q1424" s="316" t="s">
        <v>240</v>
      </c>
      <c r="R1424" s="321" t="s">
        <v>240</v>
      </c>
      <c r="S1424" s="321" t="s">
        <v>233</v>
      </c>
      <c r="T1424" s="321" t="s">
        <v>240</v>
      </c>
      <c r="U1424" s="319"/>
      <c r="V1424" s="321" t="s">
        <v>240</v>
      </c>
      <c r="W1424" s="166"/>
      <c r="X1424" s="303">
        <v>231.14</v>
      </c>
      <c r="Y1424" s="304">
        <v>225.23</v>
      </c>
      <c r="Z1424" s="305">
        <f>3.49+8.2+3.49+10.72</f>
        <v>25.9</v>
      </c>
      <c r="AA1424" s="306" t="s">
        <v>259</v>
      </c>
      <c r="AB1424" s="303">
        <f>2.8+8.2+3.49+10.72</f>
        <v>25.21</v>
      </c>
      <c r="AC1424" s="306" t="s">
        <v>259</v>
      </c>
      <c r="AD1424" s="307">
        <f>3.4+8.2+3.49+10.72</f>
        <v>25.810000000000002</v>
      </c>
      <c r="AE1424" s="303" t="s">
        <v>259</v>
      </c>
      <c r="AF1424" s="303">
        <f>2.17+8.2+3.49+10.72</f>
        <v>24.58</v>
      </c>
      <c r="AG1424" s="303" t="s">
        <v>259</v>
      </c>
      <c r="AH1424" s="303">
        <f>0.35+2.38+1.01+3.11</f>
        <v>6.85</v>
      </c>
      <c r="AI1424" s="303" t="s">
        <v>259</v>
      </c>
      <c r="AJ1424" s="303">
        <v>0</v>
      </c>
      <c r="AK1424" s="303">
        <v>0</v>
      </c>
      <c r="AL1424" s="303">
        <v>0</v>
      </c>
      <c r="AM1424" s="303">
        <v>0</v>
      </c>
      <c r="AN1424" s="303">
        <v>0</v>
      </c>
      <c r="AO1424" s="303">
        <v>0</v>
      </c>
      <c r="AP1424" s="303"/>
      <c r="AQ1424" s="303"/>
      <c r="AR1424" s="303">
        <f>1.59+8.68+3.69+11.35</f>
        <v>25.31</v>
      </c>
      <c r="AS1424" s="303" t="s">
        <v>252</v>
      </c>
      <c r="AT1424" s="303">
        <f>2.01+8.97+3.81+11.73</f>
        <v>26.520000000000003</v>
      </c>
      <c r="AU1424" s="303" t="s">
        <v>259</v>
      </c>
      <c r="AV1424" s="303">
        <f>2.62+8.97+3.81+11.73</f>
        <v>27.130000000000003</v>
      </c>
      <c r="AW1424" s="303" t="s">
        <v>259</v>
      </c>
      <c r="AX1424" s="303">
        <f t="shared" si="13"/>
        <v>187.31</v>
      </c>
      <c r="AY1424" s="294"/>
      <c r="AZ1424" s="313" t="s">
        <v>253</v>
      </c>
      <c r="BA1424" s="313" t="s">
        <v>254</v>
      </c>
      <c r="BB1424" s="313" t="s">
        <v>1430</v>
      </c>
      <c r="BC1424" s="294"/>
    </row>
    <row r="1425" spans="1:55" ht="16.350000000000001" customHeight="1" outlineLevel="1">
      <c r="A1425" s="92">
        <v>1415</v>
      </c>
      <c r="B1425" s="99" t="s">
        <v>1198</v>
      </c>
      <c r="C1425" s="122" t="s">
        <v>1203</v>
      </c>
      <c r="D1425" s="161">
        <v>139</v>
      </c>
      <c r="E1425" s="123" t="s">
        <v>734</v>
      </c>
      <c r="F1425" s="124" t="s">
        <v>1425</v>
      </c>
      <c r="G1425" s="133" t="s">
        <v>281</v>
      </c>
      <c r="H1425" s="134" t="s">
        <v>248</v>
      </c>
      <c r="I1425" s="134" t="s">
        <v>1426</v>
      </c>
      <c r="J1425" s="134" t="s">
        <v>139</v>
      </c>
      <c r="K1425" s="124" t="s">
        <v>140</v>
      </c>
      <c r="L1425" s="184">
        <v>1</v>
      </c>
      <c r="M1425" s="174" t="s">
        <v>250</v>
      </c>
      <c r="N1425" s="314"/>
      <c r="O1425" s="314"/>
      <c r="P1425" s="314"/>
      <c r="Q1425" s="316"/>
      <c r="R1425" s="321"/>
      <c r="S1425" s="321"/>
      <c r="T1425" s="321"/>
      <c r="U1425" s="174" t="s">
        <v>1427</v>
      </c>
      <c r="V1425" s="321"/>
      <c r="W1425" s="130"/>
      <c r="X1425" s="303"/>
      <c r="Y1425" s="304"/>
      <c r="Z1425" s="305"/>
      <c r="AA1425" s="306"/>
      <c r="AB1425" s="303"/>
      <c r="AC1425" s="306"/>
      <c r="AD1425" s="307"/>
      <c r="AE1425" s="303"/>
      <c r="AF1425" s="303"/>
      <c r="AG1425" s="303"/>
      <c r="AH1425" s="303"/>
      <c r="AI1425" s="303"/>
      <c r="AJ1425" s="303"/>
      <c r="AK1425" s="303"/>
      <c r="AL1425" s="303"/>
      <c r="AM1425" s="303"/>
      <c r="AN1425" s="303"/>
      <c r="AO1425" s="303"/>
      <c r="AP1425" s="303"/>
      <c r="AQ1425" s="303"/>
      <c r="AR1425" s="303"/>
      <c r="AS1425" s="303"/>
      <c r="AT1425" s="303"/>
      <c r="AU1425" s="303"/>
      <c r="AV1425" s="303"/>
      <c r="AW1425" s="303"/>
      <c r="AX1425" s="303">
        <f t="shared" si="13"/>
        <v>0</v>
      </c>
      <c r="AY1425" s="274">
        <f>0.3752+0.0048</f>
        <v>0.38</v>
      </c>
      <c r="AZ1425" s="313"/>
      <c r="BA1425" s="313"/>
      <c r="BB1425" s="313"/>
      <c r="BC1425" s="125" t="s">
        <v>255</v>
      </c>
    </row>
    <row r="1426" spans="1:55" ht="16.350000000000001" customHeight="1" outlineLevel="1">
      <c r="A1426" s="92">
        <v>1416</v>
      </c>
      <c r="B1426" s="99" t="s">
        <v>1200</v>
      </c>
      <c r="C1426" s="122" t="s">
        <v>1203</v>
      </c>
      <c r="D1426" s="161">
        <v>83</v>
      </c>
      <c r="E1426" s="123" t="s">
        <v>734</v>
      </c>
      <c r="F1426" s="124" t="s">
        <v>1425</v>
      </c>
      <c r="G1426" s="133" t="s">
        <v>247</v>
      </c>
      <c r="H1426" s="134" t="s">
        <v>248</v>
      </c>
      <c r="I1426" s="134" t="s">
        <v>1426</v>
      </c>
      <c r="J1426" s="134" t="s">
        <v>139</v>
      </c>
      <c r="K1426" s="134" t="s">
        <v>140</v>
      </c>
      <c r="L1426" s="184">
        <v>1</v>
      </c>
      <c r="M1426" s="174" t="s">
        <v>250</v>
      </c>
      <c r="N1426" s="314"/>
      <c r="O1426" s="314"/>
      <c r="P1426" s="314"/>
      <c r="Q1426" s="316"/>
      <c r="R1426" s="321"/>
      <c r="S1426" s="321"/>
      <c r="T1426" s="321"/>
      <c r="U1426" s="174" t="s">
        <v>1427</v>
      </c>
      <c r="V1426" s="321"/>
      <c r="W1426" s="130"/>
      <c r="X1426" s="303"/>
      <c r="Y1426" s="304"/>
      <c r="Z1426" s="305"/>
      <c r="AA1426" s="306"/>
      <c r="AB1426" s="303"/>
      <c r="AC1426" s="306"/>
      <c r="AD1426" s="307"/>
      <c r="AE1426" s="303"/>
      <c r="AF1426" s="303"/>
      <c r="AG1426" s="303"/>
      <c r="AH1426" s="303"/>
      <c r="AI1426" s="303"/>
      <c r="AJ1426" s="303"/>
      <c r="AK1426" s="303"/>
      <c r="AL1426" s="303"/>
      <c r="AM1426" s="303"/>
      <c r="AN1426" s="303"/>
      <c r="AO1426" s="303"/>
      <c r="AP1426" s="303"/>
      <c r="AQ1426" s="303"/>
      <c r="AR1426" s="303"/>
      <c r="AS1426" s="303"/>
      <c r="AT1426" s="303"/>
      <c r="AU1426" s="303"/>
      <c r="AV1426" s="303"/>
      <c r="AW1426" s="303"/>
      <c r="AX1426" s="303">
        <f t="shared" si="13"/>
        <v>0</v>
      </c>
      <c r="AY1426" s="274">
        <f>0.0118+0.1982</f>
        <v>0.21</v>
      </c>
      <c r="AZ1426" s="313"/>
      <c r="BA1426" s="313"/>
      <c r="BB1426" s="313"/>
      <c r="BC1426" s="125" t="s">
        <v>255</v>
      </c>
    </row>
    <row r="1427" spans="1:55" ht="16.350000000000001" customHeight="1" outlineLevel="1">
      <c r="A1427" s="92">
        <v>1417</v>
      </c>
      <c r="B1427" s="99" t="s">
        <v>1202</v>
      </c>
      <c r="C1427" s="122" t="s">
        <v>1203</v>
      </c>
      <c r="D1427" s="161">
        <v>83</v>
      </c>
      <c r="E1427" s="123" t="s">
        <v>737</v>
      </c>
      <c r="F1427" s="124" t="s">
        <v>1234</v>
      </c>
      <c r="G1427" s="133" t="s">
        <v>247</v>
      </c>
      <c r="H1427" s="316" t="s">
        <v>1424</v>
      </c>
      <c r="I1427" s="316" t="s">
        <v>1426</v>
      </c>
      <c r="J1427" s="316" t="s">
        <v>139</v>
      </c>
      <c r="K1427" s="316" t="s">
        <v>140</v>
      </c>
      <c r="L1427" s="314">
        <v>2</v>
      </c>
      <c r="M1427" s="316" t="s">
        <v>250</v>
      </c>
      <c r="N1427" s="184">
        <v>108</v>
      </c>
      <c r="O1427" s="184">
        <v>5.7</v>
      </c>
      <c r="P1427" s="184" t="s">
        <v>253</v>
      </c>
      <c r="Q1427" s="174" t="s">
        <v>240</v>
      </c>
      <c r="R1427" s="276" t="s">
        <v>240</v>
      </c>
      <c r="S1427" s="276" t="s">
        <v>233</v>
      </c>
      <c r="T1427" s="276" t="s">
        <v>240</v>
      </c>
      <c r="U1427" s="316" t="s">
        <v>1428</v>
      </c>
      <c r="V1427" s="276" t="s">
        <v>240</v>
      </c>
      <c r="W1427" s="165"/>
      <c r="X1427" s="274">
        <v>1195.44</v>
      </c>
      <c r="Y1427" s="126">
        <v>1730.59</v>
      </c>
      <c r="Z1427" s="127">
        <f>22.33+173.78</f>
        <v>196.11</v>
      </c>
      <c r="AA1427" s="128" t="s">
        <v>259</v>
      </c>
      <c r="AB1427" s="274">
        <f>22.33+173.78</f>
        <v>196.11</v>
      </c>
      <c r="AC1427" s="128" t="s">
        <v>259</v>
      </c>
      <c r="AD1427" s="129">
        <f>22.33+173.78</f>
        <v>196.11</v>
      </c>
      <c r="AE1427" s="274" t="s">
        <v>259</v>
      </c>
      <c r="AF1427" s="274">
        <f>22.33+173.78</f>
        <v>196.11</v>
      </c>
      <c r="AG1427" s="274" t="s">
        <v>259</v>
      </c>
      <c r="AH1427" s="274">
        <f>6.48+50.45</f>
        <v>56.930000000000007</v>
      </c>
      <c r="AI1427" s="274" t="s">
        <v>259</v>
      </c>
      <c r="AJ1427" s="274">
        <v>0</v>
      </c>
      <c r="AK1427" s="274">
        <v>0</v>
      </c>
      <c r="AL1427" s="274">
        <v>0</v>
      </c>
      <c r="AM1427" s="274">
        <v>0</v>
      </c>
      <c r="AN1427" s="274">
        <v>0</v>
      </c>
      <c r="AO1427" s="274">
        <v>0</v>
      </c>
      <c r="AP1427" s="274"/>
      <c r="AQ1427" s="274"/>
      <c r="AR1427" s="274">
        <f>20.79+161.8</f>
        <v>182.59</v>
      </c>
      <c r="AS1427" s="274" t="s">
        <v>259</v>
      </c>
      <c r="AT1427" s="274">
        <f>21.48+167.19</f>
        <v>188.67</v>
      </c>
      <c r="AU1427" s="274" t="s">
        <v>259</v>
      </c>
      <c r="AV1427" s="274">
        <f>21.48+167.19</f>
        <v>188.67</v>
      </c>
      <c r="AW1427" s="274" t="s">
        <v>259</v>
      </c>
      <c r="AX1427" s="274">
        <f t="shared" si="13"/>
        <v>1401.3000000000002</v>
      </c>
      <c r="AY1427" s="274">
        <v>5.219E-2</v>
      </c>
      <c r="AZ1427" s="181" t="s">
        <v>253</v>
      </c>
      <c r="BA1427" s="181" t="s">
        <v>254</v>
      </c>
      <c r="BB1427" s="181" t="s">
        <v>1430</v>
      </c>
      <c r="BC1427" s="303" t="s">
        <v>255</v>
      </c>
    </row>
    <row r="1428" spans="1:55" ht="16.350000000000001" customHeight="1" outlineLevel="1">
      <c r="A1428" s="92">
        <v>1418</v>
      </c>
      <c r="B1428" s="99" t="s">
        <v>1204</v>
      </c>
      <c r="C1428" s="122" t="s">
        <v>1203</v>
      </c>
      <c r="D1428" s="161">
        <v>83</v>
      </c>
      <c r="E1428" s="123" t="s">
        <v>787</v>
      </c>
      <c r="F1428" s="124" t="s">
        <v>1234</v>
      </c>
      <c r="G1428" s="133" t="s">
        <v>247</v>
      </c>
      <c r="H1428" s="316"/>
      <c r="I1428" s="316"/>
      <c r="J1428" s="316"/>
      <c r="K1428" s="316"/>
      <c r="L1428" s="314"/>
      <c r="M1428" s="316"/>
      <c r="N1428" s="184">
        <v>89</v>
      </c>
      <c r="O1428" s="184">
        <v>5.7</v>
      </c>
      <c r="P1428" s="184" t="s">
        <v>253</v>
      </c>
      <c r="Q1428" s="174" t="s">
        <v>240</v>
      </c>
      <c r="R1428" s="276" t="s">
        <v>240</v>
      </c>
      <c r="S1428" s="276" t="s">
        <v>233</v>
      </c>
      <c r="T1428" s="276" t="s">
        <v>240</v>
      </c>
      <c r="U1428" s="316"/>
      <c r="V1428" s="276" t="s">
        <v>240</v>
      </c>
      <c r="W1428" s="169"/>
      <c r="X1428" s="274">
        <v>512.32000000000005</v>
      </c>
      <c r="Y1428" s="126">
        <v>706.32</v>
      </c>
      <c r="Z1428" s="127">
        <f>17.72+68.64</f>
        <v>86.36</v>
      </c>
      <c r="AA1428" s="128" t="s">
        <v>259</v>
      </c>
      <c r="AB1428" s="274">
        <f>17.72+68.64</f>
        <v>86.36</v>
      </c>
      <c r="AC1428" s="128" t="s">
        <v>259</v>
      </c>
      <c r="AD1428" s="129">
        <f>17.72+68.64</f>
        <v>86.36</v>
      </c>
      <c r="AE1428" s="274" t="s">
        <v>259</v>
      </c>
      <c r="AF1428" s="274">
        <f>17.72+68.64</f>
        <v>86.36</v>
      </c>
      <c r="AG1428" s="274" t="s">
        <v>259</v>
      </c>
      <c r="AH1428" s="274">
        <f>5.14+19.93</f>
        <v>25.07</v>
      </c>
      <c r="AI1428" s="274" t="s">
        <v>259</v>
      </c>
      <c r="AJ1428" s="274">
        <v>0</v>
      </c>
      <c r="AK1428" s="274">
        <v>0</v>
      </c>
      <c r="AL1428" s="274">
        <v>0</v>
      </c>
      <c r="AM1428" s="274">
        <v>0</v>
      </c>
      <c r="AN1428" s="274">
        <v>0</v>
      </c>
      <c r="AO1428" s="274">
        <v>0</v>
      </c>
      <c r="AP1428" s="274"/>
      <c r="AQ1428" s="274"/>
      <c r="AR1428" s="274">
        <f>16.99+65.85</f>
        <v>82.839999999999989</v>
      </c>
      <c r="AS1428" s="274" t="s">
        <v>259</v>
      </c>
      <c r="AT1428" s="274">
        <f>17.56+68.04</f>
        <v>85.600000000000009</v>
      </c>
      <c r="AU1428" s="274" t="s">
        <v>259</v>
      </c>
      <c r="AV1428" s="274">
        <f>17.56+68.04</f>
        <v>85.600000000000009</v>
      </c>
      <c r="AW1428" s="274" t="s">
        <v>259</v>
      </c>
      <c r="AX1428" s="274">
        <f t="shared" si="13"/>
        <v>624.54999999999995</v>
      </c>
      <c r="AY1428" s="274">
        <v>1.204E-2</v>
      </c>
      <c r="AZ1428" s="181" t="s">
        <v>253</v>
      </c>
      <c r="BA1428" s="181" t="s">
        <v>254</v>
      </c>
      <c r="BB1428" s="181" t="s">
        <v>1430</v>
      </c>
      <c r="BC1428" s="303"/>
    </row>
    <row r="1429" spans="1:55" ht="16.350000000000001" customHeight="1" outlineLevel="1">
      <c r="A1429" s="92">
        <v>1419</v>
      </c>
      <c r="B1429" s="99" t="s">
        <v>1205</v>
      </c>
      <c r="C1429" s="122" t="s">
        <v>1203</v>
      </c>
      <c r="D1429" s="161">
        <v>83</v>
      </c>
      <c r="E1429" s="123" t="s">
        <v>1225</v>
      </c>
      <c r="F1429" s="124" t="s">
        <v>1234</v>
      </c>
      <c r="G1429" s="133" t="s">
        <v>247</v>
      </c>
      <c r="H1429" s="316"/>
      <c r="I1429" s="316"/>
      <c r="J1429" s="316"/>
      <c r="K1429" s="316"/>
      <c r="L1429" s="314"/>
      <c r="M1429" s="316"/>
      <c r="N1429" s="184">
        <v>89</v>
      </c>
      <c r="O1429" s="184">
        <v>5.7</v>
      </c>
      <c r="P1429" s="184" t="s">
        <v>253</v>
      </c>
      <c r="Q1429" s="174" t="s">
        <v>240</v>
      </c>
      <c r="R1429" s="276" t="s">
        <v>240</v>
      </c>
      <c r="S1429" s="276" t="s">
        <v>233</v>
      </c>
      <c r="T1429" s="276" t="s">
        <v>240</v>
      </c>
      <c r="U1429" s="316"/>
      <c r="V1429" s="276" t="s">
        <v>240</v>
      </c>
      <c r="W1429" s="166"/>
      <c r="X1429" s="274">
        <v>789.29</v>
      </c>
      <c r="Y1429" s="126">
        <v>1083.8699999999999</v>
      </c>
      <c r="Z1429" s="127">
        <f>25.38+110.23</f>
        <v>135.61000000000001</v>
      </c>
      <c r="AA1429" s="128" t="s">
        <v>259</v>
      </c>
      <c r="AB1429" s="274">
        <f>25.38+110.23</f>
        <v>135.61000000000001</v>
      </c>
      <c r="AC1429" s="128" t="s">
        <v>259</v>
      </c>
      <c r="AD1429" s="129">
        <f>25.38+110.23</f>
        <v>135.61000000000001</v>
      </c>
      <c r="AE1429" s="274" t="s">
        <v>259</v>
      </c>
      <c r="AF1429" s="274">
        <f>25.38+110.23</f>
        <v>135.61000000000001</v>
      </c>
      <c r="AG1429" s="274" t="s">
        <v>259</v>
      </c>
      <c r="AH1429" s="274">
        <f>7.37+32</f>
        <v>39.369999999999997</v>
      </c>
      <c r="AI1429" s="274" t="s">
        <v>259</v>
      </c>
      <c r="AJ1429" s="274">
        <v>0</v>
      </c>
      <c r="AK1429" s="274">
        <v>0</v>
      </c>
      <c r="AL1429" s="274">
        <v>0</v>
      </c>
      <c r="AM1429" s="274">
        <v>0</v>
      </c>
      <c r="AN1429" s="274">
        <v>0</v>
      </c>
      <c r="AO1429" s="274">
        <v>0</v>
      </c>
      <c r="AP1429" s="274"/>
      <c r="AQ1429" s="274"/>
      <c r="AR1429" s="274">
        <f>24.04+104.37</f>
        <v>128.41</v>
      </c>
      <c r="AS1429" s="274" t="s">
        <v>259</v>
      </c>
      <c r="AT1429" s="274">
        <f>24.84+107.85</f>
        <v>132.69</v>
      </c>
      <c r="AU1429" s="274" t="s">
        <v>259</v>
      </c>
      <c r="AV1429" s="274">
        <f>12.65+73.14</f>
        <v>85.79</v>
      </c>
      <c r="AW1429" s="274" t="s">
        <v>259</v>
      </c>
      <c r="AX1429" s="274">
        <f t="shared" si="13"/>
        <v>928.7</v>
      </c>
      <c r="AY1429" s="274">
        <v>4.7169999999999997E-2</v>
      </c>
      <c r="AZ1429" s="181" t="s">
        <v>253</v>
      </c>
      <c r="BA1429" s="181" t="s">
        <v>254</v>
      </c>
      <c r="BB1429" s="181" t="s">
        <v>1430</v>
      </c>
      <c r="BC1429" s="303"/>
    </row>
    <row r="1430" spans="1:55" ht="16.350000000000001" customHeight="1" outlineLevel="1">
      <c r="A1430" s="92">
        <v>1420</v>
      </c>
      <c r="B1430" s="99" t="s">
        <v>1206</v>
      </c>
      <c r="C1430" s="122" t="s">
        <v>1203</v>
      </c>
      <c r="D1430" s="161">
        <v>85</v>
      </c>
      <c r="E1430" s="123" t="s">
        <v>734</v>
      </c>
      <c r="F1430" s="124" t="s">
        <v>1234</v>
      </c>
      <c r="G1430" s="133" t="s">
        <v>247</v>
      </c>
      <c r="H1430" s="134" t="s">
        <v>1424</v>
      </c>
      <c r="I1430" s="134" t="s">
        <v>1426</v>
      </c>
      <c r="J1430" s="134" t="s">
        <v>139</v>
      </c>
      <c r="K1430" s="124" t="s">
        <v>140</v>
      </c>
      <c r="L1430" s="184">
        <v>1</v>
      </c>
      <c r="M1430" s="174" t="s">
        <v>250</v>
      </c>
      <c r="N1430" s="184">
        <v>89</v>
      </c>
      <c r="O1430" s="184">
        <v>6</v>
      </c>
      <c r="P1430" s="184" t="s">
        <v>1429</v>
      </c>
      <c r="Q1430" s="174" t="s">
        <v>240</v>
      </c>
      <c r="R1430" s="276" t="s">
        <v>240</v>
      </c>
      <c r="S1430" s="276" t="s">
        <v>233</v>
      </c>
      <c r="T1430" s="276" t="s">
        <v>240</v>
      </c>
      <c r="U1430" s="174" t="s">
        <v>1428</v>
      </c>
      <c r="V1430" s="276" t="s">
        <v>240</v>
      </c>
      <c r="W1430" s="130"/>
      <c r="X1430" s="274">
        <v>322.72000000000003</v>
      </c>
      <c r="Y1430" s="126">
        <v>351.57</v>
      </c>
      <c r="Z1430" s="127">
        <v>65.400000000000006</v>
      </c>
      <c r="AA1430" s="128" t="s">
        <v>252</v>
      </c>
      <c r="AB1430" s="274">
        <v>44.6</v>
      </c>
      <c r="AC1430" s="128" t="s">
        <v>252</v>
      </c>
      <c r="AD1430" s="129">
        <v>58.9</v>
      </c>
      <c r="AE1430" s="274" t="s">
        <v>252</v>
      </c>
      <c r="AF1430" s="274">
        <v>32.200000000000003</v>
      </c>
      <c r="AG1430" s="274" t="s">
        <v>252</v>
      </c>
      <c r="AH1430" s="274">
        <v>14.5</v>
      </c>
      <c r="AI1430" s="274" t="s">
        <v>252</v>
      </c>
      <c r="AJ1430" s="274">
        <v>0</v>
      </c>
      <c r="AK1430" s="274">
        <v>0</v>
      </c>
      <c r="AL1430" s="274">
        <v>0</v>
      </c>
      <c r="AM1430" s="274">
        <v>0</v>
      </c>
      <c r="AN1430" s="274">
        <v>0</v>
      </c>
      <c r="AO1430" s="274">
        <v>0</v>
      </c>
      <c r="AP1430" s="274"/>
      <c r="AQ1430" s="274"/>
      <c r="AR1430" s="274">
        <v>39.1</v>
      </c>
      <c r="AS1430" s="274" t="s">
        <v>252</v>
      </c>
      <c r="AT1430" s="274">
        <v>29.3</v>
      </c>
      <c r="AU1430" s="274" t="s">
        <v>252</v>
      </c>
      <c r="AV1430" s="274">
        <v>51.3</v>
      </c>
      <c r="AW1430" s="274" t="s">
        <v>252</v>
      </c>
      <c r="AX1430" s="274">
        <f t="shared" si="13"/>
        <v>335.3</v>
      </c>
      <c r="AY1430" s="274">
        <v>0.57609999999999995</v>
      </c>
      <c r="AZ1430" s="181" t="s">
        <v>1429</v>
      </c>
      <c r="BA1430" s="181" t="s">
        <v>254</v>
      </c>
      <c r="BB1430" s="181">
        <v>1</v>
      </c>
      <c r="BC1430" s="125" t="s">
        <v>255</v>
      </c>
    </row>
    <row r="1431" spans="1:55" ht="16.350000000000001" customHeight="1" outlineLevel="1">
      <c r="A1431" s="92">
        <v>1421</v>
      </c>
      <c r="B1431" s="99" t="s">
        <v>1207</v>
      </c>
      <c r="C1431" s="122" t="s">
        <v>1203</v>
      </c>
      <c r="D1431" s="161">
        <v>87</v>
      </c>
      <c r="E1431" s="123" t="s">
        <v>734</v>
      </c>
      <c r="F1431" s="124" t="s">
        <v>1234</v>
      </c>
      <c r="G1431" s="133" t="s">
        <v>247</v>
      </c>
      <c r="H1431" s="134" t="s">
        <v>1424</v>
      </c>
      <c r="I1431" s="134" t="s">
        <v>1426</v>
      </c>
      <c r="J1431" s="134" t="s">
        <v>139</v>
      </c>
      <c r="K1431" s="124" t="s">
        <v>140</v>
      </c>
      <c r="L1431" s="184">
        <v>1</v>
      </c>
      <c r="M1431" s="174" t="s">
        <v>250</v>
      </c>
      <c r="N1431" s="314">
        <v>89</v>
      </c>
      <c r="O1431" s="314">
        <v>6</v>
      </c>
      <c r="P1431" s="314" t="s">
        <v>1429</v>
      </c>
      <c r="Q1431" s="317" t="s">
        <v>240</v>
      </c>
      <c r="R1431" s="321" t="s">
        <v>240</v>
      </c>
      <c r="S1431" s="321" t="s">
        <v>233</v>
      </c>
      <c r="T1431" s="321" t="s">
        <v>240</v>
      </c>
      <c r="U1431" s="174" t="s">
        <v>1428</v>
      </c>
      <c r="V1431" s="321" t="s">
        <v>240</v>
      </c>
      <c r="W1431" s="130"/>
      <c r="X1431" s="292">
        <v>440.19</v>
      </c>
      <c r="Y1431" s="295">
        <v>479.56</v>
      </c>
      <c r="Z1431" s="297">
        <v>89</v>
      </c>
      <c r="AA1431" s="299" t="s">
        <v>252</v>
      </c>
      <c r="AB1431" s="292">
        <v>60.7</v>
      </c>
      <c r="AC1431" s="299" t="s">
        <v>252</v>
      </c>
      <c r="AD1431" s="301">
        <v>80.2</v>
      </c>
      <c r="AE1431" s="292" t="s">
        <v>252</v>
      </c>
      <c r="AF1431" s="292">
        <v>43.9</v>
      </c>
      <c r="AG1431" s="292" t="s">
        <v>252</v>
      </c>
      <c r="AH1431" s="292">
        <v>19.8</v>
      </c>
      <c r="AI1431" s="292" t="s">
        <v>252</v>
      </c>
      <c r="AJ1431" s="292">
        <v>0</v>
      </c>
      <c r="AK1431" s="292">
        <v>0</v>
      </c>
      <c r="AL1431" s="292">
        <v>0</v>
      </c>
      <c r="AM1431" s="292">
        <v>0</v>
      </c>
      <c r="AN1431" s="292">
        <v>0</v>
      </c>
      <c r="AO1431" s="292">
        <v>0</v>
      </c>
      <c r="AP1431" s="292"/>
      <c r="AQ1431" s="292"/>
      <c r="AR1431" s="292">
        <v>53.1</v>
      </c>
      <c r="AS1431" s="292" t="s">
        <v>252</v>
      </c>
      <c r="AT1431" s="292">
        <v>39.799999999999997</v>
      </c>
      <c r="AU1431" s="292" t="s">
        <v>252</v>
      </c>
      <c r="AV1431" s="292">
        <v>74.75</v>
      </c>
      <c r="AW1431" s="292" t="s">
        <v>252</v>
      </c>
      <c r="AX1431" s="305">
        <f t="shared" si="13"/>
        <v>461.25</v>
      </c>
      <c r="AY1431" s="274">
        <v>0.24690999999999999</v>
      </c>
      <c r="AZ1431" s="313" t="s">
        <v>1429</v>
      </c>
      <c r="BA1431" s="313" t="s">
        <v>254</v>
      </c>
      <c r="BB1431" s="313">
        <v>1</v>
      </c>
      <c r="BC1431" s="125" t="s">
        <v>255</v>
      </c>
    </row>
    <row r="1432" spans="1:55" ht="16.350000000000001" customHeight="1" outlineLevel="1">
      <c r="A1432" s="92">
        <v>1422</v>
      </c>
      <c r="B1432" s="99" t="s">
        <v>1208</v>
      </c>
      <c r="C1432" s="122" t="s">
        <v>1203</v>
      </c>
      <c r="D1432" s="161">
        <v>89</v>
      </c>
      <c r="E1432" s="123" t="s">
        <v>734</v>
      </c>
      <c r="F1432" s="124" t="s">
        <v>1234</v>
      </c>
      <c r="G1432" s="133" t="s">
        <v>247</v>
      </c>
      <c r="H1432" s="134" t="s">
        <v>1424</v>
      </c>
      <c r="I1432" s="134" t="s">
        <v>1426</v>
      </c>
      <c r="J1432" s="134" t="s">
        <v>139</v>
      </c>
      <c r="K1432" s="124" t="s">
        <v>140</v>
      </c>
      <c r="L1432" s="184">
        <v>1</v>
      </c>
      <c r="M1432" s="174" t="s">
        <v>250</v>
      </c>
      <c r="N1432" s="314"/>
      <c r="O1432" s="314"/>
      <c r="P1432" s="314"/>
      <c r="Q1432" s="318"/>
      <c r="R1432" s="321"/>
      <c r="S1432" s="321"/>
      <c r="T1432" s="321"/>
      <c r="U1432" s="174" t="s">
        <v>1428</v>
      </c>
      <c r="V1432" s="321"/>
      <c r="W1432" s="130"/>
      <c r="X1432" s="293"/>
      <c r="Y1432" s="308"/>
      <c r="Z1432" s="309"/>
      <c r="AA1432" s="310"/>
      <c r="AB1432" s="293"/>
      <c r="AC1432" s="310"/>
      <c r="AD1432" s="311"/>
      <c r="AE1432" s="293"/>
      <c r="AF1432" s="293"/>
      <c r="AG1432" s="293"/>
      <c r="AH1432" s="293"/>
      <c r="AI1432" s="293"/>
      <c r="AJ1432" s="293"/>
      <c r="AK1432" s="293"/>
      <c r="AL1432" s="293"/>
      <c r="AM1432" s="293"/>
      <c r="AN1432" s="293"/>
      <c r="AO1432" s="293"/>
      <c r="AP1432" s="293"/>
      <c r="AQ1432" s="293"/>
      <c r="AR1432" s="293"/>
      <c r="AS1432" s="293"/>
      <c r="AT1432" s="293"/>
      <c r="AU1432" s="293"/>
      <c r="AV1432" s="293"/>
      <c r="AW1432" s="293"/>
      <c r="AX1432" s="303">
        <f t="shared" si="13"/>
        <v>0</v>
      </c>
      <c r="AY1432" s="274">
        <f>0.34024+0.04015</f>
        <v>0.38039000000000001</v>
      </c>
      <c r="AZ1432" s="313"/>
      <c r="BA1432" s="313"/>
      <c r="BB1432" s="313"/>
      <c r="BC1432" s="125" t="s">
        <v>255</v>
      </c>
    </row>
    <row r="1433" spans="1:55" ht="16.350000000000001" customHeight="1" outlineLevel="1">
      <c r="A1433" s="92">
        <v>1423</v>
      </c>
      <c r="B1433" s="99" t="s">
        <v>1209</v>
      </c>
      <c r="C1433" s="122" t="s">
        <v>1203</v>
      </c>
      <c r="D1433" s="161">
        <v>97</v>
      </c>
      <c r="E1433" s="123" t="s">
        <v>734</v>
      </c>
      <c r="F1433" s="124" t="s">
        <v>1425</v>
      </c>
      <c r="G1433" s="133" t="s">
        <v>281</v>
      </c>
      <c r="H1433" s="134" t="s">
        <v>248</v>
      </c>
      <c r="I1433" s="134" t="s">
        <v>1426</v>
      </c>
      <c r="J1433" s="134" t="s">
        <v>139</v>
      </c>
      <c r="K1433" s="124" t="s">
        <v>140</v>
      </c>
      <c r="L1433" s="184">
        <v>1</v>
      </c>
      <c r="M1433" s="174" t="s">
        <v>250</v>
      </c>
      <c r="N1433" s="314"/>
      <c r="O1433" s="314"/>
      <c r="P1433" s="314"/>
      <c r="Q1433" s="319"/>
      <c r="R1433" s="321"/>
      <c r="S1433" s="321"/>
      <c r="T1433" s="321"/>
      <c r="U1433" s="174" t="s">
        <v>1427</v>
      </c>
      <c r="V1433" s="321"/>
      <c r="W1433" s="130"/>
      <c r="X1433" s="294"/>
      <c r="Y1433" s="296"/>
      <c r="Z1433" s="298"/>
      <c r="AA1433" s="300"/>
      <c r="AB1433" s="294"/>
      <c r="AC1433" s="300"/>
      <c r="AD1433" s="302"/>
      <c r="AE1433" s="294"/>
      <c r="AF1433" s="294"/>
      <c r="AG1433" s="294"/>
      <c r="AH1433" s="294"/>
      <c r="AI1433" s="294"/>
      <c r="AJ1433" s="294"/>
      <c r="AK1433" s="294"/>
      <c r="AL1433" s="294"/>
      <c r="AM1433" s="294"/>
      <c r="AN1433" s="294"/>
      <c r="AO1433" s="294"/>
      <c r="AP1433" s="294"/>
      <c r="AQ1433" s="294"/>
      <c r="AR1433" s="294"/>
      <c r="AS1433" s="294"/>
      <c r="AT1433" s="294"/>
      <c r="AU1433" s="294"/>
      <c r="AV1433" s="294"/>
      <c r="AW1433" s="294"/>
      <c r="AX1433" s="303">
        <f t="shared" si="13"/>
        <v>0</v>
      </c>
      <c r="AY1433" s="274">
        <v>0.114</v>
      </c>
      <c r="AZ1433" s="313"/>
      <c r="BA1433" s="313"/>
      <c r="BB1433" s="313"/>
      <c r="BC1433" s="125" t="s">
        <v>255</v>
      </c>
    </row>
    <row r="1434" spans="1:55" ht="16.350000000000001" customHeight="1" outlineLevel="1">
      <c r="A1434" s="92">
        <v>1424</v>
      </c>
      <c r="B1434" s="99" t="s">
        <v>1210</v>
      </c>
      <c r="C1434" s="122" t="s">
        <v>1203</v>
      </c>
      <c r="D1434" s="161">
        <v>99</v>
      </c>
      <c r="E1434" s="123" t="s">
        <v>734</v>
      </c>
      <c r="F1434" s="124" t="s">
        <v>1425</v>
      </c>
      <c r="G1434" s="133" t="s">
        <v>247</v>
      </c>
      <c r="H1434" s="317" t="s">
        <v>248</v>
      </c>
      <c r="I1434" s="317" t="s">
        <v>1426</v>
      </c>
      <c r="J1434" s="317" t="s">
        <v>139</v>
      </c>
      <c r="K1434" s="317" t="s">
        <v>140</v>
      </c>
      <c r="L1434" s="314">
        <v>1</v>
      </c>
      <c r="M1434" s="317" t="s">
        <v>250</v>
      </c>
      <c r="N1434" s="184">
        <v>89</v>
      </c>
      <c r="O1434" s="267">
        <v>4</v>
      </c>
      <c r="P1434" s="184" t="s">
        <v>253</v>
      </c>
      <c r="Q1434" s="174" t="s">
        <v>233</v>
      </c>
      <c r="R1434" s="276" t="s">
        <v>240</v>
      </c>
      <c r="S1434" s="276" t="s">
        <v>233</v>
      </c>
      <c r="T1434" s="276" t="s">
        <v>240</v>
      </c>
      <c r="U1434" s="317" t="s">
        <v>1427</v>
      </c>
      <c r="V1434" s="276" t="s">
        <v>240</v>
      </c>
      <c r="W1434" s="165"/>
      <c r="X1434" s="274">
        <v>141.96199999999999</v>
      </c>
      <c r="Y1434" s="126">
        <f>31.37+50.63+90.36</f>
        <v>172.36</v>
      </c>
      <c r="Z1434" s="131">
        <v>65.982714000000001</v>
      </c>
      <c r="AA1434" s="281"/>
      <c r="AB1434" s="132">
        <v>47.927700000000002</v>
      </c>
      <c r="AC1434" s="281"/>
      <c r="AD1434" s="129">
        <v>70.085340000000002</v>
      </c>
      <c r="AE1434" s="132"/>
      <c r="AF1434" s="132">
        <v>23.87612</v>
      </c>
      <c r="AG1434" s="132"/>
      <c r="AH1434" s="132">
        <v>8.6018799999999995</v>
      </c>
      <c r="AI1434" s="132"/>
      <c r="AJ1434" s="274">
        <v>0</v>
      </c>
      <c r="AK1434" s="274">
        <v>0</v>
      </c>
      <c r="AL1434" s="274">
        <v>0</v>
      </c>
      <c r="AM1434" s="274">
        <v>0</v>
      </c>
      <c r="AN1434" s="274">
        <v>0</v>
      </c>
      <c r="AO1434" s="274">
        <v>0</v>
      </c>
      <c r="AP1434" s="274"/>
      <c r="AQ1434" s="274"/>
      <c r="AR1434" s="132">
        <v>27.865319999999997</v>
      </c>
      <c r="AS1434" s="274"/>
      <c r="AT1434" s="274">
        <v>29.969721</v>
      </c>
      <c r="AU1434" s="274"/>
      <c r="AV1434" s="132">
        <v>45.796559999999999</v>
      </c>
      <c r="AW1434" s="274"/>
      <c r="AX1434" s="127">
        <f t="shared" si="13"/>
        <v>320.10535499999997</v>
      </c>
      <c r="AY1434" s="292">
        <v>0.156</v>
      </c>
      <c r="AZ1434" s="181" t="s">
        <v>253</v>
      </c>
      <c r="BA1434" s="181" t="s">
        <v>254</v>
      </c>
      <c r="BB1434" s="181" t="s">
        <v>1430</v>
      </c>
      <c r="BC1434" s="292" t="s">
        <v>255</v>
      </c>
    </row>
    <row r="1435" spans="1:55" ht="16.350000000000001" customHeight="1" outlineLevel="1">
      <c r="A1435" s="92">
        <v>1425</v>
      </c>
      <c r="B1435" s="99" t="s">
        <v>1211</v>
      </c>
      <c r="C1435" s="122" t="s">
        <v>1203</v>
      </c>
      <c r="D1435" s="161">
        <v>99</v>
      </c>
      <c r="E1435" s="123" t="s">
        <v>737</v>
      </c>
      <c r="F1435" s="124" t="s">
        <v>1425</v>
      </c>
      <c r="G1435" s="133" t="s">
        <v>281</v>
      </c>
      <c r="H1435" s="318"/>
      <c r="I1435" s="318"/>
      <c r="J1435" s="318"/>
      <c r="K1435" s="318"/>
      <c r="L1435" s="314"/>
      <c r="M1435" s="318"/>
      <c r="N1435" s="168">
        <v>89</v>
      </c>
      <c r="O1435" s="174">
        <v>6</v>
      </c>
      <c r="P1435" s="268" t="s">
        <v>253</v>
      </c>
      <c r="Q1435" s="269" t="s">
        <v>233</v>
      </c>
      <c r="R1435" s="276" t="s">
        <v>240</v>
      </c>
      <c r="S1435" s="276" t="s">
        <v>233</v>
      </c>
      <c r="T1435" s="185"/>
      <c r="U1435" s="318"/>
      <c r="V1435" s="276" t="s">
        <v>240</v>
      </c>
      <c r="W1435" s="169"/>
      <c r="X1435" s="274">
        <v>541.04999999999995</v>
      </c>
      <c r="Y1435" s="126">
        <v>798.1</v>
      </c>
      <c r="Z1435" s="127">
        <f>14.75+85.59</f>
        <v>100.34</v>
      </c>
      <c r="AA1435" s="128" t="s">
        <v>259</v>
      </c>
      <c r="AB1435" s="274">
        <f>14.75+85.59</f>
        <v>100.34</v>
      </c>
      <c r="AC1435" s="128" t="s">
        <v>259</v>
      </c>
      <c r="AD1435" s="129">
        <f>14.75+85.59-1.56+16.6</f>
        <v>115.38</v>
      </c>
      <c r="AE1435" s="274" t="s">
        <v>259</v>
      </c>
      <c r="AF1435" s="274">
        <f>5.86+45.34</f>
        <v>51.2</v>
      </c>
      <c r="AG1435" s="274" t="s">
        <v>252</v>
      </c>
      <c r="AH1435" s="274">
        <f>2.59+20.11</f>
        <v>22.7</v>
      </c>
      <c r="AI1435" s="274" t="s">
        <v>252</v>
      </c>
      <c r="AJ1435" s="274">
        <v>0</v>
      </c>
      <c r="AK1435" s="274">
        <v>0</v>
      </c>
      <c r="AL1435" s="169"/>
      <c r="AM1435" s="169"/>
      <c r="AN1435" s="169"/>
      <c r="AO1435" s="169"/>
      <c r="AP1435" s="271"/>
      <c r="AQ1435" s="271"/>
      <c r="AR1435" s="169"/>
      <c r="AS1435" s="169"/>
      <c r="AT1435" s="169"/>
      <c r="AU1435" s="169"/>
      <c r="AV1435" s="169"/>
      <c r="AW1435" s="169"/>
      <c r="AX1435" s="169"/>
      <c r="AY1435" s="293"/>
      <c r="AZ1435" s="250" t="s">
        <v>253</v>
      </c>
      <c r="BA1435" s="181" t="s">
        <v>254</v>
      </c>
      <c r="BB1435" s="181" t="s">
        <v>1430</v>
      </c>
      <c r="BC1435" s="293"/>
    </row>
    <row r="1436" spans="1:55" ht="16.350000000000001" customHeight="1" outlineLevel="1">
      <c r="A1436" s="92">
        <v>1426</v>
      </c>
      <c r="B1436" s="99" t="s">
        <v>1212</v>
      </c>
      <c r="C1436" s="122" t="s">
        <v>1203</v>
      </c>
      <c r="D1436" s="161">
        <v>99</v>
      </c>
      <c r="E1436" s="123" t="s">
        <v>745</v>
      </c>
      <c r="F1436" s="124" t="s">
        <v>1425</v>
      </c>
      <c r="G1436" s="133" t="s">
        <v>281</v>
      </c>
      <c r="H1436" s="319"/>
      <c r="I1436" s="319"/>
      <c r="J1436" s="319"/>
      <c r="K1436" s="319"/>
      <c r="L1436" s="314"/>
      <c r="M1436" s="319"/>
      <c r="N1436" s="184">
        <v>89</v>
      </c>
      <c r="O1436" s="174">
        <v>6</v>
      </c>
      <c r="P1436" s="268" t="s">
        <v>253</v>
      </c>
      <c r="Q1436" s="270" t="s">
        <v>233</v>
      </c>
      <c r="R1436" s="276" t="s">
        <v>240</v>
      </c>
      <c r="S1436" s="276" t="s">
        <v>233</v>
      </c>
      <c r="T1436" s="185"/>
      <c r="U1436" s="319"/>
      <c r="V1436" s="276" t="s">
        <v>240</v>
      </c>
      <c r="W1436" s="166"/>
      <c r="X1436" s="274">
        <v>902.93</v>
      </c>
      <c r="Y1436" s="126">
        <v>1357.37</v>
      </c>
      <c r="Z1436" s="127">
        <f>24.75+139.21</f>
        <v>163.96</v>
      </c>
      <c r="AA1436" s="128" t="s">
        <v>259</v>
      </c>
      <c r="AB1436" s="274">
        <f>24.75+139.21</f>
        <v>163.96</v>
      </c>
      <c r="AC1436" s="128" t="s">
        <v>259</v>
      </c>
      <c r="AD1436" s="129">
        <f>24.75+139.21</f>
        <v>163.96</v>
      </c>
      <c r="AE1436" s="274" t="s">
        <v>259</v>
      </c>
      <c r="AF1436" s="274">
        <f>24.75+139.21</f>
        <v>163.96</v>
      </c>
      <c r="AG1436" s="274" t="s">
        <v>259</v>
      </c>
      <c r="AH1436" s="274">
        <f>7.98+44.91</f>
        <v>52.89</v>
      </c>
      <c r="AI1436" s="274" t="s">
        <v>259</v>
      </c>
      <c r="AJ1436" s="274">
        <v>0</v>
      </c>
      <c r="AK1436" s="274">
        <v>0</v>
      </c>
      <c r="AL1436" s="166"/>
      <c r="AM1436" s="166"/>
      <c r="AN1436" s="166"/>
      <c r="AO1436" s="166"/>
      <c r="AP1436" s="272"/>
      <c r="AQ1436" s="272"/>
      <c r="AR1436" s="166"/>
      <c r="AS1436" s="166"/>
      <c r="AT1436" s="166"/>
      <c r="AU1436" s="166"/>
      <c r="AV1436" s="166"/>
      <c r="AW1436" s="166"/>
      <c r="AX1436" s="166"/>
      <c r="AY1436" s="294"/>
      <c r="AZ1436" s="251" t="s">
        <v>253</v>
      </c>
      <c r="BA1436" s="181" t="s">
        <v>254</v>
      </c>
      <c r="BB1436" s="181" t="s">
        <v>1430</v>
      </c>
      <c r="BC1436" s="294"/>
    </row>
    <row r="1437" spans="1:55" ht="16.350000000000001" customHeight="1" outlineLevel="1">
      <c r="A1437" s="92">
        <v>1427</v>
      </c>
      <c r="B1437" s="99" t="s">
        <v>1213</v>
      </c>
      <c r="C1437" s="122" t="s">
        <v>739</v>
      </c>
      <c r="D1437" s="161">
        <v>2</v>
      </c>
      <c r="E1437" s="123" t="s">
        <v>734</v>
      </c>
      <c r="F1437" s="124" t="s">
        <v>1234</v>
      </c>
      <c r="G1437" s="133" t="s">
        <v>281</v>
      </c>
      <c r="H1437" s="173" t="s">
        <v>1424</v>
      </c>
      <c r="I1437" s="173" t="s">
        <v>1426</v>
      </c>
      <c r="J1437" s="177" t="s">
        <v>139</v>
      </c>
      <c r="K1437" s="124" t="s">
        <v>140</v>
      </c>
      <c r="L1437" s="184">
        <v>0</v>
      </c>
      <c r="M1437" s="178" t="s">
        <v>250</v>
      </c>
      <c r="N1437" s="168">
        <v>89</v>
      </c>
      <c r="O1437" s="174">
        <v>6</v>
      </c>
      <c r="P1437" s="268" t="s">
        <v>253</v>
      </c>
      <c r="Q1437" s="124" t="s">
        <v>240</v>
      </c>
      <c r="R1437" s="276" t="s">
        <v>240</v>
      </c>
      <c r="S1437" s="276" t="s">
        <v>233</v>
      </c>
      <c r="T1437" s="185"/>
      <c r="U1437" s="178" t="s">
        <v>1427</v>
      </c>
      <c r="V1437" s="276" t="s">
        <v>240</v>
      </c>
      <c r="W1437" s="93"/>
      <c r="X1437" s="292">
        <v>411.63</v>
      </c>
      <c r="Y1437" s="295">
        <v>581.91999999999996</v>
      </c>
      <c r="Z1437" s="297">
        <f>5.3+65.49</f>
        <v>70.789999999999992</v>
      </c>
      <c r="AA1437" s="299" t="s">
        <v>259</v>
      </c>
      <c r="AB1437" s="292">
        <f>1.66+68.94</f>
        <v>70.599999999999994</v>
      </c>
      <c r="AC1437" s="299" t="s">
        <v>252</v>
      </c>
      <c r="AD1437" s="301">
        <f>2.29+95.41</f>
        <v>97.7</v>
      </c>
      <c r="AE1437" s="292" t="s">
        <v>252</v>
      </c>
      <c r="AF1437" s="292">
        <f>1.08+44.62</f>
        <v>45.699999999999996</v>
      </c>
      <c r="AG1437" s="292" t="s">
        <v>252</v>
      </c>
      <c r="AH1437" s="292">
        <f>0.47+19.53</f>
        <v>20</v>
      </c>
      <c r="AI1437" s="292" t="s">
        <v>252</v>
      </c>
      <c r="AJ1437" s="292">
        <v>0</v>
      </c>
      <c r="AK1437" s="292">
        <v>0</v>
      </c>
      <c r="AL1437" s="274">
        <v>0</v>
      </c>
      <c r="AM1437" s="274">
        <v>0</v>
      </c>
      <c r="AN1437" s="274">
        <v>0</v>
      </c>
      <c r="AO1437" s="274">
        <v>0</v>
      </c>
      <c r="AP1437" s="274"/>
      <c r="AQ1437" s="274"/>
      <c r="AR1437" s="274">
        <f>5.53+42.82</f>
        <v>48.35</v>
      </c>
      <c r="AS1437" s="274" t="s">
        <v>252</v>
      </c>
      <c r="AT1437" s="274">
        <f>6.12+47.47</f>
        <v>53.589999999999996</v>
      </c>
      <c r="AU1437" s="274" t="s">
        <v>252</v>
      </c>
      <c r="AV1437" s="274">
        <f>8.65+67.07</f>
        <v>75.72</v>
      </c>
      <c r="AW1437" s="274" t="s">
        <v>252</v>
      </c>
      <c r="AX1437" s="274">
        <f t="shared" ref="AX1437:AX1450" si="14">Z1437+AB1437+AD1437+AF1437+AH1437+AJ1437+AL1437+AN1437+AP1437+AR1437+AT1437+AV1437</f>
        <v>482.44999999999993</v>
      </c>
      <c r="AY1437" s="292">
        <v>1.1559999999999999</v>
      </c>
      <c r="AZ1437" s="250" t="s">
        <v>253</v>
      </c>
      <c r="BA1437" s="181" t="s">
        <v>254</v>
      </c>
      <c r="BB1437" s="181" t="s">
        <v>1430</v>
      </c>
      <c r="BC1437" s="179" t="s">
        <v>255</v>
      </c>
    </row>
    <row r="1438" spans="1:55" ht="16.350000000000001" customHeight="1" outlineLevel="1">
      <c r="A1438" s="92">
        <v>1428</v>
      </c>
      <c r="B1438" s="99" t="s">
        <v>1214</v>
      </c>
      <c r="C1438" s="122" t="s">
        <v>789</v>
      </c>
      <c r="D1438" s="161" t="s">
        <v>790</v>
      </c>
      <c r="E1438" s="123" t="s">
        <v>734</v>
      </c>
      <c r="F1438" s="124" t="s">
        <v>1234</v>
      </c>
      <c r="G1438" s="133" t="s">
        <v>281</v>
      </c>
      <c r="H1438" s="134" t="s">
        <v>1424</v>
      </c>
      <c r="I1438" s="173" t="s">
        <v>1426</v>
      </c>
      <c r="J1438" s="134" t="s">
        <v>139</v>
      </c>
      <c r="K1438" s="124" t="s">
        <v>140</v>
      </c>
      <c r="L1438" s="174">
        <v>0</v>
      </c>
      <c r="M1438" s="174" t="s">
        <v>250</v>
      </c>
      <c r="N1438" s="184">
        <v>89</v>
      </c>
      <c r="O1438" s="174">
        <v>6</v>
      </c>
      <c r="P1438" s="268" t="s">
        <v>253</v>
      </c>
      <c r="Q1438" s="174" t="s">
        <v>240</v>
      </c>
      <c r="R1438" s="276" t="s">
        <v>240</v>
      </c>
      <c r="S1438" s="276" t="s">
        <v>233</v>
      </c>
      <c r="T1438" s="185"/>
      <c r="U1438" s="174" t="s">
        <v>1427</v>
      </c>
      <c r="V1438" s="276" t="s">
        <v>240</v>
      </c>
      <c r="W1438" s="130"/>
      <c r="X1438" s="294"/>
      <c r="Y1438" s="296"/>
      <c r="Z1438" s="298"/>
      <c r="AA1438" s="300"/>
      <c r="AB1438" s="294"/>
      <c r="AC1438" s="300"/>
      <c r="AD1438" s="302"/>
      <c r="AE1438" s="294"/>
      <c r="AF1438" s="294"/>
      <c r="AG1438" s="294"/>
      <c r="AH1438" s="294"/>
      <c r="AI1438" s="294"/>
      <c r="AJ1438" s="294"/>
      <c r="AK1438" s="294"/>
      <c r="AL1438" s="274">
        <v>0</v>
      </c>
      <c r="AM1438" s="274">
        <v>0</v>
      </c>
      <c r="AN1438" s="274">
        <v>0</v>
      </c>
      <c r="AO1438" s="274">
        <v>0</v>
      </c>
      <c r="AP1438" s="274"/>
      <c r="AQ1438" s="274"/>
      <c r="AR1438" s="274">
        <f>13.35+85.74</f>
        <v>99.089999999999989</v>
      </c>
      <c r="AS1438" s="274" t="s">
        <v>252</v>
      </c>
      <c r="AT1438" s="274">
        <f>15.39+98.86</f>
        <v>114.25</v>
      </c>
      <c r="AU1438" s="274" t="s">
        <v>252</v>
      </c>
      <c r="AV1438" s="274">
        <f>24.36+137.02</f>
        <v>161.38</v>
      </c>
      <c r="AW1438" s="274" t="s">
        <v>259</v>
      </c>
      <c r="AX1438" s="274">
        <f t="shared" si="14"/>
        <v>374.71999999999997</v>
      </c>
      <c r="AY1438" s="293"/>
      <c r="AZ1438" s="251" t="s">
        <v>253</v>
      </c>
      <c r="BA1438" s="181" t="s">
        <v>254</v>
      </c>
      <c r="BB1438" s="181" t="s">
        <v>1430</v>
      </c>
      <c r="BC1438" s="125" t="s">
        <v>255</v>
      </c>
    </row>
    <row r="1439" spans="1:55" ht="16.350000000000001" customHeight="1" outlineLevel="1">
      <c r="A1439" s="92">
        <v>1429</v>
      </c>
      <c r="B1439" s="99" t="s">
        <v>1215</v>
      </c>
      <c r="C1439" s="122" t="s">
        <v>789</v>
      </c>
      <c r="D1439" s="161">
        <v>45</v>
      </c>
      <c r="E1439" s="123" t="s">
        <v>734</v>
      </c>
      <c r="F1439" s="124" t="s">
        <v>1234</v>
      </c>
      <c r="G1439" s="133" t="s">
        <v>281</v>
      </c>
      <c r="H1439" s="173" t="s">
        <v>1424</v>
      </c>
      <c r="I1439" s="173" t="s">
        <v>1426</v>
      </c>
      <c r="J1439" s="134" t="s">
        <v>139</v>
      </c>
      <c r="K1439" s="124" t="s">
        <v>140</v>
      </c>
      <c r="L1439" s="173">
        <v>1</v>
      </c>
      <c r="M1439" s="173" t="s">
        <v>250</v>
      </c>
      <c r="N1439" s="168">
        <v>89</v>
      </c>
      <c r="O1439" s="174">
        <v>6</v>
      </c>
      <c r="P1439" s="268" t="s">
        <v>253</v>
      </c>
      <c r="Q1439" s="174" t="s">
        <v>240</v>
      </c>
      <c r="R1439" s="276" t="s">
        <v>240</v>
      </c>
      <c r="S1439" s="276" t="s">
        <v>233</v>
      </c>
      <c r="T1439" s="185"/>
      <c r="U1439" s="173" t="s">
        <v>1427</v>
      </c>
      <c r="V1439" s="276" t="s">
        <v>240</v>
      </c>
      <c r="W1439" s="182"/>
      <c r="X1439" s="274">
        <v>471.48</v>
      </c>
      <c r="Y1439" s="126">
        <v>707.21</v>
      </c>
      <c r="Z1439" s="127">
        <f>17.02+72.12+6.75</f>
        <v>95.89</v>
      </c>
      <c r="AA1439" s="128" t="s">
        <v>259</v>
      </c>
      <c r="AB1439" s="274">
        <f>6.99+61.94+5.17</f>
        <v>74.099999999999994</v>
      </c>
      <c r="AC1439" s="128" t="s">
        <v>252</v>
      </c>
      <c r="AD1439" s="129">
        <f>9.84+87.2+7.26</f>
        <v>104.30000000000001</v>
      </c>
      <c r="AE1439" s="274" t="s">
        <v>252</v>
      </c>
      <c r="AF1439" s="274">
        <f>4.45+39.46+3.29</f>
        <v>47.2</v>
      </c>
      <c r="AG1439" s="274" t="s">
        <v>252</v>
      </c>
      <c r="AH1439" s="274">
        <f>2.14+18.91+1.55</f>
        <v>22.6</v>
      </c>
      <c r="AI1439" s="274" t="s">
        <v>252</v>
      </c>
      <c r="AJ1439" s="274">
        <v>0</v>
      </c>
      <c r="AK1439" s="274">
        <v>0</v>
      </c>
      <c r="AL1439" s="292">
        <v>0</v>
      </c>
      <c r="AM1439" s="292">
        <v>0</v>
      </c>
      <c r="AN1439" s="292">
        <v>0</v>
      </c>
      <c r="AO1439" s="292">
        <v>0</v>
      </c>
      <c r="AP1439" s="292"/>
      <c r="AQ1439" s="292"/>
      <c r="AR1439" s="292">
        <f>0.9+37.35</f>
        <v>38.25</v>
      </c>
      <c r="AS1439" s="292" t="s">
        <v>252</v>
      </c>
      <c r="AT1439" s="292">
        <f>1.01+41.77</f>
        <v>42.78</v>
      </c>
      <c r="AU1439" s="292" t="s">
        <v>252</v>
      </c>
      <c r="AV1439" s="292">
        <f>1.41+58.5</f>
        <v>59.91</v>
      </c>
      <c r="AW1439" s="292" t="s">
        <v>252</v>
      </c>
      <c r="AX1439" s="292">
        <f t="shared" si="14"/>
        <v>485.03</v>
      </c>
      <c r="AY1439" s="294"/>
      <c r="AZ1439" s="250" t="s">
        <v>253</v>
      </c>
      <c r="BA1439" s="181" t="s">
        <v>254</v>
      </c>
      <c r="BB1439" s="181" t="s">
        <v>1430</v>
      </c>
      <c r="BC1439" s="179" t="s">
        <v>255</v>
      </c>
    </row>
    <row r="1440" spans="1:55" ht="16.350000000000001" customHeight="1" outlineLevel="1">
      <c r="A1440" s="92">
        <v>1430</v>
      </c>
      <c r="B1440" s="99" t="s">
        <v>1216</v>
      </c>
      <c r="C1440" s="122" t="s">
        <v>859</v>
      </c>
      <c r="D1440" s="161" t="s">
        <v>860</v>
      </c>
      <c r="E1440" s="123" t="s">
        <v>734</v>
      </c>
      <c r="F1440" s="124" t="s">
        <v>1425</v>
      </c>
      <c r="G1440" s="133" t="s">
        <v>247</v>
      </c>
      <c r="H1440" s="134" t="s">
        <v>248</v>
      </c>
      <c r="I1440" s="173" t="s">
        <v>1426</v>
      </c>
      <c r="J1440" s="134" t="s">
        <v>139</v>
      </c>
      <c r="K1440" s="124" t="s">
        <v>140</v>
      </c>
      <c r="L1440" s="174">
        <v>1</v>
      </c>
      <c r="M1440" s="174" t="s">
        <v>250</v>
      </c>
      <c r="N1440" s="184">
        <v>89</v>
      </c>
      <c r="O1440" s="174">
        <v>6</v>
      </c>
      <c r="P1440" s="268" t="s">
        <v>253</v>
      </c>
      <c r="Q1440" s="174" t="s">
        <v>233</v>
      </c>
      <c r="R1440" s="276" t="s">
        <v>240</v>
      </c>
      <c r="S1440" s="276" t="s">
        <v>233</v>
      </c>
      <c r="T1440" s="185"/>
      <c r="U1440" s="174" t="s">
        <v>1427</v>
      </c>
      <c r="V1440" s="276" t="s">
        <v>240</v>
      </c>
      <c r="W1440" s="130"/>
      <c r="X1440" s="274">
        <v>425.13</v>
      </c>
      <c r="Y1440" s="126">
        <v>555.98</v>
      </c>
      <c r="Z1440" s="127">
        <f>26.31+55.3</f>
        <v>81.61</v>
      </c>
      <c r="AA1440" s="128" t="s">
        <v>259</v>
      </c>
      <c r="AB1440" s="274">
        <f>4.33+63.87</f>
        <v>68.2</v>
      </c>
      <c r="AC1440" s="128" t="s">
        <v>252</v>
      </c>
      <c r="AD1440" s="129">
        <f>5.99+88.21</f>
        <v>94.199999999999989</v>
      </c>
      <c r="AE1440" s="274" t="s">
        <v>252</v>
      </c>
      <c r="AF1440" s="274">
        <f>2.67+39.23</f>
        <v>41.9</v>
      </c>
      <c r="AG1440" s="274" t="s">
        <v>252</v>
      </c>
      <c r="AH1440" s="274">
        <f>1.15+17.02</f>
        <v>18.169999999999998</v>
      </c>
      <c r="AI1440" s="274" t="s">
        <v>252</v>
      </c>
      <c r="AJ1440" s="274">
        <v>0</v>
      </c>
      <c r="AK1440" s="274">
        <v>0</v>
      </c>
      <c r="AL1440" s="294"/>
      <c r="AM1440" s="294"/>
      <c r="AN1440" s="294"/>
      <c r="AO1440" s="294"/>
      <c r="AP1440" s="294"/>
      <c r="AQ1440" s="294"/>
      <c r="AR1440" s="294"/>
      <c r="AS1440" s="294"/>
      <c r="AT1440" s="294"/>
      <c r="AU1440" s="294"/>
      <c r="AV1440" s="294"/>
      <c r="AW1440" s="294"/>
      <c r="AX1440" s="294">
        <f t="shared" si="14"/>
        <v>304.08</v>
      </c>
      <c r="AY1440" s="292">
        <v>2.1560000000000001</v>
      </c>
      <c r="AZ1440" s="251" t="s">
        <v>253</v>
      </c>
      <c r="BA1440" s="181" t="s">
        <v>254</v>
      </c>
      <c r="BB1440" s="181" t="s">
        <v>1430</v>
      </c>
      <c r="BC1440" s="125" t="s">
        <v>255</v>
      </c>
    </row>
    <row r="1441" spans="1:55" ht="16.350000000000001" customHeight="1" outlineLevel="1">
      <c r="A1441" s="92">
        <v>1431</v>
      </c>
      <c r="B1441" s="99" t="s">
        <v>1217</v>
      </c>
      <c r="C1441" s="122" t="s">
        <v>884</v>
      </c>
      <c r="D1441" s="161" t="s">
        <v>899</v>
      </c>
      <c r="E1441" s="123" t="s">
        <v>734</v>
      </c>
      <c r="F1441" s="124" t="s">
        <v>1425</v>
      </c>
      <c r="G1441" s="133" t="s">
        <v>247</v>
      </c>
      <c r="H1441" s="134" t="s">
        <v>248</v>
      </c>
      <c r="I1441" s="173" t="s">
        <v>1426</v>
      </c>
      <c r="J1441" s="134" t="s">
        <v>139</v>
      </c>
      <c r="K1441" s="124" t="s">
        <v>140</v>
      </c>
      <c r="L1441" s="174">
        <v>1</v>
      </c>
      <c r="M1441" s="174" t="s">
        <v>250</v>
      </c>
      <c r="N1441" s="168">
        <v>89</v>
      </c>
      <c r="O1441" s="174">
        <v>5.8</v>
      </c>
      <c r="P1441" s="268" t="s">
        <v>253</v>
      </c>
      <c r="Q1441" s="174" t="s">
        <v>233</v>
      </c>
      <c r="R1441" s="276" t="s">
        <v>240</v>
      </c>
      <c r="S1441" s="276" t="s">
        <v>233</v>
      </c>
      <c r="T1441" s="185"/>
      <c r="U1441" s="174" t="s">
        <v>1427</v>
      </c>
      <c r="V1441" s="276" t="s">
        <v>240</v>
      </c>
      <c r="W1441" s="130"/>
      <c r="X1441" s="292">
        <v>1393.27</v>
      </c>
      <c r="Y1441" s="295">
        <v>2102.0100000000002</v>
      </c>
      <c r="Z1441" s="297">
        <f>25.99+208.78+5.96+25.96</f>
        <v>266.69</v>
      </c>
      <c r="AA1441" s="299" t="s">
        <v>259</v>
      </c>
      <c r="AB1441" s="292">
        <f>12.47+164.79+4.16+18.28</f>
        <v>199.7</v>
      </c>
      <c r="AC1441" s="299" t="s">
        <v>252</v>
      </c>
      <c r="AD1441" s="301">
        <f>17.38+229.92+5.8+25.5</f>
        <v>278.60000000000002</v>
      </c>
      <c r="AE1441" s="292" t="s">
        <v>252</v>
      </c>
      <c r="AF1441" s="292">
        <f>8.11+107.19+2.71+11.89</f>
        <v>129.89999999999998</v>
      </c>
      <c r="AG1441" s="292" t="s">
        <v>252</v>
      </c>
      <c r="AH1441" s="292">
        <f>3.58+47.37+1.19+5.26</f>
        <v>57.399999999999991</v>
      </c>
      <c r="AI1441" s="292" t="s">
        <v>252</v>
      </c>
      <c r="AJ1441" s="292">
        <v>0</v>
      </c>
      <c r="AK1441" s="292">
        <v>0</v>
      </c>
      <c r="AL1441" s="274">
        <v>0</v>
      </c>
      <c r="AM1441" s="274">
        <v>0</v>
      </c>
      <c r="AN1441" s="274">
        <v>0</v>
      </c>
      <c r="AO1441" s="274">
        <v>0</v>
      </c>
      <c r="AP1441" s="274"/>
      <c r="AQ1441" s="274"/>
      <c r="AR1441" s="274">
        <f>4.25+37.68+3.15</f>
        <v>45.08</v>
      </c>
      <c r="AS1441" s="274" t="s">
        <v>252</v>
      </c>
      <c r="AT1441" s="274">
        <f>4.69+41.54+3.46</f>
        <v>49.69</v>
      </c>
      <c r="AU1441" s="274" t="s">
        <v>252</v>
      </c>
      <c r="AV1441" s="274">
        <f>7.09+62.87+5.24</f>
        <v>75.199999999999989</v>
      </c>
      <c r="AW1441" s="274" t="s">
        <v>252</v>
      </c>
      <c r="AX1441" s="274">
        <f t="shared" si="14"/>
        <v>1102.26</v>
      </c>
      <c r="AY1441" s="293"/>
      <c r="AZ1441" s="250" t="s">
        <v>253</v>
      </c>
      <c r="BA1441" s="181" t="s">
        <v>254</v>
      </c>
      <c r="BB1441" s="125">
        <v>1</v>
      </c>
      <c r="BC1441" s="125" t="s">
        <v>255</v>
      </c>
    </row>
    <row r="1442" spans="1:55" ht="16.350000000000001" customHeight="1" outlineLevel="1">
      <c r="A1442" s="92">
        <v>1432</v>
      </c>
      <c r="B1442" s="99" t="s">
        <v>1218</v>
      </c>
      <c r="C1442" s="122" t="s">
        <v>1030</v>
      </c>
      <c r="D1442" s="161">
        <v>13</v>
      </c>
      <c r="E1442" s="123" t="s">
        <v>734</v>
      </c>
      <c r="F1442" s="124" t="s">
        <v>1425</v>
      </c>
      <c r="G1442" s="133" t="s">
        <v>247</v>
      </c>
      <c r="H1442" s="134" t="s">
        <v>248</v>
      </c>
      <c r="I1442" s="173" t="s">
        <v>1426</v>
      </c>
      <c r="J1442" s="134" t="s">
        <v>139</v>
      </c>
      <c r="K1442" s="124" t="s">
        <v>140</v>
      </c>
      <c r="L1442" s="174">
        <v>1</v>
      </c>
      <c r="M1442" s="174" t="s">
        <v>250</v>
      </c>
      <c r="N1442" s="174">
        <v>80</v>
      </c>
      <c r="O1442" s="174">
        <v>6</v>
      </c>
      <c r="P1442" s="268" t="s">
        <v>253</v>
      </c>
      <c r="Q1442" s="174" t="s">
        <v>233</v>
      </c>
      <c r="R1442" s="276" t="s">
        <v>240</v>
      </c>
      <c r="S1442" s="276" t="s">
        <v>233</v>
      </c>
      <c r="T1442" s="185"/>
      <c r="U1442" s="174" t="s">
        <v>1427</v>
      </c>
      <c r="V1442" s="276" t="s">
        <v>240</v>
      </c>
      <c r="W1442" s="130"/>
      <c r="X1442" s="294"/>
      <c r="Y1442" s="296"/>
      <c r="Z1442" s="298"/>
      <c r="AA1442" s="300"/>
      <c r="AB1442" s="294"/>
      <c r="AC1442" s="300"/>
      <c r="AD1442" s="302"/>
      <c r="AE1442" s="294"/>
      <c r="AF1442" s="294"/>
      <c r="AG1442" s="294"/>
      <c r="AH1442" s="294"/>
      <c r="AI1442" s="294"/>
      <c r="AJ1442" s="294"/>
      <c r="AK1442" s="294"/>
      <c r="AL1442" s="274">
        <v>0</v>
      </c>
      <c r="AM1442" s="274">
        <v>0</v>
      </c>
      <c r="AN1442" s="274">
        <v>0</v>
      </c>
      <c r="AO1442" s="274">
        <v>0</v>
      </c>
      <c r="AP1442" s="274"/>
      <c r="AQ1442" s="274"/>
      <c r="AR1442" s="274">
        <f>2.68+39.39</f>
        <v>42.07</v>
      </c>
      <c r="AS1442" s="274" t="s">
        <v>252</v>
      </c>
      <c r="AT1442" s="274">
        <f>2.81+41.29</f>
        <v>44.1</v>
      </c>
      <c r="AU1442" s="274" t="s">
        <v>252</v>
      </c>
      <c r="AV1442" s="274">
        <f>4.11+60.5</f>
        <v>64.61</v>
      </c>
      <c r="AW1442" s="274" t="s">
        <v>252</v>
      </c>
      <c r="AX1442" s="274">
        <f t="shared" si="14"/>
        <v>150.78</v>
      </c>
      <c r="AY1442" s="294"/>
      <c r="AZ1442" s="251" t="s">
        <v>253</v>
      </c>
      <c r="BA1442" s="181" t="s">
        <v>254</v>
      </c>
      <c r="BB1442" s="125">
        <v>1</v>
      </c>
      <c r="BC1442" s="125" t="s">
        <v>255</v>
      </c>
    </row>
    <row r="1443" spans="1:55" ht="16.350000000000001" customHeight="1" outlineLevel="1">
      <c r="A1443" s="92">
        <v>1433</v>
      </c>
      <c r="B1443" s="99" t="s">
        <v>1219</v>
      </c>
      <c r="C1443" s="122" t="s">
        <v>1114</v>
      </c>
      <c r="D1443" s="161" t="s">
        <v>1119</v>
      </c>
      <c r="E1443" s="123" t="s">
        <v>734</v>
      </c>
      <c r="F1443" s="124" t="s">
        <v>1425</v>
      </c>
      <c r="G1443" s="133" t="s">
        <v>247</v>
      </c>
      <c r="H1443" s="317" t="s">
        <v>248</v>
      </c>
      <c r="I1443" s="317" t="s">
        <v>1426</v>
      </c>
      <c r="J1443" s="317" t="s">
        <v>139</v>
      </c>
      <c r="K1443" s="317" t="s">
        <v>140</v>
      </c>
      <c r="L1443" s="317">
        <v>1</v>
      </c>
      <c r="M1443" s="317" t="s">
        <v>250</v>
      </c>
      <c r="N1443" s="167">
        <v>80</v>
      </c>
      <c r="O1443" s="174">
        <v>5.5</v>
      </c>
      <c r="P1443" s="268" t="s">
        <v>253</v>
      </c>
      <c r="Q1443" s="174" t="s">
        <v>233</v>
      </c>
      <c r="R1443" s="276" t="s">
        <v>240</v>
      </c>
      <c r="S1443" s="276" t="s">
        <v>233</v>
      </c>
      <c r="T1443" s="185"/>
      <c r="U1443" s="317" t="s">
        <v>1427</v>
      </c>
      <c r="V1443" s="276" t="s">
        <v>240</v>
      </c>
      <c r="W1443" s="165"/>
      <c r="X1443" s="274">
        <v>490.83</v>
      </c>
      <c r="Y1443" s="126">
        <v>677.11</v>
      </c>
      <c r="Z1443" s="127">
        <f>13.8+72.21</f>
        <v>86.009999999999991</v>
      </c>
      <c r="AA1443" s="128" t="s">
        <v>259</v>
      </c>
      <c r="AB1443" s="274">
        <f>5.62+69.48</f>
        <v>75.100000000000009</v>
      </c>
      <c r="AC1443" s="128" t="s">
        <v>252</v>
      </c>
      <c r="AD1443" s="129">
        <f>7.82+96.68</f>
        <v>104.5</v>
      </c>
      <c r="AE1443" s="274" t="s">
        <v>252</v>
      </c>
      <c r="AF1443" s="274">
        <f>3.65+45.05</f>
        <v>48.699999999999996</v>
      </c>
      <c r="AG1443" s="274" t="s">
        <v>252</v>
      </c>
      <c r="AH1443" s="274">
        <f>1.64+20.16</f>
        <v>21.8</v>
      </c>
      <c r="AI1443" s="274" t="s">
        <v>252</v>
      </c>
      <c r="AJ1443" s="274">
        <v>0</v>
      </c>
      <c r="AK1443" s="274">
        <v>0</v>
      </c>
      <c r="AL1443" s="292">
        <v>0</v>
      </c>
      <c r="AM1443" s="292">
        <v>0</v>
      </c>
      <c r="AN1443" s="292">
        <v>0</v>
      </c>
      <c r="AO1443" s="292">
        <v>0</v>
      </c>
      <c r="AP1443" s="292"/>
      <c r="AQ1443" s="292"/>
      <c r="AR1443" s="292">
        <f>7.43+98.17+2.48+10.88</f>
        <v>118.96</v>
      </c>
      <c r="AS1443" s="292" t="s">
        <v>252</v>
      </c>
      <c r="AT1443" s="292">
        <f>7.94+105.01+2.65+11.65</f>
        <v>127.25000000000001</v>
      </c>
      <c r="AU1443" s="292" t="s">
        <v>252</v>
      </c>
      <c r="AV1443" s="292">
        <f>11.32+149.63+3.78+16.6</f>
        <v>181.32999999999998</v>
      </c>
      <c r="AW1443" s="292" t="s">
        <v>252</v>
      </c>
      <c r="AX1443" s="292">
        <f t="shared" si="14"/>
        <v>763.65000000000009</v>
      </c>
      <c r="AY1443" s="292">
        <v>3.1560000000000001</v>
      </c>
      <c r="AZ1443" s="250" t="s">
        <v>253</v>
      </c>
      <c r="BA1443" s="181" t="s">
        <v>254</v>
      </c>
      <c r="BB1443" s="125">
        <v>1</v>
      </c>
      <c r="BC1443" s="292" t="s">
        <v>255</v>
      </c>
    </row>
    <row r="1444" spans="1:55" ht="16.350000000000001" customHeight="1" outlineLevel="1">
      <c r="A1444" s="92">
        <v>1434</v>
      </c>
      <c r="B1444" s="99" t="s">
        <v>1220</v>
      </c>
      <c r="C1444" s="122" t="s">
        <v>1114</v>
      </c>
      <c r="D1444" s="161" t="s">
        <v>1119</v>
      </c>
      <c r="E1444" s="123" t="s">
        <v>737</v>
      </c>
      <c r="F1444" s="124" t="s">
        <v>1425</v>
      </c>
      <c r="G1444" s="133" t="s">
        <v>247</v>
      </c>
      <c r="H1444" s="318"/>
      <c r="I1444" s="318"/>
      <c r="J1444" s="318"/>
      <c r="K1444" s="318"/>
      <c r="L1444" s="318"/>
      <c r="M1444" s="318"/>
      <c r="N1444" s="167">
        <v>80</v>
      </c>
      <c r="O1444" s="174">
        <v>6</v>
      </c>
      <c r="P1444" s="268" t="s">
        <v>253</v>
      </c>
      <c r="Q1444" s="174" t="s">
        <v>233</v>
      </c>
      <c r="R1444" s="276" t="s">
        <v>240</v>
      </c>
      <c r="S1444" s="276" t="s">
        <v>233</v>
      </c>
      <c r="T1444" s="185"/>
      <c r="U1444" s="318"/>
      <c r="V1444" s="276" t="s">
        <v>240</v>
      </c>
      <c r="W1444" s="169"/>
      <c r="X1444" s="274">
        <v>1297.48</v>
      </c>
      <c r="Y1444" s="126">
        <v>2032.92</v>
      </c>
      <c r="Z1444" s="127">
        <f>42.4+292</f>
        <v>334.4</v>
      </c>
      <c r="AA1444" s="128" t="s">
        <v>252</v>
      </c>
      <c r="AB1444" s="274">
        <f>25.45+175.35</f>
        <v>200.79999999999998</v>
      </c>
      <c r="AC1444" s="128" t="s">
        <v>252</v>
      </c>
      <c r="AD1444" s="129">
        <f>35.83+246.77</f>
        <v>282.60000000000002</v>
      </c>
      <c r="AE1444" s="274" t="s">
        <v>252</v>
      </c>
      <c r="AF1444" s="274">
        <f>13.78+94.92</f>
        <v>108.7</v>
      </c>
      <c r="AG1444" s="274" t="s">
        <v>252</v>
      </c>
      <c r="AH1444" s="274">
        <f>5.94+40.86</f>
        <v>46.8</v>
      </c>
      <c r="AI1444" s="274" t="s">
        <v>252</v>
      </c>
      <c r="AJ1444" s="274">
        <v>0</v>
      </c>
      <c r="AK1444" s="274">
        <v>0</v>
      </c>
      <c r="AL1444" s="294"/>
      <c r="AM1444" s="294"/>
      <c r="AN1444" s="294"/>
      <c r="AO1444" s="294"/>
      <c r="AP1444" s="294"/>
      <c r="AQ1444" s="294"/>
      <c r="AR1444" s="294"/>
      <c r="AS1444" s="294"/>
      <c r="AT1444" s="294"/>
      <c r="AU1444" s="294"/>
      <c r="AV1444" s="294"/>
      <c r="AW1444" s="294"/>
      <c r="AX1444" s="294">
        <f t="shared" si="14"/>
        <v>973.3</v>
      </c>
      <c r="AY1444" s="293"/>
      <c r="AZ1444" s="251" t="s">
        <v>253</v>
      </c>
      <c r="BA1444" s="181" t="s">
        <v>254</v>
      </c>
      <c r="BB1444" s="125">
        <v>1</v>
      </c>
      <c r="BC1444" s="293"/>
    </row>
    <row r="1445" spans="1:55" ht="16.350000000000001" customHeight="1" outlineLevel="1">
      <c r="A1445" s="92">
        <v>1435</v>
      </c>
      <c r="B1445" s="99" t="s">
        <v>1221</v>
      </c>
      <c r="C1445" s="122" t="s">
        <v>1114</v>
      </c>
      <c r="D1445" s="161" t="s">
        <v>1119</v>
      </c>
      <c r="E1445" s="123" t="s">
        <v>745</v>
      </c>
      <c r="F1445" s="124" t="s">
        <v>1425</v>
      </c>
      <c r="G1445" s="133" t="s">
        <v>247</v>
      </c>
      <c r="H1445" s="318"/>
      <c r="I1445" s="318"/>
      <c r="J1445" s="318"/>
      <c r="K1445" s="318"/>
      <c r="L1445" s="318"/>
      <c r="M1445" s="318"/>
      <c r="N1445" s="167">
        <v>80</v>
      </c>
      <c r="O1445" s="174">
        <v>4</v>
      </c>
      <c r="P1445" s="268" t="s">
        <v>1429</v>
      </c>
      <c r="Q1445" s="174" t="s">
        <v>233</v>
      </c>
      <c r="R1445" s="276" t="s">
        <v>240</v>
      </c>
      <c r="S1445" s="276" t="s">
        <v>233</v>
      </c>
      <c r="T1445" s="185"/>
      <c r="U1445" s="318"/>
      <c r="V1445" s="276" t="s">
        <v>240</v>
      </c>
      <c r="W1445" s="169"/>
      <c r="X1445" s="274">
        <v>473.46</v>
      </c>
      <c r="Y1445" s="126">
        <v>627.79999999999995</v>
      </c>
      <c r="Z1445" s="127">
        <f>36.1+46.21</f>
        <v>82.31</v>
      </c>
      <c r="AA1445" s="128" t="s">
        <v>259</v>
      </c>
      <c r="AB1445" s="274">
        <f>35.59+45.91</f>
        <v>81.5</v>
      </c>
      <c r="AC1445" s="128" t="s">
        <v>252</v>
      </c>
      <c r="AD1445" s="129">
        <f>49.48+63.82</f>
        <v>113.3</v>
      </c>
      <c r="AE1445" s="274" t="s">
        <v>252</v>
      </c>
      <c r="AF1445" s="274">
        <f>22.24+28.66</f>
        <v>50.9</v>
      </c>
      <c r="AG1445" s="274" t="s">
        <v>252</v>
      </c>
      <c r="AH1445" s="274">
        <f>9.42+12.18</f>
        <v>21.6</v>
      </c>
      <c r="AI1445" s="274" t="s">
        <v>252</v>
      </c>
      <c r="AJ1445" s="274">
        <v>0</v>
      </c>
      <c r="AK1445" s="274">
        <v>0</v>
      </c>
      <c r="AL1445" s="274">
        <v>0</v>
      </c>
      <c r="AM1445" s="274">
        <v>0</v>
      </c>
      <c r="AN1445" s="274">
        <v>0</v>
      </c>
      <c r="AO1445" s="274">
        <v>0</v>
      </c>
      <c r="AP1445" s="274"/>
      <c r="AQ1445" s="274"/>
      <c r="AR1445" s="274">
        <f>3.21+39.61</f>
        <v>42.82</v>
      </c>
      <c r="AS1445" s="274" t="s">
        <v>252</v>
      </c>
      <c r="AT1445" s="274">
        <f>3.5+43.29</f>
        <v>46.79</v>
      </c>
      <c r="AU1445" s="274" t="s">
        <v>252</v>
      </c>
      <c r="AV1445" s="274">
        <f>4.95+61.22</f>
        <v>66.17</v>
      </c>
      <c r="AW1445" s="274" t="s">
        <v>252</v>
      </c>
      <c r="AX1445" s="274">
        <f t="shared" si="14"/>
        <v>505.39000000000004</v>
      </c>
      <c r="AY1445" s="294"/>
      <c r="AZ1445" s="250" t="s">
        <v>253</v>
      </c>
      <c r="BA1445" s="181" t="s">
        <v>254</v>
      </c>
      <c r="BB1445" s="125">
        <v>1</v>
      </c>
      <c r="BC1445" s="293"/>
    </row>
    <row r="1446" spans="1:55" ht="16.350000000000001" customHeight="1" outlineLevel="1">
      <c r="A1446" s="92">
        <v>1436</v>
      </c>
      <c r="B1446" s="99" t="s">
        <v>1222</v>
      </c>
      <c r="C1446" s="122" t="s">
        <v>1114</v>
      </c>
      <c r="D1446" s="161" t="s">
        <v>1119</v>
      </c>
      <c r="E1446" s="123" t="s">
        <v>760</v>
      </c>
      <c r="F1446" s="124" t="s">
        <v>1425</v>
      </c>
      <c r="G1446" s="133" t="s">
        <v>247</v>
      </c>
      <c r="H1446" s="319"/>
      <c r="I1446" s="319"/>
      <c r="J1446" s="319"/>
      <c r="K1446" s="319"/>
      <c r="L1446" s="319"/>
      <c r="M1446" s="319"/>
      <c r="N1446" s="167">
        <v>80</v>
      </c>
      <c r="O1446" s="174">
        <v>6</v>
      </c>
      <c r="P1446" s="268" t="s">
        <v>253</v>
      </c>
      <c r="Q1446" s="174" t="s">
        <v>233</v>
      </c>
      <c r="R1446" s="276" t="s">
        <v>240</v>
      </c>
      <c r="S1446" s="276" t="s">
        <v>233</v>
      </c>
      <c r="T1446" s="185"/>
      <c r="U1446" s="319"/>
      <c r="V1446" s="276" t="s">
        <v>240</v>
      </c>
      <c r="W1446" s="166"/>
      <c r="X1446" s="274">
        <v>1594.36</v>
      </c>
      <c r="Y1446" s="126">
        <v>1725.19</v>
      </c>
      <c r="Z1446" s="127">
        <v>206.8467282</v>
      </c>
      <c r="AA1446" s="128" t="s">
        <v>252</v>
      </c>
      <c r="AB1446" s="274">
        <v>147.447675</v>
      </c>
      <c r="AC1446" s="128" t="s">
        <v>252</v>
      </c>
      <c r="AD1446" s="129">
        <v>208.815426</v>
      </c>
      <c r="AE1446" s="274" t="s">
        <v>252</v>
      </c>
      <c r="AF1446" s="274">
        <v>118.542564</v>
      </c>
      <c r="AG1446" s="274" t="s">
        <v>252</v>
      </c>
      <c r="AH1446" s="274">
        <v>38.535035000000001</v>
      </c>
      <c r="AI1446" s="274" t="s">
        <v>252</v>
      </c>
      <c r="AJ1446" s="274">
        <v>0</v>
      </c>
      <c r="AK1446" s="274">
        <v>0</v>
      </c>
      <c r="AL1446" s="274">
        <v>0</v>
      </c>
      <c r="AM1446" s="274">
        <v>0</v>
      </c>
      <c r="AN1446" s="274">
        <v>0</v>
      </c>
      <c r="AO1446" s="274">
        <v>0</v>
      </c>
      <c r="AP1446" s="274"/>
      <c r="AQ1446" s="274"/>
      <c r="AR1446" s="274">
        <f>15.48+106.55</f>
        <v>122.03</v>
      </c>
      <c r="AS1446" s="274" t="s">
        <v>252</v>
      </c>
      <c r="AT1446" s="274">
        <f>17.48+120.4</f>
        <v>137.88</v>
      </c>
      <c r="AU1446" s="274" t="s">
        <v>252</v>
      </c>
      <c r="AV1446" s="274">
        <f>23.61+162.62</f>
        <v>186.23000000000002</v>
      </c>
      <c r="AW1446" s="274" t="s">
        <v>252</v>
      </c>
      <c r="AX1446" s="274">
        <f t="shared" si="14"/>
        <v>1166.3274282</v>
      </c>
      <c r="AY1446" s="292">
        <v>4.1559999999999997</v>
      </c>
      <c r="AZ1446" s="251" t="s">
        <v>253</v>
      </c>
      <c r="BA1446" s="181" t="s">
        <v>254</v>
      </c>
      <c r="BB1446" s="125">
        <v>1</v>
      </c>
      <c r="BC1446" s="294"/>
    </row>
    <row r="1447" spans="1:55" ht="16.350000000000001" customHeight="1" outlineLevel="1">
      <c r="A1447" s="92">
        <v>1437</v>
      </c>
      <c r="B1447" s="99" t="s">
        <v>1223</v>
      </c>
      <c r="C1447" s="122" t="s">
        <v>1135</v>
      </c>
      <c r="D1447" s="161" t="s">
        <v>1136</v>
      </c>
      <c r="E1447" s="123" t="s">
        <v>734</v>
      </c>
      <c r="F1447" s="124" t="s">
        <v>1425</v>
      </c>
      <c r="G1447" s="133" t="s">
        <v>247</v>
      </c>
      <c r="H1447" s="134" t="s">
        <v>1424</v>
      </c>
      <c r="I1447" s="134" t="s">
        <v>1426</v>
      </c>
      <c r="J1447" s="134" t="s">
        <v>139</v>
      </c>
      <c r="K1447" s="124" t="s">
        <v>140</v>
      </c>
      <c r="L1447" s="174">
        <v>0</v>
      </c>
      <c r="M1447" s="174" t="s">
        <v>250</v>
      </c>
      <c r="N1447" s="167">
        <v>80</v>
      </c>
      <c r="O1447" s="174">
        <v>6</v>
      </c>
      <c r="P1447" s="268" t="s">
        <v>1429</v>
      </c>
      <c r="Q1447" s="174" t="s">
        <v>240</v>
      </c>
      <c r="R1447" s="276" t="s">
        <v>240</v>
      </c>
      <c r="S1447" s="276" t="s">
        <v>233</v>
      </c>
      <c r="T1447" s="185"/>
      <c r="U1447" s="174" t="s">
        <v>1427</v>
      </c>
      <c r="V1447" s="276" t="s">
        <v>240</v>
      </c>
      <c r="W1447" s="130"/>
      <c r="X1447" s="274">
        <v>465.55</v>
      </c>
      <c r="Y1447" s="126">
        <v>476.46</v>
      </c>
      <c r="Z1447" s="127">
        <v>65.213059799999996</v>
      </c>
      <c r="AA1447" s="128" t="s">
        <v>252</v>
      </c>
      <c r="AB1447" s="274">
        <v>45.885419999999996</v>
      </c>
      <c r="AC1447" s="128" t="s">
        <v>252</v>
      </c>
      <c r="AD1447" s="129">
        <v>65.339334000000008</v>
      </c>
      <c r="AE1447" s="274" t="s">
        <v>252</v>
      </c>
      <c r="AF1447" s="274">
        <v>37.237259999999999</v>
      </c>
      <c r="AG1447" s="274" t="s">
        <v>252</v>
      </c>
      <c r="AH1447" s="274">
        <v>10.141893999999999</v>
      </c>
      <c r="AI1447" s="274" t="s">
        <v>252</v>
      </c>
      <c r="AJ1447" s="274">
        <v>0</v>
      </c>
      <c r="AK1447" s="274">
        <v>0</v>
      </c>
      <c r="AL1447" s="274">
        <v>0</v>
      </c>
      <c r="AM1447" s="274">
        <v>0</v>
      </c>
      <c r="AN1447" s="274">
        <v>0</v>
      </c>
      <c r="AO1447" s="274">
        <v>0</v>
      </c>
      <c r="AP1447" s="274"/>
      <c r="AQ1447" s="274"/>
      <c r="AR1447" s="274">
        <f>20.55+26.43</f>
        <v>46.980000000000004</v>
      </c>
      <c r="AS1447" s="274" t="s">
        <v>252</v>
      </c>
      <c r="AT1447" s="274">
        <f>21.81+28.12</f>
        <v>49.93</v>
      </c>
      <c r="AU1447" s="274" t="s">
        <v>252</v>
      </c>
      <c r="AV1447" s="274">
        <f>30.79+39.69</f>
        <v>70.47999999999999</v>
      </c>
      <c r="AW1447" s="274" t="s">
        <v>252</v>
      </c>
      <c r="AX1447" s="274">
        <f t="shared" si="14"/>
        <v>391.20696780000003</v>
      </c>
      <c r="AY1447" s="293"/>
      <c r="AZ1447" s="250" t="s">
        <v>253</v>
      </c>
      <c r="BA1447" s="181" t="s">
        <v>254</v>
      </c>
      <c r="BB1447" s="125">
        <v>1</v>
      </c>
      <c r="BC1447" s="125" t="s">
        <v>255</v>
      </c>
    </row>
    <row r="1448" spans="1:55" ht="16.350000000000001" customHeight="1" outlineLevel="1">
      <c r="A1448" s="92">
        <v>1438</v>
      </c>
      <c r="B1448" s="99" t="s">
        <v>1224</v>
      </c>
      <c r="C1448" s="122" t="s">
        <v>1157</v>
      </c>
      <c r="D1448" s="161">
        <v>7</v>
      </c>
      <c r="E1448" s="123" t="s">
        <v>734</v>
      </c>
      <c r="F1448" s="124" t="s">
        <v>1425</v>
      </c>
      <c r="G1448" s="133" t="s">
        <v>247</v>
      </c>
      <c r="H1448" s="134" t="s">
        <v>248</v>
      </c>
      <c r="I1448" s="134" t="s">
        <v>1426</v>
      </c>
      <c r="J1448" s="134" t="s">
        <v>139</v>
      </c>
      <c r="K1448" s="124" t="s">
        <v>140</v>
      </c>
      <c r="L1448" s="174">
        <v>0</v>
      </c>
      <c r="M1448" s="174" t="s">
        <v>250</v>
      </c>
      <c r="N1448" s="167">
        <v>80</v>
      </c>
      <c r="O1448" s="174">
        <v>5.8</v>
      </c>
      <c r="P1448" s="268" t="s">
        <v>253</v>
      </c>
      <c r="Q1448" s="174" t="s">
        <v>240</v>
      </c>
      <c r="R1448" s="276" t="s">
        <v>240</v>
      </c>
      <c r="S1448" s="276" t="s">
        <v>233</v>
      </c>
      <c r="T1448" s="185"/>
      <c r="U1448" s="174" t="s">
        <v>1427</v>
      </c>
      <c r="V1448" s="276" t="s">
        <v>240</v>
      </c>
      <c r="W1448" s="130"/>
      <c r="X1448" s="274">
        <v>672.79</v>
      </c>
      <c r="Y1448" s="126">
        <v>656.6</v>
      </c>
      <c r="Z1448" s="127">
        <v>95.108504400000001</v>
      </c>
      <c r="AA1448" s="128" t="s">
        <v>252</v>
      </c>
      <c r="AB1448" s="274">
        <v>67.922280000000001</v>
      </c>
      <c r="AC1448" s="128" t="s">
        <v>252</v>
      </c>
      <c r="AD1448" s="129">
        <v>98.455320000000015</v>
      </c>
      <c r="AE1448" s="274" t="s">
        <v>252</v>
      </c>
      <c r="AF1448" s="274">
        <v>49.768270000000001</v>
      </c>
      <c r="AG1448" s="274" t="s">
        <v>252</v>
      </c>
      <c r="AH1448" s="274">
        <v>13.103993000000001</v>
      </c>
      <c r="AI1448" s="274" t="s">
        <v>252</v>
      </c>
      <c r="AJ1448" s="274">
        <v>0</v>
      </c>
      <c r="AK1448" s="274">
        <v>0</v>
      </c>
      <c r="AL1448" s="274">
        <v>0</v>
      </c>
      <c r="AM1448" s="274">
        <v>0</v>
      </c>
      <c r="AN1448" s="274">
        <v>0</v>
      </c>
      <c r="AO1448" s="274">
        <v>0</v>
      </c>
      <c r="AP1448" s="274"/>
      <c r="AQ1448" s="274"/>
      <c r="AR1448" s="274">
        <v>219.78335216160002</v>
      </c>
      <c r="AS1448" s="274" t="s">
        <v>312</v>
      </c>
      <c r="AT1448" s="274">
        <v>146.55067202070001</v>
      </c>
      <c r="AU1448" s="274" t="s">
        <v>312</v>
      </c>
      <c r="AV1448" s="274">
        <v>218.56958399999999</v>
      </c>
      <c r="AW1448" s="274" t="s">
        <v>252</v>
      </c>
      <c r="AX1448" s="274">
        <f t="shared" si="14"/>
        <v>909.26197558230012</v>
      </c>
      <c r="AY1448" s="294"/>
      <c r="AZ1448" s="251" t="s">
        <v>253</v>
      </c>
      <c r="BA1448" s="181" t="s">
        <v>254</v>
      </c>
      <c r="BB1448" s="125">
        <v>1</v>
      </c>
      <c r="BC1448" s="125" t="s">
        <v>255</v>
      </c>
    </row>
    <row r="1449" spans="1:55" ht="16.350000000000001" customHeight="1" outlineLevel="1">
      <c r="A1449" s="92">
        <v>1439</v>
      </c>
      <c r="B1449" s="99" t="s">
        <v>1226</v>
      </c>
      <c r="C1449" s="122" t="s">
        <v>1167</v>
      </c>
      <c r="D1449" s="161" t="s">
        <v>1168</v>
      </c>
      <c r="E1449" s="123" t="s">
        <v>734</v>
      </c>
      <c r="F1449" s="124" t="s">
        <v>1425</v>
      </c>
      <c r="G1449" s="133" t="s">
        <v>247</v>
      </c>
      <c r="H1449" s="134" t="s">
        <v>1424</v>
      </c>
      <c r="I1449" s="134" t="s">
        <v>1426</v>
      </c>
      <c r="J1449" s="134" t="s">
        <v>139</v>
      </c>
      <c r="K1449" s="124" t="s">
        <v>140</v>
      </c>
      <c r="L1449" s="174">
        <v>1</v>
      </c>
      <c r="M1449" s="174" t="s">
        <v>250</v>
      </c>
      <c r="N1449" s="167">
        <v>80</v>
      </c>
      <c r="O1449" s="174">
        <v>6</v>
      </c>
      <c r="P1449" s="268" t="s">
        <v>253</v>
      </c>
      <c r="Q1449" s="174" t="s">
        <v>233</v>
      </c>
      <c r="R1449" s="276" t="s">
        <v>240</v>
      </c>
      <c r="S1449" s="276" t="s">
        <v>233</v>
      </c>
      <c r="T1449" s="185"/>
      <c r="U1449" s="174" t="s">
        <v>1427</v>
      </c>
      <c r="V1449" s="276" t="s">
        <v>240</v>
      </c>
      <c r="W1449" s="130"/>
      <c r="X1449" s="303">
        <v>231.14</v>
      </c>
      <c r="Y1449" s="304">
        <v>225.23</v>
      </c>
      <c r="Z1449" s="305">
        <f>3.49+8.2+3.49+10.72</f>
        <v>25.9</v>
      </c>
      <c r="AA1449" s="306" t="s">
        <v>259</v>
      </c>
      <c r="AB1449" s="303">
        <f>2.8+8.2+3.49+10.72</f>
        <v>25.21</v>
      </c>
      <c r="AC1449" s="306" t="s">
        <v>259</v>
      </c>
      <c r="AD1449" s="307">
        <f>3.4+8.2+3.49+10.72</f>
        <v>25.810000000000002</v>
      </c>
      <c r="AE1449" s="303" t="s">
        <v>259</v>
      </c>
      <c r="AF1449" s="303">
        <f>2.17+8.2+3.49+10.72</f>
        <v>24.58</v>
      </c>
      <c r="AG1449" s="303" t="s">
        <v>259</v>
      </c>
      <c r="AH1449" s="303">
        <f>0.35+2.38+1.01+3.11</f>
        <v>6.85</v>
      </c>
      <c r="AI1449" s="303" t="s">
        <v>259</v>
      </c>
      <c r="AJ1449" s="303">
        <v>0</v>
      </c>
      <c r="AK1449" s="303">
        <v>0</v>
      </c>
      <c r="AL1449" s="274">
        <v>0</v>
      </c>
      <c r="AM1449" s="274">
        <v>0</v>
      </c>
      <c r="AN1449" s="274">
        <v>0</v>
      </c>
      <c r="AO1449" s="274">
        <v>0</v>
      </c>
      <c r="AP1449" s="274"/>
      <c r="AQ1449" s="274"/>
      <c r="AR1449" s="274">
        <v>41.237423999999997</v>
      </c>
      <c r="AS1449" s="274" t="s">
        <v>252</v>
      </c>
      <c r="AT1449" s="274">
        <v>38.091617999999997</v>
      </c>
      <c r="AU1449" s="274" t="s">
        <v>252</v>
      </c>
      <c r="AV1449" s="274">
        <v>53.569104000000003</v>
      </c>
      <c r="AW1449" s="274" t="s">
        <v>252</v>
      </c>
      <c r="AX1449" s="274">
        <f t="shared" si="14"/>
        <v>241.24814599999999</v>
      </c>
      <c r="AY1449" s="292">
        <v>5.1559999999999997</v>
      </c>
      <c r="AZ1449" s="250" t="s">
        <v>253</v>
      </c>
      <c r="BA1449" s="181" t="s">
        <v>254</v>
      </c>
      <c r="BB1449" s="125">
        <v>1</v>
      </c>
      <c r="BC1449" s="125" t="s">
        <v>255</v>
      </c>
    </row>
    <row r="1450" spans="1:55" ht="16.350000000000001" customHeight="1" outlineLevel="1">
      <c r="A1450" s="92">
        <v>1440</v>
      </c>
      <c r="B1450" s="99" t="s">
        <v>1227</v>
      </c>
      <c r="C1450" s="122" t="s">
        <v>1167</v>
      </c>
      <c r="D1450" s="161" t="s">
        <v>165</v>
      </c>
      <c r="E1450" s="123" t="s">
        <v>734</v>
      </c>
      <c r="F1450" s="124" t="s">
        <v>1234</v>
      </c>
      <c r="G1450" s="133" t="s">
        <v>281</v>
      </c>
      <c r="H1450" s="134" t="s">
        <v>248</v>
      </c>
      <c r="I1450" s="134" t="s">
        <v>1426</v>
      </c>
      <c r="J1450" s="134" t="s">
        <v>139</v>
      </c>
      <c r="K1450" s="124" t="s">
        <v>140</v>
      </c>
      <c r="L1450" s="174">
        <v>0</v>
      </c>
      <c r="M1450" s="174" t="s">
        <v>250</v>
      </c>
      <c r="N1450" s="167">
        <v>80</v>
      </c>
      <c r="O1450" s="174">
        <v>6</v>
      </c>
      <c r="P1450" s="268" t="s">
        <v>253</v>
      </c>
      <c r="Q1450" s="174" t="s">
        <v>240</v>
      </c>
      <c r="R1450" s="276" t="s">
        <v>240</v>
      </c>
      <c r="S1450" s="276" t="s">
        <v>233</v>
      </c>
      <c r="T1450" s="185"/>
      <c r="U1450" s="174" t="s">
        <v>1427</v>
      </c>
      <c r="V1450" s="276" t="s">
        <v>240</v>
      </c>
      <c r="W1450" s="130"/>
      <c r="X1450" s="303"/>
      <c r="Y1450" s="304"/>
      <c r="Z1450" s="305"/>
      <c r="AA1450" s="306"/>
      <c r="AB1450" s="303"/>
      <c r="AC1450" s="306"/>
      <c r="AD1450" s="307"/>
      <c r="AE1450" s="303"/>
      <c r="AF1450" s="303"/>
      <c r="AG1450" s="303"/>
      <c r="AH1450" s="303"/>
      <c r="AI1450" s="303"/>
      <c r="AJ1450" s="303"/>
      <c r="AK1450" s="303"/>
      <c r="AL1450" s="274">
        <v>0</v>
      </c>
      <c r="AM1450" s="274">
        <v>0</v>
      </c>
      <c r="AN1450" s="274">
        <v>0</v>
      </c>
      <c r="AO1450" s="274">
        <v>0</v>
      </c>
      <c r="AP1450" s="274"/>
      <c r="AQ1450" s="274"/>
      <c r="AR1450" s="274">
        <v>59.890127999999997</v>
      </c>
      <c r="AS1450" s="274" t="s">
        <v>252</v>
      </c>
      <c r="AT1450" s="274">
        <v>44.729631000000005</v>
      </c>
      <c r="AU1450" s="274" t="s">
        <v>252</v>
      </c>
      <c r="AV1450" s="274">
        <v>67.112927999999997</v>
      </c>
      <c r="AW1450" s="274" t="s">
        <v>252</v>
      </c>
      <c r="AX1450" s="274">
        <f t="shared" si="14"/>
        <v>171.732687</v>
      </c>
      <c r="AY1450" s="293"/>
      <c r="AZ1450" s="251" t="s">
        <v>253</v>
      </c>
      <c r="BA1450" s="181" t="s">
        <v>254</v>
      </c>
      <c r="BB1450" s="125">
        <v>1</v>
      </c>
      <c r="BC1450" s="125" t="s">
        <v>255</v>
      </c>
    </row>
    <row r="1451" spans="1:55" ht="16.350000000000001" customHeight="1" outlineLevel="1">
      <c r="A1451" s="92">
        <v>1441</v>
      </c>
      <c r="B1451" s="99" t="s">
        <v>1228</v>
      </c>
      <c r="C1451" s="122" t="s">
        <v>1048</v>
      </c>
      <c r="D1451" s="161">
        <v>24</v>
      </c>
      <c r="E1451" s="123" t="s">
        <v>734</v>
      </c>
      <c r="F1451" s="124" t="s">
        <v>1425</v>
      </c>
      <c r="G1451" s="133" t="s">
        <v>247</v>
      </c>
      <c r="H1451" s="134" t="s">
        <v>1424</v>
      </c>
      <c r="I1451" s="134" t="s">
        <v>1426</v>
      </c>
      <c r="J1451" s="134" t="s">
        <v>139</v>
      </c>
      <c r="K1451" s="124" t="s">
        <v>140</v>
      </c>
      <c r="L1451" s="174">
        <v>0</v>
      </c>
      <c r="M1451" s="174" t="s">
        <v>250</v>
      </c>
      <c r="N1451" s="167">
        <v>80</v>
      </c>
      <c r="O1451" s="174">
        <v>5.8</v>
      </c>
      <c r="P1451" s="268" t="s">
        <v>253</v>
      </c>
      <c r="Q1451" s="174" t="s">
        <v>233</v>
      </c>
      <c r="R1451" s="276" t="s">
        <v>240</v>
      </c>
      <c r="S1451" s="276" t="s">
        <v>233</v>
      </c>
      <c r="T1451" s="185"/>
      <c r="U1451" s="174" t="s">
        <v>1427</v>
      </c>
      <c r="V1451" s="276" t="s">
        <v>240</v>
      </c>
      <c r="W1451" s="130"/>
      <c r="X1451" s="303"/>
      <c r="Y1451" s="304"/>
      <c r="Z1451" s="305"/>
      <c r="AA1451" s="306"/>
      <c r="AB1451" s="303"/>
      <c r="AC1451" s="306"/>
      <c r="AD1451" s="307"/>
      <c r="AE1451" s="303"/>
      <c r="AF1451" s="303"/>
      <c r="AG1451" s="303"/>
      <c r="AH1451" s="303"/>
      <c r="AI1451" s="303"/>
      <c r="AJ1451" s="303"/>
      <c r="AK1451" s="303"/>
      <c r="AL1451" s="274">
        <v>0</v>
      </c>
      <c r="AM1451" s="274">
        <v>0</v>
      </c>
      <c r="AN1451" s="274">
        <v>0</v>
      </c>
      <c r="AO1451" s="274">
        <v>0</v>
      </c>
      <c r="AP1451" s="274"/>
      <c r="AQ1451" s="274"/>
      <c r="AR1451" s="274">
        <f>5.53+42.82</f>
        <v>48.35</v>
      </c>
      <c r="AS1451" s="274" t="s">
        <v>252</v>
      </c>
      <c r="AT1451" s="274">
        <f>6.12+47.47</f>
        <v>53.589999999999996</v>
      </c>
      <c r="AU1451" s="274" t="s">
        <v>252</v>
      </c>
      <c r="AV1451" s="274">
        <f>8.65+67.07</f>
        <v>75.72</v>
      </c>
      <c r="AW1451" s="274" t="s">
        <v>252</v>
      </c>
      <c r="AX1451" s="274">
        <f t="shared" ref="AX1451:AX1456" si="15">Z1451+AB1451+AD1451+AF1451+AH1451+AJ1451+AL1451+AN1451+AP1451+AR1451+AT1451+AV1451</f>
        <v>177.66</v>
      </c>
      <c r="AY1451" s="294"/>
      <c r="AZ1451" s="250" t="s">
        <v>253</v>
      </c>
      <c r="BA1451" s="181" t="s">
        <v>254</v>
      </c>
      <c r="BB1451" s="125">
        <v>1</v>
      </c>
      <c r="BC1451" s="125" t="s">
        <v>255</v>
      </c>
    </row>
    <row r="1452" spans="1:55" ht="16.350000000000001" customHeight="1" outlineLevel="1">
      <c r="A1452" s="92">
        <v>1442</v>
      </c>
      <c r="B1452" s="99" t="s">
        <v>1229</v>
      </c>
      <c r="C1452" s="122" t="s">
        <v>980</v>
      </c>
      <c r="D1452" s="161">
        <v>28</v>
      </c>
      <c r="E1452" s="123" t="s">
        <v>734</v>
      </c>
      <c r="F1452" s="124" t="s">
        <v>1425</v>
      </c>
      <c r="G1452" s="133" t="s">
        <v>247</v>
      </c>
      <c r="H1452" s="134" t="s">
        <v>248</v>
      </c>
      <c r="I1452" s="134" t="s">
        <v>1426</v>
      </c>
      <c r="J1452" s="134" t="s">
        <v>139</v>
      </c>
      <c r="K1452" s="124" t="s">
        <v>140</v>
      </c>
      <c r="L1452" s="174">
        <v>0</v>
      </c>
      <c r="M1452" s="174" t="s">
        <v>250</v>
      </c>
      <c r="N1452" s="167">
        <v>80</v>
      </c>
      <c r="O1452" s="174">
        <v>6</v>
      </c>
      <c r="P1452" s="268" t="s">
        <v>253</v>
      </c>
      <c r="Q1452" s="174" t="s">
        <v>233</v>
      </c>
      <c r="R1452" s="276" t="s">
        <v>240</v>
      </c>
      <c r="S1452" s="276" t="s">
        <v>233</v>
      </c>
      <c r="T1452" s="185"/>
      <c r="U1452" s="174" t="s">
        <v>1427</v>
      </c>
      <c r="V1452" s="276" t="s">
        <v>240</v>
      </c>
      <c r="W1452" s="130"/>
      <c r="X1452" s="274">
        <v>1195.44</v>
      </c>
      <c r="Y1452" s="126">
        <v>1730.59</v>
      </c>
      <c r="Z1452" s="127">
        <f>22.33+173.78</f>
        <v>196.11</v>
      </c>
      <c r="AA1452" s="128" t="s">
        <v>259</v>
      </c>
      <c r="AB1452" s="274">
        <f>22.33+173.78</f>
        <v>196.11</v>
      </c>
      <c r="AC1452" s="128" t="s">
        <v>259</v>
      </c>
      <c r="AD1452" s="129">
        <f>22.33+173.78</f>
        <v>196.11</v>
      </c>
      <c r="AE1452" s="274" t="s">
        <v>259</v>
      </c>
      <c r="AF1452" s="274">
        <f>22.33+173.78</f>
        <v>196.11</v>
      </c>
      <c r="AG1452" s="274" t="s">
        <v>259</v>
      </c>
      <c r="AH1452" s="274">
        <f>6.48+50.45</f>
        <v>56.930000000000007</v>
      </c>
      <c r="AI1452" s="274" t="s">
        <v>259</v>
      </c>
      <c r="AJ1452" s="274">
        <v>0</v>
      </c>
      <c r="AK1452" s="274">
        <v>0</v>
      </c>
      <c r="AL1452" s="274">
        <v>0</v>
      </c>
      <c r="AM1452" s="274">
        <v>0</v>
      </c>
      <c r="AN1452" s="274">
        <v>0</v>
      </c>
      <c r="AO1452" s="274">
        <v>0</v>
      </c>
      <c r="AP1452" s="274"/>
      <c r="AQ1452" s="274"/>
      <c r="AR1452" s="274">
        <f>13.35+85.74</f>
        <v>99.089999999999989</v>
      </c>
      <c r="AS1452" s="274" t="s">
        <v>252</v>
      </c>
      <c r="AT1452" s="274">
        <f>15.39+98.86</f>
        <v>114.25</v>
      </c>
      <c r="AU1452" s="274" t="s">
        <v>252</v>
      </c>
      <c r="AV1452" s="274">
        <f>24.36+137.02</f>
        <v>161.38</v>
      </c>
      <c r="AW1452" s="274" t="s">
        <v>259</v>
      </c>
      <c r="AX1452" s="274">
        <f t="shared" si="15"/>
        <v>1216.0900000000001</v>
      </c>
      <c r="AY1452" s="274">
        <f>0.1216+0.0073+0.0011</f>
        <v>0.12999999999999998</v>
      </c>
      <c r="AZ1452" s="251" t="s">
        <v>253</v>
      </c>
      <c r="BA1452" s="181" t="s">
        <v>254</v>
      </c>
      <c r="BB1452" s="125">
        <v>1</v>
      </c>
      <c r="BC1452" s="125" t="s">
        <v>255</v>
      </c>
    </row>
    <row r="1453" spans="1:55" ht="16.350000000000001" customHeight="1" outlineLevel="1">
      <c r="A1453" s="92">
        <v>1443</v>
      </c>
      <c r="B1453" s="99" t="s">
        <v>1230</v>
      </c>
      <c r="C1453" s="122" t="s">
        <v>985</v>
      </c>
      <c r="D1453" s="161" t="s">
        <v>257</v>
      </c>
      <c r="E1453" s="123" t="s">
        <v>734</v>
      </c>
      <c r="F1453" s="124" t="s">
        <v>1425</v>
      </c>
      <c r="G1453" s="133" t="s">
        <v>247</v>
      </c>
      <c r="H1453" s="134" t="s">
        <v>1424</v>
      </c>
      <c r="I1453" s="134" t="s">
        <v>1426</v>
      </c>
      <c r="J1453" s="134" t="s">
        <v>139</v>
      </c>
      <c r="K1453" s="124" t="s">
        <v>140</v>
      </c>
      <c r="L1453" s="174">
        <v>1</v>
      </c>
      <c r="M1453" s="174" t="s">
        <v>250</v>
      </c>
      <c r="N1453" s="167">
        <v>80</v>
      </c>
      <c r="O1453" s="174">
        <v>4</v>
      </c>
      <c r="P1453" s="268" t="s">
        <v>253</v>
      </c>
      <c r="Q1453" s="174" t="s">
        <v>233</v>
      </c>
      <c r="R1453" s="276" t="s">
        <v>240</v>
      </c>
      <c r="S1453" s="276" t="s">
        <v>233</v>
      </c>
      <c r="T1453" s="185"/>
      <c r="U1453" s="174" t="s">
        <v>1427</v>
      </c>
      <c r="V1453" s="276" t="s">
        <v>240</v>
      </c>
      <c r="W1453" s="130"/>
      <c r="X1453" s="274">
        <v>512.32000000000005</v>
      </c>
      <c r="Y1453" s="126">
        <v>706.32</v>
      </c>
      <c r="Z1453" s="127">
        <f>17.72+68.64</f>
        <v>86.36</v>
      </c>
      <c r="AA1453" s="128" t="s">
        <v>259</v>
      </c>
      <c r="AB1453" s="274">
        <f>17.72+68.64</f>
        <v>86.36</v>
      </c>
      <c r="AC1453" s="128" t="s">
        <v>259</v>
      </c>
      <c r="AD1453" s="129">
        <f>17.72+68.64</f>
        <v>86.36</v>
      </c>
      <c r="AE1453" s="274" t="s">
        <v>259</v>
      </c>
      <c r="AF1453" s="274">
        <f>17.72+68.64</f>
        <v>86.36</v>
      </c>
      <c r="AG1453" s="274" t="s">
        <v>259</v>
      </c>
      <c r="AH1453" s="274">
        <f>5.14+19.93</f>
        <v>25.07</v>
      </c>
      <c r="AI1453" s="274" t="s">
        <v>259</v>
      </c>
      <c r="AJ1453" s="274">
        <v>0</v>
      </c>
      <c r="AK1453" s="274">
        <v>0</v>
      </c>
      <c r="AL1453" s="274">
        <v>0</v>
      </c>
      <c r="AM1453" s="274">
        <v>0</v>
      </c>
      <c r="AN1453" s="274">
        <v>0</v>
      </c>
      <c r="AO1453" s="274">
        <v>0</v>
      </c>
      <c r="AP1453" s="274"/>
      <c r="AQ1453" s="274"/>
      <c r="AR1453" s="274">
        <f>15.48+106.55</f>
        <v>122.03</v>
      </c>
      <c r="AS1453" s="274" t="s">
        <v>252</v>
      </c>
      <c r="AT1453" s="274">
        <f>17.48+120.4</f>
        <v>137.88</v>
      </c>
      <c r="AU1453" s="274" t="s">
        <v>252</v>
      </c>
      <c r="AV1453" s="274">
        <f>23.61+162.62</f>
        <v>186.23000000000002</v>
      </c>
      <c r="AW1453" s="274" t="s">
        <v>252</v>
      </c>
      <c r="AX1453" s="274">
        <f t="shared" si="15"/>
        <v>816.65</v>
      </c>
      <c r="AY1453" s="274">
        <v>0.05</v>
      </c>
      <c r="AZ1453" s="250" t="s">
        <v>253</v>
      </c>
      <c r="BA1453" s="181" t="s">
        <v>254</v>
      </c>
      <c r="BB1453" s="125">
        <v>1</v>
      </c>
      <c r="BC1453" s="125" t="s">
        <v>255</v>
      </c>
    </row>
    <row r="1454" spans="1:55" ht="16.350000000000001" customHeight="1" outlineLevel="1">
      <c r="A1454" s="92">
        <v>1444</v>
      </c>
      <c r="B1454" s="99" t="s">
        <v>1231</v>
      </c>
      <c r="C1454" s="122" t="s">
        <v>1138</v>
      </c>
      <c r="D1454" s="161">
        <v>61</v>
      </c>
      <c r="E1454" s="123" t="s">
        <v>734</v>
      </c>
      <c r="F1454" s="124" t="s">
        <v>1425</v>
      </c>
      <c r="G1454" s="133" t="s">
        <v>247</v>
      </c>
      <c r="H1454" s="334" t="s">
        <v>248</v>
      </c>
      <c r="I1454" s="334" t="s">
        <v>1426</v>
      </c>
      <c r="J1454" s="317" t="s">
        <v>139</v>
      </c>
      <c r="K1454" s="317" t="s">
        <v>140</v>
      </c>
      <c r="L1454" s="334">
        <v>1</v>
      </c>
      <c r="M1454" s="334" t="s">
        <v>250</v>
      </c>
      <c r="N1454" s="167">
        <v>80</v>
      </c>
      <c r="O1454" s="174">
        <v>6</v>
      </c>
      <c r="P1454" s="268" t="s">
        <v>253</v>
      </c>
      <c r="Q1454" s="174" t="s">
        <v>233</v>
      </c>
      <c r="R1454" s="276" t="s">
        <v>240</v>
      </c>
      <c r="S1454" s="276" t="s">
        <v>233</v>
      </c>
      <c r="T1454" s="185"/>
      <c r="U1454" s="334" t="s">
        <v>1427</v>
      </c>
      <c r="V1454" s="276" t="s">
        <v>240</v>
      </c>
      <c r="W1454" s="189"/>
      <c r="X1454" s="274">
        <v>789.29</v>
      </c>
      <c r="Y1454" s="126">
        <v>1083.8699999999999</v>
      </c>
      <c r="Z1454" s="127">
        <f>25.38+110.23</f>
        <v>135.61000000000001</v>
      </c>
      <c r="AA1454" s="128" t="s">
        <v>259</v>
      </c>
      <c r="AB1454" s="274">
        <f>25.38+110.23</f>
        <v>135.61000000000001</v>
      </c>
      <c r="AC1454" s="128" t="s">
        <v>259</v>
      </c>
      <c r="AD1454" s="129">
        <f>25.38+110.23</f>
        <v>135.61000000000001</v>
      </c>
      <c r="AE1454" s="274" t="s">
        <v>259</v>
      </c>
      <c r="AF1454" s="274">
        <f>25.38+110.23</f>
        <v>135.61000000000001</v>
      </c>
      <c r="AG1454" s="274" t="s">
        <v>259</v>
      </c>
      <c r="AH1454" s="274">
        <f>7.37+32</f>
        <v>39.369999999999997</v>
      </c>
      <c r="AI1454" s="274" t="s">
        <v>259</v>
      </c>
      <c r="AJ1454" s="274">
        <v>0</v>
      </c>
      <c r="AK1454" s="274">
        <v>0</v>
      </c>
      <c r="AL1454" s="274">
        <v>0</v>
      </c>
      <c r="AM1454" s="274">
        <v>0</v>
      </c>
      <c r="AN1454" s="274">
        <v>0</v>
      </c>
      <c r="AO1454" s="274">
        <v>0</v>
      </c>
      <c r="AP1454" s="274"/>
      <c r="AQ1454" s="274"/>
      <c r="AR1454" s="274">
        <f>20.55+26.43</f>
        <v>46.980000000000004</v>
      </c>
      <c r="AS1454" s="274" t="s">
        <v>252</v>
      </c>
      <c r="AT1454" s="274">
        <f>21.81+28.12</f>
        <v>49.93</v>
      </c>
      <c r="AU1454" s="274" t="s">
        <v>252</v>
      </c>
      <c r="AV1454" s="274">
        <f>30.79+39.69</f>
        <v>70.47999999999999</v>
      </c>
      <c r="AW1454" s="274" t="s">
        <v>252</v>
      </c>
      <c r="AX1454" s="274">
        <f t="shared" si="15"/>
        <v>749.2</v>
      </c>
      <c r="AY1454" s="165">
        <f>0.0101+0.3499</f>
        <v>0.36</v>
      </c>
      <c r="AZ1454" s="251" t="s">
        <v>253</v>
      </c>
      <c r="BA1454" s="181" t="s">
        <v>254</v>
      </c>
      <c r="BB1454" s="125">
        <v>1</v>
      </c>
      <c r="BC1454" s="336" t="s">
        <v>255</v>
      </c>
    </row>
    <row r="1455" spans="1:55" ht="16.350000000000001" customHeight="1" outlineLevel="1">
      <c r="A1455" s="92">
        <v>1445</v>
      </c>
      <c r="B1455" s="99" t="s">
        <v>1232</v>
      </c>
      <c r="C1455" s="122" t="s">
        <v>1138</v>
      </c>
      <c r="D1455" s="161">
        <v>61</v>
      </c>
      <c r="E1455" s="123" t="s">
        <v>737</v>
      </c>
      <c r="F1455" s="124" t="s">
        <v>1425</v>
      </c>
      <c r="G1455" s="133" t="s">
        <v>247</v>
      </c>
      <c r="H1455" s="335"/>
      <c r="I1455" s="335"/>
      <c r="J1455" s="319"/>
      <c r="K1455" s="319"/>
      <c r="L1455" s="335"/>
      <c r="M1455" s="335"/>
      <c r="N1455" s="167">
        <v>80</v>
      </c>
      <c r="O1455" s="174">
        <v>6</v>
      </c>
      <c r="P1455" s="268" t="s">
        <v>253</v>
      </c>
      <c r="Q1455" s="174" t="s">
        <v>233</v>
      </c>
      <c r="R1455" s="276" t="s">
        <v>240</v>
      </c>
      <c r="S1455" s="276" t="s">
        <v>233</v>
      </c>
      <c r="T1455" s="185"/>
      <c r="U1455" s="335"/>
      <c r="V1455" s="276" t="s">
        <v>240</v>
      </c>
      <c r="W1455" s="190"/>
      <c r="X1455" s="274">
        <v>322.72000000000003</v>
      </c>
      <c r="Y1455" s="126">
        <v>351.57</v>
      </c>
      <c r="Z1455" s="127">
        <v>65.400000000000006</v>
      </c>
      <c r="AA1455" s="128" t="s">
        <v>252</v>
      </c>
      <c r="AB1455" s="274">
        <v>44.6</v>
      </c>
      <c r="AC1455" s="128" t="s">
        <v>252</v>
      </c>
      <c r="AD1455" s="129">
        <v>58.9</v>
      </c>
      <c r="AE1455" s="274" t="s">
        <v>252</v>
      </c>
      <c r="AF1455" s="274">
        <v>32.200000000000003</v>
      </c>
      <c r="AG1455" s="274" t="s">
        <v>252</v>
      </c>
      <c r="AH1455" s="274">
        <v>14.5</v>
      </c>
      <c r="AI1455" s="274" t="s">
        <v>252</v>
      </c>
      <c r="AJ1455" s="274">
        <v>0</v>
      </c>
      <c r="AK1455" s="274">
        <v>0</v>
      </c>
      <c r="AL1455" s="274">
        <v>0</v>
      </c>
      <c r="AM1455" s="274">
        <v>0</v>
      </c>
      <c r="AN1455" s="274">
        <v>0</v>
      </c>
      <c r="AO1455" s="274">
        <v>0</v>
      </c>
      <c r="AP1455" s="274"/>
      <c r="AQ1455" s="274"/>
      <c r="AR1455" s="274">
        <f>15.48+106.55</f>
        <v>122.03</v>
      </c>
      <c r="AS1455" s="274" t="s">
        <v>252</v>
      </c>
      <c r="AT1455" s="274">
        <f>17.48+120.4</f>
        <v>137.88</v>
      </c>
      <c r="AU1455" s="274" t="s">
        <v>252</v>
      </c>
      <c r="AV1455" s="274">
        <f>23.61+162.62</f>
        <v>186.23000000000002</v>
      </c>
      <c r="AW1455" s="274" t="s">
        <v>252</v>
      </c>
      <c r="AX1455" s="274">
        <f t="shared" si="15"/>
        <v>661.74</v>
      </c>
      <c r="AY1455" s="166"/>
      <c r="AZ1455" s="250" t="s">
        <v>253</v>
      </c>
      <c r="BA1455" s="181" t="s">
        <v>254</v>
      </c>
      <c r="BB1455" s="125">
        <v>1</v>
      </c>
      <c r="BC1455" s="337"/>
    </row>
    <row r="1456" spans="1:55" ht="16.350000000000001" customHeight="1">
      <c r="A1456" s="92">
        <v>1446</v>
      </c>
      <c r="B1456" s="99" t="s">
        <v>1233</v>
      </c>
      <c r="C1456" s="122" t="s">
        <v>750</v>
      </c>
      <c r="D1456" s="161">
        <v>36</v>
      </c>
      <c r="E1456" s="123" t="s">
        <v>734</v>
      </c>
      <c r="F1456" s="124" t="s">
        <v>1425</v>
      </c>
      <c r="G1456" s="133" t="s">
        <v>247</v>
      </c>
      <c r="H1456" s="134" t="s">
        <v>248</v>
      </c>
      <c r="I1456" s="134" t="s">
        <v>1426</v>
      </c>
      <c r="J1456" s="177" t="s">
        <v>139</v>
      </c>
      <c r="K1456" s="124" t="s">
        <v>140</v>
      </c>
      <c r="L1456" s="174">
        <v>1</v>
      </c>
      <c r="M1456" s="178" t="s">
        <v>250</v>
      </c>
      <c r="N1456" s="167">
        <v>80</v>
      </c>
      <c r="O1456" s="174">
        <v>6</v>
      </c>
      <c r="P1456" s="268" t="s">
        <v>253</v>
      </c>
      <c r="Q1456" s="124" t="s">
        <v>233</v>
      </c>
      <c r="R1456" s="276" t="s">
        <v>240</v>
      </c>
      <c r="S1456" s="276" t="s">
        <v>233</v>
      </c>
      <c r="T1456" s="185"/>
      <c r="U1456" s="178" t="s">
        <v>1427</v>
      </c>
      <c r="V1456" s="276" t="s">
        <v>240</v>
      </c>
      <c r="W1456" s="93"/>
      <c r="X1456" s="274">
        <v>1594.36</v>
      </c>
      <c r="Y1456" s="126">
        <v>1725.19</v>
      </c>
      <c r="Z1456" s="127">
        <v>206.8467282</v>
      </c>
      <c r="AA1456" s="128" t="s">
        <v>252</v>
      </c>
      <c r="AB1456" s="274">
        <v>147.447675</v>
      </c>
      <c r="AC1456" s="128" t="s">
        <v>252</v>
      </c>
      <c r="AD1456" s="129">
        <v>208.815426</v>
      </c>
      <c r="AE1456" s="274" t="s">
        <v>252</v>
      </c>
      <c r="AF1456" s="274">
        <v>118.542564</v>
      </c>
      <c r="AG1456" s="274" t="s">
        <v>252</v>
      </c>
      <c r="AH1456" s="274">
        <v>38.535035000000001</v>
      </c>
      <c r="AI1456" s="274" t="s">
        <v>252</v>
      </c>
      <c r="AJ1456" s="274">
        <v>0</v>
      </c>
      <c r="AK1456" s="274">
        <v>0</v>
      </c>
      <c r="AL1456" s="274">
        <v>0</v>
      </c>
      <c r="AM1456" s="274">
        <v>0</v>
      </c>
      <c r="AN1456" s="274">
        <v>0</v>
      </c>
      <c r="AO1456" s="274">
        <v>0</v>
      </c>
      <c r="AP1456" s="274"/>
      <c r="AQ1456" s="274"/>
      <c r="AR1456" s="274">
        <f>20.55+26.43</f>
        <v>46.980000000000004</v>
      </c>
      <c r="AS1456" s="274" t="s">
        <v>252</v>
      </c>
      <c r="AT1456" s="274">
        <f>21.81+28.12</f>
        <v>49.93</v>
      </c>
      <c r="AU1456" s="274" t="s">
        <v>252</v>
      </c>
      <c r="AV1456" s="274">
        <f>30.79+39.69</f>
        <v>70.47999999999999</v>
      </c>
      <c r="AW1456" s="274" t="s">
        <v>252</v>
      </c>
      <c r="AX1456" s="274">
        <f t="shared" si="15"/>
        <v>887.57742819999999</v>
      </c>
      <c r="AY1456" s="274">
        <f>0.463+0.0009+0.0009+0.0069+0.0163+0.0022+0.0098</f>
        <v>0.5</v>
      </c>
      <c r="AZ1456" s="251" t="s">
        <v>253</v>
      </c>
      <c r="BA1456" s="181" t="s">
        <v>254</v>
      </c>
      <c r="BB1456" s="125">
        <v>1</v>
      </c>
      <c r="BC1456" s="125" t="s">
        <v>255</v>
      </c>
    </row>
    <row r="1457" spans="3:17" ht="15.75">
      <c r="C1457" s="117"/>
      <c r="D1457" s="160"/>
      <c r="E1457" s="117"/>
      <c r="F1457" s="115"/>
      <c r="G1457" s="172"/>
      <c r="H1457" s="115"/>
      <c r="I1457" s="118"/>
      <c r="J1457" s="120"/>
      <c r="K1457" s="120"/>
      <c r="L1457" s="262"/>
      <c r="M1457" s="263"/>
      <c r="N1457" s="264"/>
      <c r="O1457" s="262"/>
      <c r="P1457" s="262"/>
      <c r="Q1457" s="262"/>
    </row>
    <row r="1458" spans="3:17" ht="15.75">
      <c r="C1458" s="117"/>
      <c r="D1458" s="160"/>
      <c r="E1458" s="117"/>
      <c r="F1458" s="115"/>
      <c r="G1458" s="117"/>
      <c r="H1458" s="115"/>
      <c r="I1458" s="118"/>
      <c r="J1458" s="120"/>
      <c r="K1458" s="120"/>
      <c r="L1458" s="262"/>
      <c r="M1458" s="263"/>
      <c r="N1458" s="264"/>
      <c r="O1458" s="262"/>
      <c r="P1458" s="262"/>
      <c r="Q1458" s="262"/>
    </row>
    <row r="1459" spans="3:17" ht="15.75">
      <c r="C1459" s="117"/>
      <c r="D1459" s="160"/>
      <c r="E1459" s="117"/>
      <c r="F1459" s="115"/>
      <c r="G1459" s="117"/>
      <c r="H1459" s="115"/>
      <c r="I1459" s="118"/>
      <c r="J1459" s="120"/>
      <c r="K1459" s="120"/>
      <c r="L1459" s="262"/>
      <c r="M1459" s="263"/>
      <c r="N1459" s="264"/>
      <c r="O1459" s="262"/>
      <c r="P1459" s="262"/>
      <c r="Q1459" s="262"/>
    </row>
    <row r="1460" spans="3:17" ht="15.75">
      <c r="C1460" s="117"/>
      <c r="D1460" s="160"/>
      <c r="E1460" s="117"/>
      <c r="F1460" s="115"/>
      <c r="G1460" s="117"/>
      <c r="H1460" s="115"/>
      <c r="I1460" s="118"/>
      <c r="J1460" s="120"/>
      <c r="K1460" s="120"/>
      <c r="L1460" s="262"/>
      <c r="M1460" s="263"/>
      <c r="N1460" s="264"/>
      <c r="O1460" s="262"/>
      <c r="P1460" s="262"/>
      <c r="Q1460" s="262"/>
    </row>
    <row r="1461" spans="3:17" ht="15.75">
      <c r="C1461" s="117"/>
      <c r="D1461" s="160"/>
      <c r="E1461" s="117"/>
      <c r="F1461" s="115"/>
      <c r="G1461" s="117"/>
      <c r="H1461" s="115"/>
      <c r="I1461" s="118"/>
      <c r="J1461" s="120"/>
      <c r="K1461" s="120"/>
      <c r="L1461" s="262"/>
      <c r="M1461" s="263"/>
      <c r="N1461" s="264"/>
      <c r="O1461" s="262"/>
      <c r="P1461" s="262"/>
      <c r="Q1461" s="262"/>
    </row>
    <row r="1462" spans="3:17" ht="15.75">
      <c r="C1462" s="117"/>
      <c r="D1462" s="160"/>
      <c r="E1462" s="117"/>
      <c r="F1462" s="115"/>
      <c r="G1462" s="117"/>
      <c r="H1462" s="115"/>
      <c r="I1462" s="118"/>
      <c r="J1462" s="120"/>
      <c r="K1462" s="120"/>
      <c r="L1462" s="262"/>
      <c r="M1462" s="263"/>
      <c r="N1462" s="264"/>
      <c r="O1462" s="262"/>
      <c r="P1462" s="262"/>
      <c r="Q1462" s="262"/>
    </row>
    <row r="1463" spans="3:17" ht="15.75">
      <c r="C1463" s="117"/>
      <c r="D1463" s="160"/>
      <c r="E1463" s="117"/>
      <c r="F1463" s="115"/>
      <c r="G1463" s="117"/>
      <c r="H1463" s="115"/>
      <c r="I1463" s="118"/>
      <c r="J1463" s="120"/>
      <c r="K1463" s="120"/>
      <c r="L1463" s="262"/>
      <c r="M1463" s="263"/>
      <c r="N1463" s="264"/>
      <c r="O1463" s="262"/>
      <c r="P1463" s="262"/>
      <c r="Q1463" s="262"/>
    </row>
    <row r="1464" spans="3:17" ht="15.75">
      <c r="C1464" s="117"/>
      <c r="D1464" s="160"/>
      <c r="E1464" s="117"/>
      <c r="F1464" s="115"/>
      <c r="G1464" s="117"/>
      <c r="H1464" s="115"/>
      <c r="I1464" s="118"/>
      <c r="J1464" s="120"/>
      <c r="K1464" s="120"/>
      <c r="L1464" s="262"/>
      <c r="M1464" s="263"/>
      <c r="N1464" s="264"/>
      <c r="O1464" s="262"/>
      <c r="P1464" s="262"/>
      <c r="Q1464" s="262"/>
    </row>
    <row r="1465" spans="3:17" ht="15.75">
      <c r="C1465" s="117"/>
      <c r="D1465" s="160"/>
      <c r="E1465" s="117"/>
      <c r="F1465" s="115"/>
      <c r="G1465" s="117"/>
      <c r="H1465" s="115"/>
      <c r="I1465" s="118"/>
      <c r="J1465" s="120"/>
      <c r="K1465" s="120"/>
      <c r="L1465" s="262"/>
      <c r="M1465" s="263"/>
      <c r="N1465" s="264"/>
      <c r="O1465" s="262"/>
      <c r="P1465" s="262"/>
      <c r="Q1465" s="262"/>
    </row>
    <row r="1466" spans="3:17" ht="15.75">
      <c r="C1466" s="117"/>
      <c r="D1466" s="160"/>
      <c r="E1466" s="117"/>
      <c r="F1466" s="115"/>
      <c r="G1466" s="117"/>
      <c r="H1466" s="115"/>
      <c r="I1466" s="118"/>
      <c r="J1466" s="120"/>
      <c r="K1466" s="120"/>
      <c r="L1466" s="262"/>
      <c r="M1466" s="263"/>
      <c r="N1466" s="264"/>
      <c r="O1466" s="262"/>
      <c r="P1466" s="262"/>
      <c r="Q1466" s="262"/>
    </row>
    <row r="1467" spans="3:17" ht="15.75">
      <c r="C1467" s="117"/>
      <c r="D1467" s="160"/>
      <c r="E1467" s="117"/>
      <c r="F1467" s="115"/>
      <c r="G1467" s="117"/>
      <c r="H1467" s="115"/>
      <c r="I1467" s="118"/>
      <c r="J1467" s="120"/>
      <c r="K1467" s="120"/>
      <c r="L1467" s="262"/>
      <c r="M1467" s="263"/>
      <c r="N1467" s="264"/>
      <c r="O1467" s="262"/>
      <c r="P1467" s="262"/>
      <c r="Q1467" s="262"/>
    </row>
    <row r="1468" spans="3:17" ht="15.75">
      <c r="C1468" s="117"/>
      <c r="D1468" s="160"/>
      <c r="E1468" s="117"/>
      <c r="F1468" s="115"/>
      <c r="G1468" s="117"/>
      <c r="H1468" s="115"/>
      <c r="I1468" s="118"/>
      <c r="J1468" s="120"/>
      <c r="K1468" s="120"/>
      <c r="L1468" s="262"/>
      <c r="M1468" s="263"/>
      <c r="N1468" s="264"/>
      <c r="O1468" s="262"/>
      <c r="P1468" s="262"/>
      <c r="Q1468" s="262"/>
    </row>
    <row r="1469" spans="3:17" ht="15.75">
      <c r="C1469" s="117"/>
      <c r="D1469" s="160"/>
      <c r="E1469" s="117"/>
      <c r="F1469" s="115"/>
      <c r="G1469" s="117"/>
      <c r="H1469" s="115"/>
      <c r="I1469" s="118"/>
      <c r="J1469" s="120"/>
      <c r="K1469" s="120"/>
      <c r="L1469" s="262"/>
      <c r="M1469" s="263"/>
      <c r="N1469" s="264"/>
      <c r="O1469" s="262"/>
      <c r="P1469" s="262"/>
      <c r="Q1469" s="262"/>
    </row>
    <row r="1470" spans="3:17" ht="15.75">
      <c r="C1470" s="117"/>
      <c r="D1470" s="160"/>
      <c r="E1470" s="117"/>
      <c r="F1470" s="115"/>
      <c r="G1470" s="117"/>
      <c r="H1470" s="115"/>
      <c r="I1470" s="118"/>
      <c r="J1470" s="120"/>
      <c r="K1470" s="120"/>
      <c r="L1470" s="262"/>
      <c r="M1470" s="263"/>
      <c r="N1470" s="264"/>
      <c r="O1470" s="262"/>
      <c r="P1470" s="262"/>
      <c r="Q1470" s="262"/>
    </row>
    <row r="1471" spans="3:17" ht="15.75">
      <c r="C1471" s="117"/>
      <c r="D1471" s="160"/>
      <c r="E1471" s="117"/>
      <c r="F1471" s="115"/>
      <c r="G1471" s="117"/>
      <c r="H1471" s="115"/>
      <c r="I1471" s="118"/>
      <c r="J1471" s="120"/>
      <c r="K1471" s="120"/>
      <c r="L1471" s="262"/>
      <c r="M1471" s="263"/>
      <c r="N1471" s="264"/>
      <c r="O1471" s="262"/>
      <c r="P1471" s="262"/>
      <c r="Q1471" s="262"/>
    </row>
    <row r="1472" spans="3:17" ht="15.75">
      <c r="C1472" s="117"/>
      <c r="D1472" s="160"/>
      <c r="E1472" s="117"/>
      <c r="F1472" s="115"/>
      <c r="G1472" s="117"/>
      <c r="H1472" s="115"/>
      <c r="I1472" s="118"/>
      <c r="J1472" s="120"/>
      <c r="K1472" s="120"/>
      <c r="L1472" s="262"/>
      <c r="M1472" s="263"/>
      <c r="N1472" s="264"/>
      <c r="O1472" s="262"/>
      <c r="P1472" s="262"/>
      <c r="Q1472" s="262"/>
    </row>
    <row r="1473" spans="3:17" ht="15.75">
      <c r="C1473" s="117"/>
      <c r="D1473" s="160"/>
      <c r="E1473" s="117"/>
      <c r="F1473" s="115"/>
      <c r="G1473" s="117"/>
      <c r="H1473" s="115"/>
      <c r="I1473" s="118"/>
      <c r="J1473" s="120"/>
      <c r="K1473" s="120"/>
      <c r="L1473" s="262"/>
      <c r="M1473" s="263"/>
      <c r="N1473" s="264"/>
      <c r="O1473" s="262"/>
      <c r="P1473" s="262"/>
      <c r="Q1473" s="262"/>
    </row>
    <row r="1474" spans="3:17" ht="15.75">
      <c r="C1474" s="117"/>
      <c r="D1474" s="160"/>
      <c r="E1474" s="117"/>
      <c r="F1474" s="115"/>
      <c r="G1474" s="117"/>
      <c r="H1474" s="115"/>
      <c r="I1474" s="118"/>
      <c r="J1474" s="120"/>
      <c r="K1474" s="120"/>
      <c r="L1474" s="262"/>
      <c r="M1474" s="263"/>
      <c r="N1474" s="264"/>
      <c r="O1474" s="262"/>
      <c r="P1474" s="262"/>
      <c r="Q1474" s="262"/>
    </row>
    <row r="1475" spans="3:17" ht="15.75">
      <c r="C1475" s="117"/>
      <c r="D1475" s="160"/>
      <c r="E1475" s="117"/>
      <c r="F1475" s="115"/>
      <c r="G1475" s="117"/>
      <c r="H1475" s="115"/>
      <c r="I1475" s="118"/>
      <c r="J1475" s="120"/>
      <c r="K1475" s="120"/>
      <c r="L1475" s="262"/>
      <c r="M1475" s="263"/>
      <c r="N1475" s="264"/>
      <c r="O1475" s="262"/>
      <c r="P1475" s="262"/>
      <c r="Q1475" s="262"/>
    </row>
    <row r="1476" spans="3:17" ht="15.75">
      <c r="C1476" s="117"/>
      <c r="D1476" s="160"/>
      <c r="E1476" s="117"/>
      <c r="F1476" s="115"/>
      <c r="G1476" s="117"/>
      <c r="H1476" s="115"/>
      <c r="I1476" s="118"/>
      <c r="J1476" s="120"/>
      <c r="K1476" s="120"/>
      <c r="L1476" s="262"/>
      <c r="M1476" s="263"/>
      <c r="N1476" s="264"/>
      <c r="O1476" s="262"/>
      <c r="P1476" s="262"/>
      <c r="Q1476" s="262"/>
    </row>
    <row r="1477" spans="3:17" ht="15.75">
      <c r="C1477" s="117"/>
      <c r="D1477" s="160"/>
      <c r="E1477" s="117"/>
      <c r="F1477" s="115"/>
      <c r="G1477" s="117"/>
      <c r="H1477" s="115"/>
      <c r="I1477" s="118"/>
      <c r="J1477" s="120"/>
      <c r="K1477" s="120"/>
      <c r="L1477" s="262"/>
      <c r="M1477" s="263"/>
      <c r="N1477" s="264"/>
      <c r="O1477" s="262"/>
      <c r="P1477" s="262"/>
      <c r="Q1477" s="262"/>
    </row>
    <row r="1478" spans="3:17" ht="15.75">
      <c r="C1478" s="117"/>
      <c r="D1478" s="160"/>
      <c r="E1478" s="117"/>
      <c r="F1478" s="115"/>
      <c r="G1478" s="117"/>
      <c r="H1478" s="115"/>
      <c r="I1478" s="118"/>
      <c r="J1478" s="120"/>
      <c r="K1478" s="120"/>
      <c r="L1478" s="262"/>
      <c r="M1478" s="263"/>
      <c r="N1478" s="264"/>
      <c r="O1478" s="262"/>
      <c r="P1478" s="262"/>
      <c r="Q1478" s="262"/>
    </row>
    <row r="1479" spans="3:17" ht="15.75">
      <c r="C1479" s="117"/>
      <c r="D1479" s="160"/>
      <c r="E1479" s="117"/>
      <c r="F1479" s="115"/>
      <c r="G1479" s="117"/>
      <c r="H1479" s="115"/>
      <c r="I1479" s="118"/>
      <c r="J1479" s="120"/>
      <c r="K1479" s="120"/>
      <c r="L1479" s="262"/>
      <c r="M1479" s="263"/>
      <c r="N1479" s="264"/>
      <c r="O1479" s="262"/>
      <c r="P1479" s="262"/>
      <c r="Q1479" s="262"/>
    </row>
    <row r="1480" spans="3:17" ht="15.75">
      <c r="C1480" s="117"/>
      <c r="D1480" s="160"/>
      <c r="E1480" s="117"/>
      <c r="F1480" s="115"/>
      <c r="G1480" s="117"/>
      <c r="H1480" s="115"/>
      <c r="I1480" s="118"/>
      <c r="J1480" s="120"/>
      <c r="K1480" s="120"/>
      <c r="L1480" s="262"/>
      <c r="M1480" s="263"/>
      <c r="N1480" s="264"/>
      <c r="O1480" s="262"/>
      <c r="P1480" s="262"/>
      <c r="Q1480" s="262"/>
    </row>
    <row r="1481" spans="3:17" ht="15.75">
      <c r="C1481" s="117"/>
      <c r="D1481" s="160"/>
      <c r="E1481" s="117"/>
      <c r="F1481" s="115"/>
      <c r="G1481" s="117"/>
      <c r="H1481" s="115"/>
      <c r="I1481" s="118"/>
      <c r="J1481" s="120"/>
      <c r="K1481" s="120"/>
      <c r="L1481" s="262"/>
      <c r="M1481" s="263"/>
      <c r="N1481" s="264"/>
      <c r="O1481" s="262"/>
      <c r="P1481" s="262"/>
      <c r="Q1481" s="262"/>
    </row>
    <row r="1482" spans="3:17" ht="15.75">
      <c r="C1482" s="117"/>
      <c r="D1482" s="160"/>
      <c r="E1482" s="117"/>
      <c r="F1482" s="115"/>
      <c r="G1482" s="117"/>
      <c r="H1482" s="115"/>
      <c r="I1482" s="118"/>
      <c r="J1482" s="120"/>
      <c r="K1482" s="120"/>
      <c r="L1482" s="262"/>
      <c r="M1482" s="263"/>
      <c r="N1482" s="264"/>
      <c r="O1482" s="262"/>
      <c r="P1482" s="262"/>
      <c r="Q1482" s="262"/>
    </row>
    <row r="1483" spans="3:17" ht="15.75">
      <c r="C1483" s="117"/>
      <c r="D1483" s="160"/>
      <c r="E1483" s="117"/>
      <c r="F1483" s="115"/>
      <c r="G1483" s="117"/>
      <c r="H1483" s="115"/>
      <c r="I1483" s="118"/>
      <c r="J1483" s="120"/>
      <c r="K1483" s="120"/>
      <c r="L1483" s="262"/>
      <c r="M1483" s="263"/>
      <c r="N1483" s="264"/>
      <c r="O1483" s="262"/>
      <c r="P1483" s="262"/>
      <c r="Q1483" s="262"/>
    </row>
    <row r="1484" spans="3:17" ht="15.75">
      <c r="C1484" s="117"/>
      <c r="D1484" s="160"/>
      <c r="E1484" s="117"/>
      <c r="F1484" s="115"/>
      <c r="G1484" s="117"/>
      <c r="H1484" s="115"/>
      <c r="I1484" s="118"/>
      <c r="J1484" s="120"/>
      <c r="K1484" s="120"/>
      <c r="L1484" s="262"/>
      <c r="M1484" s="263"/>
      <c r="N1484" s="264"/>
      <c r="O1484" s="262"/>
      <c r="P1484" s="262"/>
      <c r="Q1484" s="262"/>
    </row>
    <row r="1485" spans="3:17" ht="15.75">
      <c r="C1485" s="117"/>
      <c r="D1485" s="160"/>
      <c r="E1485" s="117"/>
      <c r="F1485" s="115"/>
      <c r="G1485" s="117"/>
      <c r="H1485" s="115"/>
      <c r="I1485" s="118"/>
      <c r="J1485" s="120"/>
      <c r="K1485" s="120"/>
      <c r="L1485" s="262"/>
      <c r="M1485" s="263"/>
      <c r="N1485" s="264"/>
      <c r="O1485" s="262"/>
      <c r="P1485" s="262"/>
      <c r="Q1485" s="262"/>
    </row>
    <row r="1486" spans="3:17" ht="15.75">
      <c r="C1486" s="117"/>
      <c r="D1486" s="160"/>
      <c r="E1486" s="117"/>
      <c r="F1486" s="115"/>
      <c r="G1486" s="117"/>
      <c r="H1486" s="115"/>
      <c r="I1486" s="118"/>
      <c r="J1486" s="120"/>
      <c r="K1486" s="120"/>
      <c r="L1486" s="262"/>
      <c r="M1486" s="263"/>
      <c r="N1486" s="264"/>
      <c r="O1486" s="262"/>
      <c r="P1486" s="262"/>
      <c r="Q1486" s="262"/>
    </row>
    <row r="1487" spans="3:17" ht="15.75">
      <c r="C1487" s="117"/>
      <c r="D1487" s="160"/>
      <c r="E1487" s="117"/>
      <c r="F1487" s="115"/>
      <c r="G1487" s="117"/>
      <c r="H1487" s="115"/>
      <c r="I1487" s="118"/>
      <c r="J1487" s="120"/>
      <c r="K1487" s="120"/>
      <c r="L1487" s="262"/>
      <c r="M1487" s="263"/>
      <c r="N1487" s="264"/>
      <c r="O1487" s="262"/>
      <c r="P1487" s="262"/>
      <c r="Q1487" s="262"/>
    </row>
    <row r="1488" spans="3:17" ht="15.75">
      <c r="C1488" s="117"/>
      <c r="D1488" s="160"/>
      <c r="E1488" s="117"/>
      <c r="F1488" s="115"/>
      <c r="G1488" s="117"/>
      <c r="H1488" s="115"/>
      <c r="I1488" s="118"/>
      <c r="J1488" s="120"/>
      <c r="K1488" s="120"/>
      <c r="L1488" s="262"/>
      <c r="M1488" s="263"/>
      <c r="N1488" s="264"/>
      <c r="O1488" s="262"/>
      <c r="P1488" s="262"/>
      <c r="Q1488" s="262"/>
    </row>
    <row r="1489" spans="3:17" ht="15.75">
      <c r="C1489" s="117"/>
      <c r="D1489" s="160"/>
      <c r="E1489" s="117"/>
      <c r="F1489" s="115"/>
      <c r="G1489" s="117"/>
      <c r="H1489" s="115"/>
      <c r="I1489" s="118"/>
      <c r="J1489" s="120"/>
      <c r="K1489" s="120"/>
      <c r="L1489" s="262"/>
      <c r="M1489" s="263"/>
      <c r="N1489" s="264"/>
      <c r="O1489" s="262"/>
      <c r="P1489" s="262"/>
      <c r="Q1489" s="262"/>
    </row>
    <row r="1490" spans="3:17" ht="15.75">
      <c r="C1490" s="117"/>
      <c r="D1490" s="160"/>
      <c r="E1490" s="117"/>
      <c r="F1490" s="115"/>
      <c r="G1490" s="117"/>
      <c r="H1490" s="115"/>
      <c r="I1490" s="118"/>
      <c r="J1490" s="120"/>
      <c r="K1490" s="120"/>
      <c r="L1490" s="262"/>
      <c r="M1490" s="263"/>
      <c r="N1490" s="264"/>
      <c r="O1490" s="262"/>
      <c r="P1490" s="262"/>
      <c r="Q1490" s="262"/>
    </row>
    <row r="1491" spans="3:17" ht="15.75">
      <c r="C1491" s="117"/>
      <c r="D1491" s="160"/>
      <c r="E1491" s="117"/>
      <c r="F1491" s="115"/>
      <c r="G1491" s="117"/>
      <c r="H1491" s="115"/>
      <c r="I1491" s="118"/>
      <c r="J1491" s="120"/>
      <c r="K1491" s="120"/>
      <c r="L1491" s="262"/>
      <c r="M1491" s="263"/>
      <c r="N1491" s="264"/>
      <c r="O1491" s="262"/>
      <c r="P1491" s="262"/>
      <c r="Q1491" s="262"/>
    </row>
    <row r="1492" spans="3:17" ht="15.75">
      <c r="C1492" s="117"/>
      <c r="D1492" s="160"/>
      <c r="E1492" s="117"/>
      <c r="F1492" s="115"/>
      <c r="G1492" s="117"/>
      <c r="H1492" s="115"/>
      <c r="I1492" s="118"/>
      <c r="J1492" s="120"/>
      <c r="K1492" s="120"/>
      <c r="L1492" s="262"/>
      <c r="M1492" s="263"/>
      <c r="N1492" s="264"/>
      <c r="O1492" s="262"/>
      <c r="P1492" s="262"/>
      <c r="Q1492" s="262"/>
    </row>
    <row r="1493" spans="3:17" ht="15.75">
      <c r="C1493" s="117"/>
      <c r="D1493" s="160"/>
      <c r="E1493" s="117"/>
      <c r="F1493" s="115"/>
      <c r="G1493" s="117"/>
      <c r="H1493" s="115"/>
      <c r="I1493" s="118"/>
      <c r="J1493" s="120"/>
      <c r="K1493" s="120"/>
      <c r="L1493" s="262"/>
      <c r="M1493" s="263"/>
      <c r="N1493" s="264"/>
      <c r="O1493" s="262"/>
      <c r="P1493" s="262"/>
      <c r="Q1493" s="262"/>
    </row>
    <row r="1494" spans="3:17" ht="15.75">
      <c r="C1494" s="117"/>
      <c r="D1494" s="160"/>
      <c r="E1494" s="117"/>
      <c r="F1494" s="115"/>
      <c r="G1494" s="117"/>
      <c r="H1494" s="115"/>
      <c r="I1494" s="118"/>
      <c r="J1494" s="120"/>
      <c r="K1494" s="120"/>
      <c r="L1494" s="262"/>
      <c r="M1494" s="263"/>
      <c r="N1494" s="264"/>
      <c r="O1494" s="262"/>
      <c r="P1494" s="262"/>
      <c r="Q1494" s="262"/>
    </row>
    <row r="1495" spans="3:17" ht="15.75">
      <c r="C1495" s="117"/>
      <c r="D1495" s="160"/>
      <c r="E1495" s="117"/>
      <c r="F1495" s="115"/>
      <c r="G1495" s="117"/>
      <c r="H1495" s="115"/>
      <c r="I1495" s="118"/>
      <c r="J1495" s="120"/>
      <c r="K1495" s="120"/>
      <c r="L1495" s="262"/>
      <c r="M1495" s="263"/>
      <c r="N1495" s="264"/>
      <c r="O1495" s="262"/>
      <c r="P1495" s="262"/>
      <c r="Q1495" s="262"/>
    </row>
    <row r="1496" spans="3:17" ht="15.75">
      <c r="C1496" s="117"/>
      <c r="D1496" s="160"/>
      <c r="E1496" s="117"/>
      <c r="F1496" s="115"/>
      <c r="G1496" s="117"/>
      <c r="H1496" s="115"/>
      <c r="I1496" s="118"/>
      <c r="J1496" s="120"/>
      <c r="K1496" s="120"/>
      <c r="L1496" s="262"/>
      <c r="M1496" s="263"/>
      <c r="N1496" s="264"/>
      <c r="O1496" s="262"/>
      <c r="P1496" s="262"/>
      <c r="Q1496" s="262"/>
    </row>
    <row r="1497" spans="3:17" ht="15.75">
      <c r="C1497" s="117"/>
      <c r="D1497" s="160"/>
      <c r="E1497" s="117"/>
      <c r="F1497" s="115"/>
      <c r="G1497" s="117"/>
      <c r="H1497" s="115"/>
      <c r="I1497" s="118"/>
      <c r="J1497" s="120"/>
      <c r="K1497" s="120"/>
      <c r="L1497" s="262"/>
      <c r="M1497" s="263"/>
      <c r="N1497" s="264"/>
      <c r="O1497" s="262"/>
      <c r="P1497" s="262"/>
      <c r="Q1497" s="262"/>
    </row>
    <row r="1498" spans="3:17" ht="15.75">
      <c r="C1498" s="117"/>
      <c r="D1498" s="160"/>
      <c r="E1498" s="117"/>
      <c r="F1498" s="115"/>
      <c r="G1498" s="117"/>
      <c r="H1498" s="115"/>
      <c r="I1498" s="118"/>
      <c r="J1498" s="120"/>
      <c r="K1498" s="120"/>
      <c r="L1498" s="262"/>
      <c r="M1498" s="263"/>
      <c r="N1498" s="264"/>
      <c r="O1498" s="262"/>
      <c r="P1498" s="262"/>
      <c r="Q1498" s="262"/>
    </row>
    <row r="1499" spans="3:17" ht="15.75">
      <c r="C1499" s="117"/>
      <c r="D1499" s="160"/>
      <c r="E1499" s="117"/>
      <c r="F1499" s="115"/>
      <c r="G1499" s="117"/>
      <c r="H1499" s="115"/>
      <c r="I1499" s="118"/>
      <c r="J1499" s="120"/>
      <c r="K1499" s="120"/>
      <c r="L1499" s="262"/>
      <c r="M1499" s="263"/>
      <c r="N1499" s="264"/>
      <c r="O1499" s="262"/>
      <c r="P1499" s="262"/>
      <c r="Q1499" s="262"/>
    </row>
    <row r="1500" spans="3:17" ht="15.75">
      <c r="C1500" s="117"/>
      <c r="D1500" s="160"/>
      <c r="E1500" s="117"/>
      <c r="F1500" s="115"/>
      <c r="G1500" s="117"/>
      <c r="H1500" s="115"/>
      <c r="I1500" s="118"/>
      <c r="J1500" s="120"/>
      <c r="K1500" s="120"/>
      <c r="L1500" s="262"/>
      <c r="M1500" s="263"/>
      <c r="N1500" s="264"/>
      <c r="O1500" s="262"/>
      <c r="P1500" s="262"/>
      <c r="Q1500" s="262"/>
    </row>
    <row r="1501" spans="3:17" ht="15.75">
      <c r="C1501" s="117"/>
      <c r="D1501" s="160"/>
      <c r="E1501" s="117"/>
      <c r="F1501" s="115"/>
      <c r="G1501" s="117"/>
      <c r="H1501" s="115"/>
      <c r="I1501" s="118"/>
      <c r="J1501" s="120"/>
      <c r="K1501" s="120"/>
      <c r="L1501" s="262"/>
      <c r="M1501" s="263"/>
      <c r="N1501" s="264"/>
      <c r="O1501" s="262"/>
      <c r="P1501" s="262"/>
      <c r="Q1501" s="262"/>
    </row>
    <row r="1502" spans="3:17" ht="15.75">
      <c r="C1502" s="117"/>
      <c r="D1502" s="160"/>
      <c r="E1502" s="117"/>
      <c r="F1502" s="115"/>
      <c r="G1502" s="117"/>
      <c r="H1502" s="115"/>
      <c r="I1502" s="118"/>
      <c r="J1502" s="120"/>
      <c r="K1502" s="120"/>
      <c r="L1502" s="262"/>
      <c r="M1502" s="263"/>
      <c r="N1502" s="264"/>
      <c r="O1502" s="262"/>
      <c r="P1502" s="262"/>
      <c r="Q1502" s="262"/>
    </row>
    <row r="1503" spans="3:17" ht="15.75">
      <c r="C1503" s="117"/>
      <c r="D1503" s="160"/>
      <c r="E1503" s="117"/>
      <c r="F1503" s="115"/>
      <c r="G1503" s="117"/>
      <c r="H1503" s="115"/>
      <c r="I1503" s="118"/>
      <c r="J1503" s="120"/>
      <c r="K1503" s="120"/>
      <c r="L1503" s="262"/>
      <c r="M1503" s="263"/>
      <c r="N1503" s="264"/>
      <c r="O1503" s="262"/>
      <c r="P1503" s="262"/>
      <c r="Q1503" s="262"/>
    </row>
    <row r="1504" spans="3:17" ht="15.75">
      <c r="C1504" s="117"/>
      <c r="D1504" s="160"/>
      <c r="E1504" s="117"/>
      <c r="F1504" s="115"/>
      <c r="G1504" s="117"/>
      <c r="H1504" s="115"/>
      <c r="I1504" s="118"/>
      <c r="J1504" s="120"/>
      <c r="K1504" s="120"/>
      <c r="L1504" s="262"/>
      <c r="M1504" s="263"/>
      <c r="N1504" s="264"/>
      <c r="O1504" s="262"/>
      <c r="P1504" s="262"/>
      <c r="Q1504" s="262"/>
    </row>
    <row r="1505" spans="3:17" ht="15.75">
      <c r="C1505" s="117"/>
      <c r="D1505" s="160"/>
      <c r="E1505" s="117"/>
      <c r="F1505" s="115"/>
      <c r="G1505" s="117"/>
      <c r="H1505" s="115"/>
      <c r="I1505" s="118"/>
      <c r="J1505" s="120"/>
      <c r="K1505" s="120"/>
      <c r="L1505" s="262"/>
      <c r="M1505" s="263"/>
      <c r="N1505" s="264"/>
      <c r="O1505" s="262"/>
      <c r="P1505" s="262"/>
      <c r="Q1505" s="262"/>
    </row>
    <row r="1506" spans="3:17" ht="15.75">
      <c r="C1506" s="117"/>
      <c r="D1506" s="160"/>
      <c r="E1506" s="117"/>
      <c r="F1506" s="115"/>
      <c r="G1506" s="117"/>
      <c r="H1506" s="115"/>
      <c r="I1506" s="118"/>
      <c r="J1506" s="120"/>
      <c r="K1506" s="120"/>
      <c r="L1506" s="262"/>
      <c r="M1506" s="263"/>
      <c r="N1506" s="264"/>
      <c r="O1506" s="262"/>
      <c r="P1506" s="262"/>
      <c r="Q1506" s="262"/>
    </row>
    <row r="1507" spans="3:17" ht="15.75">
      <c r="C1507" s="117"/>
      <c r="D1507" s="160"/>
      <c r="E1507" s="117"/>
      <c r="F1507" s="115"/>
      <c r="G1507" s="117"/>
      <c r="H1507" s="115"/>
      <c r="I1507" s="118"/>
      <c r="J1507" s="120"/>
      <c r="K1507" s="120"/>
      <c r="L1507" s="262"/>
      <c r="M1507" s="263"/>
      <c r="N1507" s="264"/>
      <c r="O1507" s="262"/>
      <c r="P1507" s="262"/>
      <c r="Q1507" s="262"/>
    </row>
    <row r="1508" spans="3:17" ht="15.75">
      <c r="C1508" s="117"/>
      <c r="D1508" s="160"/>
      <c r="E1508" s="117"/>
      <c r="F1508" s="115"/>
      <c r="G1508" s="117"/>
      <c r="H1508" s="115"/>
      <c r="I1508" s="118"/>
      <c r="J1508" s="120"/>
      <c r="K1508" s="120"/>
      <c r="L1508" s="262"/>
      <c r="M1508" s="263"/>
      <c r="N1508" s="264"/>
      <c r="O1508" s="262"/>
      <c r="P1508" s="262"/>
      <c r="Q1508" s="262"/>
    </row>
    <row r="1509" spans="3:17" ht="15.75">
      <c r="C1509" s="117"/>
      <c r="D1509" s="160"/>
      <c r="E1509" s="117"/>
      <c r="F1509" s="115"/>
      <c r="G1509" s="117"/>
      <c r="H1509" s="115"/>
      <c r="I1509" s="118"/>
      <c r="J1509" s="120"/>
      <c r="K1509" s="120"/>
      <c r="L1509" s="262"/>
      <c r="M1509" s="263"/>
      <c r="N1509" s="264"/>
      <c r="O1509" s="262"/>
      <c r="P1509" s="262"/>
      <c r="Q1509" s="262"/>
    </row>
    <row r="1510" spans="3:17" ht="15.75">
      <c r="C1510" s="117"/>
      <c r="D1510" s="160"/>
      <c r="E1510" s="117"/>
      <c r="F1510" s="115"/>
      <c r="G1510" s="117"/>
      <c r="H1510" s="115"/>
      <c r="I1510" s="118"/>
      <c r="J1510" s="120"/>
      <c r="K1510" s="120"/>
      <c r="L1510" s="262"/>
      <c r="M1510" s="263"/>
      <c r="N1510" s="264"/>
      <c r="O1510" s="262"/>
      <c r="P1510" s="262"/>
      <c r="Q1510" s="262"/>
    </row>
    <row r="1511" spans="3:17" ht="15.75">
      <c r="C1511" s="117"/>
      <c r="D1511" s="160"/>
      <c r="E1511" s="117"/>
      <c r="F1511" s="115"/>
      <c r="G1511" s="117"/>
      <c r="H1511" s="115"/>
      <c r="I1511" s="118"/>
      <c r="J1511" s="120"/>
      <c r="K1511" s="120"/>
      <c r="L1511" s="262"/>
      <c r="M1511" s="263"/>
      <c r="N1511" s="264"/>
      <c r="O1511" s="262"/>
      <c r="P1511" s="262"/>
      <c r="Q1511" s="262"/>
    </row>
    <row r="1512" spans="3:17" ht="15.75">
      <c r="C1512" s="117"/>
      <c r="D1512" s="160"/>
      <c r="E1512" s="117"/>
      <c r="F1512" s="115"/>
      <c r="G1512" s="117"/>
      <c r="H1512" s="115"/>
      <c r="I1512" s="118"/>
      <c r="J1512" s="120"/>
      <c r="K1512" s="120"/>
      <c r="L1512" s="262"/>
      <c r="M1512" s="263"/>
      <c r="N1512" s="264"/>
      <c r="O1512" s="262"/>
      <c r="P1512" s="262"/>
      <c r="Q1512" s="262"/>
    </row>
    <row r="1513" spans="3:17" ht="15.75">
      <c r="C1513" s="117"/>
      <c r="D1513" s="160"/>
      <c r="E1513" s="117"/>
      <c r="F1513" s="115"/>
      <c r="G1513" s="117"/>
      <c r="H1513" s="115"/>
      <c r="I1513" s="118"/>
      <c r="J1513" s="120"/>
      <c r="K1513" s="120"/>
      <c r="L1513" s="262"/>
      <c r="M1513" s="263"/>
      <c r="N1513" s="264"/>
      <c r="O1513" s="262"/>
      <c r="P1513" s="262"/>
      <c r="Q1513" s="262"/>
    </row>
    <row r="1514" spans="3:17" ht="15.75">
      <c r="C1514" s="117"/>
      <c r="D1514" s="160"/>
      <c r="E1514" s="117"/>
      <c r="F1514" s="115"/>
      <c r="G1514" s="117"/>
      <c r="H1514" s="115"/>
      <c r="I1514" s="118"/>
      <c r="J1514" s="120"/>
      <c r="K1514" s="120"/>
      <c r="L1514" s="262"/>
      <c r="M1514" s="263"/>
      <c r="N1514" s="264"/>
      <c r="O1514" s="262"/>
      <c r="P1514" s="262"/>
      <c r="Q1514" s="262"/>
    </row>
    <row r="1515" spans="3:17" ht="15.75">
      <c r="C1515" s="117"/>
      <c r="D1515" s="160"/>
      <c r="E1515" s="117"/>
      <c r="F1515" s="115"/>
      <c r="G1515" s="117"/>
      <c r="H1515" s="115"/>
      <c r="I1515" s="118"/>
      <c r="J1515" s="120"/>
      <c r="K1515" s="120"/>
      <c r="L1515" s="262"/>
      <c r="M1515" s="263"/>
      <c r="N1515" s="264"/>
      <c r="O1515" s="262"/>
      <c r="P1515" s="262"/>
      <c r="Q1515" s="262"/>
    </row>
    <row r="1516" spans="3:17" ht="15.75">
      <c r="C1516" s="117"/>
      <c r="D1516" s="160"/>
      <c r="E1516" s="117"/>
      <c r="F1516" s="115"/>
      <c r="G1516" s="117"/>
      <c r="H1516" s="115"/>
      <c r="I1516" s="118"/>
      <c r="J1516" s="120"/>
      <c r="K1516" s="120"/>
      <c r="L1516" s="262"/>
      <c r="M1516" s="263"/>
      <c r="N1516" s="264"/>
      <c r="O1516" s="262"/>
      <c r="P1516" s="262"/>
      <c r="Q1516" s="262"/>
    </row>
    <row r="1517" spans="3:17" ht="15.75">
      <c r="C1517" s="117"/>
      <c r="D1517" s="160"/>
      <c r="E1517" s="117"/>
      <c r="F1517" s="115"/>
      <c r="G1517" s="117"/>
      <c r="H1517" s="115"/>
      <c r="I1517" s="118"/>
      <c r="J1517" s="120"/>
      <c r="K1517" s="120"/>
      <c r="L1517" s="262"/>
      <c r="M1517" s="263"/>
      <c r="N1517" s="264"/>
      <c r="O1517" s="262"/>
      <c r="P1517" s="262"/>
      <c r="Q1517" s="262"/>
    </row>
    <row r="1518" spans="3:17" ht="15.75">
      <c r="C1518" s="117"/>
      <c r="D1518" s="160"/>
      <c r="E1518" s="117"/>
      <c r="F1518" s="115"/>
      <c r="G1518" s="117"/>
      <c r="H1518" s="115"/>
      <c r="I1518" s="118"/>
      <c r="J1518" s="120"/>
      <c r="K1518" s="120"/>
      <c r="L1518" s="262"/>
      <c r="M1518" s="263"/>
      <c r="N1518" s="264"/>
      <c r="O1518" s="262"/>
      <c r="P1518" s="262"/>
      <c r="Q1518" s="262"/>
    </row>
    <row r="1519" spans="3:17" ht="15.75">
      <c r="C1519" s="117"/>
      <c r="D1519" s="160"/>
      <c r="E1519" s="117"/>
      <c r="F1519" s="115"/>
      <c r="G1519" s="117"/>
      <c r="H1519" s="115"/>
      <c r="I1519" s="118"/>
      <c r="J1519" s="120"/>
      <c r="K1519" s="120"/>
      <c r="L1519" s="262"/>
      <c r="M1519" s="263"/>
      <c r="N1519" s="264"/>
      <c r="O1519" s="262"/>
      <c r="P1519" s="262"/>
      <c r="Q1519" s="262"/>
    </row>
    <row r="1520" spans="3:17" ht="15.75">
      <c r="C1520" s="117"/>
      <c r="D1520" s="160"/>
      <c r="E1520" s="117"/>
      <c r="F1520" s="115"/>
      <c r="G1520" s="117"/>
      <c r="H1520" s="115"/>
      <c r="I1520" s="118"/>
      <c r="J1520" s="120"/>
      <c r="K1520" s="120"/>
      <c r="L1520" s="262"/>
      <c r="M1520" s="263"/>
      <c r="N1520" s="264"/>
      <c r="O1520" s="262"/>
      <c r="P1520" s="262"/>
      <c r="Q1520" s="262"/>
    </row>
    <row r="1521" spans="3:18" ht="15.75">
      <c r="C1521" s="117"/>
      <c r="D1521" s="160"/>
      <c r="E1521" s="117"/>
      <c r="F1521" s="115"/>
      <c r="G1521" s="117"/>
      <c r="H1521" s="115"/>
      <c r="I1521" s="118"/>
      <c r="J1521" s="120"/>
      <c r="K1521" s="120"/>
      <c r="L1521" s="262"/>
      <c r="M1521" s="263"/>
      <c r="N1521" s="264"/>
      <c r="O1521" s="262"/>
      <c r="P1521" s="262"/>
      <c r="Q1521" s="262"/>
    </row>
    <row r="1522" spans="3:18" ht="15.75">
      <c r="C1522" s="117"/>
      <c r="D1522" s="160"/>
      <c r="E1522" s="117"/>
      <c r="F1522" s="115"/>
      <c r="G1522" s="117"/>
      <c r="H1522" s="115"/>
      <c r="I1522" s="118"/>
      <c r="J1522" s="120"/>
      <c r="K1522" s="120"/>
      <c r="L1522" s="262"/>
      <c r="M1522" s="263"/>
      <c r="N1522" s="264"/>
      <c r="O1522" s="262"/>
      <c r="P1522" s="262"/>
      <c r="Q1522" s="262"/>
    </row>
    <row r="1523" spans="3:18" ht="15.75">
      <c r="C1523" s="117"/>
      <c r="D1523" s="160"/>
      <c r="E1523" s="117"/>
      <c r="F1523" s="115"/>
      <c r="G1523" s="117"/>
      <c r="H1523" s="115"/>
      <c r="I1523" s="118"/>
      <c r="J1523" s="120"/>
      <c r="K1523" s="120"/>
      <c r="L1523" s="262"/>
      <c r="M1523" s="263"/>
      <c r="N1523" s="264"/>
      <c r="O1523" s="262"/>
      <c r="P1523" s="262"/>
      <c r="Q1523" s="262"/>
    </row>
    <row r="1524" spans="3:18" ht="15.75">
      <c r="C1524" s="117"/>
      <c r="D1524" s="160"/>
      <c r="E1524" s="117"/>
      <c r="F1524" s="115"/>
      <c r="G1524" s="117"/>
      <c r="H1524" s="115"/>
      <c r="I1524" s="118"/>
      <c r="J1524" s="120"/>
      <c r="K1524" s="120"/>
      <c r="L1524" s="262"/>
      <c r="M1524" s="263"/>
      <c r="N1524" s="264"/>
      <c r="O1524" s="262"/>
      <c r="P1524" s="262"/>
      <c r="Q1524" s="262"/>
    </row>
    <row r="1525" spans="3:18" ht="15.75">
      <c r="C1525" s="117"/>
      <c r="D1525" s="160"/>
      <c r="E1525" s="117"/>
      <c r="F1525" s="115"/>
      <c r="G1525" s="117"/>
      <c r="H1525" s="115"/>
      <c r="I1525" s="118"/>
      <c r="J1525" s="120"/>
      <c r="K1525" s="120"/>
      <c r="L1525" s="262"/>
      <c r="M1525" s="263"/>
      <c r="N1525" s="264"/>
      <c r="O1525" s="262"/>
      <c r="P1525" s="262"/>
      <c r="Q1525" s="262"/>
    </row>
    <row r="1526" spans="3:18" ht="15.75">
      <c r="C1526" s="117"/>
      <c r="D1526" s="160"/>
      <c r="E1526" s="117"/>
      <c r="F1526" s="115"/>
      <c r="G1526" s="117"/>
      <c r="H1526" s="115"/>
      <c r="I1526" s="118"/>
      <c r="J1526" s="120"/>
      <c r="K1526" s="120"/>
      <c r="L1526" s="262"/>
      <c r="M1526" s="263"/>
      <c r="N1526" s="264"/>
      <c r="O1526" s="262"/>
      <c r="P1526" s="262"/>
      <c r="Q1526" s="262"/>
    </row>
    <row r="1527" spans="3:18" ht="15.75">
      <c r="C1527" s="117"/>
      <c r="D1527" s="160"/>
      <c r="E1527" s="117"/>
      <c r="F1527" s="115"/>
      <c r="G1527" s="117"/>
      <c r="H1527" s="115"/>
      <c r="I1527" s="118"/>
      <c r="J1527" s="120"/>
      <c r="K1527" s="120"/>
      <c r="L1527" s="262"/>
      <c r="M1527" s="263"/>
      <c r="N1527" s="264"/>
      <c r="O1527" s="262"/>
      <c r="P1527" s="262"/>
      <c r="Q1527" s="262"/>
    </row>
    <row r="1528" spans="3:18" ht="15.75">
      <c r="C1528" s="117"/>
      <c r="D1528" s="160"/>
      <c r="E1528" s="117"/>
      <c r="F1528" s="115"/>
      <c r="G1528" s="117"/>
      <c r="H1528" s="115"/>
      <c r="I1528" s="118"/>
      <c r="J1528" s="120"/>
      <c r="K1528" s="120"/>
      <c r="L1528" s="262"/>
      <c r="M1528" s="263"/>
      <c r="N1528" s="264"/>
      <c r="O1528" s="262"/>
      <c r="P1528" s="262"/>
      <c r="Q1528" s="262"/>
    </row>
    <row r="1529" spans="3:18" ht="15.75">
      <c r="C1529" s="117"/>
      <c r="D1529" s="160"/>
      <c r="E1529" s="117"/>
      <c r="F1529" s="115"/>
      <c r="G1529" s="117"/>
      <c r="H1529" s="115"/>
      <c r="I1529" s="118"/>
      <c r="J1529" s="120"/>
      <c r="K1529" s="120"/>
      <c r="L1529" s="262"/>
      <c r="M1529" s="263"/>
      <c r="N1529" s="264"/>
      <c r="O1529" s="262"/>
      <c r="P1529" s="262"/>
      <c r="Q1529" s="262"/>
    </row>
    <row r="1530" spans="3:18" ht="15.75">
      <c r="C1530" s="117"/>
      <c r="D1530" s="160"/>
      <c r="E1530" s="117"/>
      <c r="F1530" s="115"/>
      <c r="G1530" s="117"/>
      <c r="H1530" s="115"/>
      <c r="I1530" s="118"/>
      <c r="J1530" s="120"/>
      <c r="K1530" s="120"/>
      <c r="L1530" s="262"/>
      <c r="M1530" s="263"/>
      <c r="N1530" s="264"/>
      <c r="O1530" s="262"/>
      <c r="P1530" s="262"/>
      <c r="Q1530" s="262"/>
    </row>
    <row r="1531" spans="3:18" ht="15.75">
      <c r="C1531" s="117"/>
      <c r="D1531" s="160"/>
      <c r="E1531" s="117"/>
      <c r="F1531" s="115"/>
      <c r="G1531" s="117"/>
      <c r="H1531" s="115"/>
      <c r="I1531" s="118"/>
      <c r="J1531" s="120"/>
      <c r="K1531" s="120"/>
      <c r="L1531" s="262"/>
      <c r="M1531" s="263"/>
      <c r="N1531" s="264"/>
      <c r="O1531" s="262"/>
      <c r="P1531" s="262"/>
      <c r="Q1531" s="262"/>
    </row>
    <row r="1532" spans="3:18" ht="15.75">
      <c r="C1532" s="117"/>
      <c r="D1532" s="160"/>
      <c r="E1532" s="117"/>
      <c r="F1532" s="115"/>
      <c r="G1532" s="117"/>
      <c r="H1532" s="115"/>
      <c r="I1532" s="118"/>
      <c r="J1532" s="119"/>
      <c r="K1532" s="120"/>
      <c r="L1532" s="261"/>
      <c r="M1532" s="262"/>
      <c r="N1532" s="263"/>
      <c r="O1532" s="264"/>
      <c r="P1532" s="262"/>
      <c r="Q1532" s="262"/>
      <c r="R1532" s="262"/>
    </row>
    <row r="1533" spans="3:18" ht="15.75">
      <c r="C1533" s="117"/>
      <c r="D1533" s="160"/>
      <c r="E1533" s="117"/>
      <c r="F1533" s="115"/>
      <c r="G1533" s="117"/>
      <c r="H1533" s="115"/>
      <c r="I1533" s="118"/>
      <c r="J1533" s="119"/>
      <c r="K1533" s="120"/>
      <c r="L1533" s="261"/>
      <c r="M1533" s="262"/>
      <c r="N1533" s="263"/>
      <c r="O1533" s="264"/>
      <c r="P1533" s="262"/>
      <c r="Q1533" s="262"/>
      <c r="R1533" s="262"/>
    </row>
    <row r="1534" spans="3:18" ht="15.75">
      <c r="C1534" s="117"/>
      <c r="D1534" s="160"/>
      <c r="E1534" s="117"/>
      <c r="F1534" s="115"/>
      <c r="G1534" s="117"/>
      <c r="H1534" s="115"/>
      <c r="I1534" s="118"/>
      <c r="J1534" s="119"/>
      <c r="K1534" s="120"/>
      <c r="L1534" s="261"/>
      <c r="M1534" s="262"/>
      <c r="N1534" s="263"/>
      <c r="O1534" s="264"/>
      <c r="P1534" s="262"/>
      <c r="Q1534" s="262"/>
      <c r="R1534" s="262"/>
    </row>
    <row r="1535" spans="3:18" ht="15.75">
      <c r="C1535" s="117"/>
      <c r="D1535" s="160"/>
      <c r="E1535" s="117"/>
      <c r="F1535" s="115"/>
      <c r="G1535" s="117"/>
      <c r="H1535" s="115"/>
      <c r="I1535" s="118"/>
      <c r="J1535" s="119"/>
      <c r="K1535" s="120"/>
      <c r="L1535" s="261"/>
      <c r="M1535" s="262"/>
      <c r="N1535" s="263"/>
      <c r="O1535" s="264"/>
      <c r="P1535" s="262"/>
      <c r="Q1535" s="262"/>
      <c r="R1535" s="262"/>
    </row>
    <row r="1536" spans="3:18" ht="15.75">
      <c r="C1536" s="117"/>
      <c r="D1536" s="160"/>
      <c r="E1536" s="117"/>
      <c r="F1536" s="115"/>
      <c r="G1536" s="117"/>
      <c r="H1536" s="115"/>
      <c r="I1536" s="118"/>
      <c r="J1536" s="119"/>
      <c r="K1536" s="120"/>
      <c r="L1536" s="261"/>
      <c r="M1536" s="262"/>
      <c r="N1536" s="263"/>
      <c r="O1536" s="264"/>
      <c r="P1536" s="262"/>
      <c r="Q1536" s="262"/>
      <c r="R1536" s="262"/>
    </row>
    <row r="1537" spans="3:18" ht="15.75">
      <c r="C1537" s="117"/>
      <c r="D1537" s="160"/>
      <c r="E1537" s="117"/>
      <c r="F1537" s="115"/>
      <c r="G1537" s="117"/>
      <c r="H1537" s="115"/>
      <c r="I1537" s="118"/>
      <c r="J1537" s="119"/>
      <c r="K1537" s="120"/>
      <c r="L1537" s="261"/>
      <c r="M1537" s="262"/>
      <c r="N1537" s="263"/>
      <c r="O1537" s="264"/>
      <c r="P1537" s="262"/>
      <c r="Q1537" s="262"/>
      <c r="R1537" s="262"/>
    </row>
    <row r="1538" spans="3:18" ht="15.75">
      <c r="C1538" s="117"/>
      <c r="D1538" s="160"/>
      <c r="E1538" s="117"/>
      <c r="F1538" s="115"/>
      <c r="G1538" s="117"/>
      <c r="H1538" s="115"/>
      <c r="I1538" s="118"/>
      <c r="J1538" s="119"/>
      <c r="K1538" s="120"/>
      <c r="L1538" s="261"/>
      <c r="M1538" s="262"/>
      <c r="N1538" s="263"/>
      <c r="O1538" s="264"/>
      <c r="P1538" s="262"/>
      <c r="Q1538" s="262"/>
      <c r="R1538" s="262"/>
    </row>
    <row r="1539" spans="3:18" ht="15.75">
      <c r="C1539" s="117"/>
      <c r="D1539" s="160"/>
      <c r="E1539" s="117"/>
      <c r="F1539" s="115"/>
      <c r="G1539" s="117"/>
      <c r="H1539" s="115"/>
      <c r="I1539" s="118"/>
      <c r="J1539" s="119"/>
      <c r="K1539" s="120"/>
      <c r="L1539" s="261"/>
      <c r="M1539" s="262"/>
      <c r="N1539" s="263"/>
      <c r="O1539" s="264"/>
      <c r="P1539" s="262"/>
      <c r="Q1539" s="262"/>
      <c r="R1539" s="262"/>
    </row>
    <row r="1540" spans="3:18" ht="15.75">
      <c r="C1540" s="117"/>
      <c r="D1540" s="160"/>
      <c r="E1540" s="117"/>
      <c r="F1540" s="115"/>
      <c r="G1540" s="117"/>
      <c r="H1540" s="115"/>
      <c r="I1540" s="118"/>
      <c r="J1540" s="119"/>
      <c r="K1540" s="120"/>
      <c r="L1540" s="261"/>
      <c r="M1540" s="262"/>
      <c r="N1540" s="263"/>
      <c r="O1540" s="264"/>
      <c r="P1540" s="262"/>
      <c r="Q1540" s="262"/>
      <c r="R1540" s="262"/>
    </row>
    <row r="1541" spans="3:18" ht="15.75">
      <c r="C1541" s="117"/>
      <c r="D1541" s="160"/>
      <c r="E1541" s="117"/>
      <c r="F1541" s="115"/>
      <c r="G1541" s="117"/>
      <c r="H1541" s="115"/>
      <c r="I1541" s="118"/>
      <c r="J1541" s="119"/>
      <c r="K1541" s="120"/>
      <c r="L1541" s="261"/>
      <c r="M1541" s="262"/>
      <c r="N1541" s="263"/>
      <c r="O1541" s="264"/>
      <c r="P1541" s="262"/>
      <c r="Q1541" s="262"/>
      <c r="R1541" s="262"/>
    </row>
    <row r="1542" spans="3:18" ht="15.75">
      <c r="C1542" s="117"/>
      <c r="D1542" s="160"/>
      <c r="E1542" s="117"/>
      <c r="F1542" s="115"/>
      <c r="G1542" s="117"/>
      <c r="H1542" s="115"/>
      <c r="I1542" s="118"/>
      <c r="J1542" s="119"/>
      <c r="K1542" s="120"/>
      <c r="L1542" s="261"/>
      <c r="M1542" s="262"/>
      <c r="N1542" s="263"/>
      <c r="O1542" s="264"/>
      <c r="P1542" s="262"/>
      <c r="Q1542" s="262"/>
      <c r="R1542" s="262"/>
    </row>
    <row r="1543" spans="3:18" ht="15.75">
      <c r="C1543" s="117"/>
      <c r="D1543" s="160"/>
      <c r="E1543" s="117"/>
      <c r="F1543" s="115"/>
      <c r="G1543" s="117"/>
      <c r="H1543" s="115"/>
      <c r="I1543" s="118"/>
      <c r="J1543" s="119"/>
      <c r="K1543" s="120"/>
      <c r="L1543" s="261"/>
      <c r="M1543" s="262"/>
      <c r="N1543" s="263"/>
      <c r="O1543" s="264"/>
      <c r="P1543" s="262"/>
      <c r="Q1543" s="262"/>
      <c r="R1543" s="262"/>
    </row>
    <row r="1544" spans="3:18" ht="15.75">
      <c r="C1544" s="117"/>
      <c r="D1544" s="160"/>
      <c r="E1544" s="117"/>
      <c r="F1544" s="115"/>
      <c r="G1544" s="117"/>
      <c r="H1544" s="115"/>
      <c r="I1544" s="118"/>
      <c r="J1544" s="119"/>
      <c r="K1544" s="120"/>
      <c r="L1544" s="261"/>
      <c r="M1544" s="262"/>
      <c r="N1544" s="263"/>
      <c r="O1544" s="264"/>
      <c r="P1544" s="262"/>
      <c r="Q1544" s="262"/>
      <c r="R1544" s="262"/>
    </row>
    <row r="1545" spans="3:18" ht="15.75">
      <c r="C1545" s="117"/>
      <c r="D1545" s="160"/>
      <c r="E1545" s="117"/>
      <c r="F1545" s="115"/>
      <c r="G1545" s="117"/>
      <c r="H1545" s="115"/>
      <c r="I1545" s="118"/>
      <c r="J1545" s="119"/>
      <c r="K1545" s="120"/>
      <c r="L1545" s="261"/>
      <c r="M1545" s="262"/>
      <c r="N1545" s="263"/>
      <c r="O1545" s="264"/>
      <c r="P1545" s="262"/>
      <c r="Q1545" s="262"/>
      <c r="R1545" s="262"/>
    </row>
    <row r="1546" spans="3:18" ht="15.75">
      <c r="C1546" s="117"/>
      <c r="D1546" s="160"/>
      <c r="E1546" s="117"/>
      <c r="F1546" s="115"/>
      <c r="G1546" s="117"/>
      <c r="H1546" s="115"/>
      <c r="I1546" s="118"/>
      <c r="J1546" s="119"/>
      <c r="K1546" s="120"/>
      <c r="L1546" s="261"/>
      <c r="M1546" s="262"/>
      <c r="N1546" s="263"/>
      <c r="O1546" s="264"/>
      <c r="P1546" s="262"/>
      <c r="Q1546" s="262"/>
      <c r="R1546" s="262"/>
    </row>
    <row r="1547" spans="3:18" ht="15.75">
      <c r="C1547" s="117"/>
      <c r="D1547" s="160"/>
      <c r="E1547" s="117"/>
      <c r="F1547" s="115"/>
      <c r="G1547" s="117"/>
      <c r="H1547" s="115"/>
      <c r="I1547" s="118"/>
      <c r="J1547" s="119"/>
      <c r="K1547" s="120"/>
      <c r="L1547" s="261"/>
      <c r="M1547" s="262"/>
      <c r="N1547" s="263"/>
      <c r="O1547" s="264"/>
      <c r="P1547" s="262"/>
      <c r="Q1547" s="262"/>
      <c r="R1547" s="262"/>
    </row>
    <row r="1548" spans="3:18" ht="15.75">
      <c r="C1548" s="117"/>
      <c r="D1548" s="160"/>
      <c r="E1548" s="117"/>
      <c r="F1548" s="115"/>
      <c r="G1548" s="117"/>
      <c r="H1548" s="115"/>
      <c r="I1548" s="118"/>
      <c r="J1548" s="119"/>
      <c r="K1548" s="120"/>
      <c r="L1548" s="261"/>
      <c r="M1548" s="262"/>
      <c r="N1548" s="263"/>
      <c r="O1548" s="264"/>
      <c r="P1548" s="262"/>
      <c r="Q1548" s="262"/>
      <c r="R1548" s="262"/>
    </row>
    <row r="1549" spans="3:18" ht="15.75">
      <c r="C1549" s="117"/>
      <c r="D1549" s="160"/>
      <c r="E1549" s="117"/>
      <c r="F1549" s="115"/>
      <c r="G1549" s="117"/>
      <c r="H1549" s="115"/>
      <c r="I1549" s="118"/>
      <c r="J1549" s="119"/>
      <c r="K1549" s="120"/>
      <c r="L1549" s="261"/>
      <c r="M1549" s="262"/>
      <c r="N1549" s="263"/>
      <c r="O1549" s="264"/>
      <c r="P1549" s="262"/>
      <c r="Q1549" s="262"/>
      <c r="R1549" s="262"/>
    </row>
    <row r="1550" spans="3:18" ht="15.75">
      <c r="C1550" s="117"/>
      <c r="D1550" s="160"/>
      <c r="E1550" s="117"/>
      <c r="F1550" s="115"/>
      <c r="G1550" s="117"/>
      <c r="H1550" s="115"/>
      <c r="I1550" s="118"/>
      <c r="J1550" s="119"/>
      <c r="K1550" s="120"/>
      <c r="L1550" s="261"/>
      <c r="M1550" s="262"/>
      <c r="N1550" s="263"/>
      <c r="O1550" s="264"/>
      <c r="P1550" s="262"/>
      <c r="Q1550" s="262"/>
      <c r="R1550" s="262"/>
    </row>
    <row r="1551" spans="3:18" ht="15.75">
      <c r="C1551" s="117"/>
      <c r="D1551" s="160"/>
      <c r="E1551" s="117"/>
      <c r="F1551" s="115"/>
      <c r="G1551" s="117"/>
      <c r="H1551" s="115"/>
      <c r="I1551" s="118"/>
      <c r="J1551" s="119"/>
      <c r="K1551" s="120"/>
      <c r="L1551" s="261"/>
      <c r="M1551" s="262"/>
      <c r="N1551" s="263"/>
      <c r="O1551" s="264"/>
      <c r="P1551" s="262"/>
      <c r="Q1551" s="262"/>
      <c r="R1551" s="262"/>
    </row>
    <row r="1552" spans="3:18" ht="15.75">
      <c r="C1552" s="117"/>
      <c r="D1552" s="160"/>
      <c r="E1552" s="117"/>
      <c r="F1552" s="115"/>
      <c r="G1552" s="117"/>
      <c r="H1552" s="115"/>
      <c r="I1552" s="118"/>
      <c r="J1552" s="119"/>
      <c r="K1552" s="120"/>
      <c r="L1552" s="261"/>
      <c r="M1552" s="262"/>
      <c r="N1552" s="263"/>
      <c r="O1552" s="264"/>
      <c r="P1552" s="262"/>
      <c r="Q1552" s="262"/>
      <c r="R1552" s="262"/>
    </row>
    <row r="1553" spans="3:18" ht="15.75">
      <c r="C1553" s="117"/>
      <c r="D1553" s="160"/>
      <c r="E1553" s="117"/>
      <c r="F1553" s="115"/>
      <c r="G1553" s="117"/>
      <c r="H1553" s="115"/>
      <c r="I1553" s="118"/>
      <c r="J1553" s="119"/>
      <c r="K1553" s="120"/>
      <c r="L1553" s="261"/>
      <c r="M1553" s="262"/>
      <c r="N1553" s="263"/>
      <c r="O1553" s="264"/>
      <c r="P1553" s="262"/>
      <c r="Q1553" s="262"/>
      <c r="R1553" s="262"/>
    </row>
    <row r="1554" spans="3:18" ht="15.75">
      <c r="C1554" s="117"/>
      <c r="D1554" s="160"/>
      <c r="E1554" s="117"/>
      <c r="F1554" s="115"/>
      <c r="G1554" s="117"/>
      <c r="H1554" s="115"/>
      <c r="I1554" s="118"/>
      <c r="J1554" s="119"/>
      <c r="K1554" s="120"/>
      <c r="L1554" s="261"/>
      <c r="M1554" s="262"/>
      <c r="N1554" s="263"/>
      <c r="O1554" s="264"/>
      <c r="P1554" s="262"/>
      <c r="Q1554" s="262"/>
      <c r="R1554" s="262"/>
    </row>
    <row r="1555" spans="3:18" ht="15.75">
      <c r="C1555" s="117"/>
      <c r="D1555" s="160"/>
      <c r="E1555" s="117"/>
      <c r="F1555" s="115"/>
      <c r="G1555" s="117"/>
      <c r="H1555" s="115"/>
      <c r="I1555" s="118"/>
      <c r="J1555" s="119"/>
      <c r="K1555" s="120"/>
      <c r="L1555" s="261"/>
      <c r="M1555" s="262"/>
      <c r="N1555" s="263"/>
      <c r="O1555" s="264"/>
      <c r="P1555" s="262"/>
      <c r="Q1555" s="262"/>
      <c r="R1555" s="262"/>
    </row>
    <row r="1556" spans="3:18" ht="15.75">
      <c r="C1556" s="117"/>
      <c r="D1556" s="160"/>
      <c r="E1556" s="117"/>
      <c r="F1556" s="115"/>
      <c r="G1556" s="117"/>
      <c r="H1556" s="115"/>
      <c r="I1556" s="118"/>
      <c r="J1556" s="119"/>
      <c r="K1556" s="120"/>
      <c r="L1556" s="261"/>
      <c r="M1556" s="262"/>
      <c r="N1556" s="263"/>
      <c r="O1556" s="264"/>
      <c r="P1556" s="262"/>
      <c r="Q1556" s="262"/>
      <c r="R1556" s="262"/>
    </row>
    <row r="1557" spans="3:18" ht="15.75">
      <c r="C1557" s="117"/>
      <c r="D1557" s="160"/>
      <c r="E1557" s="117"/>
      <c r="F1557" s="115"/>
      <c r="G1557" s="117"/>
      <c r="H1557" s="115"/>
      <c r="I1557" s="118"/>
      <c r="J1557" s="119"/>
      <c r="K1557" s="120"/>
      <c r="L1557" s="261"/>
      <c r="M1557" s="262"/>
      <c r="N1557" s="263"/>
      <c r="O1557" s="264"/>
      <c r="P1557" s="262"/>
      <c r="Q1557" s="262"/>
      <c r="R1557" s="262"/>
    </row>
    <row r="1558" spans="3:18" ht="15.75">
      <c r="C1558" s="117"/>
      <c r="D1558" s="160"/>
      <c r="E1558" s="117"/>
      <c r="F1558" s="115"/>
      <c r="G1558" s="117"/>
      <c r="H1558" s="115"/>
      <c r="I1558" s="118"/>
      <c r="J1558" s="119"/>
      <c r="K1558" s="120"/>
      <c r="L1558" s="261"/>
      <c r="M1558" s="262"/>
      <c r="N1558" s="263"/>
      <c r="O1558" s="264"/>
      <c r="P1558" s="262"/>
      <c r="Q1558" s="262"/>
      <c r="R1558" s="262"/>
    </row>
    <row r="1559" spans="3:18" ht="15.75">
      <c r="C1559" s="117"/>
      <c r="D1559" s="160"/>
      <c r="E1559" s="117"/>
      <c r="F1559" s="115"/>
      <c r="G1559" s="117"/>
      <c r="H1559" s="115"/>
      <c r="I1559" s="118"/>
      <c r="J1559" s="119"/>
      <c r="K1559" s="120"/>
      <c r="L1559" s="261"/>
      <c r="M1559" s="262"/>
      <c r="N1559" s="263"/>
      <c r="O1559" s="264"/>
      <c r="P1559" s="262"/>
      <c r="Q1559" s="262"/>
      <c r="R1559" s="262"/>
    </row>
    <row r="1560" spans="3:18" ht="15.75">
      <c r="C1560" s="117"/>
      <c r="D1560" s="160"/>
      <c r="E1560" s="117"/>
      <c r="F1560" s="115"/>
      <c r="G1560" s="117"/>
      <c r="H1560" s="115"/>
      <c r="I1560" s="118"/>
      <c r="J1560" s="119"/>
      <c r="K1560" s="120"/>
      <c r="L1560" s="261"/>
      <c r="M1560" s="262"/>
      <c r="N1560" s="263"/>
      <c r="O1560" s="264"/>
      <c r="P1560" s="262"/>
      <c r="Q1560" s="262"/>
      <c r="R1560" s="262"/>
    </row>
    <row r="1561" spans="3:18" ht="15.75">
      <c r="C1561" s="117"/>
      <c r="D1561" s="160"/>
      <c r="E1561" s="117"/>
      <c r="F1561" s="115"/>
      <c r="G1561" s="117"/>
      <c r="H1561" s="115"/>
      <c r="I1561" s="118"/>
      <c r="J1561" s="119"/>
      <c r="K1561" s="120"/>
      <c r="L1561" s="261"/>
      <c r="M1561" s="262"/>
      <c r="N1561" s="263"/>
      <c r="O1561" s="264"/>
      <c r="P1561" s="262"/>
      <c r="Q1561" s="262"/>
      <c r="R1561" s="262"/>
    </row>
    <row r="1562" spans="3:18" ht="15.75">
      <c r="C1562" s="117"/>
      <c r="D1562" s="160"/>
      <c r="E1562" s="117"/>
      <c r="F1562" s="115"/>
      <c r="G1562" s="117"/>
      <c r="H1562" s="115"/>
      <c r="I1562" s="118"/>
      <c r="J1562" s="119"/>
      <c r="K1562" s="120"/>
      <c r="L1562" s="261"/>
      <c r="M1562" s="262"/>
      <c r="N1562" s="263"/>
      <c r="O1562" s="264"/>
      <c r="P1562" s="262"/>
      <c r="Q1562" s="262"/>
      <c r="R1562" s="262"/>
    </row>
    <row r="1563" spans="3:18" ht="15.75">
      <c r="C1563" s="117"/>
      <c r="D1563" s="160"/>
      <c r="E1563" s="117"/>
      <c r="F1563" s="115"/>
      <c r="G1563" s="117"/>
      <c r="H1563" s="115"/>
      <c r="I1563" s="118"/>
      <c r="J1563" s="119"/>
      <c r="K1563" s="120"/>
      <c r="L1563" s="261"/>
      <c r="M1563" s="262"/>
      <c r="N1563" s="263"/>
      <c r="O1563" s="264"/>
      <c r="P1563" s="262"/>
      <c r="Q1563" s="262"/>
      <c r="R1563" s="262"/>
    </row>
    <row r="1564" spans="3:18" ht="15.75">
      <c r="C1564" s="117"/>
      <c r="D1564" s="160"/>
      <c r="E1564" s="117"/>
      <c r="F1564" s="115"/>
      <c r="G1564" s="117"/>
      <c r="H1564" s="115"/>
      <c r="I1564" s="118"/>
      <c r="J1564" s="119"/>
      <c r="K1564" s="120"/>
      <c r="L1564" s="261"/>
      <c r="M1564" s="262"/>
      <c r="N1564" s="263"/>
      <c r="O1564" s="264"/>
      <c r="P1564" s="262"/>
      <c r="Q1564" s="262"/>
      <c r="R1564" s="262"/>
    </row>
    <row r="1565" spans="3:18" ht="15.75">
      <c r="C1565" s="117"/>
      <c r="D1565" s="160"/>
      <c r="E1565" s="117"/>
      <c r="F1565" s="115"/>
      <c r="G1565" s="117"/>
      <c r="H1565" s="115"/>
      <c r="I1565" s="118"/>
      <c r="J1565" s="119"/>
      <c r="K1565" s="120"/>
      <c r="L1565" s="261"/>
      <c r="M1565" s="262"/>
      <c r="N1565" s="263"/>
      <c r="O1565" s="264"/>
      <c r="P1565" s="262"/>
      <c r="Q1565" s="262"/>
      <c r="R1565" s="262"/>
    </row>
    <row r="1566" spans="3:18" ht="15.75">
      <c r="C1566" s="117"/>
      <c r="D1566" s="160"/>
      <c r="E1566" s="117"/>
      <c r="F1566" s="115"/>
      <c r="G1566" s="117"/>
      <c r="H1566" s="115"/>
      <c r="I1566" s="118"/>
      <c r="J1566" s="119"/>
      <c r="K1566" s="120"/>
      <c r="L1566" s="261"/>
      <c r="M1566" s="262"/>
      <c r="N1566" s="263"/>
      <c r="O1566" s="264"/>
      <c r="P1566" s="262"/>
      <c r="Q1566" s="262"/>
      <c r="R1566" s="262"/>
    </row>
    <row r="1567" spans="3:18" ht="15.75">
      <c r="C1567" s="117"/>
      <c r="D1567" s="160"/>
      <c r="E1567" s="117"/>
      <c r="F1567" s="115"/>
      <c r="G1567" s="117"/>
      <c r="H1567" s="115"/>
      <c r="I1567" s="118"/>
      <c r="J1567" s="119"/>
      <c r="K1567" s="120"/>
      <c r="L1567" s="261"/>
      <c r="M1567" s="262"/>
      <c r="N1567" s="263"/>
      <c r="O1567" s="264"/>
      <c r="P1567" s="262"/>
      <c r="Q1567" s="262"/>
      <c r="R1567" s="262"/>
    </row>
    <row r="1568" spans="3:18" ht="15.75">
      <c r="C1568" s="117"/>
      <c r="D1568" s="160"/>
      <c r="E1568" s="117"/>
      <c r="F1568" s="115"/>
      <c r="G1568" s="117"/>
      <c r="H1568" s="115"/>
      <c r="I1568" s="118"/>
      <c r="J1568" s="119"/>
      <c r="K1568" s="120"/>
      <c r="L1568" s="261"/>
      <c r="M1568" s="262"/>
      <c r="N1568" s="263"/>
      <c r="O1568" s="264"/>
      <c r="P1568" s="262"/>
      <c r="Q1568" s="262"/>
      <c r="R1568" s="262"/>
    </row>
    <row r="1569" spans="3:18" ht="15.75">
      <c r="C1569" s="117"/>
      <c r="D1569" s="160"/>
      <c r="E1569" s="117"/>
      <c r="F1569" s="115"/>
      <c r="G1569" s="117"/>
      <c r="H1569" s="115"/>
      <c r="I1569" s="118"/>
      <c r="J1569" s="119"/>
      <c r="K1569" s="120"/>
      <c r="L1569" s="261"/>
      <c r="M1569" s="262"/>
      <c r="N1569" s="263"/>
      <c r="O1569" s="264"/>
      <c r="P1569" s="262"/>
      <c r="Q1569" s="262"/>
      <c r="R1569" s="262"/>
    </row>
    <row r="1570" spans="3:18" ht="15.75">
      <c r="C1570" s="117"/>
      <c r="D1570" s="160"/>
      <c r="E1570" s="117"/>
      <c r="F1570" s="115"/>
      <c r="G1570" s="117"/>
      <c r="H1570" s="115"/>
      <c r="I1570" s="118"/>
      <c r="J1570" s="119"/>
      <c r="K1570" s="120"/>
      <c r="L1570" s="261"/>
      <c r="M1570" s="262"/>
      <c r="N1570" s="263"/>
      <c r="O1570" s="264"/>
      <c r="P1570" s="262"/>
      <c r="Q1570" s="262"/>
      <c r="R1570" s="262"/>
    </row>
    <row r="1571" spans="3:18" ht="15.75">
      <c r="C1571" s="117"/>
      <c r="D1571" s="160"/>
      <c r="E1571" s="117"/>
      <c r="F1571" s="115"/>
      <c r="G1571" s="117"/>
      <c r="H1571" s="115"/>
      <c r="I1571" s="118"/>
      <c r="J1571" s="119"/>
      <c r="K1571" s="120"/>
      <c r="L1571" s="261"/>
      <c r="M1571" s="262"/>
      <c r="N1571" s="263"/>
      <c r="O1571" s="264"/>
      <c r="P1571" s="262"/>
      <c r="Q1571" s="262"/>
      <c r="R1571" s="262"/>
    </row>
    <row r="1572" spans="3:18" ht="15.75">
      <c r="C1572" s="117"/>
      <c r="D1572" s="160"/>
      <c r="E1572" s="117"/>
      <c r="F1572" s="115"/>
      <c r="G1572" s="117"/>
      <c r="H1572" s="115"/>
      <c r="I1572" s="118"/>
      <c r="J1572" s="119"/>
      <c r="K1572" s="120"/>
      <c r="L1572" s="261"/>
      <c r="M1572" s="262"/>
      <c r="N1572" s="263"/>
      <c r="O1572" s="264"/>
      <c r="P1572" s="262"/>
      <c r="Q1572" s="262"/>
      <c r="R1572" s="262"/>
    </row>
    <row r="1573" spans="3:18" ht="15.75">
      <c r="C1573" s="117"/>
      <c r="D1573" s="160"/>
      <c r="E1573" s="117"/>
      <c r="F1573" s="115"/>
      <c r="G1573" s="117"/>
      <c r="H1573" s="115"/>
      <c r="I1573" s="118"/>
      <c r="J1573" s="119"/>
      <c r="K1573" s="120"/>
      <c r="L1573" s="261"/>
      <c r="M1573" s="262"/>
      <c r="N1573" s="263"/>
      <c r="O1573" s="264"/>
      <c r="P1573" s="262"/>
      <c r="Q1573" s="262"/>
      <c r="R1573" s="262"/>
    </row>
    <row r="1574" spans="3:18" ht="15.75">
      <c r="C1574" s="117"/>
      <c r="D1574" s="160"/>
      <c r="E1574" s="117"/>
      <c r="F1574" s="115"/>
      <c r="G1574" s="117"/>
      <c r="H1574" s="115"/>
      <c r="I1574" s="118"/>
      <c r="J1574" s="119"/>
      <c r="K1574" s="120"/>
      <c r="L1574" s="261"/>
      <c r="M1574" s="262"/>
      <c r="N1574" s="263"/>
      <c r="O1574" s="264"/>
      <c r="P1574" s="262"/>
      <c r="Q1574" s="262"/>
      <c r="R1574" s="262"/>
    </row>
    <row r="1575" spans="3:18" ht="15.75">
      <c r="C1575" s="117"/>
      <c r="D1575" s="160"/>
      <c r="E1575" s="117"/>
      <c r="F1575" s="115"/>
      <c r="G1575" s="117"/>
      <c r="H1575" s="115"/>
      <c r="I1575" s="118"/>
      <c r="J1575" s="119"/>
      <c r="K1575" s="120"/>
      <c r="L1575" s="261"/>
      <c r="M1575" s="262"/>
      <c r="N1575" s="263"/>
      <c r="O1575" s="264"/>
      <c r="P1575" s="262"/>
      <c r="Q1575" s="262"/>
      <c r="R1575" s="262"/>
    </row>
    <row r="1576" spans="3:18" ht="15.75">
      <c r="C1576" s="117"/>
      <c r="D1576" s="160"/>
      <c r="E1576" s="117"/>
      <c r="F1576" s="115"/>
      <c r="G1576" s="117"/>
      <c r="H1576" s="115"/>
      <c r="I1576" s="118"/>
      <c r="J1576" s="119"/>
      <c r="K1576" s="120"/>
      <c r="L1576" s="261"/>
      <c r="M1576" s="262"/>
      <c r="N1576" s="263"/>
      <c r="O1576" s="264"/>
      <c r="P1576" s="262"/>
      <c r="Q1576" s="262"/>
      <c r="R1576" s="262"/>
    </row>
    <row r="1577" spans="3:18" ht="15.75">
      <c r="C1577" s="117"/>
      <c r="D1577" s="160"/>
      <c r="E1577" s="117"/>
      <c r="F1577" s="115"/>
      <c r="G1577" s="117"/>
      <c r="H1577" s="115"/>
      <c r="I1577" s="118"/>
      <c r="J1577" s="119"/>
      <c r="K1577" s="120"/>
      <c r="L1577" s="261"/>
      <c r="M1577" s="262"/>
      <c r="N1577" s="263"/>
      <c r="O1577" s="264"/>
      <c r="P1577" s="262"/>
      <c r="Q1577" s="262"/>
      <c r="R1577" s="262"/>
    </row>
    <row r="1578" spans="3:18" ht="15.75">
      <c r="C1578" s="117"/>
      <c r="D1578" s="160"/>
      <c r="E1578" s="117"/>
      <c r="F1578" s="115"/>
      <c r="G1578" s="117"/>
      <c r="H1578" s="115"/>
      <c r="I1578" s="118"/>
      <c r="J1578" s="119"/>
      <c r="K1578" s="120"/>
      <c r="L1578" s="261"/>
      <c r="M1578" s="262"/>
      <c r="N1578" s="263"/>
      <c r="O1578" s="264"/>
      <c r="P1578" s="262"/>
      <c r="Q1578" s="262"/>
      <c r="R1578" s="262"/>
    </row>
    <row r="1579" spans="3:18" ht="15.75">
      <c r="C1579" s="117"/>
      <c r="D1579" s="160"/>
      <c r="E1579" s="117"/>
      <c r="F1579" s="115"/>
      <c r="G1579" s="117"/>
      <c r="H1579" s="115"/>
      <c r="I1579" s="118"/>
      <c r="J1579" s="119"/>
      <c r="K1579" s="120"/>
      <c r="L1579" s="261"/>
      <c r="M1579" s="262"/>
      <c r="N1579" s="263"/>
      <c r="O1579" s="264"/>
      <c r="P1579" s="262"/>
      <c r="Q1579" s="262"/>
      <c r="R1579" s="262"/>
    </row>
    <row r="1580" spans="3:18" ht="15.75">
      <c r="C1580" s="117"/>
      <c r="D1580" s="160"/>
      <c r="E1580" s="117"/>
      <c r="F1580" s="115"/>
      <c r="G1580" s="117"/>
      <c r="H1580" s="115"/>
      <c r="I1580" s="118"/>
      <c r="J1580" s="119"/>
      <c r="K1580" s="120"/>
      <c r="L1580" s="261"/>
      <c r="M1580" s="262"/>
      <c r="N1580" s="263"/>
      <c r="O1580" s="264"/>
      <c r="P1580" s="262"/>
      <c r="Q1580" s="262"/>
      <c r="R1580" s="262"/>
    </row>
    <row r="1581" spans="3:18" ht="15.75">
      <c r="C1581" s="117"/>
      <c r="D1581" s="160"/>
      <c r="E1581" s="117"/>
      <c r="F1581" s="115"/>
      <c r="G1581" s="117"/>
      <c r="H1581" s="115"/>
      <c r="I1581" s="118"/>
      <c r="J1581" s="119"/>
      <c r="K1581" s="120"/>
      <c r="L1581" s="261"/>
      <c r="M1581" s="262"/>
      <c r="N1581" s="263"/>
      <c r="O1581" s="264"/>
      <c r="P1581" s="262"/>
      <c r="Q1581" s="262"/>
      <c r="R1581" s="262"/>
    </row>
    <row r="1582" spans="3:18" ht="15.75">
      <c r="C1582" s="117"/>
      <c r="D1582" s="160"/>
      <c r="E1582" s="117"/>
      <c r="F1582" s="115"/>
      <c r="G1582" s="117"/>
      <c r="H1582" s="115"/>
      <c r="I1582" s="118"/>
      <c r="J1582" s="119"/>
      <c r="K1582" s="120"/>
      <c r="L1582" s="261"/>
      <c r="M1582" s="262"/>
      <c r="N1582" s="263"/>
      <c r="O1582" s="264"/>
      <c r="P1582" s="262"/>
      <c r="Q1582" s="262"/>
      <c r="R1582" s="262"/>
    </row>
    <row r="1583" spans="3:18" ht="15.75">
      <c r="C1583" s="117"/>
      <c r="D1583" s="160"/>
      <c r="E1583" s="117"/>
      <c r="F1583" s="115"/>
      <c r="G1583" s="117"/>
      <c r="H1583" s="115"/>
      <c r="I1583" s="118"/>
      <c r="J1583" s="119"/>
      <c r="K1583" s="120"/>
      <c r="L1583" s="261"/>
      <c r="M1583" s="262"/>
      <c r="N1583" s="263"/>
      <c r="O1583" s="264"/>
      <c r="P1583" s="262"/>
      <c r="Q1583" s="262"/>
      <c r="R1583" s="262"/>
    </row>
    <row r="1584" spans="3:18" ht="15.75">
      <c r="C1584" s="117"/>
      <c r="D1584" s="160"/>
      <c r="E1584" s="117"/>
      <c r="F1584" s="115"/>
      <c r="G1584" s="117"/>
      <c r="H1584" s="115"/>
      <c r="I1584" s="118"/>
      <c r="J1584" s="119"/>
      <c r="K1584" s="120"/>
      <c r="L1584" s="261"/>
      <c r="M1584" s="262"/>
      <c r="N1584" s="263"/>
      <c r="O1584" s="264"/>
      <c r="P1584" s="262"/>
      <c r="Q1584" s="262"/>
      <c r="R1584" s="262"/>
    </row>
    <row r="1585" spans="3:18" ht="15.75">
      <c r="C1585" s="117"/>
      <c r="D1585" s="160"/>
      <c r="E1585" s="117"/>
      <c r="F1585" s="115"/>
      <c r="G1585" s="117"/>
      <c r="H1585" s="115"/>
      <c r="I1585" s="118"/>
      <c r="J1585" s="119"/>
      <c r="K1585" s="120"/>
      <c r="L1585" s="261"/>
      <c r="M1585" s="262"/>
      <c r="N1585" s="263"/>
      <c r="O1585" s="264"/>
      <c r="P1585" s="262"/>
      <c r="Q1585" s="262"/>
      <c r="R1585" s="262"/>
    </row>
    <row r="1586" spans="3:18" ht="15.75">
      <c r="C1586" s="117"/>
      <c r="D1586" s="160"/>
      <c r="E1586" s="117"/>
      <c r="F1586" s="115"/>
      <c r="G1586" s="117"/>
      <c r="H1586" s="115"/>
      <c r="I1586" s="118"/>
      <c r="J1586" s="119"/>
      <c r="K1586" s="120"/>
      <c r="L1586" s="261"/>
      <c r="M1586" s="262"/>
      <c r="N1586" s="263"/>
      <c r="O1586" s="264"/>
      <c r="P1586" s="262"/>
      <c r="Q1586" s="262"/>
      <c r="R1586" s="262"/>
    </row>
    <row r="1587" spans="3:18" ht="15.75">
      <c r="C1587" s="117"/>
      <c r="D1587" s="160"/>
      <c r="E1587" s="117"/>
      <c r="F1587" s="115"/>
      <c r="G1587" s="117"/>
      <c r="H1587" s="115"/>
      <c r="I1587" s="118"/>
      <c r="J1587" s="119"/>
      <c r="K1587" s="120"/>
      <c r="L1587" s="261"/>
      <c r="M1587" s="262"/>
      <c r="N1587" s="263"/>
      <c r="O1587" s="264"/>
      <c r="P1587" s="262"/>
      <c r="Q1587" s="262"/>
      <c r="R1587" s="262"/>
    </row>
    <row r="1588" spans="3:18" ht="15.75">
      <c r="C1588" s="117"/>
      <c r="D1588" s="160"/>
      <c r="E1588" s="117"/>
      <c r="F1588" s="115"/>
      <c r="G1588" s="117"/>
      <c r="H1588" s="115"/>
      <c r="I1588" s="118"/>
      <c r="J1588" s="119"/>
      <c r="K1588" s="120"/>
      <c r="L1588" s="261"/>
      <c r="M1588" s="262"/>
      <c r="N1588" s="263"/>
      <c r="O1588" s="264"/>
      <c r="P1588" s="262"/>
      <c r="Q1588" s="262"/>
      <c r="R1588" s="262"/>
    </row>
    <row r="1589" spans="3:18" ht="15.75">
      <c r="C1589" s="117"/>
      <c r="D1589" s="160"/>
      <c r="E1589" s="117"/>
      <c r="F1589" s="115"/>
      <c r="G1589" s="117"/>
      <c r="H1589" s="115"/>
      <c r="I1589" s="118"/>
      <c r="J1589" s="119"/>
      <c r="K1589" s="120"/>
      <c r="L1589" s="261"/>
      <c r="M1589" s="262"/>
      <c r="N1589" s="263"/>
      <c r="O1589" s="264"/>
      <c r="P1589" s="262"/>
      <c r="Q1589" s="262"/>
      <c r="R1589" s="262"/>
    </row>
    <row r="1590" spans="3:18" ht="15.75">
      <c r="C1590" s="117"/>
      <c r="D1590" s="160"/>
      <c r="E1590" s="117"/>
      <c r="F1590" s="115"/>
      <c r="G1590" s="117"/>
      <c r="H1590" s="115"/>
      <c r="I1590" s="118"/>
      <c r="J1590" s="119"/>
      <c r="K1590" s="120"/>
      <c r="L1590" s="261"/>
      <c r="M1590" s="262"/>
      <c r="N1590" s="263"/>
      <c r="O1590" s="264"/>
      <c r="P1590" s="262"/>
      <c r="Q1590" s="262"/>
      <c r="R1590" s="262"/>
    </row>
    <row r="1591" spans="3:18" ht="15.75">
      <c r="C1591" s="117"/>
      <c r="D1591" s="160"/>
      <c r="E1591" s="117"/>
      <c r="F1591" s="115"/>
      <c r="G1591" s="117"/>
      <c r="H1591" s="115"/>
      <c r="I1591" s="118"/>
      <c r="J1591" s="119"/>
      <c r="K1591" s="120"/>
      <c r="L1591" s="261"/>
      <c r="M1591" s="262"/>
      <c r="N1591" s="263"/>
      <c r="O1591" s="264"/>
      <c r="P1591" s="262"/>
      <c r="Q1591" s="262"/>
      <c r="R1591" s="262"/>
    </row>
    <row r="1592" spans="3:18" ht="15.75">
      <c r="C1592" s="117"/>
      <c r="D1592" s="160"/>
      <c r="E1592" s="117"/>
      <c r="F1592" s="115"/>
      <c r="G1592" s="117"/>
      <c r="H1592" s="115"/>
      <c r="I1592" s="118"/>
      <c r="J1592" s="119"/>
      <c r="K1592" s="120"/>
      <c r="L1592" s="261"/>
      <c r="M1592" s="262"/>
      <c r="N1592" s="263"/>
      <c r="O1592" s="264"/>
      <c r="P1592" s="262"/>
      <c r="Q1592" s="262"/>
      <c r="R1592" s="262"/>
    </row>
    <row r="1593" spans="3:18" ht="15.75">
      <c r="C1593" s="117"/>
      <c r="D1593" s="160"/>
      <c r="E1593" s="117"/>
      <c r="F1593" s="115"/>
      <c r="G1593" s="117"/>
      <c r="H1593" s="115"/>
      <c r="I1593" s="118"/>
      <c r="J1593" s="119"/>
      <c r="K1593" s="120"/>
      <c r="L1593" s="261"/>
      <c r="M1593" s="262"/>
      <c r="N1593" s="263"/>
      <c r="O1593" s="264"/>
      <c r="P1593" s="262"/>
      <c r="Q1593" s="262"/>
      <c r="R1593" s="262"/>
    </row>
    <row r="1594" spans="3:18" ht="15.75">
      <c r="C1594" s="117"/>
      <c r="D1594" s="160"/>
      <c r="E1594" s="117"/>
      <c r="F1594" s="115"/>
      <c r="G1594" s="117"/>
      <c r="H1594" s="115"/>
      <c r="I1594" s="118"/>
      <c r="J1594" s="119"/>
      <c r="K1594" s="120"/>
      <c r="L1594" s="261"/>
      <c r="M1594" s="262"/>
      <c r="N1594" s="263"/>
      <c r="O1594" s="264"/>
      <c r="P1594" s="262"/>
      <c r="Q1594" s="262"/>
      <c r="R1594" s="262"/>
    </row>
    <row r="1595" spans="3:18" ht="15.75">
      <c r="C1595" s="117"/>
      <c r="D1595" s="160"/>
      <c r="E1595" s="117"/>
      <c r="F1595" s="115"/>
      <c r="G1595" s="117"/>
      <c r="H1595" s="115"/>
      <c r="I1595" s="118"/>
      <c r="J1595" s="119"/>
      <c r="K1595" s="120"/>
      <c r="L1595" s="261"/>
      <c r="M1595" s="262"/>
      <c r="N1595" s="263"/>
      <c r="O1595" s="264"/>
      <c r="P1595" s="262"/>
      <c r="Q1595" s="262"/>
      <c r="R1595" s="262"/>
    </row>
    <row r="1596" spans="3:18" ht="15.75">
      <c r="C1596" s="117"/>
      <c r="D1596" s="160"/>
      <c r="E1596" s="117"/>
      <c r="F1596" s="115"/>
      <c r="G1596" s="117"/>
      <c r="H1596" s="115"/>
      <c r="I1596" s="118"/>
      <c r="J1596" s="119"/>
      <c r="K1596" s="120"/>
      <c r="L1596" s="261"/>
      <c r="M1596" s="262"/>
      <c r="N1596" s="263"/>
      <c r="O1596" s="264"/>
      <c r="P1596" s="262"/>
      <c r="Q1596" s="262"/>
      <c r="R1596" s="262"/>
    </row>
    <row r="1597" spans="3:18" ht="15.75">
      <c r="C1597" s="117"/>
      <c r="D1597" s="160"/>
      <c r="E1597" s="117"/>
      <c r="F1597" s="115"/>
      <c r="G1597" s="117"/>
      <c r="H1597" s="115"/>
      <c r="I1597" s="118"/>
      <c r="J1597" s="119"/>
      <c r="K1597" s="120"/>
      <c r="L1597" s="261"/>
      <c r="M1597" s="262"/>
      <c r="N1597" s="263"/>
      <c r="O1597" s="264"/>
      <c r="P1597" s="262"/>
      <c r="Q1597" s="262"/>
      <c r="R1597" s="262"/>
    </row>
    <row r="1598" spans="3:18" ht="15.75">
      <c r="C1598" s="117"/>
      <c r="D1598" s="160"/>
      <c r="E1598" s="117"/>
      <c r="F1598" s="115"/>
      <c r="G1598" s="117"/>
      <c r="H1598" s="115"/>
      <c r="I1598" s="118"/>
      <c r="J1598" s="119"/>
      <c r="K1598" s="120"/>
      <c r="L1598" s="261"/>
      <c r="M1598" s="262"/>
      <c r="N1598" s="263"/>
      <c r="O1598" s="264"/>
      <c r="P1598" s="262"/>
      <c r="Q1598" s="262"/>
      <c r="R1598" s="262"/>
    </row>
    <row r="1599" spans="3:18" ht="15.75">
      <c r="C1599" s="117"/>
      <c r="D1599" s="160"/>
      <c r="E1599" s="117"/>
      <c r="F1599" s="115"/>
      <c r="G1599" s="117"/>
      <c r="H1599" s="115"/>
      <c r="I1599" s="118"/>
      <c r="J1599" s="119"/>
      <c r="K1599" s="120"/>
      <c r="L1599" s="261"/>
      <c r="M1599" s="262"/>
      <c r="N1599" s="263"/>
      <c r="O1599" s="264"/>
      <c r="P1599" s="262"/>
      <c r="Q1599" s="262"/>
      <c r="R1599" s="262"/>
    </row>
    <row r="1600" spans="3:18" ht="15.75">
      <c r="C1600" s="117"/>
      <c r="D1600" s="160"/>
      <c r="E1600" s="117"/>
      <c r="F1600" s="115"/>
      <c r="G1600" s="117"/>
      <c r="H1600" s="115"/>
      <c r="I1600" s="118"/>
      <c r="J1600" s="119"/>
      <c r="K1600" s="120"/>
      <c r="L1600" s="261"/>
      <c r="M1600" s="262"/>
      <c r="N1600" s="263"/>
      <c r="O1600" s="264"/>
      <c r="P1600" s="262"/>
      <c r="Q1600" s="262"/>
      <c r="R1600" s="262"/>
    </row>
    <row r="1601" spans="3:18" ht="15.75">
      <c r="C1601" s="117"/>
      <c r="D1601" s="160"/>
      <c r="E1601" s="117"/>
      <c r="F1601" s="115"/>
      <c r="G1601" s="117"/>
      <c r="H1601" s="115"/>
      <c r="I1601" s="118"/>
      <c r="J1601" s="119"/>
      <c r="K1601" s="120"/>
      <c r="L1601" s="261"/>
      <c r="M1601" s="262"/>
      <c r="N1601" s="263"/>
      <c r="O1601" s="264"/>
      <c r="P1601" s="262"/>
      <c r="Q1601" s="262"/>
      <c r="R1601" s="262"/>
    </row>
    <row r="1602" spans="3:18" ht="15.75">
      <c r="C1602" s="117"/>
      <c r="D1602" s="160"/>
      <c r="E1602" s="117"/>
      <c r="F1602" s="115"/>
      <c r="G1602" s="117"/>
      <c r="H1602" s="115"/>
      <c r="I1602" s="118"/>
      <c r="J1602" s="119"/>
      <c r="K1602" s="120"/>
      <c r="L1602" s="261"/>
      <c r="M1602" s="262"/>
      <c r="N1602" s="263"/>
      <c r="O1602" s="264"/>
      <c r="P1602" s="262"/>
      <c r="Q1602" s="262"/>
      <c r="R1602" s="262"/>
    </row>
    <row r="1603" spans="3:18" ht="15.75">
      <c r="C1603" s="117"/>
      <c r="D1603" s="160"/>
      <c r="E1603" s="117"/>
      <c r="F1603" s="115"/>
      <c r="G1603" s="117"/>
      <c r="H1603" s="115"/>
      <c r="I1603" s="118"/>
      <c r="J1603" s="119"/>
      <c r="K1603" s="120"/>
      <c r="L1603" s="261"/>
      <c r="M1603" s="262"/>
      <c r="N1603" s="263"/>
      <c r="O1603" s="264"/>
      <c r="P1603" s="262"/>
      <c r="Q1603" s="262"/>
      <c r="R1603" s="262"/>
    </row>
    <row r="1604" spans="3:18" ht="15.75">
      <c r="C1604" s="117"/>
      <c r="D1604" s="160"/>
      <c r="E1604" s="117"/>
      <c r="F1604" s="115"/>
      <c r="G1604" s="117"/>
      <c r="H1604" s="115"/>
      <c r="I1604" s="118"/>
      <c r="J1604" s="119"/>
      <c r="K1604" s="120"/>
      <c r="L1604" s="261"/>
      <c r="M1604" s="262"/>
      <c r="N1604" s="263"/>
      <c r="O1604" s="264"/>
      <c r="P1604" s="262"/>
      <c r="Q1604" s="262"/>
      <c r="R1604" s="262"/>
    </row>
    <row r="1605" spans="3:18" ht="15.75">
      <c r="C1605" s="117"/>
      <c r="D1605" s="160"/>
      <c r="E1605" s="117"/>
      <c r="F1605" s="115"/>
      <c r="G1605" s="117"/>
      <c r="H1605" s="115"/>
      <c r="I1605" s="118"/>
      <c r="J1605" s="119"/>
      <c r="K1605" s="120"/>
      <c r="L1605" s="261"/>
      <c r="M1605" s="262"/>
      <c r="N1605" s="263"/>
      <c r="O1605" s="264"/>
      <c r="P1605" s="262"/>
      <c r="Q1605" s="262"/>
      <c r="R1605" s="262"/>
    </row>
    <row r="1606" spans="3:18" ht="15.75">
      <c r="C1606" s="117"/>
      <c r="D1606" s="160"/>
      <c r="E1606" s="117"/>
      <c r="F1606" s="115"/>
      <c r="G1606" s="117"/>
      <c r="H1606" s="115"/>
      <c r="I1606" s="118"/>
      <c r="J1606" s="119"/>
      <c r="K1606" s="120"/>
      <c r="L1606" s="261"/>
      <c r="M1606" s="262"/>
      <c r="N1606" s="263"/>
      <c r="O1606" s="264"/>
      <c r="P1606" s="262"/>
      <c r="Q1606" s="262"/>
      <c r="R1606" s="262"/>
    </row>
    <row r="1607" spans="3:18" ht="15.75">
      <c r="C1607" s="117"/>
      <c r="D1607" s="160"/>
      <c r="E1607" s="117"/>
      <c r="F1607" s="115"/>
      <c r="G1607" s="117"/>
      <c r="H1607" s="115"/>
      <c r="I1607" s="118"/>
      <c r="J1607" s="119"/>
      <c r="K1607" s="120"/>
      <c r="L1607" s="261"/>
      <c r="M1607" s="262"/>
      <c r="N1607" s="263"/>
      <c r="O1607" s="264"/>
      <c r="P1607" s="262"/>
      <c r="Q1607" s="262"/>
      <c r="R1607" s="262"/>
    </row>
    <row r="1608" spans="3:18" ht="15.75">
      <c r="C1608" s="117"/>
      <c r="D1608" s="160"/>
      <c r="E1608" s="117"/>
      <c r="F1608" s="115"/>
      <c r="G1608" s="117"/>
      <c r="H1608" s="115"/>
      <c r="I1608" s="118"/>
      <c r="J1608" s="119"/>
      <c r="K1608" s="120"/>
      <c r="L1608" s="261"/>
      <c r="M1608" s="262"/>
      <c r="N1608" s="263"/>
      <c r="O1608" s="264"/>
      <c r="P1608" s="262"/>
      <c r="Q1608" s="262"/>
      <c r="R1608" s="262"/>
    </row>
    <row r="1609" spans="3:18" ht="15.75">
      <c r="C1609" s="117"/>
      <c r="D1609" s="160"/>
      <c r="E1609" s="117"/>
      <c r="F1609" s="115"/>
      <c r="G1609" s="117"/>
      <c r="H1609" s="115"/>
      <c r="I1609" s="118"/>
      <c r="J1609" s="119"/>
      <c r="K1609" s="120"/>
      <c r="L1609" s="261"/>
      <c r="M1609" s="262"/>
      <c r="N1609" s="263"/>
      <c r="O1609" s="264"/>
      <c r="P1609" s="262"/>
      <c r="Q1609" s="262"/>
      <c r="R1609" s="262"/>
    </row>
    <row r="1610" spans="3:18" ht="15.75">
      <c r="C1610" s="117"/>
      <c r="D1610" s="160"/>
      <c r="E1610" s="117"/>
      <c r="F1610" s="115"/>
      <c r="G1610" s="117"/>
      <c r="H1610" s="115"/>
      <c r="I1610" s="118"/>
      <c r="J1610" s="119"/>
      <c r="K1610" s="120"/>
      <c r="L1610" s="261"/>
      <c r="M1610" s="262"/>
      <c r="N1610" s="263"/>
      <c r="O1610" s="264"/>
      <c r="P1610" s="262"/>
      <c r="Q1610" s="262"/>
      <c r="R1610" s="262"/>
    </row>
    <row r="1611" spans="3:18" ht="15.75">
      <c r="C1611" s="117"/>
      <c r="D1611" s="160"/>
      <c r="E1611" s="117"/>
      <c r="F1611" s="115"/>
      <c r="G1611" s="117"/>
      <c r="H1611" s="115"/>
      <c r="I1611" s="118"/>
      <c r="J1611" s="119"/>
      <c r="K1611" s="120"/>
      <c r="L1611" s="261"/>
      <c r="M1611" s="262"/>
      <c r="N1611" s="263"/>
      <c r="O1611" s="264"/>
      <c r="P1611" s="262"/>
      <c r="Q1611" s="262"/>
      <c r="R1611" s="262"/>
    </row>
    <row r="1612" spans="3:18" ht="15.75">
      <c r="C1612" s="117"/>
      <c r="D1612" s="160"/>
      <c r="E1612" s="117"/>
      <c r="F1612" s="115"/>
      <c r="G1612" s="117"/>
      <c r="H1612" s="115"/>
      <c r="I1612" s="118"/>
      <c r="J1612" s="119"/>
      <c r="K1612" s="120"/>
      <c r="L1612" s="261"/>
      <c r="M1612" s="262"/>
      <c r="N1612" s="263"/>
      <c r="O1612" s="264"/>
      <c r="P1612" s="262"/>
      <c r="Q1612" s="262"/>
      <c r="R1612" s="262"/>
    </row>
    <row r="1613" spans="3:18" ht="15.75">
      <c r="C1613" s="117"/>
      <c r="D1613" s="160"/>
      <c r="E1613" s="117"/>
      <c r="F1613" s="115"/>
      <c r="G1613" s="117"/>
      <c r="H1613" s="115"/>
      <c r="I1613" s="118"/>
      <c r="J1613" s="119"/>
      <c r="K1613" s="120"/>
      <c r="L1613" s="261"/>
      <c r="M1613" s="262"/>
      <c r="N1613" s="263"/>
      <c r="O1613" s="264"/>
      <c r="P1613" s="262"/>
      <c r="Q1613" s="262"/>
      <c r="R1613" s="262"/>
    </row>
    <row r="1614" spans="3:18" ht="15.75">
      <c r="C1614" s="117"/>
      <c r="D1614" s="160"/>
      <c r="E1614" s="117"/>
      <c r="F1614" s="115"/>
      <c r="G1614" s="117"/>
      <c r="H1614" s="115"/>
      <c r="I1614" s="118"/>
      <c r="J1614" s="119"/>
      <c r="K1614" s="120"/>
      <c r="L1614" s="261"/>
      <c r="M1614" s="262"/>
      <c r="N1614" s="263"/>
      <c r="O1614" s="264"/>
      <c r="P1614" s="262"/>
      <c r="Q1614" s="262"/>
      <c r="R1614" s="262"/>
    </row>
    <row r="1615" spans="3:18" ht="15.75">
      <c r="C1615" s="117"/>
      <c r="D1615" s="160"/>
      <c r="E1615" s="117"/>
      <c r="F1615" s="115"/>
      <c r="G1615" s="117"/>
      <c r="H1615" s="115"/>
      <c r="I1615" s="118"/>
      <c r="J1615" s="119"/>
      <c r="K1615" s="120"/>
      <c r="L1615" s="261"/>
      <c r="M1615" s="262"/>
      <c r="N1615" s="263"/>
      <c r="O1615" s="264"/>
      <c r="P1615" s="262"/>
      <c r="Q1615" s="262"/>
      <c r="R1615" s="262"/>
    </row>
    <row r="1616" spans="3:18" ht="15.75">
      <c r="C1616" s="117"/>
      <c r="D1616" s="160"/>
      <c r="E1616" s="117"/>
      <c r="F1616" s="115"/>
      <c r="G1616" s="117"/>
      <c r="H1616" s="115"/>
      <c r="I1616" s="118"/>
      <c r="J1616" s="119"/>
      <c r="K1616" s="120"/>
      <c r="L1616" s="261"/>
      <c r="M1616" s="262"/>
      <c r="N1616" s="263"/>
      <c r="O1616" s="264"/>
      <c r="P1616" s="262"/>
      <c r="Q1616" s="262"/>
      <c r="R1616" s="262"/>
    </row>
    <row r="1617" spans="3:18" ht="15.75">
      <c r="C1617" s="117"/>
      <c r="D1617" s="160"/>
      <c r="E1617" s="117"/>
      <c r="F1617" s="115"/>
      <c r="G1617" s="117"/>
      <c r="H1617" s="115"/>
      <c r="I1617" s="118"/>
      <c r="J1617" s="119"/>
      <c r="K1617" s="120"/>
      <c r="L1617" s="261"/>
      <c r="M1617" s="262"/>
      <c r="N1617" s="263"/>
      <c r="O1617" s="264"/>
      <c r="P1617" s="262"/>
      <c r="Q1617" s="262"/>
      <c r="R1617" s="262"/>
    </row>
    <row r="1618" spans="3:18" ht="15.75">
      <c r="C1618" s="117"/>
      <c r="D1618" s="160"/>
      <c r="E1618" s="117"/>
      <c r="F1618" s="115"/>
      <c r="G1618" s="117"/>
      <c r="H1618" s="115"/>
      <c r="I1618" s="118"/>
      <c r="J1618" s="119"/>
      <c r="K1618" s="120"/>
      <c r="L1618" s="261"/>
      <c r="M1618" s="262"/>
      <c r="N1618" s="263"/>
      <c r="O1618" s="264"/>
      <c r="P1618" s="262"/>
      <c r="Q1618" s="262"/>
      <c r="R1618" s="262"/>
    </row>
    <row r="1619" spans="3:18" ht="15.75">
      <c r="C1619" s="117"/>
      <c r="D1619" s="160"/>
      <c r="E1619" s="117"/>
      <c r="F1619" s="115"/>
      <c r="G1619" s="117"/>
      <c r="H1619" s="115"/>
      <c r="I1619" s="118"/>
      <c r="J1619" s="119"/>
      <c r="K1619" s="120"/>
      <c r="L1619" s="261"/>
      <c r="M1619" s="262"/>
      <c r="N1619" s="263"/>
      <c r="O1619" s="264"/>
      <c r="P1619" s="262"/>
      <c r="Q1619" s="262"/>
      <c r="R1619" s="262"/>
    </row>
    <row r="1620" spans="3:18" ht="15.75">
      <c r="C1620" s="117"/>
      <c r="D1620" s="160"/>
      <c r="E1620" s="117"/>
      <c r="F1620" s="115"/>
      <c r="G1620" s="117"/>
      <c r="H1620" s="115"/>
      <c r="I1620" s="118"/>
      <c r="J1620" s="119"/>
      <c r="K1620" s="120"/>
      <c r="L1620" s="261"/>
      <c r="M1620" s="262"/>
      <c r="N1620" s="263"/>
      <c r="O1620" s="264"/>
      <c r="P1620" s="262"/>
      <c r="Q1620" s="262"/>
      <c r="R1620" s="262"/>
    </row>
    <row r="1621" spans="3:18" ht="15.75">
      <c r="C1621" s="117"/>
      <c r="D1621" s="160"/>
      <c r="E1621" s="117"/>
      <c r="F1621" s="115"/>
      <c r="G1621" s="117"/>
      <c r="H1621" s="115"/>
      <c r="I1621" s="118"/>
      <c r="J1621" s="119"/>
      <c r="K1621" s="120"/>
      <c r="L1621" s="261"/>
      <c r="M1621" s="262"/>
      <c r="N1621" s="263"/>
      <c r="O1621" s="264"/>
      <c r="P1621" s="262"/>
      <c r="Q1621" s="262"/>
      <c r="R1621" s="262"/>
    </row>
    <row r="1622" spans="3:18" ht="15.75">
      <c r="C1622" s="117"/>
      <c r="D1622" s="160"/>
      <c r="E1622" s="117"/>
      <c r="F1622" s="115"/>
      <c r="G1622" s="117"/>
      <c r="H1622" s="115"/>
      <c r="I1622" s="118"/>
      <c r="J1622" s="119"/>
      <c r="K1622" s="120"/>
      <c r="L1622" s="261"/>
      <c r="M1622" s="262"/>
      <c r="N1622" s="263"/>
      <c r="O1622" s="264"/>
      <c r="P1622" s="262"/>
      <c r="Q1622" s="262"/>
      <c r="R1622" s="262"/>
    </row>
    <row r="1623" spans="3:18" ht="15.75">
      <c r="C1623" s="117"/>
      <c r="D1623" s="160"/>
      <c r="E1623" s="117"/>
      <c r="F1623" s="115"/>
      <c r="G1623" s="117"/>
      <c r="H1623" s="115"/>
      <c r="I1623" s="118"/>
      <c r="J1623" s="119"/>
      <c r="K1623" s="120"/>
      <c r="L1623" s="261"/>
      <c r="M1623" s="262"/>
      <c r="N1623" s="263"/>
      <c r="O1623" s="264"/>
      <c r="P1623" s="262"/>
      <c r="Q1623" s="262"/>
      <c r="R1623" s="262"/>
    </row>
    <row r="1624" spans="3:18" ht="15.75">
      <c r="C1624" s="117"/>
      <c r="D1624" s="160"/>
      <c r="E1624" s="117"/>
      <c r="F1624" s="115"/>
      <c r="G1624" s="117"/>
      <c r="H1624" s="115"/>
      <c r="I1624" s="118"/>
      <c r="J1624" s="119"/>
      <c r="K1624" s="120"/>
      <c r="L1624" s="261"/>
      <c r="M1624" s="262"/>
      <c r="N1624" s="263"/>
      <c r="O1624" s="264"/>
      <c r="P1624" s="262"/>
      <c r="Q1624" s="262"/>
      <c r="R1624" s="262"/>
    </row>
    <row r="1625" spans="3:18" ht="15.75">
      <c r="C1625" s="117"/>
      <c r="D1625" s="160"/>
      <c r="E1625" s="117"/>
      <c r="F1625" s="115"/>
      <c r="G1625" s="117"/>
      <c r="H1625" s="115"/>
      <c r="I1625" s="118"/>
      <c r="J1625" s="119"/>
      <c r="K1625" s="120"/>
      <c r="L1625" s="261"/>
      <c r="M1625" s="262"/>
      <c r="N1625" s="263"/>
      <c r="O1625" s="264"/>
      <c r="P1625" s="262"/>
      <c r="Q1625" s="262"/>
      <c r="R1625" s="262"/>
    </row>
    <row r="1626" spans="3:18" ht="15.75">
      <c r="C1626" s="117"/>
      <c r="D1626" s="160"/>
      <c r="E1626" s="117"/>
      <c r="F1626" s="115"/>
      <c r="G1626" s="117"/>
      <c r="H1626" s="115"/>
      <c r="I1626" s="118"/>
      <c r="J1626" s="119"/>
      <c r="K1626" s="120"/>
      <c r="L1626" s="261"/>
      <c r="M1626" s="262"/>
      <c r="N1626" s="263"/>
      <c r="O1626" s="264"/>
      <c r="P1626" s="262"/>
      <c r="Q1626" s="262"/>
      <c r="R1626" s="262"/>
    </row>
    <row r="1627" spans="3:18" ht="15.75">
      <c r="C1627" s="117"/>
      <c r="D1627" s="160"/>
      <c r="E1627" s="117"/>
      <c r="F1627" s="115"/>
      <c r="G1627" s="117"/>
      <c r="H1627" s="115"/>
      <c r="I1627" s="118"/>
      <c r="J1627" s="119"/>
      <c r="K1627" s="120"/>
      <c r="L1627" s="261"/>
      <c r="M1627" s="262"/>
      <c r="N1627" s="263"/>
      <c r="O1627" s="264"/>
      <c r="P1627" s="262"/>
      <c r="Q1627" s="262"/>
      <c r="R1627" s="262"/>
    </row>
    <row r="1628" spans="3:18" ht="15.75">
      <c r="C1628" s="117"/>
      <c r="D1628" s="160"/>
      <c r="E1628" s="117"/>
      <c r="F1628" s="115"/>
      <c r="G1628" s="117"/>
      <c r="H1628" s="115"/>
      <c r="I1628" s="118"/>
      <c r="J1628" s="119"/>
      <c r="K1628" s="120"/>
      <c r="L1628" s="261"/>
      <c r="M1628" s="262"/>
      <c r="N1628" s="263"/>
      <c r="O1628" s="264"/>
      <c r="P1628" s="262"/>
      <c r="Q1628" s="262"/>
      <c r="R1628" s="262"/>
    </row>
    <row r="1629" spans="3:18" ht="15.75">
      <c r="C1629" s="117"/>
      <c r="D1629" s="160"/>
      <c r="E1629" s="117"/>
      <c r="F1629" s="115"/>
      <c r="G1629" s="117"/>
      <c r="H1629" s="115"/>
      <c r="I1629" s="118"/>
      <c r="J1629" s="119"/>
      <c r="K1629" s="120"/>
      <c r="L1629" s="261"/>
      <c r="M1629" s="262"/>
      <c r="N1629" s="263"/>
      <c r="O1629" s="264"/>
      <c r="P1629" s="262"/>
      <c r="Q1629" s="262"/>
      <c r="R1629" s="262"/>
    </row>
    <row r="1630" spans="3:18" ht="15.75">
      <c r="C1630" s="117"/>
      <c r="D1630" s="160"/>
      <c r="E1630" s="117"/>
      <c r="F1630" s="115"/>
      <c r="G1630" s="117"/>
      <c r="H1630" s="115"/>
      <c r="I1630" s="118"/>
      <c r="J1630" s="119"/>
      <c r="K1630" s="120"/>
      <c r="L1630" s="261"/>
      <c r="M1630" s="262"/>
      <c r="N1630" s="263"/>
      <c r="O1630" s="264"/>
      <c r="P1630" s="262"/>
      <c r="Q1630" s="262"/>
      <c r="R1630" s="262"/>
    </row>
    <row r="1631" spans="3:18" ht="15.75">
      <c r="C1631" s="117"/>
      <c r="D1631" s="160"/>
      <c r="E1631" s="117"/>
      <c r="F1631" s="115"/>
      <c r="G1631" s="117"/>
      <c r="H1631" s="115"/>
      <c r="I1631" s="118"/>
      <c r="J1631" s="119"/>
      <c r="K1631" s="120"/>
      <c r="L1631" s="261"/>
      <c r="M1631" s="262"/>
      <c r="N1631" s="263"/>
      <c r="O1631" s="264"/>
      <c r="P1631" s="262"/>
      <c r="Q1631" s="262"/>
      <c r="R1631" s="262"/>
    </row>
    <row r="1632" spans="3:18" ht="15.75">
      <c r="C1632" s="117"/>
      <c r="D1632" s="160"/>
      <c r="E1632" s="117"/>
      <c r="F1632" s="115"/>
      <c r="G1632" s="117"/>
      <c r="H1632" s="115"/>
      <c r="I1632" s="118"/>
      <c r="J1632" s="119"/>
      <c r="K1632" s="120"/>
      <c r="L1632" s="261"/>
      <c r="M1632" s="262"/>
      <c r="N1632" s="263"/>
      <c r="O1632" s="264"/>
      <c r="P1632" s="262"/>
      <c r="Q1632" s="262"/>
      <c r="R1632" s="262"/>
    </row>
    <row r="1633" spans="3:18" ht="15.75">
      <c r="C1633" s="117"/>
      <c r="D1633" s="160"/>
      <c r="E1633" s="117"/>
      <c r="F1633" s="115"/>
      <c r="G1633" s="117"/>
      <c r="H1633" s="115"/>
      <c r="I1633" s="118"/>
      <c r="J1633" s="119"/>
      <c r="K1633" s="120"/>
      <c r="L1633" s="261"/>
      <c r="M1633" s="262"/>
      <c r="N1633" s="263"/>
      <c r="O1633" s="264"/>
      <c r="P1633" s="262"/>
      <c r="Q1633" s="262"/>
      <c r="R1633" s="262"/>
    </row>
    <row r="1634" spans="3:18" ht="15.75">
      <c r="C1634" s="117"/>
      <c r="D1634" s="160"/>
      <c r="E1634" s="117"/>
      <c r="F1634" s="115"/>
      <c r="G1634" s="117"/>
      <c r="H1634" s="115"/>
      <c r="I1634" s="118"/>
      <c r="J1634" s="119"/>
      <c r="K1634" s="120"/>
      <c r="L1634" s="261"/>
      <c r="M1634" s="262"/>
      <c r="N1634" s="263"/>
      <c r="O1634" s="264"/>
      <c r="P1634" s="262"/>
      <c r="Q1634" s="262"/>
      <c r="R1634" s="262"/>
    </row>
    <row r="1635" spans="3:18" ht="15.75">
      <c r="C1635" s="117"/>
      <c r="D1635" s="160"/>
      <c r="E1635" s="117"/>
      <c r="F1635" s="115"/>
      <c r="G1635" s="117"/>
      <c r="H1635" s="115"/>
      <c r="I1635" s="118"/>
      <c r="J1635" s="119"/>
      <c r="K1635" s="120"/>
      <c r="L1635" s="261"/>
      <c r="M1635" s="262"/>
      <c r="N1635" s="263"/>
      <c r="O1635" s="264"/>
      <c r="P1635" s="262"/>
      <c r="Q1635" s="262"/>
      <c r="R1635" s="262"/>
    </row>
    <row r="1636" spans="3:18" ht="15.75">
      <c r="C1636" s="117"/>
      <c r="D1636" s="160"/>
      <c r="E1636" s="117"/>
      <c r="F1636" s="115"/>
      <c r="G1636" s="117"/>
      <c r="H1636" s="115"/>
      <c r="I1636" s="118"/>
      <c r="J1636" s="119"/>
      <c r="K1636" s="120"/>
      <c r="L1636" s="261"/>
      <c r="M1636" s="262"/>
      <c r="N1636" s="263"/>
      <c r="O1636" s="264"/>
      <c r="P1636" s="262"/>
      <c r="Q1636" s="262"/>
      <c r="R1636" s="262"/>
    </row>
    <row r="1637" spans="3:18" ht="15.75">
      <c r="C1637" s="117"/>
      <c r="D1637" s="160"/>
      <c r="E1637" s="117"/>
      <c r="F1637" s="115"/>
      <c r="G1637" s="117"/>
      <c r="H1637" s="115"/>
      <c r="I1637" s="118"/>
      <c r="J1637" s="119"/>
      <c r="K1637" s="120"/>
      <c r="L1637" s="261"/>
      <c r="M1637" s="262"/>
      <c r="N1637" s="263"/>
      <c r="O1637" s="264"/>
      <c r="P1637" s="262"/>
      <c r="Q1637" s="262"/>
      <c r="R1637" s="262"/>
    </row>
    <row r="1638" spans="3:18" ht="15.75">
      <c r="C1638" s="117"/>
      <c r="D1638" s="160"/>
      <c r="E1638" s="117"/>
      <c r="F1638" s="115"/>
      <c r="G1638" s="117"/>
      <c r="H1638" s="115"/>
      <c r="I1638" s="118"/>
      <c r="J1638" s="119"/>
      <c r="K1638" s="120"/>
      <c r="L1638" s="261"/>
      <c r="M1638" s="262"/>
      <c r="N1638" s="263"/>
      <c r="O1638" s="264"/>
      <c r="P1638" s="262"/>
      <c r="Q1638" s="262"/>
      <c r="R1638" s="262"/>
    </row>
    <row r="1639" spans="3:18" ht="15.75">
      <c r="C1639" s="117"/>
      <c r="D1639" s="160"/>
      <c r="E1639" s="117"/>
      <c r="F1639" s="115"/>
      <c r="G1639" s="117"/>
      <c r="H1639" s="115"/>
      <c r="I1639" s="118"/>
      <c r="J1639" s="119"/>
      <c r="K1639" s="120"/>
      <c r="L1639" s="261"/>
      <c r="M1639" s="262"/>
      <c r="N1639" s="263"/>
      <c r="O1639" s="264"/>
      <c r="P1639" s="262"/>
      <c r="Q1639" s="262"/>
      <c r="R1639" s="262"/>
    </row>
    <row r="1640" spans="3:18" ht="15.75">
      <c r="C1640" s="117"/>
      <c r="D1640" s="160"/>
      <c r="E1640" s="117"/>
      <c r="F1640" s="115"/>
      <c r="G1640" s="117"/>
      <c r="H1640" s="115"/>
      <c r="I1640" s="118"/>
      <c r="J1640" s="119"/>
      <c r="K1640" s="120"/>
      <c r="L1640" s="261"/>
      <c r="M1640" s="262"/>
      <c r="N1640" s="263"/>
      <c r="O1640" s="264"/>
      <c r="P1640" s="262"/>
      <c r="Q1640" s="262"/>
      <c r="R1640" s="262"/>
    </row>
    <row r="1641" spans="3:18" ht="15.75">
      <c r="C1641" s="117"/>
      <c r="D1641" s="160"/>
      <c r="E1641" s="117"/>
      <c r="F1641" s="115"/>
      <c r="G1641" s="117"/>
      <c r="H1641" s="115"/>
      <c r="I1641" s="118"/>
      <c r="J1641" s="119"/>
      <c r="K1641" s="120"/>
      <c r="L1641" s="261"/>
      <c r="M1641" s="262"/>
      <c r="N1641" s="263"/>
      <c r="O1641" s="264"/>
      <c r="P1641" s="262"/>
      <c r="Q1641" s="262"/>
      <c r="R1641" s="262"/>
    </row>
    <row r="1642" spans="3:18" ht="15.75">
      <c r="C1642" s="117"/>
      <c r="D1642" s="160"/>
      <c r="E1642" s="117"/>
      <c r="F1642" s="115"/>
      <c r="G1642" s="117"/>
      <c r="H1642" s="115"/>
      <c r="I1642" s="118"/>
      <c r="J1642" s="119"/>
      <c r="K1642" s="120"/>
      <c r="L1642" s="261"/>
      <c r="M1642" s="262"/>
      <c r="N1642" s="263"/>
      <c r="O1642" s="264"/>
      <c r="P1642" s="262"/>
      <c r="Q1642" s="262"/>
      <c r="R1642" s="262"/>
    </row>
    <row r="1643" spans="3:18" ht="15.75">
      <c r="C1643" s="117"/>
      <c r="D1643" s="160"/>
      <c r="E1643" s="117"/>
      <c r="F1643" s="115"/>
      <c r="G1643" s="117"/>
      <c r="H1643" s="115"/>
      <c r="I1643" s="118"/>
      <c r="J1643" s="119"/>
      <c r="K1643" s="120"/>
      <c r="L1643" s="261"/>
      <c r="M1643" s="262"/>
      <c r="N1643" s="263"/>
      <c r="O1643" s="264"/>
      <c r="P1643" s="262"/>
      <c r="Q1643" s="262"/>
      <c r="R1643" s="262"/>
    </row>
    <row r="1644" spans="3:18" ht="15.75">
      <c r="C1644" s="117"/>
      <c r="D1644" s="160"/>
      <c r="E1644" s="117"/>
      <c r="F1644" s="115"/>
      <c r="G1644" s="117"/>
      <c r="H1644" s="115"/>
      <c r="I1644" s="118"/>
      <c r="J1644" s="119"/>
      <c r="K1644" s="120"/>
      <c r="L1644" s="261"/>
      <c r="M1644" s="262"/>
      <c r="N1644" s="263"/>
      <c r="O1644" s="264"/>
      <c r="P1644" s="262"/>
      <c r="Q1644" s="262"/>
      <c r="R1644" s="262"/>
    </row>
    <row r="1645" spans="3:18" ht="15.75">
      <c r="C1645" s="117"/>
      <c r="D1645" s="160"/>
      <c r="E1645" s="117"/>
      <c r="F1645" s="115"/>
      <c r="G1645" s="117"/>
      <c r="H1645" s="115"/>
      <c r="I1645" s="118"/>
      <c r="J1645" s="119"/>
      <c r="K1645" s="120"/>
      <c r="L1645" s="261"/>
      <c r="M1645" s="262"/>
      <c r="N1645" s="263"/>
      <c r="O1645" s="264"/>
      <c r="P1645" s="262"/>
      <c r="Q1645" s="262"/>
      <c r="R1645" s="262"/>
    </row>
    <row r="1646" spans="3:18" ht="15.75">
      <c r="C1646" s="117"/>
      <c r="D1646" s="160"/>
      <c r="E1646" s="117"/>
      <c r="F1646" s="115"/>
      <c r="G1646" s="117"/>
      <c r="H1646" s="115"/>
      <c r="I1646" s="118"/>
      <c r="J1646" s="119"/>
      <c r="K1646" s="120"/>
      <c r="L1646" s="261"/>
      <c r="M1646" s="262"/>
      <c r="N1646" s="263"/>
      <c r="O1646" s="264"/>
      <c r="P1646" s="262"/>
      <c r="Q1646" s="262"/>
      <c r="R1646" s="262"/>
    </row>
    <row r="1647" spans="3:18" ht="15.75">
      <c r="C1647" s="117"/>
      <c r="D1647" s="160"/>
      <c r="E1647" s="117"/>
      <c r="F1647" s="115"/>
      <c r="G1647" s="117"/>
      <c r="H1647" s="115"/>
      <c r="I1647" s="118"/>
      <c r="J1647" s="119"/>
      <c r="K1647" s="120"/>
      <c r="L1647" s="261"/>
      <c r="M1647" s="262"/>
      <c r="N1647" s="263"/>
      <c r="O1647" s="264"/>
      <c r="P1647" s="262"/>
      <c r="Q1647" s="262"/>
      <c r="R1647" s="262"/>
    </row>
    <row r="1648" spans="3:18" ht="15.75">
      <c r="C1648" s="117"/>
      <c r="D1648" s="160"/>
      <c r="E1648" s="117"/>
      <c r="F1648" s="115"/>
      <c r="G1648" s="117"/>
      <c r="H1648" s="115"/>
      <c r="I1648" s="118"/>
      <c r="J1648" s="119"/>
      <c r="K1648" s="120"/>
      <c r="L1648" s="261"/>
      <c r="M1648" s="262"/>
      <c r="N1648" s="263"/>
      <c r="O1648" s="264"/>
      <c r="P1648" s="262"/>
      <c r="Q1648" s="262"/>
      <c r="R1648" s="262"/>
    </row>
    <row r="1649" spans="3:18" ht="15.75">
      <c r="C1649" s="117"/>
      <c r="D1649" s="160"/>
      <c r="E1649" s="117"/>
      <c r="F1649" s="115"/>
      <c r="G1649" s="117"/>
      <c r="H1649" s="115"/>
      <c r="I1649" s="118"/>
      <c r="J1649" s="119"/>
      <c r="K1649" s="120"/>
      <c r="L1649" s="261"/>
      <c r="M1649" s="262"/>
      <c r="N1649" s="263"/>
      <c r="O1649" s="264"/>
      <c r="P1649" s="262"/>
      <c r="Q1649" s="262"/>
      <c r="R1649" s="262"/>
    </row>
    <row r="1650" spans="3:18" ht="15.75">
      <c r="C1650" s="117"/>
      <c r="D1650" s="160"/>
      <c r="E1650" s="117"/>
      <c r="F1650" s="115"/>
      <c r="G1650" s="117"/>
      <c r="H1650" s="115"/>
      <c r="I1650" s="118"/>
      <c r="J1650" s="119"/>
      <c r="K1650" s="120"/>
      <c r="L1650" s="261"/>
      <c r="M1650" s="262"/>
      <c r="N1650" s="263"/>
      <c r="O1650" s="264"/>
      <c r="P1650" s="262"/>
      <c r="Q1650" s="262"/>
      <c r="R1650" s="262"/>
    </row>
    <row r="1651" spans="3:18" ht="15.75">
      <c r="C1651" s="117"/>
      <c r="D1651" s="160"/>
      <c r="E1651" s="117"/>
      <c r="F1651" s="115"/>
      <c r="G1651" s="117"/>
      <c r="H1651" s="115"/>
      <c r="I1651" s="118"/>
      <c r="J1651" s="119"/>
      <c r="K1651" s="120"/>
      <c r="L1651" s="261"/>
      <c r="M1651" s="262"/>
      <c r="N1651" s="263"/>
      <c r="O1651" s="264"/>
      <c r="P1651" s="262"/>
      <c r="Q1651" s="262"/>
      <c r="R1651" s="262"/>
    </row>
    <row r="1652" spans="3:18" ht="15.75">
      <c r="C1652" s="117"/>
      <c r="D1652" s="160"/>
      <c r="E1652" s="117"/>
      <c r="F1652" s="115"/>
      <c r="G1652" s="117"/>
      <c r="H1652" s="115"/>
      <c r="I1652" s="118"/>
      <c r="J1652" s="119"/>
      <c r="K1652" s="120"/>
      <c r="L1652" s="261"/>
      <c r="M1652" s="262"/>
      <c r="N1652" s="263"/>
      <c r="O1652" s="264"/>
      <c r="P1652" s="262"/>
      <c r="Q1652" s="262"/>
      <c r="R1652" s="262"/>
    </row>
    <row r="1653" spans="3:18" ht="15.75">
      <c r="C1653" s="117"/>
      <c r="D1653" s="160"/>
      <c r="E1653" s="117"/>
      <c r="F1653" s="115"/>
      <c r="G1653" s="117"/>
      <c r="H1653" s="115"/>
      <c r="I1653" s="118"/>
      <c r="J1653" s="119"/>
      <c r="K1653" s="120"/>
      <c r="L1653" s="261"/>
      <c r="M1653" s="262"/>
      <c r="N1653" s="263"/>
      <c r="O1653" s="264"/>
      <c r="P1653" s="262"/>
      <c r="Q1653" s="262"/>
      <c r="R1653" s="262"/>
    </row>
    <row r="1654" spans="3:18" ht="15.75">
      <c r="C1654" s="117"/>
      <c r="D1654" s="160"/>
      <c r="E1654" s="117"/>
      <c r="F1654" s="115"/>
      <c r="G1654" s="117"/>
      <c r="H1654" s="115"/>
      <c r="I1654" s="118"/>
      <c r="J1654" s="119"/>
      <c r="K1654" s="120"/>
      <c r="L1654" s="261"/>
      <c r="M1654" s="262"/>
      <c r="N1654" s="263"/>
      <c r="O1654" s="264"/>
      <c r="P1654" s="262"/>
      <c r="Q1654" s="262"/>
      <c r="R1654" s="262"/>
    </row>
    <row r="1655" spans="3:18" ht="15.75">
      <c r="C1655" s="117"/>
      <c r="D1655" s="160"/>
      <c r="E1655" s="117"/>
      <c r="F1655" s="115"/>
      <c r="G1655" s="117"/>
      <c r="H1655" s="115"/>
      <c r="I1655" s="118"/>
      <c r="J1655" s="119"/>
      <c r="K1655" s="120"/>
      <c r="L1655" s="261"/>
      <c r="M1655" s="262"/>
      <c r="N1655" s="263"/>
      <c r="O1655" s="264"/>
      <c r="P1655" s="262"/>
      <c r="Q1655" s="262"/>
      <c r="R1655" s="262"/>
    </row>
    <row r="1656" spans="3:18" ht="15.75">
      <c r="C1656" s="117"/>
      <c r="D1656" s="160"/>
      <c r="E1656" s="117"/>
      <c r="F1656" s="115"/>
      <c r="G1656" s="117"/>
      <c r="H1656" s="115"/>
      <c r="I1656" s="118"/>
      <c r="J1656" s="119"/>
      <c r="K1656" s="120"/>
      <c r="L1656" s="261"/>
      <c r="M1656" s="262"/>
      <c r="N1656" s="263"/>
      <c r="O1656" s="264"/>
      <c r="P1656" s="262"/>
      <c r="Q1656" s="262"/>
      <c r="R1656" s="262"/>
    </row>
    <row r="1657" spans="3:18" ht="15.75">
      <c r="C1657" s="117"/>
      <c r="D1657" s="160"/>
      <c r="E1657" s="117"/>
      <c r="F1657" s="115"/>
      <c r="G1657" s="117"/>
      <c r="H1657" s="115"/>
      <c r="I1657" s="118"/>
      <c r="J1657" s="119"/>
      <c r="K1657" s="120"/>
      <c r="L1657" s="261"/>
      <c r="M1657" s="262"/>
      <c r="N1657" s="263"/>
      <c r="O1657" s="264"/>
      <c r="P1657" s="262"/>
      <c r="Q1657" s="262"/>
      <c r="R1657" s="262"/>
    </row>
    <row r="1658" spans="3:18" ht="15.75">
      <c r="C1658" s="117"/>
      <c r="D1658" s="160"/>
      <c r="E1658" s="117"/>
      <c r="F1658" s="115"/>
      <c r="G1658" s="117"/>
      <c r="H1658" s="115"/>
      <c r="I1658" s="118"/>
      <c r="J1658" s="119"/>
      <c r="K1658" s="120"/>
      <c r="L1658" s="261"/>
      <c r="M1658" s="262"/>
      <c r="N1658" s="263"/>
      <c r="O1658" s="264"/>
      <c r="P1658" s="262"/>
      <c r="Q1658" s="262"/>
      <c r="R1658" s="262"/>
    </row>
    <row r="1659" spans="3:18" ht="15.75">
      <c r="C1659" s="117"/>
      <c r="D1659" s="160"/>
      <c r="E1659" s="117"/>
      <c r="F1659" s="115"/>
      <c r="G1659" s="117"/>
      <c r="H1659" s="115"/>
      <c r="I1659" s="118"/>
      <c r="J1659" s="119"/>
      <c r="K1659" s="120"/>
      <c r="L1659" s="261"/>
      <c r="M1659" s="262"/>
      <c r="N1659" s="263"/>
      <c r="O1659" s="264"/>
      <c r="P1659" s="262"/>
      <c r="Q1659" s="262"/>
      <c r="R1659" s="262"/>
    </row>
    <row r="1660" spans="3:18" ht="15.75">
      <c r="C1660" s="117"/>
      <c r="D1660" s="160"/>
      <c r="E1660" s="117"/>
      <c r="F1660" s="115"/>
      <c r="G1660" s="117"/>
      <c r="H1660" s="115"/>
      <c r="I1660" s="118"/>
      <c r="J1660" s="119"/>
      <c r="K1660" s="120"/>
      <c r="L1660" s="261"/>
      <c r="M1660" s="262"/>
      <c r="N1660" s="263"/>
      <c r="O1660" s="264"/>
      <c r="P1660" s="262"/>
      <c r="Q1660" s="262"/>
      <c r="R1660" s="262"/>
    </row>
    <row r="1661" spans="3:18" ht="15.75">
      <c r="C1661" s="117"/>
      <c r="D1661" s="160"/>
      <c r="E1661" s="117"/>
      <c r="F1661" s="115"/>
      <c r="G1661" s="117"/>
      <c r="H1661" s="115"/>
      <c r="I1661" s="118"/>
      <c r="J1661" s="119"/>
      <c r="K1661" s="120"/>
      <c r="L1661" s="261"/>
      <c r="M1661" s="262"/>
      <c r="N1661" s="263"/>
      <c r="O1661" s="264"/>
      <c r="P1661" s="262"/>
      <c r="Q1661" s="262"/>
      <c r="R1661" s="262"/>
    </row>
    <row r="1662" spans="3:18" ht="15.75">
      <c r="C1662" s="117"/>
      <c r="D1662" s="160"/>
      <c r="E1662" s="117"/>
      <c r="F1662" s="115"/>
      <c r="G1662" s="117"/>
      <c r="H1662" s="115"/>
      <c r="I1662" s="118"/>
      <c r="J1662" s="119"/>
      <c r="K1662" s="120"/>
      <c r="L1662" s="261"/>
      <c r="M1662" s="262"/>
      <c r="N1662" s="263"/>
      <c r="O1662" s="264"/>
      <c r="P1662" s="262"/>
      <c r="Q1662" s="262"/>
      <c r="R1662" s="262"/>
    </row>
    <row r="1663" spans="3:18" ht="15.75">
      <c r="C1663" s="117"/>
      <c r="D1663" s="160"/>
      <c r="E1663" s="117"/>
      <c r="F1663" s="115"/>
      <c r="G1663" s="117"/>
      <c r="H1663" s="115"/>
      <c r="I1663" s="118"/>
      <c r="J1663" s="119"/>
      <c r="K1663" s="120"/>
      <c r="L1663" s="261"/>
      <c r="M1663" s="262"/>
      <c r="N1663" s="263"/>
      <c r="O1663" s="264"/>
      <c r="P1663" s="262"/>
      <c r="Q1663" s="262"/>
      <c r="R1663" s="262"/>
    </row>
    <row r="1664" spans="3:18" ht="15.75">
      <c r="C1664" s="117"/>
      <c r="D1664" s="160"/>
      <c r="E1664" s="117"/>
      <c r="F1664" s="115"/>
      <c r="G1664" s="117"/>
      <c r="H1664" s="115"/>
      <c r="I1664" s="118"/>
      <c r="J1664" s="119"/>
      <c r="K1664" s="120"/>
      <c r="L1664" s="261"/>
      <c r="M1664" s="262"/>
      <c r="N1664" s="263"/>
      <c r="O1664" s="264"/>
      <c r="P1664" s="262"/>
      <c r="Q1664" s="262"/>
      <c r="R1664" s="262"/>
    </row>
    <row r="1665" spans="3:18" ht="15.75">
      <c r="C1665" s="117"/>
      <c r="D1665" s="160"/>
      <c r="E1665" s="117"/>
      <c r="F1665" s="115"/>
      <c r="G1665" s="117"/>
      <c r="H1665" s="115"/>
      <c r="I1665" s="118"/>
      <c r="J1665" s="119"/>
      <c r="K1665" s="120"/>
      <c r="L1665" s="261"/>
      <c r="M1665" s="262"/>
      <c r="N1665" s="263"/>
      <c r="O1665" s="264"/>
      <c r="P1665" s="262"/>
      <c r="Q1665" s="262"/>
      <c r="R1665" s="262"/>
    </row>
    <row r="1666" spans="3:18" ht="15.75">
      <c r="C1666" s="117"/>
      <c r="D1666" s="160"/>
      <c r="E1666" s="117"/>
      <c r="F1666" s="115"/>
      <c r="G1666" s="117"/>
      <c r="H1666" s="115"/>
      <c r="I1666" s="118"/>
      <c r="J1666" s="119"/>
      <c r="K1666" s="120"/>
      <c r="L1666" s="261"/>
      <c r="M1666" s="262"/>
      <c r="N1666" s="263"/>
      <c r="O1666" s="264"/>
      <c r="P1666" s="262"/>
      <c r="Q1666" s="262"/>
      <c r="R1666" s="262"/>
    </row>
    <row r="1667" spans="3:18" ht="15.75">
      <c r="C1667" s="117"/>
      <c r="D1667" s="160"/>
      <c r="E1667" s="117"/>
      <c r="F1667" s="115"/>
      <c r="G1667" s="117"/>
      <c r="H1667" s="115"/>
      <c r="I1667" s="118"/>
      <c r="J1667" s="119"/>
      <c r="K1667" s="120"/>
      <c r="L1667" s="261"/>
      <c r="M1667" s="262"/>
      <c r="N1667" s="263"/>
      <c r="O1667" s="264"/>
      <c r="P1667" s="262"/>
      <c r="Q1667" s="262"/>
      <c r="R1667" s="262"/>
    </row>
    <row r="1668" spans="3:18" ht="15.75">
      <c r="C1668" s="117"/>
      <c r="D1668" s="160"/>
      <c r="E1668" s="117"/>
      <c r="F1668" s="115"/>
      <c r="G1668" s="117"/>
      <c r="H1668" s="115"/>
      <c r="I1668" s="118"/>
      <c r="J1668" s="119"/>
      <c r="K1668" s="120"/>
      <c r="L1668" s="261"/>
      <c r="M1668" s="262"/>
      <c r="N1668" s="263"/>
      <c r="O1668" s="264"/>
      <c r="P1668" s="262"/>
      <c r="Q1668" s="262"/>
      <c r="R1668" s="262"/>
    </row>
    <row r="1669" spans="3:18" ht="15.75">
      <c r="C1669" s="117"/>
      <c r="D1669" s="160"/>
      <c r="E1669" s="117"/>
      <c r="F1669" s="115"/>
      <c r="G1669" s="117"/>
      <c r="H1669" s="115"/>
      <c r="I1669" s="118"/>
      <c r="J1669" s="119"/>
      <c r="K1669" s="120"/>
      <c r="L1669" s="261"/>
      <c r="M1669" s="262"/>
      <c r="N1669" s="263"/>
      <c r="O1669" s="264"/>
      <c r="P1669" s="262"/>
      <c r="Q1669" s="262"/>
      <c r="R1669" s="262"/>
    </row>
    <row r="1670" spans="3:18" ht="15.75">
      <c r="C1670" s="117"/>
      <c r="D1670" s="160"/>
      <c r="E1670" s="117"/>
      <c r="F1670" s="115"/>
      <c r="G1670" s="117"/>
      <c r="H1670" s="115"/>
      <c r="I1670" s="118"/>
      <c r="J1670" s="119"/>
      <c r="K1670" s="120"/>
      <c r="L1670" s="261"/>
      <c r="M1670" s="262"/>
      <c r="N1670" s="263"/>
      <c r="O1670" s="264"/>
      <c r="P1670" s="262"/>
      <c r="Q1670" s="262"/>
      <c r="R1670" s="262"/>
    </row>
    <row r="1671" spans="3:18" ht="15.75">
      <c r="C1671" s="117"/>
      <c r="D1671" s="160"/>
      <c r="E1671" s="117"/>
      <c r="F1671" s="115"/>
      <c r="G1671" s="117"/>
      <c r="H1671" s="115"/>
      <c r="I1671" s="118"/>
      <c r="J1671" s="119"/>
      <c r="K1671" s="120"/>
      <c r="L1671" s="261"/>
      <c r="M1671" s="262"/>
      <c r="N1671" s="263"/>
      <c r="O1671" s="264"/>
      <c r="P1671" s="262"/>
      <c r="Q1671" s="262"/>
      <c r="R1671" s="262"/>
    </row>
    <row r="1672" spans="3:18" ht="15.75">
      <c r="C1672" s="117"/>
      <c r="D1672" s="160"/>
      <c r="E1672" s="117"/>
      <c r="F1672" s="115"/>
      <c r="G1672" s="117"/>
      <c r="H1672" s="115"/>
      <c r="I1672" s="118"/>
      <c r="J1672" s="119"/>
      <c r="K1672" s="120"/>
      <c r="L1672" s="261"/>
      <c r="M1672" s="262"/>
      <c r="N1672" s="263"/>
      <c r="O1672" s="264"/>
      <c r="P1672" s="262"/>
      <c r="Q1672" s="262"/>
      <c r="R1672" s="262"/>
    </row>
    <row r="1673" spans="3:18" ht="15.75">
      <c r="C1673" s="117"/>
      <c r="D1673" s="160"/>
      <c r="E1673" s="117"/>
      <c r="F1673" s="115"/>
      <c r="G1673" s="117"/>
      <c r="H1673" s="115"/>
      <c r="I1673" s="118"/>
      <c r="J1673" s="119"/>
      <c r="K1673" s="120"/>
      <c r="L1673" s="261"/>
      <c r="M1673" s="262"/>
      <c r="N1673" s="263"/>
      <c r="O1673" s="264"/>
      <c r="P1673" s="262"/>
      <c r="Q1673" s="262"/>
      <c r="R1673" s="262"/>
    </row>
    <row r="1674" spans="3:18" ht="15.75">
      <c r="C1674" s="117"/>
      <c r="D1674" s="160"/>
      <c r="E1674" s="117"/>
      <c r="F1674" s="115"/>
      <c r="G1674" s="117"/>
      <c r="H1674" s="115"/>
      <c r="I1674" s="118"/>
      <c r="J1674" s="119"/>
      <c r="K1674" s="120"/>
      <c r="L1674" s="261"/>
      <c r="M1674" s="262"/>
      <c r="N1674" s="263"/>
      <c r="O1674" s="264"/>
      <c r="P1674" s="262"/>
      <c r="Q1674" s="262"/>
      <c r="R1674" s="262"/>
    </row>
    <row r="1675" spans="3:18" ht="15.75">
      <c r="C1675" s="117"/>
      <c r="D1675" s="160"/>
      <c r="E1675" s="117"/>
      <c r="F1675" s="115"/>
      <c r="G1675" s="117"/>
      <c r="H1675" s="115"/>
      <c r="I1675" s="118"/>
      <c r="J1675" s="119"/>
      <c r="K1675" s="120"/>
      <c r="L1675" s="261"/>
      <c r="M1675" s="262"/>
      <c r="N1675" s="263"/>
      <c r="O1675" s="264"/>
      <c r="P1675" s="262"/>
      <c r="Q1675" s="262"/>
      <c r="R1675" s="262"/>
    </row>
    <row r="1676" spans="3:18" ht="15.75">
      <c r="C1676" s="117"/>
      <c r="D1676" s="160"/>
      <c r="E1676" s="117"/>
      <c r="F1676" s="115"/>
      <c r="G1676" s="117"/>
      <c r="H1676" s="115"/>
      <c r="I1676" s="118"/>
      <c r="J1676" s="119"/>
      <c r="K1676" s="120"/>
      <c r="L1676" s="261"/>
      <c r="M1676" s="262"/>
      <c r="N1676" s="263"/>
      <c r="O1676" s="264"/>
      <c r="P1676" s="262"/>
      <c r="Q1676" s="262"/>
      <c r="R1676" s="262"/>
    </row>
    <row r="1677" spans="3:18" ht="15.75">
      <c r="C1677" s="117"/>
      <c r="D1677" s="160"/>
      <c r="E1677" s="117"/>
      <c r="F1677" s="115"/>
      <c r="G1677" s="117"/>
      <c r="H1677" s="115"/>
      <c r="I1677" s="118"/>
      <c r="J1677" s="119"/>
      <c r="K1677" s="120"/>
      <c r="L1677" s="261"/>
      <c r="M1677" s="262"/>
      <c r="N1677" s="263"/>
      <c r="O1677" s="264"/>
      <c r="P1677" s="262"/>
      <c r="Q1677" s="262"/>
      <c r="R1677" s="262"/>
    </row>
    <row r="1678" spans="3:18" ht="15.75">
      <c r="C1678" s="117"/>
      <c r="D1678" s="160"/>
      <c r="E1678" s="117"/>
      <c r="F1678" s="115"/>
      <c r="G1678" s="117"/>
      <c r="H1678" s="115"/>
      <c r="I1678" s="118"/>
      <c r="J1678" s="119"/>
      <c r="K1678" s="120"/>
      <c r="L1678" s="261"/>
      <c r="M1678" s="262"/>
      <c r="N1678" s="263"/>
      <c r="O1678" s="264"/>
      <c r="P1678" s="262"/>
      <c r="Q1678" s="262"/>
      <c r="R1678" s="262"/>
    </row>
    <row r="1679" spans="3:18" ht="15.75">
      <c r="C1679" s="117"/>
      <c r="D1679" s="160"/>
      <c r="E1679" s="117"/>
      <c r="F1679" s="115"/>
      <c r="G1679" s="117"/>
      <c r="H1679" s="115"/>
      <c r="I1679" s="118"/>
      <c r="J1679" s="119"/>
      <c r="K1679" s="120"/>
      <c r="L1679" s="261"/>
      <c r="M1679" s="262"/>
      <c r="N1679" s="263"/>
      <c r="O1679" s="264"/>
      <c r="P1679" s="262"/>
      <c r="Q1679" s="262"/>
      <c r="R1679" s="262"/>
    </row>
    <row r="1680" spans="3:18" ht="15.75">
      <c r="C1680" s="117"/>
      <c r="D1680" s="160"/>
      <c r="E1680" s="117"/>
      <c r="F1680" s="115"/>
      <c r="G1680" s="117"/>
      <c r="H1680" s="115"/>
      <c r="I1680" s="118"/>
      <c r="J1680" s="119"/>
      <c r="K1680" s="120"/>
      <c r="L1680" s="261"/>
      <c r="M1680" s="262"/>
      <c r="N1680" s="263"/>
      <c r="O1680" s="264"/>
      <c r="P1680" s="262"/>
      <c r="Q1680" s="262"/>
      <c r="R1680" s="262"/>
    </row>
    <row r="1681" spans="3:18" ht="15.75">
      <c r="C1681" s="117"/>
      <c r="D1681" s="160"/>
      <c r="E1681" s="117"/>
      <c r="F1681" s="115"/>
      <c r="G1681" s="117"/>
      <c r="H1681" s="115"/>
      <c r="I1681" s="118"/>
      <c r="J1681" s="119"/>
      <c r="K1681" s="120"/>
      <c r="L1681" s="261"/>
      <c r="M1681" s="262"/>
      <c r="N1681" s="263"/>
      <c r="O1681" s="264"/>
      <c r="P1681" s="262"/>
      <c r="Q1681" s="262"/>
      <c r="R1681" s="262"/>
    </row>
    <row r="1682" spans="3:18" ht="15.75">
      <c r="C1682" s="117"/>
      <c r="D1682" s="160"/>
      <c r="E1682" s="117"/>
      <c r="F1682" s="115"/>
      <c r="G1682" s="117"/>
      <c r="H1682" s="115"/>
      <c r="I1682" s="118"/>
      <c r="J1682" s="119"/>
      <c r="K1682" s="120"/>
      <c r="L1682" s="261"/>
      <c r="M1682" s="262"/>
      <c r="N1682" s="263"/>
      <c r="O1682" s="264"/>
      <c r="P1682" s="262"/>
      <c r="Q1682" s="262"/>
      <c r="R1682" s="262"/>
    </row>
    <row r="1683" spans="3:18" ht="15.75">
      <c r="C1683" s="117"/>
      <c r="D1683" s="160"/>
      <c r="E1683" s="117"/>
      <c r="F1683" s="115"/>
      <c r="G1683" s="117"/>
      <c r="H1683" s="115"/>
      <c r="I1683" s="118"/>
      <c r="J1683" s="119"/>
      <c r="K1683" s="120"/>
      <c r="L1683" s="261"/>
      <c r="M1683" s="262"/>
      <c r="N1683" s="263"/>
      <c r="O1683" s="264"/>
      <c r="P1683" s="262"/>
      <c r="Q1683" s="262"/>
      <c r="R1683" s="262"/>
    </row>
    <row r="1684" spans="3:18" ht="15.75">
      <c r="C1684" s="117"/>
      <c r="D1684" s="160"/>
      <c r="E1684" s="117"/>
      <c r="F1684" s="115"/>
      <c r="G1684" s="117"/>
      <c r="H1684" s="115"/>
      <c r="I1684" s="118"/>
      <c r="J1684" s="119"/>
      <c r="K1684" s="120"/>
      <c r="L1684" s="261"/>
      <c r="M1684" s="262"/>
      <c r="N1684" s="263"/>
      <c r="O1684" s="264"/>
      <c r="P1684" s="262"/>
      <c r="Q1684" s="262"/>
      <c r="R1684" s="262"/>
    </row>
    <row r="1685" spans="3:18" ht="15.75">
      <c r="C1685" s="117"/>
      <c r="D1685" s="160"/>
      <c r="E1685" s="117"/>
      <c r="F1685" s="115"/>
      <c r="G1685" s="117"/>
      <c r="H1685" s="115"/>
      <c r="I1685" s="118"/>
      <c r="J1685" s="119"/>
      <c r="K1685" s="120"/>
      <c r="L1685" s="261"/>
      <c r="M1685" s="262"/>
      <c r="N1685" s="263"/>
      <c r="O1685" s="264"/>
      <c r="P1685" s="262"/>
      <c r="Q1685" s="262"/>
      <c r="R1685" s="262"/>
    </row>
    <row r="1686" spans="3:18" ht="15.75">
      <c r="C1686" s="117"/>
      <c r="D1686" s="160"/>
      <c r="E1686" s="117"/>
      <c r="F1686" s="115"/>
      <c r="G1686" s="117"/>
      <c r="H1686" s="115"/>
      <c r="I1686" s="118"/>
      <c r="J1686" s="119"/>
      <c r="K1686" s="120"/>
      <c r="L1686" s="261"/>
      <c r="M1686" s="262"/>
      <c r="N1686" s="263"/>
      <c r="O1686" s="264"/>
      <c r="P1686" s="262"/>
      <c r="Q1686" s="262"/>
      <c r="R1686" s="262"/>
    </row>
    <row r="1687" spans="3:18" ht="15.75">
      <c r="C1687" s="117"/>
      <c r="D1687" s="160"/>
      <c r="E1687" s="117"/>
      <c r="F1687" s="115"/>
      <c r="G1687" s="117"/>
      <c r="H1687" s="115"/>
      <c r="I1687" s="118"/>
      <c r="J1687" s="119"/>
      <c r="K1687" s="120"/>
      <c r="L1687" s="261"/>
      <c r="M1687" s="262"/>
      <c r="N1687" s="263"/>
      <c r="O1687" s="264"/>
      <c r="P1687" s="262"/>
      <c r="Q1687" s="262"/>
      <c r="R1687" s="262"/>
    </row>
    <row r="1688" spans="3:18" ht="15.75">
      <c r="C1688" s="117"/>
      <c r="D1688" s="160"/>
      <c r="E1688" s="117"/>
      <c r="F1688" s="115"/>
      <c r="G1688" s="117"/>
      <c r="H1688" s="115"/>
      <c r="I1688" s="118"/>
      <c r="J1688" s="119"/>
      <c r="K1688" s="120"/>
      <c r="L1688" s="261"/>
      <c r="M1688" s="262"/>
      <c r="N1688" s="263"/>
      <c r="O1688" s="264"/>
      <c r="P1688" s="262"/>
      <c r="Q1688" s="262"/>
      <c r="R1688" s="262"/>
    </row>
    <row r="1689" spans="3:18" ht="15.75">
      <c r="C1689" s="117"/>
      <c r="D1689" s="160"/>
      <c r="E1689" s="117"/>
      <c r="F1689" s="115"/>
      <c r="G1689" s="117"/>
      <c r="H1689" s="115"/>
      <c r="I1689" s="118"/>
      <c r="J1689" s="119"/>
      <c r="K1689" s="120"/>
      <c r="L1689" s="261"/>
      <c r="M1689" s="262"/>
      <c r="N1689" s="263"/>
      <c r="O1689" s="264"/>
      <c r="P1689" s="262"/>
      <c r="Q1689" s="262"/>
      <c r="R1689" s="262"/>
    </row>
    <row r="1690" spans="3:18" ht="15.75">
      <c r="C1690" s="117"/>
      <c r="D1690" s="160"/>
      <c r="E1690" s="117"/>
      <c r="F1690" s="115"/>
      <c r="G1690" s="117"/>
      <c r="H1690" s="115"/>
      <c r="I1690" s="118"/>
      <c r="J1690" s="119"/>
      <c r="K1690" s="120"/>
      <c r="L1690" s="261"/>
      <c r="M1690" s="262"/>
      <c r="N1690" s="263"/>
      <c r="O1690" s="264"/>
      <c r="P1690" s="262"/>
      <c r="Q1690" s="262"/>
      <c r="R1690" s="262"/>
    </row>
    <row r="1691" spans="3:18" ht="15.75">
      <c r="C1691" s="117"/>
      <c r="D1691" s="160"/>
      <c r="E1691" s="117"/>
      <c r="F1691" s="115"/>
      <c r="G1691" s="117"/>
      <c r="H1691" s="115"/>
      <c r="I1691" s="118"/>
      <c r="J1691" s="119"/>
      <c r="K1691" s="120"/>
      <c r="L1691" s="261"/>
      <c r="M1691" s="262"/>
      <c r="N1691" s="263"/>
      <c r="O1691" s="264"/>
      <c r="P1691" s="262"/>
      <c r="Q1691" s="262"/>
      <c r="R1691" s="262"/>
    </row>
    <row r="1692" spans="3:18" ht="15.75">
      <c r="C1692" s="117"/>
      <c r="D1692" s="160"/>
      <c r="E1692" s="117"/>
      <c r="F1692" s="115"/>
      <c r="G1692" s="117"/>
      <c r="H1692" s="115"/>
      <c r="I1692" s="118"/>
      <c r="J1692" s="119"/>
      <c r="K1692" s="120"/>
      <c r="L1692" s="261"/>
      <c r="M1692" s="262"/>
      <c r="N1692" s="263"/>
      <c r="O1692" s="264"/>
      <c r="P1692" s="262"/>
      <c r="Q1692" s="262"/>
      <c r="R1692" s="262"/>
    </row>
    <row r="1693" spans="3:18" ht="15.75">
      <c r="C1693" s="117"/>
      <c r="D1693" s="160"/>
      <c r="E1693" s="117"/>
      <c r="F1693" s="115"/>
      <c r="G1693" s="117"/>
      <c r="H1693" s="115"/>
      <c r="I1693" s="118"/>
      <c r="J1693" s="119"/>
      <c r="K1693" s="120"/>
      <c r="L1693" s="261"/>
      <c r="M1693" s="262"/>
      <c r="N1693" s="263"/>
      <c r="O1693" s="264"/>
      <c r="P1693" s="262"/>
      <c r="Q1693" s="262"/>
      <c r="R1693" s="262"/>
    </row>
    <row r="1694" spans="3:18" ht="15.75">
      <c r="C1694" s="117"/>
      <c r="D1694" s="160"/>
      <c r="E1694" s="117"/>
      <c r="F1694" s="115"/>
      <c r="G1694" s="117"/>
      <c r="H1694" s="115"/>
      <c r="I1694" s="118"/>
      <c r="J1694" s="119"/>
      <c r="K1694" s="120"/>
      <c r="L1694" s="261"/>
      <c r="M1694" s="262"/>
      <c r="N1694" s="263"/>
      <c r="O1694" s="264"/>
      <c r="P1694" s="262"/>
      <c r="Q1694" s="262"/>
      <c r="R1694" s="262"/>
    </row>
    <row r="1695" spans="3:18" ht="15.75">
      <c r="C1695" s="117"/>
      <c r="D1695" s="160"/>
      <c r="E1695" s="117"/>
      <c r="F1695" s="115"/>
      <c r="G1695" s="117"/>
      <c r="H1695" s="115"/>
      <c r="I1695" s="118"/>
      <c r="J1695" s="119"/>
      <c r="K1695" s="120"/>
      <c r="L1695" s="261"/>
      <c r="M1695" s="262"/>
      <c r="N1695" s="263"/>
      <c r="O1695" s="264"/>
      <c r="P1695" s="262"/>
      <c r="Q1695" s="262"/>
      <c r="R1695" s="262"/>
    </row>
    <row r="1696" spans="3:18" ht="15.75">
      <c r="C1696" s="117"/>
      <c r="D1696" s="160"/>
      <c r="E1696" s="117"/>
      <c r="F1696" s="115"/>
      <c r="G1696" s="117"/>
      <c r="H1696" s="115"/>
      <c r="I1696" s="118"/>
      <c r="J1696" s="119"/>
      <c r="K1696" s="120"/>
      <c r="L1696" s="261"/>
      <c r="M1696" s="262"/>
      <c r="N1696" s="263"/>
      <c r="O1696" s="264"/>
      <c r="P1696" s="262"/>
      <c r="Q1696" s="262"/>
      <c r="R1696" s="262"/>
    </row>
    <row r="1697" spans="3:18" ht="15.75">
      <c r="C1697" s="117"/>
      <c r="D1697" s="160"/>
      <c r="E1697" s="117"/>
      <c r="F1697" s="115"/>
      <c r="G1697" s="117"/>
      <c r="H1697" s="115"/>
      <c r="I1697" s="118"/>
      <c r="J1697" s="119"/>
      <c r="K1697" s="120"/>
      <c r="L1697" s="261"/>
      <c r="M1697" s="262"/>
      <c r="N1697" s="263"/>
      <c r="O1697" s="264"/>
      <c r="P1697" s="262"/>
      <c r="Q1697" s="262"/>
      <c r="R1697" s="262"/>
    </row>
    <row r="1698" spans="3:18" ht="15.75">
      <c r="C1698" s="117"/>
      <c r="D1698" s="160"/>
      <c r="E1698" s="117"/>
      <c r="F1698" s="115"/>
      <c r="G1698" s="117"/>
      <c r="H1698" s="115"/>
      <c r="I1698" s="118"/>
      <c r="J1698" s="119"/>
      <c r="K1698" s="120"/>
      <c r="L1698" s="261"/>
      <c r="M1698" s="262"/>
      <c r="N1698" s="263"/>
      <c r="O1698" s="264"/>
      <c r="P1698" s="262"/>
      <c r="Q1698" s="262"/>
      <c r="R1698" s="262"/>
    </row>
    <row r="1699" spans="3:18" ht="15.75">
      <c r="C1699" s="117"/>
      <c r="D1699" s="160"/>
      <c r="E1699" s="117"/>
      <c r="F1699" s="115"/>
      <c r="G1699" s="117"/>
      <c r="H1699" s="115"/>
      <c r="I1699" s="118"/>
      <c r="J1699" s="119"/>
      <c r="K1699" s="120"/>
      <c r="L1699" s="261"/>
      <c r="M1699" s="262"/>
      <c r="N1699" s="263"/>
      <c r="O1699" s="264"/>
      <c r="P1699" s="262"/>
      <c r="Q1699" s="262"/>
      <c r="R1699" s="262"/>
    </row>
    <row r="1700" spans="3:18" ht="15.75">
      <c r="C1700" s="117"/>
      <c r="D1700" s="160"/>
      <c r="E1700" s="117"/>
      <c r="F1700" s="115"/>
      <c r="G1700" s="117"/>
      <c r="H1700" s="115"/>
      <c r="I1700" s="118"/>
      <c r="J1700" s="119"/>
      <c r="K1700" s="120"/>
      <c r="L1700" s="261"/>
      <c r="M1700" s="262"/>
      <c r="N1700" s="263"/>
      <c r="O1700" s="264"/>
      <c r="P1700" s="262"/>
      <c r="Q1700" s="262"/>
      <c r="R1700" s="262"/>
    </row>
    <row r="1701" spans="3:18" ht="15.75">
      <c r="C1701" s="117"/>
      <c r="D1701" s="160"/>
      <c r="E1701" s="117"/>
      <c r="F1701" s="115"/>
      <c r="G1701" s="117"/>
      <c r="H1701" s="115"/>
      <c r="I1701" s="118"/>
      <c r="J1701" s="119"/>
      <c r="K1701" s="120"/>
      <c r="L1701" s="261"/>
      <c r="M1701" s="262"/>
      <c r="N1701" s="263"/>
      <c r="O1701" s="264"/>
      <c r="P1701" s="262"/>
      <c r="Q1701" s="262"/>
      <c r="R1701" s="262"/>
    </row>
    <row r="1702" spans="3:18" ht="15.75">
      <c r="C1702" s="117"/>
      <c r="D1702" s="160"/>
      <c r="E1702" s="117"/>
      <c r="F1702" s="115"/>
      <c r="G1702" s="117"/>
      <c r="H1702" s="115"/>
      <c r="I1702" s="118"/>
      <c r="J1702" s="119"/>
      <c r="K1702" s="120"/>
      <c r="L1702" s="261"/>
      <c r="M1702" s="262"/>
      <c r="N1702" s="263"/>
      <c r="O1702" s="264"/>
      <c r="P1702" s="262"/>
      <c r="Q1702" s="262"/>
      <c r="R1702" s="262"/>
    </row>
    <row r="1703" spans="3:18" ht="15.75">
      <c r="C1703" s="117"/>
      <c r="D1703" s="160"/>
      <c r="E1703" s="117"/>
      <c r="F1703" s="115"/>
      <c r="G1703" s="117"/>
      <c r="H1703" s="115"/>
      <c r="I1703" s="118"/>
      <c r="J1703" s="119"/>
      <c r="K1703" s="120"/>
      <c r="L1703" s="261"/>
      <c r="M1703" s="262"/>
      <c r="N1703" s="263"/>
      <c r="O1703" s="264"/>
      <c r="P1703" s="262"/>
      <c r="Q1703" s="262"/>
      <c r="R1703" s="262"/>
    </row>
    <row r="1704" spans="3:18" ht="15.75">
      <c r="C1704" s="117"/>
      <c r="D1704" s="160"/>
      <c r="E1704" s="117"/>
      <c r="F1704" s="115"/>
      <c r="G1704" s="117"/>
      <c r="H1704" s="115"/>
      <c r="I1704" s="118"/>
      <c r="J1704" s="119"/>
      <c r="K1704" s="120"/>
      <c r="L1704" s="261"/>
      <c r="M1704" s="262"/>
      <c r="N1704" s="263"/>
      <c r="O1704" s="264"/>
      <c r="P1704" s="262"/>
      <c r="Q1704" s="262"/>
      <c r="R1704" s="262"/>
    </row>
    <row r="1705" spans="3:18" ht="15.75">
      <c r="C1705" s="117"/>
      <c r="D1705" s="160"/>
      <c r="E1705" s="117"/>
      <c r="F1705" s="115"/>
      <c r="G1705" s="117"/>
      <c r="H1705" s="115"/>
      <c r="I1705" s="118"/>
      <c r="J1705" s="119"/>
      <c r="K1705" s="120"/>
      <c r="L1705" s="261"/>
      <c r="M1705" s="262"/>
      <c r="N1705" s="263"/>
      <c r="O1705" s="264"/>
      <c r="P1705" s="262"/>
      <c r="Q1705" s="262"/>
      <c r="R1705" s="262"/>
    </row>
    <row r="1706" spans="3:18" ht="15.75">
      <c r="C1706" s="117"/>
      <c r="D1706" s="160"/>
      <c r="E1706" s="117"/>
      <c r="F1706" s="115"/>
      <c r="G1706" s="117"/>
      <c r="H1706" s="115"/>
      <c r="I1706" s="118"/>
      <c r="J1706" s="119"/>
      <c r="K1706" s="120"/>
      <c r="L1706" s="261"/>
      <c r="M1706" s="262"/>
      <c r="N1706" s="263"/>
      <c r="O1706" s="264"/>
      <c r="P1706" s="262"/>
      <c r="Q1706" s="262"/>
      <c r="R1706" s="262"/>
    </row>
    <row r="1707" spans="3:18" ht="15.75">
      <c r="C1707" s="117"/>
      <c r="D1707" s="160"/>
      <c r="E1707" s="117"/>
      <c r="F1707" s="115"/>
      <c r="G1707" s="117"/>
      <c r="H1707" s="115"/>
      <c r="I1707" s="118"/>
      <c r="J1707" s="119"/>
      <c r="K1707" s="120"/>
      <c r="L1707" s="261"/>
      <c r="M1707" s="262"/>
      <c r="N1707" s="263"/>
      <c r="O1707" s="264"/>
      <c r="P1707" s="262"/>
      <c r="Q1707" s="262"/>
      <c r="R1707" s="262"/>
    </row>
    <row r="1708" spans="3:18" ht="15.75">
      <c r="C1708" s="117"/>
      <c r="D1708" s="160"/>
      <c r="E1708" s="117"/>
      <c r="F1708" s="115"/>
      <c r="G1708" s="117"/>
      <c r="H1708" s="115"/>
      <c r="I1708" s="118"/>
      <c r="J1708" s="119"/>
      <c r="K1708" s="120"/>
      <c r="L1708" s="261"/>
      <c r="M1708" s="262"/>
      <c r="N1708" s="263"/>
      <c r="O1708" s="264"/>
      <c r="P1708" s="262"/>
      <c r="Q1708" s="262"/>
      <c r="R1708" s="262"/>
    </row>
    <row r="1709" spans="3:18" ht="15.75">
      <c r="C1709" s="117"/>
      <c r="D1709" s="160"/>
      <c r="E1709" s="117"/>
      <c r="F1709" s="115"/>
      <c r="G1709" s="117"/>
      <c r="H1709" s="115"/>
      <c r="I1709" s="118"/>
      <c r="J1709" s="119"/>
      <c r="K1709" s="120"/>
      <c r="L1709" s="261"/>
      <c r="M1709" s="262"/>
      <c r="N1709" s="263"/>
      <c r="O1709" s="264"/>
      <c r="P1709" s="262"/>
      <c r="Q1709" s="262"/>
      <c r="R1709" s="262"/>
    </row>
    <row r="1710" spans="3:18" ht="15.75">
      <c r="C1710" s="117"/>
      <c r="D1710" s="160"/>
      <c r="E1710" s="117"/>
      <c r="F1710" s="115"/>
      <c r="G1710" s="117"/>
      <c r="H1710" s="115"/>
      <c r="I1710" s="118"/>
      <c r="J1710" s="119"/>
      <c r="K1710" s="120"/>
      <c r="L1710" s="261"/>
      <c r="M1710" s="262"/>
      <c r="N1710" s="263"/>
      <c r="O1710" s="264"/>
      <c r="P1710" s="262"/>
      <c r="Q1710" s="262"/>
      <c r="R1710" s="262"/>
    </row>
    <row r="1711" spans="3:18" ht="15.75">
      <c r="C1711" s="117"/>
      <c r="D1711" s="160"/>
      <c r="E1711" s="117"/>
      <c r="F1711" s="115"/>
      <c r="G1711" s="117"/>
      <c r="H1711" s="115"/>
      <c r="I1711" s="118"/>
      <c r="J1711" s="119"/>
      <c r="K1711" s="120"/>
      <c r="L1711" s="261"/>
      <c r="M1711" s="262"/>
      <c r="N1711" s="263"/>
      <c r="O1711" s="264"/>
      <c r="P1711" s="262"/>
      <c r="Q1711" s="262"/>
      <c r="R1711" s="262"/>
    </row>
    <row r="1712" spans="3:18" ht="15.75">
      <c r="C1712" s="117"/>
      <c r="D1712" s="160"/>
      <c r="E1712" s="117"/>
      <c r="F1712" s="115"/>
      <c r="G1712" s="117"/>
      <c r="H1712" s="115"/>
      <c r="I1712" s="118"/>
      <c r="J1712" s="119"/>
      <c r="K1712" s="120"/>
      <c r="L1712" s="261"/>
      <c r="M1712" s="262"/>
      <c r="N1712" s="263"/>
      <c r="O1712" s="264"/>
      <c r="P1712" s="262"/>
      <c r="Q1712" s="262"/>
      <c r="R1712" s="262"/>
    </row>
    <row r="1713" spans="3:18" ht="15.75">
      <c r="C1713" s="117"/>
      <c r="D1713" s="160"/>
      <c r="E1713" s="117"/>
      <c r="F1713" s="115"/>
      <c r="G1713" s="117"/>
      <c r="H1713" s="115"/>
      <c r="I1713" s="118"/>
      <c r="J1713" s="119"/>
      <c r="K1713" s="120"/>
      <c r="L1713" s="261"/>
      <c r="M1713" s="262"/>
      <c r="N1713" s="263"/>
      <c r="O1713" s="264"/>
      <c r="P1713" s="262"/>
      <c r="Q1713" s="262"/>
      <c r="R1713" s="262"/>
    </row>
    <row r="1714" spans="3:18" ht="15.75">
      <c r="C1714" s="117"/>
      <c r="D1714" s="160"/>
      <c r="E1714" s="117"/>
      <c r="F1714" s="115"/>
      <c r="G1714" s="117"/>
      <c r="H1714" s="115"/>
      <c r="I1714" s="118"/>
      <c r="J1714" s="119"/>
      <c r="K1714" s="120"/>
      <c r="L1714" s="261"/>
      <c r="M1714" s="262"/>
      <c r="N1714" s="263"/>
      <c r="O1714" s="264"/>
      <c r="P1714" s="262"/>
      <c r="Q1714" s="262"/>
      <c r="R1714" s="262"/>
    </row>
    <row r="1715" spans="3:18" ht="15.75">
      <c r="C1715" s="117"/>
      <c r="D1715" s="160"/>
      <c r="E1715" s="117"/>
      <c r="F1715" s="115"/>
      <c r="G1715" s="117"/>
      <c r="H1715" s="115"/>
      <c r="I1715" s="118"/>
      <c r="J1715" s="119"/>
      <c r="K1715" s="120"/>
      <c r="L1715" s="261"/>
      <c r="M1715" s="262"/>
      <c r="N1715" s="263"/>
      <c r="O1715" s="264"/>
      <c r="P1715" s="262"/>
      <c r="Q1715" s="262"/>
      <c r="R1715" s="262"/>
    </row>
    <row r="1716" spans="3:18" ht="15.75">
      <c r="C1716" s="117"/>
      <c r="D1716" s="160"/>
      <c r="E1716" s="117"/>
      <c r="F1716" s="115"/>
      <c r="G1716" s="117"/>
      <c r="H1716" s="115"/>
      <c r="I1716" s="118"/>
      <c r="J1716" s="119"/>
      <c r="K1716" s="120"/>
      <c r="L1716" s="261"/>
      <c r="M1716" s="262"/>
      <c r="N1716" s="263"/>
      <c r="O1716" s="264"/>
      <c r="P1716" s="262"/>
      <c r="Q1716" s="262"/>
      <c r="R1716" s="262"/>
    </row>
    <row r="1717" spans="3:18" ht="15.75">
      <c r="C1717" s="117"/>
      <c r="D1717" s="160"/>
      <c r="E1717" s="117"/>
      <c r="F1717" s="115"/>
      <c r="G1717" s="117"/>
      <c r="H1717" s="115"/>
      <c r="I1717" s="118"/>
      <c r="J1717" s="119"/>
      <c r="K1717" s="120"/>
      <c r="L1717" s="261"/>
      <c r="M1717" s="262"/>
      <c r="N1717" s="263"/>
      <c r="O1717" s="264"/>
      <c r="P1717" s="262"/>
      <c r="Q1717" s="262"/>
      <c r="R1717" s="262"/>
    </row>
    <row r="1718" spans="3:18" ht="15.75">
      <c r="C1718" s="117"/>
      <c r="D1718" s="160"/>
      <c r="E1718" s="117"/>
      <c r="F1718" s="115"/>
      <c r="G1718" s="117"/>
      <c r="H1718" s="115"/>
      <c r="I1718" s="118"/>
      <c r="J1718" s="119"/>
      <c r="K1718" s="120"/>
      <c r="L1718" s="261"/>
      <c r="M1718" s="262"/>
      <c r="N1718" s="263"/>
      <c r="O1718" s="264"/>
      <c r="P1718" s="262"/>
      <c r="Q1718" s="262"/>
      <c r="R1718" s="262"/>
    </row>
    <row r="1719" spans="3:18" ht="15.75">
      <c r="C1719" s="117"/>
      <c r="D1719" s="160"/>
      <c r="E1719" s="117"/>
      <c r="F1719" s="115"/>
      <c r="G1719" s="117"/>
      <c r="H1719" s="115"/>
      <c r="I1719" s="118"/>
      <c r="J1719" s="119"/>
      <c r="K1719" s="120"/>
      <c r="L1719" s="261"/>
      <c r="M1719" s="262"/>
      <c r="N1719" s="263"/>
      <c r="O1719" s="264"/>
      <c r="P1719" s="262"/>
      <c r="Q1719" s="262"/>
      <c r="R1719" s="262"/>
    </row>
    <row r="1720" spans="3:18" ht="15.75">
      <c r="C1720" s="117"/>
      <c r="D1720" s="160"/>
      <c r="E1720" s="117"/>
      <c r="F1720" s="115"/>
      <c r="G1720" s="117"/>
      <c r="H1720" s="115"/>
      <c r="I1720" s="118"/>
      <c r="J1720" s="119"/>
      <c r="K1720" s="120"/>
      <c r="L1720" s="261"/>
      <c r="M1720" s="262"/>
      <c r="N1720" s="263"/>
      <c r="O1720" s="264"/>
      <c r="P1720" s="262"/>
      <c r="Q1720" s="262"/>
      <c r="R1720" s="262"/>
    </row>
    <row r="1721" spans="3:18" ht="15.75">
      <c r="C1721" s="117"/>
      <c r="D1721" s="160"/>
      <c r="E1721" s="117"/>
      <c r="F1721" s="115"/>
      <c r="G1721" s="117"/>
      <c r="H1721" s="115"/>
      <c r="I1721" s="118"/>
      <c r="J1721" s="119"/>
      <c r="K1721" s="120"/>
      <c r="L1721" s="261"/>
      <c r="M1721" s="262"/>
      <c r="N1721" s="263"/>
      <c r="O1721" s="264"/>
      <c r="P1721" s="262"/>
      <c r="Q1721" s="262"/>
      <c r="R1721" s="262"/>
    </row>
    <row r="1722" spans="3:18" ht="15.75">
      <c r="C1722" s="117"/>
      <c r="D1722" s="160"/>
      <c r="E1722" s="117"/>
      <c r="F1722" s="115"/>
      <c r="G1722" s="117"/>
      <c r="H1722" s="115"/>
      <c r="I1722" s="118"/>
      <c r="J1722" s="119"/>
      <c r="K1722" s="120"/>
      <c r="L1722" s="261"/>
      <c r="M1722" s="262"/>
      <c r="N1722" s="263"/>
      <c r="O1722" s="264"/>
      <c r="P1722" s="262"/>
      <c r="Q1722" s="262"/>
      <c r="R1722" s="262"/>
    </row>
    <row r="1723" spans="3:18" ht="15.75">
      <c r="C1723" s="117"/>
      <c r="D1723" s="160"/>
      <c r="E1723" s="117"/>
      <c r="F1723" s="115"/>
      <c r="G1723" s="117"/>
      <c r="H1723" s="115"/>
      <c r="I1723" s="118"/>
      <c r="J1723" s="119"/>
      <c r="K1723" s="120"/>
      <c r="L1723" s="261"/>
      <c r="M1723" s="262"/>
      <c r="N1723" s="263"/>
      <c r="O1723" s="264"/>
      <c r="P1723" s="262"/>
      <c r="Q1723" s="262"/>
      <c r="R1723" s="262"/>
    </row>
    <row r="1724" spans="3:18" ht="15.75">
      <c r="C1724" s="117"/>
      <c r="D1724" s="160"/>
      <c r="E1724" s="117"/>
      <c r="F1724" s="115"/>
      <c r="G1724" s="117"/>
      <c r="H1724" s="115"/>
      <c r="I1724" s="118"/>
      <c r="J1724" s="119"/>
      <c r="K1724" s="120"/>
      <c r="L1724" s="261"/>
      <c r="M1724" s="262"/>
      <c r="N1724" s="263"/>
      <c r="O1724" s="264"/>
      <c r="P1724" s="262"/>
      <c r="Q1724" s="262"/>
      <c r="R1724" s="262"/>
    </row>
    <row r="1725" spans="3:18" ht="15.75">
      <c r="C1725" s="117"/>
      <c r="D1725" s="160"/>
      <c r="E1725" s="117"/>
      <c r="F1725" s="115"/>
      <c r="G1725" s="117"/>
      <c r="H1725" s="115"/>
      <c r="I1725" s="118"/>
      <c r="J1725" s="119"/>
      <c r="K1725" s="120"/>
      <c r="L1725" s="261"/>
      <c r="M1725" s="262"/>
      <c r="N1725" s="263"/>
      <c r="O1725" s="264"/>
      <c r="P1725" s="262"/>
      <c r="Q1725" s="262"/>
      <c r="R1725" s="262"/>
    </row>
    <row r="1726" spans="3:18" ht="15.75">
      <c r="C1726" s="117"/>
      <c r="D1726" s="160"/>
      <c r="E1726" s="117"/>
      <c r="F1726" s="115"/>
      <c r="G1726" s="117"/>
      <c r="H1726" s="115"/>
      <c r="I1726" s="118"/>
      <c r="J1726" s="119"/>
      <c r="K1726" s="120"/>
      <c r="L1726" s="261"/>
      <c r="M1726" s="262"/>
      <c r="N1726" s="263"/>
      <c r="O1726" s="264"/>
      <c r="P1726" s="262"/>
      <c r="Q1726" s="262"/>
      <c r="R1726" s="262"/>
    </row>
    <row r="1727" spans="3:18" ht="15.75">
      <c r="C1727" s="117"/>
      <c r="D1727" s="160"/>
      <c r="E1727" s="117"/>
      <c r="F1727" s="115"/>
      <c r="G1727" s="117"/>
      <c r="H1727" s="115"/>
      <c r="I1727" s="118"/>
      <c r="J1727" s="119"/>
      <c r="K1727" s="120"/>
      <c r="L1727" s="261"/>
      <c r="M1727" s="262"/>
      <c r="N1727" s="263"/>
      <c r="O1727" s="264"/>
      <c r="P1727" s="262"/>
      <c r="Q1727" s="262"/>
      <c r="R1727" s="262"/>
    </row>
    <row r="1728" spans="3:18" ht="15.75">
      <c r="C1728" s="117"/>
      <c r="D1728" s="160"/>
      <c r="E1728" s="117"/>
      <c r="F1728" s="115"/>
      <c r="G1728" s="117"/>
      <c r="H1728" s="115"/>
      <c r="I1728" s="118"/>
      <c r="J1728" s="119"/>
      <c r="K1728" s="120"/>
      <c r="L1728" s="261"/>
      <c r="M1728" s="262"/>
      <c r="N1728" s="263"/>
      <c r="O1728" s="264"/>
      <c r="P1728" s="262"/>
      <c r="Q1728" s="262"/>
      <c r="R1728" s="262"/>
    </row>
    <row r="1729" spans="3:18" ht="15.75">
      <c r="C1729" s="117"/>
      <c r="D1729" s="160"/>
      <c r="E1729" s="117"/>
      <c r="F1729" s="115"/>
      <c r="G1729" s="117"/>
      <c r="H1729" s="115"/>
      <c r="I1729" s="118"/>
      <c r="J1729" s="119"/>
      <c r="K1729" s="120"/>
      <c r="L1729" s="261"/>
      <c r="M1729" s="262"/>
      <c r="N1729" s="263"/>
      <c r="O1729" s="264"/>
      <c r="P1729" s="262"/>
      <c r="Q1729" s="262"/>
      <c r="R1729" s="262"/>
    </row>
    <row r="1730" spans="3:18" ht="15.75">
      <c r="C1730" s="117"/>
      <c r="D1730" s="160"/>
      <c r="E1730" s="117"/>
      <c r="F1730" s="115"/>
      <c r="G1730" s="117"/>
      <c r="H1730" s="115"/>
      <c r="I1730" s="118"/>
      <c r="J1730" s="119"/>
      <c r="K1730" s="120"/>
      <c r="L1730" s="261"/>
      <c r="M1730" s="262"/>
      <c r="N1730" s="263"/>
      <c r="O1730" s="264"/>
      <c r="P1730" s="262"/>
      <c r="Q1730" s="262"/>
      <c r="R1730" s="262"/>
    </row>
    <row r="1731" spans="3:18" ht="15.75">
      <c r="C1731" s="117"/>
      <c r="D1731" s="160"/>
      <c r="E1731" s="117"/>
      <c r="F1731" s="115"/>
      <c r="G1731" s="117"/>
      <c r="H1731" s="115"/>
      <c r="I1731" s="118"/>
      <c r="J1731" s="119"/>
      <c r="K1731" s="120"/>
      <c r="L1731" s="261"/>
      <c r="M1731" s="262"/>
      <c r="N1731" s="263"/>
      <c r="O1731" s="264"/>
      <c r="P1731" s="262"/>
      <c r="Q1731" s="262"/>
      <c r="R1731" s="262"/>
    </row>
    <row r="1732" spans="3:18" ht="15.75">
      <c r="C1732" s="117"/>
      <c r="D1732" s="160"/>
      <c r="E1732" s="117"/>
      <c r="F1732" s="115"/>
      <c r="G1732" s="117"/>
      <c r="H1732" s="115"/>
      <c r="I1732" s="118"/>
      <c r="J1732" s="119"/>
      <c r="K1732" s="120"/>
      <c r="L1732" s="261"/>
      <c r="M1732" s="262"/>
      <c r="N1732" s="263"/>
      <c r="O1732" s="264"/>
      <c r="P1732" s="262"/>
      <c r="Q1732" s="262"/>
      <c r="R1732" s="262"/>
    </row>
    <row r="1733" spans="3:18" ht="15.75">
      <c r="C1733" s="117"/>
      <c r="D1733" s="160"/>
      <c r="E1733" s="117"/>
      <c r="F1733" s="115"/>
      <c r="G1733" s="117"/>
      <c r="H1733" s="115"/>
      <c r="I1733" s="118"/>
      <c r="J1733" s="119"/>
      <c r="K1733" s="120"/>
      <c r="L1733" s="261"/>
      <c r="M1733" s="262"/>
      <c r="N1733" s="263"/>
      <c r="O1733" s="264"/>
      <c r="P1733" s="262"/>
      <c r="Q1733" s="262"/>
      <c r="R1733" s="262"/>
    </row>
    <row r="1734" spans="3:18" ht="15.75">
      <c r="C1734" s="117"/>
      <c r="D1734" s="160"/>
      <c r="E1734" s="117"/>
      <c r="F1734" s="115"/>
      <c r="G1734" s="117"/>
      <c r="H1734" s="115"/>
      <c r="I1734" s="118"/>
      <c r="J1734" s="119"/>
      <c r="K1734" s="120"/>
      <c r="L1734" s="261"/>
      <c r="M1734" s="262"/>
      <c r="N1734" s="263"/>
      <c r="O1734" s="264"/>
      <c r="P1734" s="262"/>
      <c r="Q1734" s="262"/>
      <c r="R1734" s="262"/>
    </row>
    <row r="1735" spans="3:18" ht="15.75">
      <c r="C1735" s="117"/>
      <c r="D1735" s="160"/>
      <c r="E1735" s="117"/>
      <c r="F1735" s="115"/>
      <c r="G1735" s="117"/>
      <c r="H1735" s="115"/>
      <c r="I1735" s="118"/>
      <c r="J1735" s="119"/>
      <c r="K1735" s="120"/>
      <c r="L1735" s="261"/>
      <c r="M1735" s="262"/>
      <c r="N1735" s="263"/>
      <c r="O1735" s="264"/>
      <c r="P1735" s="262"/>
      <c r="Q1735" s="262"/>
      <c r="R1735" s="262"/>
    </row>
    <row r="1736" spans="3:18" ht="15.75">
      <c r="C1736" s="117"/>
      <c r="D1736" s="160"/>
      <c r="E1736" s="117"/>
      <c r="F1736" s="115"/>
      <c r="G1736" s="117"/>
      <c r="H1736" s="115"/>
      <c r="I1736" s="118"/>
      <c r="J1736" s="119"/>
      <c r="K1736" s="120"/>
      <c r="L1736" s="261"/>
      <c r="M1736" s="262"/>
      <c r="N1736" s="263"/>
      <c r="O1736" s="264"/>
      <c r="P1736" s="262"/>
      <c r="Q1736" s="262"/>
      <c r="R1736" s="262"/>
    </row>
    <row r="1737" spans="3:18" ht="15.75">
      <c r="C1737" s="117"/>
      <c r="D1737" s="160"/>
      <c r="E1737" s="117"/>
      <c r="F1737" s="115"/>
      <c r="G1737" s="117"/>
      <c r="H1737" s="115"/>
      <c r="I1737" s="118"/>
      <c r="J1737" s="119"/>
      <c r="K1737" s="120"/>
      <c r="L1737" s="261"/>
      <c r="M1737" s="262"/>
      <c r="N1737" s="263"/>
      <c r="O1737" s="264"/>
      <c r="P1737" s="262"/>
      <c r="Q1737" s="262"/>
      <c r="R1737" s="262"/>
    </row>
    <row r="1738" spans="3:18" ht="15.75">
      <c r="C1738" s="117"/>
      <c r="D1738" s="160"/>
      <c r="E1738" s="117"/>
      <c r="F1738" s="115"/>
      <c r="G1738" s="117"/>
      <c r="H1738" s="115"/>
      <c r="I1738" s="118"/>
      <c r="J1738" s="119"/>
      <c r="K1738" s="120"/>
      <c r="L1738" s="261"/>
      <c r="M1738" s="262"/>
      <c r="N1738" s="263"/>
      <c r="O1738" s="264"/>
      <c r="P1738" s="262"/>
      <c r="Q1738" s="262"/>
      <c r="R1738" s="262"/>
    </row>
    <row r="1739" spans="3:18" ht="15.75">
      <c r="C1739" s="117"/>
      <c r="D1739" s="160"/>
      <c r="E1739" s="117"/>
      <c r="F1739" s="115"/>
      <c r="G1739" s="117"/>
      <c r="H1739" s="115"/>
      <c r="I1739" s="118"/>
      <c r="J1739" s="119"/>
      <c r="K1739" s="120"/>
      <c r="L1739" s="261"/>
      <c r="M1739" s="262"/>
      <c r="N1739" s="263"/>
      <c r="O1739" s="264"/>
      <c r="P1739" s="262"/>
      <c r="Q1739" s="262"/>
      <c r="R1739" s="262"/>
    </row>
    <row r="1740" spans="3:18" ht="15.75">
      <c r="C1740" s="117"/>
      <c r="D1740" s="160"/>
      <c r="E1740" s="117"/>
      <c r="F1740" s="115"/>
      <c r="G1740" s="117"/>
      <c r="H1740" s="115"/>
      <c r="I1740" s="118"/>
      <c r="J1740" s="119"/>
      <c r="K1740" s="120"/>
      <c r="L1740" s="261"/>
      <c r="M1740" s="262"/>
      <c r="N1740" s="263"/>
      <c r="O1740" s="264"/>
      <c r="P1740" s="262"/>
      <c r="Q1740" s="262"/>
      <c r="R1740" s="262"/>
    </row>
    <row r="1741" spans="3:18" ht="15.75">
      <c r="C1741" s="117"/>
      <c r="D1741" s="160"/>
      <c r="E1741" s="117"/>
      <c r="F1741" s="115"/>
      <c r="G1741" s="117"/>
      <c r="H1741" s="115"/>
      <c r="I1741" s="118"/>
      <c r="J1741" s="119"/>
      <c r="K1741" s="120"/>
      <c r="L1741" s="261"/>
      <c r="M1741" s="262"/>
      <c r="N1741" s="263"/>
      <c r="O1741" s="264"/>
      <c r="P1741" s="262"/>
      <c r="Q1741" s="262"/>
      <c r="R1741" s="262"/>
    </row>
    <row r="1742" spans="3:18" ht="15.75">
      <c r="C1742" s="117"/>
      <c r="D1742" s="160"/>
      <c r="E1742" s="117"/>
      <c r="F1742" s="115"/>
      <c r="G1742" s="117"/>
      <c r="H1742" s="115"/>
      <c r="I1742" s="118"/>
      <c r="J1742" s="119"/>
      <c r="K1742" s="120"/>
      <c r="L1742" s="261"/>
      <c r="M1742" s="262"/>
      <c r="N1742" s="263"/>
      <c r="O1742" s="264"/>
      <c r="P1742" s="262"/>
      <c r="Q1742" s="262"/>
      <c r="R1742" s="262"/>
    </row>
    <row r="1743" spans="3:18" ht="15.75">
      <c r="C1743" s="117"/>
      <c r="D1743" s="160"/>
      <c r="E1743" s="117"/>
      <c r="F1743" s="115"/>
      <c r="G1743" s="117"/>
      <c r="H1743" s="115"/>
      <c r="I1743" s="118"/>
      <c r="J1743" s="119"/>
      <c r="K1743" s="120"/>
      <c r="L1743" s="261"/>
      <c r="M1743" s="262"/>
      <c r="N1743" s="263"/>
      <c r="O1743" s="264"/>
      <c r="P1743" s="262"/>
      <c r="Q1743" s="262"/>
      <c r="R1743" s="262"/>
    </row>
    <row r="1744" spans="3:18" ht="15.75">
      <c r="C1744" s="117"/>
      <c r="D1744" s="160"/>
      <c r="E1744" s="117"/>
      <c r="F1744" s="115"/>
      <c r="G1744" s="117"/>
      <c r="H1744" s="115"/>
      <c r="I1744" s="118"/>
      <c r="J1744" s="119"/>
      <c r="K1744" s="120"/>
      <c r="L1744" s="261"/>
      <c r="M1744" s="262"/>
      <c r="N1744" s="263"/>
      <c r="O1744" s="264"/>
      <c r="P1744" s="262"/>
      <c r="Q1744" s="262"/>
      <c r="R1744" s="262"/>
    </row>
    <row r="1745" spans="3:18" ht="15.75">
      <c r="C1745" s="117"/>
      <c r="D1745" s="160"/>
      <c r="E1745" s="117"/>
      <c r="F1745" s="115"/>
      <c r="G1745" s="117"/>
      <c r="H1745" s="115"/>
      <c r="I1745" s="118"/>
      <c r="J1745" s="119"/>
      <c r="K1745" s="120"/>
      <c r="L1745" s="261"/>
      <c r="M1745" s="262"/>
      <c r="N1745" s="263"/>
      <c r="O1745" s="264"/>
      <c r="P1745" s="262"/>
      <c r="Q1745" s="262"/>
      <c r="R1745" s="262"/>
    </row>
    <row r="1746" spans="3:18" ht="15.75">
      <c r="C1746" s="117"/>
      <c r="D1746" s="160"/>
      <c r="E1746" s="117"/>
      <c r="F1746" s="115"/>
      <c r="G1746" s="117"/>
      <c r="H1746" s="115"/>
      <c r="I1746" s="118"/>
      <c r="J1746" s="119"/>
      <c r="K1746" s="120"/>
      <c r="L1746" s="261"/>
      <c r="M1746" s="262"/>
      <c r="N1746" s="263"/>
      <c r="O1746" s="264"/>
      <c r="P1746" s="262"/>
      <c r="Q1746" s="262"/>
      <c r="R1746" s="262"/>
    </row>
    <row r="1747" spans="3:18" ht="15.75">
      <c r="C1747" s="117"/>
      <c r="D1747" s="160"/>
      <c r="E1747" s="117"/>
      <c r="F1747" s="115"/>
      <c r="G1747" s="117"/>
      <c r="H1747" s="115"/>
      <c r="I1747" s="118"/>
      <c r="J1747" s="119"/>
      <c r="K1747" s="120"/>
      <c r="L1747" s="261"/>
      <c r="M1747" s="262"/>
      <c r="N1747" s="263"/>
      <c r="O1747" s="264"/>
      <c r="P1747" s="262"/>
      <c r="Q1747" s="262"/>
      <c r="R1747" s="262"/>
    </row>
    <row r="1748" spans="3:18" ht="15.75">
      <c r="C1748" s="117"/>
      <c r="D1748" s="160"/>
      <c r="E1748" s="117"/>
      <c r="F1748" s="115"/>
      <c r="G1748" s="117"/>
      <c r="H1748" s="115"/>
      <c r="I1748" s="118"/>
      <c r="J1748" s="119"/>
      <c r="K1748" s="120"/>
      <c r="L1748" s="261"/>
      <c r="M1748" s="262"/>
      <c r="N1748" s="263"/>
      <c r="O1748" s="264"/>
      <c r="P1748" s="262"/>
      <c r="Q1748" s="262"/>
      <c r="R1748" s="262"/>
    </row>
    <row r="1749" spans="3:18" ht="15.75">
      <c r="C1749" s="117"/>
      <c r="D1749" s="160"/>
      <c r="E1749" s="117"/>
      <c r="F1749" s="115"/>
      <c r="G1749" s="117"/>
      <c r="H1749" s="115"/>
      <c r="I1749" s="118"/>
      <c r="J1749" s="119"/>
      <c r="K1749" s="120"/>
      <c r="L1749" s="261"/>
      <c r="M1749" s="262"/>
      <c r="N1749" s="263"/>
      <c r="O1749" s="264"/>
      <c r="P1749" s="262"/>
      <c r="Q1749" s="262"/>
      <c r="R1749" s="262"/>
    </row>
    <row r="1750" spans="3:18" ht="15.75">
      <c r="C1750" s="117"/>
      <c r="D1750" s="160"/>
      <c r="E1750" s="117"/>
      <c r="F1750" s="115"/>
      <c r="G1750" s="117"/>
      <c r="H1750" s="115"/>
      <c r="I1750" s="118"/>
      <c r="J1750" s="119"/>
      <c r="K1750" s="120"/>
      <c r="L1750" s="261"/>
      <c r="M1750" s="262"/>
      <c r="N1750" s="263"/>
      <c r="O1750" s="264"/>
      <c r="P1750" s="262"/>
      <c r="Q1750" s="262"/>
      <c r="R1750" s="262"/>
    </row>
    <row r="1751" spans="3:18" ht="15.75">
      <c r="C1751" s="117"/>
      <c r="D1751" s="160"/>
      <c r="E1751" s="117"/>
      <c r="F1751" s="115"/>
      <c r="G1751" s="117"/>
      <c r="H1751" s="115"/>
      <c r="I1751" s="118"/>
      <c r="J1751" s="119"/>
      <c r="K1751" s="120"/>
      <c r="L1751" s="261"/>
      <c r="M1751" s="262"/>
      <c r="N1751" s="263"/>
      <c r="O1751" s="264"/>
      <c r="P1751" s="262"/>
      <c r="Q1751" s="262"/>
      <c r="R1751" s="262"/>
    </row>
    <row r="1752" spans="3:18" ht="15.75">
      <c r="C1752" s="117"/>
      <c r="D1752" s="160"/>
      <c r="E1752" s="117"/>
      <c r="F1752" s="115"/>
      <c r="G1752" s="117"/>
      <c r="H1752" s="115"/>
      <c r="I1752" s="118"/>
      <c r="J1752" s="119"/>
      <c r="K1752" s="120"/>
      <c r="L1752" s="261"/>
      <c r="M1752" s="262"/>
      <c r="N1752" s="263"/>
      <c r="O1752" s="264"/>
      <c r="P1752" s="262"/>
      <c r="Q1752" s="262"/>
      <c r="R1752" s="262"/>
    </row>
    <row r="1753" spans="3:18" ht="15.75">
      <c r="C1753" s="117"/>
      <c r="D1753" s="160"/>
      <c r="E1753" s="117"/>
      <c r="F1753" s="115"/>
      <c r="G1753" s="117"/>
      <c r="H1753" s="115"/>
      <c r="I1753" s="118"/>
      <c r="J1753" s="119"/>
      <c r="K1753" s="120"/>
      <c r="L1753" s="261"/>
      <c r="M1753" s="262"/>
      <c r="N1753" s="263"/>
      <c r="O1753" s="264"/>
      <c r="P1753" s="262"/>
      <c r="Q1753" s="262"/>
      <c r="R1753" s="262"/>
    </row>
    <row r="1754" spans="3:18" ht="15.75">
      <c r="C1754" s="117"/>
      <c r="D1754" s="160"/>
      <c r="E1754" s="117"/>
      <c r="F1754" s="115"/>
      <c r="G1754" s="117"/>
      <c r="H1754" s="115"/>
      <c r="I1754" s="118"/>
      <c r="J1754" s="119"/>
      <c r="K1754" s="120"/>
      <c r="L1754" s="261"/>
      <c r="M1754" s="262"/>
      <c r="N1754" s="263"/>
      <c r="O1754" s="264"/>
      <c r="P1754" s="262"/>
      <c r="Q1754" s="262"/>
      <c r="R1754" s="262"/>
    </row>
    <row r="1755" spans="3:18" ht="15.75">
      <c r="C1755" s="117"/>
      <c r="D1755" s="160"/>
      <c r="E1755" s="117"/>
      <c r="F1755" s="115"/>
      <c r="G1755" s="117"/>
      <c r="H1755" s="115"/>
      <c r="I1755" s="118"/>
      <c r="J1755" s="119"/>
      <c r="K1755" s="120"/>
      <c r="L1755" s="261"/>
      <c r="M1755" s="262"/>
      <c r="N1755" s="263"/>
      <c r="O1755" s="264"/>
      <c r="P1755" s="262"/>
      <c r="Q1755" s="262"/>
      <c r="R1755" s="262"/>
    </row>
    <row r="1756" spans="3:18" ht="15.75">
      <c r="C1756" s="117"/>
      <c r="D1756" s="160"/>
      <c r="E1756" s="117"/>
      <c r="F1756" s="115"/>
      <c r="G1756" s="117"/>
      <c r="H1756" s="115"/>
      <c r="I1756" s="118"/>
      <c r="J1756" s="119"/>
      <c r="K1756" s="120"/>
      <c r="L1756" s="261"/>
      <c r="M1756" s="262"/>
      <c r="N1756" s="263"/>
      <c r="O1756" s="264"/>
      <c r="P1756" s="262"/>
      <c r="Q1756" s="262"/>
      <c r="R1756" s="262"/>
    </row>
    <row r="1757" spans="3:18" ht="15.75">
      <c r="C1757" s="117"/>
      <c r="D1757" s="160"/>
      <c r="E1757" s="117"/>
      <c r="F1757" s="115"/>
      <c r="G1757" s="117"/>
      <c r="H1757" s="115"/>
      <c r="I1757" s="118"/>
      <c r="J1757" s="119"/>
      <c r="K1757" s="120"/>
      <c r="L1757" s="261"/>
      <c r="M1757" s="262"/>
      <c r="N1757" s="263"/>
      <c r="O1757" s="264"/>
      <c r="P1757" s="262"/>
      <c r="Q1757" s="262"/>
      <c r="R1757" s="262"/>
    </row>
    <row r="1758" spans="3:18" ht="15.75">
      <c r="C1758" s="117"/>
      <c r="D1758" s="160"/>
      <c r="E1758" s="117"/>
      <c r="F1758" s="115"/>
      <c r="G1758" s="117"/>
      <c r="H1758" s="115"/>
      <c r="I1758" s="118"/>
      <c r="J1758" s="119"/>
      <c r="K1758" s="120"/>
      <c r="L1758" s="261"/>
      <c r="M1758" s="262"/>
      <c r="N1758" s="263"/>
      <c r="O1758" s="264"/>
      <c r="P1758" s="262"/>
      <c r="Q1758" s="262"/>
      <c r="R1758" s="262"/>
    </row>
    <row r="1759" spans="3:18" ht="15.75">
      <c r="C1759" s="117"/>
      <c r="D1759" s="160"/>
      <c r="E1759" s="117"/>
      <c r="F1759" s="115"/>
      <c r="G1759" s="117"/>
      <c r="H1759" s="115"/>
      <c r="I1759" s="118"/>
      <c r="J1759" s="119"/>
      <c r="K1759" s="120"/>
      <c r="L1759" s="261"/>
      <c r="M1759" s="262"/>
      <c r="N1759" s="263"/>
      <c r="O1759" s="264"/>
      <c r="P1759" s="262"/>
      <c r="Q1759" s="262"/>
      <c r="R1759" s="262"/>
    </row>
    <row r="1760" spans="3:18" ht="15.75">
      <c r="C1760" s="117"/>
      <c r="D1760" s="160"/>
      <c r="E1760" s="117"/>
      <c r="F1760" s="115"/>
      <c r="G1760" s="117"/>
      <c r="H1760" s="115"/>
      <c r="I1760" s="118"/>
      <c r="J1760" s="119"/>
      <c r="K1760" s="120"/>
      <c r="L1760" s="261"/>
      <c r="M1760" s="262"/>
      <c r="N1760" s="263"/>
      <c r="O1760" s="264"/>
      <c r="P1760" s="262"/>
      <c r="Q1760" s="262"/>
      <c r="R1760" s="262"/>
    </row>
    <row r="1761" spans="3:18" ht="15.75">
      <c r="C1761" s="117"/>
      <c r="D1761" s="160"/>
      <c r="E1761" s="117"/>
      <c r="F1761" s="115"/>
      <c r="G1761" s="117"/>
      <c r="H1761" s="115"/>
      <c r="I1761" s="118"/>
      <c r="J1761" s="119"/>
      <c r="K1761" s="120"/>
      <c r="L1761" s="261"/>
      <c r="M1761" s="262"/>
      <c r="N1761" s="263"/>
      <c r="O1761" s="264"/>
      <c r="P1761" s="262"/>
      <c r="Q1761" s="262"/>
      <c r="R1761" s="262"/>
    </row>
    <row r="1762" spans="3:18" ht="15.75">
      <c r="C1762" s="117"/>
      <c r="D1762" s="160"/>
      <c r="E1762" s="117"/>
      <c r="F1762" s="115"/>
      <c r="G1762" s="117"/>
      <c r="H1762" s="115"/>
      <c r="I1762" s="118"/>
      <c r="J1762" s="119"/>
      <c r="K1762" s="120"/>
      <c r="L1762" s="261"/>
      <c r="M1762" s="262"/>
      <c r="N1762" s="263"/>
      <c r="O1762" s="264"/>
      <c r="P1762" s="262"/>
      <c r="Q1762" s="262"/>
      <c r="R1762" s="262"/>
    </row>
    <row r="1763" spans="3:18" ht="15.75">
      <c r="C1763" s="117"/>
      <c r="D1763" s="160"/>
      <c r="E1763" s="117"/>
      <c r="F1763" s="115"/>
      <c r="G1763" s="117"/>
      <c r="H1763" s="115"/>
      <c r="I1763" s="118"/>
      <c r="J1763" s="119"/>
      <c r="K1763" s="120"/>
      <c r="L1763" s="261"/>
      <c r="M1763" s="262"/>
      <c r="N1763" s="263"/>
      <c r="O1763" s="264"/>
      <c r="P1763" s="262"/>
      <c r="Q1763" s="262"/>
      <c r="R1763" s="262"/>
    </row>
    <row r="1764" spans="3:18" ht="15.75">
      <c r="C1764" s="117"/>
      <c r="D1764" s="160"/>
      <c r="E1764" s="117"/>
      <c r="F1764" s="115"/>
      <c r="G1764" s="117"/>
      <c r="H1764" s="115"/>
      <c r="I1764" s="118"/>
      <c r="J1764" s="119"/>
      <c r="K1764" s="120"/>
      <c r="L1764" s="261"/>
      <c r="M1764" s="262"/>
      <c r="N1764" s="263"/>
      <c r="O1764" s="264"/>
      <c r="P1764" s="262"/>
      <c r="Q1764" s="262"/>
      <c r="R1764" s="262"/>
    </row>
    <row r="1765" spans="3:18" ht="15.75">
      <c r="C1765" s="117"/>
      <c r="D1765" s="160"/>
      <c r="E1765" s="117"/>
      <c r="F1765" s="115"/>
      <c r="G1765" s="117"/>
      <c r="H1765" s="115"/>
      <c r="I1765" s="118"/>
      <c r="J1765" s="119"/>
      <c r="K1765" s="120"/>
      <c r="L1765" s="261"/>
      <c r="M1765" s="262"/>
      <c r="N1765" s="263"/>
      <c r="O1765" s="264"/>
      <c r="P1765" s="262"/>
      <c r="Q1765" s="262"/>
      <c r="R1765" s="262"/>
    </row>
    <row r="1766" spans="3:18" ht="15.75">
      <c r="C1766" s="117"/>
      <c r="D1766" s="160"/>
      <c r="E1766" s="117"/>
      <c r="F1766" s="115"/>
      <c r="G1766" s="117"/>
      <c r="H1766" s="115"/>
      <c r="I1766" s="118"/>
      <c r="J1766" s="119"/>
      <c r="K1766" s="120"/>
      <c r="L1766" s="261"/>
      <c r="M1766" s="262"/>
      <c r="N1766" s="263"/>
      <c r="O1766" s="264"/>
      <c r="P1766" s="262"/>
      <c r="Q1766" s="262"/>
      <c r="R1766" s="262"/>
    </row>
    <row r="1767" spans="3:18" ht="15.75">
      <c r="C1767" s="117"/>
      <c r="D1767" s="160"/>
      <c r="E1767" s="117"/>
      <c r="F1767" s="115"/>
      <c r="G1767" s="117"/>
      <c r="H1767" s="115"/>
      <c r="I1767" s="118"/>
      <c r="J1767" s="119"/>
      <c r="K1767" s="120"/>
      <c r="L1767" s="261"/>
      <c r="M1767" s="262"/>
      <c r="N1767" s="263"/>
      <c r="O1767" s="264"/>
      <c r="P1767" s="262"/>
      <c r="Q1767" s="262"/>
      <c r="R1767" s="262"/>
    </row>
    <row r="1768" spans="3:18" ht="15.75">
      <c r="C1768" s="117"/>
      <c r="D1768" s="160"/>
      <c r="E1768" s="117"/>
      <c r="F1768" s="115"/>
      <c r="G1768" s="117"/>
      <c r="H1768" s="115"/>
      <c r="I1768" s="118"/>
      <c r="J1768" s="119"/>
      <c r="K1768" s="120"/>
      <c r="L1768" s="261"/>
      <c r="M1768" s="262"/>
      <c r="N1768" s="263"/>
      <c r="O1768" s="264"/>
      <c r="P1768" s="262"/>
      <c r="Q1768" s="262"/>
      <c r="R1768" s="262"/>
    </row>
    <row r="1769" spans="3:18" ht="15.75">
      <c r="C1769" s="117"/>
      <c r="D1769" s="160"/>
      <c r="E1769" s="117"/>
      <c r="F1769" s="115"/>
      <c r="G1769" s="117"/>
      <c r="H1769" s="115"/>
      <c r="I1769" s="118"/>
      <c r="J1769" s="119"/>
      <c r="K1769" s="120"/>
      <c r="L1769" s="261"/>
      <c r="M1769" s="262"/>
      <c r="N1769" s="263"/>
      <c r="O1769" s="264"/>
      <c r="P1769" s="262"/>
      <c r="Q1769" s="262"/>
      <c r="R1769" s="262"/>
    </row>
    <row r="1770" spans="3:18" ht="15.75">
      <c r="C1770" s="117"/>
      <c r="D1770" s="160"/>
      <c r="E1770" s="117"/>
      <c r="F1770" s="115"/>
      <c r="G1770" s="117"/>
      <c r="H1770" s="115"/>
      <c r="I1770" s="118"/>
      <c r="J1770" s="119"/>
      <c r="K1770" s="120"/>
      <c r="L1770" s="261"/>
      <c r="M1770" s="262"/>
      <c r="N1770" s="263"/>
      <c r="O1770" s="264"/>
      <c r="P1770" s="262"/>
      <c r="Q1770" s="262"/>
      <c r="R1770" s="262"/>
    </row>
    <row r="1771" spans="3:18" ht="15.75">
      <c r="C1771" s="117"/>
      <c r="D1771" s="160"/>
      <c r="E1771" s="117"/>
      <c r="F1771" s="115"/>
      <c r="G1771" s="117"/>
      <c r="H1771" s="115"/>
      <c r="I1771" s="118"/>
      <c r="J1771" s="119"/>
      <c r="K1771" s="120"/>
      <c r="L1771" s="261"/>
      <c r="M1771" s="262"/>
      <c r="N1771" s="263"/>
      <c r="O1771" s="264"/>
      <c r="P1771" s="262"/>
      <c r="Q1771" s="262"/>
      <c r="R1771" s="262"/>
    </row>
    <row r="1772" spans="3:18" ht="15.75">
      <c r="C1772" s="117"/>
      <c r="D1772" s="160"/>
      <c r="E1772" s="117"/>
      <c r="F1772" s="115"/>
      <c r="G1772" s="117"/>
      <c r="H1772" s="115"/>
      <c r="I1772" s="118"/>
      <c r="J1772" s="119"/>
      <c r="K1772" s="120"/>
      <c r="L1772" s="261"/>
      <c r="M1772" s="262"/>
      <c r="N1772" s="263"/>
      <c r="O1772" s="264"/>
      <c r="P1772" s="262"/>
      <c r="Q1772" s="262"/>
      <c r="R1772" s="262"/>
    </row>
    <row r="1773" spans="3:18" ht="15.75">
      <c r="C1773" s="117"/>
      <c r="D1773" s="160"/>
      <c r="E1773" s="117"/>
      <c r="F1773" s="115"/>
      <c r="G1773" s="117"/>
      <c r="H1773" s="115"/>
      <c r="I1773" s="118"/>
      <c r="J1773" s="119"/>
      <c r="K1773" s="120"/>
      <c r="L1773" s="261"/>
      <c r="M1773" s="262"/>
      <c r="N1773" s="263"/>
      <c r="O1773" s="264"/>
      <c r="P1773" s="262"/>
      <c r="Q1773" s="262"/>
      <c r="R1773" s="262"/>
    </row>
    <row r="1774" spans="3:18" ht="15.75">
      <c r="C1774" s="117"/>
      <c r="D1774" s="160"/>
      <c r="E1774" s="117"/>
      <c r="F1774" s="115"/>
      <c r="G1774" s="117"/>
      <c r="H1774" s="115"/>
      <c r="I1774" s="118"/>
      <c r="J1774" s="119"/>
      <c r="K1774" s="120"/>
      <c r="L1774" s="261"/>
      <c r="M1774" s="262"/>
      <c r="N1774" s="263"/>
      <c r="O1774" s="264"/>
      <c r="P1774" s="262"/>
      <c r="Q1774" s="262"/>
      <c r="R1774" s="262"/>
    </row>
    <row r="1775" spans="3:18" ht="15.75">
      <c r="C1775" s="117"/>
      <c r="D1775" s="160"/>
      <c r="E1775" s="117"/>
      <c r="F1775" s="115"/>
      <c r="G1775" s="117"/>
      <c r="H1775" s="115"/>
      <c r="I1775" s="118"/>
      <c r="J1775" s="119"/>
      <c r="K1775" s="120"/>
      <c r="L1775" s="261"/>
      <c r="M1775" s="262"/>
      <c r="N1775" s="263"/>
      <c r="O1775" s="264"/>
      <c r="P1775" s="262"/>
      <c r="Q1775" s="262"/>
      <c r="R1775" s="262"/>
    </row>
    <row r="1776" spans="3:18" ht="15.75">
      <c r="C1776" s="117"/>
      <c r="D1776" s="160"/>
      <c r="E1776" s="117"/>
      <c r="F1776" s="115"/>
      <c r="G1776" s="117"/>
      <c r="H1776" s="115"/>
      <c r="I1776" s="118"/>
      <c r="J1776" s="119"/>
      <c r="K1776" s="120"/>
      <c r="L1776" s="261"/>
      <c r="M1776" s="262"/>
      <c r="N1776" s="263"/>
      <c r="O1776" s="264"/>
      <c r="P1776" s="262"/>
      <c r="Q1776" s="262"/>
      <c r="R1776" s="262"/>
    </row>
    <row r="1777" spans="3:18" ht="15.75">
      <c r="C1777" s="117"/>
      <c r="D1777" s="160"/>
      <c r="E1777" s="117"/>
      <c r="F1777" s="115"/>
      <c r="G1777" s="117"/>
      <c r="H1777" s="115"/>
      <c r="I1777" s="118"/>
      <c r="J1777" s="119"/>
      <c r="K1777" s="120"/>
      <c r="L1777" s="261"/>
      <c r="M1777" s="262"/>
      <c r="N1777" s="263"/>
      <c r="O1777" s="264"/>
      <c r="P1777" s="262"/>
      <c r="Q1777" s="262"/>
      <c r="R1777" s="262"/>
    </row>
    <row r="1778" spans="3:18" ht="15.75">
      <c r="C1778" s="117"/>
      <c r="D1778" s="160"/>
      <c r="E1778" s="117"/>
      <c r="F1778" s="115"/>
      <c r="G1778" s="117"/>
      <c r="H1778" s="115"/>
      <c r="I1778" s="118"/>
      <c r="J1778" s="119"/>
      <c r="K1778" s="120"/>
      <c r="L1778" s="261"/>
      <c r="M1778" s="262"/>
      <c r="N1778" s="263"/>
      <c r="O1778" s="264"/>
      <c r="P1778" s="262"/>
      <c r="Q1778" s="262"/>
      <c r="R1778" s="262"/>
    </row>
    <row r="1779" spans="3:18" ht="15.75">
      <c r="C1779" s="117"/>
      <c r="D1779" s="160"/>
      <c r="E1779" s="117"/>
      <c r="F1779" s="115"/>
      <c r="G1779" s="117"/>
      <c r="H1779" s="115"/>
      <c r="I1779" s="118"/>
      <c r="J1779" s="119"/>
      <c r="K1779" s="120"/>
      <c r="L1779" s="261"/>
      <c r="M1779" s="262"/>
      <c r="N1779" s="263"/>
      <c r="O1779" s="264"/>
      <c r="P1779" s="262"/>
      <c r="Q1779" s="262"/>
      <c r="R1779" s="262"/>
    </row>
    <row r="1780" spans="3:18" ht="15.75">
      <c r="C1780" s="117"/>
      <c r="D1780" s="160"/>
      <c r="E1780" s="117"/>
      <c r="F1780" s="115"/>
      <c r="G1780" s="117"/>
      <c r="H1780" s="115"/>
      <c r="I1780" s="118"/>
      <c r="J1780" s="119"/>
      <c r="K1780" s="120"/>
      <c r="L1780" s="261"/>
      <c r="M1780" s="262"/>
      <c r="N1780" s="263"/>
      <c r="O1780" s="264"/>
      <c r="P1780" s="262"/>
      <c r="Q1780" s="262"/>
      <c r="R1780" s="262"/>
    </row>
    <row r="1781" spans="3:18" ht="15.75">
      <c r="C1781" s="117"/>
      <c r="D1781" s="160"/>
      <c r="E1781" s="117"/>
      <c r="F1781" s="115"/>
      <c r="G1781" s="117"/>
      <c r="H1781" s="115"/>
      <c r="I1781" s="118"/>
      <c r="J1781" s="119"/>
      <c r="K1781" s="120"/>
      <c r="L1781" s="261"/>
      <c r="M1781" s="262"/>
      <c r="N1781" s="263"/>
      <c r="O1781" s="264"/>
      <c r="P1781" s="262"/>
      <c r="Q1781" s="262"/>
      <c r="R1781" s="262"/>
    </row>
    <row r="1782" spans="3:18" ht="15.75">
      <c r="C1782" s="117"/>
      <c r="D1782" s="160"/>
      <c r="E1782" s="117"/>
      <c r="F1782" s="115"/>
      <c r="G1782" s="117"/>
      <c r="H1782" s="115"/>
      <c r="I1782" s="118"/>
      <c r="J1782" s="119"/>
      <c r="K1782" s="120"/>
      <c r="L1782" s="261"/>
      <c r="M1782" s="262"/>
      <c r="N1782" s="263"/>
      <c r="O1782" s="264"/>
      <c r="P1782" s="262"/>
      <c r="Q1782" s="262"/>
      <c r="R1782" s="262"/>
    </row>
    <row r="1783" spans="3:18" ht="15.75">
      <c r="C1783" s="117"/>
      <c r="D1783" s="160"/>
      <c r="E1783" s="117"/>
      <c r="F1783" s="115"/>
      <c r="G1783" s="117"/>
      <c r="H1783" s="115"/>
      <c r="I1783" s="118"/>
      <c r="J1783" s="119"/>
      <c r="K1783" s="120"/>
      <c r="L1783" s="261"/>
      <c r="M1783" s="262"/>
      <c r="N1783" s="263"/>
      <c r="O1783" s="264"/>
      <c r="P1783" s="262"/>
      <c r="Q1783" s="262"/>
      <c r="R1783" s="262"/>
    </row>
    <row r="1784" spans="3:18" ht="15.75">
      <c r="C1784" s="117"/>
      <c r="D1784" s="160"/>
      <c r="E1784" s="117"/>
      <c r="F1784" s="115"/>
      <c r="G1784" s="117"/>
      <c r="H1784" s="115"/>
      <c r="I1784" s="118"/>
      <c r="J1784" s="119"/>
      <c r="K1784" s="120"/>
      <c r="L1784" s="261"/>
      <c r="M1784" s="262"/>
      <c r="N1784" s="263"/>
      <c r="O1784" s="264"/>
      <c r="P1784" s="262"/>
      <c r="Q1784" s="262"/>
      <c r="R1784" s="262"/>
    </row>
    <row r="1785" spans="3:18" ht="15.75">
      <c r="C1785" s="117"/>
      <c r="D1785" s="160"/>
      <c r="E1785" s="117"/>
      <c r="F1785" s="115"/>
      <c r="G1785" s="117"/>
      <c r="H1785" s="115"/>
      <c r="I1785" s="118"/>
      <c r="J1785" s="119"/>
      <c r="K1785" s="120"/>
      <c r="L1785" s="261"/>
      <c r="M1785" s="262"/>
      <c r="N1785" s="263"/>
      <c r="O1785" s="264"/>
      <c r="P1785" s="262"/>
      <c r="Q1785" s="262"/>
      <c r="R1785" s="262"/>
    </row>
    <row r="1786" spans="3:18" ht="15.75">
      <c r="C1786" s="117"/>
      <c r="D1786" s="160"/>
      <c r="E1786" s="117"/>
      <c r="F1786" s="115"/>
      <c r="G1786" s="117"/>
      <c r="H1786" s="115"/>
      <c r="I1786" s="118"/>
      <c r="J1786" s="119"/>
      <c r="K1786" s="120"/>
      <c r="L1786" s="261"/>
      <c r="M1786" s="262"/>
      <c r="N1786" s="263"/>
      <c r="O1786" s="264"/>
      <c r="P1786" s="262"/>
      <c r="Q1786" s="262"/>
      <c r="R1786" s="262"/>
    </row>
    <row r="1787" spans="3:18" ht="15.75">
      <c r="C1787" s="117"/>
      <c r="D1787" s="160"/>
      <c r="E1787" s="117"/>
      <c r="F1787" s="115"/>
      <c r="G1787" s="117"/>
      <c r="H1787" s="115"/>
      <c r="I1787" s="118"/>
      <c r="J1787" s="119"/>
      <c r="K1787" s="120"/>
      <c r="L1787" s="261"/>
      <c r="M1787" s="262"/>
      <c r="N1787" s="263"/>
      <c r="O1787" s="264"/>
      <c r="P1787" s="262"/>
      <c r="Q1787" s="262"/>
      <c r="R1787" s="262"/>
    </row>
    <row r="1788" spans="3:18" ht="15.75">
      <c r="C1788" s="117"/>
      <c r="D1788" s="160"/>
      <c r="E1788" s="117"/>
      <c r="F1788" s="115"/>
      <c r="G1788" s="117"/>
      <c r="H1788" s="115"/>
      <c r="I1788" s="118"/>
      <c r="J1788" s="119"/>
      <c r="K1788" s="120"/>
      <c r="L1788" s="261"/>
      <c r="M1788" s="262"/>
      <c r="N1788" s="263"/>
      <c r="O1788" s="264"/>
      <c r="P1788" s="262"/>
      <c r="Q1788" s="262"/>
      <c r="R1788" s="262"/>
    </row>
    <row r="1789" spans="3:18" ht="15.75">
      <c r="C1789" s="117"/>
      <c r="D1789" s="160"/>
      <c r="E1789" s="117"/>
      <c r="F1789" s="115"/>
      <c r="G1789" s="117"/>
      <c r="H1789" s="115"/>
      <c r="I1789" s="118"/>
      <c r="J1789" s="119"/>
      <c r="K1789" s="120"/>
      <c r="L1789" s="261"/>
      <c r="M1789" s="262"/>
      <c r="N1789" s="263"/>
      <c r="O1789" s="264"/>
      <c r="P1789" s="262"/>
      <c r="Q1789" s="262"/>
      <c r="R1789" s="262"/>
    </row>
    <row r="1790" spans="3:18" ht="15.75">
      <c r="C1790" s="117"/>
      <c r="D1790" s="160"/>
      <c r="E1790" s="117"/>
      <c r="F1790" s="115"/>
      <c r="G1790" s="117"/>
      <c r="H1790" s="115"/>
      <c r="I1790" s="118"/>
      <c r="J1790" s="119"/>
      <c r="K1790" s="120"/>
      <c r="L1790" s="261"/>
      <c r="M1790" s="262"/>
      <c r="N1790" s="263"/>
      <c r="O1790" s="264"/>
      <c r="P1790" s="262"/>
      <c r="Q1790" s="262"/>
      <c r="R1790" s="262"/>
    </row>
    <row r="1791" spans="3:18" ht="15.75">
      <c r="C1791" s="117"/>
      <c r="D1791" s="160"/>
      <c r="E1791" s="117"/>
      <c r="F1791" s="115"/>
      <c r="G1791" s="117"/>
      <c r="H1791" s="115"/>
      <c r="I1791" s="118"/>
      <c r="J1791" s="119"/>
      <c r="K1791" s="120"/>
      <c r="L1791" s="261"/>
      <c r="M1791" s="262"/>
      <c r="N1791" s="263"/>
      <c r="O1791" s="264"/>
      <c r="P1791" s="262"/>
      <c r="Q1791" s="262"/>
      <c r="R1791" s="262"/>
    </row>
    <row r="1792" spans="3:18" ht="15.75">
      <c r="C1792" s="117"/>
      <c r="D1792" s="160"/>
      <c r="E1792" s="117"/>
      <c r="F1792" s="115"/>
      <c r="G1792" s="117"/>
      <c r="H1792" s="115"/>
      <c r="I1792" s="118"/>
      <c r="J1792" s="119"/>
      <c r="K1792" s="120"/>
      <c r="L1792" s="261"/>
      <c r="M1792" s="262"/>
      <c r="N1792" s="263"/>
      <c r="O1792" s="264"/>
      <c r="P1792" s="262"/>
      <c r="Q1792" s="262"/>
      <c r="R1792" s="262"/>
    </row>
    <row r="1793" spans="3:18" ht="15.75">
      <c r="C1793" s="117"/>
      <c r="D1793" s="160"/>
      <c r="E1793" s="117"/>
      <c r="F1793" s="115"/>
      <c r="G1793" s="117"/>
      <c r="H1793" s="115"/>
      <c r="I1793" s="118"/>
      <c r="J1793" s="119"/>
      <c r="K1793" s="120"/>
      <c r="L1793" s="261"/>
      <c r="M1793" s="262"/>
      <c r="N1793" s="263"/>
      <c r="O1793" s="264"/>
      <c r="P1793" s="262"/>
      <c r="Q1793" s="262"/>
      <c r="R1793" s="262"/>
    </row>
    <row r="1794" spans="3:18" ht="15.75">
      <c r="C1794" s="117"/>
      <c r="D1794" s="160"/>
      <c r="E1794" s="117"/>
      <c r="F1794" s="115"/>
      <c r="G1794" s="117"/>
      <c r="H1794" s="115"/>
      <c r="I1794" s="118"/>
      <c r="J1794" s="119"/>
      <c r="K1794" s="120"/>
      <c r="L1794" s="261"/>
      <c r="M1794" s="262"/>
      <c r="N1794" s="263"/>
      <c r="O1794" s="264"/>
      <c r="P1794" s="262"/>
      <c r="Q1794" s="262"/>
      <c r="R1794" s="262"/>
    </row>
    <row r="1795" spans="3:18" ht="15.75">
      <c r="C1795" s="117"/>
      <c r="D1795" s="160"/>
      <c r="E1795" s="117"/>
      <c r="F1795" s="115"/>
      <c r="G1795" s="117"/>
      <c r="H1795" s="115"/>
      <c r="I1795" s="118"/>
      <c r="J1795" s="119"/>
      <c r="K1795" s="120"/>
      <c r="L1795" s="261"/>
      <c r="M1795" s="262"/>
      <c r="N1795" s="263"/>
      <c r="O1795" s="264"/>
      <c r="P1795" s="262"/>
      <c r="Q1795" s="262"/>
      <c r="R1795" s="262"/>
    </row>
    <row r="1796" spans="3:18" ht="15.75">
      <c r="C1796" s="117"/>
      <c r="D1796" s="160"/>
      <c r="E1796" s="117"/>
      <c r="F1796" s="115"/>
      <c r="G1796" s="117"/>
      <c r="H1796" s="115"/>
      <c r="I1796" s="118"/>
      <c r="J1796" s="119"/>
      <c r="K1796" s="120"/>
      <c r="L1796" s="261"/>
      <c r="M1796" s="262"/>
      <c r="N1796" s="263"/>
      <c r="O1796" s="264"/>
      <c r="P1796" s="262"/>
      <c r="Q1796" s="262"/>
      <c r="R1796" s="262"/>
    </row>
    <row r="1797" spans="3:18" ht="15.75">
      <c r="C1797" s="117"/>
      <c r="D1797" s="160"/>
      <c r="E1797" s="117"/>
      <c r="F1797" s="115"/>
      <c r="G1797" s="117"/>
      <c r="H1797" s="115"/>
      <c r="I1797" s="118"/>
      <c r="J1797" s="119"/>
      <c r="K1797" s="120"/>
      <c r="L1797" s="261"/>
      <c r="M1797" s="262"/>
      <c r="N1797" s="263"/>
      <c r="O1797" s="264"/>
      <c r="P1797" s="262"/>
      <c r="Q1797" s="262"/>
      <c r="R1797" s="262"/>
    </row>
    <row r="1798" spans="3:18" ht="15.75">
      <c r="C1798" s="117"/>
      <c r="D1798" s="160"/>
      <c r="E1798" s="117"/>
      <c r="F1798" s="115"/>
      <c r="G1798" s="117"/>
      <c r="H1798" s="115"/>
      <c r="I1798" s="118"/>
      <c r="J1798" s="119"/>
      <c r="K1798" s="120"/>
      <c r="L1798" s="261"/>
      <c r="M1798" s="262"/>
      <c r="N1798" s="263"/>
      <c r="O1798" s="264"/>
      <c r="P1798" s="262"/>
      <c r="Q1798" s="262"/>
      <c r="R1798" s="262"/>
    </row>
    <row r="1799" spans="3:18" ht="15.75">
      <c r="C1799" s="117"/>
      <c r="D1799" s="160"/>
      <c r="E1799" s="117"/>
      <c r="F1799" s="115"/>
      <c r="G1799" s="117"/>
      <c r="H1799" s="115"/>
      <c r="I1799" s="118"/>
      <c r="J1799" s="119"/>
      <c r="K1799" s="120"/>
      <c r="L1799" s="261"/>
      <c r="M1799" s="262"/>
      <c r="N1799" s="263"/>
      <c r="O1799" s="264"/>
      <c r="P1799" s="262"/>
      <c r="Q1799" s="262"/>
      <c r="R1799" s="262"/>
    </row>
    <row r="1800" spans="3:18" ht="15.75">
      <c r="C1800" s="117"/>
      <c r="D1800" s="160"/>
      <c r="E1800" s="117"/>
      <c r="F1800" s="115"/>
      <c r="G1800" s="117"/>
      <c r="H1800" s="115"/>
      <c r="I1800" s="118"/>
      <c r="J1800" s="119"/>
      <c r="K1800" s="120"/>
      <c r="L1800" s="261"/>
      <c r="M1800" s="262"/>
      <c r="N1800" s="263"/>
      <c r="O1800" s="264"/>
      <c r="P1800" s="262"/>
      <c r="Q1800" s="262"/>
      <c r="R1800" s="262"/>
    </row>
    <row r="1801" spans="3:18" ht="15.75">
      <c r="C1801" s="117"/>
      <c r="D1801" s="160"/>
      <c r="E1801" s="117"/>
      <c r="F1801" s="115"/>
      <c r="G1801" s="117"/>
      <c r="H1801" s="115"/>
      <c r="I1801" s="118"/>
      <c r="J1801" s="119"/>
      <c r="K1801" s="120"/>
      <c r="L1801" s="261"/>
      <c r="M1801" s="262"/>
      <c r="N1801" s="263"/>
      <c r="O1801" s="264"/>
      <c r="P1801" s="262"/>
      <c r="Q1801" s="262"/>
      <c r="R1801" s="262"/>
    </row>
    <row r="1802" spans="3:18" ht="15.75">
      <c r="C1802" s="117"/>
      <c r="D1802" s="160"/>
      <c r="E1802" s="117"/>
      <c r="F1802" s="115"/>
      <c r="G1802" s="117"/>
      <c r="H1802" s="115"/>
      <c r="I1802" s="118"/>
      <c r="J1802" s="119"/>
      <c r="K1802" s="120"/>
      <c r="L1802" s="261"/>
      <c r="M1802" s="262"/>
      <c r="N1802" s="263"/>
      <c r="O1802" s="264"/>
      <c r="P1802" s="262"/>
      <c r="Q1802" s="262"/>
      <c r="R1802" s="262"/>
    </row>
    <row r="1803" spans="3:18" ht="15.75">
      <c r="C1803" s="117"/>
      <c r="D1803" s="160"/>
      <c r="E1803" s="117"/>
      <c r="F1803" s="115"/>
      <c r="G1803" s="117"/>
      <c r="H1803" s="115"/>
      <c r="I1803" s="118"/>
      <c r="J1803" s="119"/>
      <c r="K1803" s="120"/>
      <c r="L1803" s="261"/>
      <c r="M1803" s="262"/>
      <c r="N1803" s="263"/>
      <c r="O1803" s="264"/>
      <c r="P1803" s="262"/>
      <c r="Q1803" s="262"/>
      <c r="R1803" s="262"/>
    </row>
    <row r="1804" spans="3:18" ht="15.75">
      <c r="C1804" s="117"/>
      <c r="D1804" s="160"/>
      <c r="E1804" s="117"/>
      <c r="F1804" s="115"/>
      <c r="G1804" s="117"/>
      <c r="H1804" s="115"/>
      <c r="I1804" s="118"/>
      <c r="J1804" s="119"/>
      <c r="K1804" s="120"/>
      <c r="L1804" s="261"/>
      <c r="M1804" s="262"/>
      <c r="N1804" s="263"/>
      <c r="O1804" s="264"/>
      <c r="P1804" s="262"/>
      <c r="Q1804" s="262"/>
      <c r="R1804" s="262"/>
    </row>
    <row r="1805" spans="3:18" ht="15.75">
      <c r="C1805" s="117"/>
      <c r="D1805" s="160"/>
      <c r="E1805" s="117"/>
      <c r="F1805" s="115"/>
      <c r="G1805" s="117"/>
      <c r="H1805" s="115"/>
      <c r="I1805" s="118"/>
      <c r="J1805" s="119"/>
      <c r="K1805" s="120"/>
      <c r="L1805" s="261"/>
      <c r="M1805" s="262"/>
      <c r="N1805" s="263"/>
      <c r="O1805" s="264"/>
      <c r="P1805" s="262"/>
      <c r="Q1805" s="262"/>
      <c r="R1805" s="262"/>
    </row>
    <row r="1806" spans="3:18" ht="15.75">
      <c r="C1806" s="117"/>
      <c r="D1806" s="160"/>
      <c r="E1806" s="117"/>
      <c r="F1806" s="115"/>
      <c r="G1806" s="117"/>
      <c r="H1806" s="115"/>
      <c r="I1806" s="118"/>
      <c r="J1806" s="119"/>
      <c r="K1806" s="120"/>
      <c r="L1806" s="261"/>
      <c r="M1806" s="262"/>
      <c r="N1806" s="263"/>
      <c r="O1806" s="264"/>
      <c r="P1806" s="262"/>
      <c r="Q1806" s="262"/>
      <c r="R1806" s="262"/>
    </row>
    <row r="1807" spans="3:18" ht="15.75">
      <c r="C1807" s="117"/>
      <c r="D1807" s="160"/>
      <c r="E1807" s="117"/>
      <c r="F1807" s="115"/>
      <c r="G1807" s="117"/>
      <c r="H1807" s="115"/>
      <c r="I1807" s="118"/>
      <c r="J1807" s="119"/>
      <c r="K1807" s="120"/>
      <c r="L1807" s="261"/>
      <c r="M1807" s="262"/>
      <c r="N1807" s="263"/>
      <c r="O1807" s="264"/>
      <c r="P1807" s="262"/>
      <c r="Q1807" s="262"/>
      <c r="R1807" s="262"/>
    </row>
    <row r="1808" spans="3:18" ht="15.75">
      <c r="C1808" s="117"/>
      <c r="D1808" s="160"/>
      <c r="E1808" s="117"/>
      <c r="F1808" s="115"/>
      <c r="G1808" s="117"/>
      <c r="H1808" s="115"/>
      <c r="I1808" s="118"/>
      <c r="J1808" s="119"/>
      <c r="K1808" s="120"/>
      <c r="L1808" s="261"/>
      <c r="M1808" s="262"/>
      <c r="N1808" s="263"/>
      <c r="O1808" s="264"/>
      <c r="P1808" s="262"/>
      <c r="Q1808" s="262"/>
      <c r="R1808" s="262"/>
    </row>
    <row r="1809" spans="3:18" ht="15.75">
      <c r="C1809" s="117"/>
      <c r="D1809" s="160"/>
      <c r="E1809" s="117"/>
      <c r="F1809" s="115"/>
      <c r="G1809" s="117"/>
      <c r="H1809" s="115"/>
      <c r="I1809" s="118"/>
      <c r="J1809" s="119"/>
      <c r="K1809" s="120"/>
      <c r="L1809" s="261"/>
      <c r="M1809" s="262"/>
      <c r="N1809" s="263"/>
      <c r="O1809" s="264"/>
      <c r="P1809" s="262"/>
      <c r="Q1809" s="262"/>
      <c r="R1809" s="262"/>
    </row>
    <row r="1810" spans="3:18" ht="15.75">
      <c r="C1810" s="117"/>
      <c r="D1810" s="160"/>
      <c r="E1810" s="117"/>
      <c r="F1810" s="115"/>
      <c r="G1810" s="117"/>
      <c r="H1810" s="115"/>
      <c r="I1810" s="118"/>
      <c r="J1810" s="119"/>
      <c r="K1810" s="120"/>
      <c r="L1810" s="261"/>
      <c r="M1810" s="262"/>
      <c r="N1810" s="263"/>
      <c r="O1810" s="264"/>
      <c r="P1810" s="262"/>
      <c r="Q1810" s="262"/>
      <c r="R1810" s="262"/>
    </row>
    <row r="1811" spans="3:18" ht="15.75">
      <c r="C1811" s="117"/>
      <c r="D1811" s="160"/>
      <c r="E1811" s="117"/>
      <c r="F1811" s="115"/>
      <c r="G1811" s="117"/>
      <c r="H1811" s="115"/>
      <c r="I1811" s="118"/>
      <c r="J1811" s="119"/>
      <c r="K1811" s="120"/>
      <c r="L1811" s="261"/>
      <c r="M1811" s="262"/>
      <c r="N1811" s="263"/>
      <c r="O1811" s="264"/>
      <c r="P1811" s="262"/>
      <c r="Q1811" s="262"/>
      <c r="R1811" s="262"/>
    </row>
    <row r="1812" spans="3:18" ht="15.75">
      <c r="C1812" s="117"/>
      <c r="D1812" s="160"/>
      <c r="E1812" s="117"/>
      <c r="F1812" s="115"/>
      <c r="G1812" s="117"/>
      <c r="H1812" s="115"/>
      <c r="I1812" s="118"/>
      <c r="J1812" s="119"/>
      <c r="K1812" s="120"/>
      <c r="L1812" s="261"/>
      <c r="M1812" s="262"/>
      <c r="N1812" s="263"/>
      <c r="O1812" s="264"/>
      <c r="P1812" s="262"/>
      <c r="Q1812" s="262"/>
      <c r="R1812" s="262"/>
    </row>
    <row r="1813" spans="3:18" ht="15.75">
      <c r="C1813" s="117"/>
      <c r="D1813" s="160"/>
      <c r="E1813" s="117"/>
      <c r="F1813" s="115"/>
      <c r="G1813" s="117"/>
      <c r="H1813" s="115"/>
      <c r="I1813" s="118"/>
      <c r="J1813" s="119"/>
      <c r="K1813" s="120"/>
      <c r="L1813" s="261"/>
      <c r="M1813" s="262"/>
      <c r="N1813" s="263"/>
      <c r="O1813" s="264"/>
      <c r="P1813" s="262"/>
      <c r="Q1813" s="262"/>
      <c r="R1813" s="262"/>
    </row>
    <row r="1814" spans="3:18" ht="15.75">
      <c r="C1814" s="117"/>
      <c r="D1814" s="160"/>
      <c r="E1814" s="117"/>
      <c r="F1814" s="115"/>
      <c r="G1814" s="117"/>
      <c r="H1814" s="115"/>
      <c r="I1814" s="118"/>
      <c r="J1814" s="119"/>
      <c r="K1814" s="120"/>
      <c r="L1814" s="261"/>
      <c r="M1814" s="262"/>
      <c r="N1814" s="263"/>
      <c r="O1814" s="264"/>
      <c r="P1814" s="262"/>
      <c r="Q1814" s="262"/>
      <c r="R1814" s="262"/>
    </row>
    <row r="1815" spans="3:18" ht="15.75">
      <c r="C1815" s="117"/>
      <c r="D1815" s="160"/>
      <c r="E1815" s="117"/>
      <c r="F1815" s="115"/>
      <c r="G1815" s="117"/>
      <c r="H1815" s="115"/>
      <c r="I1815" s="118"/>
      <c r="J1815" s="119"/>
      <c r="K1815" s="120"/>
      <c r="L1815" s="261"/>
      <c r="M1815" s="262"/>
      <c r="N1815" s="263"/>
      <c r="O1815" s="264"/>
      <c r="P1815" s="262"/>
      <c r="Q1815" s="262"/>
      <c r="R1815" s="262"/>
    </row>
    <row r="1816" spans="3:18" ht="15.75">
      <c r="C1816" s="117"/>
      <c r="D1816" s="160"/>
      <c r="E1816" s="117"/>
      <c r="F1816" s="115"/>
      <c r="G1816" s="117"/>
      <c r="H1816" s="115"/>
      <c r="I1816" s="118"/>
      <c r="J1816" s="119"/>
      <c r="K1816" s="120"/>
      <c r="L1816" s="261"/>
      <c r="M1816" s="262"/>
      <c r="N1816" s="263"/>
      <c r="O1816" s="264"/>
      <c r="P1816" s="262"/>
      <c r="Q1816" s="262"/>
      <c r="R1816" s="262"/>
    </row>
    <row r="1817" spans="3:18" ht="15.75">
      <c r="C1817" s="117"/>
      <c r="D1817" s="160"/>
      <c r="E1817" s="117"/>
      <c r="F1817" s="115"/>
      <c r="G1817" s="117"/>
      <c r="H1817" s="115"/>
      <c r="I1817" s="118"/>
      <c r="J1817" s="119"/>
      <c r="K1817" s="120"/>
      <c r="L1817" s="261"/>
      <c r="M1817" s="262"/>
      <c r="N1817" s="263"/>
      <c r="O1817" s="264"/>
      <c r="P1817" s="262"/>
      <c r="Q1817" s="262"/>
      <c r="R1817" s="262"/>
    </row>
    <row r="1818" spans="3:18" ht="15.75">
      <c r="C1818" s="117"/>
      <c r="D1818" s="160"/>
      <c r="E1818" s="117"/>
      <c r="F1818" s="115"/>
      <c r="G1818" s="117"/>
      <c r="H1818" s="115"/>
      <c r="I1818" s="118"/>
      <c r="J1818" s="119"/>
      <c r="K1818" s="120"/>
      <c r="L1818" s="261"/>
      <c r="M1818" s="262"/>
      <c r="N1818" s="263"/>
      <c r="O1818" s="264"/>
      <c r="P1818" s="262"/>
      <c r="Q1818" s="262"/>
      <c r="R1818" s="262"/>
    </row>
    <row r="1819" spans="3:18" ht="15.75">
      <c r="C1819" s="117"/>
      <c r="D1819" s="160"/>
      <c r="E1819" s="117"/>
      <c r="F1819" s="115"/>
      <c r="G1819" s="117"/>
      <c r="H1819" s="115"/>
      <c r="I1819" s="118"/>
      <c r="J1819" s="119"/>
      <c r="K1819" s="120"/>
      <c r="L1819" s="261"/>
      <c r="M1819" s="262"/>
      <c r="N1819" s="263"/>
      <c r="O1819" s="264"/>
      <c r="P1819" s="262"/>
      <c r="Q1819" s="262"/>
      <c r="R1819" s="262"/>
    </row>
    <row r="1820" spans="3:18" ht="15.75">
      <c r="C1820" s="117"/>
      <c r="D1820" s="160"/>
      <c r="E1820" s="117"/>
      <c r="F1820" s="115"/>
      <c r="G1820" s="117"/>
      <c r="H1820" s="115"/>
      <c r="I1820" s="118"/>
      <c r="J1820" s="119"/>
      <c r="K1820" s="120"/>
      <c r="L1820" s="261"/>
      <c r="M1820" s="262"/>
      <c r="N1820" s="263"/>
      <c r="O1820" s="264"/>
      <c r="P1820" s="262"/>
      <c r="Q1820" s="262"/>
      <c r="R1820" s="262"/>
    </row>
    <row r="1821" spans="3:18" ht="15.75">
      <c r="C1821" s="117"/>
      <c r="D1821" s="160"/>
      <c r="E1821" s="117"/>
      <c r="F1821" s="115"/>
      <c r="G1821" s="117"/>
      <c r="H1821" s="115"/>
      <c r="I1821" s="118"/>
      <c r="J1821" s="119"/>
      <c r="K1821" s="120"/>
      <c r="L1821" s="261"/>
      <c r="M1821" s="262"/>
      <c r="N1821" s="263"/>
      <c r="O1821" s="264"/>
      <c r="P1821" s="262"/>
      <c r="Q1821" s="262"/>
      <c r="R1821" s="262"/>
    </row>
    <row r="1822" spans="3:18" ht="15.75">
      <c r="C1822" s="117"/>
      <c r="D1822" s="160"/>
      <c r="E1822" s="117"/>
      <c r="F1822" s="115"/>
      <c r="G1822" s="117"/>
      <c r="H1822" s="115"/>
      <c r="I1822" s="118"/>
      <c r="J1822" s="119"/>
      <c r="K1822" s="120"/>
      <c r="L1822" s="261"/>
      <c r="M1822" s="262"/>
      <c r="N1822" s="263"/>
      <c r="O1822" s="264"/>
      <c r="P1822" s="262"/>
      <c r="Q1822" s="262"/>
      <c r="R1822" s="262"/>
    </row>
    <row r="1823" spans="3:18" ht="15.75">
      <c r="C1823" s="117"/>
      <c r="D1823" s="160"/>
      <c r="E1823" s="117"/>
      <c r="F1823" s="115"/>
      <c r="G1823" s="117"/>
      <c r="H1823" s="115"/>
      <c r="I1823" s="118"/>
      <c r="J1823" s="119"/>
      <c r="K1823" s="120"/>
      <c r="L1823" s="261"/>
      <c r="M1823" s="262"/>
      <c r="N1823" s="263"/>
      <c r="O1823" s="264"/>
      <c r="P1823" s="262"/>
      <c r="Q1823" s="262"/>
      <c r="R1823" s="262"/>
    </row>
    <row r="1824" spans="3:18" ht="15.75">
      <c r="C1824" s="117"/>
      <c r="D1824" s="160"/>
      <c r="E1824" s="117"/>
      <c r="F1824" s="115"/>
      <c r="G1824" s="117"/>
      <c r="H1824" s="115"/>
      <c r="I1824" s="118"/>
      <c r="J1824" s="119"/>
      <c r="K1824" s="120"/>
      <c r="L1824" s="261"/>
      <c r="M1824" s="262"/>
      <c r="N1824" s="263"/>
      <c r="O1824" s="264"/>
      <c r="P1824" s="262"/>
      <c r="Q1824" s="262"/>
      <c r="R1824" s="262"/>
    </row>
    <row r="1825" spans="3:18" ht="15.75">
      <c r="C1825" s="117"/>
      <c r="D1825" s="160"/>
      <c r="E1825" s="117"/>
      <c r="F1825" s="115"/>
      <c r="G1825" s="117"/>
      <c r="H1825" s="115"/>
      <c r="I1825" s="118"/>
      <c r="J1825" s="119"/>
      <c r="K1825" s="120"/>
      <c r="L1825" s="261"/>
      <c r="M1825" s="262"/>
      <c r="N1825" s="263"/>
      <c r="O1825" s="264"/>
      <c r="P1825" s="262"/>
      <c r="Q1825" s="262"/>
      <c r="R1825" s="262"/>
    </row>
    <row r="1826" spans="3:18" ht="15.75">
      <c r="C1826" s="117"/>
      <c r="D1826" s="160"/>
      <c r="E1826" s="117"/>
      <c r="F1826" s="115"/>
      <c r="G1826" s="117"/>
      <c r="H1826" s="115"/>
      <c r="I1826" s="118"/>
      <c r="J1826" s="119"/>
      <c r="K1826" s="120"/>
      <c r="L1826" s="261"/>
      <c r="M1826" s="262"/>
      <c r="N1826" s="263"/>
      <c r="O1826" s="264"/>
      <c r="P1826" s="262"/>
      <c r="Q1826" s="262"/>
      <c r="R1826" s="262"/>
    </row>
    <row r="1827" spans="3:18" ht="15.75">
      <c r="C1827" s="117"/>
      <c r="D1827" s="160"/>
      <c r="E1827" s="117"/>
      <c r="F1827" s="115"/>
      <c r="G1827" s="117"/>
      <c r="H1827" s="115"/>
      <c r="I1827" s="118"/>
      <c r="J1827" s="119"/>
      <c r="K1827" s="120"/>
      <c r="L1827" s="261"/>
      <c r="M1827" s="262"/>
      <c r="N1827" s="263"/>
      <c r="O1827" s="264"/>
      <c r="P1827" s="262"/>
      <c r="Q1827" s="262"/>
      <c r="R1827" s="262"/>
    </row>
    <row r="1828" spans="3:18" ht="15.75">
      <c r="C1828" s="117"/>
      <c r="D1828" s="160"/>
      <c r="E1828" s="117"/>
      <c r="F1828" s="115"/>
      <c r="G1828" s="117"/>
      <c r="H1828" s="115"/>
      <c r="I1828" s="118"/>
      <c r="J1828" s="119"/>
      <c r="K1828" s="120"/>
      <c r="L1828" s="261"/>
      <c r="M1828" s="262"/>
      <c r="N1828" s="263"/>
      <c r="O1828" s="264"/>
      <c r="P1828" s="262"/>
      <c r="Q1828" s="262"/>
      <c r="R1828" s="262"/>
    </row>
    <row r="1829" spans="3:18" ht="15.75">
      <c r="C1829" s="117"/>
      <c r="D1829" s="160"/>
      <c r="E1829" s="117"/>
      <c r="F1829" s="115"/>
      <c r="G1829" s="117"/>
      <c r="H1829" s="115"/>
      <c r="I1829" s="118"/>
      <c r="J1829" s="119"/>
      <c r="K1829" s="120"/>
      <c r="L1829" s="261"/>
      <c r="M1829" s="262"/>
      <c r="N1829" s="263"/>
      <c r="O1829" s="264"/>
      <c r="P1829" s="262"/>
      <c r="Q1829" s="262"/>
      <c r="R1829" s="262"/>
    </row>
    <row r="1830" spans="3:18" ht="15.75">
      <c r="C1830" s="117"/>
      <c r="D1830" s="160"/>
      <c r="E1830" s="117"/>
      <c r="F1830" s="115"/>
      <c r="G1830" s="117"/>
      <c r="H1830" s="115"/>
      <c r="I1830" s="118"/>
      <c r="J1830" s="119"/>
      <c r="K1830" s="120"/>
      <c r="L1830" s="261"/>
      <c r="M1830" s="262"/>
      <c r="N1830" s="263"/>
      <c r="O1830" s="264"/>
      <c r="P1830" s="262"/>
      <c r="Q1830" s="262"/>
      <c r="R1830" s="262"/>
    </row>
    <row r="1831" spans="3:18" ht="15.75">
      <c r="C1831" s="117"/>
      <c r="D1831" s="160"/>
      <c r="E1831" s="117"/>
      <c r="F1831" s="115"/>
      <c r="G1831" s="117"/>
      <c r="H1831" s="115"/>
      <c r="I1831" s="118"/>
      <c r="J1831" s="119"/>
      <c r="K1831" s="120"/>
      <c r="L1831" s="261"/>
      <c r="M1831" s="262"/>
      <c r="N1831" s="263"/>
      <c r="O1831" s="264"/>
      <c r="P1831" s="262"/>
      <c r="Q1831" s="262"/>
      <c r="R1831" s="262"/>
    </row>
    <row r="1832" spans="3:18" ht="15.75">
      <c r="C1832" s="117"/>
      <c r="D1832" s="160"/>
      <c r="E1832" s="117"/>
      <c r="F1832" s="115"/>
      <c r="G1832" s="117"/>
      <c r="H1832" s="115"/>
      <c r="I1832" s="118"/>
      <c r="J1832" s="119"/>
      <c r="K1832" s="120"/>
      <c r="L1832" s="261"/>
      <c r="M1832" s="262"/>
      <c r="N1832" s="263"/>
      <c r="O1832" s="264"/>
      <c r="P1832" s="262"/>
      <c r="Q1832" s="262"/>
      <c r="R1832" s="262"/>
    </row>
    <row r="1833" spans="3:18" ht="15.75">
      <c r="C1833" s="117"/>
      <c r="D1833" s="160"/>
      <c r="E1833" s="117"/>
      <c r="F1833" s="115"/>
      <c r="G1833" s="117"/>
      <c r="H1833" s="115"/>
      <c r="I1833" s="118"/>
      <c r="J1833" s="119"/>
      <c r="K1833" s="120"/>
      <c r="L1833" s="261"/>
      <c r="M1833" s="262"/>
      <c r="N1833" s="263"/>
      <c r="O1833" s="264"/>
      <c r="P1833" s="262"/>
      <c r="Q1833" s="262"/>
      <c r="R1833" s="262"/>
    </row>
    <row r="1834" spans="3:18" ht="15.75">
      <c r="C1834" s="117"/>
      <c r="D1834" s="160"/>
      <c r="E1834" s="117"/>
      <c r="F1834" s="115"/>
      <c r="G1834" s="117"/>
      <c r="H1834" s="115"/>
      <c r="I1834" s="118"/>
      <c r="J1834" s="119"/>
      <c r="K1834" s="120"/>
      <c r="L1834" s="261"/>
      <c r="M1834" s="262"/>
      <c r="N1834" s="263"/>
      <c r="O1834" s="264"/>
      <c r="P1834" s="262"/>
      <c r="Q1834" s="262"/>
      <c r="R1834" s="262"/>
    </row>
    <row r="1835" spans="3:18" ht="15.75">
      <c r="C1835" s="117"/>
      <c r="D1835" s="160"/>
      <c r="E1835" s="117"/>
      <c r="F1835" s="115"/>
      <c r="G1835" s="117"/>
      <c r="H1835" s="115"/>
      <c r="I1835" s="118"/>
      <c r="J1835" s="119"/>
      <c r="K1835" s="120"/>
      <c r="L1835" s="261"/>
      <c r="M1835" s="262"/>
      <c r="N1835" s="263"/>
      <c r="O1835" s="264"/>
      <c r="P1835" s="262"/>
      <c r="Q1835" s="262"/>
      <c r="R1835" s="262"/>
    </row>
    <row r="1836" spans="3:18" ht="15.75">
      <c r="C1836" s="117"/>
      <c r="D1836" s="160"/>
      <c r="E1836" s="117"/>
      <c r="F1836" s="115"/>
      <c r="G1836" s="117"/>
      <c r="H1836" s="115"/>
      <c r="I1836" s="118"/>
      <c r="J1836" s="119"/>
      <c r="K1836" s="120"/>
      <c r="L1836" s="261"/>
      <c r="M1836" s="262"/>
      <c r="N1836" s="263"/>
      <c r="O1836" s="264"/>
      <c r="P1836" s="262"/>
      <c r="Q1836" s="262"/>
      <c r="R1836" s="262"/>
    </row>
    <row r="1837" spans="3:18" ht="15.75">
      <c r="C1837" s="117"/>
      <c r="D1837" s="160"/>
      <c r="E1837" s="117"/>
      <c r="F1837" s="115"/>
      <c r="G1837" s="117"/>
      <c r="H1837" s="115"/>
      <c r="I1837" s="118"/>
      <c r="J1837" s="119"/>
      <c r="K1837" s="120"/>
      <c r="L1837" s="261"/>
      <c r="M1837" s="262"/>
      <c r="N1837" s="263"/>
      <c r="O1837" s="264"/>
      <c r="P1837" s="262"/>
      <c r="Q1837" s="262"/>
      <c r="R1837" s="262"/>
    </row>
    <row r="1838" spans="3:18" ht="15.75">
      <c r="C1838" s="117"/>
      <c r="D1838" s="160"/>
      <c r="E1838" s="117"/>
      <c r="F1838" s="115"/>
      <c r="G1838" s="117"/>
      <c r="H1838" s="115"/>
      <c r="I1838" s="118"/>
      <c r="J1838" s="119"/>
      <c r="K1838" s="120"/>
      <c r="L1838" s="261"/>
      <c r="M1838" s="262"/>
      <c r="N1838" s="263"/>
      <c r="O1838" s="264"/>
      <c r="P1838" s="262"/>
      <c r="Q1838" s="262"/>
      <c r="R1838" s="262"/>
    </row>
    <row r="1839" spans="3:18" ht="15.75">
      <c r="C1839" s="117"/>
      <c r="D1839" s="160"/>
      <c r="E1839" s="117"/>
      <c r="F1839" s="115"/>
      <c r="G1839" s="117"/>
      <c r="H1839" s="115"/>
      <c r="I1839" s="118"/>
      <c r="J1839" s="119"/>
      <c r="K1839" s="120"/>
      <c r="L1839" s="261"/>
      <c r="M1839" s="262"/>
      <c r="N1839" s="263"/>
      <c r="O1839" s="264"/>
      <c r="P1839" s="262"/>
      <c r="Q1839" s="262"/>
      <c r="R1839" s="262"/>
    </row>
    <row r="1840" spans="3:18" ht="15.75">
      <c r="C1840" s="117"/>
      <c r="D1840" s="160"/>
      <c r="E1840" s="117"/>
      <c r="F1840" s="115"/>
      <c r="G1840" s="117"/>
      <c r="H1840" s="115"/>
      <c r="I1840" s="118"/>
      <c r="J1840" s="119"/>
      <c r="K1840" s="120"/>
      <c r="L1840" s="261"/>
      <c r="M1840" s="262"/>
      <c r="N1840" s="263"/>
      <c r="O1840" s="264"/>
      <c r="P1840" s="262"/>
      <c r="Q1840" s="262"/>
      <c r="R1840" s="262"/>
    </row>
    <row r="1841" spans="3:18" ht="15.75">
      <c r="C1841" s="117"/>
      <c r="D1841" s="160"/>
      <c r="E1841" s="117"/>
      <c r="F1841" s="115"/>
      <c r="G1841" s="117"/>
      <c r="H1841" s="115"/>
      <c r="I1841" s="118"/>
      <c r="J1841" s="119"/>
      <c r="K1841" s="120"/>
      <c r="L1841" s="261"/>
      <c r="M1841" s="262"/>
      <c r="N1841" s="263"/>
      <c r="O1841" s="264"/>
      <c r="P1841" s="262"/>
      <c r="Q1841" s="262"/>
      <c r="R1841" s="262"/>
    </row>
    <row r="1842" spans="3:18" ht="15.75">
      <c r="C1842" s="117"/>
      <c r="D1842" s="160"/>
      <c r="E1842" s="117"/>
      <c r="F1842" s="115"/>
      <c r="G1842" s="117"/>
      <c r="H1842" s="115"/>
      <c r="I1842" s="118"/>
      <c r="J1842" s="119"/>
      <c r="K1842" s="120"/>
      <c r="L1842" s="261"/>
      <c r="M1842" s="262"/>
      <c r="N1842" s="263"/>
      <c r="O1842" s="264"/>
      <c r="P1842" s="262"/>
      <c r="Q1842" s="262"/>
      <c r="R1842" s="262"/>
    </row>
    <row r="1843" spans="3:18" ht="15.75">
      <c r="C1843" s="117"/>
      <c r="D1843" s="160"/>
      <c r="E1843" s="117"/>
      <c r="F1843" s="115"/>
      <c r="G1843" s="117"/>
      <c r="H1843" s="115"/>
      <c r="I1843" s="118"/>
      <c r="J1843" s="119"/>
      <c r="K1843" s="120"/>
      <c r="L1843" s="261"/>
      <c r="M1843" s="262"/>
      <c r="N1843" s="263"/>
      <c r="O1843" s="264"/>
      <c r="P1843" s="262"/>
      <c r="Q1843" s="262"/>
      <c r="R1843" s="262"/>
    </row>
    <row r="1844" spans="3:18" ht="15.75">
      <c r="C1844" s="117"/>
      <c r="D1844" s="160"/>
      <c r="E1844" s="117"/>
      <c r="F1844" s="115"/>
      <c r="G1844" s="117"/>
      <c r="H1844" s="115"/>
      <c r="I1844" s="118"/>
      <c r="J1844" s="119"/>
      <c r="K1844" s="120"/>
      <c r="L1844" s="261"/>
      <c r="M1844" s="262"/>
      <c r="N1844" s="263"/>
      <c r="O1844" s="264"/>
      <c r="P1844" s="262"/>
      <c r="Q1844" s="262"/>
      <c r="R1844" s="262"/>
    </row>
    <row r="1845" spans="3:18" ht="15.75">
      <c r="C1845" s="117"/>
      <c r="D1845" s="160"/>
      <c r="E1845" s="117"/>
      <c r="F1845" s="115"/>
      <c r="G1845" s="117"/>
      <c r="H1845" s="115"/>
      <c r="I1845" s="118"/>
      <c r="J1845" s="119"/>
      <c r="K1845" s="120"/>
      <c r="L1845" s="261"/>
      <c r="M1845" s="262"/>
      <c r="N1845" s="263"/>
      <c r="O1845" s="264"/>
      <c r="P1845" s="262"/>
      <c r="Q1845" s="262"/>
      <c r="R1845" s="262"/>
    </row>
    <row r="1846" spans="3:18" ht="15.75">
      <c r="C1846" s="117"/>
      <c r="D1846" s="160"/>
      <c r="E1846" s="117"/>
      <c r="F1846" s="115"/>
      <c r="G1846" s="117"/>
      <c r="H1846" s="115"/>
      <c r="I1846" s="118"/>
      <c r="J1846" s="119"/>
      <c r="K1846" s="120"/>
      <c r="L1846" s="261"/>
      <c r="M1846" s="262"/>
      <c r="N1846" s="263"/>
      <c r="O1846" s="264"/>
      <c r="P1846" s="262"/>
      <c r="Q1846" s="262"/>
      <c r="R1846" s="262"/>
    </row>
    <row r="1847" spans="3:18" ht="15.75">
      <c r="C1847" s="117"/>
      <c r="D1847" s="160"/>
      <c r="E1847" s="117"/>
      <c r="F1847" s="115"/>
      <c r="G1847" s="117"/>
      <c r="H1847" s="115"/>
      <c r="I1847" s="118"/>
      <c r="J1847" s="119"/>
      <c r="K1847" s="120"/>
      <c r="L1847" s="261"/>
      <c r="M1847" s="262"/>
      <c r="N1847" s="263"/>
      <c r="O1847" s="264"/>
      <c r="P1847" s="262"/>
      <c r="Q1847" s="262"/>
      <c r="R1847" s="262"/>
    </row>
    <row r="1848" spans="3:18" ht="15.75">
      <c r="C1848" s="117"/>
      <c r="D1848" s="160"/>
      <c r="E1848" s="117"/>
      <c r="F1848" s="115"/>
      <c r="G1848" s="117"/>
      <c r="H1848" s="115"/>
      <c r="I1848" s="118"/>
      <c r="J1848" s="119"/>
      <c r="K1848" s="120"/>
      <c r="L1848" s="261"/>
      <c r="M1848" s="262"/>
      <c r="N1848" s="263"/>
      <c r="O1848" s="264"/>
      <c r="P1848" s="262"/>
      <c r="Q1848" s="262"/>
      <c r="R1848" s="262"/>
    </row>
    <row r="1849" spans="3:18" ht="15.75">
      <c r="C1849" s="117"/>
      <c r="D1849" s="160"/>
      <c r="E1849" s="117"/>
      <c r="F1849" s="115"/>
      <c r="G1849" s="117"/>
      <c r="H1849" s="115"/>
      <c r="I1849" s="118"/>
      <c r="J1849" s="119"/>
      <c r="K1849" s="120"/>
      <c r="L1849" s="261"/>
      <c r="M1849" s="262"/>
      <c r="N1849" s="263"/>
      <c r="O1849" s="264"/>
      <c r="P1849" s="262"/>
      <c r="Q1849" s="262"/>
      <c r="R1849" s="262"/>
    </row>
    <row r="1850" spans="3:18" ht="15.75">
      <c r="C1850" s="117"/>
      <c r="D1850" s="160"/>
      <c r="E1850" s="117"/>
      <c r="F1850" s="115"/>
      <c r="G1850" s="117"/>
      <c r="H1850" s="115"/>
      <c r="I1850" s="118"/>
      <c r="J1850" s="119"/>
      <c r="K1850" s="120"/>
      <c r="L1850" s="261"/>
      <c r="M1850" s="262"/>
      <c r="N1850" s="263"/>
      <c r="O1850" s="264"/>
      <c r="P1850" s="262"/>
      <c r="Q1850" s="262"/>
      <c r="R1850" s="262"/>
    </row>
    <row r="1851" spans="3:18" ht="15.75">
      <c r="C1851" s="117"/>
      <c r="D1851" s="160"/>
      <c r="E1851" s="117"/>
      <c r="F1851" s="115"/>
      <c r="G1851" s="117"/>
      <c r="H1851" s="115"/>
      <c r="I1851" s="118"/>
      <c r="J1851" s="119"/>
      <c r="K1851" s="120"/>
      <c r="L1851" s="261"/>
      <c r="M1851" s="262"/>
      <c r="N1851" s="263"/>
      <c r="O1851" s="264"/>
      <c r="P1851" s="262"/>
      <c r="Q1851" s="262"/>
      <c r="R1851" s="262"/>
    </row>
    <row r="1852" spans="3:18" ht="15.75">
      <c r="C1852" s="117"/>
      <c r="D1852" s="160"/>
      <c r="E1852" s="117"/>
      <c r="F1852" s="115"/>
      <c r="G1852" s="117"/>
      <c r="H1852" s="115"/>
      <c r="I1852" s="118"/>
      <c r="J1852" s="119"/>
      <c r="K1852" s="120"/>
      <c r="L1852" s="261"/>
      <c r="M1852" s="262"/>
      <c r="N1852" s="263"/>
      <c r="O1852" s="264"/>
      <c r="P1852" s="262"/>
      <c r="Q1852" s="262"/>
      <c r="R1852" s="262"/>
    </row>
    <row r="1853" spans="3:18" ht="15.75">
      <c r="C1853" s="117"/>
      <c r="D1853" s="160"/>
      <c r="E1853" s="117"/>
      <c r="F1853" s="115"/>
      <c r="G1853" s="117"/>
      <c r="H1853" s="115"/>
      <c r="I1853" s="118"/>
      <c r="J1853" s="119"/>
      <c r="K1853" s="120"/>
      <c r="L1853" s="261"/>
      <c r="M1853" s="262"/>
      <c r="N1853" s="263"/>
      <c r="O1853" s="264"/>
      <c r="P1853" s="262"/>
      <c r="Q1853" s="262"/>
      <c r="R1853" s="262"/>
    </row>
    <row r="1854" spans="3:18" ht="15.75">
      <c r="C1854" s="117"/>
      <c r="D1854" s="160"/>
      <c r="E1854" s="117"/>
      <c r="F1854" s="115"/>
      <c r="G1854" s="117"/>
      <c r="H1854" s="115"/>
      <c r="I1854" s="118"/>
      <c r="J1854" s="119"/>
      <c r="K1854" s="120"/>
      <c r="L1854" s="261"/>
      <c r="M1854" s="262"/>
      <c r="N1854" s="263"/>
      <c r="O1854" s="264"/>
      <c r="P1854" s="262"/>
      <c r="Q1854" s="262"/>
      <c r="R1854" s="262"/>
    </row>
    <row r="1855" spans="3:18" ht="15.75">
      <c r="C1855" s="117"/>
      <c r="D1855" s="160"/>
      <c r="E1855" s="117"/>
      <c r="F1855" s="115"/>
      <c r="G1855" s="117"/>
      <c r="H1855" s="115"/>
      <c r="I1855" s="118"/>
      <c r="J1855" s="119"/>
      <c r="K1855" s="120"/>
      <c r="L1855" s="261"/>
      <c r="M1855" s="262"/>
      <c r="N1855" s="263"/>
      <c r="O1855" s="264"/>
      <c r="P1855" s="262"/>
      <c r="Q1855" s="262"/>
      <c r="R1855" s="262"/>
    </row>
    <row r="1856" spans="3:18" ht="15.75">
      <c r="C1856" s="117"/>
      <c r="D1856" s="160"/>
      <c r="E1856" s="117"/>
      <c r="F1856" s="115"/>
      <c r="G1856" s="117"/>
      <c r="H1856" s="115"/>
      <c r="I1856" s="118"/>
      <c r="J1856" s="119"/>
      <c r="K1856" s="120"/>
      <c r="L1856" s="261"/>
      <c r="M1856" s="262"/>
      <c r="N1856" s="263"/>
      <c r="O1856" s="264"/>
      <c r="P1856" s="262"/>
      <c r="Q1856" s="262"/>
      <c r="R1856" s="262"/>
    </row>
    <row r="1857" spans="3:18" ht="15.75">
      <c r="C1857" s="117"/>
      <c r="D1857" s="160"/>
      <c r="E1857" s="117"/>
      <c r="F1857" s="115"/>
      <c r="G1857" s="117"/>
      <c r="H1857" s="115"/>
      <c r="I1857" s="118"/>
      <c r="J1857" s="119"/>
      <c r="K1857" s="120"/>
      <c r="L1857" s="261"/>
      <c r="M1857" s="262"/>
      <c r="N1857" s="263"/>
      <c r="O1857" s="264"/>
      <c r="P1857" s="262"/>
      <c r="Q1857" s="262"/>
      <c r="R1857" s="262"/>
    </row>
    <row r="1858" spans="3:18" ht="15.75">
      <c r="C1858" s="117"/>
      <c r="D1858" s="160"/>
      <c r="E1858" s="117"/>
      <c r="F1858" s="115"/>
      <c r="G1858" s="117"/>
      <c r="H1858" s="115"/>
      <c r="I1858" s="118"/>
      <c r="J1858" s="119"/>
      <c r="K1858" s="120"/>
      <c r="L1858" s="261"/>
      <c r="M1858" s="262"/>
      <c r="N1858" s="263"/>
      <c r="O1858" s="264"/>
      <c r="P1858" s="262"/>
      <c r="Q1858" s="262"/>
      <c r="R1858" s="262"/>
    </row>
    <row r="1859" spans="3:18" ht="15.75">
      <c r="C1859" s="117"/>
      <c r="D1859" s="160"/>
      <c r="E1859" s="117"/>
      <c r="F1859" s="115"/>
      <c r="G1859" s="117"/>
      <c r="H1859" s="115"/>
      <c r="I1859" s="118"/>
      <c r="J1859" s="119"/>
      <c r="K1859" s="120"/>
      <c r="L1859" s="261"/>
      <c r="M1859" s="262"/>
      <c r="N1859" s="263"/>
      <c r="O1859" s="264"/>
      <c r="P1859" s="262"/>
      <c r="Q1859" s="262"/>
      <c r="R1859" s="262"/>
    </row>
    <row r="1860" spans="3:18" ht="15.75">
      <c r="C1860" s="117"/>
      <c r="D1860" s="160"/>
      <c r="E1860" s="117"/>
      <c r="F1860" s="115"/>
      <c r="G1860" s="117"/>
      <c r="H1860" s="115"/>
      <c r="I1860" s="118"/>
      <c r="J1860" s="119"/>
      <c r="K1860" s="120"/>
      <c r="L1860" s="261"/>
      <c r="M1860" s="262"/>
      <c r="N1860" s="263"/>
      <c r="O1860" s="264"/>
      <c r="P1860" s="262"/>
      <c r="Q1860" s="262"/>
      <c r="R1860" s="262"/>
    </row>
    <row r="1861" spans="3:18" ht="15.75">
      <c r="C1861" s="117"/>
      <c r="D1861" s="160"/>
      <c r="E1861" s="117"/>
      <c r="F1861" s="115"/>
      <c r="G1861" s="117"/>
      <c r="H1861" s="115"/>
      <c r="I1861" s="118"/>
      <c r="J1861" s="119"/>
      <c r="K1861" s="120"/>
      <c r="L1861" s="261"/>
      <c r="M1861" s="262"/>
      <c r="N1861" s="263"/>
      <c r="O1861" s="264"/>
      <c r="P1861" s="262"/>
      <c r="Q1861" s="262"/>
      <c r="R1861" s="262"/>
    </row>
    <row r="1862" spans="3:18" ht="15.75">
      <c r="C1862" s="117"/>
      <c r="D1862" s="160"/>
      <c r="E1862" s="117"/>
      <c r="F1862" s="115"/>
      <c r="G1862" s="117"/>
      <c r="H1862" s="115"/>
      <c r="I1862" s="118"/>
      <c r="J1862" s="119"/>
      <c r="K1862" s="120"/>
      <c r="L1862" s="261"/>
      <c r="M1862" s="262"/>
      <c r="N1862" s="263"/>
      <c r="O1862" s="264"/>
      <c r="P1862" s="262"/>
      <c r="Q1862" s="262"/>
      <c r="R1862" s="262"/>
    </row>
    <row r="1863" spans="3:18" ht="15.75">
      <c r="C1863" s="117"/>
      <c r="D1863" s="160"/>
      <c r="E1863" s="117"/>
      <c r="F1863" s="115"/>
      <c r="G1863" s="117"/>
      <c r="H1863" s="115"/>
      <c r="I1863" s="118"/>
      <c r="J1863" s="119"/>
      <c r="K1863" s="120"/>
      <c r="L1863" s="261"/>
      <c r="M1863" s="262"/>
      <c r="N1863" s="263"/>
      <c r="O1863" s="264"/>
      <c r="P1863" s="262"/>
      <c r="Q1863" s="262"/>
      <c r="R1863" s="262"/>
    </row>
    <row r="1864" spans="3:18" ht="15.75">
      <c r="C1864" s="117"/>
      <c r="D1864" s="160"/>
      <c r="E1864" s="117"/>
      <c r="F1864" s="115"/>
      <c r="G1864" s="117"/>
      <c r="H1864" s="115"/>
      <c r="I1864" s="118"/>
      <c r="J1864" s="119"/>
      <c r="K1864" s="120"/>
      <c r="L1864" s="261"/>
      <c r="M1864" s="262"/>
      <c r="N1864" s="263"/>
      <c r="O1864" s="264"/>
      <c r="P1864" s="262"/>
      <c r="Q1864" s="262"/>
      <c r="R1864" s="262"/>
    </row>
    <row r="1865" spans="3:18" ht="15.75">
      <c r="C1865" s="117"/>
      <c r="D1865" s="160"/>
      <c r="E1865" s="117"/>
      <c r="F1865" s="115"/>
      <c r="G1865" s="117"/>
      <c r="H1865" s="115"/>
      <c r="I1865" s="118"/>
      <c r="J1865" s="119"/>
      <c r="K1865" s="120"/>
      <c r="L1865" s="261"/>
      <c r="M1865" s="262"/>
      <c r="N1865" s="263"/>
      <c r="O1865" s="264"/>
      <c r="P1865" s="262"/>
      <c r="Q1865" s="262"/>
      <c r="R1865" s="262"/>
    </row>
    <row r="1866" spans="3:18" ht="15.75">
      <c r="C1866" s="117"/>
      <c r="D1866" s="160"/>
      <c r="E1866" s="117"/>
      <c r="F1866" s="115"/>
      <c r="G1866" s="117"/>
      <c r="H1866" s="115"/>
      <c r="I1866" s="118"/>
      <c r="J1866" s="119"/>
      <c r="K1866" s="120"/>
      <c r="L1866" s="261"/>
      <c r="M1866" s="262"/>
      <c r="N1866" s="263"/>
      <c r="O1866" s="264"/>
      <c r="P1866" s="262"/>
      <c r="Q1866" s="262"/>
      <c r="R1866" s="262"/>
    </row>
    <row r="1867" spans="3:18" ht="15.75">
      <c r="C1867" s="117"/>
      <c r="D1867" s="160"/>
      <c r="E1867" s="117"/>
      <c r="F1867" s="115"/>
      <c r="G1867" s="117"/>
      <c r="H1867" s="115"/>
      <c r="I1867" s="118"/>
      <c r="J1867" s="119"/>
      <c r="K1867" s="120"/>
      <c r="L1867" s="261"/>
      <c r="M1867" s="262"/>
      <c r="N1867" s="263"/>
      <c r="O1867" s="264"/>
      <c r="P1867" s="262"/>
      <c r="Q1867" s="262"/>
      <c r="R1867" s="262"/>
    </row>
    <row r="1868" spans="3:18" ht="15.75">
      <c r="C1868" s="117"/>
      <c r="D1868" s="160"/>
      <c r="E1868" s="117"/>
      <c r="F1868" s="115"/>
      <c r="G1868" s="117"/>
      <c r="H1868" s="115"/>
      <c r="I1868" s="118"/>
      <c r="J1868" s="119"/>
      <c r="K1868" s="120"/>
      <c r="L1868" s="261"/>
      <c r="M1868" s="262"/>
      <c r="N1868" s="263"/>
      <c r="O1868" s="264"/>
      <c r="P1868" s="262"/>
      <c r="Q1868" s="262"/>
      <c r="R1868" s="262"/>
    </row>
    <row r="1869" spans="3:18" ht="15.75">
      <c r="C1869" s="117"/>
      <c r="D1869" s="160"/>
      <c r="E1869" s="117"/>
      <c r="F1869" s="115"/>
      <c r="G1869" s="117"/>
      <c r="H1869" s="115"/>
      <c r="I1869" s="118"/>
      <c r="J1869" s="119"/>
      <c r="K1869" s="120"/>
      <c r="L1869" s="261"/>
      <c r="M1869" s="262"/>
      <c r="N1869" s="263"/>
      <c r="O1869" s="264"/>
      <c r="P1869" s="262"/>
      <c r="Q1869" s="262"/>
      <c r="R1869" s="262"/>
    </row>
    <row r="1870" spans="3:18" ht="15.75">
      <c r="C1870" s="117"/>
      <c r="D1870" s="160"/>
      <c r="E1870" s="117"/>
      <c r="F1870" s="115"/>
      <c r="G1870" s="117"/>
      <c r="H1870" s="115"/>
      <c r="I1870" s="118"/>
      <c r="J1870" s="119"/>
      <c r="K1870" s="120"/>
      <c r="L1870" s="261"/>
      <c r="M1870" s="262"/>
      <c r="N1870" s="263"/>
      <c r="O1870" s="264"/>
      <c r="P1870" s="262"/>
      <c r="Q1870" s="262"/>
      <c r="R1870" s="262"/>
    </row>
    <row r="1871" spans="3:18" ht="15.75">
      <c r="C1871" s="117"/>
      <c r="D1871" s="160"/>
      <c r="E1871" s="117"/>
      <c r="F1871" s="115"/>
      <c r="G1871" s="117"/>
      <c r="H1871" s="115"/>
      <c r="I1871" s="118"/>
      <c r="J1871" s="119"/>
      <c r="K1871" s="120"/>
      <c r="L1871" s="261"/>
      <c r="M1871" s="262"/>
      <c r="N1871" s="263"/>
      <c r="O1871" s="264"/>
      <c r="P1871" s="262"/>
      <c r="Q1871" s="262"/>
      <c r="R1871" s="262"/>
    </row>
    <row r="1872" spans="3:18" ht="15.75">
      <c r="C1872" s="117"/>
      <c r="D1872" s="160"/>
      <c r="E1872" s="117"/>
      <c r="F1872" s="115"/>
      <c r="G1872" s="117"/>
      <c r="H1872" s="115"/>
      <c r="I1872" s="118"/>
      <c r="J1872" s="119"/>
      <c r="K1872" s="120"/>
      <c r="L1872" s="261"/>
      <c r="M1872" s="262"/>
      <c r="N1872" s="263"/>
      <c r="O1872" s="264"/>
      <c r="P1872" s="262"/>
      <c r="Q1872" s="262"/>
      <c r="R1872" s="262"/>
    </row>
    <row r="1873" spans="3:18" ht="15.75">
      <c r="C1873" s="117"/>
      <c r="D1873" s="160"/>
      <c r="E1873" s="117"/>
      <c r="F1873" s="115"/>
      <c r="G1873" s="117"/>
      <c r="H1873" s="115"/>
      <c r="I1873" s="118"/>
      <c r="J1873" s="119"/>
      <c r="K1873" s="120"/>
      <c r="L1873" s="261"/>
      <c r="M1873" s="262"/>
      <c r="N1873" s="263"/>
      <c r="O1873" s="264"/>
      <c r="P1873" s="262"/>
      <c r="Q1873" s="262"/>
      <c r="R1873" s="262"/>
    </row>
    <row r="1874" spans="3:18" ht="15.75">
      <c r="C1874" s="117"/>
      <c r="D1874" s="160"/>
      <c r="E1874" s="117"/>
      <c r="F1874" s="115"/>
      <c r="G1874" s="117"/>
      <c r="H1874" s="115"/>
      <c r="I1874" s="118"/>
      <c r="J1874" s="119"/>
      <c r="K1874" s="120"/>
      <c r="L1874" s="261"/>
      <c r="M1874" s="262"/>
      <c r="N1874" s="263"/>
      <c r="O1874" s="264"/>
      <c r="P1874" s="262"/>
      <c r="Q1874" s="262"/>
      <c r="R1874" s="262"/>
    </row>
    <row r="1875" spans="3:18" ht="15.75">
      <c r="C1875" s="117"/>
      <c r="D1875" s="160"/>
      <c r="E1875" s="117"/>
      <c r="F1875" s="115"/>
      <c r="G1875" s="117"/>
      <c r="H1875" s="115"/>
      <c r="I1875" s="118"/>
      <c r="J1875" s="119"/>
      <c r="K1875" s="120"/>
      <c r="L1875" s="261"/>
      <c r="M1875" s="262"/>
      <c r="N1875" s="263"/>
      <c r="O1875" s="264"/>
      <c r="P1875" s="262"/>
      <c r="Q1875" s="262"/>
      <c r="R1875" s="262"/>
    </row>
    <row r="1876" spans="3:18" ht="15.75">
      <c r="C1876" s="117"/>
      <c r="D1876" s="160"/>
      <c r="E1876" s="117"/>
      <c r="F1876" s="115"/>
      <c r="G1876" s="117"/>
      <c r="H1876" s="115"/>
      <c r="I1876" s="118"/>
      <c r="J1876" s="119"/>
      <c r="K1876" s="120"/>
      <c r="L1876" s="261"/>
      <c r="M1876" s="262"/>
      <c r="N1876" s="263"/>
      <c r="O1876" s="264"/>
      <c r="P1876" s="262"/>
      <c r="Q1876" s="262"/>
      <c r="R1876" s="262"/>
    </row>
    <row r="1877" spans="3:18" ht="15.75">
      <c r="C1877" s="117"/>
      <c r="D1877" s="160"/>
      <c r="E1877" s="117"/>
      <c r="F1877" s="115"/>
      <c r="G1877" s="117"/>
      <c r="H1877" s="115"/>
      <c r="I1877" s="118"/>
      <c r="J1877" s="119"/>
      <c r="K1877" s="120"/>
      <c r="L1877" s="261"/>
      <c r="M1877" s="262"/>
      <c r="N1877" s="263"/>
      <c r="O1877" s="264"/>
      <c r="P1877" s="262"/>
      <c r="Q1877" s="262"/>
      <c r="R1877" s="262"/>
    </row>
    <row r="1878" spans="3:18" ht="15.75">
      <c r="C1878" s="117"/>
      <c r="D1878" s="160"/>
      <c r="E1878" s="117"/>
      <c r="F1878" s="115"/>
      <c r="G1878" s="117"/>
      <c r="H1878" s="115"/>
      <c r="I1878" s="118"/>
      <c r="J1878" s="119"/>
      <c r="K1878" s="120"/>
      <c r="L1878" s="261"/>
      <c r="M1878" s="262"/>
      <c r="N1878" s="263"/>
      <c r="O1878" s="264"/>
      <c r="P1878" s="262"/>
      <c r="Q1878" s="262"/>
      <c r="R1878" s="262"/>
    </row>
    <row r="1879" spans="3:18" ht="15.75">
      <c r="C1879" s="117"/>
      <c r="D1879" s="160"/>
      <c r="E1879" s="117"/>
      <c r="F1879" s="115"/>
      <c r="G1879" s="117"/>
      <c r="H1879" s="115"/>
      <c r="I1879" s="118"/>
      <c r="J1879" s="119"/>
      <c r="K1879" s="120"/>
      <c r="L1879" s="261"/>
      <c r="M1879" s="262"/>
      <c r="N1879" s="263"/>
      <c r="O1879" s="264"/>
      <c r="P1879" s="262"/>
      <c r="Q1879" s="262"/>
      <c r="R1879" s="262"/>
    </row>
    <row r="1880" spans="3:18" ht="15.75">
      <c r="C1880" s="117"/>
      <c r="D1880" s="160"/>
      <c r="E1880" s="117"/>
      <c r="F1880" s="115"/>
      <c r="G1880" s="117"/>
      <c r="H1880" s="115"/>
      <c r="I1880" s="118"/>
      <c r="J1880" s="119"/>
      <c r="K1880" s="120"/>
      <c r="L1880" s="261"/>
      <c r="M1880" s="262"/>
      <c r="N1880" s="263"/>
      <c r="O1880" s="264"/>
      <c r="P1880" s="262"/>
      <c r="Q1880" s="262"/>
      <c r="R1880" s="262"/>
    </row>
    <row r="1881" spans="3:18" ht="15.75">
      <c r="C1881" s="117"/>
      <c r="D1881" s="160"/>
      <c r="E1881" s="117"/>
      <c r="F1881" s="115"/>
      <c r="G1881" s="117"/>
      <c r="H1881" s="115"/>
      <c r="I1881" s="118"/>
      <c r="J1881" s="119"/>
      <c r="K1881" s="120"/>
      <c r="L1881" s="261"/>
      <c r="M1881" s="262"/>
      <c r="N1881" s="263"/>
      <c r="O1881" s="264"/>
      <c r="P1881" s="262"/>
      <c r="Q1881" s="262"/>
      <c r="R1881" s="262"/>
    </row>
    <row r="1882" spans="3:18" ht="15.75">
      <c r="C1882" s="117"/>
      <c r="D1882" s="160"/>
      <c r="E1882" s="117"/>
      <c r="F1882" s="115"/>
      <c r="G1882" s="117"/>
      <c r="H1882" s="115"/>
      <c r="I1882" s="118"/>
      <c r="J1882" s="119"/>
      <c r="K1882" s="120"/>
      <c r="L1882" s="261"/>
      <c r="M1882" s="262"/>
      <c r="N1882" s="263"/>
      <c r="O1882" s="264"/>
      <c r="P1882" s="262"/>
      <c r="Q1882" s="262"/>
      <c r="R1882" s="262"/>
    </row>
    <row r="1883" spans="3:18" ht="15.75">
      <c r="C1883" s="117"/>
      <c r="D1883" s="160"/>
      <c r="E1883" s="117"/>
      <c r="F1883" s="115"/>
      <c r="G1883" s="117"/>
      <c r="H1883" s="115"/>
      <c r="I1883" s="118"/>
      <c r="J1883" s="119"/>
      <c r="K1883" s="120"/>
      <c r="L1883" s="261"/>
      <c r="M1883" s="262"/>
      <c r="N1883" s="263"/>
      <c r="O1883" s="264"/>
      <c r="P1883" s="262"/>
      <c r="Q1883" s="262"/>
      <c r="R1883" s="262"/>
    </row>
    <row r="1884" spans="3:18" ht="15.75">
      <c r="C1884" s="117"/>
      <c r="D1884" s="160"/>
      <c r="E1884" s="117"/>
      <c r="F1884" s="115"/>
      <c r="G1884" s="117"/>
      <c r="H1884" s="115"/>
      <c r="I1884" s="118"/>
      <c r="J1884" s="119"/>
      <c r="K1884" s="120"/>
      <c r="L1884" s="261"/>
      <c r="M1884" s="262"/>
      <c r="N1884" s="263"/>
      <c r="O1884" s="264"/>
      <c r="P1884" s="262"/>
      <c r="Q1884" s="262"/>
      <c r="R1884" s="262"/>
    </row>
    <row r="1885" spans="3:18" ht="15.75">
      <c r="C1885" s="117"/>
      <c r="D1885" s="160"/>
      <c r="E1885" s="117"/>
      <c r="F1885" s="115"/>
      <c r="G1885" s="117"/>
      <c r="H1885" s="115"/>
      <c r="I1885" s="118"/>
      <c r="J1885" s="119"/>
      <c r="K1885" s="120"/>
      <c r="L1885" s="261"/>
      <c r="M1885" s="262"/>
      <c r="N1885" s="263"/>
      <c r="O1885" s="264"/>
      <c r="P1885" s="262"/>
      <c r="Q1885" s="262"/>
      <c r="R1885" s="262"/>
    </row>
    <row r="1886" spans="3:18" ht="15.75">
      <c r="C1886" s="117"/>
      <c r="D1886" s="160"/>
      <c r="E1886" s="117"/>
      <c r="F1886" s="115"/>
      <c r="G1886" s="117"/>
      <c r="H1886" s="115"/>
      <c r="I1886" s="118"/>
      <c r="J1886" s="119"/>
      <c r="K1886" s="120"/>
      <c r="L1886" s="261"/>
      <c r="M1886" s="262"/>
      <c r="N1886" s="263"/>
      <c r="O1886" s="264"/>
      <c r="P1886" s="262"/>
      <c r="Q1886" s="262"/>
      <c r="R1886" s="262"/>
    </row>
    <row r="1887" spans="3:18" ht="15.75">
      <c r="C1887" s="117"/>
      <c r="D1887" s="160"/>
      <c r="E1887" s="117"/>
      <c r="F1887" s="115"/>
      <c r="G1887" s="117"/>
      <c r="H1887" s="115"/>
      <c r="I1887" s="118"/>
      <c r="J1887" s="119"/>
      <c r="K1887" s="120"/>
      <c r="L1887" s="261"/>
      <c r="M1887" s="262"/>
      <c r="N1887" s="263"/>
      <c r="O1887" s="264"/>
      <c r="P1887" s="262"/>
      <c r="Q1887" s="262"/>
      <c r="R1887" s="262"/>
    </row>
    <row r="1888" spans="3:18" ht="15.75">
      <c r="C1888" s="117"/>
      <c r="D1888" s="160"/>
      <c r="E1888" s="117"/>
      <c r="F1888" s="115"/>
      <c r="G1888" s="117"/>
      <c r="H1888" s="115"/>
      <c r="I1888" s="118"/>
      <c r="J1888" s="119"/>
      <c r="K1888" s="120"/>
      <c r="L1888" s="261"/>
      <c r="M1888" s="262"/>
      <c r="N1888" s="263"/>
      <c r="O1888" s="264"/>
      <c r="P1888" s="262"/>
      <c r="Q1888" s="262"/>
      <c r="R1888" s="262"/>
    </row>
    <row r="1889" spans="3:18" ht="15.75">
      <c r="C1889" s="117"/>
      <c r="D1889" s="160"/>
      <c r="E1889" s="117"/>
      <c r="F1889" s="115"/>
      <c r="G1889" s="117"/>
      <c r="H1889" s="115"/>
      <c r="I1889" s="118"/>
      <c r="J1889" s="119"/>
      <c r="K1889" s="120"/>
      <c r="L1889" s="261"/>
      <c r="M1889" s="262"/>
      <c r="N1889" s="263"/>
      <c r="O1889" s="264"/>
      <c r="P1889" s="262"/>
      <c r="Q1889" s="262"/>
      <c r="R1889" s="262"/>
    </row>
    <row r="1890" spans="3:18" ht="15.75">
      <c r="C1890" s="117"/>
      <c r="D1890" s="160"/>
      <c r="E1890" s="117"/>
      <c r="F1890" s="115"/>
      <c r="G1890" s="117"/>
      <c r="H1890" s="115"/>
      <c r="I1890" s="118"/>
      <c r="J1890" s="119"/>
      <c r="K1890" s="120"/>
      <c r="L1890" s="261"/>
      <c r="M1890" s="262"/>
      <c r="N1890" s="263"/>
      <c r="O1890" s="264"/>
      <c r="P1890" s="262"/>
      <c r="Q1890" s="262"/>
      <c r="R1890" s="262"/>
    </row>
    <row r="1891" spans="3:18" ht="15.75">
      <c r="C1891" s="117"/>
      <c r="D1891" s="160"/>
      <c r="E1891" s="117"/>
      <c r="F1891" s="115"/>
      <c r="G1891" s="117"/>
      <c r="H1891" s="115"/>
      <c r="I1891" s="118"/>
      <c r="J1891" s="119"/>
      <c r="K1891" s="120"/>
      <c r="L1891" s="261"/>
      <c r="M1891" s="262"/>
      <c r="N1891" s="263"/>
      <c r="O1891" s="264"/>
      <c r="P1891" s="262"/>
      <c r="Q1891" s="262"/>
      <c r="R1891" s="262"/>
    </row>
    <row r="1892" spans="3:18" ht="15.75">
      <c r="C1892" s="117"/>
      <c r="D1892" s="160"/>
      <c r="E1892" s="117"/>
      <c r="F1892" s="115"/>
      <c r="G1892" s="117"/>
      <c r="H1892" s="115"/>
      <c r="I1892" s="118"/>
      <c r="J1892" s="119"/>
      <c r="K1892" s="120"/>
      <c r="L1892" s="261"/>
      <c r="M1892" s="262"/>
      <c r="N1892" s="263"/>
      <c r="O1892" s="264"/>
      <c r="P1892" s="262"/>
      <c r="Q1892" s="262"/>
      <c r="R1892" s="262"/>
    </row>
    <row r="1893" spans="3:18" ht="15.75">
      <c r="C1893" s="117"/>
      <c r="D1893" s="160"/>
      <c r="E1893" s="117"/>
      <c r="F1893" s="115"/>
      <c r="G1893" s="117"/>
      <c r="H1893" s="115"/>
      <c r="I1893" s="118"/>
      <c r="J1893" s="119"/>
      <c r="K1893" s="120"/>
      <c r="L1893" s="261"/>
      <c r="M1893" s="262"/>
      <c r="N1893" s="263"/>
      <c r="O1893" s="264"/>
      <c r="P1893" s="262"/>
      <c r="Q1893" s="262"/>
      <c r="R1893" s="262"/>
    </row>
    <row r="1894" spans="3:18" ht="15.75">
      <c r="C1894" s="117"/>
      <c r="D1894" s="160"/>
      <c r="E1894" s="117"/>
      <c r="F1894" s="115"/>
      <c r="G1894" s="117"/>
      <c r="H1894" s="115"/>
      <c r="I1894" s="118"/>
      <c r="J1894" s="119"/>
      <c r="K1894" s="120"/>
      <c r="L1894" s="261"/>
      <c r="M1894" s="262"/>
      <c r="N1894" s="263"/>
      <c r="O1894" s="264"/>
      <c r="P1894" s="262"/>
      <c r="Q1894" s="262"/>
      <c r="R1894" s="262"/>
    </row>
    <row r="1895" spans="3:18" ht="15.75">
      <c r="C1895" s="117"/>
      <c r="D1895" s="160"/>
      <c r="E1895" s="117"/>
      <c r="F1895" s="115"/>
      <c r="G1895" s="117"/>
      <c r="H1895" s="115"/>
      <c r="I1895" s="118"/>
      <c r="J1895" s="119"/>
      <c r="K1895" s="120"/>
      <c r="L1895" s="261"/>
      <c r="M1895" s="262"/>
      <c r="N1895" s="263"/>
      <c r="O1895" s="264"/>
      <c r="P1895" s="262"/>
      <c r="Q1895" s="262"/>
      <c r="R1895" s="262"/>
    </row>
    <row r="1896" spans="3:18" ht="15.75">
      <c r="C1896" s="117"/>
      <c r="D1896" s="160"/>
      <c r="E1896" s="117"/>
      <c r="F1896" s="115"/>
      <c r="G1896" s="117"/>
      <c r="H1896" s="115"/>
      <c r="I1896" s="118"/>
      <c r="J1896" s="119"/>
      <c r="K1896" s="120"/>
      <c r="L1896" s="261"/>
      <c r="M1896" s="262"/>
      <c r="N1896" s="263"/>
      <c r="O1896" s="264"/>
      <c r="P1896" s="262"/>
      <c r="Q1896" s="262"/>
      <c r="R1896" s="262"/>
    </row>
    <row r="1897" spans="3:18" ht="15.75">
      <c r="C1897" s="117"/>
      <c r="D1897" s="160"/>
      <c r="E1897" s="117"/>
      <c r="F1897" s="115"/>
      <c r="G1897" s="117"/>
      <c r="H1897" s="115"/>
      <c r="I1897" s="118"/>
      <c r="J1897" s="119"/>
      <c r="K1897" s="120"/>
      <c r="L1897" s="261"/>
      <c r="M1897" s="262"/>
      <c r="N1897" s="263"/>
      <c r="O1897" s="264"/>
      <c r="P1897" s="262"/>
      <c r="Q1897" s="262"/>
      <c r="R1897" s="262"/>
    </row>
    <row r="1898" spans="3:18" ht="15.75">
      <c r="C1898" s="117"/>
      <c r="D1898" s="160"/>
      <c r="E1898" s="117"/>
      <c r="F1898" s="115"/>
      <c r="G1898" s="117"/>
      <c r="H1898" s="115"/>
      <c r="I1898" s="118"/>
      <c r="J1898" s="119"/>
      <c r="K1898" s="120"/>
      <c r="L1898" s="261"/>
      <c r="M1898" s="262"/>
      <c r="N1898" s="263"/>
      <c r="O1898" s="264"/>
      <c r="P1898" s="262"/>
      <c r="Q1898" s="262"/>
      <c r="R1898" s="262"/>
    </row>
    <row r="1899" spans="3:18" ht="15.75">
      <c r="C1899" s="117"/>
      <c r="D1899" s="160"/>
      <c r="E1899" s="117"/>
      <c r="F1899" s="115"/>
      <c r="G1899" s="117"/>
      <c r="H1899" s="115"/>
      <c r="I1899" s="118"/>
      <c r="J1899" s="119"/>
      <c r="K1899" s="120"/>
      <c r="L1899" s="261"/>
      <c r="M1899" s="262"/>
      <c r="N1899" s="263"/>
      <c r="O1899" s="264"/>
      <c r="P1899" s="262"/>
      <c r="Q1899" s="262"/>
      <c r="R1899" s="262"/>
    </row>
    <row r="1900" spans="3:18" ht="15.75">
      <c r="C1900" s="117"/>
      <c r="D1900" s="160"/>
      <c r="E1900" s="117"/>
      <c r="F1900" s="115"/>
      <c r="G1900" s="117"/>
      <c r="H1900" s="115"/>
      <c r="I1900" s="118"/>
      <c r="J1900" s="119"/>
      <c r="K1900" s="120"/>
      <c r="L1900" s="261"/>
      <c r="M1900" s="262"/>
      <c r="N1900" s="263"/>
      <c r="O1900" s="264"/>
      <c r="P1900" s="262"/>
      <c r="Q1900" s="262"/>
      <c r="R1900" s="262"/>
    </row>
    <row r="1901" spans="3:18" ht="15.75">
      <c r="C1901" s="117"/>
      <c r="D1901" s="160"/>
      <c r="E1901" s="117"/>
      <c r="F1901" s="115"/>
      <c r="G1901" s="117"/>
      <c r="H1901" s="115"/>
      <c r="I1901" s="118"/>
      <c r="J1901" s="119"/>
      <c r="K1901" s="120"/>
      <c r="L1901" s="261"/>
      <c r="M1901" s="262"/>
      <c r="N1901" s="263"/>
      <c r="O1901" s="264"/>
      <c r="P1901" s="262"/>
      <c r="Q1901" s="262"/>
      <c r="R1901" s="262"/>
    </row>
    <row r="1902" spans="3:18" ht="15.75">
      <c r="C1902" s="117"/>
      <c r="D1902" s="160"/>
      <c r="E1902" s="117"/>
      <c r="F1902" s="115"/>
      <c r="G1902" s="117"/>
      <c r="H1902" s="115"/>
      <c r="I1902" s="118"/>
      <c r="J1902" s="119"/>
      <c r="K1902" s="120"/>
      <c r="L1902" s="261"/>
      <c r="M1902" s="262"/>
      <c r="N1902" s="263"/>
      <c r="O1902" s="264"/>
      <c r="P1902" s="262"/>
      <c r="Q1902" s="262"/>
      <c r="R1902" s="262"/>
    </row>
    <row r="1903" spans="3:18" ht="15.75">
      <c r="C1903" s="117"/>
      <c r="D1903" s="160"/>
      <c r="E1903" s="117"/>
      <c r="F1903" s="115"/>
      <c r="G1903" s="117"/>
      <c r="H1903" s="115"/>
      <c r="I1903" s="118"/>
      <c r="J1903" s="119"/>
      <c r="K1903" s="120"/>
      <c r="L1903" s="261"/>
      <c r="M1903" s="262"/>
      <c r="N1903" s="263"/>
      <c r="O1903" s="264"/>
      <c r="P1903" s="262"/>
      <c r="Q1903" s="262"/>
      <c r="R1903" s="262"/>
    </row>
    <row r="1904" spans="3:18" ht="15.75">
      <c r="C1904" s="117"/>
      <c r="D1904" s="160"/>
      <c r="E1904" s="117"/>
      <c r="F1904" s="115"/>
      <c r="G1904" s="117"/>
      <c r="H1904" s="115"/>
      <c r="I1904" s="118"/>
      <c r="J1904" s="119"/>
      <c r="K1904" s="120"/>
      <c r="L1904" s="261"/>
      <c r="M1904" s="262"/>
      <c r="N1904" s="263"/>
      <c r="O1904" s="264"/>
      <c r="P1904" s="262"/>
      <c r="Q1904" s="262"/>
      <c r="R1904" s="262"/>
    </row>
    <row r="1905" spans="3:18" ht="15.75">
      <c r="C1905" s="117"/>
      <c r="D1905" s="160"/>
      <c r="E1905" s="117"/>
      <c r="F1905" s="115"/>
      <c r="G1905" s="117"/>
      <c r="H1905" s="115"/>
      <c r="I1905" s="118"/>
      <c r="J1905" s="119"/>
      <c r="K1905" s="120"/>
      <c r="L1905" s="261"/>
      <c r="M1905" s="262"/>
      <c r="N1905" s="263"/>
      <c r="O1905" s="264"/>
      <c r="P1905" s="262"/>
      <c r="Q1905" s="262"/>
      <c r="R1905" s="262"/>
    </row>
    <row r="1906" spans="3:18" ht="15.75">
      <c r="C1906" s="117"/>
      <c r="D1906" s="160"/>
      <c r="E1906" s="117"/>
      <c r="F1906" s="115"/>
      <c r="G1906" s="117"/>
      <c r="H1906" s="115"/>
      <c r="I1906" s="118"/>
      <c r="J1906" s="119"/>
      <c r="K1906" s="120"/>
      <c r="L1906" s="261"/>
      <c r="M1906" s="262"/>
      <c r="N1906" s="263"/>
      <c r="O1906" s="264"/>
      <c r="P1906" s="262"/>
      <c r="Q1906" s="262"/>
      <c r="R1906" s="262"/>
    </row>
    <row r="1907" spans="3:18" ht="15.75">
      <c r="C1907" s="117"/>
      <c r="D1907" s="160"/>
      <c r="E1907" s="117"/>
      <c r="F1907" s="115"/>
      <c r="G1907" s="117"/>
      <c r="H1907" s="115"/>
      <c r="I1907" s="118"/>
      <c r="J1907" s="119"/>
      <c r="K1907" s="120"/>
      <c r="L1907" s="261"/>
      <c r="M1907" s="262"/>
      <c r="N1907" s="263"/>
      <c r="O1907" s="264"/>
      <c r="P1907" s="262"/>
      <c r="Q1907" s="262"/>
      <c r="R1907" s="262"/>
    </row>
    <row r="1908" spans="3:18" ht="15.75">
      <c r="C1908" s="117"/>
      <c r="D1908" s="160"/>
      <c r="E1908" s="117"/>
      <c r="F1908" s="115"/>
      <c r="G1908" s="117"/>
      <c r="H1908" s="115"/>
      <c r="I1908" s="118"/>
      <c r="J1908" s="119"/>
      <c r="K1908" s="120"/>
      <c r="L1908" s="261"/>
      <c r="M1908" s="262"/>
      <c r="N1908" s="263"/>
      <c r="O1908" s="264"/>
      <c r="P1908" s="262"/>
      <c r="Q1908" s="262"/>
      <c r="R1908" s="262"/>
    </row>
    <row r="1909" spans="3:18" ht="15.75">
      <c r="C1909" s="117"/>
      <c r="D1909" s="160"/>
      <c r="E1909" s="117"/>
      <c r="F1909" s="115"/>
      <c r="G1909" s="117"/>
      <c r="H1909" s="115"/>
      <c r="I1909" s="118"/>
      <c r="J1909" s="119"/>
      <c r="K1909" s="120"/>
      <c r="L1909" s="261"/>
      <c r="M1909" s="262"/>
      <c r="N1909" s="263"/>
      <c r="O1909" s="264"/>
      <c r="P1909" s="262"/>
      <c r="Q1909" s="262"/>
      <c r="R1909" s="262"/>
    </row>
    <row r="1910" spans="3:18" ht="15.75">
      <c r="C1910" s="117"/>
      <c r="D1910" s="160"/>
      <c r="E1910" s="117"/>
      <c r="F1910" s="115"/>
      <c r="G1910" s="117"/>
      <c r="H1910" s="115"/>
      <c r="I1910" s="118"/>
      <c r="J1910" s="119"/>
      <c r="K1910" s="120"/>
      <c r="L1910" s="261"/>
      <c r="M1910" s="262"/>
      <c r="N1910" s="263"/>
      <c r="O1910" s="264"/>
      <c r="P1910" s="262"/>
      <c r="Q1910" s="262"/>
      <c r="R1910" s="262"/>
    </row>
    <row r="1911" spans="3:18" ht="15.75">
      <c r="C1911" s="117"/>
      <c r="D1911" s="160"/>
      <c r="E1911" s="117"/>
      <c r="F1911" s="115"/>
      <c r="G1911" s="117"/>
      <c r="H1911" s="115"/>
      <c r="I1911" s="118"/>
      <c r="J1911" s="119"/>
      <c r="K1911" s="120"/>
      <c r="L1911" s="261"/>
      <c r="M1911" s="262"/>
      <c r="N1911" s="263"/>
      <c r="O1911" s="264"/>
      <c r="P1911" s="262"/>
      <c r="Q1911" s="262"/>
      <c r="R1911" s="262"/>
    </row>
    <row r="1912" spans="3:18" ht="15.75">
      <c r="C1912" s="117"/>
      <c r="D1912" s="160"/>
      <c r="E1912" s="117"/>
      <c r="F1912" s="115"/>
      <c r="G1912" s="117"/>
      <c r="H1912" s="115"/>
      <c r="I1912" s="118"/>
      <c r="J1912" s="119"/>
      <c r="K1912" s="120"/>
      <c r="L1912" s="261"/>
      <c r="M1912" s="262"/>
      <c r="N1912" s="263"/>
      <c r="O1912" s="264"/>
      <c r="P1912" s="262"/>
      <c r="Q1912" s="262"/>
      <c r="R1912" s="262"/>
    </row>
    <row r="1913" spans="3:18" ht="15.75">
      <c r="C1913" s="117"/>
      <c r="D1913" s="160"/>
      <c r="E1913" s="117"/>
      <c r="F1913" s="115"/>
      <c r="G1913" s="117"/>
      <c r="H1913" s="115"/>
      <c r="I1913" s="118"/>
      <c r="J1913" s="119"/>
      <c r="K1913" s="120"/>
      <c r="L1913" s="261"/>
      <c r="M1913" s="262"/>
      <c r="N1913" s="263"/>
      <c r="O1913" s="264"/>
      <c r="P1913" s="262"/>
      <c r="Q1913" s="262"/>
      <c r="R1913" s="262"/>
    </row>
    <row r="1914" spans="3:18" ht="15.75">
      <c r="C1914" s="117"/>
      <c r="D1914" s="160"/>
      <c r="E1914" s="117"/>
      <c r="F1914" s="115"/>
      <c r="G1914" s="117"/>
      <c r="H1914" s="115"/>
      <c r="I1914" s="118"/>
      <c r="J1914" s="119"/>
      <c r="K1914" s="120"/>
      <c r="L1914" s="261"/>
      <c r="M1914" s="262"/>
      <c r="N1914" s="263"/>
      <c r="O1914" s="264"/>
      <c r="P1914" s="262"/>
      <c r="Q1914" s="262"/>
      <c r="R1914" s="262"/>
    </row>
    <row r="1915" spans="3:18" ht="15.75">
      <c r="C1915" s="117"/>
      <c r="D1915" s="160"/>
      <c r="E1915" s="117"/>
      <c r="F1915" s="115"/>
      <c r="G1915" s="117"/>
      <c r="H1915" s="115"/>
      <c r="I1915" s="118"/>
      <c r="J1915" s="119"/>
      <c r="K1915" s="120"/>
      <c r="L1915" s="261"/>
      <c r="M1915" s="262"/>
      <c r="N1915" s="263"/>
      <c r="O1915" s="264"/>
      <c r="P1915" s="262"/>
      <c r="Q1915" s="262"/>
      <c r="R1915" s="262"/>
    </row>
    <row r="1916" spans="3:18" ht="15.75">
      <c r="C1916" s="117"/>
      <c r="D1916" s="160"/>
      <c r="E1916" s="117"/>
      <c r="F1916" s="115"/>
      <c r="G1916" s="117"/>
      <c r="H1916" s="115"/>
      <c r="I1916" s="118"/>
      <c r="J1916" s="119"/>
      <c r="K1916" s="120"/>
      <c r="L1916" s="261"/>
      <c r="M1916" s="262"/>
      <c r="N1916" s="263"/>
      <c r="O1916" s="264"/>
      <c r="P1916" s="262"/>
      <c r="Q1916" s="262"/>
      <c r="R1916" s="262"/>
    </row>
    <row r="1917" spans="3:18" ht="15.75">
      <c r="C1917" s="117"/>
      <c r="D1917" s="160"/>
      <c r="E1917" s="117"/>
      <c r="F1917" s="115"/>
      <c r="G1917" s="117"/>
      <c r="H1917" s="115"/>
      <c r="I1917" s="118"/>
      <c r="J1917" s="119"/>
      <c r="K1917" s="120"/>
      <c r="L1917" s="261"/>
      <c r="M1917" s="262"/>
      <c r="N1917" s="263"/>
      <c r="O1917" s="264"/>
      <c r="P1917" s="262"/>
      <c r="Q1917" s="262"/>
      <c r="R1917" s="262"/>
    </row>
    <row r="1918" spans="3:18" ht="15.75">
      <c r="C1918" s="117"/>
      <c r="D1918" s="160"/>
      <c r="E1918" s="117"/>
      <c r="F1918" s="115"/>
      <c r="G1918" s="117"/>
      <c r="H1918" s="115"/>
      <c r="I1918" s="118"/>
      <c r="J1918" s="119"/>
      <c r="K1918" s="120"/>
      <c r="L1918" s="261"/>
      <c r="M1918" s="262"/>
      <c r="N1918" s="263"/>
      <c r="O1918" s="264"/>
      <c r="P1918" s="262"/>
      <c r="Q1918" s="262"/>
      <c r="R1918" s="262"/>
    </row>
    <row r="1919" spans="3:18" ht="15.75">
      <c r="C1919" s="117"/>
      <c r="D1919" s="160"/>
      <c r="E1919" s="117"/>
      <c r="F1919" s="115"/>
      <c r="G1919" s="117"/>
      <c r="H1919" s="115"/>
      <c r="I1919" s="118"/>
      <c r="J1919" s="119"/>
      <c r="K1919" s="120"/>
      <c r="L1919" s="261"/>
      <c r="M1919" s="262"/>
      <c r="N1919" s="263"/>
      <c r="O1919" s="264"/>
      <c r="P1919" s="262"/>
      <c r="Q1919" s="262"/>
      <c r="R1919" s="262"/>
    </row>
    <row r="1920" spans="3:18" ht="15.75">
      <c r="C1920" s="117"/>
      <c r="D1920" s="160"/>
      <c r="E1920" s="117"/>
      <c r="F1920" s="115"/>
      <c r="G1920" s="117"/>
      <c r="H1920" s="115"/>
      <c r="I1920" s="118"/>
      <c r="J1920" s="119"/>
      <c r="K1920" s="120"/>
      <c r="L1920" s="261"/>
      <c r="M1920" s="262"/>
      <c r="N1920" s="263"/>
      <c r="O1920" s="264"/>
      <c r="P1920" s="262"/>
      <c r="Q1920" s="262"/>
      <c r="R1920" s="262"/>
    </row>
    <row r="1921" spans="3:18" ht="15.75">
      <c r="C1921" s="117"/>
      <c r="D1921" s="160"/>
      <c r="E1921" s="117"/>
      <c r="F1921" s="115"/>
      <c r="G1921" s="117"/>
      <c r="H1921" s="115"/>
      <c r="I1921" s="118"/>
      <c r="J1921" s="119"/>
      <c r="K1921" s="120"/>
      <c r="L1921" s="261"/>
      <c r="M1921" s="262"/>
      <c r="N1921" s="263"/>
      <c r="O1921" s="264"/>
      <c r="P1921" s="262"/>
      <c r="Q1921" s="262"/>
      <c r="R1921" s="262"/>
    </row>
    <row r="1922" spans="3:18" ht="15.75">
      <c r="C1922" s="117"/>
      <c r="D1922" s="160"/>
      <c r="E1922" s="117"/>
      <c r="F1922" s="115"/>
      <c r="G1922" s="117"/>
      <c r="H1922" s="115"/>
      <c r="I1922" s="118"/>
      <c r="J1922" s="119"/>
      <c r="K1922" s="120"/>
      <c r="L1922" s="261"/>
      <c r="M1922" s="262"/>
      <c r="N1922" s="263"/>
      <c r="O1922" s="264"/>
      <c r="P1922" s="262"/>
      <c r="Q1922" s="262"/>
      <c r="R1922" s="262"/>
    </row>
    <row r="1923" spans="3:18" ht="15.75">
      <c r="C1923" s="117"/>
      <c r="D1923" s="160"/>
      <c r="E1923" s="117"/>
      <c r="F1923" s="115"/>
      <c r="G1923" s="117"/>
      <c r="H1923" s="115"/>
      <c r="I1923" s="118"/>
      <c r="J1923" s="119"/>
      <c r="K1923" s="120"/>
      <c r="L1923" s="261"/>
      <c r="M1923" s="262"/>
      <c r="N1923" s="263"/>
      <c r="O1923" s="264"/>
      <c r="P1923" s="262"/>
      <c r="Q1923" s="262"/>
      <c r="R1923" s="262"/>
    </row>
    <row r="1924" spans="3:18" ht="15.75">
      <c r="C1924" s="117"/>
      <c r="D1924" s="160"/>
      <c r="E1924" s="117"/>
      <c r="F1924" s="115"/>
      <c r="G1924" s="117"/>
      <c r="H1924" s="115"/>
      <c r="I1924" s="118"/>
      <c r="J1924" s="119"/>
      <c r="K1924" s="120"/>
      <c r="L1924" s="261"/>
      <c r="M1924" s="262"/>
      <c r="N1924" s="263"/>
      <c r="O1924" s="264"/>
      <c r="P1924" s="262"/>
      <c r="Q1924" s="262"/>
      <c r="R1924" s="262"/>
    </row>
    <row r="1925" spans="3:18" ht="15.75">
      <c r="C1925" s="117"/>
      <c r="D1925" s="160"/>
      <c r="E1925" s="117"/>
      <c r="F1925" s="115"/>
      <c r="G1925" s="117"/>
      <c r="H1925" s="115"/>
      <c r="I1925" s="118"/>
      <c r="J1925" s="119"/>
      <c r="K1925" s="120"/>
      <c r="L1925" s="261"/>
      <c r="M1925" s="262"/>
      <c r="N1925" s="263"/>
      <c r="O1925" s="264"/>
      <c r="P1925" s="262"/>
      <c r="Q1925" s="262"/>
      <c r="R1925" s="262"/>
    </row>
    <row r="1926" spans="3:18" ht="15.75">
      <c r="C1926" s="117"/>
      <c r="D1926" s="160"/>
      <c r="E1926" s="117"/>
      <c r="F1926" s="115"/>
      <c r="G1926" s="117"/>
      <c r="H1926" s="115"/>
      <c r="I1926" s="118"/>
      <c r="J1926" s="119"/>
      <c r="K1926" s="120"/>
      <c r="L1926" s="261"/>
      <c r="M1926" s="262"/>
      <c r="N1926" s="263"/>
      <c r="O1926" s="264"/>
      <c r="P1926" s="262"/>
      <c r="Q1926" s="262"/>
      <c r="R1926" s="262"/>
    </row>
    <row r="1927" spans="3:18" ht="15.75">
      <c r="C1927" s="117"/>
      <c r="D1927" s="160"/>
      <c r="E1927" s="117"/>
      <c r="F1927" s="115"/>
      <c r="G1927" s="117"/>
      <c r="H1927" s="115"/>
      <c r="I1927" s="118"/>
      <c r="J1927" s="119"/>
      <c r="K1927" s="120"/>
      <c r="L1927" s="261"/>
      <c r="M1927" s="262"/>
      <c r="N1927" s="263"/>
      <c r="O1927" s="264"/>
      <c r="P1927" s="262"/>
      <c r="Q1927" s="262"/>
      <c r="R1927" s="262"/>
    </row>
    <row r="1928" spans="3:18" ht="15.75">
      <c r="C1928" s="117"/>
      <c r="D1928" s="160"/>
      <c r="E1928" s="117"/>
      <c r="F1928" s="115"/>
      <c r="G1928" s="117"/>
      <c r="H1928" s="115"/>
      <c r="I1928" s="118"/>
      <c r="J1928" s="119"/>
      <c r="K1928" s="120"/>
      <c r="L1928" s="261"/>
      <c r="M1928" s="262"/>
      <c r="N1928" s="263"/>
      <c r="O1928" s="264"/>
      <c r="P1928" s="262"/>
      <c r="Q1928" s="262"/>
      <c r="R1928" s="262"/>
    </row>
    <row r="1929" spans="3:18" ht="15.75">
      <c r="C1929" s="117"/>
      <c r="D1929" s="160"/>
      <c r="E1929" s="117"/>
      <c r="F1929" s="115"/>
      <c r="G1929" s="117"/>
      <c r="H1929" s="115"/>
      <c r="I1929" s="118"/>
      <c r="J1929" s="119"/>
      <c r="K1929" s="120"/>
      <c r="L1929" s="261"/>
      <c r="M1929" s="262"/>
      <c r="N1929" s="263"/>
      <c r="O1929" s="264"/>
      <c r="P1929" s="262"/>
      <c r="Q1929" s="262"/>
      <c r="R1929" s="262"/>
    </row>
    <row r="1930" spans="3:18" ht="15.75">
      <c r="C1930" s="117"/>
      <c r="D1930" s="160"/>
      <c r="E1930" s="117"/>
      <c r="F1930" s="115"/>
      <c r="G1930" s="117"/>
      <c r="H1930" s="115"/>
      <c r="I1930" s="118"/>
      <c r="J1930" s="119"/>
      <c r="K1930" s="120"/>
      <c r="L1930" s="261"/>
      <c r="M1930" s="262"/>
      <c r="N1930" s="263"/>
      <c r="O1930" s="264"/>
      <c r="P1930" s="262"/>
      <c r="Q1930" s="262"/>
      <c r="R1930" s="262"/>
    </row>
    <row r="1931" spans="3:18" ht="15.75">
      <c r="C1931" s="117"/>
      <c r="D1931" s="160"/>
      <c r="E1931" s="117"/>
      <c r="F1931" s="115"/>
      <c r="G1931" s="117"/>
      <c r="H1931" s="115"/>
      <c r="I1931" s="118"/>
      <c r="J1931" s="119"/>
      <c r="K1931" s="120"/>
      <c r="L1931" s="261"/>
      <c r="M1931" s="262"/>
      <c r="N1931" s="263"/>
      <c r="O1931" s="264"/>
      <c r="P1931" s="262"/>
      <c r="Q1931" s="262"/>
      <c r="R1931" s="262"/>
    </row>
    <row r="1932" spans="3:18" ht="15.75">
      <c r="C1932" s="117"/>
      <c r="D1932" s="160"/>
      <c r="E1932" s="117"/>
      <c r="F1932" s="115"/>
      <c r="G1932" s="117"/>
      <c r="H1932" s="115"/>
      <c r="I1932" s="118"/>
      <c r="J1932" s="119"/>
      <c r="K1932" s="120"/>
      <c r="L1932" s="261"/>
      <c r="M1932" s="262"/>
      <c r="N1932" s="263"/>
      <c r="O1932" s="264"/>
      <c r="P1932" s="262"/>
      <c r="Q1932" s="262"/>
      <c r="R1932" s="262"/>
    </row>
    <row r="1933" spans="3:18" ht="15.75">
      <c r="C1933" s="117"/>
      <c r="D1933" s="160"/>
      <c r="E1933" s="117"/>
      <c r="F1933" s="115"/>
      <c r="G1933" s="117"/>
      <c r="H1933" s="115"/>
      <c r="I1933" s="118"/>
      <c r="J1933" s="119"/>
      <c r="K1933" s="120"/>
      <c r="L1933" s="261"/>
      <c r="M1933" s="262"/>
      <c r="N1933" s="263"/>
      <c r="O1933" s="264"/>
      <c r="P1933" s="262"/>
      <c r="Q1933" s="262"/>
      <c r="R1933" s="262"/>
    </row>
    <row r="1934" spans="3:18" ht="15.75">
      <c r="C1934" s="117"/>
      <c r="D1934" s="160"/>
      <c r="E1934" s="117"/>
      <c r="F1934" s="115"/>
      <c r="G1934" s="117"/>
      <c r="H1934" s="115"/>
      <c r="I1934" s="118"/>
      <c r="J1934" s="119"/>
      <c r="K1934" s="120"/>
      <c r="L1934" s="261"/>
      <c r="M1934" s="262"/>
      <c r="N1934" s="263"/>
      <c r="O1934" s="264"/>
      <c r="P1934" s="262"/>
      <c r="Q1934" s="262"/>
      <c r="R1934" s="262"/>
    </row>
    <row r="1935" spans="3:18" ht="15.75">
      <c r="C1935" s="117"/>
      <c r="D1935" s="160"/>
      <c r="E1935" s="117"/>
      <c r="F1935" s="115"/>
      <c r="G1935" s="117"/>
      <c r="H1935" s="115"/>
      <c r="I1935" s="118"/>
      <c r="J1935" s="119"/>
      <c r="K1935" s="120"/>
      <c r="L1935" s="261"/>
      <c r="M1935" s="262"/>
      <c r="N1935" s="263"/>
      <c r="O1935" s="264"/>
      <c r="P1935" s="262"/>
      <c r="Q1935" s="262"/>
      <c r="R1935" s="262"/>
    </row>
    <row r="1936" spans="3:18" ht="15.75">
      <c r="C1936" s="117"/>
      <c r="D1936" s="160"/>
      <c r="E1936" s="117"/>
      <c r="F1936" s="115"/>
      <c r="G1936" s="117"/>
      <c r="H1936" s="115"/>
      <c r="I1936" s="118"/>
      <c r="J1936" s="119"/>
      <c r="K1936" s="120"/>
      <c r="L1936" s="261"/>
      <c r="M1936" s="262"/>
      <c r="N1936" s="263"/>
      <c r="O1936" s="264"/>
      <c r="P1936" s="262"/>
      <c r="Q1936" s="262"/>
      <c r="R1936" s="262"/>
    </row>
    <row r="1937" spans="3:18" ht="15.75">
      <c r="C1937" s="117"/>
      <c r="D1937" s="160"/>
      <c r="E1937" s="117"/>
      <c r="F1937" s="115"/>
      <c r="G1937" s="117"/>
      <c r="H1937" s="115"/>
      <c r="I1937" s="118"/>
      <c r="J1937" s="119"/>
      <c r="K1937" s="120"/>
      <c r="L1937" s="261"/>
      <c r="M1937" s="262"/>
      <c r="N1937" s="263"/>
      <c r="O1937" s="264"/>
      <c r="P1937" s="262"/>
      <c r="Q1937" s="262"/>
      <c r="R1937" s="262"/>
    </row>
    <row r="1938" spans="3:18" ht="15.75">
      <c r="C1938" s="117"/>
      <c r="D1938" s="160"/>
      <c r="E1938" s="117"/>
      <c r="F1938" s="115"/>
      <c r="G1938" s="117"/>
      <c r="H1938" s="115"/>
      <c r="I1938" s="118"/>
      <c r="J1938" s="119"/>
      <c r="K1938" s="120"/>
      <c r="L1938" s="261"/>
      <c r="M1938" s="262"/>
      <c r="N1938" s="263"/>
      <c r="O1938" s="264"/>
      <c r="P1938" s="262"/>
      <c r="Q1938" s="262"/>
      <c r="R1938" s="262"/>
    </row>
    <row r="1939" spans="3:18" ht="15.75">
      <c r="C1939" s="117"/>
      <c r="D1939" s="160"/>
      <c r="E1939" s="117"/>
      <c r="F1939" s="115"/>
      <c r="G1939" s="117"/>
      <c r="H1939" s="115"/>
      <c r="I1939" s="118"/>
      <c r="J1939" s="119"/>
      <c r="K1939" s="120"/>
      <c r="L1939" s="261"/>
      <c r="M1939" s="262"/>
      <c r="N1939" s="263"/>
      <c r="O1939" s="264"/>
      <c r="P1939" s="262"/>
      <c r="Q1939" s="262"/>
      <c r="R1939" s="262"/>
    </row>
    <row r="1940" spans="3:18" ht="15.75">
      <c r="C1940" s="117"/>
      <c r="D1940" s="160"/>
      <c r="E1940" s="117"/>
      <c r="F1940" s="115"/>
      <c r="G1940" s="117"/>
      <c r="H1940" s="115"/>
      <c r="I1940" s="118"/>
      <c r="J1940" s="119"/>
      <c r="K1940" s="120"/>
      <c r="L1940" s="261"/>
      <c r="M1940" s="262"/>
      <c r="N1940" s="263"/>
      <c r="O1940" s="264"/>
      <c r="P1940" s="262"/>
      <c r="Q1940" s="262"/>
      <c r="R1940" s="262"/>
    </row>
    <row r="1941" spans="3:18" ht="15.75">
      <c r="C1941" s="117"/>
      <c r="D1941" s="160"/>
      <c r="E1941" s="117"/>
      <c r="F1941" s="115"/>
      <c r="G1941" s="117"/>
      <c r="H1941" s="115"/>
      <c r="I1941" s="118"/>
      <c r="J1941" s="119"/>
      <c r="K1941" s="120"/>
      <c r="L1941" s="261"/>
      <c r="M1941" s="262"/>
      <c r="N1941" s="263"/>
      <c r="O1941" s="264"/>
      <c r="P1941" s="262"/>
      <c r="Q1941" s="262"/>
      <c r="R1941" s="262"/>
    </row>
    <row r="1942" spans="3:18" ht="15.75">
      <c r="C1942" s="117"/>
      <c r="D1942" s="160"/>
      <c r="E1942" s="117"/>
      <c r="F1942" s="115"/>
      <c r="G1942" s="117"/>
      <c r="H1942" s="115"/>
      <c r="I1942" s="118"/>
      <c r="J1942" s="119"/>
      <c r="K1942" s="120"/>
      <c r="L1942" s="261"/>
      <c r="M1942" s="262"/>
      <c r="N1942" s="263"/>
      <c r="O1942" s="264"/>
      <c r="P1942" s="262"/>
      <c r="Q1942" s="262"/>
      <c r="R1942" s="262"/>
    </row>
    <row r="1943" spans="3:18" ht="15.75">
      <c r="C1943" s="117"/>
      <c r="D1943" s="160"/>
      <c r="E1943" s="117"/>
      <c r="F1943" s="115"/>
      <c r="G1943" s="117"/>
      <c r="H1943" s="115"/>
      <c r="I1943" s="118"/>
      <c r="J1943" s="119"/>
      <c r="K1943" s="120"/>
      <c r="L1943" s="261"/>
      <c r="M1943" s="262"/>
      <c r="N1943" s="263"/>
      <c r="O1943" s="264"/>
      <c r="P1943" s="262"/>
      <c r="Q1943" s="262"/>
      <c r="R1943" s="262"/>
    </row>
    <row r="1944" spans="3:18" ht="15.75">
      <c r="C1944" s="117"/>
      <c r="D1944" s="160"/>
      <c r="E1944" s="117"/>
      <c r="F1944" s="115"/>
      <c r="G1944" s="117"/>
      <c r="H1944" s="115"/>
      <c r="I1944" s="118"/>
      <c r="J1944" s="119"/>
      <c r="K1944" s="120"/>
      <c r="L1944" s="261"/>
      <c r="M1944" s="262"/>
      <c r="N1944" s="263"/>
      <c r="O1944" s="264"/>
      <c r="P1944" s="262"/>
      <c r="Q1944" s="262"/>
      <c r="R1944" s="262"/>
    </row>
    <row r="1945" spans="3:18" ht="15.75">
      <c r="C1945" s="117"/>
      <c r="D1945" s="160"/>
      <c r="E1945" s="117"/>
      <c r="F1945" s="115"/>
      <c r="G1945" s="117"/>
      <c r="H1945" s="115"/>
      <c r="I1945" s="118"/>
      <c r="J1945" s="119"/>
      <c r="K1945" s="120"/>
      <c r="L1945" s="261"/>
      <c r="M1945" s="262"/>
      <c r="N1945" s="263"/>
      <c r="O1945" s="264"/>
      <c r="P1945" s="262"/>
      <c r="Q1945" s="262"/>
      <c r="R1945" s="262"/>
    </row>
    <row r="1946" spans="3:18" ht="15.75">
      <c r="C1946" s="117"/>
      <c r="D1946" s="160"/>
      <c r="E1946" s="117"/>
      <c r="F1946" s="115"/>
      <c r="G1946" s="117"/>
      <c r="H1946" s="115"/>
      <c r="I1946" s="118"/>
      <c r="J1946" s="119"/>
      <c r="K1946" s="120"/>
      <c r="L1946" s="261"/>
      <c r="M1946" s="262"/>
      <c r="N1946" s="263"/>
      <c r="O1946" s="264"/>
      <c r="P1946" s="262"/>
      <c r="Q1946" s="262"/>
      <c r="R1946" s="262"/>
    </row>
    <row r="1947" spans="3:18" ht="15.75">
      <c r="C1947" s="117"/>
      <c r="D1947" s="160"/>
      <c r="E1947" s="117"/>
      <c r="F1947" s="115"/>
      <c r="G1947" s="117"/>
      <c r="H1947" s="115"/>
      <c r="I1947" s="118"/>
      <c r="J1947" s="119"/>
      <c r="K1947" s="120"/>
      <c r="L1947" s="261"/>
      <c r="M1947" s="262"/>
      <c r="N1947" s="263"/>
      <c r="O1947" s="264"/>
      <c r="P1947" s="262"/>
      <c r="Q1947" s="262"/>
      <c r="R1947" s="262"/>
    </row>
    <row r="1948" spans="3:18" ht="15.75">
      <c r="C1948" s="117"/>
      <c r="D1948" s="160"/>
      <c r="E1948" s="117"/>
      <c r="F1948" s="115"/>
      <c r="G1948" s="117"/>
      <c r="H1948" s="115"/>
      <c r="I1948" s="118"/>
      <c r="J1948" s="119"/>
      <c r="K1948" s="120"/>
      <c r="L1948" s="261"/>
      <c r="M1948" s="262"/>
      <c r="N1948" s="263"/>
      <c r="O1948" s="264"/>
      <c r="P1948" s="262"/>
      <c r="Q1948" s="262"/>
      <c r="R1948" s="262"/>
    </row>
    <row r="1949" spans="3:18" ht="15.75">
      <c r="C1949" s="117"/>
      <c r="D1949" s="160"/>
      <c r="E1949" s="117"/>
      <c r="F1949" s="115"/>
      <c r="G1949" s="117"/>
      <c r="H1949" s="115"/>
      <c r="I1949" s="118"/>
      <c r="J1949" s="119"/>
      <c r="K1949" s="120"/>
      <c r="L1949" s="261"/>
      <c r="M1949" s="262"/>
      <c r="N1949" s="263"/>
      <c r="O1949" s="264"/>
      <c r="P1949" s="262"/>
      <c r="Q1949" s="262"/>
      <c r="R1949" s="262"/>
    </row>
    <row r="1950" spans="3:18" ht="15.75">
      <c r="C1950" s="117"/>
      <c r="D1950" s="160"/>
      <c r="E1950" s="117"/>
      <c r="F1950" s="115"/>
      <c r="G1950" s="117"/>
      <c r="H1950" s="115"/>
      <c r="I1950" s="118"/>
      <c r="J1950" s="119"/>
      <c r="K1950" s="120"/>
      <c r="L1950" s="261"/>
      <c r="M1950" s="262"/>
      <c r="N1950" s="263"/>
      <c r="O1950" s="264"/>
      <c r="P1950" s="262"/>
      <c r="Q1950" s="262"/>
      <c r="R1950" s="262"/>
    </row>
    <row r="1951" spans="3:18" ht="15.75">
      <c r="C1951" s="117"/>
      <c r="D1951" s="160"/>
      <c r="E1951" s="117"/>
      <c r="F1951" s="115"/>
      <c r="G1951" s="117"/>
      <c r="H1951" s="115"/>
      <c r="I1951" s="118"/>
      <c r="J1951" s="119"/>
      <c r="K1951" s="120"/>
      <c r="L1951" s="261"/>
      <c r="M1951" s="262"/>
      <c r="N1951" s="263"/>
      <c r="O1951" s="264"/>
      <c r="P1951" s="262"/>
      <c r="Q1951" s="262"/>
      <c r="R1951" s="262"/>
    </row>
    <row r="1952" spans="3:18" ht="15.75">
      <c r="C1952" s="117"/>
      <c r="D1952" s="160"/>
      <c r="E1952" s="117"/>
      <c r="F1952" s="115"/>
      <c r="G1952" s="117"/>
      <c r="H1952" s="115"/>
      <c r="I1952" s="118"/>
      <c r="J1952" s="119"/>
      <c r="K1952" s="120"/>
      <c r="L1952" s="261"/>
      <c r="M1952" s="262"/>
      <c r="N1952" s="263"/>
      <c r="O1952" s="264"/>
      <c r="P1952" s="262"/>
      <c r="Q1952" s="262"/>
      <c r="R1952" s="262"/>
    </row>
    <row r="1953" spans="3:18" ht="15.75">
      <c r="C1953" s="117"/>
      <c r="D1953" s="160"/>
      <c r="E1953" s="117"/>
      <c r="F1953" s="115"/>
      <c r="G1953" s="117"/>
      <c r="H1953" s="115"/>
      <c r="I1953" s="118"/>
      <c r="J1953" s="119"/>
      <c r="K1953" s="120"/>
      <c r="L1953" s="261"/>
      <c r="M1953" s="262"/>
      <c r="N1953" s="263"/>
      <c r="O1953" s="264"/>
      <c r="P1953" s="262"/>
      <c r="Q1953" s="262"/>
      <c r="R1953" s="262"/>
    </row>
    <row r="1954" spans="3:18" ht="15.75">
      <c r="C1954" s="117"/>
      <c r="D1954" s="160"/>
      <c r="E1954" s="117"/>
      <c r="F1954" s="115"/>
      <c r="G1954" s="117"/>
      <c r="H1954" s="115"/>
      <c r="I1954" s="118"/>
      <c r="J1954" s="119"/>
      <c r="K1954" s="120"/>
      <c r="L1954" s="261"/>
      <c r="M1954" s="262"/>
      <c r="N1954" s="263"/>
      <c r="O1954" s="264"/>
      <c r="P1954" s="262"/>
      <c r="Q1954" s="262"/>
      <c r="R1954" s="262"/>
    </row>
    <row r="1955" spans="3:18" ht="15.75">
      <c r="C1955" s="117"/>
      <c r="D1955" s="160"/>
      <c r="E1955" s="117"/>
      <c r="F1955" s="115"/>
      <c r="G1955" s="117"/>
      <c r="H1955" s="115"/>
      <c r="I1955" s="118"/>
      <c r="J1955" s="119"/>
      <c r="K1955" s="120"/>
      <c r="L1955" s="261"/>
      <c r="M1955" s="262"/>
      <c r="N1955" s="263"/>
      <c r="O1955" s="264"/>
      <c r="P1955" s="262"/>
      <c r="Q1955" s="262"/>
      <c r="R1955" s="262"/>
    </row>
    <row r="1956" spans="3:18" ht="15.75">
      <c r="C1956" s="117"/>
      <c r="D1956" s="160"/>
      <c r="E1956" s="117"/>
      <c r="F1956" s="115"/>
      <c r="G1956" s="117"/>
      <c r="H1956" s="115"/>
      <c r="I1956" s="118"/>
      <c r="J1956" s="119"/>
      <c r="K1956" s="120"/>
      <c r="L1956" s="261"/>
      <c r="M1956" s="262"/>
      <c r="N1956" s="263"/>
      <c r="O1956" s="264"/>
      <c r="P1956" s="262"/>
      <c r="Q1956" s="262"/>
      <c r="R1956" s="262"/>
    </row>
    <row r="1957" spans="3:18" ht="15.75">
      <c r="C1957" s="117"/>
      <c r="D1957" s="160"/>
      <c r="E1957" s="117"/>
      <c r="F1957" s="115"/>
      <c r="G1957" s="117"/>
      <c r="H1957" s="115"/>
      <c r="I1957" s="118"/>
      <c r="J1957" s="119"/>
      <c r="K1957" s="120"/>
      <c r="L1957" s="261"/>
      <c r="M1957" s="262"/>
      <c r="N1957" s="263"/>
      <c r="O1957" s="264"/>
      <c r="P1957" s="262"/>
      <c r="Q1957" s="262"/>
      <c r="R1957" s="262"/>
    </row>
    <row r="1958" spans="3:18" ht="15.75">
      <c r="C1958" s="117"/>
      <c r="D1958" s="160"/>
      <c r="E1958" s="117"/>
      <c r="F1958" s="115"/>
      <c r="G1958" s="117"/>
      <c r="H1958" s="115"/>
      <c r="I1958" s="118"/>
      <c r="J1958" s="119"/>
      <c r="K1958" s="120"/>
      <c r="L1958" s="261"/>
      <c r="M1958" s="262"/>
      <c r="N1958" s="263"/>
      <c r="O1958" s="264"/>
      <c r="P1958" s="262"/>
      <c r="Q1958" s="262"/>
      <c r="R1958" s="262"/>
    </row>
    <row r="1959" spans="3:18" ht="15.75">
      <c r="C1959" s="117"/>
      <c r="D1959" s="160"/>
      <c r="E1959" s="117"/>
      <c r="F1959" s="115"/>
      <c r="G1959" s="117"/>
      <c r="H1959" s="115"/>
      <c r="I1959" s="118"/>
      <c r="J1959" s="119"/>
      <c r="K1959" s="120"/>
      <c r="L1959" s="261"/>
      <c r="M1959" s="262"/>
      <c r="N1959" s="263"/>
      <c r="O1959" s="264"/>
      <c r="P1959" s="262"/>
      <c r="Q1959" s="262"/>
      <c r="R1959" s="262"/>
    </row>
    <row r="1960" spans="3:18" ht="15.75">
      <c r="C1960" s="117"/>
      <c r="D1960" s="160"/>
      <c r="E1960" s="117"/>
      <c r="F1960" s="115"/>
      <c r="G1960" s="117"/>
      <c r="H1960" s="115"/>
      <c r="I1960" s="118"/>
      <c r="J1960" s="119"/>
      <c r="K1960" s="120"/>
      <c r="L1960" s="261"/>
      <c r="M1960" s="262"/>
      <c r="N1960" s="263"/>
      <c r="O1960" s="264"/>
      <c r="P1960" s="262"/>
      <c r="Q1960" s="262"/>
      <c r="R1960" s="262"/>
    </row>
    <row r="1961" spans="3:18" ht="15.75">
      <c r="C1961" s="117"/>
      <c r="D1961" s="160"/>
      <c r="E1961" s="117"/>
      <c r="F1961" s="115"/>
      <c r="G1961" s="117"/>
      <c r="H1961" s="115"/>
      <c r="I1961" s="118"/>
      <c r="J1961" s="119"/>
      <c r="K1961" s="120"/>
      <c r="L1961" s="261"/>
      <c r="M1961" s="262"/>
      <c r="N1961" s="263"/>
      <c r="O1961" s="264"/>
      <c r="P1961" s="262"/>
      <c r="Q1961" s="262"/>
      <c r="R1961" s="262"/>
    </row>
    <row r="1962" spans="3:18" ht="15.75">
      <c r="C1962" s="117"/>
      <c r="D1962" s="160"/>
      <c r="E1962" s="117"/>
      <c r="F1962" s="115"/>
      <c r="G1962" s="117"/>
      <c r="H1962" s="115"/>
      <c r="I1962" s="118"/>
      <c r="J1962" s="119"/>
      <c r="K1962" s="120"/>
      <c r="L1962" s="261"/>
      <c r="M1962" s="262"/>
      <c r="N1962" s="263"/>
      <c r="O1962" s="264"/>
      <c r="P1962" s="262"/>
      <c r="Q1962" s="262"/>
      <c r="R1962" s="262"/>
    </row>
    <row r="1963" spans="3:18" ht="15.75">
      <c r="C1963" s="117"/>
      <c r="D1963" s="160"/>
      <c r="E1963" s="117"/>
      <c r="F1963" s="115"/>
      <c r="G1963" s="117"/>
      <c r="H1963" s="115"/>
      <c r="I1963" s="118"/>
      <c r="J1963" s="119"/>
      <c r="K1963" s="120"/>
      <c r="L1963" s="261"/>
      <c r="M1963" s="262"/>
      <c r="N1963" s="263"/>
      <c r="O1963" s="264"/>
      <c r="P1963" s="262"/>
      <c r="Q1963" s="262"/>
      <c r="R1963" s="262"/>
    </row>
    <row r="1964" spans="3:18" ht="15.75">
      <c r="C1964" s="117"/>
      <c r="D1964" s="160"/>
      <c r="E1964" s="117"/>
      <c r="F1964" s="115"/>
      <c r="G1964" s="117"/>
      <c r="H1964" s="115"/>
      <c r="I1964" s="118"/>
      <c r="J1964" s="119"/>
      <c r="K1964" s="120"/>
      <c r="L1964" s="261"/>
      <c r="M1964" s="262"/>
      <c r="N1964" s="263"/>
      <c r="O1964" s="264"/>
      <c r="P1964" s="262"/>
      <c r="Q1964" s="262"/>
      <c r="R1964" s="262"/>
    </row>
    <row r="1965" spans="3:18" ht="15.75">
      <c r="C1965" s="117"/>
      <c r="D1965" s="160"/>
      <c r="E1965" s="117"/>
      <c r="F1965" s="115"/>
      <c r="G1965" s="117"/>
      <c r="H1965" s="115"/>
      <c r="I1965" s="118"/>
      <c r="J1965" s="119"/>
      <c r="K1965" s="120"/>
      <c r="L1965" s="261"/>
      <c r="M1965" s="262"/>
      <c r="N1965" s="263"/>
      <c r="O1965" s="264"/>
      <c r="P1965" s="262"/>
      <c r="Q1965" s="262"/>
      <c r="R1965" s="262"/>
    </row>
    <row r="1966" spans="3:18" ht="15.75">
      <c r="C1966" s="117"/>
      <c r="D1966" s="160"/>
      <c r="E1966" s="117"/>
      <c r="F1966" s="115"/>
      <c r="G1966" s="117"/>
      <c r="H1966" s="115"/>
      <c r="I1966" s="118"/>
      <c r="J1966" s="119"/>
      <c r="K1966" s="120"/>
      <c r="L1966" s="261"/>
      <c r="M1966" s="262"/>
      <c r="N1966" s="263"/>
      <c r="O1966" s="264"/>
      <c r="P1966" s="262"/>
      <c r="Q1966" s="262"/>
      <c r="R1966" s="262"/>
    </row>
    <row r="1967" spans="3:18" ht="15.75">
      <c r="C1967" s="117"/>
      <c r="D1967" s="160"/>
      <c r="E1967" s="117"/>
      <c r="F1967" s="115"/>
      <c r="G1967" s="117"/>
      <c r="H1967" s="115"/>
      <c r="I1967" s="118"/>
      <c r="J1967" s="119"/>
      <c r="K1967" s="120"/>
      <c r="L1967" s="261"/>
      <c r="M1967" s="262"/>
      <c r="N1967" s="263"/>
      <c r="O1967" s="264"/>
      <c r="P1967" s="262"/>
      <c r="Q1967" s="262"/>
      <c r="R1967" s="262"/>
    </row>
    <row r="1968" spans="3:18" ht="15.75">
      <c r="C1968" s="117"/>
      <c r="D1968" s="160"/>
      <c r="E1968" s="117"/>
      <c r="F1968" s="115"/>
      <c r="G1968" s="117"/>
      <c r="H1968" s="115"/>
      <c r="I1968" s="118"/>
      <c r="J1968" s="119"/>
      <c r="K1968" s="120"/>
      <c r="L1968" s="261"/>
      <c r="M1968" s="262"/>
      <c r="N1968" s="263"/>
      <c r="O1968" s="264"/>
      <c r="P1968" s="262"/>
      <c r="Q1968" s="262"/>
      <c r="R1968" s="262"/>
    </row>
    <row r="1969" spans="3:18" ht="15.75">
      <c r="C1969" s="117"/>
      <c r="D1969" s="160"/>
      <c r="E1969" s="117"/>
      <c r="F1969" s="115"/>
      <c r="G1969" s="117"/>
      <c r="H1969" s="115"/>
      <c r="I1969" s="118"/>
      <c r="J1969" s="119"/>
      <c r="K1969" s="120"/>
      <c r="L1969" s="261"/>
      <c r="M1969" s="262"/>
      <c r="N1969" s="263"/>
      <c r="O1969" s="264"/>
      <c r="P1969" s="262"/>
      <c r="Q1969" s="262"/>
      <c r="R1969" s="262"/>
    </row>
    <row r="1970" spans="3:18" ht="15.75">
      <c r="C1970" s="117"/>
      <c r="D1970" s="160"/>
      <c r="E1970" s="117"/>
      <c r="F1970" s="115"/>
      <c r="G1970" s="117"/>
      <c r="H1970" s="115"/>
      <c r="I1970" s="118"/>
      <c r="J1970" s="119"/>
      <c r="K1970" s="120"/>
      <c r="L1970" s="261"/>
      <c r="M1970" s="262"/>
      <c r="N1970" s="263"/>
      <c r="O1970" s="264"/>
      <c r="P1970" s="262"/>
      <c r="Q1970" s="262"/>
      <c r="R1970" s="262"/>
    </row>
    <row r="1971" spans="3:18" ht="15.75">
      <c r="C1971" s="117"/>
      <c r="D1971" s="160"/>
      <c r="E1971" s="117"/>
      <c r="F1971" s="115"/>
      <c r="G1971" s="117"/>
      <c r="H1971" s="115"/>
      <c r="I1971" s="118"/>
      <c r="J1971" s="119"/>
      <c r="K1971" s="120"/>
      <c r="L1971" s="261"/>
      <c r="M1971" s="262"/>
      <c r="N1971" s="263"/>
      <c r="O1971" s="264"/>
      <c r="P1971" s="262"/>
      <c r="Q1971" s="262"/>
      <c r="R1971" s="262"/>
    </row>
    <row r="1972" spans="3:18" ht="15.75">
      <c r="C1972" s="117"/>
      <c r="D1972" s="160"/>
      <c r="E1972" s="117"/>
      <c r="F1972" s="115"/>
      <c r="G1972" s="117"/>
      <c r="H1972" s="115"/>
      <c r="I1972" s="118"/>
      <c r="J1972" s="119"/>
      <c r="K1972" s="120"/>
      <c r="L1972" s="261"/>
      <c r="M1972" s="262"/>
      <c r="N1972" s="263"/>
      <c r="O1972" s="264"/>
      <c r="P1972" s="262"/>
      <c r="Q1972" s="262"/>
      <c r="R1972" s="262"/>
    </row>
    <row r="1973" spans="3:18" ht="15.75">
      <c r="C1973" s="117"/>
      <c r="D1973" s="160"/>
      <c r="E1973" s="117"/>
      <c r="F1973" s="115"/>
      <c r="G1973" s="117"/>
      <c r="H1973" s="115"/>
      <c r="I1973" s="118"/>
      <c r="J1973" s="119"/>
      <c r="K1973" s="120"/>
      <c r="L1973" s="261"/>
      <c r="M1973" s="262"/>
      <c r="N1973" s="263"/>
      <c r="O1973" s="264"/>
      <c r="P1973" s="262"/>
      <c r="Q1973" s="262"/>
      <c r="R1973" s="262"/>
    </row>
    <row r="1974" spans="3:18" ht="15.75">
      <c r="C1974" s="117"/>
      <c r="D1974" s="160"/>
      <c r="E1974" s="117"/>
      <c r="F1974" s="115"/>
      <c r="G1974" s="117"/>
      <c r="H1974" s="115"/>
      <c r="I1974" s="118"/>
      <c r="J1974" s="119"/>
      <c r="K1974" s="120"/>
      <c r="L1974" s="261"/>
      <c r="M1974" s="262"/>
      <c r="N1974" s="263"/>
      <c r="O1974" s="264"/>
      <c r="P1974" s="262"/>
      <c r="Q1974" s="262"/>
      <c r="R1974" s="262"/>
    </row>
    <row r="1975" spans="3:18" ht="15.75">
      <c r="C1975" s="117"/>
      <c r="D1975" s="160"/>
      <c r="E1975" s="117"/>
      <c r="F1975" s="115"/>
      <c r="G1975" s="117"/>
      <c r="H1975" s="115"/>
      <c r="I1975" s="118"/>
      <c r="J1975" s="119"/>
      <c r="K1975" s="120"/>
      <c r="L1975" s="261"/>
      <c r="M1975" s="262"/>
      <c r="N1975" s="263"/>
      <c r="O1975" s="264"/>
      <c r="P1975" s="262"/>
      <c r="Q1975" s="262"/>
      <c r="R1975" s="262"/>
    </row>
    <row r="1976" spans="3:18" ht="15.75">
      <c r="C1976" s="117"/>
      <c r="D1976" s="160"/>
      <c r="E1976" s="117"/>
      <c r="F1976" s="115"/>
      <c r="G1976" s="117"/>
      <c r="H1976" s="115"/>
      <c r="I1976" s="118"/>
      <c r="J1976" s="119"/>
      <c r="K1976" s="120"/>
      <c r="L1976" s="261"/>
      <c r="M1976" s="262"/>
      <c r="N1976" s="263"/>
      <c r="O1976" s="264"/>
      <c r="P1976" s="262"/>
      <c r="Q1976" s="262"/>
      <c r="R1976" s="262"/>
    </row>
    <row r="1977" spans="3:18" ht="15.75">
      <c r="C1977" s="117"/>
      <c r="D1977" s="160"/>
      <c r="E1977" s="117"/>
      <c r="F1977" s="115"/>
      <c r="G1977" s="117"/>
      <c r="H1977" s="115"/>
      <c r="I1977" s="118"/>
      <c r="J1977" s="119"/>
      <c r="K1977" s="120"/>
      <c r="L1977" s="261"/>
      <c r="M1977" s="262"/>
      <c r="N1977" s="263"/>
      <c r="O1977" s="264"/>
      <c r="P1977" s="262"/>
      <c r="Q1977" s="262"/>
      <c r="R1977" s="262"/>
    </row>
    <row r="1978" spans="3:18" ht="15.75">
      <c r="C1978" s="117"/>
      <c r="D1978" s="160"/>
      <c r="E1978" s="117"/>
      <c r="F1978" s="115"/>
      <c r="G1978" s="117"/>
      <c r="H1978" s="115"/>
      <c r="I1978" s="118"/>
      <c r="J1978" s="119"/>
      <c r="K1978" s="120"/>
      <c r="L1978" s="261"/>
      <c r="M1978" s="262"/>
      <c r="N1978" s="263"/>
      <c r="O1978" s="264"/>
      <c r="P1978" s="262"/>
      <c r="Q1978" s="262"/>
      <c r="R1978" s="262"/>
    </row>
    <row r="1979" spans="3:18" ht="15.75">
      <c r="C1979" s="117"/>
      <c r="D1979" s="160"/>
      <c r="E1979" s="117"/>
      <c r="F1979" s="115"/>
      <c r="G1979" s="117"/>
      <c r="H1979" s="115"/>
      <c r="I1979" s="118"/>
      <c r="J1979" s="119"/>
      <c r="K1979" s="120"/>
      <c r="L1979" s="261"/>
      <c r="M1979" s="262"/>
      <c r="N1979" s="263"/>
      <c r="O1979" s="264"/>
      <c r="P1979" s="262"/>
      <c r="Q1979" s="262"/>
      <c r="R1979" s="262"/>
    </row>
    <row r="1980" spans="3:18" ht="15.75">
      <c r="C1980" s="117"/>
      <c r="D1980" s="160"/>
      <c r="E1980" s="117"/>
      <c r="F1980" s="115"/>
      <c r="G1980" s="117"/>
      <c r="H1980" s="115"/>
      <c r="I1980" s="118"/>
      <c r="J1980" s="119"/>
      <c r="K1980" s="120"/>
      <c r="L1980" s="261"/>
      <c r="M1980" s="262"/>
      <c r="N1980" s="263"/>
      <c r="O1980" s="264"/>
      <c r="P1980" s="262"/>
      <c r="Q1980" s="262"/>
      <c r="R1980" s="262"/>
    </row>
    <row r="1981" spans="3:18" ht="15.75">
      <c r="C1981" s="117"/>
      <c r="D1981" s="160"/>
      <c r="E1981" s="117"/>
      <c r="F1981" s="115"/>
      <c r="G1981" s="117"/>
      <c r="H1981" s="115"/>
      <c r="I1981" s="118"/>
      <c r="J1981" s="119"/>
      <c r="K1981" s="120"/>
      <c r="L1981" s="261"/>
      <c r="M1981" s="262"/>
      <c r="N1981" s="263"/>
      <c r="O1981" s="264"/>
      <c r="P1981" s="262"/>
      <c r="Q1981" s="262"/>
      <c r="R1981" s="262"/>
    </row>
    <row r="1982" spans="3:18" ht="15.75">
      <c r="C1982" s="117"/>
      <c r="D1982" s="160"/>
      <c r="E1982" s="117"/>
      <c r="F1982" s="115"/>
      <c r="G1982" s="117"/>
      <c r="H1982" s="115"/>
      <c r="I1982" s="118"/>
      <c r="J1982" s="119"/>
      <c r="K1982" s="120"/>
      <c r="L1982" s="261"/>
      <c r="M1982" s="262"/>
      <c r="N1982" s="263"/>
      <c r="O1982" s="264"/>
      <c r="P1982" s="262"/>
      <c r="Q1982" s="262"/>
      <c r="R1982" s="262"/>
    </row>
    <row r="1983" spans="3:18" ht="15.75">
      <c r="C1983" s="117"/>
      <c r="D1983" s="160"/>
      <c r="E1983" s="117"/>
      <c r="F1983" s="115"/>
      <c r="G1983" s="117"/>
      <c r="H1983" s="115"/>
      <c r="I1983" s="118"/>
      <c r="J1983" s="119"/>
      <c r="K1983" s="120"/>
      <c r="L1983" s="261"/>
      <c r="M1983" s="262"/>
      <c r="N1983" s="263"/>
      <c r="O1983" s="264"/>
      <c r="P1983" s="262"/>
      <c r="Q1983" s="262"/>
      <c r="R1983" s="262"/>
    </row>
    <row r="1984" spans="3:18" ht="15.75">
      <c r="C1984" s="117"/>
      <c r="D1984" s="160"/>
      <c r="E1984" s="117"/>
      <c r="F1984" s="115"/>
      <c r="G1984" s="117"/>
      <c r="H1984" s="115"/>
      <c r="I1984" s="118"/>
      <c r="J1984" s="119"/>
      <c r="K1984" s="120"/>
      <c r="L1984" s="261"/>
      <c r="M1984" s="262"/>
      <c r="N1984" s="263"/>
      <c r="O1984" s="264"/>
      <c r="P1984" s="262"/>
      <c r="Q1984" s="262"/>
      <c r="R1984" s="262"/>
    </row>
    <row r="1985" spans="3:18" ht="15.75">
      <c r="C1985" s="117"/>
      <c r="D1985" s="160"/>
      <c r="E1985" s="117"/>
      <c r="F1985" s="115"/>
      <c r="G1985" s="117"/>
      <c r="H1985" s="115"/>
      <c r="I1985" s="118"/>
      <c r="J1985" s="119"/>
      <c r="K1985" s="120"/>
      <c r="L1985" s="261"/>
      <c r="M1985" s="262"/>
      <c r="N1985" s="263"/>
      <c r="O1985" s="264"/>
      <c r="P1985" s="262"/>
      <c r="Q1985" s="262"/>
      <c r="R1985" s="262"/>
    </row>
    <row r="1986" spans="3:18" ht="15.75">
      <c r="C1986" s="117"/>
      <c r="D1986" s="160"/>
      <c r="E1986" s="117"/>
      <c r="F1986" s="115"/>
      <c r="G1986" s="117"/>
      <c r="H1986" s="115"/>
      <c r="I1986" s="118"/>
      <c r="J1986" s="119"/>
      <c r="K1986" s="120"/>
      <c r="L1986" s="261"/>
      <c r="M1986" s="262"/>
      <c r="N1986" s="263"/>
      <c r="O1986" s="264"/>
      <c r="P1986" s="262"/>
      <c r="Q1986" s="262"/>
      <c r="R1986" s="262"/>
    </row>
    <row r="1987" spans="3:18" ht="15.75">
      <c r="C1987" s="117"/>
      <c r="D1987" s="160"/>
      <c r="E1987" s="117"/>
      <c r="F1987" s="115"/>
      <c r="G1987" s="117"/>
      <c r="H1987" s="115"/>
      <c r="I1987" s="118"/>
      <c r="J1987" s="119"/>
      <c r="K1987" s="120"/>
      <c r="L1987" s="261"/>
      <c r="M1987" s="262"/>
      <c r="N1987" s="263"/>
      <c r="O1987" s="264"/>
      <c r="P1987" s="262"/>
      <c r="Q1987" s="262"/>
      <c r="R1987" s="262"/>
    </row>
    <row r="1988" spans="3:18" ht="15.75">
      <c r="C1988" s="117"/>
      <c r="D1988" s="160"/>
      <c r="E1988" s="117"/>
      <c r="F1988" s="115"/>
      <c r="G1988" s="117"/>
      <c r="H1988" s="115"/>
      <c r="I1988" s="118"/>
      <c r="J1988" s="119"/>
      <c r="K1988" s="120"/>
      <c r="L1988" s="261"/>
      <c r="M1988" s="262"/>
      <c r="N1988" s="263"/>
      <c r="O1988" s="264"/>
      <c r="P1988" s="262"/>
      <c r="Q1988" s="262"/>
      <c r="R1988" s="262"/>
    </row>
    <row r="1989" spans="3:18" ht="15.75">
      <c r="C1989" s="117"/>
      <c r="D1989" s="160"/>
      <c r="E1989" s="117"/>
      <c r="F1989" s="115"/>
      <c r="G1989" s="117"/>
      <c r="H1989" s="115"/>
      <c r="I1989" s="118"/>
      <c r="J1989" s="119"/>
      <c r="K1989" s="120"/>
      <c r="L1989" s="261"/>
      <c r="M1989" s="262"/>
      <c r="N1989" s="263"/>
      <c r="O1989" s="264"/>
      <c r="P1989" s="262"/>
      <c r="Q1989" s="262"/>
      <c r="R1989" s="262"/>
    </row>
    <row r="1990" spans="3:18" ht="15.75">
      <c r="C1990" s="117"/>
      <c r="D1990" s="160"/>
      <c r="E1990" s="117"/>
      <c r="F1990" s="115"/>
      <c r="G1990" s="117"/>
      <c r="H1990" s="115"/>
      <c r="I1990" s="118"/>
      <c r="J1990" s="119"/>
      <c r="K1990" s="120"/>
      <c r="L1990" s="261"/>
      <c r="M1990" s="262"/>
      <c r="N1990" s="263"/>
      <c r="O1990" s="264"/>
      <c r="P1990" s="262"/>
      <c r="Q1990" s="262"/>
      <c r="R1990" s="262"/>
    </row>
    <row r="1991" spans="3:18" ht="15.75">
      <c r="C1991" s="117"/>
      <c r="D1991" s="160"/>
      <c r="E1991" s="117"/>
      <c r="F1991" s="115"/>
      <c r="G1991" s="117"/>
      <c r="H1991" s="115"/>
      <c r="I1991" s="118"/>
      <c r="J1991" s="119"/>
      <c r="K1991" s="120"/>
      <c r="L1991" s="261"/>
      <c r="M1991" s="262"/>
      <c r="N1991" s="263"/>
      <c r="O1991" s="264"/>
      <c r="P1991" s="262"/>
      <c r="Q1991" s="262"/>
      <c r="R1991" s="262"/>
    </row>
    <row r="1992" spans="3:18" ht="15.75">
      <c r="C1992" s="117"/>
      <c r="D1992" s="160"/>
      <c r="E1992" s="117"/>
      <c r="F1992" s="115"/>
      <c r="G1992" s="117"/>
      <c r="H1992" s="115"/>
      <c r="I1992" s="118"/>
      <c r="J1992" s="119"/>
      <c r="K1992" s="120"/>
      <c r="L1992" s="261"/>
      <c r="M1992" s="262"/>
      <c r="N1992" s="263"/>
      <c r="O1992" s="264"/>
      <c r="P1992" s="262"/>
      <c r="Q1992" s="262"/>
      <c r="R1992" s="262"/>
    </row>
    <row r="1993" spans="3:18" ht="15.75">
      <c r="C1993" s="117"/>
      <c r="D1993" s="160"/>
      <c r="E1993" s="117"/>
      <c r="F1993" s="115"/>
      <c r="G1993" s="117"/>
      <c r="H1993" s="115"/>
      <c r="I1993" s="118"/>
      <c r="J1993" s="119"/>
      <c r="K1993" s="120"/>
      <c r="L1993" s="261"/>
      <c r="M1993" s="262"/>
      <c r="N1993" s="263"/>
      <c r="O1993" s="264"/>
      <c r="P1993" s="262"/>
      <c r="Q1993" s="262"/>
      <c r="R1993" s="262"/>
    </row>
    <row r="1994" spans="3:18" ht="15.75">
      <c r="C1994" s="117"/>
      <c r="D1994" s="160"/>
      <c r="E1994" s="117"/>
      <c r="F1994" s="115"/>
      <c r="G1994" s="117"/>
      <c r="H1994" s="115"/>
      <c r="I1994" s="118"/>
      <c r="J1994" s="119"/>
      <c r="K1994" s="120"/>
      <c r="L1994" s="261"/>
      <c r="M1994" s="262"/>
      <c r="N1994" s="263"/>
      <c r="O1994" s="264"/>
      <c r="P1994" s="262"/>
      <c r="Q1994" s="262"/>
      <c r="R1994" s="262"/>
    </row>
    <row r="1995" spans="3:18" ht="15.75">
      <c r="C1995" s="117"/>
      <c r="D1995" s="160"/>
      <c r="E1995" s="117"/>
      <c r="F1995" s="115"/>
      <c r="G1995" s="117"/>
      <c r="H1995" s="115"/>
      <c r="I1995" s="118"/>
      <c r="J1995" s="119"/>
      <c r="K1995" s="120"/>
      <c r="L1995" s="261"/>
      <c r="M1995" s="262"/>
      <c r="N1995" s="263"/>
      <c r="O1995" s="264"/>
      <c r="P1995" s="262"/>
      <c r="Q1995" s="262"/>
      <c r="R1995" s="262"/>
    </row>
    <row r="1996" spans="3:18" ht="15.75">
      <c r="C1996" s="117"/>
      <c r="D1996" s="160"/>
      <c r="E1996" s="117"/>
      <c r="F1996" s="115"/>
      <c r="G1996" s="117"/>
      <c r="H1996" s="115"/>
      <c r="I1996" s="118"/>
      <c r="J1996" s="119"/>
      <c r="K1996" s="120"/>
      <c r="L1996" s="261"/>
      <c r="M1996" s="262"/>
      <c r="N1996" s="263"/>
      <c r="O1996" s="264"/>
      <c r="P1996" s="262"/>
      <c r="Q1996" s="262"/>
      <c r="R1996" s="262"/>
    </row>
    <row r="1997" spans="3:18" ht="15.75">
      <c r="C1997" s="117"/>
      <c r="D1997" s="160"/>
      <c r="E1997" s="117"/>
      <c r="F1997" s="115"/>
      <c r="G1997" s="117"/>
      <c r="H1997" s="115"/>
      <c r="I1997" s="118"/>
      <c r="J1997" s="119"/>
      <c r="K1997" s="120"/>
      <c r="L1997" s="261"/>
      <c r="M1997" s="262"/>
      <c r="N1997" s="263"/>
      <c r="O1997" s="264"/>
      <c r="P1997" s="262"/>
      <c r="Q1997" s="262"/>
      <c r="R1997" s="262"/>
    </row>
    <row r="1998" spans="3:18" ht="15.75">
      <c r="C1998" s="117"/>
      <c r="D1998" s="160"/>
      <c r="E1998" s="117"/>
      <c r="F1998" s="115"/>
      <c r="G1998" s="117"/>
      <c r="H1998" s="115"/>
      <c r="I1998" s="118"/>
      <c r="J1998" s="119"/>
      <c r="K1998" s="120"/>
      <c r="L1998" s="261"/>
      <c r="M1998" s="262"/>
      <c r="N1998" s="263"/>
      <c r="O1998" s="264"/>
      <c r="P1998" s="262"/>
      <c r="Q1998" s="262"/>
      <c r="R1998" s="262"/>
    </row>
    <row r="1999" spans="3:18" ht="15.75">
      <c r="C1999" s="117"/>
      <c r="D1999" s="160"/>
      <c r="E1999" s="117"/>
      <c r="F1999" s="115"/>
      <c r="G1999" s="117"/>
      <c r="H1999" s="115"/>
      <c r="I1999" s="118"/>
      <c r="J1999" s="119"/>
      <c r="K1999" s="120"/>
      <c r="L1999" s="261"/>
      <c r="M1999" s="262"/>
      <c r="N1999" s="263"/>
      <c r="O1999" s="264"/>
      <c r="P1999" s="262"/>
      <c r="Q1999" s="262"/>
      <c r="R1999" s="262"/>
    </row>
    <row r="2000" spans="3:18" ht="15.75">
      <c r="C2000" s="117"/>
      <c r="D2000" s="160"/>
      <c r="E2000" s="117"/>
      <c r="F2000" s="115"/>
      <c r="G2000" s="117"/>
      <c r="H2000" s="115"/>
      <c r="I2000" s="118"/>
      <c r="J2000" s="119"/>
      <c r="K2000" s="120"/>
      <c r="L2000" s="261"/>
      <c r="M2000" s="262"/>
      <c r="N2000" s="263"/>
      <c r="O2000" s="264"/>
      <c r="P2000" s="262"/>
      <c r="Q2000" s="262"/>
      <c r="R2000" s="262"/>
    </row>
    <row r="2001" spans="3:18" ht="15.75">
      <c r="C2001" s="117"/>
      <c r="D2001" s="160"/>
      <c r="E2001" s="117"/>
      <c r="F2001" s="115"/>
      <c r="G2001" s="117"/>
      <c r="H2001" s="115"/>
      <c r="I2001" s="118"/>
      <c r="J2001" s="119"/>
      <c r="K2001" s="120"/>
      <c r="L2001" s="261"/>
      <c r="M2001" s="262"/>
      <c r="N2001" s="263"/>
      <c r="O2001" s="264"/>
      <c r="P2001" s="262"/>
      <c r="Q2001" s="262"/>
      <c r="R2001" s="262"/>
    </row>
    <row r="2002" spans="3:18" ht="15.75">
      <c r="C2002" s="117"/>
      <c r="D2002" s="160"/>
      <c r="E2002" s="117"/>
      <c r="F2002" s="115"/>
      <c r="G2002" s="117"/>
      <c r="H2002" s="115"/>
      <c r="I2002" s="118"/>
      <c r="J2002" s="119"/>
      <c r="K2002" s="120"/>
      <c r="L2002" s="261"/>
      <c r="M2002" s="262"/>
      <c r="N2002" s="263"/>
      <c r="O2002" s="264"/>
      <c r="P2002" s="262"/>
      <c r="Q2002" s="262"/>
      <c r="R2002" s="262"/>
    </row>
    <row r="2003" spans="3:18" ht="15.75">
      <c r="C2003" s="117"/>
      <c r="D2003" s="160"/>
      <c r="E2003" s="117"/>
      <c r="F2003" s="115"/>
      <c r="G2003" s="117"/>
      <c r="H2003" s="115"/>
      <c r="I2003" s="118"/>
      <c r="J2003" s="119"/>
      <c r="K2003" s="120"/>
      <c r="L2003" s="261"/>
      <c r="M2003" s="262"/>
      <c r="N2003" s="263"/>
      <c r="O2003" s="264"/>
      <c r="P2003" s="262"/>
      <c r="Q2003" s="262"/>
      <c r="R2003" s="262"/>
    </row>
    <row r="2004" spans="3:18" ht="15.75">
      <c r="C2004" s="117"/>
      <c r="D2004" s="160"/>
      <c r="E2004" s="117"/>
      <c r="F2004" s="115"/>
      <c r="G2004" s="117"/>
      <c r="H2004" s="115"/>
      <c r="I2004" s="118"/>
      <c r="J2004" s="119"/>
      <c r="K2004" s="120"/>
      <c r="L2004" s="261"/>
      <c r="M2004" s="262"/>
      <c r="N2004" s="263"/>
      <c r="O2004" s="264"/>
      <c r="P2004" s="262"/>
      <c r="Q2004" s="262"/>
      <c r="R2004" s="262"/>
    </row>
    <row r="2005" spans="3:18" ht="15.75">
      <c r="C2005" s="117"/>
      <c r="D2005" s="160"/>
      <c r="E2005" s="117"/>
      <c r="F2005" s="115"/>
      <c r="G2005" s="117"/>
      <c r="H2005" s="115"/>
      <c r="I2005" s="118"/>
      <c r="J2005" s="119"/>
      <c r="K2005" s="120"/>
      <c r="L2005" s="261"/>
      <c r="M2005" s="262"/>
      <c r="N2005" s="263"/>
      <c r="O2005" s="264"/>
      <c r="P2005" s="262"/>
      <c r="Q2005" s="262"/>
      <c r="R2005" s="262"/>
    </row>
    <row r="2006" spans="3:18" ht="15.75">
      <c r="C2006" s="117"/>
      <c r="D2006" s="160"/>
      <c r="E2006" s="117"/>
      <c r="F2006" s="115"/>
      <c r="G2006" s="117"/>
      <c r="H2006" s="115"/>
      <c r="I2006" s="118"/>
      <c r="J2006" s="119"/>
      <c r="K2006" s="120"/>
      <c r="L2006" s="261"/>
      <c r="M2006" s="262"/>
      <c r="N2006" s="263"/>
      <c r="O2006" s="264"/>
      <c r="P2006" s="262"/>
      <c r="Q2006" s="262"/>
      <c r="R2006" s="262"/>
    </row>
    <row r="2007" spans="3:18" ht="15.75">
      <c r="C2007" s="117"/>
      <c r="D2007" s="160"/>
      <c r="E2007" s="117"/>
      <c r="F2007" s="115"/>
      <c r="G2007" s="117"/>
      <c r="H2007" s="115"/>
      <c r="I2007" s="118"/>
      <c r="J2007" s="119"/>
      <c r="K2007" s="120"/>
      <c r="L2007" s="261"/>
      <c r="M2007" s="262"/>
      <c r="N2007" s="263"/>
      <c r="O2007" s="264"/>
      <c r="P2007" s="262"/>
      <c r="Q2007" s="262"/>
      <c r="R2007" s="262"/>
    </row>
    <row r="2008" spans="3:18" ht="15.75">
      <c r="C2008" s="117"/>
      <c r="D2008" s="160"/>
      <c r="E2008" s="117"/>
      <c r="F2008" s="115"/>
      <c r="G2008" s="117"/>
      <c r="H2008" s="115"/>
      <c r="I2008" s="118"/>
      <c r="J2008" s="119"/>
      <c r="K2008" s="120"/>
      <c r="L2008" s="261"/>
      <c r="M2008" s="262"/>
      <c r="N2008" s="263"/>
      <c r="O2008" s="264"/>
      <c r="P2008" s="262"/>
      <c r="Q2008" s="262"/>
      <c r="R2008" s="262"/>
    </row>
    <row r="2009" spans="3:18" ht="15.75">
      <c r="C2009" s="117"/>
      <c r="D2009" s="160"/>
      <c r="E2009" s="117"/>
      <c r="F2009" s="115"/>
      <c r="G2009" s="117"/>
      <c r="H2009" s="115"/>
      <c r="I2009" s="118"/>
      <c r="J2009" s="119"/>
      <c r="K2009" s="120"/>
      <c r="L2009" s="261"/>
      <c r="M2009" s="262"/>
      <c r="N2009" s="263"/>
      <c r="O2009" s="264"/>
      <c r="P2009" s="262"/>
      <c r="Q2009" s="262"/>
      <c r="R2009" s="262"/>
    </row>
    <row r="2010" spans="3:18" ht="15.75">
      <c r="C2010" s="117"/>
      <c r="D2010" s="160"/>
      <c r="E2010" s="117"/>
      <c r="F2010" s="115"/>
      <c r="G2010" s="117"/>
      <c r="H2010" s="115"/>
      <c r="I2010" s="118"/>
      <c r="J2010" s="119"/>
      <c r="K2010" s="120"/>
      <c r="L2010" s="261"/>
      <c r="M2010" s="262"/>
      <c r="N2010" s="263"/>
      <c r="O2010" s="264"/>
      <c r="P2010" s="262"/>
      <c r="Q2010" s="262"/>
      <c r="R2010" s="262"/>
    </row>
    <row r="2011" spans="3:18" ht="15.75">
      <c r="C2011" s="117"/>
      <c r="D2011" s="160"/>
      <c r="E2011" s="117"/>
      <c r="F2011" s="115"/>
      <c r="G2011" s="117"/>
      <c r="H2011" s="115"/>
      <c r="I2011" s="118"/>
      <c r="J2011" s="119"/>
      <c r="K2011" s="120"/>
      <c r="L2011" s="261"/>
      <c r="M2011" s="262"/>
      <c r="N2011" s="263"/>
      <c r="O2011" s="264"/>
      <c r="P2011" s="262"/>
      <c r="Q2011" s="262"/>
      <c r="R2011" s="262"/>
    </row>
    <row r="2012" spans="3:18" ht="15.75">
      <c r="C2012" s="117"/>
      <c r="D2012" s="160"/>
      <c r="E2012" s="117"/>
      <c r="F2012" s="115"/>
      <c r="G2012" s="117"/>
      <c r="H2012" s="115"/>
      <c r="I2012" s="118"/>
      <c r="J2012" s="119"/>
      <c r="K2012" s="120"/>
      <c r="L2012" s="261"/>
      <c r="M2012" s="262"/>
      <c r="N2012" s="263"/>
      <c r="O2012" s="264"/>
      <c r="P2012" s="262"/>
      <c r="Q2012" s="262"/>
      <c r="R2012" s="262"/>
    </row>
    <row r="2013" spans="3:18" ht="15.75">
      <c r="C2013" s="117"/>
      <c r="D2013" s="160"/>
      <c r="E2013" s="117"/>
      <c r="F2013" s="115"/>
      <c r="G2013" s="117"/>
      <c r="H2013" s="115"/>
      <c r="I2013" s="118"/>
      <c r="J2013" s="119"/>
      <c r="K2013" s="120"/>
      <c r="L2013" s="261"/>
      <c r="M2013" s="262"/>
      <c r="N2013" s="263"/>
      <c r="O2013" s="264"/>
      <c r="P2013" s="262"/>
      <c r="Q2013" s="262"/>
      <c r="R2013" s="262"/>
    </row>
    <row r="2014" spans="3:18" ht="15.75">
      <c r="C2014" s="117"/>
      <c r="D2014" s="160"/>
      <c r="E2014" s="117"/>
      <c r="F2014" s="115"/>
      <c r="G2014" s="117"/>
      <c r="H2014" s="115"/>
      <c r="I2014" s="118"/>
      <c r="J2014" s="119"/>
      <c r="K2014" s="120"/>
      <c r="L2014" s="261"/>
      <c r="M2014" s="262"/>
      <c r="N2014" s="263"/>
      <c r="O2014" s="264"/>
      <c r="P2014" s="262"/>
      <c r="Q2014" s="262"/>
      <c r="R2014" s="262"/>
    </row>
    <row r="2015" spans="3:18" ht="15.75">
      <c r="C2015" s="117"/>
      <c r="D2015" s="160"/>
      <c r="E2015" s="117"/>
      <c r="F2015" s="115"/>
      <c r="G2015" s="117"/>
      <c r="H2015" s="115"/>
      <c r="I2015" s="118"/>
      <c r="J2015" s="119"/>
      <c r="K2015" s="120"/>
      <c r="L2015" s="261"/>
      <c r="M2015" s="262"/>
      <c r="N2015" s="263"/>
      <c r="O2015" s="264"/>
      <c r="P2015" s="262"/>
      <c r="Q2015" s="262"/>
      <c r="R2015" s="262"/>
    </row>
    <row r="2016" spans="3:18" ht="15.75">
      <c r="C2016" s="117"/>
      <c r="D2016" s="160"/>
      <c r="E2016" s="117"/>
      <c r="F2016" s="115"/>
      <c r="G2016" s="117"/>
      <c r="H2016" s="115"/>
      <c r="I2016" s="118"/>
      <c r="J2016" s="119"/>
      <c r="K2016" s="120"/>
      <c r="L2016" s="261"/>
      <c r="M2016" s="262"/>
      <c r="N2016" s="263"/>
      <c r="O2016" s="264"/>
      <c r="P2016" s="262"/>
      <c r="Q2016" s="262"/>
      <c r="R2016" s="262"/>
    </row>
    <row r="2017" spans="3:18" ht="15.75">
      <c r="C2017" s="117"/>
      <c r="D2017" s="160"/>
      <c r="E2017" s="117"/>
      <c r="F2017" s="115"/>
      <c r="G2017" s="117"/>
      <c r="H2017" s="115"/>
      <c r="I2017" s="118"/>
      <c r="J2017" s="119"/>
      <c r="K2017" s="120"/>
      <c r="L2017" s="261"/>
      <c r="M2017" s="262"/>
      <c r="N2017" s="263"/>
      <c r="O2017" s="264"/>
      <c r="P2017" s="262"/>
      <c r="Q2017" s="262"/>
      <c r="R2017" s="262"/>
    </row>
    <row r="2018" spans="3:18" ht="15.75">
      <c r="C2018" s="117"/>
      <c r="D2018" s="160"/>
      <c r="E2018" s="117"/>
      <c r="F2018" s="115"/>
      <c r="G2018" s="117"/>
      <c r="H2018" s="115"/>
      <c r="I2018" s="118"/>
      <c r="J2018" s="119"/>
      <c r="K2018" s="120"/>
      <c r="L2018" s="261"/>
      <c r="M2018" s="262"/>
      <c r="N2018" s="263"/>
      <c r="O2018" s="264"/>
      <c r="P2018" s="262"/>
      <c r="Q2018" s="262"/>
      <c r="R2018" s="262"/>
    </row>
    <row r="2019" spans="3:18" ht="15.75">
      <c r="C2019" s="117"/>
      <c r="D2019" s="160"/>
      <c r="E2019" s="117"/>
      <c r="F2019" s="115"/>
      <c r="G2019" s="117"/>
      <c r="H2019" s="115"/>
      <c r="I2019" s="118"/>
      <c r="J2019" s="119"/>
      <c r="K2019" s="120"/>
      <c r="L2019" s="261"/>
      <c r="M2019" s="262"/>
      <c r="N2019" s="263"/>
      <c r="O2019" s="264"/>
      <c r="P2019" s="262"/>
      <c r="Q2019" s="262"/>
      <c r="R2019" s="262"/>
    </row>
    <row r="2020" spans="3:18" ht="15.75">
      <c r="C2020" s="117"/>
      <c r="D2020" s="160"/>
      <c r="E2020" s="117"/>
      <c r="F2020" s="115"/>
      <c r="G2020" s="117"/>
      <c r="H2020" s="115"/>
      <c r="I2020" s="118"/>
      <c r="J2020" s="119"/>
      <c r="K2020" s="120"/>
      <c r="L2020" s="261"/>
      <c r="M2020" s="262"/>
      <c r="N2020" s="263"/>
      <c r="O2020" s="264"/>
      <c r="P2020" s="262"/>
      <c r="Q2020" s="262"/>
      <c r="R2020" s="262"/>
    </row>
    <row r="2021" spans="3:18" ht="15.75">
      <c r="C2021" s="117"/>
      <c r="D2021" s="160"/>
      <c r="E2021" s="117"/>
      <c r="F2021" s="115"/>
      <c r="G2021" s="117"/>
      <c r="H2021" s="115"/>
      <c r="I2021" s="118"/>
      <c r="J2021" s="119"/>
      <c r="K2021" s="120"/>
      <c r="L2021" s="261"/>
      <c r="M2021" s="262"/>
      <c r="N2021" s="263"/>
      <c r="O2021" s="264"/>
      <c r="P2021" s="262"/>
      <c r="Q2021" s="262"/>
      <c r="R2021" s="262"/>
    </row>
    <row r="2022" spans="3:18" ht="15.75">
      <c r="C2022" s="117"/>
      <c r="D2022" s="160"/>
      <c r="E2022" s="117"/>
      <c r="F2022" s="115"/>
      <c r="G2022" s="117"/>
      <c r="H2022" s="115"/>
      <c r="I2022" s="118"/>
      <c r="J2022" s="119"/>
      <c r="K2022" s="120"/>
      <c r="L2022" s="261"/>
      <c r="M2022" s="262"/>
      <c r="N2022" s="263"/>
      <c r="O2022" s="264"/>
      <c r="P2022" s="262"/>
      <c r="Q2022" s="262"/>
      <c r="R2022" s="262"/>
    </row>
    <row r="2023" spans="3:18" ht="15.75">
      <c r="C2023" s="117"/>
      <c r="D2023" s="160"/>
      <c r="E2023" s="117"/>
      <c r="F2023" s="115"/>
      <c r="G2023" s="117"/>
      <c r="H2023" s="115"/>
      <c r="I2023" s="118"/>
      <c r="J2023" s="119"/>
      <c r="K2023" s="120"/>
      <c r="L2023" s="261"/>
      <c r="M2023" s="262"/>
      <c r="N2023" s="263"/>
      <c r="O2023" s="264"/>
      <c r="P2023" s="262"/>
      <c r="Q2023" s="262"/>
      <c r="R2023" s="262"/>
    </row>
    <row r="2024" spans="3:18" ht="15.75">
      <c r="C2024" s="117"/>
      <c r="D2024" s="160"/>
      <c r="E2024" s="117"/>
      <c r="F2024" s="115"/>
      <c r="G2024" s="117"/>
      <c r="H2024" s="115"/>
      <c r="I2024" s="118"/>
      <c r="J2024" s="119"/>
      <c r="K2024" s="120"/>
      <c r="L2024" s="261"/>
      <c r="M2024" s="262"/>
      <c r="N2024" s="263"/>
      <c r="O2024" s="264"/>
      <c r="P2024" s="262"/>
      <c r="Q2024" s="262"/>
      <c r="R2024" s="262"/>
    </row>
    <row r="2025" spans="3:18" ht="15.75">
      <c r="C2025" s="117"/>
      <c r="D2025" s="160"/>
      <c r="E2025" s="117"/>
      <c r="F2025" s="115"/>
      <c r="G2025" s="117"/>
      <c r="H2025" s="115"/>
      <c r="I2025" s="118"/>
      <c r="J2025" s="119"/>
      <c r="K2025" s="120"/>
      <c r="L2025" s="261"/>
      <c r="M2025" s="262"/>
      <c r="N2025" s="263"/>
      <c r="O2025" s="264"/>
      <c r="P2025" s="262"/>
      <c r="Q2025" s="262"/>
      <c r="R2025" s="262"/>
    </row>
    <row r="2026" spans="3:18" ht="15.75">
      <c r="C2026" s="117"/>
      <c r="D2026" s="160"/>
      <c r="E2026" s="117"/>
      <c r="F2026" s="115"/>
      <c r="G2026" s="117"/>
      <c r="H2026" s="115"/>
      <c r="I2026" s="118"/>
      <c r="J2026" s="119"/>
      <c r="K2026" s="120"/>
      <c r="L2026" s="261"/>
      <c r="M2026" s="262"/>
      <c r="N2026" s="263"/>
      <c r="O2026" s="264"/>
      <c r="P2026" s="262"/>
      <c r="Q2026" s="262"/>
      <c r="R2026" s="262"/>
    </row>
    <row r="2027" spans="3:18" ht="15.75">
      <c r="C2027" s="117"/>
      <c r="D2027" s="160"/>
      <c r="E2027" s="117"/>
      <c r="F2027" s="115"/>
      <c r="G2027" s="117"/>
      <c r="H2027" s="115"/>
      <c r="I2027" s="118"/>
      <c r="J2027" s="119"/>
      <c r="K2027" s="120"/>
      <c r="L2027" s="261"/>
      <c r="M2027" s="262"/>
      <c r="N2027" s="263"/>
      <c r="O2027" s="264"/>
      <c r="P2027" s="262"/>
      <c r="Q2027" s="262"/>
      <c r="R2027" s="262"/>
    </row>
    <row r="2028" spans="3:18" ht="15.75">
      <c r="C2028" s="117"/>
      <c r="D2028" s="160"/>
      <c r="E2028" s="117"/>
      <c r="F2028" s="115"/>
      <c r="G2028" s="117"/>
      <c r="H2028" s="115"/>
      <c r="I2028" s="118"/>
      <c r="J2028" s="119"/>
      <c r="K2028" s="120"/>
      <c r="L2028" s="261"/>
      <c r="M2028" s="262"/>
      <c r="N2028" s="263"/>
      <c r="O2028" s="264"/>
      <c r="P2028" s="262"/>
      <c r="Q2028" s="262"/>
      <c r="R2028" s="262"/>
    </row>
    <row r="2029" spans="3:18" ht="15.75">
      <c r="C2029" s="117"/>
      <c r="D2029" s="160"/>
      <c r="E2029" s="117"/>
      <c r="F2029" s="115"/>
      <c r="G2029" s="117"/>
      <c r="H2029" s="115"/>
      <c r="I2029" s="118"/>
      <c r="J2029" s="119"/>
      <c r="K2029" s="120"/>
      <c r="L2029" s="261"/>
      <c r="M2029" s="262"/>
      <c r="N2029" s="263"/>
      <c r="O2029" s="264"/>
      <c r="P2029" s="262"/>
      <c r="Q2029" s="262"/>
      <c r="R2029" s="262"/>
    </row>
    <row r="2030" spans="3:18" ht="15.75">
      <c r="C2030" s="117"/>
      <c r="D2030" s="160"/>
      <c r="E2030" s="117"/>
      <c r="F2030" s="115"/>
      <c r="G2030" s="117"/>
      <c r="H2030" s="115"/>
      <c r="I2030" s="118"/>
      <c r="J2030" s="119"/>
      <c r="K2030" s="120"/>
      <c r="L2030" s="261"/>
      <c r="M2030" s="262"/>
      <c r="N2030" s="263"/>
      <c r="O2030" s="264"/>
      <c r="P2030" s="262"/>
      <c r="Q2030" s="262"/>
      <c r="R2030" s="262"/>
    </row>
    <row r="2031" spans="3:18" ht="15.75">
      <c r="C2031" s="117"/>
      <c r="D2031" s="160"/>
      <c r="E2031" s="117"/>
      <c r="F2031" s="115"/>
      <c r="G2031" s="117"/>
      <c r="H2031" s="115"/>
      <c r="I2031" s="118"/>
      <c r="J2031" s="119"/>
      <c r="K2031" s="120"/>
      <c r="L2031" s="261"/>
      <c r="M2031" s="262"/>
      <c r="N2031" s="263"/>
      <c r="O2031" s="264"/>
      <c r="P2031" s="262"/>
      <c r="Q2031" s="262"/>
      <c r="R2031" s="262"/>
    </row>
    <row r="2032" spans="3:18" ht="15.75">
      <c r="C2032" s="117"/>
      <c r="D2032" s="160"/>
      <c r="E2032" s="117"/>
      <c r="F2032" s="115"/>
      <c r="G2032" s="117"/>
      <c r="H2032" s="115"/>
      <c r="I2032" s="118"/>
      <c r="J2032" s="119"/>
      <c r="K2032" s="120"/>
      <c r="L2032" s="261"/>
      <c r="M2032" s="262"/>
      <c r="N2032" s="263"/>
      <c r="O2032" s="264"/>
      <c r="P2032" s="262"/>
      <c r="Q2032" s="262"/>
      <c r="R2032" s="262"/>
    </row>
    <row r="2033" spans="3:18" ht="15.75">
      <c r="C2033" s="117"/>
      <c r="D2033" s="160"/>
      <c r="E2033" s="117"/>
      <c r="F2033" s="115"/>
      <c r="G2033" s="117"/>
      <c r="H2033" s="115"/>
      <c r="I2033" s="118"/>
      <c r="J2033" s="119"/>
      <c r="K2033" s="120"/>
      <c r="L2033" s="261"/>
      <c r="M2033" s="262"/>
      <c r="N2033" s="263"/>
      <c r="O2033" s="264"/>
      <c r="P2033" s="262"/>
      <c r="Q2033" s="262"/>
      <c r="R2033" s="262"/>
    </row>
    <row r="2034" spans="3:18" ht="15.75">
      <c r="C2034" s="117"/>
      <c r="D2034" s="160"/>
      <c r="E2034" s="117"/>
      <c r="F2034" s="115"/>
      <c r="G2034" s="117"/>
      <c r="H2034" s="115"/>
      <c r="I2034" s="118"/>
      <c r="J2034" s="119"/>
      <c r="K2034" s="120"/>
      <c r="L2034" s="261"/>
      <c r="M2034" s="262"/>
      <c r="N2034" s="263"/>
      <c r="O2034" s="264"/>
      <c r="P2034" s="262"/>
      <c r="Q2034" s="262"/>
      <c r="R2034" s="262"/>
    </row>
    <row r="2035" spans="3:18" ht="15.75">
      <c r="C2035" s="117"/>
      <c r="D2035" s="160"/>
      <c r="E2035" s="117"/>
      <c r="F2035" s="115"/>
      <c r="G2035" s="117"/>
      <c r="H2035" s="115"/>
      <c r="I2035" s="118"/>
      <c r="J2035" s="119"/>
      <c r="K2035" s="120"/>
      <c r="L2035" s="261"/>
      <c r="M2035" s="262"/>
      <c r="N2035" s="263"/>
      <c r="O2035" s="264"/>
      <c r="P2035" s="262"/>
      <c r="Q2035" s="262"/>
      <c r="R2035" s="262"/>
    </row>
    <row r="2036" spans="3:18" ht="15.75">
      <c r="C2036" s="117"/>
      <c r="D2036" s="160"/>
      <c r="E2036" s="117"/>
      <c r="F2036" s="115"/>
      <c r="G2036" s="117"/>
      <c r="H2036" s="115"/>
      <c r="I2036" s="118"/>
      <c r="J2036" s="119"/>
      <c r="K2036" s="120"/>
      <c r="L2036" s="261"/>
      <c r="M2036" s="262"/>
      <c r="N2036" s="263"/>
      <c r="O2036" s="264"/>
      <c r="P2036" s="262"/>
      <c r="Q2036" s="262"/>
      <c r="R2036" s="262"/>
    </row>
    <row r="2037" spans="3:18" ht="15.75">
      <c r="C2037" s="117"/>
      <c r="D2037" s="160"/>
      <c r="E2037" s="117"/>
      <c r="F2037" s="115"/>
      <c r="G2037" s="117"/>
      <c r="H2037" s="115"/>
      <c r="I2037" s="118"/>
      <c r="J2037" s="119"/>
      <c r="K2037" s="120"/>
      <c r="L2037" s="261"/>
      <c r="M2037" s="262"/>
      <c r="N2037" s="263"/>
      <c r="O2037" s="264"/>
      <c r="P2037" s="262"/>
      <c r="Q2037" s="262"/>
      <c r="R2037" s="262"/>
    </row>
    <row r="2038" spans="3:18" ht="15.75">
      <c r="C2038" s="117"/>
      <c r="D2038" s="160"/>
      <c r="E2038" s="117"/>
      <c r="F2038" s="115"/>
      <c r="G2038" s="117"/>
      <c r="H2038" s="115"/>
      <c r="I2038" s="118"/>
      <c r="J2038" s="119"/>
      <c r="K2038" s="120"/>
      <c r="L2038" s="261"/>
      <c r="M2038" s="262"/>
      <c r="N2038" s="263"/>
      <c r="O2038" s="264"/>
      <c r="P2038" s="262"/>
      <c r="Q2038" s="262"/>
      <c r="R2038" s="262"/>
    </row>
    <row r="2039" spans="3:18" ht="15.75">
      <c r="C2039" s="117"/>
      <c r="D2039" s="160"/>
      <c r="E2039" s="117"/>
      <c r="F2039" s="115"/>
      <c r="G2039" s="117"/>
      <c r="H2039" s="115"/>
      <c r="I2039" s="118"/>
      <c r="J2039" s="119"/>
      <c r="K2039" s="120"/>
      <c r="L2039" s="261"/>
      <c r="M2039" s="262"/>
      <c r="N2039" s="263"/>
      <c r="O2039" s="264"/>
      <c r="P2039" s="262"/>
      <c r="Q2039" s="262"/>
      <c r="R2039" s="262"/>
    </row>
    <row r="2040" spans="3:18" ht="15.75">
      <c r="C2040" s="117"/>
      <c r="D2040" s="160"/>
      <c r="E2040" s="117"/>
      <c r="F2040" s="115"/>
      <c r="G2040" s="117"/>
      <c r="H2040" s="115"/>
      <c r="I2040" s="118"/>
      <c r="J2040" s="119"/>
      <c r="K2040" s="120"/>
      <c r="L2040" s="261"/>
      <c r="M2040" s="262"/>
      <c r="N2040" s="263"/>
      <c r="O2040" s="264"/>
      <c r="P2040" s="262"/>
      <c r="Q2040" s="262"/>
      <c r="R2040" s="262"/>
    </row>
    <row r="2041" spans="3:18" ht="15.75">
      <c r="C2041" s="117"/>
      <c r="D2041" s="160"/>
      <c r="E2041" s="117"/>
      <c r="F2041" s="115"/>
      <c r="G2041" s="117"/>
      <c r="H2041" s="115"/>
      <c r="I2041" s="118"/>
      <c r="J2041" s="119"/>
      <c r="K2041" s="120"/>
      <c r="L2041" s="261"/>
      <c r="M2041" s="262"/>
      <c r="N2041" s="263"/>
      <c r="O2041" s="264"/>
      <c r="P2041" s="262"/>
      <c r="Q2041" s="262"/>
      <c r="R2041" s="262"/>
    </row>
    <row r="2042" spans="3:18" ht="15.75">
      <c r="C2042" s="117"/>
      <c r="D2042" s="160"/>
      <c r="E2042" s="117"/>
      <c r="F2042" s="115"/>
      <c r="G2042" s="117"/>
      <c r="H2042" s="115"/>
      <c r="I2042" s="118"/>
      <c r="J2042" s="119"/>
      <c r="K2042" s="120"/>
      <c r="L2042" s="261"/>
      <c r="M2042" s="262"/>
      <c r="N2042" s="263"/>
      <c r="O2042" s="264"/>
      <c r="P2042" s="262"/>
      <c r="Q2042" s="262"/>
      <c r="R2042" s="262"/>
    </row>
    <row r="2043" spans="3:18" ht="15.75">
      <c r="C2043" s="117"/>
      <c r="D2043" s="160"/>
      <c r="E2043" s="117"/>
      <c r="F2043" s="115"/>
      <c r="G2043" s="117"/>
      <c r="H2043" s="115"/>
      <c r="I2043" s="118"/>
      <c r="J2043" s="119"/>
      <c r="K2043" s="120"/>
      <c r="L2043" s="261"/>
      <c r="M2043" s="262"/>
      <c r="N2043" s="263"/>
      <c r="O2043" s="264"/>
      <c r="P2043" s="262"/>
      <c r="Q2043" s="262"/>
      <c r="R2043" s="262"/>
    </row>
    <row r="2044" spans="3:18" ht="15.75">
      <c r="C2044" s="117"/>
      <c r="D2044" s="160"/>
      <c r="E2044" s="117"/>
      <c r="F2044" s="115"/>
      <c r="G2044" s="117"/>
      <c r="H2044" s="115"/>
      <c r="I2044" s="118"/>
      <c r="J2044" s="119"/>
      <c r="K2044" s="120"/>
      <c r="L2044" s="261"/>
      <c r="M2044" s="262"/>
      <c r="N2044" s="263"/>
      <c r="O2044" s="264"/>
      <c r="P2044" s="262"/>
      <c r="Q2044" s="262"/>
      <c r="R2044" s="262"/>
    </row>
    <row r="2045" spans="3:18" ht="15.75">
      <c r="C2045" s="117"/>
      <c r="D2045" s="160"/>
      <c r="E2045" s="117"/>
      <c r="F2045" s="115"/>
      <c r="G2045" s="117"/>
      <c r="H2045" s="115"/>
      <c r="I2045" s="118"/>
      <c r="J2045" s="119"/>
      <c r="K2045" s="120"/>
      <c r="L2045" s="261"/>
      <c r="M2045" s="262"/>
      <c r="N2045" s="263"/>
      <c r="O2045" s="264"/>
      <c r="P2045" s="262"/>
      <c r="Q2045" s="262"/>
      <c r="R2045" s="262"/>
    </row>
    <row r="2046" spans="3:18" ht="15.75">
      <c r="C2046" s="117"/>
      <c r="D2046" s="160"/>
      <c r="E2046" s="117"/>
      <c r="F2046" s="115"/>
      <c r="G2046" s="117"/>
      <c r="H2046" s="115"/>
      <c r="I2046" s="118"/>
      <c r="J2046" s="119"/>
      <c r="K2046" s="120"/>
      <c r="L2046" s="261"/>
      <c r="M2046" s="262"/>
      <c r="N2046" s="263"/>
      <c r="O2046" s="264"/>
      <c r="P2046" s="262"/>
      <c r="Q2046" s="262"/>
      <c r="R2046" s="262"/>
    </row>
    <row r="2047" spans="3:18" ht="15.75">
      <c r="C2047" s="117"/>
      <c r="D2047" s="160"/>
      <c r="E2047" s="117"/>
      <c r="F2047" s="115"/>
      <c r="G2047" s="117"/>
      <c r="H2047" s="115"/>
      <c r="I2047" s="118"/>
      <c r="J2047" s="119"/>
      <c r="K2047" s="120"/>
      <c r="L2047" s="261"/>
      <c r="M2047" s="262"/>
      <c r="N2047" s="263"/>
      <c r="O2047" s="264"/>
      <c r="P2047" s="262"/>
      <c r="Q2047" s="262"/>
      <c r="R2047" s="262"/>
    </row>
    <row r="2048" spans="3:18" ht="15.75">
      <c r="C2048" s="117"/>
      <c r="D2048" s="160"/>
      <c r="E2048" s="117"/>
      <c r="F2048" s="115"/>
      <c r="G2048" s="117"/>
      <c r="H2048" s="115"/>
      <c r="I2048" s="118"/>
      <c r="J2048" s="119"/>
      <c r="K2048" s="120"/>
      <c r="L2048" s="261"/>
      <c r="M2048" s="262"/>
      <c r="N2048" s="263"/>
      <c r="O2048" s="264"/>
      <c r="P2048" s="262"/>
      <c r="Q2048" s="262"/>
      <c r="R2048" s="262"/>
    </row>
    <row r="2049" spans="3:18" ht="15.75">
      <c r="C2049" s="117"/>
      <c r="D2049" s="160"/>
      <c r="E2049" s="117"/>
      <c r="F2049" s="115"/>
      <c r="G2049" s="117"/>
      <c r="H2049" s="115"/>
      <c r="I2049" s="118"/>
      <c r="J2049" s="119"/>
      <c r="K2049" s="120"/>
      <c r="L2049" s="261"/>
      <c r="M2049" s="262"/>
      <c r="N2049" s="263"/>
      <c r="O2049" s="264"/>
      <c r="P2049" s="262"/>
      <c r="Q2049" s="262"/>
      <c r="R2049" s="262"/>
    </row>
    <row r="2050" spans="3:18" ht="15.75">
      <c r="C2050" s="117"/>
      <c r="D2050" s="160"/>
      <c r="E2050" s="117"/>
      <c r="F2050" s="115"/>
      <c r="G2050" s="117"/>
      <c r="H2050" s="115"/>
      <c r="I2050" s="118"/>
      <c r="J2050" s="119"/>
      <c r="K2050" s="120"/>
      <c r="L2050" s="261"/>
      <c r="M2050" s="262"/>
      <c r="N2050" s="263"/>
      <c r="O2050" s="264"/>
      <c r="P2050" s="262"/>
      <c r="Q2050" s="262"/>
      <c r="R2050" s="262"/>
    </row>
    <row r="2051" spans="3:18" ht="15.75">
      <c r="C2051" s="117"/>
      <c r="D2051" s="160"/>
      <c r="E2051" s="117"/>
      <c r="F2051" s="115"/>
      <c r="G2051" s="117"/>
      <c r="H2051" s="115"/>
      <c r="I2051" s="118"/>
      <c r="J2051" s="119"/>
      <c r="K2051" s="120"/>
      <c r="L2051" s="261"/>
      <c r="M2051" s="262"/>
      <c r="N2051" s="263"/>
      <c r="O2051" s="264"/>
      <c r="P2051" s="262"/>
      <c r="Q2051" s="262"/>
      <c r="R2051" s="262"/>
    </row>
    <row r="2052" spans="3:18" ht="15.75">
      <c r="C2052" s="117"/>
      <c r="D2052" s="160"/>
      <c r="E2052" s="117"/>
      <c r="F2052" s="115"/>
      <c r="G2052" s="117"/>
      <c r="H2052" s="115"/>
      <c r="I2052" s="118"/>
      <c r="J2052" s="119"/>
      <c r="K2052" s="120"/>
      <c r="L2052" s="261"/>
      <c r="M2052" s="262"/>
      <c r="N2052" s="263"/>
      <c r="O2052" s="264"/>
      <c r="P2052" s="262"/>
      <c r="Q2052" s="262"/>
      <c r="R2052" s="262"/>
    </row>
    <row r="2053" spans="3:18" ht="15.75">
      <c r="C2053" s="117"/>
      <c r="D2053" s="160"/>
      <c r="E2053" s="117"/>
      <c r="F2053" s="115"/>
      <c r="G2053" s="117"/>
      <c r="H2053" s="115"/>
      <c r="I2053" s="118"/>
      <c r="J2053" s="119"/>
      <c r="K2053" s="120"/>
      <c r="L2053" s="261"/>
      <c r="M2053" s="262"/>
      <c r="N2053" s="263"/>
      <c r="O2053" s="264"/>
      <c r="P2053" s="262"/>
      <c r="Q2053" s="262"/>
      <c r="R2053" s="262"/>
    </row>
    <row r="2054" spans="3:18" ht="15.75">
      <c r="C2054" s="117"/>
      <c r="D2054" s="160"/>
      <c r="E2054" s="117"/>
      <c r="F2054" s="115"/>
      <c r="G2054" s="117"/>
      <c r="H2054" s="115"/>
      <c r="I2054" s="118"/>
      <c r="J2054" s="119"/>
      <c r="K2054" s="120"/>
      <c r="L2054" s="261"/>
      <c r="M2054" s="262"/>
      <c r="N2054" s="263"/>
      <c r="O2054" s="264"/>
      <c r="P2054" s="262"/>
      <c r="Q2054" s="262"/>
      <c r="R2054" s="262"/>
    </row>
    <row r="2055" spans="3:18" ht="15.75">
      <c r="C2055" s="117"/>
      <c r="D2055" s="160"/>
      <c r="E2055" s="117"/>
      <c r="F2055" s="115"/>
      <c r="G2055" s="117"/>
      <c r="H2055" s="115"/>
      <c r="I2055" s="118"/>
      <c r="J2055" s="119"/>
      <c r="K2055" s="120"/>
      <c r="L2055" s="261"/>
      <c r="M2055" s="262"/>
      <c r="N2055" s="263"/>
      <c r="O2055" s="264"/>
      <c r="P2055" s="262"/>
      <c r="Q2055" s="262"/>
      <c r="R2055" s="262"/>
    </row>
    <row r="2056" spans="3:18" ht="15.75">
      <c r="C2056" s="117"/>
      <c r="D2056" s="160"/>
      <c r="E2056" s="117"/>
      <c r="F2056" s="115"/>
      <c r="G2056" s="117"/>
      <c r="H2056" s="115"/>
      <c r="I2056" s="118"/>
      <c r="J2056" s="119"/>
      <c r="K2056" s="120"/>
      <c r="L2056" s="261"/>
      <c r="M2056" s="262"/>
      <c r="N2056" s="263"/>
      <c r="O2056" s="264"/>
      <c r="P2056" s="262"/>
      <c r="Q2056" s="262"/>
      <c r="R2056" s="262"/>
    </row>
    <row r="2057" spans="3:18" ht="15.75">
      <c r="C2057" s="117"/>
      <c r="D2057" s="160"/>
      <c r="E2057" s="117"/>
      <c r="F2057" s="115"/>
      <c r="G2057" s="117"/>
      <c r="H2057" s="115"/>
      <c r="I2057" s="118"/>
      <c r="J2057" s="119"/>
      <c r="K2057" s="120"/>
      <c r="L2057" s="261"/>
      <c r="M2057" s="262"/>
      <c r="N2057" s="263"/>
      <c r="O2057" s="264"/>
      <c r="P2057" s="262"/>
      <c r="Q2057" s="262"/>
      <c r="R2057" s="262"/>
    </row>
    <row r="2058" spans="3:18" ht="15.75">
      <c r="C2058" s="117"/>
      <c r="D2058" s="160"/>
      <c r="E2058" s="117"/>
      <c r="F2058" s="115"/>
      <c r="G2058" s="117"/>
      <c r="H2058" s="115"/>
      <c r="I2058" s="118"/>
      <c r="J2058" s="119"/>
      <c r="K2058" s="120"/>
      <c r="L2058" s="261"/>
      <c r="M2058" s="262"/>
      <c r="N2058" s="263"/>
      <c r="O2058" s="264"/>
      <c r="P2058" s="262"/>
      <c r="Q2058" s="262"/>
      <c r="R2058" s="262"/>
    </row>
    <row r="2059" spans="3:18" ht="15.75">
      <c r="C2059" s="117"/>
      <c r="D2059" s="160"/>
      <c r="E2059" s="117"/>
      <c r="F2059" s="115"/>
      <c r="G2059" s="117"/>
      <c r="H2059" s="115"/>
      <c r="I2059" s="118"/>
      <c r="J2059" s="119"/>
      <c r="K2059" s="120"/>
      <c r="L2059" s="261"/>
      <c r="M2059" s="262"/>
      <c r="N2059" s="263"/>
      <c r="O2059" s="264"/>
      <c r="P2059" s="262"/>
      <c r="Q2059" s="262"/>
      <c r="R2059" s="262"/>
    </row>
    <row r="2060" spans="3:18" ht="15.75">
      <c r="C2060" s="117"/>
      <c r="D2060" s="160"/>
      <c r="E2060" s="117"/>
      <c r="F2060" s="115"/>
      <c r="G2060" s="117"/>
      <c r="H2060" s="115"/>
      <c r="I2060" s="118"/>
      <c r="J2060" s="119"/>
      <c r="K2060" s="120"/>
      <c r="L2060" s="261"/>
      <c r="M2060" s="262"/>
      <c r="N2060" s="263"/>
      <c r="O2060" s="264"/>
      <c r="P2060" s="262"/>
      <c r="Q2060" s="262"/>
      <c r="R2060" s="262"/>
    </row>
    <row r="2061" spans="3:18" ht="15.75">
      <c r="C2061" s="117"/>
      <c r="D2061" s="160"/>
      <c r="E2061" s="117"/>
      <c r="F2061" s="115"/>
      <c r="G2061" s="117"/>
      <c r="H2061" s="115"/>
      <c r="I2061" s="118"/>
      <c r="J2061" s="119"/>
      <c r="K2061" s="120"/>
      <c r="L2061" s="261"/>
      <c r="M2061" s="262"/>
      <c r="N2061" s="263"/>
      <c r="O2061" s="264"/>
      <c r="P2061" s="262"/>
      <c r="Q2061" s="262"/>
      <c r="R2061" s="262"/>
    </row>
    <row r="2062" spans="3:18" ht="15.75">
      <c r="C2062" s="117"/>
      <c r="D2062" s="160"/>
      <c r="E2062" s="117"/>
      <c r="F2062" s="115"/>
      <c r="G2062" s="117"/>
      <c r="H2062" s="115"/>
      <c r="I2062" s="118"/>
      <c r="J2062" s="119"/>
      <c r="K2062" s="120"/>
      <c r="L2062" s="261"/>
      <c r="M2062" s="262"/>
      <c r="N2062" s="263"/>
      <c r="O2062" s="264"/>
      <c r="P2062" s="262"/>
      <c r="Q2062" s="262"/>
      <c r="R2062" s="262"/>
    </row>
    <row r="2063" spans="3:18" ht="15.75">
      <c r="C2063" s="117"/>
      <c r="D2063" s="160"/>
      <c r="E2063" s="117"/>
      <c r="F2063" s="115"/>
      <c r="G2063" s="117"/>
      <c r="H2063" s="115"/>
      <c r="I2063" s="118"/>
      <c r="J2063" s="119"/>
      <c r="K2063" s="120"/>
      <c r="L2063" s="261"/>
      <c r="M2063" s="262"/>
      <c r="N2063" s="263"/>
      <c r="O2063" s="264"/>
      <c r="P2063" s="262"/>
      <c r="Q2063" s="262"/>
      <c r="R2063" s="262"/>
    </row>
    <row r="2064" spans="3:18" ht="15.75">
      <c r="C2064" s="117"/>
      <c r="D2064" s="160"/>
      <c r="E2064" s="117"/>
      <c r="F2064" s="115"/>
      <c r="G2064" s="117"/>
      <c r="H2064" s="115"/>
      <c r="I2064" s="118"/>
      <c r="J2064" s="119"/>
      <c r="K2064" s="120"/>
      <c r="L2064" s="261"/>
      <c r="M2064" s="262"/>
      <c r="N2064" s="263"/>
      <c r="O2064" s="264"/>
      <c r="P2064" s="262"/>
      <c r="Q2064" s="262"/>
      <c r="R2064" s="262"/>
    </row>
    <row r="2065" spans="3:18" ht="15.75">
      <c r="C2065" s="117"/>
      <c r="D2065" s="160"/>
      <c r="E2065" s="117"/>
      <c r="F2065" s="115"/>
      <c r="G2065" s="117"/>
      <c r="H2065" s="115"/>
      <c r="I2065" s="118"/>
      <c r="J2065" s="119"/>
      <c r="K2065" s="120"/>
      <c r="L2065" s="261"/>
      <c r="M2065" s="262"/>
      <c r="N2065" s="263"/>
      <c r="O2065" s="264"/>
      <c r="P2065" s="262"/>
      <c r="Q2065" s="262"/>
      <c r="R2065" s="262"/>
    </row>
    <row r="2066" spans="3:18" ht="15.75">
      <c r="C2066" s="117"/>
      <c r="D2066" s="160"/>
      <c r="E2066" s="117"/>
      <c r="F2066" s="115"/>
      <c r="G2066" s="117"/>
      <c r="H2066" s="115"/>
      <c r="I2066" s="118"/>
      <c r="J2066" s="119"/>
      <c r="K2066" s="120"/>
      <c r="L2066" s="261"/>
      <c r="M2066" s="262"/>
      <c r="N2066" s="263"/>
      <c r="O2066" s="264"/>
      <c r="P2066" s="262"/>
      <c r="Q2066" s="262"/>
      <c r="R2066" s="262"/>
    </row>
    <row r="2067" spans="3:18" ht="15.75">
      <c r="C2067" s="117"/>
      <c r="D2067" s="160"/>
      <c r="E2067" s="117"/>
      <c r="F2067" s="115"/>
      <c r="G2067" s="117"/>
      <c r="H2067" s="115"/>
      <c r="I2067" s="118"/>
      <c r="J2067" s="119"/>
      <c r="K2067" s="120"/>
      <c r="L2067" s="261"/>
      <c r="M2067" s="262"/>
      <c r="N2067" s="263"/>
      <c r="O2067" s="264"/>
      <c r="P2067" s="262"/>
      <c r="Q2067" s="262"/>
      <c r="R2067" s="262"/>
    </row>
    <row r="2068" spans="3:18" ht="15.75">
      <c r="C2068" s="117"/>
      <c r="D2068" s="160"/>
      <c r="E2068" s="117"/>
      <c r="F2068" s="115"/>
      <c r="G2068" s="117"/>
      <c r="H2068" s="115"/>
      <c r="I2068" s="118"/>
      <c r="J2068" s="119"/>
      <c r="K2068" s="120"/>
      <c r="L2068" s="261"/>
      <c r="M2068" s="262"/>
      <c r="N2068" s="263"/>
      <c r="O2068" s="264"/>
      <c r="P2068" s="262"/>
      <c r="Q2068" s="262"/>
      <c r="R2068" s="262"/>
    </row>
    <row r="2069" spans="3:18" ht="15.75">
      <c r="C2069" s="117"/>
      <c r="D2069" s="160"/>
      <c r="E2069" s="117"/>
      <c r="F2069" s="115"/>
      <c r="G2069" s="117"/>
      <c r="H2069" s="115"/>
      <c r="I2069" s="118"/>
      <c r="J2069" s="119"/>
      <c r="K2069" s="120"/>
      <c r="L2069" s="261"/>
      <c r="M2069" s="262"/>
      <c r="N2069" s="263"/>
      <c r="O2069" s="264"/>
      <c r="P2069" s="262"/>
      <c r="Q2069" s="262"/>
      <c r="R2069" s="262"/>
    </row>
    <row r="2070" spans="3:18" ht="15.75">
      <c r="C2070" s="117"/>
      <c r="D2070" s="160"/>
      <c r="E2070" s="117"/>
      <c r="F2070" s="115"/>
      <c r="G2070" s="117"/>
      <c r="H2070" s="115"/>
      <c r="I2070" s="118"/>
      <c r="J2070" s="119"/>
      <c r="K2070" s="120"/>
      <c r="L2070" s="261"/>
      <c r="M2070" s="262"/>
      <c r="N2070" s="263"/>
      <c r="O2070" s="264"/>
      <c r="P2070" s="262"/>
      <c r="Q2070" s="262"/>
      <c r="R2070" s="262"/>
    </row>
    <row r="2071" spans="3:18" ht="15.75">
      <c r="C2071" s="117"/>
      <c r="D2071" s="160"/>
      <c r="E2071" s="117"/>
      <c r="F2071" s="115"/>
      <c r="G2071" s="117"/>
      <c r="H2071" s="115"/>
      <c r="I2071" s="118"/>
      <c r="J2071" s="119"/>
      <c r="K2071" s="120"/>
      <c r="L2071" s="261"/>
      <c r="M2071" s="262"/>
      <c r="N2071" s="263"/>
      <c r="O2071" s="264"/>
      <c r="P2071" s="262"/>
      <c r="Q2071" s="262"/>
      <c r="R2071" s="262"/>
    </row>
    <row r="2072" spans="3:18" ht="15.75">
      <c r="C2072" s="117"/>
      <c r="D2072" s="160"/>
      <c r="E2072" s="117"/>
      <c r="F2072" s="115"/>
      <c r="G2072" s="117"/>
      <c r="H2072" s="115"/>
      <c r="I2072" s="118"/>
      <c r="J2072" s="119"/>
      <c r="K2072" s="120"/>
      <c r="L2072" s="261"/>
      <c r="M2072" s="262"/>
      <c r="N2072" s="263"/>
      <c r="O2072" s="264"/>
      <c r="P2072" s="262"/>
      <c r="Q2072" s="262"/>
      <c r="R2072" s="262"/>
    </row>
    <row r="2073" spans="3:18" ht="15.75">
      <c r="C2073" s="117"/>
      <c r="D2073" s="160"/>
      <c r="E2073" s="117"/>
      <c r="F2073" s="115"/>
      <c r="G2073" s="117"/>
      <c r="H2073" s="115"/>
      <c r="I2073" s="118"/>
      <c r="J2073" s="119"/>
      <c r="K2073" s="120"/>
      <c r="L2073" s="261"/>
      <c r="M2073" s="262"/>
      <c r="N2073" s="263"/>
      <c r="O2073" s="264"/>
      <c r="P2073" s="262"/>
      <c r="Q2073" s="262"/>
      <c r="R2073" s="262"/>
    </row>
    <row r="2074" spans="3:18" ht="15.75">
      <c r="C2074" s="117"/>
      <c r="D2074" s="160"/>
      <c r="E2074" s="117"/>
      <c r="F2074" s="115"/>
      <c r="G2074" s="117"/>
      <c r="H2074" s="115"/>
      <c r="I2074" s="118"/>
      <c r="J2074" s="119"/>
      <c r="K2074" s="120"/>
      <c r="L2074" s="261"/>
      <c r="M2074" s="262"/>
      <c r="N2074" s="263"/>
      <c r="O2074" s="264"/>
      <c r="P2074" s="262"/>
      <c r="Q2074" s="262"/>
      <c r="R2074" s="262"/>
    </row>
    <row r="2075" spans="3:18" ht="15.75">
      <c r="C2075" s="117"/>
      <c r="D2075" s="160"/>
      <c r="E2075" s="117"/>
      <c r="F2075" s="115"/>
      <c r="G2075" s="117"/>
      <c r="H2075" s="115"/>
      <c r="I2075" s="118"/>
      <c r="J2075" s="119"/>
      <c r="K2075" s="120"/>
      <c r="L2075" s="261"/>
      <c r="M2075" s="262"/>
      <c r="N2075" s="263"/>
      <c r="O2075" s="264"/>
      <c r="P2075" s="262"/>
      <c r="Q2075" s="262"/>
      <c r="R2075" s="262"/>
    </row>
    <row r="2076" spans="3:18" ht="15.75">
      <c r="C2076" s="117"/>
      <c r="D2076" s="160"/>
      <c r="E2076" s="117"/>
      <c r="F2076" s="115"/>
      <c r="G2076" s="117"/>
      <c r="H2076" s="115"/>
      <c r="I2076" s="118"/>
      <c r="J2076" s="119"/>
      <c r="K2076" s="120"/>
      <c r="L2076" s="261"/>
      <c r="M2076" s="262"/>
      <c r="N2076" s="263"/>
      <c r="O2076" s="264"/>
      <c r="P2076" s="262"/>
      <c r="Q2076" s="262"/>
      <c r="R2076" s="262"/>
    </row>
    <row r="2077" spans="3:18" ht="15.75">
      <c r="C2077" s="117"/>
      <c r="D2077" s="160"/>
      <c r="E2077" s="117"/>
      <c r="F2077" s="115"/>
      <c r="G2077" s="117"/>
      <c r="H2077" s="115"/>
      <c r="I2077" s="118"/>
      <c r="J2077" s="119"/>
      <c r="K2077" s="120"/>
      <c r="L2077" s="261"/>
      <c r="M2077" s="262"/>
      <c r="N2077" s="263"/>
      <c r="O2077" s="264"/>
      <c r="P2077" s="262"/>
      <c r="Q2077" s="262"/>
      <c r="R2077" s="262"/>
    </row>
    <row r="2078" spans="3:18" ht="15.75">
      <c r="C2078" s="117"/>
      <c r="D2078" s="160"/>
      <c r="E2078" s="117"/>
      <c r="F2078" s="115"/>
      <c r="G2078" s="117"/>
      <c r="H2078" s="115"/>
      <c r="I2078" s="118"/>
      <c r="J2078" s="119"/>
      <c r="K2078" s="120"/>
      <c r="L2078" s="261"/>
      <c r="M2078" s="262"/>
      <c r="N2078" s="263"/>
      <c r="O2078" s="264"/>
      <c r="P2078" s="262"/>
      <c r="Q2078" s="262"/>
      <c r="R2078" s="262"/>
    </row>
    <row r="2079" spans="3:18" ht="15.75">
      <c r="C2079" s="117"/>
      <c r="D2079" s="160"/>
      <c r="E2079" s="117"/>
      <c r="F2079" s="115"/>
      <c r="G2079" s="117"/>
      <c r="H2079" s="115"/>
      <c r="I2079" s="118"/>
      <c r="J2079" s="119"/>
      <c r="K2079" s="120"/>
      <c r="L2079" s="261"/>
      <c r="M2079" s="262"/>
      <c r="N2079" s="263"/>
      <c r="O2079" s="264"/>
      <c r="P2079" s="262"/>
      <c r="Q2079" s="262"/>
      <c r="R2079" s="262"/>
    </row>
    <row r="2080" spans="3:18" ht="15.75">
      <c r="C2080" s="117"/>
      <c r="D2080" s="160"/>
      <c r="E2080" s="117"/>
      <c r="F2080" s="115"/>
      <c r="G2080" s="117"/>
      <c r="H2080" s="115"/>
      <c r="I2080" s="118"/>
      <c r="J2080" s="119"/>
      <c r="K2080" s="120"/>
      <c r="L2080" s="261"/>
      <c r="M2080" s="262"/>
      <c r="N2080" s="263"/>
      <c r="O2080" s="264"/>
      <c r="P2080" s="262"/>
      <c r="Q2080" s="262"/>
      <c r="R2080" s="262"/>
    </row>
    <row r="2081" spans="3:18" ht="15.75">
      <c r="C2081" s="117"/>
      <c r="D2081" s="160"/>
      <c r="E2081" s="117"/>
      <c r="F2081" s="115"/>
      <c r="G2081" s="117"/>
      <c r="H2081" s="115"/>
      <c r="I2081" s="118"/>
      <c r="J2081" s="119"/>
      <c r="K2081" s="120"/>
      <c r="L2081" s="261"/>
      <c r="M2081" s="262"/>
      <c r="N2081" s="263"/>
      <c r="O2081" s="264"/>
      <c r="P2081" s="262"/>
      <c r="Q2081" s="262"/>
      <c r="R2081" s="262"/>
    </row>
    <row r="2082" spans="3:18" ht="15.75">
      <c r="C2082" s="117"/>
      <c r="D2082" s="160"/>
      <c r="E2082" s="117"/>
      <c r="F2082" s="115"/>
      <c r="G2082" s="117"/>
      <c r="H2082" s="115"/>
      <c r="I2082" s="118"/>
      <c r="J2082" s="119"/>
      <c r="K2082" s="120"/>
      <c r="L2082" s="261"/>
      <c r="M2082" s="262"/>
      <c r="N2082" s="263"/>
      <c r="O2082" s="264"/>
      <c r="P2082" s="262"/>
      <c r="Q2082" s="262"/>
      <c r="R2082" s="262"/>
    </row>
    <row r="2083" spans="3:18" ht="15.75">
      <c r="C2083" s="117"/>
      <c r="D2083" s="160"/>
      <c r="E2083" s="117"/>
      <c r="F2083" s="115"/>
      <c r="G2083" s="117"/>
      <c r="H2083" s="115"/>
      <c r="I2083" s="118"/>
      <c r="J2083" s="119"/>
      <c r="K2083" s="120"/>
      <c r="L2083" s="261"/>
      <c r="M2083" s="262"/>
      <c r="N2083" s="263"/>
      <c r="O2083" s="264"/>
      <c r="P2083" s="262"/>
      <c r="Q2083" s="262"/>
      <c r="R2083" s="262"/>
    </row>
    <row r="2084" spans="3:18" ht="15.75">
      <c r="C2084" s="117"/>
      <c r="D2084" s="160"/>
      <c r="E2084" s="117"/>
      <c r="F2084" s="115"/>
      <c r="G2084" s="117"/>
      <c r="H2084" s="115"/>
      <c r="I2084" s="118"/>
      <c r="J2084" s="119"/>
      <c r="K2084" s="120"/>
      <c r="L2084" s="261"/>
      <c r="M2084" s="262"/>
      <c r="N2084" s="263"/>
      <c r="O2084" s="264"/>
      <c r="P2084" s="262"/>
      <c r="Q2084" s="262"/>
      <c r="R2084" s="262"/>
    </row>
    <row r="2085" spans="3:18" ht="15.75">
      <c r="C2085" s="117"/>
      <c r="D2085" s="160"/>
      <c r="E2085" s="117"/>
      <c r="F2085" s="115"/>
      <c r="G2085" s="117"/>
      <c r="H2085" s="115"/>
      <c r="I2085" s="118"/>
      <c r="J2085" s="119"/>
      <c r="K2085" s="120"/>
      <c r="L2085" s="261"/>
      <c r="M2085" s="262"/>
      <c r="N2085" s="263"/>
      <c r="O2085" s="264"/>
      <c r="P2085" s="262"/>
      <c r="Q2085" s="262"/>
      <c r="R2085" s="262"/>
    </row>
    <row r="2086" spans="3:18" ht="15.75">
      <c r="C2086" s="117"/>
      <c r="D2086" s="160"/>
      <c r="E2086" s="117"/>
      <c r="F2086" s="115"/>
      <c r="G2086" s="117"/>
      <c r="H2086" s="115"/>
      <c r="I2086" s="118"/>
      <c r="J2086" s="119"/>
      <c r="K2086" s="120"/>
      <c r="L2086" s="261"/>
      <c r="M2086" s="262"/>
      <c r="N2086" s="263"/>
      <c r="O2086" s="264"/>
      <c r="P2086" s="262"/>
      <c r="Q2086" s="262"/>
      <c r="R2086" s="262"/>
    </row>
    <row r="2087" spans="3:18" ht="15.75">
      <c r="C2087" s="117"/>
      <c r="D2087" s="160"/>
      <c r="E2087" s="117"/>
      <c r="F2087" s="115"/>
      <c r="G2087" s="117"/>
      <c r="H2087" s="115"/>
      <c r="I2087" s="118"/>
      <c r="J2087" s="119"/>
      <c r="K2087" s="120"/>
      <c r="L2087" s="261"/>
      <c r="M2087" s="262"/>
      <c r="N2087" s="263"/>
      <c r="O2087" s="264"/>
      <c r="P2087" s="262"/>
      <c r="Q2087" s="262"/>
      <c r="R2087" s="262"/>
    </row>
    <row r="2088" spans="3:18" ht="15.75">
      <c r="C2088" s="117"/>
      <c r="D2088" s="160"/>
      <c r="E2088" s="117"/>
      <c r="F2088" s="115"/>
      <c r="G2088" s="117"/>
      <c r="H2088" s="115"/>
      <c r="I2088" s="118"/>
      <c r="J2088" s="119"/>
      <c r="K2088" s="120"/>
      <c r="L2088" s="261"/>
      <c r="M2088" s="262"/>
      <c r="N2088" s="263"/>
      <c r="O2088" s="264"/>
      <c r="P2088" s="262"/>
      <c r="Q2088" s="262"/>
      <c r="R2088" s="262"/>
    </row>
    <row r="2089" spans="3:18" ht="15.75">
      <c r="C2089" s="117"/>
      <c r="D2089" s="160"/>
      <c r="E2089" s="117"/>
      <c r="F2089" s="115"/>
      <c r="G2089" s="117"/>
      <c r="H2089" s="115"/>
      <c r="I2089" s="118"/>
      <c r="J2089" s="119"/>
      <c r="K2089" s="120"/>
      <c r="L2089" s="261"/>
      <c r="M2089" s="262"/>
      <c r="N2089" s="263"/>
      <c r="O2089" s="264"/>
      <c r="P2089" s="262"/>
      <c r="Q2089" s="262"/>
      <c r="R2089" s="262"/>
    </row>
    <row r="2090" spans="3:18" ht="15.75">
      <c r="C2090" s="117"/>
      <c r="D2090" s="160"/>
      <c r="E2090" s="117"/>
      <c r="F2090" s="115"/>
      <c r="G2090" s="117"/>
      <c r="H2090" s="115"/>
      <c r="I2090" s="118"/>
      <c r="J2090" s="119"/>
      <c r="K2090" s="120"/>
      <c r="L2090" s="261"/>
      <c r="M2090" s="262"/>
      <c r="N2090" s="263"/>
      <c r="O2090" s="264"/>
      <c r="P2090" s="262"/>
      <c r="Q2090" s="262"/>
      <c r="R2090" s="262"/>
    </row>
    <row r="2091" spans="3:18" ht="15.75">
      <c r="C2091" s="117"/>
      <c r="D2091" s="160"/>
      <c r="E2091" s="117"/>
      <c r="F2091" s="115"/>
      <c r="G2091" s="117"/>
      <c r="H2091" s="115"/>
      <c r="I2091" s="118"/>
      <c r="J2091" s="119"/>
      <c r="K2091" s="120"/>
      <c r="L2091" s="261"/>
      <c r="M2091" s="262"/>
      <c r="N2091" s="263"/>
      <c r="O2091" s="264"/>
      <c r="P2091" s="262"/>
      <c r="Q2091" s="262"/>
      <c r="R2091" s="262"/>
    </row>
    <row r="2092" spans="3:18" ht="15.75">
      <c r="C2092" s="117"/>
      <c r="D2092" s="160"/>
      <c r="E2092" s="117"/>
      <c r="F2092" s="115"/>
      <c r="G2092" s="117"/>
      <c r="H2092" s="115"/>
      <c r="I2092" s="118"/>
      <c r="J2092" s="119"/>
      <c r="K2092" s="120"/>
      <c r="L2092" s="261"/>
      <c r="M2092" s="262"/>
      <c r="N2092" s="263"/>
      <c r="O2092" s="264"/>
      <c r="P2092" s="262"/>
      <c r="Q2092" s="262"/>
      <c r="R2092" s="262"/>
    </row>
    <row r="2093" spans="3:18" ht="15.75">
      <c r="C2093" s="117"/>
      <c r="D2093" s="160"/>
      <c r="E2093" s="117"/>
      <c r="F2093" s="115"/>
      <c r="G2093" s="117"/>
      <c r="H2093" s="115"/>
      <c r="I2093" s="118"/>
      <c r="J2093" s="119"/>
      <c r="K2093" s="120"/>
      <c r="L2093" s="261"/>
      <c r="M2093" s="262"/>
      <c r="N2093" s="263"/>
      <c r="O2093" s="264"/>
      <c r="P2093" s="262"/>
      <c r="Q2093" s="262"/>
      <c r="R2093" s="262"/>
    </row>
    <row r="2094" spans="3:18" ht="15.75">
      <c r="C2094" s="117"/>
      <c r="D2094" s="160"/>
      <c r="E2094" s="117"/>
      <c r="F2094" s="115"/>
      <c r="G2094" s="117"/>
      <c r="H2094" s="115"/>
      <c r="I2094" s="118"/>
      <c r="J2094" s="119"/>
      <c r="K2094" s="120"/>
      <c r="L2094" s="261"/>
      <c r="M2094" s="262"/>
      <c r="N2094" s="263"/>
      <c r="O2094" s="264"/>
      <c r="P2094" s="262"/>
      <c r="Q2094" s="262"/>
      <c r="R2094" s="262"/>
    </row>
    <row r="2095" spans="3:18" ht="15.75">
      <c r="C2095" s="117"/>
      <c r="D2095" s="160"/>
      <c r="E2095" s="117"/>
      <c r="F2095" s="115"/>
      <c r="G2095" s="117"/>
      <c r="H2095" s="115"/>
      <c r="I2095" s="118"/>
      <c r="J2095" s="119"/>
      <c r="K2095" s="120"/>
      <c r="L2095" s="261"/>
      <c r="M2095" s="262"/>
      <c r="N2095" s="263"/>
      <c r="O2095" s="264"/>
      <c r="P2095" s="262"/>
      <c r="Q2095" s="262"/>
      <c r="R2095" s="262"/>
    </row>
    <row r="2096" spans="3:18" ht="15.75">
      <c r="C2096" s="117"/>
      <c r="D2096" s="160"/>
      <c r="E2096" s="117"/>
      <c r="F2096" s="115"/>
      <c r="G2096" s="117"/>
      <c r="H2096" s="115"/>
      <c r="I2096" s="118"/>
      <c r="J2096" s="119"/>
      <c r="K2096" s="120"/>
      <c r="L2096" s="261"/>
      <c r="M2096" s="262"/>
      <c r="N2096" s="263"/>
      <c r="O2096" s="264"/>
      <c r="P2096" s="262"/>
      <c r="Q2096" s="262"/>
      <c r="R2096" s="262"/>
    </row>
    <row r="2097" spans="3:18" ht="15.75">
      <c r="C2097" s="117"/>
      <c r="D2097" s="160"/>
      <c r="E2097" s="117"/>
      <c r="F2097" s="115"/>
      <c r="G2097" s="117"/>
      <c r="H2097" s="115"/>
      <c r="I2097" s="118"/>
      <c r="J2097" s="119"/>
      <c r="K2097" s="120"/>
      <c r="L2097" s="261"/>
      <c r="M2097" s="262"/>
      <c r="N2097" s="263"/>
      <c r="O2097" s="264"/>
      <c r="P2097" s="262"/>
      <c r="Q2097" s="262"/>
      <c r="R2097" s="262"/>
    </row>
    <row r="2098" spans="3:18" ht="15.75">
      <c r="C2098" s="117"/>
      <c r="D2098" s="160"/>
      <c r="E2098" s="117"/>
      <c r="F2098" s="115"/>
      <c r="G2098" s="117"/>
      <c r="H2098" s="115"/>
      <c r="I2098" s="118"/>
      <c r="J2098" s="119"/>
      <c r="K2098" s="120"/>
      <c r="L2098" s="261"/>
      <c r="M2098" s="262"/>
      <c r="N2098" s="263"/>
      <c r="O2098" s="264"/>
      <c r="P2098" s="262"/>
      <c r="Q2098" s="262"/>
      <c r="R2098" s="262"/>
    </row>
    <row r="2099" spans="3:18" ht="15.75">
      <c r="C2099" s="117"/>
      <c r="D2099" s="160"/>
      <c r="E2099" s="117"/>
      <c r="F2099" s="115"/>
      <c r="G2099" s="117"/>
      <c r="H2099" s="115"/>
      <c r="I2099" s="118"/>
      <c r="J2099" s="119"/>
      <c r="K2099" s="120"/>
      <c r="L2099" s="261"/>
      <c r="M2099" s="262"/>
      <c r="N2099" s="263"/>
      <c r="O2099" s="264"/>
      <c r="P2099" s="262"/>
      <c r="Q2099" s="262"/>
      <c r="R2099" s="262"/>
    </row>
    <row r="2100" spans="3:18" ht="15.75">
      <c r="C2100" s="117"/>
      <c r="D2100" s="160"/>
      <c r="E2100" s="117"/>
      <c r="F2100" s="115"/>
      <c r="G2100" s="117"/>
      <c r="H2100" s="115"/>
      <c r="I2100" s="118"/>
      <c r="J2100" s="119"/>
      <c r="K2100" s="120"/>
      <c r="L2100" s="261"/>
      <c r="M2100" s="262"/>
      <c r="N2100" s="263"/>
      <c r="O2100" s="264"/>
      <c r="P2100" s="262"/>
      <c r="Q2100" s="262"/>
      <c r="R2100" s="262"/>
    </row>
    <row r="2101" spans="3:18" ht="15.75">
      <c r="C2101" s="117"/>
      <c r="D2101" s="160"/>
      <c r="E2101" s="117"/>
      <c r="F2101" s="115"/>
      <c r="G2101" s="117"/>
      <c r="H2101" s="115"/>
      <c r="I2101" s="118"/>
      <c r="J2101" s="119"/>
      <c r="K2101" s="120"/>
      <c r="L2101" s="261"/>
      <c r="M2101" s="262"/>
      <c r="N2101" s="263"/>
      <c r="O2101" s="264"/>
      <c r="P2101" s="262"/>
      <c r="Q2101" s="262"/>
      <c r="R2101" s="262"/>
    </row>
    <row r="2102" spans="3:18" ht="15.75">
      <c r="C2102" s="117"/>
      <c r="D2102" s="160"/>
      <c r="E2102" s="117"/>
      <c r="F2102" s="115"/>
      <c r="G2102" s="117"/>
      <c r="H2102" s="115"/>
      <c r="I2102" s="118"/>
      <c r="J2102" s="119"/>
      <c r="K2102" s="120"/>
      <c r="L2102" s="261"/>
      <c r="M2102" s="262"/>
      <c r="N2102" s="263"/>
      <c r="O2102" s="264"/>
      <c r="P2102" s="262"/>
      <c r="Q2102" s="262"/>
      <c r="R2102" s="262"/>
    </row>
    <row r="2103" spans="3:18" ht="15.75">
      <c r="C2103" s="117"/>
      <c r="D2103" s="160"/>
      <c r="E2103" s="117"/>
      <c r="F2103" s="115"/>
      <c r="G2103" s="117"/>
      <c r="H2103" s="115"/>
      <c r="I2103" s="118"/>
      <c r="J2103" s="119"/>
      <c r="K2103" s="120"/>
      <c r="L2103" s="261"/>
      <c r="M2103" s="262"/>
      <c r="N2103" s="263"/>
      <c r="O2103" s="264"/>
      <c r="P2103" s="262"/>
      <c r="Q2103" s="262"/>
      <c r="R2103" s="262"/>
    </row>
    <row r="2104" spans="3:18" ht="15.75">
      <c r="C2104" s="117"/>
      <c r="D2104" s="160"/>
      <c r="E2104" s="117"/>
      <c r="F2104" s="115"/>
      <c r="G2104" s="117"/>
      <c r="H2104" s="115"/>
      <c r="I2104" s="118"/>
      <c r="J2104" s="119"/>
      <c r="K2104" s="120"/>
      <c r="L2104" s="261"/>
      <c r="M2104" s="262"/>
      <c r="N2104" s="263"/>
      <c r="O2104" s="264"/>
      <c r="P2104" s="262"/>
      <c r="Q2104" s="262"/>
      <c r="R2104" s="262"/>
    </row>
    <row r="2105" spans="3:18" ht="15.75">
      <c r="C2105" s="117"/>
      <c r="D2105" s="160"/>
      <c r="E2105" s="117"/>
      <c r="F2105" s="115"/>
      <c r="G2105" s="117"/>
      <c r="H2105" s="115"/>
      <c r="I2105" s="118"/>
      <c r="J2105" s="119"/>
      <c r="K2105" s="120"/>
      <c r="L2105" s="261"/>
      <c r="M2105" s="262"/>
      <c r="N2105" s="263"/>
      <c r="O2105" s="264"/>
      <c r="P2105" s="262"/>
      <c r="Q2105" s="262"/>
      <c r="R2105" s="262"/>
    </row>
    <row r="2106" spans="3:18" ht="15.75">
      <c r="C2106" s="117"/>
      <c r="D2106" s="160"/>
      <c r="E2106" s="117"/>
      <c r="F2106" s="115"/>
      <c r="G2106" s="117"/>
      <c r="H2106" s="115"/>
      <c r="I2106" s="118"/>
      <c r="J2106" s="119"/>
      <c r="K2106" s="120"/>
      <c r="L2106" s="261"/>
      <c r="M2106" s="262"/>
      <c r="N2106" s="263"/>
      <c r="O2106" s="264"/>
      <c r="P2106" s="262"/>
      <c r="Q2106" s="262"/>
      <c r="R2106" s="262"/>
    </row>
    <row r="2107" spans="3:18" ht="15.75">
      <c r="C2107" s="117"/>
      <c r="D2107" s="160"/>
      <c r="E2107" s="117"/>
      <c r="F2107" s="115"/>
      <c r="G2107" s="117"/>
      <c r="H2107" s="115"/>
      <c r="I2107" s="118"/>
      <c r="J2107" s="119"/>
      <c r="K2107" s="120"/>
      <c r="L2107" s="261"/>
      <c r="M2107" s="262"/>
      <c r="N2107" s="263"/>
      <c r="O2107" s="264"/>
      <c r="P2107" s="262"/>
      <c r="Q2107" s="262"/>
      <c r="R2107" s="262"/>
    </row>
    <row r="2108" spans="3:18" ht="15.75">
      <c r="C2108" s="117"/>
      <c r="D2108" s="160"/>
      <c r="E2108" s="117"/>
      <c r="F2108" s="115"/>
      <c r="G2108" s="117"/>
      <c r="H2108" s="115"/>
      <c r="I2108" s="118"/>
      <c r="J2108" s="119"/>
      <c r="K2108" s="120"/>
      <c r="L2108" s="261"/>
      <c r="M2108" s="262"/>
      <c r="N2108" s="263"/>
      <c r="O2108" s="264"/>
      <c r="P2108" s="262"/>
      <c r="Q2108" s="262"/>
      <c r="R2108" s="262"/>
    </row>
    <row r="2109" spans="3:18" ht="15.75">
      <c r="C2109" s="117"/>
      <c r="D2109" s="160"/>
      <c r="E2109" s="117"/>
      <c r="F2109" s="115"/>
      <c r="G2109" s="117"/>
      <c r="H2109" s="115"/>
      <c r="I2109" s="118"/>
      <c r="J2109" s="119"/>
      <c r="K2109" s="120"/>
      <c r="L2109" s="261"/>
      <c r="M2109" s="262"/>
      <c r="N2109" s="263"/>
      <c r="O2109" s="264"/>
      <c r="P2109" s="262"/>
      <c r="Q2109" s="262"/>
      <c r="R2109" s="262"/>
    </row>
    <row r="2110" spans="3:18" ht="15.75">
      <c r="C2110" s="117"/>
      <c r="D2110" s="160"/>
      <c r="E2110" s="117"/>
      <c r="F2110" s="115"/>
      <c r="G2110" s="117"/>
      <c r="H2110" s="115"/>
      <c r="I2110" s="118"/>
      <c r="J2110" s="119"/>
      <c r="K2110" s="120"/>
      <c r="L2110" s="261"/>
      <c r="M2110" s="262"/>
      <c r="N2110" s="263"/>
      <c r="O2110" s="264"/>
      <c r="P2110" s="262"/>
      <c r="Q2110" s="262"/>
      <c r="R2110" s="262"/>
    </row>
    <row r="2111" spans="3:18" ht="15.75">
      <c r="C2111" s="117"/>
      <c r="D2111" s="160"/>
      <c r="E2111" s="117"/>
      <c r="F2111" s="115"/>
      <c r="G2111" s="117"/>
      <c r="H2111" s="115"/>
      <c r="I2111" s="118"/>
      <c r="J2111" s="119"/>
      <c r="K2111" s="120"/>
      <c r="L2111" s="261"/>
      <c r="M2111" s="262"/>
      <c r="N2111" s="263"/>
      <c r="O2111" s="264"/>
      <c r="P2111" s="262"/>
      <c r="Q2111" s="262"/>
      <c r="R2111" s="262"/>
    </row>
    <row r="2112" spans="3:18" ht="15.75">
      <c r="C2112" s="117"/>
      <c r="D2112" s="160"/>
      <c r="E2112" s="117"/>
      <c r="F2112" s="115"/>
      <c r="G2112" s="117"/>
      <c r="H2112" s="115"/>
      <c r="I2112" s="118"/>
      <c r="J2112" s="119"/>
      <c r="K2112" s="120"/>
      <c r="L2112" s="261"/>
      <c r="M2112" s="262"/>
      <c r="N2112" s="263"/>
      <c r="O2112" s="264"/>
      <c r="P2112" s="262"/>
      <c r="Q2112" s="262"/>
      <c r="R2112" s="262"/>
    </row>
    <row r="2113" spans="3:18" ht="15.75">
      <c r="C2113" s="117"/>
      <c r="D2113" s="160"/>
      <c r="E2113" s="117"/>
      <c r="F2113" s="115"/>
      <c r="G2113" s="117"/>
      <c r="H2113" s="115"/>
      <c r="I2113" s="118"/>
      <c r="J2113" s="119"/>
      <c r="K2113" s="120"/>
      <c r="L2113" s="261"/>
      <c r="M2113" s="262"/>
      <c r="N2113" s="263"/>
      <c r="O2113" s="264"/>
      <c r="P2113" s="262"/>
      <c r="Q2113" s="262"/>
      <c r="R2113" s="262"/>
    </row>
    <row r="2114" spans="3:18" ht="15.75">
      <c r="C2114" s="117"/>
      <c r="D2114" s="160"/>
      <c r="E2114" s="117"/>
      <c r="F2114" s="115"/>
      <c r="G2114" s="117"/>
      <c r="H2114" s="115"/>
      <c r="I2114" s="118"/>
      <c r="J2114" s="119"/>
      <c r="K2114" s="120"/>
      <c r="L2114" s="261"/>
      <c r="M2114" s="262"/>
      <c r="N2114" s="263"/>
      <c r="O2114" s="264"/>
      <c r="P2114" s="262"/>
      <c r="Q2114" s="262"/>
      <c r="R2114" s="262"/>
    </row>
    <row r="2115" spans="3:18" ht="15.75">
      <c r="C2115" s="117"/>
      <c r="D2115" s="160"/>
      <c r="E2115" s="117"/>
      <c r="F2115" s="115"/>
      <c r="G2115" s="117"/>
      <c r="H2115" s="115"/>
      <c r="I2115" s="118"/>
      <c r="J2115" s="119"/>
      <c r="K2115" s="120"/>
      <c r="L2115" s="261"/>
      <c r="M2115" s="262"/>
      <c r="N2115" s="263"/>
      <c r="O2115" s="264"/>
      <c r="P2115" s="262"/>
      <c r="Q2115" s="262"/>
      <c r="R2115" s="262"/>
    </row>
    <row r="2116" spans="3:18" ht="15.75">
      <c r="C2116" s="117"/>
      <c r="D2116" s="160"/>
      <c r="E2116" s="117"/>
      <c r="F2116" s="115"/>
      <c r="G2116" s="117"/>
      <c r="H2116" s="115"/>
      <c r="I2116" s="118"/>
      <c r="J2116" s="119"/>
      <c r="K2116" s="120"/>
      <c r="L2116" s="261"/>
      <c r="M2116" s="262"/>
      <c r="N2116" s="263"/>
      <c r="O2116" s="264"/>
      <c r="P2116" s="262"/>
      <c r="Q2116" s="262"/>
      <c r="R2116" s="262"/>
    </row>
    <row r="2117" spans="3:18" ht="15.75">
      <c r="C2117" s="117"/>
      <c r="D2117" s="160"/>
      <c r="E2117" s="117"/>
      <c r="F2117" s="115"/>
      <c r="G2117" s="117"/>
      <c r="H2117" s="115"/>
      <c r="I2117" s="118"/>
      <c r="J2117" s="119"/>
      <c r="K2117" s="120"/>
      <c r="L2117" s="261"/>
      <c r="M2117" s="262"/>
      <c r="N2117" s="263"/>
      <c r="O2117" s="264"/>
      <c r="P2117" s="262"/>
      <c r="Q2117" s="262"/>
      <c r="R2117" s="262"/>
    </row>
    <row r="2118" spans="3:18" ht="15.75">
      <c r="C2118" s="117"/>
      <c r="D2118" s="160"/>
      <c r="E2118" s="117"/>
      <c r="F2118" s="115"/>
      <c r="G2118" s="117"/>
      <c r="H2118" s="115"/>
      <c r="I2118" s="118"/>
      <c r="J2118" s="119"/>
      <c r="K2118" s="120"/>
      <c r="L2118" s="261"/>
      <c r="M2118" s="262"/>
      <c r="N2118" s="263"/>
      <c r="O2118" s="264"/>
      <c r="P2118" s="262"/>
      <c r="Q2118" s="262"/>
      <c r="R2118" s="262"/>
    </row>
    <row r="2119" spans="3:18" ht="15.75">
      <c r="C2119" s="117"/>
      <c r="D2119" s="160"/>
      <c r="E2119" s="117"/>
      <c r="F2119" s="115"/>
      <c r="G2119" s="117"/>
      <c r="H2119" s="115"/>
      <c r="I2119" s="118"/>
      <c r="J2119" s="119"/>
      <c r="K2119" s="120"/>
      <c r="L2119" s="261"/>
      <c r="M2119" s="262"/>
      <c r="N2119" s="263"/>
      <c r="O2119" s="264"/>
      <c r="P2119" s="262"/>
      <c r="Q2119" s="262"/>
      <c r="R2119" s="262"/>
    </row>
    <row r="2120" spans="3:18" ht="15.75">
      <c r="C2120" s="117"/>
      <c r="D2120" s="160"/>
      <c r="E2120" s="117"/>
      <c r="F2120" s="115"/>
      <c r="G2120" s="117"/>
      <c r="H2120" s="115"/>
      <c r="I2120" s="118"/>
      <c r="J2120" s="119"/>
      <c r="K2120" s="120"/>
      <c r="L2120" s="261"/>
      <c r="M2120" s="262"/>
      <c r="N2120" s="263"/>
      <c r="O2120" s="264"/>
      <c r="P2120" s="262"/>
      <c r="Q2120" s="262"/>
      <c r="R2120" s="262"/>
    </row>
    <row r="2121" spans="3:18" ht="15.75">
      <c r="C2121" s="117"/>
      <c r="D2121" s="160"/>
      <c r="E2121" s="117"/>
      <c r="F2121" s="115"/>
      <c r="G2121" s="117"/>
      <c r="H2121" s="115"/>
      <c r="I2121" s="118"/>
      <c r="J2121" s="119"/>
      <c r="K2121" s="120"/>
      <c r="L2121" s="261"/>
      <c r="M2121" s="262"/>
      <c r="N2121" s="263"/>
      <c r="O2121" s="264"/>
      <c r="P2121" s="262"/>
      <c r="Q2121" s="262"/>
      <c r="R2121" s="262"/>
    </row>
    <row r="2122" spans="3:18" ht="15.75">
      <c r="C2122" s="117"/>
      <c r="D2122" s="160"/>
      <c r="E2122" s="117"/>
      <c r="F2122" s="115"/>
      <c r="G2122" s="117"/>
      <c r="H2122" s="115"/>
      <c r="I2122" s="118"/>
      <c r="J2122" s="119"/>
      <c r="K2122" s="120"/>
      <c r="L2122" s="261"/>
      <c r="M2122" s="262"/>
      <c r="N2122" s="263"/>
      <c r="O2122" s="264"/>
      <c r="P2122" s="262"/>
      <c r="Q2122" s="262"/>
      <c r="R2122" s="262"/>
    </row>
    <row r="2123" spans="3:18" ht="15.75">
      <c r="C2123" s="117"/>
      <c r="D2123" s="160"/>
      <c r="E2123" s="117"/>
      <c r="F2123" s="115"/>
      <c r="G2123" s="117"/>
      <c r="H2123" s="115"/>
      <c r="I2123" s="118"/>
      <c r="J2123" s="119"/>
      <c r="K2123" s="120"/>
      <c r="L2123" s="261"/>
      <c r="M2123" s="262"/>
      <c r="N2123" s="263"/>
      <c r="O2123" s="264"/>
      <c r="P2123" s="262"/>
      <c r="Q2123" s="262"/>
      <c r="R2123" s="262"/>
    </row>
    <row r="2124" spans="3:18" ht="15.75">
      <c r="C2124" s="117"/>
      <c r="D2124" s="160"/>
      <c r="E2124" s="117"/>
      <c r="F2124" s="115"/>
      <c r="G2124" s="117"/>
      <c r="H2124" s="115"/>
      <c r="I2124" s="118"/>
      <c r="J2124" s="119"/>
      <c r="K2124" s="120"/>
      <c r="L2124" s="261"/>
      <c r="M2124" s="262"/>
      <c r="N2124" s="263"/>
      <c r="O2124" s="264"/>
      <c r="P2124" s="262"/>
      <c r="Q2124" s="262"/>
      <c r="R2124" s="262"/>
    </row>
    <row r="2125" spans="3:18" ht="15.75">
      <c r="C2125" s="117"/>
      <c r="D2125" s="160"/>
      <c r="E2125" s="117"/>
      <c r="F2125" s="115"/>
      <c r="G2125" s="117"/>
      <c r="H2125" s="115"/>
      <c r="I2125" s="118"/>
      <c r="J2125" s="119"/>
      <c r="K2125" s="120"/>
      <c r="L2125" s="261"/>
      <c r="M2125" s="262"/>
      <c r="N2125" s="263"/>
      <c r="O2125" s="264"/>
      <c r="P2125" s="262"/>
      <c r="Q2125" s="262"/>
      <c r="R2125" s="262"/>
    </row>
  </sheetData>
  <autoFilter ref="A10:BG1456"/>
  <mergeCells count="2390">
    <mergeCell ref="H1454:H1455"/>
    <mergeCell ref="I1454:I1455"/>
    <mergeCell ref="J1454:J1455"/>
    <mergeCell ref="K1454:K1455"/>
    <mergeCell ref="L1454:L1455"/>
    <mergeCell ref="M1454:M1455"/>
    <mergeCell ref="H1443:H1446"/>
    <mergeCell ref="I1443:I1446"/>
    <mergeCell ref="J1443:J1446"/>
    <mergeCell ref="K1443:K1446"/>
    <mergeCell ref="L1443:L1446"/>
    <mergeCell ref="M1443:M1446"/>
    <mergeCell ref="U1454:U1455"/>
    <mergeCell ref="BC1454:BC1455"/>
    <mergeCell ref="H1434:H1436"/>
    <mergeCell ref="I1434:I1436"/>
    <mergeCell ref="J1434:J1436"/>
    <mergeCell ref="K1434:K1436"/>
    <mergeCell ref="L1434:L1436"/>
    <mergeCell ref="M1434:M1436"/>
    <mergeCell ref="X1437:X1438"/>
    <mergeCell ref="Y1437:Y1438"/>
    <mergeCell ref="Z1437:Z1438"/>
    <mergeCell ref="AA1437:AA1438"/>
    <mergeCell ref="AB1437:AB1438"/>
    <mergeCell ref="AC1437:AC1438"/>
    <mergeCell ref="AD1437:AD1438"/>
    <mergeCell ref="AE1437:AE1438"/>
    <mergeCell ref="AF1437:AF1438"/>
    <mergeCell ref="AG1437:AG1438"/>
    <mergeCell ref="AH1437:AH1438"/>
    <mergeCell ref="AI1437:AI1438"/>
    <mergeCell ref="P1419:P1421"/>
    <mergeCell ref="P1424:P1426"/>
    <mergeCell ref="N1424:N1426"/>
    <mergeCell ref="X1424:X1426"/>
    <mergeCell ref="Y1424:Y1426"/>
    <mergeCell ref="Z1424:Z1426"/>
    <mergeCell ref="AA1424:AA1426"/>
    <mergeCell ref="AB1424:AB1426"/>
    <mergeCell ref="AC1424:AC1426"/>
    <mergeCell ref="AD1424:AD1426"/>
    <mergeCell ref="AE1424:AE1426"/>
    <mergeCell ref="AF1424:AF1426"/>
    <mergeCell ref="U1427:U1429"/>
    <mergeCell ref="BC1434:BC1436"/>
    <mergeCell ref="U1443:U1446"/>
    <mergeCell ref="AY1434:AY1436"/>
    <mergeCell ref="U1434:U1436"/>
    <mergeCell ref="AE1441:AE1442"/>
    <mergeCell ref="AF1441:AF1442"/>
    <mergeCell ref="AG1441:AG1442"/>
    <mergeCell ref="AH1441:AH1442"/>
    <mergeCell ref="AI1441:AI1442"/>
    <mergeCell ref="AJ1441:AJ1442"/>
    <mergeCell ref="AK1441:AK1442"/>
    <mergeCell ref="BC1443:BC1446"/>
    <mergeCell ref="U1422:U1424"/>
    <mergeCell ref="T1431:T1433"/>
    <mergeCell ref="P1431:P1433"/>
    <mergeCell ref="BA1431:BA1433"/>
    <mergeCell ref="AQ1431:AQ1433"/>
    <mergeCell ref="AG1424:AG1426"/>
    <mergeCell ref="AH1424:AH1426"/>
    <mergeCell ref="L1427:L1429"/>
    <mergeCell ref="M1427:M1429"/>
    <mergeCell ref="H1427:H1429"/>
    <mergeCell ref="I1427:I1429"/>
    <mergeCell ref="J1427:J1429"/>
    <mergeCell ref="K1427:K1429"/>
    <mergeCell ref="BC1422:BC1424"/>
    <mergeCell ref="BA1424:BA1426"/>
    <mergeCell ref="AO1424:AO1426"/>
    <mergeCell ref="AR1424:AR1426"/>
    <mergeCell ref="AS1424:AS1426"/>
    <mergeCell ref="AT1424:AT1426"/>
    <mergeCell ref="AU1424:AU1426"/>
    <mergeCell ref="AV1424:AV1426"/>
    <mergeCell ref="AW1424:AW1426"/>
    <mergeCell ref="AX1424:AX1426"/>
    <mergeCell ref="BC1427:BC1429"/>
    <mergeCell ref="T1424:T1426"/>
    <mergeCell ref="H1422:H1424"/>
    <mergeCell ref="I1422:I1424"/>
    <mergeCell ref="J1422:J1424"/>
    <mergeCell ref="K1422:K1424"/>
    <mergeCell ref="L1422:L1424"/>
    <mergeCell ref="M1422:M1424"/>
    <mergeCell ref="AI1424:AI1426"/>
    <mergeCell ref="AJ1424:AJ1426"/>
    <mergeCell ref="AK1424:AK1426"/>
    <mergeCell ref="AL1424:AL1426"/>
    <mergeCell ref="AM1424:AM1426"/>
    <mergeCell ref="AN1424:AN1426"/>
    <mergeCell ref="BC1393:BC1394"/>
    <mergeCell ref="H1397:H1398"/>
    <mergeCell ref="I1397:I1398"/>
    <mergeCell ref="J1397:J1398"/>
    <mergeCell ref="K1397:K1398"/>
    <mergeCell ref="L1397:L1398"/>
    <mergeCell ref="M1397:M1398"/>
    <mergeCell ref="U1397:U1398"/>
    <mergeCell ref="W1397:W1398"/>
    <mergeCell ref="AY1393:AY1394"/>
    <mergeCell ref="BC1397:BC1398"/>
    <mergeCell ref="H1420:H1421"/>
    <mergeCell ref="I1420:I1421"/>
    <mergeCell ref="J1420:J1421"/>
    <mergeCell ref="K1420:K1421"/>
    <mergeCell ref="L1420:L1421"/>
    <mergeCell ref="M1420:M1421"/>
    <mergeCell ref="U1420:U1421"/>
    <mergeCell ref="AS1417:AS1418"/>
    <mergeCell ref="AT1417:AT1418"/>
    <mergeCell ref="AU1417:AU1418"/>
    <mergeCell ref="AV1417:AV1418"/>
    <mergeCell ref="AW1417:AW1418"/>
    <mergeCell ref="BC1420:BC1421"/>
    <mergeCell ref="H1393:H1394"/>
    <mergeCell ref="I1393:I1394"/>
    <mergeCell ref="J1393:J1394"/>
    <mergeCell ref="K1393:K1394"/>
    <mergeCell ref="L1393:L1394"/>
    <mergeCell ref="M1393:M1394"/>
    <mergeCell ref="U1393:U1394"/>
    <mergeCell ref="W1393:W1394"/>
    <mergeCell ref="X1394:X1395"/>
    <mergeCell ref="Y1394:Y1395"/>
    <mergeCell ref="Z1394:Z1395"/>
    <mergeCell ref="AA1394:AA1395"/>
    <mergeCell ref="AB1394:AB1395"/>
    <mergeCell ref="AC1394:AC1395"/>
    <mergeCell ref="AD1394:AD1395"/>
    <mergeCell ref="AE1394:AE1395"/>
    <mergeCell ref="AF1394:AF1395"/>
    <mergeCell ref="AG1394:AG1395"/>
    <mergeCell ref="AH1394:AH1395"/>
    <mergeCell ref="AI1394:AI1395"/>
    <mergeCell ref="H1384:H1385"/>
    <mergeCell ref="I1384:I1385"/>
    <mergeCell ref="J1384:J1385"/>
    <mergeCell ref="K1384:K1385"/>
    <mergeCell ref="U1384:U1385"/>
    <mergeCell ref="S1390:S1391"/>
    <mergeCell ref="S1394:S1395"/>
    <mergeCell ref="Q1390:Q1391"/>
    <mergeCell ref="X1390:X1391"/>
    <mergeCell ref="Y1390:Y1391"/>
    <mergeCell ref="Z1390:Z1391"/>
    <mergeCell ref="AA1390:AA1391"/>
    <mergeCell ref="AB1390:AB1391"/>
    <mergeCell ref="AC1390:AC1391"/>
    <mergeCell ref="AD1390:AD1391"/>
    <mergeCell ref="AE1390:AE1391"/>
    <mergeCell ref="AF1390:AF1391"/>
    <mergeCell ref="AG1390:AG1391"/>
    <mergeCell ref="AH1390:AH1391"/>
    <mergeCell ref="H1364:H1365"/>
    <mergeCell ref="I1364:I1365"/>
    <mergeCell ref="J1364:J1365"/>
    <mergeCell ref="K1364:K1365"/>
    <mergeCell ref="L1364:L1365"/>
    <mergeCell ref="M1364:M1365"/>
    <mergeCell ref="U1364:U1365"/>
    <mergeCell ref="AY1364:AY1365"/>
    <mergeCell ref="L1384:L1385"/>
    <mergeCell ref="M1384:M1385"/>
    <mergeCell ref="W1384:W1385"/>
    <mergeCell ref="BC1384:BC1385"/>
    <mergeCell ref="AQ1362:AQ1363"/>
    <mergeCell ref="AH1362:AH1363"/>
    <mergeCell ref="AI1362:AI1363"/>
    <mergeCell ref="BC1364:BC1365"/>
    <mergeCell ref="AW1362:AW1363"/>
    <mergeCell ref="AX1362:AX1363"/>
    <mergeCell ref="AR1362:AR1363"/>
    <mergeCell ref="AS1362:AS1363"/>
    <mergeCell ref="AT1362:AT1363"/>
    <mergeCell ref="AU1362:AU1363"/>
    <mergeCell ref="BC1362:BC1363"/>
    <mergeCell ref="S1362:S1363"/>
    <mergeCell ref="T1362:T1363"/>
    <mergeCell ref="U1362:U1363"/>
    <mergeCell ref="V1362:V1363"/>
    <mergeCell ref="BB1362:BB1363"/>
    <mergeCell ref="AY1362:AY1363"/>
    <mergeCell ref="AZ1362:AZ1363"/>
    <mergeCell ref="BA1362:BA1363"/>
    <mergeCell ref="AV1362:AV1363"/>
    <mergeCell ref="AM1362:AM1363"/>
    <mergeCell ref="AN1362:AN1363"/>
    <mergeCell ref="AO1362:AO1363"/>
    <mergeCell ref="X1360:X1361"/>
    <mergeCell ref="Y1360:Y1361"/>
    <mergeCell ref="Z1360:Z1361"/>
    <mergeCell ref="AA1360:AA1361"/>
    <mergeCell ref="AB1360:AB1361"/>
    <mergeCell ref="AC1360:AC1361"/>
    <mergeCell ref="AD1360:AD1361"/>
    <mergeCell ref="AE1360:AE1361"/>
    <mergeCell ref="AF1360:AF1361"/>
    <mergeCell ref="AG1360:AG1361"/>
    <mergeCell ref="AH1360:AH1361"/>
    <mergeCell ref="AI1360:AI1361"/>
    <mergeCell ref="AJ1360:AJ1361"/>
    <mergeCell ref="AL1362:AL1363"/>
    <mergeCell ref="AK1360:AK1361"/>
    <mergeCell ref="AL1360:AL1361"/>
    <mergeCell ref="AM1360:AM1361"/>
    <mergeCell ref="AN1360:AN1361"/>
    <mergeCell ref="AO1360:AO1361"/>
    <mergeCell ref="M1358:M1359"/>
    <mergeCell ref="BC1358:BC1359"/>
    <mergeCell ref="AY1358:AY1359"/>
    <mergeCell ref="H1362:H1363"/>
    <mergeCell ref="I1362:I1363"/>
    <mergeCell ref="J1362:J1363"/>
    <mergeCell ref="K1362:K1363"/>
    <mergeCell ref="L1362:L1363"/>
    <mergeCell ref="M1362:M1363"/>
    <mergeCell ref="U1358:U1359"/>
    <mergeCell ref="H1358:H1359"/>
    <mergeCell ref="I1358:I1359"/>
    <mergeCell ref="J1358:J1359"/>
    <mergeCell ref="K1358:K1359"/>
    <mergeCell ref="N1362:N1363"/>
    <mergeCell ref="O1362:O1363"/>
    <mergeCell ref="P1362:P1363"/>
    <mergeCell ref="Q1362:Q1363"/>
    <mergeCell ref="R1362:R1363"/>
    <mergeCell ref="L1358:L1359"/>
    <mergeCell ref="AD1362:AD1363"/>
    <mergeCell ref="AE1362:AE1363"/>
    <mergeCell ref="AF1362:AF1363"/>
    <mergeCell ref="AG1362:AG1363"/>
    <mergeCell ref="X1362:X1363"/>
    <mergeCell ref="Y1362:Y1363"/>
    <mergeCell ref="Z1362:Z1363"/>
    <mergeCell ref="AA1362:AA1363"/>
    <mergeCell ref="AB1362:AB1363"/>
    <mergeCell ref="AJ1362:AJ1363"/>
    <mergeCell ref="AK1362:AK1363"/>
    <mergeCell ref="AC1362:AC1363"/>
    <mergeCell ref="H1353:H1354"/>
    <mergeCell ref="I1353:I1354"/>
    <mergeCell ref="J1353:J1354"/>
    <mergeCell ref="K1353:K1354"/>
    <mergeCell ref="L1353:L1354"/>
    <mergeCell ref="M1353:M1354"/>
    <mergeCell ref="U1353:U1354"/>
    <mergeCell ref="AY1344:AY1345"/>
    <mergeCell ref="AY1353:AY1354"/>
    <mergeCell ref="BC1353:BC1354"/>
    <mergeCell ref="AO1343:AO1344"/>
    <mergeCell ref="AR1343:AR1344"/>
    <mergeCell ref="AS1343:AS1344"/>
    <mergeCell ref="AT1343:AT1344"/>
    <mergeCell ref="AU1343:AU1344"/>
    <mergeCell ref="AV1343:AV1344"/>
    <mergeCell ref="AW1343:AW1344"/>
    <mergeCell ref="AX1343:AX1344"/>
    <mergeCell ref="AO1352:AO1353"/>
    <mergeCell ref="AR1352:AR1353"/>
    <mergeCell ref="AS1352:AS1353"/>
    <mergeCell ref="AT1352:AT1353"/>
    <mergeCell ref="AU1352:AU1353"/>
    <mergeCell ref="AV1352:AV1353"/>
    <mergeCell ref="AW1352:AW1353"/>
    <mergeCell ref="BB1352:BB1353"/>
    <mergeCell ref="AD1352:AD1353"/>
    <mergeCell ref="AE1352:AE1353"/>
    <mergeCell ref="AF1352:AF1353"/>
    <mergeCell ref="AG1352:AG1353"/>
    <mergeCell ref="AH1352:AH1353"/>
    <mergeCell ref="AI1352:AI1353"/>
    <mergeCell ref="H1344:H1345"/>
    <mergeCell ref="I1344:I1345"/>
    <mergeCell ref="J1344:J1345"/>
    <mergeCell ref="K1344:K1345"/>
    <mergeCell ref="L1344:L1345"/>
    <mergeCell ref="M1344:M1345"/>
    <mergeCell ref="U1344:U1345"/>
    <mergeCell ref="H1336:H1337"/>
    <mergeCell ref="I1336:I1337"/>
    <mergeCell ref="AY1336:AY1337"/>
    <mergeCell ref="BC1344:BC1345"/>
    <mergeCell ref="H1331:H1332"/>
    <mergeCell ref="I1331:I1332"/>
    <mergeCell ref="J1331:J1332"/>
    <mergeCell ref="K1331:K1332"/>
    <mergeCell ref="L1331:L1332"/>
    <mergeCell ref="M1331:M1332"/>
    <mergeCell ref="U1331:U1332"/>
    <mergeCell ref="AN1312:AN1313"/>
    <mergeCell ref="AO1312:AO1313"/>
    <mergeCell ref="AR1312:AR1313"/>
    <mergeCell ref="AS1312:AS1313"/>
    <mergeCell ref="AT1312:AT1313"/>
    <mergeCell ref="AU1312:AU1313"/>
    <mergeCell ref="AV1312:AV1313"/>
    <mergeCell ref="BC1334:BC1335"/>
    <mergeCell ref="BC1331:BC1332"/>
    <mergeCell ref="AO1333:AO1334"/>
    <mergeCell ref="AR1333:AR1334"/>
    <mergeCell ref="AS1333:AS1334"/>
    <mergeCell ref="AT1333:AT1334"/>
    <mergeCell ref="AU1333:AU1334"/>
    <mergeCell ref="AV1333:AV1334"/>
    <mergeCell ref="J1336:J1337"/>
    <mergeCell ref="K1336:K1337"/>
    <mergeCell ref="U1336:U1337"/>
    <mergeCell ref="L1336:L1337"/>
    <mergeCell ref="M1336:M1337"/>
    <mergeCell ref="BC1336:BC1337"/>
    <mergeCell ref="X1322:X1323"/>
    <mergeCell ref="Y1322:Y1323"/>
    <mergeCell ref="Z1322:Z1323"/>
    <mergeCell ref="AA1322:AA1323"/>
    <mergeCell ref="H1334:H1335"/>
    <mergeCell ref="I1334:I1335"/>
    <mergeCell ref="J1334:J1335"/>
    <mergeCell ref="K1334:K1335"/>
    <mergeCell ref="L1334:L1335"/>
    <mergeCell ref="M1334:M1335"/>
    <mergeCell ref="U1334:U1335"/>
    <mergeCell ref="AC1312:AC1313"/>
    <mergeCell ref="AD1312:AD1313"/>
    <mergeCell ref="AE1312:AE1313"/>
    <mergeCell ref="AF1312:AF1313"/>
    <mergeCell ref="AG1312:AG1313"/>
    <mergeCell ref="AH1312:AH1313"/>
    <mergeCell ref="BC1318:BC1319"/>
    <mergeCell ref="BC1316:BC1317"/>
    <mergeCell ref="U1316:U1317"/>
    <mergeCell ref="AY1316:AY1317"/>
    <mergeCell ref="H1323:H1324"/>
    <mergeCell ref="I1323:I1324"/>
    <mergeCell ref="J1323:J1324"/>
    <mergeCell ref="K1323:K1324"/>
    <mergeCell ref="U1323:U1324"/>
    <mergeCell ref="H1318:H1319"/>
    <mergeCell ref="I1318:I1319"/>
    <mergeCell ref="J1318:J1319"/>
    <mergeCell ref="K1318:K1319"/>
    <mergeCell ref="L1318:L1319"/>
    <mergeCell ref="M1318:M1319"/>
    <mergeCell ref="U1318:U1319"/>
    <mergeCell ref="AY1318:AY1319"/>
    <mergeCell ref="L1323:L1324"/>
    <mergeCell ref="M1323:M1324"/>
    <mergeCell ref="BC1323:BC1324"/>
    <mergeCell ref="BA1317:BA1318"/>
    <mergeCell ref="BA1322:BA1323"/>
    <mergeCell ref="X1317:X1318"/>
    <mergeCell ref="Y1317:Y1318"/>
    <mergeCell ref="Z1317:Z1318"/>
    <mergeCell ref="AA1317:AA1318"/>
    <mergeCell ref="AB1317:AB1318"/>
    <mergeCell ref="AC1317:AC1318"/>
    <mergeCell ref="AD1317:AD1318"/>
    <mergeCell ref="AE1317:AE1318"/>
    <mergeCell ref="AF1317:AF1318"/>
    <mergeCell ref="AG1317:AG1318"/>
    <mergeCell ref="BC1311:BC1312"/>
    <mergeCell ref="BC1289:BC1291"/>
    <mergeCell ref="BA1301:BA1304"/>
    <mergeCell ref="H1311:H1312"/>
    <mergeCell ref="I1311:I1312"/>
    <mergeCell ref="J1311:J1312"/>
    <mergeCell ref="K1311:K1312"/>
    <mergeCell ref="L1311:L1312"/>
    <mergeCell ref="M1311:M1312"/>
    <mergeCell ref="U1311:U1312"/>
    <mergeCell ref="AY1302:AY1305"/>
    <mergeCell ref="AY1311:AY1312"/>
    <mergeCell ref="M1313:M1314"/>
    <mergeCell ref="BC1313:BC1314"/>
    <mergeCell ref="AY1313:AY1314"/>
    <mergeCell ref="H1316:H1317"/>
    <mergeCell ref="I1316:I1317"/>
    <mergeCell ref="J1316:J1317"/>
    <mergeCell ref="K1316:K1317"/>
    <mergeCell ref="L1316:L1317"/>
    <mergeCell ref="M1316:M1317"/>
    <mergeCell ref="U1313:U1314"/>
    <mergeCell ref="H1313:H1314"/>
    <mergeCell ref="I1313:I1314"/>
    <mergeCell ref="J1313:J1314"/>
    <mergeCell ref="K1313:K1314"/>
    <mergeCell ref="L1313:L1314"/>
    <mergeCell ref="X1312:X1313"/>
    <mergeCell ref="Y1312:Y1313"/>
    <mergeCell ref="Z1312:Z1313"/>
    <mergeCell ref="AA1312:AA1313"/>
    <mergeCell ref="AB1312:AB1313"/>
    <mergeCell ref="AF1288:AF1290"/>
    <mergeCell ref="AG1288:AG1290"/>
    <mergeCell ref="AH1288:AH1290"/>
    <mergeCell ref="AI1288:AI1290"/>
    <mergeCell ref="BC1287:BC1288"/>
    <mergeCell ref="H1289:H1291"/>
    <mergeCell ref="I1289:I1291"/>
    <mergeCell ref="J1289:J1291"/>
    <mergeCell ref="K1289:K1291"/>
    <mergeCell ref="L1289:L1291"/>
    <mergeCell ref="M1289:M1291"/>
    <mergeCell ref="U1289:U1291"/>
    <mergeCell ref="AY1287:AY1288"/>
    <mergeCell ref="H1302:H1305"/>
    <mergeCell ref="I1302:I1305"/>
    <mergeCell ref="J1302:J1305"/>
    <mergeCell ref="K1302:K1305"/>
    <mergeCell ref="L1302:L1305"/>
    <mergeCell ref="M1302:M1305"/>
    <mergeCell ref="U1302:U1305"/>
    <mergeCell ref="BA1288:BA1290"/>
    <mergeCell ref="BC1302:BC1305"/>
    <mergeCell ref="V1286:V1287"/>
    <mergeCell ref="V1288:V1290"/>
    <mergeCell ref="V1301:V1304"/>
    <mergeCell ref="P1301:P1304"/>
    <mergeCell ref="AX1286:AX1287"/>
    <mergeCell ref="AJ1301:AJ1304"/>
    <mergeCell ref="AK1301:AK1304"/>
    <mergeCell ref="AL1301:AL1304"/>
    <mergeCell ref="AM1301:AM1304"/>
    <mergeCell ref="AN1301:AN1304"/>
    <mergeCell ref="H1281:H1283"/>
    <mergeCell ref="I1281:I1283"/>
    <mergeCell ref="J1281:J1283"/>
    <mergeCell ref="K1281:K1283"/>
    <mergeCell ref="U1281:U1283"/>
    <mergeCell ref="H1270:H1272"/>
    <mergeCell ref="I1270:I1272"/>
    <mergeCell ref="J1270:J1272"/>
    <mergeCell ref="K1270:K1272"/>
    <mergeCell ref="L1270:L1272"/>
    <mergeCell ref="M1270:M1272"/>
    <mergeCell ref="U1270:U1272"/>
    <mergeCell ref="AY1270:AY1272"/>
    <mergeCell ref="L1281:L1283"/>
    <mergeCell ref="M1281:M1283"/>
    <mergeCell ref="BC1281:BC1283"/>
    <mergeCell ref="H1287:H1288"/>
    <mergeCell ref="I1287:I1288"/>
    <mergeCell ref="J1287:J1288"/>
    <mergeCell ref="K1287:K1288"/>
    <mergeCell ref="L1287:L1288"/>
    <mergeCell ref="M1287:M1288"/>
    <mergeCell ref="U1287:U1288"/>
    <mergeCell ref="AY1281:AY1283"/>
    <mergeCell ref="X1288:X1290"/>
    <mergeCell ref="Y1288:Y1290"/>
    <mergeCell ref="Z1288:Z1290"/>
    <mergeCell ref="AA1288:AA1290"/>
    <mergeCell ref="AB1288:AB1290"/>
    <mergeCell ref="AC1288:AC1290"/>
    <mergeCell ref="AD1288:AD1290"/>
    <mergeCell ref="AE1288:AE1290"/>
    <mergeCell ref="H1261:H1262"/>
    <mergeCell ref="I1261:I1262"/>
    <mergeCell ref="J1261:J1262"/>
    <mergeCell ref="K1261:K1262"/>
    <mergeCell ref="L1261:L1262"/>
    <mergeCell ref="M1261:M1262"/>
    <mergeCell ref="U1250:U1252"/>
    <mergeCell ref="H1250:H1252"/>
    <mergeCell ref="I1250:I1252"/>
    <mergeCell ref="J1250:J1252"/>
    <mergeCell ref="K1250:K1252"/>
    <mergeCell ref="L1250:L1252"/>
    <mergeCell ref="AN1249:AN1251"/>
    <mergeCell ref="AO1249:AO1251"/>
    <mergeCell ref="BC1270:BC1272"/>
    <mergeCell ref="BC1261:BC1262"/>
    <mergeCell ref="U1261:U1262"/>
    <mergeCell ref="AY1261:AY1262"/>
    <mergeCell ref="V1260:V1261"/>
    <mergeCell ref="V1269:V1271"/>
    <mergeCell ref="S1260:S1261"/>
    <mergeCell ref="S1269:S1271"/>
    <mergeCell ref="Q1260:Q1261"/>
    <mergeCell ref="Q1269:Q1271"/>
    <mergeCell ref="O1260:O1261"/>
    <mergeCell ref="O1269:O1271"/>
    <mergeCell ref="AZ1260:AZ1261"/>
    <mergeCell ref="AZ1269:AZ1271"/>
    <mergeCell ref="Y1249:Y1251"/>
    <mergeCell ref="Z1249:Z1251"/>
    <mergeCell ref="AA1249:AA1251"/>
    <mergeCell ref="AB1249:AB1251"/>
    <mergeCell ref="AZ1230:AZ1231"/>
    <mergeCell ref="BA1230:BA1231"/>
    <mergeCell ref="BB1230:BB1231"/>
    <mergeCell ref="BC1230:BC1231"/>
    <mergeCell ref="AT1230:AT1231"/>
    <mergeCell ref="AU1230:AU1231"/>
    <mergeCell ref="AV1230:AV1231"/>
    <mergeCell ref="AW1230:AW1231"/>
    <mergeCell ref="AX1230:AX1231"/>
    <mergeCell ref="AQ1224:AQ1225"/>
    <mergeCell ref="M1250:M1252"/>
    <mergeCell ref="Q1230:Q1231"/>
    <mergeCell ref="S1230:S1231"/>
    <mergeCell ref="AD1230:AD1231"/>
    <mergeCell ref="AE1230:AE1231"/>
    <mergeCell ref="AF1230:AF1231"/>
    <mergeCell ref="AG1230:AG1231"/>
    <mergeCell ref="BC1250:BC1252"/>
    <mergeCell ref="AY1250:AY1252"/>
    <mergeCell ref="AB1230:AB1231"/>
    <mergeCell ref="AO1230:AO1231"/>
    <mergeCell ref="AP1230:AP1231"/>
    <mergeCell ref="AQ1230:AQ1231"/>
    <mergeCell ref="AR1230:AR1231"/>
    <mergeCell ref="BC1224:BC1225"/>
    <mergeCell ref="V1249:V1251"/>
    <mergeCell ref="S1249:S1251"/>
    <mergeCell ref="Q1249:Q1251"/>
    <mergeCell ref="O1249:O1251"/>
    <mergeCell ref="AZ1249:AZ1251"/>
    <mergeCell ref="X1249:X1251"/>
    <mergeCell ref="H1230:H1231"/>
    <mergeCell ref="I1230:I1231"/>
    <mergeCell ref="J1230:J1231"/>
    <mergeCell ref="K1230:K1231"/>
    <mergeCell ref="L1230:L1231"/>
    <mergeCell ref="M1230:M1231"/>
    <mergeCell ref="N1230:N1231"/>
    <mergeCell ref="O1230:O1231"/>
    <mergeCell ref="P1230:P1231"/>
    <mergeCell ref="U1230:U1231"/>
    <mergeCell ref="X1230:X1231"/>
    <mergeCell ref="Y1230:Y1231"/>
    <mergeCell ref="BB1224:BB1225"/>
    <mergeCell ref="AY1224:AY1225"/>
    <mergeCell ref="AZ1224:AZ1225"/>
    <mergeCell ref="BA1224:BA1225"/>
    <mergeCell ref="AY1230:AY1231"/>
    <mergeCell ref="AH1230:AH1231"/>
    <mergeCell ref="AI1230:AI1231"/>
    <mergeCell ref="Z1230:Z1231"/>
    <mergeCell ref="AA1230:AA1231"/>
    <mergeCell ref="AC1230:AC1231"/>
    <mergeCell ref="AS1230:AS1231"/>
    <mergeCell ref="AJ1230:AJ1231"/>
    <mergeCell ref="AK1230:AK1231"/>
    <mergeCell ref="AL1230:AL1231"/>
    <mergeCell ref="AM1230:AM1231"/>
    <mergeCell ref="N1224:N1225"/>
    <mergeCell ref="O1224:O1225"/>
    <mergeCell ref="P1224:P1225"/>
    <mergeCell ref="Q1224:Q1225"/>
    <mergeCell ref="AN1230:AN1231"/>
    <mergeCell ref="AU1219:AU1220"/>
    <mergeCell ref="AR1224:AR1225"/>
    <mergeCell ref="AS1224:AS1225"/>
    <mergeCell ref="AT1224:AT1225"/>
    <mergeCell ref="AU1224:AU1225"/>
    <mergeCell ref="AZ1219:AZ1220"/>
    <mergeCell ref="BA1219:BA1220"/>
    <mergeCell ref="AH1224:AH1225"/>
    <mergeCell ref="AI1224:AI1225"/>
    <mergeCell ref="AJ1224:AJ1225"/>
    <mergeCell ref="AK1224:AK1225"/>
    <mergeCell ref="AL1224:AL1225"/>
    <mergeCell ref="AC1224:AC1225"/>
    <mergeCell ref="AD1224:AD1225"/>
    <mergeCell ref="AE1224:AE1225"/>
    <mergeCell ref="AF1224:AF1225"/>
    <mergeCell ref="AG1224:AG1225"/>
    <mergeCell ref="AV1224:AV1225"/>
    <mergeCell ref="AM1224:AM1225"/>
    <mergeCell ref="AN1224:AN1225"/>
    <mergeCell ref="AO1224:AO1225"/>
    <mergeCell ref="AP1224:AP1225"/>
    <mergeCell ref="AV1219:AV1220"/>
    <mergeCell ref="AW1224:AW1225"/>
    <mergeCell ref="AX1224:AX1225"/>
    <mergeCell ref="AW1219:AW1220"/>
    <mergeCell ref="BB1219:BB1220"/>
    <mergeCell ref="BC1219:BC1220"/>
    <mergeCell ref="H1224:H1225"/>
    <mergeCell ref="I1224:I1225"/>
    <mergeCell ref="J1224:J1225"/>
    <mergeCell ref="K1224:K1225"/>
    <mergeCell ref="L1224:L1225"/>
    <mergeCell ref="M1224:M1225"/>
    <mergeCell ref="X1224:X1225"/>
    <mergeCell ref="Y1224:Y1225"/>
    <mergeCell ref="Z1224:Z1225"/>
    <mergeCell ref="AA1224:AA1225"/>
    <mergeCell ref="AB1224:AB1225"/>
    <mergeCell ref="S1224:S1225"/>
    <mergeCell ref="U1224:U1225"/>
    <mergeCell ref="AJ1219:AJ1220"/>
    <mergeCell ref="AA1219:AA1220"/>
    <mergeCell ref="AB1219:AB1220"/>
    <mergeCell ref="AC1219:AC1220"/>
    <mergeCell ref="AD1219:AD1220"/>
    <mergeCell ref="AE1219:AE1220"/>
    <mergeCell ref="AT1219:AT1220"/>
    <mergeCell ref="AK1219:AK1220"/>
    <mergeCell ref="AL1219:AL1220"/>
    <mergeCell ref="AM1219:AM1220"/>
    <mergeCell ref="AN1219:AN1220"/>
    <mergeCell ref="AO1219:AO1220"/>
    <mergeCell ref="H1219:H1220"/>
    <mergeCell ref="I1219:I1220"/>
    <mergeCell ref="AX1219:AX1220"/>
    <mergeCell ref="AY1219:AY1220"/>
    <mergeCell ref="AP1219:AP1220"/>
    <mergeCell ref="X1219:X1220"/>
    <mergeCell ref="Y1219:Y1220"/>
    <mergeCell ref="Z1219:Z1220"/>
    <mergeCell ref="J1219:J1220"/>
    <mergeCell ref="K1219:K1220"/>
    <mergeCell ref="AR1219:AR1220"/>
    <mergeCell ref="AS1219:AS1220"/>
    <mergeCell ref="AF1219:AF1220"/>
    <mergeCell ref="AG1219:AG1220"/>
    <mergeCell ref="AH1219:AH1220"/>
    <mergeCell ref="AI1219:AI1220"/>
    <mergeCell ref="Q1219:Q1220"/>
    <mergeCell ref="S1219:S1220"/>
    <mergeCell ref="U1219:U1220"/>
    <mergeCell ref="L1219:L1220"/>
    <mergeCell ref="M1219:M1220"/>
    <mergeCell ref="N1219:N1220"/>
    <mergeCell ref="O1219:O1220"/>
    <mergeCell ref="P1219:P1220"/>
    <mergeCell ref="AQ1219:AQ1220"/>
    <mergeCell ref="BC1212:BC1214"/>
    <mergeCell ref="AT1212:AT1214"/>
    <mergeCell ref="AU1212:AU1214"/>
    <mergeCell ref="AV1212:AV1214"/>
    <mergeCell ref="AW1212:AW1214"/>
    <mergeCell ref="BC1208:BC1209"/>
    <mergeCell ref="BA1208:BA1209"/>
    <mergeCell ref="AC1208:AC1209"/>
    <mergeCell ref="AD1208:AD1209"/>
    <mergeCell ref="AE1208:AE1209"/>
    <mergeCell ref="AF1208:AF1209"/>
    <mergeCell ref="AG1208:AG1209"/>
    <mergeCell ref="AE1212:AE1214"/>
    <mergeCell ref="AF1212:AF1214"/>
    <mergeCell ref="AG1212:AG1214"/>
    <mergeCell ref="AH1212:AH1214"/>
    <mergeCell ref="AI1212:AI1214"/>
    <mergeCell ref="AC1212:AC1214"/>
    <mergeCell ref="AD1212:AD1214"/>
    <mergeCell ref="AJ1212:AJ1214"/>
    <mergeCell ref="AK1212:AK1214"/>
    <mergeCell ref="AL1212:AL1214"/>
    <mergeCell ref="AM1212:AM1214"/>
    <mergeCell ref="AN1212:AN1214"/>
    <mergeCell ref="BB1208:BB1209"/>
    <mergeCell ref="AY1212:AY1214"/>
    <mergeCell ref="AZ1212:AZ1214"/>
    <mergeCell ref="BA1212:BA1214"/>
    <mergeCell ref="BB1212:BB1214"/>
    <mergeCell ref="AY1208:AY1209"/>
    <mergeCell ref="AZ1208:AZ1209"/>
    <mergeCell ref="AW1208:AW1209"/>
    <mergeCell ref="H1212:H1214"/>
    <mergeCell ref="I1212:I1214"/>
    <mergeCell ref="J1212:J1214"/>
    <mergeCell ref="K1212:K1214"/>
    <mergeCell ref="L1212:L1214"/>
    <mergeCell ref="M1212:M1214"/>
    <mergeCell ref="U1212:U1214"/>
    <mergeCell ref="V1212:V1214"/>
    <mergeCell ref="X1212:X1214"/>
    <mergeCell ref="Y1212:Y1214"/>
    <mergeCell ref="X1208:X1209"/>
    <mergeCell ref="Y1208:Y1209"/>
    <mergeCell ref="Z1208:Z1209"/>
    <mergeCell ref="AA1208:AA1209"/>
    <mergeCell ref="AO1208:AO1209"/>
    <mergeCell ref="AP1208:AP1209"/>
    <mergeCell ref="AH1208:AH1209"/>
    <mergeCell ref="AI1208:AI1209"/>
    <mergeCell ref="AJ1208:AJ1209"/>
    <mergeCell ref="AK1208:AK1209"/>
    <mergeCell ref="AL1208:AL1209"/>
    <mergeCell ref="AO1212:AO1214"/>
    <mergeCell ref="AP1212:AP1214"/>
    <mergeCell ref="AB1208:AB1209"/>
    <mergeCell ref="Z1212:Z1214"/>
    <mergeCell ref="AA1212:AA1214"/>
    <mergeCell ref="AB1212:AB1214"/>
    <mergeCell ref="T1212:T1214"/>
    <mergeCell ref="AE1206:AE1207"/>
    <mergeCell ref="N1206:N1207"/>
    <mergeCell ref="O1206:O1207"/>
    <mergeCell ref="AV1206:AV1207"/>
    <mergeCell ref="AW1206:AW1207"/>
    <mergeCell ref="AX1206:AX1207"/>
    <mergeCell ref="N1212:N1214"/>
    <mergeCell ref="O1212:O1214"/>
    <mergeCell ref="P1212:P1214"/>
    <mergeCell ref="Q1212:Q1214"/>
    <mergeCell ref="R1212:R1214"/>
    <mergeCell ref="S1212:S1214"/>
    <mergeCell ref="AQ1208:AQ1209"/>
    <mergeCell ref="AX1212:AX1214"/>
    <mergeCell ref="AQ1212:AQ1214"/>
    <mergeCell ref="AR1212:AR1214"/>
    <mergeCell ref="AS1212:AS1214"/>
    <mergeCell ref="AR1208:AR1209"/>
    <mergeCell ref="AS1208:AS1209"/>
    <mergeCell ref="AT1208:AT1209"/>
    <mergeCell ref="AU1208:AU1209"/>
    <mergeCell ref="AR1206:AR1207"/>
    <mergeCell ref="AS1206:AS1207"/>
    <mergeCell ref="AR1203:AR1204"/>
    <mergeCell ref="AS1203:AS1204"/>
    <mergeCell ref="AT1203:AT1204"/>
    <mergeCell ref="AU1203:AU1204"/>
    <mergeCell ref="AZ1206:AZ1207"/>
    <mergeCell ref="BA1206:BA1207"/>
    <mergeCell ref="N1208:N1209"/>
    <mergeCell ref="O1208:O1209"/>
    <mergeCell ref="P1208:P1209"/>
    <mergeCell ref="Q1208:Q1209"/>
    <mergeCell ref="R1208:R1209"/>
    <mergeCell ref="AU1206:AU1207"/>
    <mergeCell ref="AK1206:AK1207"/>
    <mergeCell ref="AL1206:AL1207"/>
    <mergeCell ref="AM1208:AM1209"/>
    <mergeCell ref="AN1208:AN1209"/>
    <mergeCell ref="P1206:P1207"/>
    <mergeCell ref="Q1206:Q1207"/>
    <mergeCell ref="R1206:R1207"/>
    <mergeCell ref="S1206:S1207"/>
    <mergeCell ref="AV1208:AV1209"/>
    <mergeCell ref="AL1203:AL1204"/>
    <mergeCell ref="AO1203:AO1204"/>
    <mergeCell ref="AX1208:AX1209"/>
    <mergeCell ref="AG1206:AG1207"/>
    <mergeCell ref="AH1206:AH1207"/>
    <mergeCell ref="AI1206:AI1207"/>
    <mergeCell ref="AJ1206:AJ1207"/>
    <mergeCell ref="AA1206:AA1207"/>
    <mergeCell ref="AB1206:AB1207"/>
    <mergeCell ref="AC1206:AC1207"/>
    <mergeCell ref="AD1206:AD1207"/>
    <mergeCell ref="BB1206:BB1207"/>
    <mergeCell ref="BC1206:BC1207"/>
    <mergeCell ref="H1208:H1209"/>
    <mergeCell ref="I1208:I1209"/>
    <mergeCell ref="J1208:J1209"/>
    <mergeCell ref="K1208:K1209"/>
    <mergeCell ref="L1208:L1209"/>
    <mergeCell ref="M1208:M1209"/>
    <mergeCell ref="V1206:V1207"/>
    <mergeCell ref="X1206:X1207"/>
    <mergeCell ref="Y1206:Y1207"/>
    <mergeCell ref="Z1206:Z1207"/>
    <mergeCell ref="S1208:S1209"/>
    <mergeCell ref="T1208:T1209"/>
    <mergeCell ref="U1208:U1209"/>
    <mergeCell ref="V1208:V1209"/>
    <mergeCell ref="AF1206:AF1207"/>
    <mergeCell ref="H1206:H1207"/>
    <mergeCell ref="I1206:I1207"/>
    <mergeCell ref="J1206:J1207"/>
    <mergeCell ref="K1206:K1207"/>
    <mergeCell ref="L1206:L1207"/>
    <mergeCell ref="M1206:M1207"/>
    <mergeCell ref="AM1206:AM1207"/>
    <mergeCell ref="AN1206:AN1207"/>
    <mergeCell ref="AY1206:AY1207"/>
    <mergeCell ref="AP1206:AP1207"/>
    <mergeCell ref="AQ1206:AQ1207"/>
    <mergeCell ref="AT1206:AT1207"/>
    <mergeCell ref="AO1206:AO1207"/>
    <mergeCell ref="T1206:T1207"/>
    <mergeCell ref="U1206:U1207"/>
    <mergeCell ref="AU1188:AU1190"/>
    <mergeCell ref="AK1188:AK1190"/>
    <mergeCell ref="AL1188:AL1190"/>
    <mergeCell ref="AM1188:AM1190"/>
    <mergeCell ref="AN1188:AN1190"/>
    <mergeCell ref="S1203:S1204"/>
    <mergeCell ref="U1203:U1204"/>
    <mergeCell ref="BC1203:BC1204"/>
    <mergeCell ref="BB1203:BB1204"/>
    <mergeCell ref="AV1203:AV1204"/>
    <mergeCell ref="AM1203:AM1204"/>
    <mergeCell ref="AN1203:AN1204"/>
    <mergeCell ref="AC1203:AC1204"/>
    <mergeCell ref="AD1203:AD1204"/>
    <mergeCell ref="AE1203:AE1204"/>
    <mergeCell ref="AF1203:AF1204"/>
    <mergeCell ref="AG1203:AG1204"/>
    <mergeCell ref="X1203:X1204"/>
    <mergeCell ref="Y1203:Y1204"/>
    <mergeCell ref="Z1203:Z1204"/>
    <mergeCell ref="AA1203:AA1204"/>
    <mergeCell ref="AB1203:AB1204"/>
    <mergeCell ref="AP1203:AP1204"/>
    <mergeCell ref="AQ1203:AQ1204"/>
    <mergeCell ref="AH1203:AH1204"/>
    <mergeCell ref="AI1203:AI1204"/>
    <mergeCell ref="AJ1203:AJ1204"/>
    <mergeCell ref="AK1203:AK1204"/>
    <mergeCell ref="AW1203:AW1204"/>
    <mergeCell ref="AX1203:AX1204"/>
    <mergeCell ref="AZ1203:AZ1204"/>
    <mergeCell ref="BA1203:BA1204"/>
    <mergeCell ref="H1203:H1204"/>
    <mergeCell ref="I1203:I1204"/>
    <mergeCell ref="J1203:J1204"/>
    <mergeCell ref="K1203:K1204"/>
    <mergeCell ref="L1203:L1204"/>
    <mergeCell ref="M1203:M1204"/>
    <mergeCell ref="X1188:X1190"/>
    <mergeCell ref="Y1188:Y1190"/>
    <mergeCell ref="Z1188:Z1190"/>
    <mergeCell ref="Q1188:Q1190"/>
    <mergeCell ref="S1188:S1190"/>
    <mergeCell ref="U1188:U1190"/>
    <mergeCell ref="AH1188:AH1190"/>
    <mergeCell ref="AA1188:AA1190"/>
    <mergeCell ref="AB1188:AB1190"/>
    <mergeCell ref="AC1188:AC1190"/>
    <mergeCell ref="AD1188:AD1190"/>
    <mergeCell ref="AE1188:AE1190"/>
    <mergeCell ref="H1188:H1190"/>
    <mergeCell ref="I1188:I1190"/>
    <mergeCell ref="J1188:J1190"/>
    <mergeCell ref="K1188:K1190"/>
    <mergeCell ref="AF1188:AF1190"/>
    <mergeCell ref="AG1188:AG1190"/>
    <mergeCell ref="N1203:N1204"/>
    <mergeCell ref="O1203:O1204"/>
    <mergeCell ref="P1203:P1204"/>
    <mergeCell ref="Q1203:Q1204"/>
    <mergeCell ref="L1188:L1190"/>
    <mergeCell ref="M1188:M1190"/>
    <mergeCell ref="N1188:N1190"/>
    <mergeCell ref="O1188:O1190"/>
    <mergeCell ref="P1188:P1190"/>
    <mergeCell ref="Q1173:Q1174"/>
    <mergeCell ref="R1173:R1174"/>
    <mergeCell ref="S1173:S1174"/>
    <mergeCell ref="T1173:T1174"/>
    <mergeCell ref="AD1173:AD1174"/>
    <mergeCell ref="AE1173:AE1174"/>
    <mergeCell ref="AF1173:AF1174"/>
    <mergeCell ref="AG1173:AG1174"/>
    <mergeCell ref="AZ1188:AZ1190"/>
    <mergeCell ref="BA1188:BA1190"/>
    <mergeCell ref="BB1188:BB1190"/>
    <mergeCell ref="BC1188:BC1190"/>
    <mergeCell ref="AI1188:AI1190"/>
    <mergeCell ref="AJ1188:AJ1190"/>
    <mergeCell ref="AO1188:AO1190"/>
    <mergeCell ref="AV1188:AV1190"/>
    <mergeCell ref="AW1188:AW1190"/>
    <mergeCell ref="AX1188:AX1190"/>
    <mergeCell ref="AY1188:AY1190"/>
    <mergeCell ref="AP1188:AP1190"/>
    <mergeCell ref="AQ1188:AQ1190"/>
    <mergeCell ref="AR1188:AR1190"/>
    <mergeCell ref="AS1188:AS1190"/>
    <mergeCell ref="AT1188:AT1190"/>
    <mergeCell ref="AP1173:AP1174"/>
    <mergeCell ref="AQ1173:AQ1174"/>
    <mergeCell ref="AR1173:AR1174"/>
    <mergeCell ref="AS1173:AS1174"/>
    <mergeCell ref="AJ1173:AJ1174"/>
    <mergeCell ref="AK1173:AK1174"/>
    <mergeCell ref="AL1173:AL1174"/>
    <mergeCell ref="AM1173:AM1174"/>
    <mergeCell ref="AN1173:AN1174"/>
    <mergeCell ref="AZ1173:AZ1174"/>
    <mergeCell ref="BA1173:BA1174"/>
    <mergeCell ref="AG1168:AG1169"/>
    <mergeCell ref="AV1168:AV1169"/>
    <mergeCell ref="AM1168:AM1169"/>
    <mergeCell ref="AN1168:AN1169"/>
    <mergeCell ref="AO1168:AO1169"/>
    <mergeCell ref="AP1168:AP1169"/>
    <mergeCell ref="AQ1168:AQ1169"/>
    <mergeCell ref="AT1173:AT1174"/>
    <mergeCell ref="AU1173:AU1174"/>
    <mergeCell ref="AV1173:AV1174"/>
    <mergeCell ref="AW1173:AW1174"/>
    <mergeCell ref="AX1173:AX1174"/>
    <mergeCell ref="AO1173:AO1174"/>
    <mergeCell ref="AS1168:AS1169"/>
    <mergeCell ref="AT1168:AT1169"/>
    <mergeCell ref="AU1168:AU1169"/>
    <mergeCell ref="BC1168:BC1169"/>
    <mergeCell ref="H1173:H1174"/>
    <mergeCell ref="I1173:I1174"/>
    <mergeCell ref="J1173:J1174"/>
    <mergeCell ref="K1173:K1174"/>
    <mergeCell ref="L1173:L1174"/>
    <mergeCell ref="M1173:M1174"/>
    <mergeCell ref="N1173:N1174"/>
    <mergeCell ref="O1173:O1174"/>
    <mergeCell ref="P1173:P1174"/>
    <mergeCell ref="U1173:U1174"/>
    <mergeCell ref="V1173:V1174"/>
    <mergeCell ref="X1173:X1174"/>
    <mergeCell ref="Y1173:Y1174"/>
    <mergeCell ref="BB1168:BB1169"/>
    <mergeCell ref="AY1168:AY1169"/>
    <mergeCell ref="AZ1168:AZ1169"/>
    <mergeCell ref="BB1173:BB1174"/>
    <mergeCell ref="BC1173:BC1174"/>
    <mergeCell ref="P1168:P1169"/>
    <mergeCell ref="Q1168:Q1169"/>
    <mergeCell ref="R1168:R1169"/>
    <mergeCell ref="N1168:N1169"/>
    <mergeCell ref="O1168:O1169"/>
    <mergeCell ref="BA1168:BA1169"/>
    <mergeCell ref="AY1173:AY1174"/>
    <mergeCell ref="AH1173:AH1174"/>
    <mergeCell ref="AI1173:AI1174"/>
    <mergeCell ref="Z1173:Z1174"/>
    <mergeCell ref="AA1173:AA1174"/>
    <mergeCell ref="AB1173:AB1174"/>
    <mergeCell ref="AC1173:AC1174"/>
    <mergeCell ref="AH1168:AH1169"/>
    <mergeCell ref="AI1168:AI1169"/>
    <mergeCell ref="AJ1168:AJ1169"/>
    <mergeCell ref="AK1168:AK1169"/>
    <mergeCell ref="AL1168:AL1169"/>
    <mergeCell ref="AC1168:AC1169"/>
    <mergeCell ref="AD1168:AD1169"/>
    <mergeCell ref="AE1168:AE1169"/>
    <mergeCell ref="AF1168:AF1169"/>
    <mergeCell ref="AV1161:AV1162"/>
    <mergeCell ref="AW1168:AW1169"/>
    <mergeCell ref="AX1168:AX1169"/>
    <mergeCell ref="AW1161:AW1162"/>
    <mergeCell ref="AX1161:AX1162"/>
    <mergeCell ref="AY1161:AY1162"/>
    <mergeCell ref="AP1161:AP1162"/>
    <mergeCell ref="AQ1161:AQ1162"/>
    <mergeCell ref="BC1161:BC1162"/>
    <mergeCell ref="H1168:H1169"/>
    <mergeCell ref="I1168:I1169"/>
    <mergeCell ref="J1168:J1169"/>
    <mergeCell ref="K1168:K1169"/>
    <mergeCell ref="L1168:L1169"/>
    <mergeCell ref="M1168:M1169"/>
    <mergeCell ref="X1168:X1169"/>
    <mergeCell ref="Y1168:Y1169"/>
    <mergeCell ref="Z1168:Z1169"/>
    <mergeCell ref="AA1168:AA1169"/>
    <mergeCell ref="AB1168:AB1169"/>
    <mergeCell ref="S1168:S1169"/>
    <mergeCell ref="T1168:T1169"/>
    <mergeCell ref="U1168:U1169"/>
    <mergeCell ref="V1168:V1169"/>
    <mergeCell ref="AF1161:AF1162"/>
    <mergeCell ref="AG1161:AG1162"/>
    <mergeCell ref="AH1161:AH1162"/>
    <mergeCell ref="AI1161:AI1162"/>
    <mergeCell ref="AJ1161:AJ1162"/>
    <mergeCell ref="AA1161:AA1162"/>
    <mergeCell ref="AB1161:AB1162"/>
    <mergeCell ref="AC1161:AC1162"/>
    <mergeCell ref="AD1161:AD1162"/>
    <mergeCell ref="AE1161:AE1162"/>
    <mergeCell ref="AR1161:AR1162"/>
    <mergeCell ref="AS1161:AS1162"/>
    <mergeCell ref="AT1161:AT1162"/>
    <mergeCell ref="AK1161:AK1162"/>
    <mergeCell ref="AU1161:AU1162"/>
    <mergeCell ref="AR1168:AR1169"/>
    <mergeCell ref="N1161:N1162"/>
    <mergeCell ref="O1161:O1162"/>
    <mergeCell ref="P1161:P1162"/>
    <mergeCell ref="Q1161:Q1162"/>
    <mergeCell ref="R1161:R1162"/>
    <mergeCell ref="S1161:S1162"/>
    <mergeCell ref="H1161:H1162"/>
    <mergeCell ref="I1161:I1162"/>
    <mergeCell ref="J1161:J1162"/>
    <mergeCell ref="K1161:K1162"/>
    <mergeCell ref="L1161:L1162"/>
    <mergeCell ref="M1161:M1162"/>
    <mergeCell ref="V1161:V1162"/>
    <mergeCell ref="X1161:X1162"/>
    <mergeCell ref="Y1161:Y1162"/>
    <mergeCell ref="Z1161:Z1162"/>
    <mergeCell ref="BB1161:BB1162"/>
    <mergeCell ref="AZ1161:AZ1162"/>
    <mergeCell ref="BA1161:BA1162"/>
    <mergeCell ref="AL1161:AL1162"/>
    <mergeCell ref="AM1161:AM1162"/>
    <mergeCell ref="AN1161:AN1162"/>
    <mergeCell ref="AO1161:AO1162"/>
    <mergeCell ref="T1161:T1162"/>
    <mergeCell ref="U1161:U1162"/>
    <mergeCell ref="S1154:S1155"/>
    <mergeCell ref="BC1154:BC1155"/>
    <mergeCell ref="BB1154:BB1155"/>
    <mergeCell ref="AW1154:AW1155"/>
    <mergeCell ref="AN1154:AN1155"/>
    <mergeCell ref="AO1154:AO1155"/>
    <mergeCell ref="AH1154:AH1155"/>
    <mergeCell ref="Y1154:Y1155"/>
    <mergeCell ref="Z1154:Z1155"/>
    <mergeCell ref="AA1154:AA1155"/>
    <mergeCell ref="AB1154:AB1155"/>
    <mergeCell ref="AC1154:AC1155"/>
    <mergeCell ref="AQ1154:AQ1155"/>
    <mergeCell ref="AR1154:AR1155"/>
    <mergeCell ref="AI1154:AI1155"/>
    <mergeCell ref="AJ1154:AJ1155"/>
    <mergeCell ref="AK1154:AK1155"/>
    <mergeCell ref="AL1154:AL1155"/>
    <mergeCell ref="AM1154:AM1155"/>
    <mergeCell ref="AX1154:AX1155"/>
    <mergeCell ref="AY1154:AY1155"/>
    <mergeCell ref="AZ1154:AZ1155"/>
    <mergeCell ref="BA1154:BA1155"/>
    <mergeCell ref="AS1154:AS1155"/>
    <mergeCell ref="AT1154:AT1155"/>
    <mergeCell ref="AU1154:AU1155"/>
    <mergeCell ref="AV1154:AV1155"/>
    <mergeCell ref="AP1154:AP1155"/>
    <mergeCell ref="AD1154:AD1155"/>
    <mergeCell ref="AE1154:AE1155"/>
    <mergeCell ref="AF1154:AF1155"/>
    <mergeCell ref="AG1154:AG1155"/>
    <mergeCell ref="O1141:O1143"/>
    <mergeCell ref="P1141:P1143"/>
    <mergeCell ref="Q1141:Q1143"/>
    <mergeCell ref="R1141:R1143"/>
    <mergeCell ref="S1141:S1143"/>
    <mergeCell ref="T1141:T1143"/>
    <mergeCell ref="U1141:U1143"/>
    <mergeCell ref="V1141:V1143"/>
    <mergeCell ref="X1141:X1143"/>
    <mergeCell ref="AH1141:AH1143"/>
    <mergeCell ref="Y1141:Y1143"/>
    <mergeCell ref="Z1141:Z1143"/>
    <mergeCell ref="AA1141:AA1143"/>
    <mergeCell ref="AB1141:AB1143"/>
    <mergeCell ref="AC1141:AC1143"/>
    <mergeCell ref="J1154:J1155"/>
    <mergeCell ref="K1154:K1155"/>
    <mergeCell ref="L1154:L1155"/>
    <mergeCell ref="M1154:M1155"/>
    <mergeCell ref="N1154:N1155"/>
    <mergeCell ref="AD1141:AD1143"/>
    <mergeCell ref="AE1141:AE1143"/>
    <mergeCell ref="AF1141:AF1143"/>
    <mergeCell ref="AG1141:AG1143"/>
    <mergeCell ref="T1154:T1155"/>
    <mergeCell ref="U1154:U1155"/>
    <mergeCell ref="V1154:V1155"/>
    <mergeCell ref="X1154:X1155"/>
    <mergeCell ref="O1154:O1155"/>
    <mergeCell ref="P1154:P1155"/>
    <mergeCell ref="Q1154:Q1155"/>
    <mergeCell ref="R1154:R1155"/>
    <mergeCell ref="BB1141:BB1143"/>
    <mergeCell ref="BC1141:BC1143"/>
    <mergeCell ref="AS1141:AS1143"/>
    <mergeCell ref="AT1141:AT1143"/>
    <mergeCell ref="AU1141:AU1143"/>
    <mergeCell ref="AV1141:AV1143"/>
    <mergeCell ref="AW1141:AW1143"/>
    <mergeCell ref="AZ1141:AZ1143"/>
    <mergeCell ref="AP1129:AP1130"/>
    <mergeCell ref="AQ1129:AQ1130"/>
    <mergeCell ref="AR1129:AR1130"/>
    <mergeCell ref="AS1129:AS1130"/>
    <mergeCell ref="AT1129:AT1130"/>
    <mergeCell ref="AK1129:AK1130"/>
    <mergeCell ref="AL1129:AL1130"/>
    <mergeCell ref="AM1129:AM1130"/>
    <mergeCell ref="AN1129:AN1130"/>
    <mergeCell ref="AO1129:AO1130"/>
    <mergeCell ref="AX1141:AX1143"/>
    <mergeCell ref="AQ1141:AQ1143"/>
    <mergeCell ref="AR1141:AR1143"/>
    <mergeCell ref="AN1141:AN1143"/>
    <mergeCell ref="AO1141:AO1143"/>
    <mergeCell ref="AP1141:AP1143"/>
    <mergeCell ref="AK1141:AK1143"/>
    <mergeCell ref="AL1141:AL1143"/>
    <mergeCell ref="AM1141:AM1143"/>
    <mergeCell ref="H1141:H1143"/>
    <mergeCell ref="I1141:I1143"/>
    <mergeCell ref="J1141:J1143"/>
    <mergeCell ref="K1141:K1143"/>
    <mergeCell ref="L1141:L1143"/>
    <mergeCell ref="M1141:M1143"/>
    <mergeCell ref="T1129:T1130"/>
    <mergeCell ref="U1129:U1130"/>
    <mergeCell ref="AW1127:AW1128"/>
    <mergeCell ref="AX1127:AX1128"/>
    <mergeCell ref="AZ1127:AZ1128"/>
    <mergeCell ref="BA1127:BA1128"/>
    <mergeCell ref="BA1129:BA1130"/>
    <mergeCell ref="AU1129:AU1130"/>
    <mergeCell ref="AV1129:AV1130"/>
    <mergeCell ref="AW1129:AW1130"/>
    <mergeCell ref="P1129:P1130"/>
    <mergeCell ref="Q1129:Q1130"/>
    <mergeCell ref="R1129:R1130"/>
    <mergeCell ref="S1129:S1130"/>
    <mergeCell ref="H1129:H1130"/>
    <mergeCell ref="I1129:I1130"/>
    <mergeCell ref="J1129:J1130"/>
    <mergeCell ref="K1129:K1130"/>
    <mergeCell ref="L1129:L1130"/>
    <mergeCell ref="M1129:M1130"/>
    <mergeCell ref="V1129:V1130"/>
    <mergeCell ref="X1129:X1130"/>
    <mergeCell ref="Y1129:Y1130"/>
    <mergeCell ref="BA1141:BA1143"/>
    <mergeCell ref="AI1141:AI1143"/>
    <mergeCell ref="AJ1141:AJ1143"/>
    <mergeCell ref="Z1129:Z1130"/>
    <mergeCell ref="BC1127:BC1128"/>
    <mergeCell ref="BB1129:BB1130"/>
    <mergeCell ref="BC1129:BC1130"/>
    <mergeCell ref="AX1129:AX1130"/>
    <mergeCell ref="AZ1129:AZ1130"/>
    <mergeCell ref="AI1129:AI1130"/>
    <mergeCell ref="AJ1129:AJ1130"/>
    <mergeCell ref="AA1129:AA1130"/>
    <mergeCell ref="AB1129:AB1130"/>
    <mergeCell ref="AC1129:AC1130"/>
    <mergeCell ref="AD1129:AD1130"/>
    <mergeCell ref="AE1129:AE1130"/>
    <mergeCell ref="AF1129:AF1130"/>
    <mergeCell ref="AG1129:AG1130"/>
    <mergeCell ref="AC1127:AC1128"/>
    <mergeCell ref="AD1127:AD1128"/>
    <mergeCell ref="AE1127:AE1128"/>
    <mergeCell ref="AF1127:AF1128"/>
    <mergeCell ref="AG1127:AG1128"/>
    <mergeCell ref="AH1129:AH1130"/>
    <mergeCell ref="AQ1127:AQ1128"/>
    <mergeCell ref="AH1127:AH1128"/>
    <mergeCell ref="AI1127:AI1128"/>
    <mergeCell ref="AJ1127:AJ1128"/>
    <mergeCell ref="AK1127:AK1128"/>
    <mergeCell ref="AL1127:AL1128"/>
    <mergeCell ref="BB1127:BB1128"/>
    <mergeCell ref="AR1127:AR1128"/>
    <mergeCell ref="AS1127:AS1128"/>
    <mergeCell ref="AT1127:AT1128"/>
    <mergeCell ref="AU1127:AU1128"/>
    <mergeCell ref="AV1122:AV1126"/>
    <mergeCell ref="AW1122:AW1126"/>
    <mergeCell ref="AX1122:AX1126"/>
    <mergeCell ref="AY1122:AY1126"/>
    <mergeCell ref="AP1122:AP1126"/>
    <mergeCell ref="AQ1122:AQ1126"/>
    <mergeCell ref="N1127:N1128"/>
    <mergeCell ref="O1127:O1128"/>
    <mergeCell ref="P1127:P1128"/>
    <mergeCell ref="Q1127:Q1128"/>
    <mergeCell ref="R1127:R1128"/>
    <mergeCell ref="AU1122:AU1126"/>
    <mergeCell ref="AM1127:AM1128"/>
    <mergeCell ref="AN1127:AN1128"/>
    <mergeCell ref="AO1127:AO1128"/>
    <mergeCell ref="AP1127:AP1128"/>
    <mergeCell ref="AT1122:AT1126"/>
    <mergeCell ref="AK1122:AK1126"/>
    <mergeCell ref="AL1122:AL1126"/>
    <mergeCell ref="AM1122:AM1126"/>
    <mergeCell ref="AN1122:AN1126"/>
    <mergeCell ref="AO1122:AO1126"/>
    <mergeCell ref="P1122:P1126"/>
    <mergeCell ref="Q1122:Q1126"/>
    <mergeCell ref="R1122:R1126"/>
    <mergeCell ref="S1122:S1126"/>
    <mergeCell ref="T1122:T1126"/>
    <mergeCell ref="U1122:U1126"/>
    <mergeCell ref="AZ1122:AZ1126"/>
    <mergeCell ref="BA1122:BA1126"/>
    <mergeCell ref="BB1122:BB1126"/>
    <mergeCell ref="BC1122:BC1126"/>
    <mergeCell ref="H1127:H1128"/>
    <mergeCell ref="I1127:I1128"/>
    <mergeCell ref="J1127:J1128"/>
    <mergeCell ref="K1127:K1128"/>
    <mergeCell ref="L1127:L1128"/>
    <mergeCell ref="M1127:M1128"/>
    <mergeCell ref="X1127:X1128"/>
    <mergeCell ref="Y1127:Y1128"/>
    <mergeCell ref="Z1127:Z1128"/>
    <mergeCell ref="AA1127:AA1128"/>
    <mergeCell ref="AB1127:AB1128"/>
    <mergeCell ref="S1127:S1128"/>
    <mergeCell ref="T1127:T1128"/>
    <mergeCell ref="U1127:U1128"/>
    <mergeCell ref="V1127:V1128"/>
    <mergeCell ref="AF1122:AF1126"/>
    <mergeCell ref="AG1122:AG1126"/>
    <mergeCell ref="AH1122:AH1126"/>
    <mergeCell ref="AI1122:AI1126"/>
    <mergeCell ref="AJ1122:AJ1126"/>
    <mergeCell ref="AA1122:AA1126"/>
    <mergeCell ref="AB1122:AB1126"/>
    <mergeCell ref="AC1122:AC1126"/>
    <mergeCell ref="AD1122:AD1126"/>
    <mergeCell ref="AE1122:AE1126"/>
    <mergeCell ref="AR1122:AR1126"/>
    <mergeCell ref="AS1122:AS1126"/>
    <mergeCell ref="AV1127:AV1128"/>
    <mergeCell ref="J1122:J1126"/>
    <mergeCell ref="K1122:K1126"/>
    <mergeCell ref="L1122:L1126"/>
    <mergeCell ref="M1122:M1126"/>
    <mergeCell ref="N1122:N1126"/>
    <mergeCell ref="O1122:O1126"/>
    <mergeCell ref="V1122:V1126"/>
    <mergeCell ref="X1122:X1126"/>
    <mergeCell ref="Y1122:Y1126"/>
    <mergeCell ref="Z1122:Z1126"/>
    <mergeCell ref="J1105:J1106"/>
    <mergeCell ref="K1105:K1106"/>
    <mergeCell ref="L1105:L1106"/>
    <mergeCell ref="M1105:M1106"/>
    <mergeCell ref="N1105:N1106"/>
    <mergeCell ref="T1105:T1106"/>
    <mergeCell ref="O1105:O1106"/>
    <mergeCell ref="P1105:P1106"/>
    <mergeCell ref="Q1105:Q1106"/>
    <mergeCell ref="R1105:R1106"/>
    <mergeCell ref="S1105:S1106"/>
    <mergeCell ref="BC1105:BC1106"/>
    <mergeCell ref="AX1105:AX1106"/>
    <mergeCell ref="AY1105:AY1106"/>
    <mergeCell ref="AZ1105:AZ1106"/>
    <mergeCell ref="BA1105:BA1106"/>
    <mergeCell ref="AH1105:AH1106"/>
    <mergeCell ref="Y1105:Y1106"/>
    <mergeCell ref="Z1105:Z1106"/>
    <mergeCell ref="AA1105:AA1106"/>
    <mergeCell ref="AB1105:AB1106"/>
    <mergeCell ref="AC1105:AC1106"/>
    <mergeCell ref="AQ1105:AQ1106"/>
    <mergeCell ref="AR1105:AR1106"/>
    <mergeCell ref="AI1105:AI1106"/>
    <mergeCell ref="AJ1105:AJ1106"/>
    <mergeCell ref="AK1105:AK1106"/>
    <mergeCell ref="AL1105:AL1106"/>
    <mergeCell ref="AM1105:AM1106"/>
    <mergeCell ref="AN1105:AN1106"/>
    <mergeCell ref="AO1105:AO1106"/>
    <mergeCell ref="BB1105:BB1106"/>
    <mergeCell ref="AS1105:AS1106"/>
    <mergeCell ref="AT1105:AT1106"/>
    <mergeCell ref="AU1105:AU1106"/>
    <mergeCell ref="AV1105:AV1106"/>
    <mergeCell ref="AW1105:AW1106"/>
    <mergeCell ref="Q1103:Q1104"/>
    <mergeCell ref="R1103:R1104"/>
    <mergeCell ref="S1103:S1104"/>
    <mergeCell ref="T1103:T1104"/>
    <mergeCell ref="U1103:U1104"/>
    <mergeCell ref="V1103:V1104"/>
    <mergeCell ref="X1103:X1104"/>
    <mergeCell ref="Y1103:Y1104"/>
    <mergeCell ref="AP1105:AP1106"/>
    <mergeCell ref="AD1105:AD1106"/>
    <mergeCell ref="AE1105:AE1106"/>
    <mergeCell ref="AF1105:AF1106"/>
    <mergeCell ref="AG1105:AG1106"/>
    <mergeCell ref="AI1103:AI1104"/>
    <mergeCell ref="Z1103:Z1104"/>
    <mergeCell ref="AC1103:AC1104"/>
    <mergeCell ref="AD1103:AD1104"/>
    <mergeCell ref="U1105:U1106"/>
    <mergeCell ref="V1105:V1106"/>
    <mergeCell ref="X1105:X1106"/>
    <mergeCell ref="BC1103:BC1104"/>
    <mergeCell ref="AT1103:AT1104"/>
    <mergeCell ref="AU1103:AU1104"/>
    <mergeCell ref="AV1103:AV1104"/>
    <mergeCell ref="AW1103:AW1104"/>
    <mergeCell ref="AX1103:AX1104"/>
    <mergeCell ref="AZ1103:AZ1104"/>
    <mergeCell ref="AP1093:AP1095"/>
    <mergeCell ref="AQ1093:AQ1095"/>
    <mergeCell ref="AH1093:AH1095"/>
    <mergeCell ref="AI1093:AI1095"/>
    <mergeCell ref="BA1103:BA1104"/>
    <mergeCell ref="BB1103:BB1104"/>
    <mergeCell ref="AO1103:AO1104"/>
    <mergeCell ref="AP1103:AP1104"/>
    <mergeCell ref="AQ1103:AQ1104"/>
    <mergeCell ref="AR1103:AR1104"/>
    <mergeCell ref="AW1093:AW1095"/>
    <mergeCell ref="AX1093:AX1095"/>
    <mergeCell ref="AR1093:AR1095"/>
    <mergeCell ref="AS1093:AS1095"/>
    <mergeCell ref="AT1093:AT1095"/>
    <mergeCell ref="AU1093:AU1095"/>
    <mergeCell ref="BC1093:BC1095"/>
    <mergeCell ref="AY1103:AY1104"/>
    <mergeCell ref="AH1103:AH1104"/>
    <mergeCell ref="AS1103:AS1104"/>
    <mergeCell ref="AJ1103:AJ1104"/>
    <mergeCell ref="AK1103:AK1104"/>
    <mergeCell ref="AL1103:AL1104"/>
    <mergeCell ref="AM1103:AM1104"/>
    <mergeCell ref="AN1103:AN1104"/>
    <mergeCell ref="H1103:H1104"/>
    <mergeCell ref="I1103:I1104"/>
    <mergeCell ref="J1103:J1104"/>
    <mergeCell ref="K1103:K1104"/>
    <mergeCell ref="L1103:L1104"/>
    <mergeCell ref="M1103:M1104"/>
    <mergeCell ref="N1103:N1104"/>
    <mergeCell ref="O1103:O1104"/>
    <mergeCell ref="P1103:P1104"/>
    <mergeCell ref="S1093:S1095"/>
    <mergeCell ref="T1093:T1095"/>
    <mergeCell ref="U1093:U1095"/>
    <mergeCell ref="V1093:V1095"/>
    <mergeCell ref="BB1093:BB1095"/>
    <mergeCell ref="AY1093:AY1095"/>
    <mergeCell ref="AZ1093:AZ1095"/>
    <mergeCell ref="BA1093:BA1095"/>
    <mergeCell ref="AV1093:AV1095"/>
    <mergeCell ref="AC1093:AC1095"/>
    <mergeCell ref="AD1093:AD1095"/>
    <mergeCell ref="AE1093:AE1095"/>
    <mergeCell ref="AF1093:AF1095"/>
    <mergeCell ref="AG1093:AG1095"/>
    <mergeCell ref="X1093:X1095"/>
    <mergeCell ref="Y1093:Y1095"/>
    <mergeCell ref="Z1093:Z1095"/>
    <mergeCell ref="AA1093:AA1095"/>
    <mergeCell ref="AB1093:AB1095"/>
    <mergeCell ref="N1093:N1095"/>
    <mergeCell ref="O1093:O1095"/>
    <mergeCell ref="P1093:P1095"/>
    <mergeCell ref="AE1103:AE1104"/>
    <mergeCell ref="BC1091:BC1092"/>
    <mergeCell ref="H1093:H1095"/>
    <mergeCell ref="I1093:I1095"/>
    <mergeCell ref="J1093:J1095"/>
    <mergeCell ref="K1093:K1095"/>
    <mergeCell ref="L1093:L1095"/>
    <mergeCell ref="M1093:M1095"/>
    <mergeCell ref="P1091:P1092"/>
    <mergeCell ref="Q1091:Q1092"/>
    <mergeCell ref="R1091:R1092"/>
    <mergeCell ref="S1091:S1092"/>
    <mergeCell ref="T1091:T1092"/>
    <mergeCell ref="U1091:U1092"/>
    <mergeCell ref="J1091:J1092"/>
    <mergeCell ref="K1091:K1092"/>
    <mergeCell ref="L1091:L1092"/>
    <mergeCell ref="M1091:M1092"/>
    <mergeCell ref="N1091:N1092"/>
    <mergeCell ref="O1091:O1092"/>
    <mergeCell ref="V1091:V1092"/>
    <mergeCell ref="X1091:X1092"/>
    <mergeCell ref="AO1091:AO1092"/>
    <mergeCell ref="AF1091:AF1092"/>
    <mergeCell ref="AG1091:AG1092"/>
    <mergeCell ref="AJ1093:AJ1095"/>
    <mergeCell ref="AK1093:AK1095"/>
    <mergeCell ref="AL1093:AL1095"/>
    <mergeCell ref="AM1093:AM1095"/>
    <mergeCell ref="AN1093:AN1095"/>
    <mergeCell ref="AO1093:AO1095"/>
    <mergeCell ref="AV1091:AV1092"/>
    <mergeCell ref="AT1091:AT1092"/>
    <mergeCell ref="BB1087:BB1088"/>
    <mergeCell ref="AS1087:AS1088"/>
    <mergeCell ref="Q1093:Q1095"/>
    <mergeCell ref="R1093:R1095"/>
    <mergeCell ref="AU1091:AU1092"/>
    <mergeCell ref="AK1091:AK1092"/>
    <mergeCell ref="AL1091:AL1092"/>
    <mergeCell ref="AM1091:AM1092"/>
    <mergeCell ref="AN1091:AN1092"/>
    <mergeCell ref="AZ1091:AZ1092"/>
    <mergeCell ref="BA1091:BA1092"/>
    <mergeCell ref="BB1091:BB1092"/>
    <mergeCell ref="AW1091:AW1092"/>
    <mergeCell ref="AX1091:AX1092"/>
    <mergeCell ref="AY1091:AY1092"/>
    <mergeCell ref="AP1091:AP1092"/>
    <mergeCell ref="AQ1091:AQ1092"/>
    <mergeCell ref="AR1091:AR1092"/>
    <mergeCell ref="AS1091:AS1092"/>
    <mergeCell ref="A5:A9"/>
    <mergeCell ref="B5:B9"/>
    <mergeCell ref="C5:C9"/>
    <mergeCell ref="D5:D9"/>
    <mergeCell ref="E5:E9"/>
    <mergeCell ref="R5:R9"/>
    <mergeCell ref="G5:G9"/>
    <mergeCell ref="H5:H9"/>
    <mergeCell ref="I5:I9"/>
    <mergeCell ref="J5:J9"/>
    <mergeCell ref="H1087:H1088"/>
    <mergeCell ref="I1087:I1088"/>
    <mergeCell ref="AT1087:AT1088"/>
    <mergeCell ref="AU1087:AU1088"/>
    <mergeCell ref="AV1087:AV1088"/>
    <mergeCell ref="AW1087:AW1088"/>
    <mergeCell ref="S1087:S1088"/>
    <mergeCell ref="J1087:J1088"/>
    <mergeCell ref="K1087:K1088"/>
    <mergeCell ref="L1087:L1088"/>
    <mergeCell ref="M1087:M1088"/>
    <mergeCell ref="N1087:N1088"/>
    <mergeCell ref="AB1087:AB1088"/>
    <mergeCell ref="AC1087:AC1088"/>
    <mergeCell ref="T1087:T1088"/>
    <mergeCell ref="U1087:U1088"/>
    <mergeCell ref="V1087:V1088"/>
    <mergeCell ref="X1087:X1088"/>
    <mergeCell ref="AD1087:AD1088"/>
    <mergeCell ref="AE1087:AE1088"/>
    <mergeCell ref="AF1087:AF1088"/>
    <mergeCell ref="AG1087:AG1088"/>
    <mergeCell ref="H1154:H1155"/>
    <mergeCell ref="I1154:I1155"/>
    <mergeCell ref="H1091:H1092"/>
    <mergeCell ref="I1091:I1092"/>
    <mergeCell ref="H1122:H1126"/>
    <mergeCell ref="I1122:I1126"/>
    <mergeCell ref="X6:X8"/>
    <mergeCell ref="Y6:Y8"/>
    <mergeCell ref="Z6:AX6"/>
    <mergeCell ref="Z7:AA8"/>
    <mergeCell ref="AB7:AC8"/>
    <mergeCell ref="F5:F9"/>
    <mergeCell ref="K5:K9"/>
    <mergeCell ref="L5:L9"/>
    <mergeCell ref="M5:M9"/>
    <mergeCell ref="N5:N9"/>
    <mergeCell ref="AL7:AM8"/>
    <mergeCell ref="AN7:AO8"/>
    <mergeCell ref="AP7:AQ8"/>
    <mergeCell ref="AR7:AS8"/>
    <mergeCell ref="AT7:AU8"/>
    <mergeCell ref="AV7:AW8"/>
    <mergeCell ref="O5:O9"/>
    <mergeCell ref="P5:P9"/>
    <mergeCell ref="Q5:Q9"/>
    <mergeCell ref="Y1087:Y1088"/>
    <mergeCell ref="Z1087:Z1088"/>
    <mergeCell ref="AA1087:AA1088"/>
    <mergeCell ref="O1087:O1088"/>
    <mergeCell ref="P1087:P1088"/>
    <mergeCell ref="Q1087:Q1088"/>
    <mergeCell ref="R1087:R1088"/>
    <mergeCell ref="AZ5:AZ9"/>
    <mergeCell ref="BA5:BA9"/>
    <mergeCell ref="BB5:BB9"/>
    <mergeCell ref="BC5:BC9"/>
    <mergeCell ref="AX7:AX8"/>
    <mergeCell ref="S5:S9"/>
    <mergeCell ref="T5:T9"/>
    <mergeCell ref="U5:U9"/>
    <mergeCell ref="V5:V9"/>
    <mergeCell ref="W5:W9"/>
    <mergeCell ref="X5:AX5"/>
    <mergeCell ref="AD7:AE8"/>
    <mergeCell ref="AF7:AG8"/>
    <mergeCell ref="AH7:AI8"/>
    <mergeCell ref="AJ7:AK8"/>
    <mergeCell ref="H1105:H1106"/>
    <mergeCell ref="I1105:I1106"/>
    <mergeCell ref="Y1091:Y1092"/>
    <mergeCell ref="Z1091:Z1092"/>
    <mergeCell ref="BC1087:BC1088"/>
    <mergeCell ref="AX1087:AX1088"/>
    <mergeCell ref="AY1087:AY1088"/>
    <mergeCell ref="AZ1087:AZ1088"/>
    <mergeCell ref="BA1087:BA1088"/>
    <mergeCell ref="AI1091:AI1092"/>
    <mergeCell ref="AJ1091:AJ1092"/>
    <mergeCell ref="AA1091:AA1092"/>
    <mergeCell ref="AB1091:AB1092"/>
    <mergeCell ref="AC1091:AC1092"/>
    <mergeCell ref="AD1091:AD1092"/>
    <mergeCell ref="AE1091:AE1092"/>
    <mergeCell ref="AH1087:AH1088"/>
    <mergeCell ref="V1310:V1311"/>
    <mergeCell ref="V1312:V1313"/>
    <mergeCell ref="V1315:V1316"/>
    <mergeCell ref="V1317:V1318"/>
    <mergeCell ref="V1322:V1323"/>
    <mergeCell ref="V1330:V1331"/>
    <mergeCell ref="V1333:V1334"/>
    <mergeCell ref="V1335:V1336"/>
    <mergeCell ref="V1343:V1344"/>
    <mergeCell ref="V1352:V1353"/>
    <mergeCell ref="AY5:AY9"/>
    <mergeCell ref="AH1091:AH1092"/>
    <mergeCell ref="AN1087:AN1088"/>
    <mergeCell ref="AO1087:AO1088"/>
    <mergeCell ref="AP1087:AP1088"/>
    <mergeCell ref="AQ1087:AQ1088"/>
    <mergeCell ref="AR1087:AR1088"/>
    <mergeCell ref="AI1087:AI1088"/>
    <mergeCell ref="AJ1087:AJ1088"/>
    <mergeCell ref="AK1087:AK1088"/>
    <mergeCell ref="AL1087:AL1088"/>
    <mergeCell ref="AM1087:AM1088"/>
    <mergeCell ref="AF1103:AF1104"/>
    <mergeCell ref="AG1103:AG1104"/>
    <mergeCell ref="AA1103:AA1104"/>
    <mergeCell ref="AB1103:AB1104"/>
    <mergeCell ref="AP1249:AP1251"/>
    <mergeCell ref="AQ1249:AQ1251"/>
    <mergeCell ref="AP1260:AP1261"/>
    <mergeCell ref="AQ1260:AQ1261"/>
    <mergeCell ref="AP1269:AP1271"/>
    <mergeCell ref="AQ1269:AQ1271"/>
    <mergeCell ref="V1357:V1358"/>
    <mergeCell ref="V1360:V1361"/>
    <mergeCell ref="V1381:V1382"/>
    <mergeCell ref="V1390:V1391"/>
    <mergeCell ref="V1394:V1395"/>
    <mergeCell ref="V1417:V1418"/>
    <mergeCell ref="V1419:V1421"/>
    <mergeCell ref="V1424:V1426"/>
    <mergeCell ref="V1431:V1433"/>
    <mergeCell ref="T1249:T1251"/>
    <mergeCell ref="T1260:T1261"/>
    <mergeCell ref="T1269:T1271"/>
    <mergeCell ref="T1286:T1287"/>
    <mergeCell ref="T1288:T1290"/>
    <mergeCell ref="T1301:T1304"/>
    <mergeCell ref="T1310:T1311"/>
    <mergeCell ref="T1312:T1313"/>
    <mergeCell ref="T1315:T1316"/>
    <mergeCell ref="T1317:T1318"/>
    <mergeCell ref="T1322:T1323"/>
    <mergeCell ref="T1330:T1331"/>
    <mergeCell ref="T1333:T1334"/>
    <mergeCell ref="T1335:T1336"/>
    <mergeCell ref="T1343:T1344"/>
    <mergeCell ref="T1352:T1353"/>
    <mergeCell ref="T1357:T1358"/>
    <mergeCell ref="T1360:T1361"/>
    <mergeCell ref="T1381:T1382"/>
    <mergeCell ref="T1390:T1391"/>
    <mergeCell ref="T1394:T1395"/>
    <mergeCell ref="T1417:T1418"/>
    <mergeCell ref="T1419:T1421"/>
    <mergeCell ref="S1280:S1282"/>
    <mergeCell ref="S1286:S1287"/>
    <mergeCell ref="S1288:S1290"/>
    <mergeCell ref="S1301:S1304"/>
    <mergeCell ref="S1310:S1311"/>
    <mergeCell ref="S1312:S1313"/>
    <mergeCell ref="S1315:S1316"/>
    <mergeCell ref="S1317:S1318"/>
    <mergeCell ref="S1322:S1323"/>
    <mergeCell ref="S1330:S1331"/>
    <mergeCell ref="S1333:S1334"/>
    <mergeCell ref="S1335:S1336"/>
    <mergeCell ref="S1343:S1344"/>
    <mergeCell ref="S1352:S1353"/>
    <mergeCell ref="S1357:S1358"/>
    <mergeCell ref="S1360:S1361"/>
    <mergeCell ref="S1381:S1382"/>
    <mergeCell ref="S1417:S1418"/>
    <mergeCell ref="S1419:S1421"/>
    <mergeCell ref="S1424:S1426"/>
    <mergeCell ref="S1431:S1433"/>
    <mergeCell ref="Q1394:Q1395"/>
    <mergeCell ref="Q1417:Q1418"/>
    <mergeCell ref="Q1419:Q1421"/>
    <mergeCell ref="R1249:R1251"/>
    <mergeCell ref="R1260:R1261"/>
    <mergeCell ref="R1269:R1271"/>
    <mergeCell ref="R1286:R1287"/>
    <mergeCell ref="R1288:R1290"/>
    <mergeCell ref="R1301:R1304"/>
    <mergeCell ref="R1310:R1311"/>
    <mergeCell ref="R1312:R1313"/>
    <mergeCell ref="R1315:R1316"/>
    <mergeCell ref="R1317:R1318"/>
    <mergeCell ref="R1322:R1323"/>
    <mergeCell ref="R1330:R1331"/>
    <mergeCell ref="R1333:R1334"/>
    <mergeCell ref="R1335:R1336"/>
    <mergeCell ref="R1343:R1344"/>
    <mergeCell ref="R1352:R1353"/>
    <mergeCell ref="R1357:R1358"/>
    <mergeCell ref="R1360:R1361"/>
    <mergeCell ref="R1381:R1382"/>
    <mergeCell ref="R1390:R1391"/>
    <mergeCell ref="R1394:R1395"/>
    <mergeCell ref="R1417:R1418"/>
    <mergeCell ref="R1419:R1421"/>
    <mergeCell ref="R1424:R1426"/>
    <mergeCell ref="R1431:R1433"/>
    <mergeCell ref="Q1280:Q1282"/>
    <mergeCell ref="Q1286:Q1287"/>
    <mergeCell ref="Q1288:Q1290"/>
    <mergeCell ref="Q1301:Q1304"/>
    <mergeCell ref="Q1310:Q1311"/>
    <mergeCell ref="Q1312:Q1313"/>
    <mergeCell ref="Q1315:Q1316"/>
    <mergeCell ref="Q1317:Q1318"/>
    <mergeCell ref="Q1322:Q1323"/>
    <mergeCell ref="Q1330:Q1331"/>
    <mergeCell ref="Q1333:Q1334"/>
    <mergeCell ref="Q1335:Q1336"/>
    <mergeCell ref="Q1343:Q1344"/>
    <mergeCell ref="Q1352:Q1353"/>
    <mergeCell ref="Q1357:Q1358"/>
    <mergeCell ref="Q1360:Q1361"/>
    <mergeCell ref="Q1381:Q1382"/>
    <mergeCell ref="P1310:P1311"/>
    <mergeCell ref="P1312:P1313"/>
    <mergeCell ref="P1315:P1316"/>
    <mergeCell ref="P1317:P1318"/>
    <mergeCell ref="P1322:P1323"/>
    <mergeCell ref="P1330:P1331"/>
    <mergeCell ref="P1333:P1334"/>
    <mergeCell ref="P1335:P1336"/>
    <mergeCell ref="P1343:P1344"/>
    <mergeCell ref="P1352:P1353"/>
    <mergeCell ref="P1357:P1358"/>
    <mergeCell ref="P1360:P1361"/>
    <mergeCell ref="P1381:P1382"/>
    <mergeCell ref="P1390:P1391"/>
    <mergeCell ref="P1394:P1395"/>
    <mergeCell ref="P1417:P1418"/>
    <mergeCell ref="N1360:N1361"/>
    <mergeCell ref="N1381:N1382"/>
    <mergeCell ref="N1390:N1391"/>
    <mergeCell ref="N1394:N1395"/>
    <mergeCell ref="N1417:N1418"/>
    <mergeCell ref="N1357:N1358"/>
    <mergeCell ref="O1315:O1316"/>
    <mergeCell ref="O1317:O1318"/>
    <mergeCell ref="O1322:O1323"/>
    <mergeCell ref="O1330:O1331"/>
    <mergeCell ref="O1333:O1334"/>
    <mergeCell ref="O1335:O1336"/>
    <mergeCell ref="O1343:O1344"/>
    <mergeCell ref="O1352:O1353"/>
    <mergeCell ref="N1249:N1251"/>
    <mergeCell ref="N1260:N1261"/>
    <mergeCell ref="N1269:N1271"/>
    <mergeCell ref="N1280:N1282"/>
    <mergeCell ref="N1286:N1287"/>
    <mergeCell ref="N1301:N1304"/>
    <mergeCell ref="N1310:N1311"/>
    <mergeCell ref="N1312:N1313"/>
    <mergeCell ref="N1315:N1316"/>
    <mergeCell ref="N1317:N1318"/>
    <mergeCell ref="N1322:N1323"/>
    <mergeCell ref="N1330:N1331"/>
    <mergeCell ref="N1333:N1334"/>
    <mergeCell ref="N1335:N1336"/>
    <mergeCell ref="N1343:N1344"/>
    <mergeCell ref="N1352:N1353"/>
    <mergeCell ref="BB1419:BB1421"/>
    <mergeCell ref="BB1424:BB1426"/>
    <mergeCell ref="BB1431:BB1433"/>
    <mergeCell ref="BA1249:BA1251"/>
    <mergeCell ref="BA1260:BA1261"/>
    <mergeCell ref="BA1269:BA1271"/>
    <mergeCell ref="BA1280:BA1282"/>
    <mergeCell ref="BA1286:BA1287"/>
    <mergeCell ref="O1357:O1358"/>
    <mergeCell ref="O1360:O1361"/>
    <mergeCell ref="O1381:O1382"/>
    <mergeCell ref="O1390:O1391"/>
    <mergeCell ref="O1394:O1395"/>
    <mergeCell ref="O1417:O1418"/>
    <mergeCell ref="O1419:O1421"/>
    <mergeCell ref="O1424:O1426"/>
    <mergeCell ref="O1431:O1433"/>
    <mergeCell ref="Q1424:Q1426"/>
    <mergeCell ref="Q1431:Q1433"/>
    <mergeCell ref="P1249:P1251"/>
    <mergeCell ref="P1260:P1261"/>
    <mergeCell ref="P1269:P1271"/>
    <mergeCell ref="P1280:P1282"/>
    <mergeCell ref="P1286:P1287"/>
    <mergeCell ref="P1288:P1290"/>
    <mergeCell ref="BA1315:BA1316"/>
    <mergeCell ref="O1280:O1282"/>
    <mergeCell ref="O1286:O1287"/>
    <mergeCell ref="O1288:O1290"/>
    <mergeCell ref="O1301:O1304"/>
    <mergeCell ref="O1310:O1311"/>
    <mergeCell ref="O1312:O1313"/>
    <mergeCell ref="BA1360:BA1361"/>
    <mergeCell ref="BA1381:BA1382"/>
    <mergeCell ref="BA1390:BA1391"/>
    <mergeCell ref="BA1394:BA1395"/>
    <mergeCell ref="BA1417:BA1418"/>
    <mergeCell ref="BA1419:BA1421"/>
    <mergeCell ref="N1431:N1433"/>
    <mergeCell ref="BB1249:BB1251"/>
    <mergeCell ref="BB1260:BB1261"/>
    <mergeCell ref="BB1269:BB1271"/>
    <mergeCell ref="BB1280:BB1282"/>
    <mergeCell ref="BB1286:BB1287"/>
    <mergeCell ref="BB1288:BB1290"/>
    <mergeCell ref="BB1301:BB1304"/>
    <mergeCell ref="BB1310:BB1311"/>
    <mergeCell ref="BB1312:BB1313"/>
    <mergeCell ref="BB1315:BB1316"/>
    <mergeCell ref="BB1317:BB1318"/>
    <mergeCell ref="BB1322:BB1323"/>
    <mergeCell ref="BB1330:BB1331"/>
    <mergeCell ref="BB1333:BB1334"/>
    <mergeCell ref="BB1335:BB1336"/>
    <mergeCell ref="BB1343:BB1344"/>
    <mergeCell ref="AQ1312:AQ1313"/>
    <mergeCell ref="AP1274:AP1276"/>
    <mergeCell ref="AQ1274:AQ1276"/>
    <mergeCell ref="BB1357:BB1358"/>
    <mergeCell ref="BB1360:BB1361"/>
    <mergeCell ref="BB1381:BB1382"/>
    <mergeCell ref="BB1390:BB1391"/>
    <mergeCell ref="BB1394:BB1395"/>
    <mergeCell ref="BB1417:BB1418"/>
    <mergeCell ref="AZ1280:AZ1282"/>
    <mergeCell ref="AZ1286:AZ1287"/>
    <mergeCell ref="AZ1288:AZ1290"/>
    <mergeCell ref="AZ1301:AZ1304"/>
    <mergeCell ref="AZ1310:AZ1311"/>
    <mergeCell ref="AZ1312:AZ1313"/>
    <mergeCell ref="AZ1315:AZ1316"/>
    <mergeCell ref="AZ1317:AZ1318"/>
    <mergeCell ref="AZ1322:AZ1323"/>
    <mergeCell ref="AZ1330:AZ1331"/>
    <mergeCell ref="AZ1333:AZ1334"/>
    <mergeCell ref="AZ1335:AZ1336"/>
    <mergeCell ref="AZ1343:AZ1344"/>
    <mergeCell ref="AZ1352:AZ1353"/>
    <mergeCell ref="AZ1357:AZ1358"/>
    <mergeCell ref="AZ1360:AZ1361"/>
    <mergeCell ref="AZ1381:AZ1382"/>
    <mergeCell ref="BA1310:BA1311"/>
    <mergeCell ref="BA1312:BA1313"/>
    <mergeCell ref="AQ1317:AQ1318"/>
    <mergeCell ref="AP1322:AP1323"/>
    <mergeCell ref="AQ1322:AQ1323"/>
    <mergeCell ref="AP1330:AP1331"/>
    <mergeCell ref="AQ1330:AQ1331"/>
    <mergeCell ref="AP1333:AP1334"/>
    <mergeCell ref="AQ1333:AQ1334"/>
    <mergeCell ref="AP1335:AP1336"/>
    <mergeCell ref="AQ1335:AQ1336"/>
    <mergeCell ref="AP1343:AP1344"/>
    <mergeCell ref="AQ1343:AQ1344"/>
    <mergeCell ref="AP1352:AP1353"/>
    <mergeCell ref="AQ1352:AQ1353"/>
    <mergeCell ref="AP1357:AP1358"/>
    <mergeCell ref="AQ1357:AQ1358"/>
    <mergeCell ref="BA1330:BA1331"/>
    <mergeCell ref="BA1333:BA1334"/>
    <mergeCell ref="BA1335:BA1336"/>
    <mergeCell ref="BA1343:BA1344"/>
    <mergeCell ref="BA1352:BA1353"/>
    <mergeCell ref="BA1357:BA1358"/>
    <mergeCell ref="AY1323:AY1324"/>
    <mergeCell ref="AY1331:AY1332"/>
    <mergeCell ref="AY1334:AY1335"/>
    <mergeCell ref="AP1301:AP1304"/>
    <mergeCell ref="AQ1301:AQ1304"/>
    <mergeCell ref="AP1310:AP1311"/>
    <mergeCell ref="AQ1310:AQ1311"/>
    <mergeCell ref="AP1312:AP1313"/>
    <mergeCell ref="AP1360:AP1361"/>
    <mergeCell ref="AQ1360:AQ1361"/>
    <mergeCell ref="AP1381:AP1382"/>
    <mergeCell ref="AQ1381:AQ1382"/>
    <mergeCell ref="AP1390:AP1391"/>
    <mergeCell ref="AQ1390:AQ1391"/>
    <mergeCell ref="AZ1390:AZ1391"/>
    <mergeCell ref="AZ1394:AZ1395"/>
    <mergeCell ref="AZ1417:AZ1418"/>
    <mergeCell ref="AZ1419:AZ1421"/>
    <mergeCell ref="AZ1424:AZ1426"/>
    <mergeCell ref="AZ1431:AZ1433"/>
    <mergeCell ref="AP1394:AP1395"/>
    <mergeCell ref="AQ1394:AQ1395"/>
    <mergeCell ref="AP1417:AP1418"/>
    <mergeCell ref="AQ1417:AQ1418"/>
    <mergeCell ref="AP1419:AP1421"/>
    <mergeCell ref="AQ1419:AQ1421"/>
    <mergeCell ref="AP1424:AP1426"/>
    <mergeCell ref="AQ1424:AQ1426"/>
    <mergeCell ref="AP1431:AP1433"/>
    <mergeCell ref="AP1362:AP1363"/>
    <mergeCell ref="AY1384:AY1385"/>
    <mergeCell ref="AY1420:AY1421"/>
    <mergeCell ref="AY1422:AY1424"/>
    <mergeCell ref="AI1249:AI1251"/>
    <mergeCell ref="AJ1249:AJ1251"/>
    <mergeCell ref="AK1249:AK1251"/>
    <mergeCell ref="AL1249:AL1251"/>
    <mergeCell ref="AM1249:AM1251"/>
    <mergeCell ref="AR1249:AR1251"/>
    <mergeCell ref="AS1249:AS1251"/>
    <mergeCell ref="AT1249:AT1251"/>
    <mergeCell ref="AU1249:AU1251"/>
    <mergeCell ref="AV1249:AV1251"/>
    <mergeCell ref="AW1249:AW1251"/>
    <mergeCell ref="AP1280:AP1282"/>
    <mergeCell ref="AQ1280:AQ1282"/>
    <mergeCell ref="AP1286:AP1287"/>
    <mergeCell ref="AQ1286:AQ1287"/>
    <mergeCell ref="AP1288:AP1290"/>
    <mergeCell ref="AQ1288:AQ1290"/>
    <mergeCell ref="AX1249:AX1251"/>
    <mergeCell ref="X1260:X1261"/>
    <mergeCell ref="Y1260:Y1261"/>
    <mergeCell ref="Z1260:Z1261"/>
    <mergeCell ref="AA1260:AA1261"/>
    <mergeCell ref="AB1260:AB1261"/>
    <mergeCell ref="AC1260:AC1261"/>
    <mergeCell ref="AD1260:AD1261"/>
    <mergeCell ref="AE1260:AE1261"/>
    <mergeCell ref="AF1260:AF1261"/>
    <mergeCell ref="AG1260:AG1261"/>
    <mergeCell ref="AH1260:AH1261"/>
    <mergeCell ref="AI1260:AI1261"/>
    <mergeCell ref="AJ1260:AJ1261"/>
    <mergeCell ref="AK1260:AK1261"/>
    <mergeCell ref="AL1260:AL1261"/>
    <mergeCell ref="AM1260:AM1261"/>
    <mergeCell ref="AN1260:AN1261"/>
    <mergeCell ref="AO1260:AO1261"/>
    <mergeCell ref="AR1260:AR1261"/>
    <mergeCell ref="AS1260:AS1261"/>
    <mergeCell ref="AT1260:AT1261"/>
    <mergeCell ref="AU1260:AU1261"/>
    <mergeCell ref="AV1260:AV1261"/>
    <mergeCell ref="AW1260:AW1261"/>
    <mergeCell ref="AX1260:AX1261"/>
    <mergeCell ref="AC1249:AC1251"/>
    <mergeCell ref="AD1249:AD1251"/>
    <mergeCell ref="AE1249:AE1251"/>
    <mergeCell ref="AF1249:AF1251"/>
    <mergeCell ref="AG1249:AG1251"/>
    <mergeCell ref="AH1249:AH1251"/>
    <mergeCell ref="AW1274:AW1276"/>
    <mergeCell ref="AX1274:AX1276"/>
    <mergeCell ref="AW1280:AW1282"/>
    <mergeCell ref="X1269:X1271"/>
    <mergeCell ref="Y1269:Y1271"/>
    <mergeCell ref="Z1269:Z1271"/>
    <mergeCell ref="AA1269:AA1271"/>
    <mergeCell ref="AB1269:AB1271"/>
    <mergeCell ref="AC1269:AC1271"/>
    <mergeCell ref="AD1269:AD1271"/>
    <mergeCell ref="AE1269:AE1271"/>
    <mergeCell ref="AF1269:AF1271"/>
    <mergeCell ref="AG1269:AG1271"/>
    <mergeCell ref="AH1269:AH1271"/>
    <mergeCell ref="AI1269:AI1271"/>
    <mergeCell ref="AJ1269:AJ1271"/>
    <mergeCell ref="AK1269:AK1271"/>
    <mergeCell ref="AL1269:AL1271"/>
    <mergeCell ref="AM1269:AM1271"/>
    <mergeCell ref="AN1269:AN1271"/>
    <mergeCell ref="AO1269:AO1271"/>
    <mergeCell ref="AR1269:AR1271"/>
    <mergeCell ref="AS1269:AS1271"/>
    <mergeCell ref="AT1269:AT1271"/>
    <mergeCell ref="AU1269:AU1271"/>
    <mergeCell ref="AV1269:AV1271"/>
    <mergeCell ref="AW1269:AW1271"/>
    <mergeCell ref="AU1301:AU1304"/>
    <mergeCell ref="AV1301:AV1304"/>
    <mergeCell ref="AW1301:AW1304"/>
    <mergeCell ref="AX1269:AX1271"/>
    <mergeCell ref="X1280:X1282"/>
    <mergeCell ref="Y1280:Y1282"/>
    <mergeCell ref="Z1280:Z1282"/>
    <mergeCell ref="AA1280:AA1282"/>
    <mergeCell ref="AB1280:AB1282"/>
    <mergeCell ref="AC1280:AC1282"/>
    <mergeCell ref="AD1280:AD1282"/>
    <mergeCell ref="AE1280:AE1282"/>
    <mergeCell ref="AF1280:AF1282"/>
    <mergeCell ref="AG1280:AG1282"/>
    <mergeCell ref="AH1280:AH1282"/>
    <mergeCell ref="AI1280:AI1282"/>
    <mergeCell ref="AJ1280:AJ1282"/>
    <mergeCell ref="AK1280:AK1282"/>
    <mergeCell ref="AL1280:AL1282"/>
    <mergeCell ref="AM1280:AM1282"/>
    <mergeCell ref="AN1280:AN1282"/>
    <mergeCell ref="AO1280:AO1282"/>
    <mergeCell ref="AR1280:AR1282"/>
    <mergeCell ref="AS1280:AS1282"/>
    <mergeCell ref="AT1280:AT1282"/>
    <mergeCell ref="AU1280:AU1282"/>
    <mergeCell ref="AV1280:AV1282"/>
    <mergeCell ref="AR1274:AR1276"/>
    <mergeCell ref="AS1274:AS1276"/>
    <mergeCell ref="AT1274:AT1276"/>
    <mergeCell ref="AU1274:AU1276"/>
    <mergeCell ref="AV1274:AV1276"/>
    <mergeCell ref="X1286:X1287"/>
    <mergeCell ref="Y1286:Y1287"/>
    <mergeCell ref="Z1286:Z1287"/>
    <mergeCell ref="AA1286:AA1287"/>
    <mergeCell ref="AB1286:AB1287"/>
    <mergeCell ref="AC1286:AC1287"/>
    <mergeCell ref="AD1286:AD1287"/>
    <mergeCell ref="AE1286:AE1287"/>
    <mergeCell ref="AF1286:AF1287"/>
    <mergeCell ref="AG1286:AG1287"/>
    <mergeCell ref="AH1286:AH1287"/>
    <mergeCell ref="AI1286:AI1287"/>
    <mergeCell ref="AJ1286:AJ1287"/>
    <mergeCell ref="AK1286:AK1287"/>
    <mergeCell ref="AL1286:AL1287"/>
    <mergeCell ref="AM1286:AM1287"/>
    <mergeCell ref="AN1286:AN1287"/>
    <mergeCell ref="AO1310:AO1311"/>
    <mergeCell ref="AR1310:AR1311"/>
    <mergeCell ref="AS1310:AS1311"/>
    <mergeCell ref="AT1310:AT1311"/>
    <mergeCell ref="AU1310:AU1311"/>
    <mergeCell ref="AV1310:AV1311"/>
    <mergeCell ref="AW1310:AW1311"/>
    <mergeCell ref="AX1310:AX1311"/>
    <mergeCell ref="X1307:X1308"/>
    <mergeCell ref="AJ1288:AJ1290"/>
    <mergeCell ref="AK1288:AK1290"/>
    <mergeCell ref="AL1288:AL1290"/>
    <mergeCell ref="AM1288:AM1290"/>
    <mergeCell ref="AN1288:AN1290"/>
    <mergeCell ref="AO1288:AO1290"/>
    <mergeCell ref="AR1288:AR1290"/>
    <mergeCell ref="AS1288:AS1290"/>
    <mergeCell ref="AT1288:AT1290"/>
    <mergeCell ref="AU1288:AU1290"/>
    <mergeCell ref="AV1288:AV1290"/>
    <mergeCell ref="AW1288:AW1290"/>
    <mergeCell ref="AX1288:AX1290"/>
    <mergeCell ref="X1301:X1304"/>
    <mergeCell ref="Y1301:Y1304"/>
    <mergeCell ref="Z1301:Z1304"/>
    <mergeCell ref="AA1301:AA1304"/>
    <mergeCell ref="AB1301:AB1304"/>
    <mergeCell ref="AC1301:AC1304"/>
    <mergeCell ref="AD1301:AD1304"/>
    <mergeCell ref="AE1301:AE1304"/>
    <mergeCell ref="AF1301:AF1304"/>
    <mergeCell ref="AG1301:AG1304"/>
    <mergeCell ref="X1310:X1311"/>
    <mergeCell ref="Y1310:Y1311"/>
    <mergeCell ref="Z1310:Z1311"/>
    <mergeCell ref="AA1310:AA1311"/>
    <mergeCell ref="AB1310:AB1311"/>
    <mergeCell ref="AC1310:AC1311"/>
    <mergeCell ref="AD1310:AD1311"/>
    <mergeCell ref="AE1310:AE1311"/>
    <mergeCell ref="AF1310:AF1311"/>
    <mergeCell ref="AG1310:AG1311"/>
    <mergeCell ref="AH1310:AH1311"/>
    <mergeCell ref="AI1310:AI1311"/>
    <mergeCell ref="AJ1310:AJ1311"/>
    <mergeCell ref="AK1310:AK1311"/>
    <mergeCell ref="AL1310:AL1311"/>
    <mergeCell ref="AM1310:AM1311"/>
    <mergeCell ref="AN1310:AN1311"/>
    <mergeCell ref="AW1312:AW1313"/>
    <mergeCell ref="AX1312:AX1313"/>
    <mergeCell ref="X1315:X1316"/>
    <mergeCell ref="Y1315:Y1316"/>
    <mergeCell ref="Z1315:Z1316"/>
    <mergeCell ref="AA1315:AA1316"/>
    <mergeCell ref="AB1315:AB1316"/>
    <mergeCell ref="AC1315:AC1316"/>
    <mergeCell ref="AD1315:AD1316"/>
    <mergeCell ref="AE1315:AE1316"/>
    <mergeCell ref="AF1315:AF1316"/>
    <mergeCell ref="AG1315:AG1316"/>
    <mergeCell ref="AH1315:AH1316"/>
    <mergeCell ref="AI1315:AI1316"/>
    <mergeCell ref="AJ1315:AJ1316"/>
    <mergeCell ref="AK1315:AK1316"/>
    <mergeCell ref="AL1315:AL1316"/>
    <mergeCell ref="AM1315:AM1316"/>
    <mergeCell ref="AN1315:AN1316"/>
    <mergeCell ref="AO1315:AO1316"/>
    <mergeCell ref="AR1315:AR1316"/>
    <mergeCell ref="AS1315:AS1316"/>
    <mergeCell ref="AT1315:AT1316"/>
    <mergeCell ref="AU1315:AU1316"/>
    <mergeCell ref="AV1315:AV1316"/>
    <mergeCell ref="AW1315:AW1316"/>
    <mergeCell ref="AX1315:AX1316"/>
    <mergeCell ref="AI1312:AI1313"/>
    <mergeCell ref="AJ1312:AJ1313"/>
    <mergeCell ref="AK1312:AK1313"/>
    <mergeCell ref="AL1312:AL1313"/>
    <mergeCell ref="AM1312:AM1313"/>
    <mergeCell ref="AH1317:AH1318"/>
    <mergeCell ref="AI1317:AI1318"/>
    <mergeCell ref="AJ1317:AJ1318"/>
    <mergeCell ref="AK1317:AK1318"/>
    <mergeCell ref="AL1317:AL1318"/>
    <mergeCell ref="AM1317:AM1318"/>
    <mergeCell ref="AN1317:AN1318"/>
    <mergeCell ref="AO1317:AO1318"/>
    <mergeCell ref="AR1317:AR1318"/>
    <mergeCell ref="AS1317:AS1318"/>
    <mergeCell ref="AT1317:AT1318"/>
    <mergeCell ref="AU1317:AU1318"/>
    <mergeCell ref="AV1317:AV1318"/>
    <mergeCell ref="AW1317:AW1318"/>
    <mergeCell ref="AX1317:AX1318"/>
    <mergeCell ref="AP1315:AP1316"/>
    <mergeCell ref="AQ1315:AQ1316"/>
    <mergeCell ref="AP1317:AP1318"/>
    <mergeCell ref="AN1330:AN1331"/>
    <mergeCell ref="AO1330:AO1331"/>
    <mergeCell ref="AR1330:AR1331"/>
    <mergeCell ref="AS1330:AS1331"/>
    <mergeCell ref="AT1330:AT1331"/>
    <mergeCell ref="AU1330:AU1331"/>
    <mergeCell ref="AV1330:AV1331"/>
    <mergeCell ref="AW1330:AW1331"/>
    <mergeCell ref="AX1330:AX1331"/>
    <mergeCell ref="AB1322:AB1323"/>
    <mergeCell ref="AC1322:AC1323"/>
    <mergeCell ref="AD1322:AD1323"/>
    <mergeCell ref="AE1322:AE1323"/>
    <mergeCell ref="AF1322:AF1323"/>
    <mergeCell ref="AG1322:AG1323"/>
    <mergeCell ref="AH1322:AH1323"/>
    <mergeCell ref="AI1322:AI1323"/>
    <mergeCell ref="AJ1322:AJ1323"/>
    <mergeCell ref="AK1322:AK1323"/>
    <mergeCell ref="AL1322:AL1323"/>
    <mergeCell ref="AM1322:AM1323"/>
    <mergeCell ref="AN1322:AN1323"/>
    <mergeCell ref="AO1322:AO1323"/>
    <mergeCell ref="AR1322:AR1323"/>
    <mergeCell ref="AS1322:AS1323"/>
    <mergeCell ref="AT1322:AT1323"/>
    <mergeCell ref="AC1333:AC1334"/>
    <mergeCell ref="AD1333:AD1334"/>
    <mergeCell ref="AE1333:AE1334"/>
    <mergeCell ref="AF1333:AF1334"/>
    <mergeCell ref="AG1333:AG1334"/>
    <mergeCell ref="AH1333:AH1334"/>
    <mergeCell ref="AI1333:AI1334"/>
    <mergeCell ref="AJ1333:AJ1334"/>
    <mergeCell ref="AK1333:AK1334"/>
    <mergeCell ref="AL1333:AL1334"/>
    <mergeCell ref="AM1333:AM1334"/>
    <mergeCell ref="AN1333:AN1334"/>
    <mergeCell ref="AU1322:AU1323"/>
    <mergeCell ref="AV1322:AV1323"/>
    <mergeCell ref="AW1322:AW1323"/>
    <mergeCell ref="AX1322:AX1323"/>
    <mergeCell ref="X1330:X1331"/>
    <mergeCell ref="Y1330:Y1331"/>
    <mergeCell ref="Z1330:Z1331"/>
    <mergeCell ref="AA1330:AA1331"/>
    <mergeCell ref="AB1330:AB1331"/>
    <mergeCell ref="AC1330:AC1331"/>
    <mergeCell ref="AD1330:AD1331"/>
    <mergeCell ref="AE1330:AE1331"/>
    <mergeCell ref="AF1330:AF1331"/>
    <mergeCell ref="AG1330:AG1331"/>
    <mergeCell ref="AH1330:AH1331"/>
    <mergeCell ref="AI1330:AI1331"/>
    <mergeCell ref="AJ1330:AJ1331"/>
    <mergeCell ref="AK1330:AK1331"/>
    <mergeCell ref="AL1330:AL1331"/>
    <mergeCell ref="AM1330:AM1331"/>
    <mergeCell ref="AW1333:AW1334"/>
    <mergeCell ref="AX1333:AX1334"/>
    <mergeCell ref="X1335:X1336"/>
    <mergeCell ref="Y1335:Y1336"/>
    <mergeCell ref="Z1335:Z1336"/>
    <mergeCell ref="AA1335:AA1336"/>
    <mergeCell ref="AB1335:AB1336"/>
    <mergeCell ref="AC1335:AC1336"/>
    <mergeCell ref="AD1335:AD1336"/>
    <mergeCell ref="AE1335:AE1336"/>
    <mergeCell ref="AF1335:AF1336"/>
    <mergeCell ref="AG1335:AG1336"/>
    <mergeCell ref="AH1335:AH1336"/>
    <mergeCell ref="AI1335:AI1336"/>
    <mergeCell ref="AJ1335:AJ1336"/>
    <mergeCell ref="AK1335:AK1336"/>
    <mergeCell ref="AL1335:AL1336"/>
    <mergeCell ref="AM1335:AM1336"/>
    <mergeCell ref="AN1335:AN1336"/>
    <mergeCell ref="AO1335:AO1336"/>
    <mergeCell ref="AR1335:AR1336"/>
    <mergeCell ref="AS1335:AS1336"/>
    <mergeCell ref="AT1335:AT1336"/>
    <mergeCell ref="AU1335:AU1336"/>
    <mergeCell ref="AV1335:AV1336"/>
    <mergeCell ref="AW1335:AW1336"/>
    <mergeCell ref="AX1335:AX1336"/>
    <mergeCell ref="X1333:X1334"/>
    <mergeCell ref="Y1333:Y1334"/>
    <mergeCell ref="Z1333:Z1334"/>
    <mergeCell ref="AA1333:AA1334"/>
    <mergeCell ref="AB1333:AB1334"/>
    <mergeCell ref="AJ1352:AJ1353"/>
    <mergeCell ref="AK1352:AK1353"/>
    <mergeCell ref="AL1352:AL1353"/>
    <mergeCell ref="AM1352:AM1353"/>
    <mergeCell ref="AN1352:AN1353"/>
    <mergeCell ref="X1343:X1344"/>
    <mergeCell ref="Y1343:Y1344"/>
    <mergeCell ref="Z1343:Z1344"/>
    <mergeCell ref="AA1343:AA1344"/>
    <mergeCell ref="AB1343:AB1344"/>
    <mergeCell ref="AC1343:AC1344"/>
    <mergeCell ref="AD1343:AD1344"/>
    <mergeCell ref="AE1343:AE1344"/>
    <mergeCell ref="AF1343:AF1344"/>
    <mergeCell ref="AG1343:AG1344"/>
    <mergeCell ref="AH1343:AH1344"/>
    <mergeCell ref="AI1343:AI1344"/>
    <mergeCell ref="AJ1343:AJ1344"/>
    <mergeCell ref="AK1343:AK1344"/>
    <mergeCell ref="AL1343:AL1344"/>
    <mergeCell ref="AM1343:AM1344"/>
    <mergeCell ref="AN1343:AN1344"/>
    <mergeCell ref="AX1352:AX1353"/>
    <mergeCell ref="X1357:X1358"/>
    <mergeCell ref="Y1357:Y1358"/>
    <mergeCell ref="Z1357:Z1358"/>
    <mergeCell ref="AA1357:AA1358"/>
    <mergeCell ref="AB1357:AB1358"/>
    <mergeCell ref="AC1357:AC1358"/>
    <mergeCell ref="AD1357:AD1358"/>
    <mergeCell ref="AE1357:AE1358"/>
    <mergeCell ref="AF1357:AF1358"/>
    <mergeCell ref="AG1357:AG1358"/>
    <mergeCell ref="AH1357:AH1358"/>
    <mergeCell ref="AI1357:AI1358"/>
    <mergeCell ref="AJ1357:AJ1358"/>
    <mergeCell ref="AK1357:AK1358"/>
    <mergeCell ref="AL1357:AL1358"/>
    <mergeCell ref="AM1357:AM1358"/>
    <mergeCell ref="AN1357:AN1358"/>
    <mergeCell ref="AO1357:AO1358"/>
    <mergeCell ref="AR1357:AR1358"/>
    <mergeCell ref="AS1357:AS1358"/>
    <mergeCell ref="AT1357:AT1358"/>
    <mergeCell ref="AU1357:AU1358"/>
    <mergeCell ref="AV1357:AV1358"/>
    <mergeCell ref="AW1357:AW1358"/>
    <mergeCell ref="AX1357:AX1358"/>
    <mergeCell ref="X1352:X1353"/>
    <mergeCell ref="Y1352:Y1353"/>
    <mergeCell ref="Z1352:Z1353"/>
    <mergeCell ref="AA1352:AA1353"/>
    <mergeCell ref="AB1352:AB1353"/>
    <mergeCell ref="AC1352:AC1353"/>
    <mergeCell ref="AR1360:AR1361"/>
    <mergeCell ref="AS1360:AS1361"/>
    <mergeCell ref="AT1360:AT1361"/>
    <mergeCell ref="AU1360:AU1361"/>
    <mergeCell ref="AV1360:AV1361"/>
    <mergeCell ref="AW1360:AW1361"/>
    <mergeCell ref="AX1360:AX1361"/>
    <mergeCell ref="X1381:X1382"/>
    <mergeCell ref="Y1381:Y1382"/>
    <mergeCell ref="Z1381:Z1382"/>
    <mergeCell ref="AA1381:AA1382"/>
    <mergeCell ref="AB1381:AB1382"/>
    <mergeCell ref="AC1381:AC1382"/>
    <mergeCell ref="AD1381:AD1382"/>
    <mergeCell ref="AE1381:AE1382"/>
    <mergeCell ref="AF1381:AF1382"/>
    <mergeCell ref="AG1381:AG1382"/>
    <mergeCell ref="AH1381:AH1382"/>
    <mergeCell ref="AI1381:AI1382"/>
    <mergeCell ref="AJ1381:AJ1382"/>
    <mergeCell ref="AK1381:AK1382"/>
    <mergeCell ref="AL1381:AL1382"/>
    <mergeCell ref="AM1381:AM1382"/>
    <mergeCell ref="AN1381:AN1382"/>
    <mergeCell ref="AO1381:AO1382"/>
    <mergeCell ref="AR1381:AR1382"/>
    <mergeCell ref="AS1381:AS1382"/>
    <mergeCell ref="AT1381:AT1382"/>
    <mergeCell ref="AU1381:AU1382"/>
    <mergeCell ref="AV1381:AV1382"/>
    <mergeCell ref="AW1381:AW1382"/>
    <mergeCell ref="AX1381:AX1382"/>
    <mergeCell ref="AI1390:AI1391"/>
    <mergeCell ref="AJ1390:AJ1391"/>
    <mergeCell ref="AK1390:AK1391"/>
    <mergeCell ref="AL1390:AL1391"/>
    <mergeCell ref="AM1390:AM1391"/>
    <mergeCell ref="AN1390:AN1391"/>
    <mergeCell ref="AO1390:AO1391"/>
    <mergeCell ref="AR1390:AR1391"/>
    <mergeCell ref="AS1390:AS1391"/>
    <mergeCell ref="AT1390:AT1391"/>
    <mergeCell ref="AU1390:AU1391"/>
    <mergeCell ref="AV1390:AV1391"/>
    <mergeCell ref="AW1390:AW1391"/>
    <mergeCell ref="AX1390:AX1391"/>
    <mergeCell ref="AJ1394:AJ1395"/>
    <mergeCell ref="AK1394:AK1395"/>
    <mergeCell ref="AL1394:AL1395"/>
    <mergeCell ref="AM1394:AM1395"/>
    <mergeCell ref="AN1394:AN1395"/>
    <mergeCell ref="AO1394:AO1395"/>
    <mergeCell ref="AR1394:AR1395"/>
    <mergeCell ref="AS1394:AS1395"/>
    <mergeCell ref="AT1394:AT1395"/>
    <mergeCell ref="AU1394:AU1395"/>
    <mergeCell ref="AV1394:AV1395"/>
    <mergeCell ref="AW1394:AW1395"/>
    <mergeCell ref="AX1394:AX1395"/>
    <mergeCell ref="AX1417:AX1418"/>
    <mergeCell ref="X1419:X1421"/>
    <mergeCell ref="Y1419:Y1421"/>
    <mergeCell ref="Z1419:Z1421"/>
    <mergeCell ref="AA1419:AA1421"/>
    <mergeCell ref="AB1419:AB1421"/>
    <mergeCell ref="AC1419:AC1421"/>
    <mergeCell ref="AD1419:AD1421"/>
    <mergeCell ref="AE1419:AE1421"/>
    <mergeCell ref="AF1419:AF1421"/>
    <mergeCell ref="AG1419:AG1421"/>
    <mergeCell ref="AH1419:AH1421"/>
    <mergeCell ref="AI1419:AI1421"/>
    <mergeCell ref="AJ1419:AJ1421"/>
    <mergeCell ref="AK1419:AK1421"/>
    <mergeCell ref="AL1419:AL1421"/>
    <mergeCell ref="AM1419:AM1421"/>
    <mergeCell ref="AN1419:AN1421"/>
    <mergeCell ref="AO1419:AO1421"/>
    <mergeCell ref="AR1419:AR1421"/>
    <mergeCell ref="AS1419:AS1421"/>
    <mergeCell ref="AT1419:AT1421"/>
    <mergeCell ref="AU1419:AU1421"/>
    <mergeCell ref="AV1419:AV1421"/>
    <mergeCell ref="AW1419:AW1421"/>
    <mergeCell ref="AX1419:AX1421"/>
    <mergeCell ref="X1417:X1418"/>
    <mergeCell ref="Y1417:Y1418"/>
    <mergeCell ref="Z1417:Z1418"/>
    <mergeCell ref="AA1417:AA1418"/>
    <mergeCell ref="AB1417:AB1418"/>
    <mergeCell ref="AC1417:AC1418"/>
    <mergeCell ref="Z1431:Z1433"/>
    <mergeCell ref="AA1431:AA1433"/>
    <mergeCell ref="AB1431:AB1433"/>
    <mergeCell ref="AC1431:AC1433"/>
    <mergeCell ref="AD1431:AD1433"/>
    <mergeCell ref="AE1431:AE1433"/>
    <mergeCell ref="AF1431:AF1433"/>
    <mergeCell ref="AG1431:AG1433"/>
    <mergeCell ref="AH1431:AH1433"/>
    <mergeCell ref="AI1431:AI1433"/>
    <mergeCell ref="AJ1431:AJ1433"/>
    <mergeCell ref="AK1431:AK1433"/>
    <mergeCell ref="AL1431:AL1433"/>
    <mergeCell ref="AM1431:AM1433"/>
    <mergeCell ref="AN1431:AN1433"/>
    <mergeCell ref="AO1417:AO1418"/>
    <mergeCell ref="AR1417:AR1418"/>
    <mergeCell ref="AD1417:AD1418"/>
    <mergeCell ref="AE1417:AE1418"/>
    <mergeCell ref="AF1417:AF1418"/>
    <mergeCell ref="AG1417:AG1418"/>
    <mergeCell ref="AH1417:AH1418"/>
    <mergeCell ref="AI1417:AI1418"/>
    <mergeCell ref="AJ1417:AJ1418"/>
    <mergeCell ref="AK1417:AK1418"/>
    <mergeCell ref="AL1417:AL1418"/>
    <mergeCell ref="AM1417:AM1418"/>
    <mergeCell ref="AN1417:AN1418"/>
    <mergeCell ref="AX1443:AX1444"/>
    <mergeCell ref="AO1431:AO1433"/>
    <mergeCell ref="AR1431:AR1433"/>
    <mergeCell ref="AS1431:AS1433"/>
    <mergeCell ref="AT1431:AT1433"/>
    <mergeCell ref="AU1431:AU1433"/>
    <mergeCell ref="AV1431:AV1433"/>
    <mergeCell ref="AW1431:AW1433"/>
    <mergeCell ref="AX1431:AX1433"/>
    <mergeCell ref="AY1437:AY1439"/>
    <mergeCell ref="AY1440:AY1442"/>
    <mergeCell ref="AY1443:AY1445"/>
    <mergeCell ref="AY1446:AY1448"/>
    <mergeCell ref="AJ1437:AJ1438"/>
    <mergeCell ref="AK1437:AK1438"/>
    <mergeCell ref="X1441:X1442"/>
    <mergeCell ref="Y1441:Y1442"/>
    <mergeCell ref="Z1441:Z1442"/>
    <mergeCell ref="AA1441:AA1442"/>
    <mergeCell ref="AB1441:AB1442"/>
    <mergeCell ref="AC1441:AC1442"/>
    <mergeCell ref="AD1441:AD1442"/>
    <mergeCell ref="AL1443:AL1444"/>
    <mergeCell ref="AM1443:AM1444"/>
    <mergeCell ref="AN1443:AN1444"/>
    <mergeCell ref="AO1443:AO1444"/>
    <mergeCell ref="AP1443:AP1444"/>
    <mergeCell ref="AQ1443:AQ1444"/>
    <mergeCell ref="AR1443:AR1444"/>
    <mergeCell ref="AS1443:AS1444"/>
    <mergeCell ref="X1431:X1433"/>
    <mergeCell ref="Y1431:Y1433"/>
    <mergeCell ref="AY1449:AY1451"/>
    <mergeCell ref="X1449:X1451"/>
    <mergeCell ref="Y1449:Y1451"/>
    <mergeCell ref="Z1449:Z1451"/>
    <mergeCell ref="AA1449:AA1451"/>
    <mergeCell ref="AB1449:AB1451"/>
    <mergeCell ref="AC1449:AC1451"/>
    <mergeCell ref="AD1449:AD1451"/>
    <mergeCell ref="AE1449:AE1451"/>
    <mergeCell ref="AF1449:AF1451"/>
    <mergeCell ref="AG1449:AG1451"/>
    <mergeCell ref="AH1449:AH1451"/>
    <mergeCell ref="AI1449:AI1451"/>
    <mergeCell ref="AJ1449:AJ1451"/>
    <mergeCell ref="AK1449:AK1451"/>
    <mergeCell ref="AL1439:AL1440"/>
    <mergeCell ref="AM1439:AM1440"/>
    <mergeCell ref="AN1439:AN1440"/>
    <mergeCell ref="AO1439:AO1440"/>
    <mergeCell ref="AP1439:AP1440"/>
    <mergeCell ref="AQ1439:AQ1440"/>
    <mergeCell ref="AR1439:AR1440"/>
    <mergeCell ref="AS1439:AS1440"/>
    <mergeCell ref="AT1439:AT1440"/>
    <mergeCell ref="AU1439:AU1440"/>
    <mergeCell ref="AV1439:AV1440"/>
    <mergeCell ref="AW1439:AW1440"/>
    <mergeCell ref="AX1439:AX1440"/>
    <mergeCell ref="AT1443:AT1444"/>
    <mergeCell ref="AU1443:AU1444"/>
    <mergeCell ref="AV1443:AV1444"/>
    <mergeCell ref="AW1443:AW1444"/>
    <mergeCell ref="AX1301:AX1304"/>
    <mergeCell ref="AH1301:AH1304"/>
    <mergeCell ref="AI1301:AI1304"/>
    <mergeCell ref="Y1307:Y1308"/>
    <mergeCell ref="Z1307:Z1308"/>
    <mergeCell ref="AA1307:AA1308"/>
    <mergeCell ref="AB1307:AB1308"/>
    <mergeCell ref="AC1307:AC1308"/>
    <mergeCell ref="AD1307:AD1308"/>
    <mergeCell ref="AE1307:AE1308"/>
    <mergeCell ref="AF1307:AF1308"/>
    <mergeCell ref="AG1307:AG1308"/>
    <mergeCell ref="AH1307:AH1308"/>
    <mergeCell ref="AI1307:AI1308"/>
    <mergeCell ref="AJ1307:AJ1308"/>
    <mergeCell ref="AK1307:AK1308"/>
    <mergeCell ref="AL1274:AL1276"/>
    <mergeCell ref="AM1274:AM1276"/>
    <mergeCell ref="AN1274:AN1276"/>
    <mergeCell ref="AO1274:AO1276"/>
    <mergeCell ref="AO1301:AO1304"/>
    <mergeCell ref="AR1301:AR1304"/>
    <mergeCell ref="AX1280:AX1282"/>
    <mergeCell ref="AO1286:AO1287"/>
    <mergeCell ref="AR1286:AR1287"/>
    <mergeCell ref="AS1286:AS1287"/>
    <mergeCell ref="AT1286:AT1287"/>
    <mergeCell ref="AU1286:AU1287"/>
    <mergeCell ref="AV1286:AV1287"/>
    <mergeCell ref="AW1286:AW1287"/>
    <mergeCell ref="AS1301:AS1304"/>
    <mergeCell ref="AT1301:AT1304"/>
  </mergeCells>
  <pageMargins left="0.23622047244094491" right="0.23622047244094491" top="0.74803149606299213" bottom="0.74803149606299213" header="0.31496062992125984" footer="0.31496062992125984"/>
  <pageSetup paperSize="9" scale="10" fitToWidth="0" orientation="landscape" r:id="rId1"/>
  <headerFooter>
    <oddFooter>Страница  &amp;P из &amp;N</oddFooter>
  </headerFooter>
  <colBreaks count="2" manualBreakCount="2">
    <brk id="18" max="1455" man="1"/>
    <brk id="37" max="1455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>
    <pageSetUpPr fitToPage="1"/>
  </sheetPr>
  <dimension ref="A1:AM2736"/>
  <sheetViews>
    <sheetView tabSelected="1" zoomScale="60" zoomScaleNormal="60" workbookViewId="0">
      <selection activeCell="G2704" sqref="G2704"/>
    </sheetView>
  </sheetViews>
  <sheetFormatPr defaultColWidth="9.140625" defaultRowHeight="15" outlineLevelRow="1"/>
  <cols>
    <col min="1" max="1" width="9.7109375" style="10" customWidth="1"/>
    <col min="2" max="2" width="15.85546875" style="10" bestFit="1" customWidth="1"/>
    <col min="3" max="3" width="20.7109375" style="10" customWidth="1"/>
    <col min="4" max="4" width="23.28515625" style="10" customWidth="1"/>
    <col min="5" max="5" width="20.7109375" style="10" customWidth="1"/>
    <col min="6" max="9" width="9.7109375" style="10" customWidth="1"/>
    <col min="10" max="10" width="17" style="10" customWidth="1"/>
    <col min="11" max="11" width="19.28515625" style="10" customWidth="1"/>
    <col min="12" max="12" width="19.42578125" style="10" customWidth="1"/>
    <col min="13" max="14" width="14.5703125" style="154" bestFit="1" customWidth="1"/>
    <col min="15" max="16" width="9.7109375" style="154" customWidth="1"/>
    <col min="17" max="18" width="12.28515625" style="154" customWidth="1"/>
    <col min="19" max="38" width="9.7109375" style="154" customWidth="1"/>
    <col min="39" max="39" width="14.5703125" style="154" bestFit="1" customWidth="1"/>
    <col min="40" max="16384" width="9.140625" style="10"/>
  </cols>
  <sheetData>
    <row r="1" spans="1:39">
      <c r="A1" s="9" t="s">
        <v>49</v>
      </c>
    </row>
    <row r="2" spans="1:39" ht="18.75">
      <c r="A2" s="9"/>
      <c r="C2" s="21" t="s">
        <v>121</v>
      </c>
    </row>
    <row r="3" spans="1:39" ht="18.75">
      <c r="A3" s="21"/>
      <c r="C3" s="21" t="s">
        <v>132</v>
      </c>
    </row>
    <row r="5" spans="1:39" s="7" customFormat="1" ht="15.75" customHeight="1">
      <c r="A5" s="282" t="s">
        <v>22</v>
      </c>
      <c r="B5" s="83" t="s">
        <v>2</v>
      </c>
      <c r="C5" s="343" t="s">
        <v>24</v>
      </c>
      <c r="D5" s="343" t="s">
        <v>79</v>
      </c>
      <c r="E5" s="343" t="s">
        <v>43</v>
      </c>
      <c r="F5" s="343" t="s">
        <v>3</v>
      </c>
      <c r="G5" s="343" t="s">
        <v>99</v>
      </c>
      <c r="H5" s="343"/>
      <c r="I5" s="343" t="s">
        <v>100</v>
      </c>
      <c r="J5" s="343"/>
      <c r="K5" s="405" t="s">
        <v>81</v>
      </c>
      <c r="L5" s="405" t="s">
        <v>82</v>
      </c>
      <c r="M5" s="330" t="s">
        <v>40</v>
      </c>
      <c r="N5" s="331"/>
      <c r="O5" s="331"/>
      <c r="P5" s="331"/>
      <c r="Q5" s="331"/>
      <c r="R5" s="331"/>
      <c r="S5" s="331"/>
      <c r="T5" s="331"/>
      <c r="U5" s="331"/>
      <c r="V5" s="331"/>
      <c r="W5" s="331"/>
      <c r="X5" s="331"/>
      <c r="Y5" s="331"/>
      <c r="Z5" s="331"/>
      <c r="AA5" s="331"/>
      <c r="AB5" s="331"/>
      <c r="AC5" s="331"/>
      <c r="AD5" s="331"/>
      <c r="AE5" s="331"/>
      <c r="AF5" s="331"/>
      <c r="AG5" s="331"/>
      <c r="AH5" s="331"/>
      <c r="AI5" s="331"/>
      <c r="AJ5" s="331"/>
      <c r="AK5" s="331"/>
      <c r="AL5" s="331"/>
      <c r="AM5" s="332"/>
    </row>
    <row r="6" spans="1:39" s="7" customFormat="1" ht="15.75">
      <c r="A6" s="350"/>
      <c r="B6" s="84"/>
      <c r="C6" s="343"/>
      <c r="D6" s="343"/>
      <c r="E6" s="343"/>
      <c r="F6" s="343"/>
      <c r="G6" s="343"/>
      <c r="H6" s="343"/>
      <c r="I6" s="343"/>
      <c r="J6" s="343"/>
      <c r="K6" s="406"/>
      <c r="L6" s="406"/>
      <c r="M6" s="340" t="s">
        <v>41</v>
      </c>
      <c r="N6" s="340" t="s">
        <v>42</v>
      </c>
      <c r="O6" s="330" t="s">
        <v>39</v>
      </c>
      <c r="P6" s="331"/>
      <c r="Q6" s="331"/>
      <c r="R6" s="331"/>
      <c r="S6" s="331"/>
      <c r="T6" s="331"/>
      <c r="U6" s="331"/>
      <c r="V6" s="331"/>
      <c r="W6" s="331"/>
      <c r="X6" s="331"/>
      <c r="Y6" s="331"/>
      <c r="Z6" s="331"/>
      <c r="AA6" s="331"/>
      <c r="AB6" s="331"/>
      <c r="AC6" s="331"/>
      <c r="AD6" s="331"/>
      <c r="AE6" s="331"/>
      <c r="AF6" s="331"/>
      <c r="AG6" s="331"/>
      <c r="AH6" s="331"/>
      <c r="AI6" s="331"/>
      <c r="AJ6" s="331"/>
      <c r="AK6" s="331"/>
      <c r="AL6" s="331"/>
      <c r="AM6" s="332"/>
    </row>
    <row r="7" spans="1:39" s="7" customFormat="1" ht="15.75">
      <c r="A7" s="282"/>
      <c r="B7" s="84"/>
      <c r="C7" s="344"/>
      <c r="D7" s="344"/>
      <c r="E7" s="344"/>
      <c r="F7" s="344"/>
      <c r="G7" s="408" t="s">
        <v>86</v>
      </c>
      <c r="H7" s="343" t="s">
        <v>87</v>
      </c>
      <c r="I7" s="408" t="s">
        <v>86</v>
      </c>
      <c r="J7" s="343" t="s">
        <v>87</v>
      </c>
      <c r="K7" s="406"/>
      <c r="L7" s="406"/>
      <c r="M7" s="341"/>
      <c r="N7" s="341"/>
      <c r="O7" s="323" t="s">
        <v>5</v>
      </c>
      <c r="P7" s="333"/>
      <c r="Q7" s="323" t="s">
        <v>6</v>
      </c>
      <c r="R7" s="333"/>
      <c r="S7" s="323" t="s">
        <v>7</v>
      </c>
      <c r="T7" s="333"/>
      <c r="U7" s="323" t="s">
        <v>8</v>
      </c>
      <c r="V7" s="333"/>
      <c r="W7" s="323" t="s">
        <v>9</v>
      </c>
      <c r="X7" s="333"/>
      <c r="Y7" s="323" t="s">
        <v>10</v>
      </c>
      <c r="Z7" s="333"/>
      <c r="AA7" s="323" t="s">
        <v>11</v>
      </c>
      <c r="AB7" s="333"/>
      <c r="AC7" s="323" t="s">
        <v>12</v>
      </c>
      <c r="AD7" s="333"/>
      <c r="AE7" s="323" t="s">
        <v>13</v>
      </c>
      <c r="AF7" s="333"/>
      <c r="AG7" s="323" t="s">
        <v>14</v>
      </c>
      <c r="AH7" s="333"/>
      <c r="AI7" s="323" t="s">
        <v>15</v>
      </c>
      <c r="AJ7" s="333"/>
      <c r="AK7" s="323" t="s">
        <v>16</v>
      </c>
      <c r="AL7" s="333"/>
      <c r="AM7" s="323" t="s">
        <v>4</v>
      </c>
    </row>
    <row r="8" spans="1:39" s="7" customFormat="1" ht="15.75">
      <c r="A8" s="282"/>
      <c r="B8" s="84"/>
      <c r="C8" s="344"/>
      <c r="D8" s="344"/>
      <c r="E8" s="344"/>
      <c r="F8" s="344"/>
      <c r="G8" s="408"/>
      <c r="H8" s="343"/>
      <c r="I8" s="408"/>
      <c r="J8" s="343"/>
      <c r="K8" s="406"/>
      <c r="L8" s="406"/>
      <c r="M8" s="342"/>
      <c r="N8" s="342"/>
      <c r="O8" s="333"/>
      <c r="P8" s="333"/>
      <c r="Q8" s="333"/>
      <c r="R8" s="333"/>
      <c r="S8" s="333"/>
      <c r="T8" s="333"/>
      <c r="U8" s="333"/>
      <c r="V8" s="333"/>
      <c r="W8" s="333"/>
      <c r="X8" s="333"/>
      <c r="Y8" s="333"/>
      <c r="Z8" s="333"/>
      <c r="AA8" s="333"/>
      <c r="AB8" s="333"/>
      <c r="AC8" s="333"/>
      <c r="AD8" s="333"/>
      <c r="AE8" s="333"/>
      <c r="AF8" s="333"/>
      <c r="AG8" s="333"/>
      <c r="AH8" s="333"/>
      <c r="AI8" s="333"/>
      <c r="AJ8" s="333"/>
      <c r="AK8" s="333"/>
      <c r="AL8" s="333"/>
      <c r="AM8" s="323"/>
    </row>
    <row r="9" spans="1:39" s="7" customFormat="1" ht="31.5">
      <c r="A9" s="282"/>
      <c r="B9" s="85" t="s">
        <v>153</v>
      </c>
      <c r="C9" s="344"/>
      <c r="D9" s="344"/>
      <c r="E9" s="344"/>
      <c r="F9" s="344"/>
      <c r="G9" s="408"/>
      <c r="H9" s="343"/>
      <c r="I9" s="408"/>
      <c r="J9" s="343"/>
      <c r="K9" s="407"/>
      <c r="L9" s="407"/>
      <c r="M9" s="16" t="s">
        <v>50</v>
      </c>
      <c r="N9" s="16" t="s">
        <v>50</v>
      </c>
      <c r="O9" s="163" t="s">
        <v>33</v>
      </c>
      <c r="P9" s="163" t="s">
        <v>38</v>
      </c>
      <c r="Q9" s="163" t="s">
        <v>33</v>
      </c>
      <c r="R9" s="163" t="s">
        <v>38</v>
      </c>
      <c r="S9" s="163" t="s">
        <v>33</v>
      </c>
      <c r="T9" s="163" t="s">
        <v>38</v>
      </c>
      <c r="U9" s="163" t="s">
        <v>33</v>
      </c>
      <c r="V9" s="163" t="s">
        <v>38</v>
      </c>
      <c r="W9" s="163" t="s">
        <v>33</v>
      </c>
      <c r="X9" s="163" t="s">
        <v>38</v>
      </c>
      <c r="Y9" s="163" t="s">
        <v>33</v>
      </c>
      <c r="Z9" s="163" t="s">
        <v>38</v>
      </c>
      <c r="AA9" s="163" t="s">
        <v>33</v>
      </c>
      <c r="AB9" s="163" t="s">
        <v>38</v>
      </c>
      <c r="AC9" s="163" t="s">
        <v>33</v>
      </c>
      <c r="AD9" s="163" t="s">
        <v>38</v>
      </c>
      <c r="AE9" s="163" t="s">
        <v>33</v>
      </c>
      <c r="AF9" s="163" t="s">
        <v>38</v>
      </c>
      <c r="AG9" s="163" t="s">
        <v>33</v>
      </c>
      <c r="AH9" s="163" t="s">
        <v>38</v>
      </c>
      <c r="AI9" s="163" t="s">
        <v>33</v>
      </c>
      <c r="AJ9" s="163" t="s">
        <v>38</v>
      </c>
      <c r="AK9" s="163" t="s">
        <v>33</v>
      </c>
      <c r="AL9" s="163" t="s">
        <v>38</v>
      </c>
      <c r="AM9" s="16" t="s">
        <v>50</v>
      </c>
    </row>
    <row r="10" spans="1:39" s="6" customFormat="1" ht="15.75">
      <c r="A10" s="37">
        <v>1</v>
      </c>
      <c r="B10" s="37">
        <v>2</v>
      </c>
      <c r="C10" s="38">
        <v>3</v>
      </c>
      <c r="D10" s="38">
        <v>4</v>
      </c>
      <c r="E10" s="38">
        <v>5</v>
      </c>
      <c r="F10" s="38">
        <v>6</v>
      </c>
      <c r="G10" s="35">
        <v>7</v>
      </c>
      <c r="H10" s="35">
        <v>8</v>
      </c>
      <c r="I10" s="35">
        <v>9</v>
      </c>
      <c r="J10" s="35">
        <v>10</v>
      </c>
      <c r="K10" s="41">
        <v>11</v>
      </c>
      <c r="L10" s="41">
        <v>12</v>
      </c>
      <c r="M10" s="39">
        <v>13</v>
      </c>
      <c r="N10" s="39">
        <v>14</v>
      </c>
      <c r="O10" s="39">
        <v>15</v>
      </c>
      <c r="P10" s="39">
        <v>16</v>
      </c>
      <c r="Q10" s="39">
        <v>17</v>
      </c>
      <c r="R10" s="39">
        <v>18</v>
      </c>
      <c r="S10" s="39">
        <v>19</v>
      </c>
      <c r="T10" s="39">
        <v>20</v>
      </c>
      <c r="U10" s="39">
        <v>21</v>
      </c>
      <c r="V10" s="39">
        <v>22</v>
      </c>
      <c r="W10" s="39">
        <v>23</v>
      </c>
      <c r="X10" s="39">
        <v>24</v>
      </c>
      <c r="Y10" s="39">
        <v>25</v>
      </c>
      <c r="Z10" s="39">
        <v>26</v>
      </c>
      <c r="AA10" s="39">
        <v>27</v>
      </c>
      <c r="AB10" s="39">
        <v>28</v>
      </c>
      <c r="AC10" s="39">
        <v>29</v>
      </c>
      <c r="AD10" s="39">
        <v>30</v>
      </c>
      <c r="AE10" s="39">
        <v>31</v>
      </c>
      <c r="AF10" s="39">
        <v>32</v>
      </c>
      <c r="AG10" s="39">
        <v>33</v>
      </c>
      <c r="AH10" s="39">
        <v>34</v>
      </c>
      <c r="AI10" s="39">
        <v>35</v>
      </c>
      <c r="AJ10" s="39">
        <v>36</v>
      </c>
      <c r="AK10" s="39">
        <v>37</v>
      </c>
      <c r="AL10" s="39">
        <v>38</v>
      </c>
      <c r="AM10" s="39">
        <v>39</v>
      </c>
    </row>
    <row r="11" spans="1:39" s="3" customFormat="1" ht="15.75" outlineLevel="1">
      <c r="A11" s="411">
        <v>1</v>
      </c>
      <c r="B11" s="11">
        <v>129001</v>
      </c>
      <c r="C11" s="218" t="s">
        <v>1489</v>
      </c>
      <c r="D11" s="218" t="s">
        <v>1490</v>
      </c>
      <c r="E11" s="23" t="s">
        <v>138</v>
      </c>
      <c r="F11" s="17" t="s">
        <v>45</v>
      </c>
      <c r="G11" s="11" t="s">
        <v>1432</v>
      </c>
      <c r="H11" s="11">
        <v>25</v>
      </c>
      <c r="I11" s="11" t="s">
        <v>1433</v>
      </c>
      <c r="J11" s="191" t="s">
        <v>216</v>
      </c>
      <c r="K11" s="17" t="s">
        <v>233</v>
      </c>
      <c r="L11" s="17" t="s">
        <v>233</v>
      </c>
      <c r="M11" s="228">
        <v>0.4</v>
      </c>
      <c r="N11" s="229">
        <v>0.4</v>
      </c>
      <c r="O11" s="230">
        <v>0.4</v>
      </c>
      <c r="P11" s="230" t="s">
        <v>239</v>
      </c>
      <c r="Q11" s="230">
        <v>0.4</v>
      </c>
      <c r="R11" s="230" t="s">
        <v>239</v>
      </c>
      <c r="S11" s="230">
        <v>0.4</v>
      </c>
      <c r="T11" s="230"/>
      <c r="U11" s="230">
        <v>0.4</v>
      </c>
      <c r="V11" s="230" t="s">
        <v>239</v>
      </c>
      <c r="W11" s="230">
        <v>0.4</v>
      </c>
      <c r="X11" s="230" t="s">
        <v>239</v>
      </c>
      <c r="Y11" s="230">
        <v>0.4</v>
      </c>
      <c r="Z11" s="230" t="s">
        <v>239</v>
      </c>
      <c r="AA11" s="230">
        <v>0.4</v>
      </c>
      <c r="AB11" s="230" t="s">
        <v>239</v>
      </c>
      <c r="AC11" s="230">
        <v>0.4</v>
      </c>
      <c r="AD11" s="230" t="s">
        <v>239</v>
      </c>
      <c r="AE11" s="230">
        <v>0.4</v>
      </c>
      <c r="AF11" s="230" t="s">
        <v>239</v>
      </c>
      <c r="AG11" s="230">
        <v>0.4</v>
      </c>
      <c r="AH11" s="230" t="s">
        <v>239</v>
      </c>
      <c r="AI11" s="230">
        <v>0.4</v>
      </c>
      <c r="AJ11" s="230" t="s">
        <v>239</v>
      </c>
      <c r="AK11" s="230">
        <v>0.4</v>
      </c>
      <c r="AL11" s="230" t="s">
        <v>239</v>
      </c>
      <c r="AM11" s="230"/>
    </row>
    <row r="12" spans="1:39" ht="15.75" outlineLevel="1">
      <c r="A12" s="412"/>
      <c r="B12" s="12">
        <v>129001</v>
      </c>
      <c r="C12" s="218" t="s">
        <v>1489</v>
      </c>
      <c r="D12" s="218" t="s">
        <v>1490</v>
      </c>
      <c r="E12" s="23" t="s">
        <v>44</v>
      </c>
      <c r="F12" s="17" t="s">
        <v>45</v>
      </c>
      <c r="G12" s="11" t="s">
        <v>1432</v>
      </c>
      <c r="H12" s="12">
        <v>10</v>
      </c>
      <c r="I12" s="11" t="s">
        <v>1433</v>
      </c>
      <c r="J12" s="192" t="s">
        <v>1434</v>
      </c>
      <c r="K12" s="17" t="s">
        <v>233</v>
      </c>
      <c r="L12" s="17" t="s">
        <v>233</v>
      </c>
      <c r="M12" s="231">
        <v>4464</v>
      </c>
      <c r="N12" s="232">
        <v>4409.8070399999997</v>
      </c>
      <c r="O12" s="231">
        <v>148</v>
      </c>
      <c r="P12" s="231" t="s">
        <v>239</v>
      </c>
      <c r="Q12" s="231">
        <v>312</v>
      </c>
      <c r="R12" s="231" t="s">
        <v>239</v>
      </c>
      <c r="S12" s="231">
        <v>402</v>
      </c>
      <c r="T12" s="231" t="s">
        <v>239</v>
      </c>
      <c r="U12" s="231">
        <v>805</v>
      </c>
      <c r="V12" s="231" t="s">
        <v>239</v>
      </c>
      <c r="W12" s="231">
        <v>514</v>
      </c>
      <c r="X12" s="231" t="s">
        <v>239</v>
      </c>
      <c r="Y12" s="231">
        <v>573</v>
      </c>
      <c r="Z12" s="231" t="s">
        <v>239</v>
      </c>
      <c r="AA12" s="231">
        <v>199</v>
      </c>
      <c r="AB12" s="231" t="s">
        <v>239</v>
      </c>
      <c r="AC12" s="231">
        <v>116</v>
      </c>
      <c r="AD12" s="231" t="s">
        <v>239</v>
      </c>
      <c r="AE12" s="231">
        <v>142</v>
      </c>
      <c r="AF12" s="231" t="s">
        <v>239</v>
      </c>
      <c r="AG12" s="231">
        <v>132</v>
      </c>
      <c r="AH12" s="231" t="s">
        <v>239</v>
      </c>
      <c r="AI12" s="231">
        <v>334</v>
      </c>
      <c r="AJ12" s="231" t="s">
        <v>239</v>
      </c>
      <c r="AK12" s="231">
        <v>226</v>
      </c>
      <c r="AL12" s="231" t="s">
        <v>239</v>
      </c>
      <c r="AM12" s="231">
        <v>3903</v>
      </c>
    </row>
    <row r="13" spans="1:39" ht="15.75" outlineLevel="1">
      <c r="A13" s="411">
        <v>2</v>
      </c>
      <c r="B13" s="12">
        <v>129002</v>
      </c>
      <c r="C13" s="218" t="s">
        <v>1489</v>
      </c>
      <c r="D13" s="218" t="s">
        <v>1490</v>
      </c>
      <c r="E13" s="23" t="s">
        <v>138</v>
      </c>
      <c r="F13" s="17" t="s">
        <v>45</v>
      </c>
      <c r="G13" s="11" t="s">
        <v>1432</v>
      </c>
      <c r="H13" s="12">
        <v>15</v>
      </c>
      <c r="I13" s="11" t="s">
        <v>1433</v>
      </c>
      <c r="J13" s="192" t="s">
        <v>1480</v>
      </c>
      <c r="K13" s="17" t="s">
        <v>233</v>
      </c>
      <c r="L13" s="17" t="s">
        <v>233</v>
      </c>
      <c r="M13" s="231">
        <v>1</v>
      </c>
      <c r="N13" s="232">
        <v>1</v>
      </c>
      <c r="O13" s="231">
        <v>1</v>
      </c>
      <c r="P13" s="231" t="s">
        <v>239</v>
      </c>
      <c r="Q13" s="231">
        <v>1</v>
      </c>
      <c r="R13" s="231" t="s">
        <v>239</v>
      </c>
      <c r="S13" s="231">
        <v>1</v>
      </c>
      <c r="T13" s="231" t="s">
        <v>239</v>
      </c>
      <c r="U13" s="231">
        <v>1</v>
      </c>
      <c r="V13" s="231" t="s">
        <v>239</v>
      </c>
      <c r="W13" s="231">
        <v>1</v>
      </c>
      <c r="X13" s="231" t="s">
        <v>239</v>
      </c>
      <c r="Y13" s="231">
        <v>1</v>
      </c>
      <c r="Z13" s="231" t="s">
        <v>239</v>
      </c>
      <c r="AA13" s="231">
        <v>1</v>
      </c>
      <c r="AB13" s="231" t="s">
        <v>239</v>
      </c>
      <c r="AC13" s="231">
        <v>1</v>
      </c>
      <c r="AD13" s="231" t="s">
        <v>239</v>
      </c>
      <c r="AE13" s="231">
        <v>1</v>
      </c>
      <c r="AF13" s="231" t="s">
        <v>239</v>
      </c>
      <c r="AG13" s="231">
        <v>1</v>
      </c>
      <c r="AH13" s="231" t="s">
        <v>239</v>
      </c>
      <c r="AI13" s="231">
        <v>1</v>
      </c>
      <c r="AJ13" s="231" t="s">
        <v>239</v>
      </c>
      <c r="AK13" s="231">
        <v>1</v>
      </c>
      <c r="AL13" s="231" t="s">
        <v>239</v>
      </c>
      <c r="AM13" s="231">
        <v>0</v>
      </c>
    </row>
    <row r="14" spans="1:39" ht="15.75" customHeight="1" outlineLevel="1">
      <c r="A14" s="412"/>
      <c r="B14" s="12">
        <v>129002</v>
      </c>
      <c r="C14" s="218" t="s">
        <v>1489</v>
      </c>
      <c r="D14" s="218" t="s">
        <v>1490</v>
      </c>
      <c r="E14" s="23" t="s">
        <v>44</v>
      </c>
      <c r="F14" s="17" t="s">
        <v>45</v>
      </c>
      <c r="G14" s="11" t="s">
        <v>1432</v>
      </c>
      <c r="H14" s="12">
        <v>38</v>
      </c>
      <c r="I14" s="11" t="s">
        <v>1433</v>
      </c>
      <c r="J14" s="192" t="s">
        <v>1452</v>
      </c>
      <c r="K14" s="17" t="s">
        <v>233</v>
      </c>
      <c r="L14" s="17" t="s">
        <v>233</v>
      </c>
      <c r="M14" s="231">
        <v>7272</v>
      </c>
      <c r="N14" s="232">
        <v>7183.71792</v>
      </c>
      <c r="O14" s="231">
        <v>263</v>
      </c>
      <c r="P14" s="231" t="s">
        <v>239</v>
      </c>
      <c r="Q14" s="231">
        <v>100</v>
      </c>
      <c r="R14" s="231" t="s">
        <v>239</v>
      </c>
      <c r="S14" s="231">
        <v>329</v>
      </c>
      <c r="T14" s="231" t="s">
        <v>239</v>
      </c>
      <c r="U14" s="231">
        <v>45</v>
      </c>
      <c r="V14" s="231" t="s">
        <v>239</v>
      </c>
      <c r="W14" s="231">
        <v>147</v>
      </c>
      <c r="X14" s="231" t="s">
        <v>239</v>
      </c>
      <c r="Y14" s="231">
        <v>150</v>
      </c>
      <c r="Z14" s="231" t="s">
        <v>239</v>
      </c>
      <c r="AA14" s="231">
        <v>154</v>
      </c>
      <c r="AB14" s="231" t="s">
        <v>239</v>
      </c>
      <c r="AC14" s="231">
        <v>70</v>
      </c>
      <c r="AD14" s="231" t="s">
        <v>239</v>
      </c>
      <c r="AE14" s="231">
        <v>172</v>
      </c>
      <c r="AF14" s="231" t="s">
        <v>239</v>
      </c>
      <c r="AG14" s="231">
        <v>156</v>
      </c>
      <c r="AH14" s="231" t="s">
        <v>239</v>
      </c>
      <c r="AI14" s="231">
        <v>154</v>
      </c>
      <c r="AJ14" s="231" t="s">
        <v>239</v>
      </c>
      <c r="AK14" s="231">
        <v>1113</v>
      </c>
      <c r="AL14" s="231" t="s">
        <v>239</v>
      </c>
      <c r="AM14" s="231">
        <v>2853</v>
      </c>
    </row>
    <row r="15" spans="1:39" ht="15.75" customHeight="1" outlineLevel="1">
      <c r="A15" s="411">
        <v>3</v>
      </c>
      <c r="B15" s="12">
        <v>129003</v>
      </c>
      <c r="C15" s="218" t="s">
        <v>1489</v>
      </c>
      <c r="D15" s="218" t="s">
        <v>1490</v>
      </c>
      <c r="E15" s="23" t="s">
        <v>138</v>
      </c>
      <c r="F15" s="17" t="s">
        <v>45</v>
      </c>
      <c r="G15" s="11" t="s">
        <v>1432</v>
      </c>
      <c r="H15" s="12">
        <v>6</v>
      </c>
      <c r="I15" s="11" t="s">
        <v>1433</v>
      </c>
      <c r="J15" s="374" t="s">
        <v>207</v>
      </c>
      <c r="K15" s="17" t="s">
        <v>233</v>
      </c>
      <c r="L15" s="17" t="s">
        <v>233</v>
      </c>
      <c r="M15" s="231">
        <v>35.700000000000003</v>
      </c>
      <c r="N15" s="233">
        <v>35.700000000000003</v>
      </c>
      <c r="O15" s="231">
        <v>35.700000000000003</v>
      </c>
      <c r="P15" s="231" t="s">
        <v>239</v>
      </c>
      <c r="Q15" s="233">
        <v>35.700000000000003</v>
      </c>
      <c r="R15" s="231" t="s">
        <v>239</v>
      </c>
      <c r="S15" s="231">
        <v>35.700000000000003</v>
      </c>
      <c r="T15" s="231" t="s">
        <v>239</v>
      </c>
      <c r="U15" s="231">
        <v>35.700000000000003</v>
      </c>
      <c r="V15" s="230" t="s">
        <v>239</v>
      </c>
      <c r="W15" s="233">
        <v>35.700000000000003</v>
      </c>
      <c r="X15" s="231" t="s">
        <v>239</v>
      </c>
      <c r="Y15" s="231">
        <v>35.700000000000003</v>
      </c>
      <c r="Z15" s="231" t="s">
        <v>239</v>
      </c>
      <c r="AA15" s="231">
        <v>35.700000000000003</v>
      </c>
      <c r="AB15" s="231" t="s">
        <v>239</v>
      </c>
      <c r="AC15" s="233">
        <v>35.700000000000003</v>
      </c>
      <c r="AD15" s="231" t="s">
        <v>239</v>
      </c>
      <c r="AE15" s="231">
        <v>35.700000000000003</v>
      </c>
      <c r="AF15" s="231" t="s">
        <v>239</v>
      </c>
      <c r="AG15" s="231">
        <v>35.700000000000003</v>
      </c>
      <c r="AH15" s="231" t="s">
        <v>239</v>
      </c>
      <c r="AI15" s="233">
        <v>35.700000000000003</v>
      </c>
      <c r="AJ15" s="231" t="s">
        <v>239</v>
      </c>
      <c r="AK15" s="231">
        <v>35.700000000000003</v>
      </c>
      <c r="AL15" s="231" t="s">
        <v>239</v>
      </c>
      <c r="AM15" s="231">
        <v>0</v>
      </c>
    </row>
    <row r="16" spans="1:39" ht="15.75" outlineLevel="1">
      <c r="A16" s="412"/>
      <c r="B16" s="12">
        <v>129003</v>
      </c>
      <c r="C16" s="218" t="s">
        <v>1489</v>
      </c>
      <c r="D16" s="218" t="s">
        <v>1490</v>
      </c>
      <c r="E16" s="23" t="s">
        <v>44</v>
      </c>
      <c r="F16" s="17" t="s">
        <v>45</v>
      </c>
      <c r="G16" s="11" t="s">
        <v>1432</v>
      </c>
      <c r="H16" s="12">
        <v>12</v>
      </c>
      <c r="I16" s="11" t="s">
        <v>1433</v>
      </c>
      <c r="J16" s="375"/>
      <c r="K16" s="17" t="s">
        <v>233</v>
      </c>
      <c r="L16" s="17" t="s">
        <v>233</v>
      </c>
      <c r="M16" s="231">
        <v>7107</v>
      </c>
      <c r="N16" s="232">
        <v>7020.72102</v>
      </c>
      <c r="O16" s="132">
        <v>195</v>
      </c>
      <c r="P16" s="231" t="s">
        <v>239</v>
      </c>
      <c r="Q16" s="231">
        <v>170</v>
      </c>
      <c r="R16" s="231" t="s">
        <v>239</v>
      </c>
      <c r="S16" s="231">
        <v>448</v>
      </c>
      <c r="T16" s="231" t="s">
        <v>239</v>
      </c>
      <c r="U16" s="231">
        <v>362</v>
      </c>
      <c r="V16" s="231" t="s">
        <v>239</v>
      </c>
      <c r="W16" s="231">
        <v>465</v>
      </c>
      <c r="X16" s="231" t="s">
        <v>239</v>
      </c>
      <c r="Y16" s="231">
        <v>4024</v>
      </c>
      <c r="Z16" s="231" t="s">
        <v>239</v>
      </c>
      <c r="AA16" s="231">
        <v>361</v>
      </c>
      <c r="AB16" s="231" t="s">
        <v>239</v>
      </c>
      <c r="AC16" s="231">
        <v>279</v>
      </c>
      <c r="AD16" s="231" t="s">
        <v>239</v>
      </c>
      <c r="AE16" s="231">
        <v>155</v>
      </c>
      <c r="AF16" s="231" t="s">
        <v>239</v>
      </c>
      <c r="AG16" s="231">
        <v>151</v>
      </c>
      <c r="AH16" s="231" t="s">
        <v>239</v>
      </c>
      <c r="AI16" s="231">
        <v>866</v>
      </c>
      <c r="AJ16" s="231" t="s">
        <v>239</v>
      </c>
      <c r="AK16" s="231">
        <v>197</v>
      </c>
      <c r="AL16" s="231" t="s">
        <v>239</v>
      </c>
      <c r="AM16" s="231">
        <v>7673</v>
      </c>
    </row>
    <row r="17" spans="1:39" ht="15.75" outlineLevel="1">
      <c r="A17" s="411">
        <v>4</v>
      </c>
      <c r="B17" s="12">
        <v>129004</v>
      </c>
      <c r="C17" s="218" t="s">
        <v>1489</v>
      </c>
      <c r="D17" s="218" t="s">
        <v>1490</v>
      </c>
      <c r="E17" s="23" t="s">
        <v>138</v>
      </c>
      <c r="F17" s="17" t="s">
        <v>45</v>
      </c>
      <c r="G17" s="11" t="s">
        <v>1432</v>
      </c>
      <c r="H17" s="12">
        <v>21</v>
      </c>
      <c r="I17" s="11" t="s">
        <v>1433</v>
      </c>
      <c r="J17" s="193" t="s">
        <v>1460</v>
      </c>
      <c r="K17" s="17" t="s">
        <v>233</v>
      </c>
      <c r="L17" s="17" t="s">
        <v>233</v>
      </c>
      <c r="M17" s="231">
        <v>0</v>
      </c>
      <c r="N17" s="232">
        <v>0</v>
      </c>
      <c r="O17" s="132">
        <v>0</v>
      </c>
      <c r="P17" s="231" t="s">
        <v>239</v>
      </c>
      <c r="Q17" s="231">
        <v>0</v>
      </c>
      <c r="R17" s="231" t="s">
        <v>239</v>
      </c>
      <c r="S17" s="231">
        <v>0</v>
      </c>
      <c r="T17" s="231" t="s">
        <v>239</v>
      </c>
      <c r="U17" s="231">
        <v>0</v>
      </c>
      <c r="V17" s="231" t="s">
        <v>239</v>
      </c>
      <c r="W17" s="231">
        <v>0</v>
      </c>
      <c r="X17" s="231" t="s">
        <v>239</v>
      </c>
      <c r="Y17" s="231">
        <v>0</v>
      </c>
      <c r="Z17" s="231" t="s">
        <v>239</v>
      </c>
      <c r="AA17" s="231">
        <v>0</v>
      </c>
      <c r="AB17" s="231" t="s">
        <v>239</v>
      </c>
      <c r="AC17" s="231">
        <v>0</v>
      </c>
      <c r="AD17" s="231" t="s">
        <v>239</v>
      </c>
      <c r="AE17" s="231">
        <v>0</v>
      </c>
      <c r="AF17" s="231" t="s">
        <v>239</v>
      </c>
      <c r="AG17" s="231">
        <v>0</v>
      </c>
      <c r="AH17" s="231" t="s">
        <v>239</v>
      </c>
      <c r="AI17" s="231">
        <v>0</v>
      </c>
      <c r="AJ17" s="231" t="s">
        <v>239</v>
      </c>
      <c r="AK17" s="231">
        <v>0</v>
      </c>
      <c r="AL17" s="231" t="s">
        <v>239</v>
      </c>
      <c r="AM17" s="231">
        <v>0</v>
      </c>
    </row>
    <row r="18" spans="1:39" ht="15.75" outlineLevel="1">
      <c r="A18" s="412"/>
      <c r="B18" s="12">
        <v>129004</v>
      </c>
      <c r="C18" s="218" t="s">
        <v>1489</v>
      </c>
      <c r="D18" s="218" t="s">
        <v>1490</v>
      </c>
      <c r="E18" s="23" t="s">
        <v>44</v>
      </c>
      <c r="F18" s="17" t="s">
        <v>45</v>
      </c>
      <c r="G18" s="11" t="s">
        <v>1432</v>
      </c>
      <c r="H18" s="12">
        <v>32</v>
      </c>
      <c r="I18" s="11" t="s">
        <v>1433</v>
      </c>
      <c r="J18" s="193" t="s">
        <v>1442</v>
      </c>
      <c r="K18" s="17" t="s">
        <v>233</v>
      </c>
      <c r="L18" s="17" t="s">
        <v>233</v>
      </c>
      <c r="M18" s="231">
        <v>0</v>
      </c>
      <c r="N18" s="232">
        <v>0</v>
      </c>
      <c r="O18" s="132">
        <v>0</v>
      </c>
      <c r="P18" s="231" t="s">
        <v>239</v>
      </c>
      <c r="Q18" s="231">
        <v>0</v>
      </c>
      <c r="R18" s="231" t="s">
        <v>239</v>
      </c>
      <c r="S18" s="231">
        <v>0</v>
      </c>
      <c r="T18" s="231" t="s">
        <v>239</v>
      </c>
      <c r="U18" s="231">
        <v>0</v>
      </c>
      <c r="V18" s="231" t="s">
        <v>239</v>
      </c>
      <c r="W18" s="231">
        <v>0</v>
      </c>
      <c r="X18" s="231" t="s">
        <v>239</v>
      </c>
      <c r="Y18" s="231">
        <v>0</v>
      </c>
      <c r="Z18" s="231" t="s">
        <v>239</v>
      </c>
      <c r="AA18" s="231">
        <v>0</v>
      </c>
      <c r="AB18" s="231" t="s">
        <v>239</v>
      </c>
      <c r="AC18" s="231">
        <v>0</v>
      </c>
      <c r="AD18" s="231" t="s">
        <v>239</v>
      </c>
      <c r="AE18" s="231">
        <v>0</v>
      </c>
      <c r="AF18" s="231" t="s">
        <v>239</v>
      </c>
      <c r="AG18" s="231">
        <v>0</v>
      </c>
      <c r="AH18" s="231" t="s">
        <v>239</v>
      </c>
      <c r="AI18" s="231">
        <v>0</v>
      </c>
      <c r="AJ18" s="231" t="s">
        <v>239</v>
      </c>
      <c r="AK18" s="231">
        <v>0</v>
      </c>
      <c r="AL18" s="231" t="s">
        <v>239</v>
      </c>
      <c r="AM18" s="231">
        <v>0</v>
      </c>
    </row>
    <row r="19" spans="1:39" ht="15.75" outlineLevel="1">
      <c r="A19" s="411">
        <v>5</v>
      </c>
      <c r="B19" s="12">
        <v>129005</v>
      </c>
      <c r="C19" s="218" t="s">
        <v>1489</v>
      </c>
      <c r="D19" s="218" t="s">
        <v>1490</v>
      </c>
      <c r="E19" s="23" t="s">
        <v>138</v>
      </c>
      <c r="F19" s="17" t="s">
        <v>45</v>
      </c>
      <c r="G19" s="11" t="s">
        <v>1432</v>
      </c>
      <c r="H19" s="12">
        <v>26</v>
      </c>
      <c r="I19" s="11" t="s">
        <v>1433</v>
      </c>
      <c r="J19" s="193" t="s">
        <v>1460</v>
      </c>
      <c r="K19" s="17" t="s">
        <v>233</v>
      </c>
      <c r="L19" s="17" t="s">
        <v>233</v>
      </c>
      <c r="M19" s="231">
        <v>1</v>
      </c>
      <c r="N19" s="232">
        <v>1</v>
      </c>
      <c r="O19" s="132">
        <v>1</v>
      </c>
      <c r="P19" s="231" t="s">
        <v>239</v>
      </c>
      <c r="Q19" s="132">
        <v>1</v>
      </c>
      <c r="R19" s="231" t="s">
        <v>239</v>
      </c>
      <c r="S19" s="132">
        <v>1</v>
      </c>
      <c r="T19" s="231" t="s">
        <v>239</v>
      </c>
      <c r="U19" s="132">
        <v>1</v>
      </c>
      <c r="V19" s="230" t="s">
        <v>239</v>
      </c>
      <c r="W19" s="132">
        <v>1</v>
      </c>
      <c r="X19" s="231" t="s">
        <v>239</v>
      </c>
      <c r="Y19" s="132">
        <v>1</v>
      </c>
      <c r="Z19" s="231" t="s">
        <v>239</v>
      </c>
      <c r="AA19" s="132">
        <v>1</v>
      </c>
      <c r="AB19" s="231" t="s">
        <v>239</v>
      </c>
      <c r="AC19" s="132">
        <v>1</v>
      </c>
      <c r="AD19" s="231" t="s">
        <v>239</v>
      </c>
      <c r="AE19" s="132">
        <v>1</v>
      </c>
      <c r="AF19" s="231" t="s">
        <v>239</v>
      </c>
      <c r="AG19" s="132">
        <v>1</v>
      </c>
      <c r="AH19" s="231" t="s">
        <v>239</v>
      </c>
      <c r="AI19" s="132">
        <v>1</v>
      </c>
      <c r="AJ19" s="231" t="s">
        <v>239</v>
      </c>
      <c r="AK19" s="132">
        <v>1</v>
      </c>
      <c r="AL19" s="231" t="s">
        <v>239</v>
      </c>
      <c r="AM19" s="231">
        <v>0</v>
      </c>
    </row>
    <row r="20" spans="1:39" ht="15.75" outlineLevel="1">
      <c r="A20" s="412"/>
      <c r="B20" s="12">
        <v>129005</v>
      </c>
      <c r="C20" s="218" t="s">
        <v>1489</v>
      </c>
      <c r="D20" s="218" t="s">
        <v>1490</v>
      </c>
      <c r="E20" s="23" t="s">
        <v>44</v>
      </c>
      <c r="F20" s="17" t="s">
        <v>45</v>
      </c>
      <c r="G20" s="11" t="s">
        <v>1432</v>
      </c>
      <c r="H20" s="12">
        <v>24</v>
      </c>
      <c r="I20" s="11" t="s">
        <v>1433</v>
      </c>
      <c r="J20" s="193" t="s">
        <v>1457</v>
      </c>
      <c r="K20" s="17" t="s">
        <v>233</v>
      </c>
      <c r="L20" s="17" t="s">
        <v>233</v>
      </c>
      <c r="M20" s="231">
        <v>11159</v>
      </c>
      <c r="N20" s="232">
        <v>11023.52974</v>
      </c>
      <c r="O20" s="132">
        <v>608</v>
      </c>
      <c r="P20" s="231" t="s">
        <v>239</v>
      </c>
      <c r="Q20" s="231">
        <v>321</v>
      </c>
      <c r="R20" s="231" t="s">
        <v>239</v>
      </c>
      <c r="S20" s="231">
        <v>64</v>
      </c>
      <c r="T20" s="231" t="s">
        <v>239</v>
      </c>
      <c r="U20" s="231">
        <v>11</v>
      </c>
      <c r="V20" s="231" t="s">
        <v>239</v>
      </c>
      <c r="W20" s="231">
        <v>330</v>
      </c>
      <c r="X20" s="231" t="s">
        <v>239</v>
      </c>
      <c r="Y20" s="231">
        <v>727</v>
      </c>
      <c r="Z20" s="231" t="s">
        <v>239</v>
      </c>
      <c r="AA20" s="231">
        <v>101</v>
      </c>
      <c r="AB20" s="231" t="s">
        <v>239</v>
      </c>
      <c r="AC20" s="231">
        <v>449</v>
      </c>
      <c r="AD20" s="231" t="s">
        <v>239</v>
      </c>
      <c r="AE20" s="231">
        <v>491</v>
      </c>
      <c r="AF20" s="231" t="s">
        <v>239</v>
      </c>
      <c r="AG20" s="231">
        <v>3472</v>
      </c>
      <c r="AH20" s="231" t="s">
        <v>239</v>
      </c>
      <c r="AI20" s="231">
        <v>3669</v>
      </c>
      <c r="AJ20" s="231" t="s">
        <v>239</v>
      </c>
      <c r="AK20" s="231">
        <v>318</v>
      </c>
      <c r="AL20" s="231" t="s">
        <v>239</v>
      </c>
      <c r="AM20" s="231">
        <v>10561</v>
      </c>
    </row>
    <row r="21" spans="1:39" ht="15.75" outlineLevel="1">
      <c r="A21" s="411">
        <v>6</v>
      </c>
      <c r="B21" s="12">
        <v>129006</v>
      </c>
      <c r="C21" s="218" t="s">
        <v>1489</v>
      </c>
      <c r="D21" s="218" t="s">
        <v>1490</v>
      </c>
      <c r="E21" s="23" t="s">
        <v>138</v>
      </c>
      <c r="F21" s="17" t="s">
        <v>45</v>
      </c>
      <c r="G21" s="11" t="s">
        <v>1432</v>
      </c>
      <c r="H21" s="12">
        <v>27</v>
      </c>
      <c r="I21" s="11" t="s">
        <v>1433</v>
      </c>
      <c r="J21" s="193" t="s">
        <v>617</v>
      </c>
      <c r="K21" s="17" t="s">
        <v>233</v>
      </c>
      <c r="L21" s="17" t="s">
        <v>233</v>
      </c>
      <c r="M21" s="231">
        <v>24</v>
      </c>
      <c r="N21" s="232">
        <v>24</v>
      </c>
      <c r="O21" s="231">
        <v>24</v>
      </c>
      <c r="P21" s="231" t="s">
        <v>239</v>
      </c>
      <c r="Q21" s="231">
        <v>24</v>
      </c>
      <c r="R21" s="231" t="s">
        <v>239</v>
      </c>
      <c r="S21" s="231">
        <v>24</v>
      </c>
      <c r="T21" s="231" t="s">
        <v>239</v>
      </c>
      <c r="U21" s="231">
        <v>24</v>
      </c>
      <c r="V21" s="231" t="s">
        <v>239</v>
      </c>
      <c r="W21" s="231">
        <v>24</v>
      </c>
      <c r="X21" s="231" t="s">
        <v>239</v>
      </c>
      <c r="Y21" s="231">
        <v>24</v>
      </c>
      <c r="Z21" s="231" t="s">
        <v>239</v>
      </c>
      <c r="AA21" s="231">
        <v>24</v>
      </c>
      <c r="AB21" s="231" t="s">
        <v>239</v>
      </c>
      <c r="AC21" s="231">
        <v>24</v>
      </c>
      <c r="AD21" s="231" t="s">
        <v>239</v>
      </c>
      <c r="AE21" s="231">
        <v>24</v>
      </c>
      <c r="AF21" s="231" t="s">
        <v>239</v>
      </c>
      <c r="AG21" s="231">
        <v>24</v>
      </c>
      <c r="AH21" s="231" t="s">
        <v>239</v>
      </c>
      <c r="AI21" s="231">
        <v>24</v>
      </c>
      <c r="AJ21" s="231" t="s">
        <v>239</v>
      </c>
      <c r="AK21" s="231">
        <v>24</v>
      </c>
      <c r="AL21" s="231" t="s">
        <v>239</v>
      </c>
      <c r="AM21" s="231">
        <v>0</v>
      </c>
    </row>
    <row r="22" spans="1:39" ht="15.75" outlineLevel="1">
      <c r="A22" s="412"/>
      <c r="B22" s="12">
        <v>129006</v>
      </c>
      <c r="C22" s="218" t="s">
        <v>1489</v>
      </c>
      <c r="D22" s="218" t="s">
        <v>1490</v>
      </c>
      <c r="E22" s="23" t="s">
        <v>44</v>
      </c>
      <c r="F22" s="17" t="s">
        <v>45</v>
      </c>
      <c r="G22" s="11" t="s">
        <v>1432</v>
      </c>
      <c r="H22" s="12">
        <v>18</v>
      </c>
      <c r="I22" s="11" t="s">
        <v>1433</v>
      </c>
      <c r="J22" s="193" t="s">
        <v>216</v>
      </c>
      <c r="K22" s="17" t="s">
        <v>233</v>
      </c>
      <c r="L22" s="17" t="s">
        <v>233</v>
      </c>
      <c r="M22" s="231">
        <v>5905</v>
      </c>
      <c r="N22" s="232">
        <v>5833.3132999999998</v>
      </c>
      <c r="O22" s="132">
        <v>217</v>
      </c>
      <c r="P22" s="231" t="s">
        <v>239</v>
      </c>
      <c r="Q22" s="231">
        <v>351</v>
      </c>
      <c r="R22" s="231" t="s">
        <v>239</v>
      </c>
      <c r="S22" s="231">
        <v>493</v>
      </c>
      <c r="T22" s="231" t="s">
        <v>239</v>
      </c>
      <c r="U22" s="231">
        <v>941</v>
      </c>
      <c r="V22" s="231" t="s">
        <v>239</v>
      </c>
      <c r="W22" s="231">
        <v>654</v>
      </c>
      <c r="X22" s="231" t="s">
        <v>239</v>
      </c>
      <c r="Y22" s="231">
        <v>1392</v>
      </c>
      <c r="Z22" s="231" t="s">
        <v>239</v>
      </c>
      <c r="AA22" s="231">
        <v>154</v>
      </c>
      <c r="AB22" s="231" t="s">
        <v>239</v>
      </c>
      <c r="AC22" s="231">
        <v>505</v>
      </c>
      <c r="AD22" s="231" t="s">
        <v>239</v>
      </c>
      <c r="AE22" s="231">
        <v>1113</v>
      </c>
      <c r="AF22" s="231" t="s">
        <v>239</v>
      </c>
      <c r="AG22" s="231">
        <v>151</v>
      </c>
      <c r="AH22" s="231" t="s">
        <v>239</v>
      </c>
      <c r="AI22" s="231">
        <v>978</v>
      </c>
      <c r="AJ22" s="231" t="s">
        <v>239</v>
      </c>
      <c r="AK22" s="231">
        <v>753</v>
      </c>
      <c r="AL22" s="231" t="s">
        <v>239</v>
      </c>
      <c r="AM22" s="231">
        <v>7702</v>
      </c>
    </row>
    <row r="23" spans="1:39" ht="15.75" outlineLevel="1">
      <c r="A23" s="411">
        <v>7</v>
      </c>
      <c r="B23" s="12">
        <v>129007</v>
      </c>
      <c r="C23" s="218" t="s">
        <v>1489</v>
      </c>
      <c r="D23" s="218" t="s">
        <v>1490</v>
      </c>
      <c r="E23" s="23" t="s">
        <v>138</v>
      </c>
      <c r="F23" s="17" t="s">
        <v>45</v>
      </c>
      <c r="G23" s="11" t="s">
        <v>1432</v>
      </c>
      <c r="H23" s="12">
        <v>16</v>
      </c>
      <c r="I23" s="11" t="s">
        <v>1433</v>
      </c>
      <c r="J23" s="192" t="s">
        <v>1446</v>
      </c>
      <c r="K23" s="17" t="s">
        <v>233</v>
      </c>
      <c r="L23" s="17" t="s">
        <v>233</v>
      </c>
      <c r="M23" s="231">
        <v>2</v>
      </c>
      <c r="N23" s="232">
        <v>2</v>
      </c>
      <c r="O23" s="231">
        <v>2</v>
      </c>
      <c r="P23" s="231" t="s">
        <v>239</v>
      </c>
      <c r="Q23" s="231">
        <v>2</v>
      </c>
      <c r="R23" s="231" t="s">
        <v>239</v>
      </c>
      <c r="S23" s="231">
        <v>2</v>
      </c>
      <c r="T23" s="231" t="s">
        <v>239</v>
      </c>
      <c r="U23" s="231">
        <v>2</v>
      </c>
      <c r="V23" s="230" t="s">
        <v>239</v>
      </c>
      <c r="W23" s="231">
        <v>2</v>
      </c>
      <c r="X23" s="231" t="s">
        <v>239</v>
      </c>
      <c r="Y23" s="231">
        <v>2</v>
      </c>
      <c r="Z23" s="231" t="s">
        <v>239</v>
      </c>
      <c r="AA23" s="231">
        <v>2</v>
      </c>
      <c r="AB23" s="231" t="s">
        <v>239</v>
      </c>
      <c r="AC23" s="231">
        <v>2</v>
      </c>
      <c r="AD23" s="231" t="s">
        <v>239</v>
      </c>
      <c r="AE23" s="231">
        <v>2</v>
      </c>
      <c r="AF23" s="231" t="s">
        <v>239</v>
      </c>
      <c r="AG23" s="231">
        <v>2</v>
      </c>
      <c r="AH23" s="231" t="s">
        <v>239</v>
      </c>
      <c r="AI23" s="231">
        <v>2</v>
      </c>
      <c r="AJ23" s="231" t="s">
        <v>239</v>
      </c>
      <c r="AK23" s="231">
        <v>2</v>
      </c>
      <c r="AL23" s="231" t="s">
        <v>239</v>
      </c>
      <c r="AM23" s="231">
        <v>0</v>
      </c>
    </row>
    <row r="24" spans="1:39" ht="15.75" outlineLevel="1">
      <c r="A24" s="412"/>
      <c r="B24" s="12">
        <v>129007</v>
      </c>
      <c r="C24" s="218" t="s">
        <v>1489</v>
      </c>
      <c r="D24" s="218" t="s">
        <v>1490</v>
      </c>
      <c r="E24" s="23" t="s">
        <v>44</v>
      </c>
      <c r="F24" s="17" t="s">
        <v>45</v>
      </c>
      <c r="G24" s="11" t="s">
        <v>1432</v>
      </c>
      <c r="H24" s="12">
        <v>14</v>
      </c>
      <c r="I24" s="11" t="s">
        <v>1433</v>
      </c>
      <c r="J24" s="192" t="s">
        <v>1481</v>
      </c>
      <c r="K24" s="17" t="s">
        <v>233</v>
      </c>
      <c r="L24" s="17" t="s">
        <v>233</v>
      </c>
      <c r="M24" s="231">
        <v>11159</v>
      </c>
      <c r="N24" s="232">
        <v>11023.52974</v>
      </c>
      <c r="O24" s="132">
        <v>900</v>
      </c>
      <c r="P24" s="231" t="s">
        <v>239</v>
      </c>
      <c r="Q24" s="231">
        <v>562</v>
      </c>
      <c r="R24" s="231" t="s">
        <v>239</v>
      </c>
      <c r="S24" s="231">
        <v>643</v>
      </c>
      <c r="T24" s="231" t="s">
        <v>239</v>
      </c>
      <c r="U24" s="231">
        <v>938</v>
      </c>
      <c r="V24" s="231" t="s">
        <v>239</v>
      </c>
      <c r="W24" s="231">
        <v>337</v>
      </c>
      <c r="X24" s="231" t="s">
        <v>239</v>
      </c>
      <c r="Y24" s="231">
        <v>303</v>
      </c>
      <c r="Z24" s="231" t="s">
        <v>239</v>
      </c>
      <c r="AA24" s="231">
        <v>457</v>
      </c>
      <c r="AB24" s="231" t="s">
        <v>239</v>
      </c>
      <c r="AC24" s="231">
        <v>442</v>
      </c>
      <c r="AD24" s="231" t="s">
        <v>239</v>
      </c>
      <c r="AE24" s="231">
        <v>471</v>
      </c>
      <c r="AF24" s="231" t="s">
        <v>239</v>
      </c>
      <c r="AG24" s="231">
        <v>155</v>
      </c>
      <c r="AH24" s="231" t="s">
        <v>239</v>
      </c>
      <c r="AI24" s="231">
        <v>800</v>
      </c>
      <c r="AJ24" s="231" t="s">
        <v>239</v>
      </c>
      <c r="AK24" s="231">
        <v>948</v>
      </c>
      <c r="AL24" s="231" t="s">
        <v>239</v>
      </c>
      <c r="AM24" s="231">
        <v>6956</v>
      </c>
    </row>
    <row r="25" spans="1:39" ht="15.75" customHeight="1" outlineLevel="1">
      <c r="A25" s="411">
        <v>8</v>
      </c>
      <c r="B25" s="12">
        <v>129008</v>
      </c>
      <c r="C25" s="218" t="s">
        <v>1489</v>
      </c>
      <c r="D25" s="218" t="s">
        <v>1490</v>
      </c>
      <c r="E25" s="23" t="s">
        <v>138</v>
      </c>
      <c r="F25" s="17" t="s">
        <v>45</v>
      </c>
      <c r="G25" s="11" t="s">
        <v>1432</v>
      </c>
      <c r="H25" s="12">
        <v>32</v>
      </c>
      <c r="I25" s="11" t="s">
        <v>1433</v>
      </c>
      <c r="J25" s="192" t="s">
        <v>208</v>
      </c>
      <c r="K25" s="17" t="s">
        <v>233</v>
      </c>
      <c r="L25" s="17" t="s">
        <v>233</v>
      </c>
      <c r="M25" s="231">
        <v>1</v>
      </c>
      <c r="N25" s="232">
        <v>1</v>
      </c>
      <c r="O25" s="231">
        <v>1</v>
      </c>
      <c r="P25" s="231" t="s">
        <v>239</v>
      </c>
      <c r="Q25" s="231">
        <v>1</v>
      </c>
      <c r="R25" s="231" t="s">
        <v>239</v>
      </c>
      <c r="S25" s="231">
        <v>1</v>
      </c>
      <c r="T25" s="231" t="s">
        <v>239</v>
      </c>
      <c r="U25" s="231">
        <v>1</v>
      </c>
      <c r="V25" s="231" t="s">
        <v>239</v>
      </c>
      <c r="W25" s="231">
        <v>1</v>
      </c>
      <c r="X25" s="231" t="s">
        <v>239</v>
      </c>
      <c r="Y25" s="231">
        <v>1</v>
      </c>
      <c r="Z25" s="231" t="s">
        <v>239</v>
      </c>
      <c r="AA25" s="231">
        <v>1</v>
      </c>
      <c r="AB25" s="231" t="s">
        <v>239</v>
      </c>
      <c r="AC25" s="231">
        <v>1</v>
      </c>
      <c r="AD25" s="231" t="s">
        <v>239</v>
      </c>
      <c r="AE25" s="231">
        <v>1</v>
      </c>
      <c r="AF25" s="231" t="s">
        <v>239</v>
      </c>
      <c r="AG25" s="231">
        <v>1</v>
      </c>
      <c r="AH25" s="231" t="s">
        <v>239</v>
      </c>
      <c r="AI25" s="231">
        <v>1</v>
      </c>
      <c r="AJ25" s="231" t="s">
        <v>239</v>
      </c>
      <c r="AK25" s="231">
        <v>1</v>
      </c>
      <c r="AL25" s="231" t="s">
        <v>239</v>
      </c>
      <c r="AM25" s="231">
        <v>0</v>
      </c>
    </row>
    <row r="26" spans="1:39" ht="15.75" customHeight="1" outlineLevel="1">
      <c r="A26" s="412"/>
      <c r="B26" s="12">
        <v>129008</v>
      </c>
      <c r="C26" s="218" t="s">
        <v>1489</v>
      </c>
      <c r="D26" s="218" t="s">
        <v>1490</v>
      </c>
      <c r="E26" s="23" t="s">
        <v>44</v>
      </c>
      <c r="F26" s="17" t="s">
        <v>45</v>
      </c>
      <c r="G26" s="11" t="s">
        <v>1432</v>
      </c>
      <c r="H26" s="12">
        <v>26</v>
      </c>
      <c r="I26" s="11" t="s">
        <v>1433</v>
      </c>
      <c r="J26" s="192" t="s">
        <v>1463</v>
      </c>
      <c r="K26" s="17" t="s">
        <v>233</v>
      </c>
      <c r="L26" s="17" t="s">
        <v>233</v>
      </c>
      <c r="M26" s="231">
        <v>3553</v>
      </c>
      <c r="N26" s="232">
        <v>3509.8665799999999</v>
      </c>
      <c r="O26" s="132">
        <v>113</v>
      </c>
      <c r="P26" s="231" t="s">
        <v>239</v>
      </c>
      <c r="Q26" s="231">
        <v>100</v>
      </c>
      <c r="R26" s="231" t="s">
        <v>239</v>
      </c>
      <c r="S26" s="231">
        <v>256</v>
      </c>
      <c r="T26" s="231" t="s">
        <v>239</v>
      </c>
      <c r="U26" s="231">
        <v>15</v>
      </c>
      <c r="V26" s="231" t="s">
        <v>239</v>
      </c>
      <c r="W26" s="231">
        <v>282</v>
      </c>
      <c r="X26" s="231" t="s">
        <v>239</v>
      </c>
      <c r="Y26" s="231">
        <v>192</v>
      </c>
      <c r="Z26" s="231" t="s">
        <v>239</v>
      </c>
      <c r="AA26" s="231">
        <v>269</v>
      </c>
      <c r="AB26" s="231" t="s">
        <v>239</v>
      </c>
      <c r="AC26" s="231">
        <v>280</v>
      </c>
      <c r="AD26" s="231" t="s">
        <v>239</v>
      </c>
      <c r="AE26" s="231">
        <v>317</v>
      </c>
      <c r="AF26" s="231" t="s">
        <v>239</v>
      </c>
      <c r="AG26" s="231">
        <v>162</v>
      </c>
      <c r="AH26" s="231" t="s">
        <v>239</v>
      </c>
      <c r="AI26" s="231">
        <v>231</v>
      </c>
      <c r="AJ26" s="231" t="s">
        <v>239</v>
      </c>
      <c r="AK26" s="231">
        <v>885</v>
      </c>
      <c r="AL26" s="231" t="s">
        <v>239</v>
      </c>
      <c r="AM26" s="231">
        <v>3102</v>
      </c>
    </row>
    <row r="27" spans="1:39" ht="15.75" outlineLevel="1">
      <c r="A27" s="411">
        <v>9</v>
      </c>
      <c r="B27" s="12">
        <v>129009</v>
      </c>
      <c r="C27" s="218" t="s">
        <v>1489</v>
      </c>
      <c r="D27" s="218" t="s">
        <v>1490</v>
      </c>
      <c r="E27" s="23" t="s">
        <v>138</v>
      </c>
      <c r="F27" s="17" t="s">
        <v>45</v>
      </c>
      <c r="G27" s="11" t="s">
        <v>1432</v>
      </c>
      <c r="H27" s="12">
        <v>22</v>
      </c>
      <c r="I27" s="11" t="s">
        <v>1433</v>
      </c>
      <c r="J27" s="192" t="s">
        <v>1482</v>
      </c>
      <c r="K27" s="17" t="s">
        <v>233</v>
      </c>
      <c r="L27" s="17" t="s">
        <v>233</v>
      </c>
      <c r="M27" s="231">
        <v>28</v>
      </c>
      <c r="N27" s="232">
        <v>28</v>
      </c>
      <c r="O27" s="231">
        <v>28</v>
      </c>
      <c r="P27" s="231" t="s">
        <v>239</v>
      </c>
      <c r="Q27" s="231">
        <v>28</v>
      </c>
      <c r="R27" s="231" t="s">
        <v>239</v>
      </c>
      <c r="S27" s="231">
        <v>28</v>
      </c>
      <c r="T27" s="231" t="s">
        <v>239</v>
      </c>
      <c r="U27" s="231">
        <v>28</v>
      </c>
      <c r="V27" s="230" t="s">
        <v>239</v>
      </c>
      <c r="W27" s="231">
        <v>28</v>
      </c>
      <c r="X27" s="231" t="s">
        <v>239</v>
      </c>
      <c r="Y27" s="231">
        <v>28</v>
      </c>
      <c r="Z27" s="231" t="s">
        <v>239</v>
      </c>
      <c r="AA27" s="231">
        <v>28</v>
      </c>
      <c r="AB27" s="231" t="s">
        <v>239</v>
      </c>
      <c r="AC27" s="231">
        <v>28</v>
      </c>
      <c r="AD27" s="231" t="s">
        <v>239</v>
      </c>
      <c r="AE27" s="231">
        <v>28</v>
      </c>
      <c r="AF27" s="231" t="s">
        <v>239</v>
      </c>
      <c r="AG27" s="231">
        <v>28</v>
      </c>
      <c r="AH27" s="231" t="s">
        <v>239</v>
      </c>
      <c r="AI27" s="231">
        <v>28</v>
      </c>
      <c r="AJ27" s="231" t="s">
        <v>239</v>
      </c>
      <c r="AK27" s="231">
        <v>28</v>
      </c>
      <c r="AL27" s="231" t="s">
        <v>239</v>
      </c>
      <c r="AM27" s="231">
        <v>0</v>
      </c>
    </row>
    <row r="28" spans="1:39" ht="15.75" outlineLevel="1">
      <c r="A28" s="412"/>
      <c r="B28" s="12">
        <v>129009</v>
      </c>
      <c r="C28" s="218" t="s">
        <v>1489</v>
      </c>
      <c r="D28" s="218" t="s">
        <v>1490</v>
      </c>
      <c r="E28" s="23" t="s">
        <v>44</v>
      </c>
      <c r="F28" s="17" t="s">
        <v>45</v>
      </c>
      <c r="G28" s="11" t="s">
        <v>1432</v>
      </c>
      <c r="H28" s="12">
        <v>19</v>
      </c>
      <c r="I28" s="11" t="s">
        <v>1433</v>
      </c>
      <c r="J28" s="192" t="s">
        <v>1462</v>
      </c>
      <c r="K28" s="17" t="s">
        <v>233</v>
      </c>
      <c r="L28" s="17" t="s">
        <v>233</v>
      </c>
      <c r="M28" s="231">
        <v>14105</v>
      </c>
      <c r="N28" s="232">
        <v>13933.765299999999</v>
      </c>
      <c r="O28" s="132">
        <v>375</v>
      </c>
      <c r="P28" s="231" t="s">
        <v>239</v>
      </c>
      <c r="Q28" s="231">
        <v>145</v>
      </c>
      <c r="R28" s="231" t="s">
        <v>239</v>
      </c>
      <c r="S28" s="231">
        <v>216</v>
      </c>
      <c r="T28" s="231" t="s">
        <v>239</v>
      </c>
      <c r="U28" s="231">
        <v>449</v>
      </c>
      <c r="V28" s="231" t="s">
        <v>239</v>
      </c>
      <c r="W28" s="231">
        <v>372</v>
      </c>
      <c r="X28" s="231" t="s">
        <v>239</v>
      </c>
      <c r="Y28" s="231">
        <v>3844</v>
      </c>
      <c r="Z28" s="231" t="s">
        <v>239</v>
      </c>
      <c r="AA28" s="231">
        <v>403</v>
      </c>
      <c r="AB28" s="231" t="s">
        <v>239</v>
      </c>
      <c r="AC28" s="231">
        <v>305</v>
      </c>
      <c r="AD28" s="231" t="s">
        <v>239</v>
      </c>
      <c r="AE28" s="231">
        <v>158</v>
      </c>
      <c r="AF28" s="231" t="s">
        <v>239</v>
      </c>
      <c r="AG28" s="231">
        <v>162</v>
      </c>
      <c r="AH28" s="231" t="s">
        <v>239</v>
      </c>
      <c r="AI28" s="231">
        <v>206</v>
      </c>
      <c r="AJ28" s="231" t="s">
        <v>239</v>
      </c>
      <c r="AK28" s="231">
        <v>180</v>
      </c>
      <c r="AL28" s="231" t="s">
        <v>239</v>
      </c>
      <c r="AM28" s="231">
        <v>6815</v>
      </c>
    </row>
    <row r="29" spans="1:39" ht="15.75" outlineLevel="1">
      <c r="A29" s="411">
        <v>10</v>
      </c>
      <c r="B29" s="12">
        <v>129010</v>
      </c>
      <c r="C29" s="218" t="s">
        <v>1489</v>
      </c>
      <c r="D29" s="218" t="s">
        <v>1490</v>
      </c>
      <c r="E29" s="23" t="s">
        <v>138</v>
      </c>
      <c r="F29" s="17" t="s">
        <v>45</v>
      </c>
      <c r="G29" s="11" t="s">
        <v>1432</v>
      </c>
      <c r="H29" s="12">
        <v>10</v>
      </c>
      <c r="I29" s="11" t="s">
        <v>1433</v>
      </c>
      <c r="J29" s="192" t="s">
        <v>1457</v>
      </c>
      <c r="K29" s="17" t="s">
        <v>233</v>
      </c>
      <c r="L29" s="17" t="s">
        <v>233</v>
      </c>
      <c r="M29" s="231">
        <v>13</v>
      </c>
      <c r="N29" s="231">
        <v>13</v>
      </c>
      <c r="O29" s="231">
        <v>13</v>
      </c>
      <c r="P29" s="231" t="s">
        <v>239</v>
      </c>
      <c r="Q29" s="231">
        <v>13</v>
      </c>
      <c r="R29" s="231" t="s">
        <v>239</v>
      </c>
      <c r="S29" s="231">
        <v>13</v>
      </c>
      <c r="T29" s="231" t="s">
        <v>239</v>
      </c>
      <c r="U29" s="231">
        <v>13</v>
      </c>
      <c r="V29" s="231" t="s">
        <v>239</v>
      </c>
      <c r="W29" s="231">
        <v>13</v>
      </c>
      <c r="X29" s="231" t="s">
        <v>239</v>
      </c>
      <c r="Y29" s="231">
        <v>13</v>
      </c>
      <c r="Z29" s="231" t="s">
        <v>239</v>
      </c>
      <c r="AA29" s="231">
        <v>13</v>
      </c>
      <c r="AB29" s="231" t="s">
        <v>239</v>
      </c>
      <c r="AC29" s="231">
        <v>13</v>
      </c>
      <c r="AD29" s="231" t="s">
        <v>239</v>
      </c>
      <c r="AE29" s="231">
        <v>13</v>
      </c>
      <c r="AF29" s="231" t="s">
        <v>239</v>
      </c>
      <c r="AG29" s="231">
        <v>13</v>
      </c>
      <c r="AH29" s="231" t="s">
        <v>239</v>
      </c>
      <c r="AI29" s="231">
        <v>13</v>
      </c>
      <c r="AJ29" s="231" t="s">
        <v>239</v>
      </c>
      <c r="AK29" s="231">
        <v>13</v>
      </c>
      <c r="AL29" s="231" t="s">
        <v>239</v>
      </c>
      <c r="AM29" s="231">
        <v>0</v>
      </c>
    </row>
    <row r="30" spans="1:39" ht="15.75" outlineLevel="1">
      <c r="A30" s="412"/>
      <c r="B30" s="12">
        <v>129010</v>
      </c>
      <c r="C30" s="218" t="s">
        <v>1489</v>
      </c>
      <c r="D30" s="218" t="s">
        <v>1490</v>
      </c>
      <c r="E30" s="23" t="s">
        <v>44</v>
      </c>
      <c r="F30" s="17" t="s">
        <v>45</v>
      </c>
      <c r="G30" s="11" t="s">
        <v>1432</v>
      </c>
      <c r="H30" s="12">
        <v>26</v>
      </c>
      <c r="I30" s="11" t="s">
        <v>1433</v>
      </c>
      <c r="J30" s="192" t="s">
        <v>617</v>
      </c>
      <c r="K30" s="17" t="s">
        <v>233</v>
      </c>
      <c r="L30" s="17" t="s">
        <v>233</v>
      </c>
      <c r="M30" s="231">
        <v>3394</v>
      </c>
      <c r="N30" s="232">
        <v>3352.79684</v>
      </c>
      <c r="O30" s="132">
        <v>219</v>
      </c>
      <c r="P30" s="231" t="s">
        <v>239</v>
      </c>
      <c r="Q30" s="231">
        <v>41</v>
      </c>
      <c r="R30" s="231" t="s">
        <v>239</v>
      </c>
      <c r="S30" s="231">
        <v>18</v>
      </c>
      <c r="T30" s="231" t="s">
        <v>239</v>
      </c>
      <c r="U30" s="231">
        <v>30</v>
      </c>
      <c r="V30" s="231" t="s">
        <v>239</v>
      </c>
      <c r="W30" s="231">
        <v>11</v>
      </c>
      <c r="X30" s="231" t="s">
        <v>239</v>
      </c>
      <c r="Y30" s="231">
        <v>11</v>
      </c>
      <c r="Z30" s="231" t="s">
        <v>239</v>
      </c>
      <c r="AA30" s="231">
        <v>154</v>
      </c>
      <c r="AB30" s="231" t="s">
        <v>239</v>
      </c>
      <c r="AC30" s="231">
        <v>15</v>
      </c>
      <c r="AD30" s="231" t="s">
        <v>239</v>
      </c>
      <c r="AE30" s="231">
        <v>203</v>
      </c>
      <c r="AF30" s="231" t="s">
        <v>239</v>
      </c>
      <c r="AG30" s="231">
        <v>154</v>
      </c>
      <c r="AH30" s="231" t="s">
        <v>239</v>
      </c>
      <c r="AI30" s="231">
        <v>215</v>
      </c>
      <c r="AJ30" s="231" t="s">
        <v>239</v>
      </c>
      <c r="AK30" s="231">
        <v>234</v>
      </c>
      <c r="AL30" s="231" t="s">
        <v>239</v>
      </c>
      <c r="AM30" s="231">
        <v>1305</v>
      </c>
    </row>
    <row r="31" spans="1:39" ht="15.75" outlineLevel="1">
      <c r="A31" s="411">
        <v>11</v>
      </c>
      <c r="B31" s="12">
        <v>129011</v>
      </c>
      <c r="C31" s="218" t="s">
        <v>1489</v>
      </c>
      <c r="D31" s="218" t="s">
        <v>1490</v>
      </c>
      <c r="E31" s="23" t="s">
        <v>138</v>
      </c>
      <c r="F31" s="17" t="s">
        <v>45</v>
      </c>
      <c r="G31" s="11" t="s">
        <v>1432</v>
      </c>
      <c r="H31" s="12">
        <v>27</v>
      </c>
      <c r="I31" s="11" t="s">
        <v>1433</v>
      </c>
      <c r="J31" s="374" t="s">
        <v>1457</v>
      </c>
      <c r="K31" s="17" t="s">
        <v>233</v>
      </c>
      <c r="L31" s="17" t="s">
        <v>233</v>
      </c>
      <c r="M31" s="231">
        <v>17</v>
      </c>
      <c r="N31" s="232">
        <v>17</v>
      </c>
      <c r="O31" s="231">
        <v>17</v>
      </c>
      <c r="P31" s="231" t="s">
        <v>239</v>
      </c>
      <c r="Q31" s="231">
        <v>17</v>
      </c>
      <c r="R31" s="231" t="s">
        <v>239</v>
      </c>
      <c r="S31" s="231">
        <v>17</v>
      </c>
      <c r="T31" s="231" t="s">
        <v>239</v>
      </c>
      <c r="U31" s="231">
        <v>17</v>
      </c>
      <c r="V31" s="230" t="s">
        <v>239</v>
      </c>
      <c r="W31" s="231">
        <v>17</v>
      </c>
      <c r="X31" s="231" t="s">
        <v>239</v>
      </c>
      <c r="Y31" s="231">
        <v>17</v>
      </c>
      <c r="Z31" s="231" t="s">
        <v>239</v>
      </c>
      <c r="AA31" s="231">
        <v>17</v>
      </c>
      <c r="AB31" s="231" t="s">
        <v>239</v>
      </c>
      <c r="AC31" s="231">
        <v>17</v>
      </c>
      <c r="AD31" s="231" t="s">
        <v>239</v>
      </c>
      <c r="AE31" s="231">
        <v>17</v>
      </c>
      <c r="AF31" s="231" t="s">
        <v>239</v>
      </c>
      <c r="AG31" s="231">
        <v>17</v>
      </c>
      <c r="AH31" s="231" t="s">
        <v>239</v>
      </c>
      <c r="AI31" s="231">
        <v>17</v>
      </c>
      <c r="AJ31" s="231" t="s">
        <v>239</v>
      </c>
      <c r="AK31" s="231">
        <v>17</v>
      </c>
      <c r="AL31" s="231" t="s">
        <v>239</v>
      </c>
      <c r="AM31" s="231">
        <v>0</v>
      </c>
    </row>
    <row r="32" spans="1:39" ht="15.75" outlineLevel="1">
      <c r="A32" s="412"/>
      <c r="B32" s="12">
        <v>129011</v>
      </c>
      <c r="C32" s="218" t="s">
        <v>1489</v>
      </c>
      <c r="D32" s="218" t="s">
        <v>1490</v>
      </c>
      <c r="E32" s="23" t="s">
        <v>44</v>
      </c>
      <c r="F32" s="17" t="s">
        <v>45</v>
      </c>
      <c r="G32" s="11" t="s">
        <v>1432</v>
      </c>
      <c r="H32" s="12">
        <v>26</v>
      </c>
      <c r="I32" s="11" t="s">
        <v>1433</v>
      </c>
      <c r="J32" s="375"/>
      <c r="K32" s="17" t="s">
        <v>233</v>
      </c>
      <c r="L32" s="17" t="s">
        <v>233</v>
      </c>
      <c r="M32" s="231">
        <v>1867</v>
      </c>
      <c r="N32" s="232">
        <v>1844.3346199999999</v>
      </c>
      <c r="O32" s="132">
        <v>58</v>
      </c>
      <c r="P32" s="231" t="s">
        <v>239</v>
      </c>
      <c r="Q32" s="231">
        <v>91</v>
      </c>
      <c r="R32" s="231" t="s">
        <v>239</v>
      </c>
      <c r="S32" s="231">
        <v>185</v>
      </c>
      <c r="T32" s="231" t="s">
        <v>239</v>
      </c>
      <c r="U32" s="231">
        <v>16</v>
      </c>
      <c r="V32" s="231" t="s">
        <v>239</v>
      </c>
      <c r="W32" s="231">
        <v>83</v>
      </c>
      <c r="X32" s="231" t="s">
        <v>239</v>
      </c>
      <c r="Y32" s="231">
        <v>0</v>
      </c>
      <c r="Z32" s="231" t="s">
        <v>239</v>
      </c>
      <c r="AA32" s="231">
        <v>181</v>
      </c>
      <c r="AB32" s="231" t="s">
        <v>239</v>
      </c>
      <c r="AC32" s="231">
        <v>147</v>
      </c>
      <c r="AD32" s="231" t="s">
        <v>239</v>
      </c>
      <c r="AE32" s="231">
        <v>111</v>
      </c>
      <c r="AF32" s="231" t="s">
        <v>239</v>
      </c>
      <c r="AG32" s="231">
        <v>160</v>
      </c>
      <c r="AH32" s="231" t="s">
        <v>239</v>
      </c>
      <c r="AI32" s="231">
        <v>331</v>
      </c>
      <c r="AJ32" s="231" t="s">
        <v>239</v>
      </c>
      <c r="AK32" s="231">
        <v>489</v>
      </c>
      <c r="AL32" s="231" t="s">
        <v>239</v>
      </c>
      <c r="AM32" s="231">
        <v>1852</v>
      </c>
    </row>
    <row r="33" spans="1:39" ht="15.75" outlineLevel="1">
      <c r="A33" s="411">
        <v>12</v>
      </c>
      <c r="B33" s="12">
        <v>129012</v>
      </c>
      <c r="C33" s="218" t="s">
        <v>1489</v>
      </c>
      <c r="D33" s="218" t="s">
        <v>1490</v>
      </c>
      <c r="E33" s="23" t="s">
        <v>138</v>
      </c>
      <c r="F33" s="17" t="s">
        <v>45</v>
      </c>
      <c r="G33" s="11" t="s">
        <v>1432</v>
      </c>
      <c r="H33" s="12">
        <v>24</v>
      </c>
      <c r="I33" s="11" t="s">
        <v>1433</v>
      </c>
      <c r="J33" s="193" t="s">
        <v>1460</v>
      </c>
      <c r="K33" s="17" t="s">
        <v>233</v>
      </c>
      <c r="L33" s="17" t="s">
        <v>233</v>
      </c>
      <c r="M33" s="231">
        <v>1</v>
      </c>
      <c r="N33" s="232">
        <v>1</v>
      </c>
      <c r="O33" s="132">
        <v>1</v>
      </c>
      <c r="P33" s="231" t="s">
        <v>239</v>
      </c>
      <c r="Q33" s="132">
        <v>1</v>
      </c>
      <c r="R33" s="231" t="s">
        <v>239</v>
      </c>
      <c r="S33" s="132">
        <v>1</v>
      </c>
      <c r="T33" s="231" t="s">
        <v>239</v>
      </c>
      <c r="U33" s="132">
        <v>1</v>
      </c>
      <c r="V33" s="231" t="s">
        <v>239</v>
      </c>
      <c r="W33" s="132">
        <v>1</v>
      </c>
      <c r="X33" s="231" t="s">
        <v>239</v>
      </c>
      <c r="Y33" s="132">
        <v>1</v>
      </c>
      <c r="Z33" s="231" t="s">
        <v>239</v>
      </c>
      <c r="AA33" s="132">
        <v>1</v>
      </c>
      <c r="AB33" s="231" t="s">
        <v>239</v>
      </c>
      <c r="AC33" s="132">
        <v>1</v>
      </c>
      <c r="AD33" s="231" t="s">
        <v>239</v>
      </c>
      <c r="AE33" s="132">
        <v>1</v>
      </c>
      <c r="AF33" s="231" t="s">
        <v>239</v>
      </c>
      <c r="AG33" s="132">
        <v>1</v>
      </c>
      <c r="AH33" s="231" t="s">
        <v>239</v>
      </c>
      <c r="AI33" s="132">
        <v>1</v>
      </c>
      <c r="AJ33" s="231" t="s">
        <v>239</v>
      </c>
      <c r="AK33" s="132">
        <v>1</v>
      </c>
      <c r="AL33" s="231" t="s">
        <v>239</v>
      </c>
      <c r="AM33" s="231">
        <v>0</v>
      </c>
    </row>
    <row r="34" spans="1:39" ht="15.75" outlineLevel="1">
      <c r="A34" s="412"/>
      <c r="B34" s="12">
        <v>129012</v>
      </c>
      <c r="C34" s="218" t="s">
        <v>1489</v>
      </c>
      <c r="D34" s="218" t="s">
        <v>1490</v>
      </c>
      <c r="E34" s="23" t="s">
        <v>44</v>
      </c>
      <c r="F34" s="17" t="s">
        <v>45</v>
      </c>
      <c r="G34" s="11" t="s">
        <v>1432</v>
      </c>
      <c r="H34" s="12">
        <v>27</v>
      </c>
      <c r="I34" s="11" t="s">
        <v>1433</v>
      </c>
      <c r="J34" s="193" t="s">
        <v>1442</v>
      </c>
      <c r="K34" s="17" t="s">
        <v>233</v>
      </c>
      <c r="L34" s="17" t="s">
        <v>233</v>
      </c>
      <c r="M34" s="231">
        <v>7578</v>
      </c>
      <c r="N34" s="232">
        <v>7486.0030799999995</v>
      </c>
      <c r="O34" s="132">
        <v>72</v>
      </c>
      <c r="P34" s="231" t="s">
        <v>239</v>
      </c>
      <c r="Q34" s="231">
        <v>444</v>
      </c>
      <c r="R34" s="231" t="s">
        <v>239</v>
      </c>
      <c r="S34" s="231">
        <v>665</v>
      </c>
      <c r="T34" s="231" t="s">
        <v>239</v>
      </c>
      <c r="U34" s="231">
        <v>621</v>
      </c>
      <c r="V34" s="231" t="s">
        <v>239</v>
      </c>
      <c r="W34" s="231">
        <v>555</v>
      </c>
      <c r="X34" s="231" t="s">
        <v>239</v>
      </c>
      <c r="Y34" s="231">
        <v>2752</v>
      </c>
      <c r="Z34" s="231" t="s">
        <v>239</v>
      </c>
      <c r="AA34" s="231">
        <v>261</v>
      </c>
      <c r="AB34" s="231" t="s">
        <v>239</v>
      </c>
      <c r="AC34" s="231">
        <v>205</v>
      </c>
      <c r="AD34" s="231" t="s">
        <v>239</v>
      </c>
      <c r="AE34" s="231">
        <v>315</v>
      </c>
      <c r="AF34" s="231" t="s">
        <v>239</v>
      </c>
      <c r="AG34" s="231">
        <v>162</v>
      </c>
      <c r="AH34" s="231" t="s">
        <v>239</v>
      </c>
      <c r="AI34" s="231">
        <v>1246</v>
      </c>
      <c r="AJ34" s="231" t="s">
        <v>239</v>
      </c>
      <c r="AK34" s="231">
        <v>915</v>
      </c>
      <c r="AL34" s="231" t="s">
        <v>239</v>
      </c>
      <c r="AM34" s="231">
        <v>8213</v>
      </c>
    </row>
    <row r="35" spans="1:39" ht="15.75" outlineLevel="1">
      <c r="A35" s="411">
        <v>13</v>
      </c>
      <c r="B35" s="12">
        <v>129013</v>
      </c>
      <c r="C35" s="218" t="s">
        <v>1489</v>
      </c>
      <c r="D35" s="218" t="s">
        <v>1490</v>
      </c>
      <c r="E35" s="23" t="s">
        <v>138</v>
      </c>
      <c r="F35" s="17" t="s">
        <v>45</v>
      </c>
      <c r="G35" s="11" t="s">
        <v>1432</v>
      </c>
      <c r="H35" s="12">
        <v>24</v>
      </c>
      <c r="I35" s="11" t="s">
        <v>1433</v>
      </c>
      <c r="J35" s="193" t="s">
        <v>1460</v>
      </c>
      <c r="K35" s="17" t="s">
        <v>233</v>
      </c>
      <c r="L35" s="17" t="s">
        <v>233</v>
      </c>
      <c r="M35" s="231">
        <v>1</v>
      </c>
      <c r="N35" s="232">
        <v>1</v>
      </c>
      <c r="O35" s="132">
        <v>1</v>
      </c>
      <c r="P35" s="231" t="s">
        <v>239</v>
      </c>
      <c r="Q35" s="232">
        <v>1</v>
      </c>
      <c r="R35" s="231" t="s">
        <v>239</v>
      </c>
      <c r="S35" s="231">
        <v>1</v>
      </c>
      <c r="T35" s="231" t="s">
        <v>239</v>
      </c>
      <c r="U35" s="132">
        <v>1</v>
      </c>
      <c r="V35" s="230" t="s">
        <v>239</v>
      </c>
      <c r="W35" s="232">
        <v>1</v>
      </c>
      <c r="X35" s="231" t="s">
        <v>239</v>
      </c>
      <c r="Y35" s="231">
        <v>1</v>
      </c>
      <c r="Z35" s="231" t="s">
        <v>239</v>
      </c>
      <c r="AA35" s="132">
        <v>1</v>
      </c>
      <c r="AB35" s="231" t="s">
        <v>239</v>
      </c>
      <c r="AC35" s="232">
        <v>1</v>
      </c>
      <c r="AD35" s="231" t="s">
        <v>239</v>
      </c>
      <c r="AE35" s="231">
        <v>1</v>
      </c>
      <c r="AF35" s="231" t="s">
        <v>239</v>
      </c>
      <c r="AG35" s="132">
        <v>1</v>
      </c>
      <c r="AH35" s="231" t="s">
        <v>239</v>
      </c>
      <c r="AI35" s="232">
        <v>1</v>
      </c>
      <c r="AJ35" s="231" t="s">
        <v>239</v>
      </c>
      <c r="AK35" s="231">
        <v>1</v>
      </c>
      <c r="AL35" s="231" t="s">
        <v>239</v>
      </c>
      <c r="AM35" s="231">
        <v>0</v>
      </c>
    </row>
    <row r="36" spans="1:39" ht="15.75" outlineLevel="1">
      <c r="A36" s="412"/>
      <c r="B36" s="12">
        <v>129013</v>
      </c>
      <c r="C36" s="218" t="s">
        <v>1489</v>
      </c>
      <c r="D36" s="218" t="s">
        <v>1490</v>
      </c>
      <c r="E36" s="23" t="s">
        <v>44</v>
      </c>
      <c r="F36" s="17" t="s">
        <v>45</v>
      </c>
      <c r="G36" s="11" t="s">
        <v>1432</v>
      </c>
      <c r="H36" s="12">
        <v>16</v>
      </c>
      <c r="I36" s="11" t="s">
        <v>1433</v>
      </c>
      <c r="J36" s="193" t="s">
        <v>1457</v>
      </c>
      <c r="K36" s="17" t="s">
        <v>233</v>
      </c>
      <c r="L36" s="17" t="s">
        <v>233</v>
      </c>
      <c r="M36" s="231">
        <v>0</v>
      </c>
      <c r="N36" s="232">
        <v>0</v>
      </c>
      <c r="O36" s="132">
        <v>0</v>
      </c>
      <c r="P36" s="231" t="s">
        <v>239</v>
      </c>
      <c r="Q36" s="231">
        <v>0</v>
      </c>
      <c r="R36" s="231" t="s">
        <v>239</v>
      </c>
      <c r="S36" s="231">
        <v>0</v>
      </c>
      <c r="T36" s="231" t="s">
        <v>239</v>
      </c>
      <c r="U36" s="231">
        <v>0</v>
      </c>
      <c r="V36" s="231" t="s">
        <v>239</v>
      </c>
      <c r="W36" s="231">
        <v>0</v>
      </c>
      <c r="X36" s="231" t="s">
        <v>239</v>
      </c>
      <c r="Y36" s="231">
        <v>0</v>
      </c>
      <c r="Z36" s="231" t="s">
        <v>239</v>
      </c>
      <c r="AA36" s="231">
        <v>0</v>
      </c>
      <c r="AB36" s="231" t="s">
        <v>239</v>
      </c>
      <c r="AC36" s="231">
        <v>0</v>
      </c>
      <c r="AD36" s="231" t="s">
        <v>239</v>
      </c>
      <c r="AE36" s="231">
        <v>0</v>
      </c>
      <c r="AF36" s="231" t="s">
        <v>239</v>
      </c>
      <c r="AG36" s="231">
        <v>0</v>
      </c>
      <c r="AH36" s="231" t="s">
        <v>239</v>
      </c>
      <c r="AI36" s="231">
        <v>0</v>
      </c>
      <c r="AJ36" s="231" t="s">
        <v>239</v>
      </c>
      <c r="AK36" s="231">
        <v>0</v>
      </c>
      <c r="AL36" s="231" t="s">
        <v>239</v>
      </c>
      <c r="AM36" s="231">
        <v>0</v>
      </c>
    </row>
    <row r="37" spans="1:39" ht="15.75" outlineLevel="1">
      <c r="A37" s="411">
        <v>14</v>
      </c>
      <c r="B37" s="12">
        <v>129014</v>
      </c>
      <c r="C37" s="218" t="s">
        <v>1489</v>
      </c>
      <c r="D37" s="218" t="s">
        <v>1490</v>
      </c>
      <c r="E37" s="23" t="s">
        <v>138</v>
      </c>
      <c r="F37" s="17" t="s">
        <v>45</v>
      </c>
      <c r="G37" s="11" t="s">
        <v>1432</v>
      </c>
      <c r="H37" s="12">
        <v>14</v>
      </c>
      <c r="I37" s="11" t="s">
        <v>1433</v>
      </c>
      <c r="J37" s="193" t="s">
        <v>617</v>
      </c>
      <c r="K37" s="17" t="s">
        <v>233</v>
      </c>
      <c r="L37" s="17" t="s">
        <v>233</v>
      </c>
      <c r="M37" s="231">
        <v>20</v>
      </c>
      <c r="N37" s="232">
        <v>20</v>
      </c>
      <c r="O37" s="132">
        <v>20</v>
      </c>
      <c r="P37" s="231" t="s">
        <v>239</v>
      </c>
      <c r="Q37" s="232">
        <v>20</v>
      </c>
      <c r="R37" s="231" t="s">
        <v>239</v>
      </c>
      <c r="S37" s="231">
        <v>20</v>
      </c>
      <c r="T37" s="231" t="s">
        <v>239</v>
      </c>
      <c r="U37" s="132">
        <v>20</v>
      </c>
      <c r="V37" s="231" t="s">
        <v>239</v>
      </c>
      <c r="W37" s="232">
        <v>20</v>
      </c>
      <c r="X37" s="231" t="s">
        <v>239</v>
      </c>
      <c r="Y37" s="231">
        <v>20</v>
      </c>
      <c r="Z37" s="231" t="s">
        <v>239</v>
      </c>
      <c r="AA37" s="132">
        <v>20</v>
      </c>
      <c r="AB37" s="231" t="s">
        <v>239</v>
      </c>
      <c r="AC37" s="232">
        <v>20</v>
      </c>
      <c r="AD37" s="231" t="s">
        <v>239</v>
      </c>
      <c r="AE37" s="231">
        <v>20</v>
      </c>
      <c r="AF37" s="231" t="s">
        <v>239</v>
      </c>
      <c r="AG37" s="132">
        <v>20</v>
      </c>
      <c r="AH37" s="231" t="s">
        <v>239</v>
      </c>
      <c r="AI37" s="232">
        <v>20</v>
      </c>
      <c r="AJ37" s="231" t="s">
        <v>239</v>
      </c>
      <c r="AK37" s="231">
        <v>20</v>
      </c>
      <c r="AL37" s="231" t="s">
        <v>239</v>
      </c>
      <c r="AM37" s="231">
        <v>0</v>
      </c>
    </row>
    <row r="38" spans="1:39" ht="15.75" outlineLevel="1">
      <c r="A38" s="412"/>
      <c r="B38" s="12">
        <v>129014</v>
      </c>
      <c r="C38" s="218" t="s">
        <v>1489</v>
      </c>
      <c r="D38" s="218" t="s">
        <v>1490</v>
      </c>
      <c r="E38" s="23" t="s">
        <v>44</v>
      </c>
      <c r="F38" s="17" t="s">
        <v>45</v>
      </c>
      <c r="G38" s="11" t="s">
        <v>1432</v>
      </c>
      <c r="H38" s="12">
        <v>22</v>
      </c>
      <c r="I38" s="11" t="s">
        <v>1433</v>
      </c>
      <c r="J38" s="193" t="s">
        <v>216</v>
      </c>
      <c r="K38" s="17" t="s">
        <v>233</v>
      </c>
      <c r="L38" s="17" t="s">
        <v>233</v>
      </c>
      <c r="M38" s="231">
        <v>7773</v>
      </c>
      <c r="N38" s="232">
        <v>7678.6357799999996</v>
      </c>
      <c r="O38" s="132">
        <v>600</v>
      </c>
      <c r="P38" s="231" t="s">
        <v>239</v>
      </c>
      <c r="Q38" s="231">
        <v>1453</v>
      </c>
      <c r="R38" s="231" t="s">
        <v>239</v>
      </c>
      <c r="S38" s="231">
        <v>607</v>
      </c>
      <c r="T38" s="231" t="s">
        <v>239</v>
      </c>
      <c r="U38" s="231">
        <v>674</v>
      </c>
      <c r="V38" s="231" t="s">
        <v>239</v>
      </c>
      <c r="W38" s="231">
        <v>550</v>
      </c>
      <c r="X38" s="231" t="s">
        <v>239</v>
      </c>
      <c r="Y38" s="231">
        <v>572</v>
      </c>
      <c r="Z38" s="231" t="s">
        <v>239</v>
      </c>
      <c r="AA38" s="231">
        <v>504</v>
      </c>
      <c r="AB38" s="231" t="s">
        <v>239</v>
      </c>
      <c r="AC38" s="231">
        <v>453</v>
      </c>
      <c r="AD38" s="231" t="s">
        <v>239</v>
      </c>
      <c r="AE38" s="231">
        <v>2</v>
      </c>
      <c r="AF38" s="231" t="s">
        <v>239</v>
      </c>
      <c r="AG38" s="231">
        <v>153</v>
      </c>
      <c r="AH38" s="231" t="s">
        <v>239</v>
      </c>
      <c r="AI38" s="231">
        <v>1710</v>
      </c>
      <c r="AJ38" s="231" t="s">
        <v>239</v>
      </c>
      <c r="AK38" s="231">
        <v>921</v>
      </c>
      <c r="AL38" s="231" t="s">
        <v>239</v>
      </c>
      <c r="AM38" s="231">
        <v>8199</v>
      </c>
    </row>
    <row r="39" spans="1:39" ht="15.75" outlineLevel="1">
      <c r="A39" s="411">
        <v>15</v>
      </c>
      <c r="B39" s="12">
        <v>129015</v>
      </c>
      <c r="C39" s="218" t="s">
        <v>1489</v>
      </c>
      <c r="D39" s="218" t="s">
        <v>1490</v>
      </c>
      <c r="E39" s="23" t="s">
        <v>138</v>
      </c>
      <c r="F39" s="17" t="s">
        <v>45</v>
      </c>
      <c r="G39" s="11" t="s">
        <v>1432</v>
      </c>
      <c r="H39" s="12">
        <v>15</v>
      </c>
      <c r="I39" s="11" t="s">
        <v>1433</v>
      </c>
      <c r="J39" s="191" t="s">
        <v>216</v>
      </c>
      <c r="K39" s="17" t="s">
        <v>233</v>
      </c>
      <c r="L39" s="17" t="s">
        <v>233</v>
      </c>
      <c r="M39" s="231">
        <v>0.73</v>
      </c>
      <c r="N39" s="234">
        <v>0.73</v>
      </c>
      <c r="O39" s="132">
        <v>0.73</v>
      </c>
      <c r="P39" s="231" t="s">
        <v>239</v>
      </c>
      <c r="Q39" s="231">
        <v>0.73</v>
      </c>
      <c r="R39" s="231" t="s">
        <v>239</v>
      </c>
      <c r="S39" s="231">
        <v>0.73</v>
      </c>
      <c r="T39" s="231" t="s">
        <v>239</v>
      </c>
      <c r="U39" s="231">
        <v>0.73</v>
      </c>
      <c r="V39" s="230" t="s">
        <v>239</v>
      </c>
      <c r="W39" s="231">
        <v>0.73</v>
      </c>
      <c r="X39" s="231" t="s">
        <v>239</v>
      </c>
      <c r="Y39" s="231">
        <v>0.73</v>
      </c>
      <c r="Z39" s="231" t="s">
        <v>239</v>
      </c>
      <c r="AA39" s="231">
        <v>0.73</v>
      </c>
      <c r="AB39" s="231" t="s">
        <v>239</v>
      </c>
      <c r="AC39" s="231">
        <v>0.73</v>
      </c>
      <c r="AD39" s="231" t="s">
        <v>239</v>
      </c>
      <c r="AE39" s="231">
        <v>0.73</v>
      </c>
      <c r="AF39" s="231" t="s">
        <v>239</v>
      </c>
      <c r="AG39" s="231">
        <v>0.73</v>
      </c>
      <c r="AH39" s="231" t="s">
        <v>239</v>
      </c>
      <c r="AI39" s="231">
        <v>0.73</v>
      </c>
      <c r="AJ39" s="231" t="s">
        <v>239</v>
      </c>
      <c r="AK39" s="231">
        <v>0.73</v>
      </c>
      <c r="AL39" s="231" t="s">
        <v>239</v>
      </c>
      <c r="AM39" s="231">
        <v>0</v>
      </c>
    </row>
    <row r="40" spans="1:39" ht="15.75" outlineLevel="1">
      <c r="A40" s="412"/>
      <c r="B40" s="12">
        <v>129015</v>
      </c>
      <c r="C40" s="218" t="s">
        <v>1489</v>
      </c>
      <c r="D40" s="218" t="s">
        <v>1490</v>
      </c>
      <c r="E40" s="23" t="s">
        <v>44</v>
      </c>
      <c r="F40" s="17" t="s">
        <v>45</v>
      </c>
      <c r="G40" s="11" t="s">
        <v>1432</v>
      </c>
      <c r="H40" s="12">
        <v>9</v>
      </c>
      <c r="I40" s="11" t="s">
        <v>1433</v>
      </c>
      <c r="J40" s="192" t="s">
        <v>1434</v>
      </c>
      <c r="K40" s="17" t="s">
        <v>233</v>
      </c>
      <c r="L40" s="17" t="s">
        <v>233</v>
      </c>
      <c r="M40" s="231">
        <v>10433</v>
      </c>
      <c r="N40" s="232">
        <v>10306.34338</v>
      </c>
      <c r="O40" s="132">
        <v>311</v>
      </c>
      <c r="P40" s="231" t="s">
        <v>239</v>
      </c>
      <c r="Q40" s="231">
        <v>8</v>
      </c>
      <c r="R40" s="231" t="s">
        <v>239</v>
      </c>
      <c r="S40" s="231">
        <v>33</v>
      </c>
      <c r="T40" s="231" t="s">
        <v>239</v>
      </c>
      <c r="U40" s="231">
        <v>36</v>
      </c>
      <c r="V40" s="231" t="s">
        <v>239</v>
      </c>
      <c r="W40" s="231">
        <v>440</v>
      </c>
      <c r="X40" s="231" t="s">
        <v>239</v>
      </c>
      <c r="Y40" s="231">
        <v>460</v>
      </c>
      <c r="Z40" s="231" t="s">
        <v>239</v>
      </c>
      <c r="AA40" s="231">
        <v>654</v>
      </c>
      <c r="AB40" s="231" t="s">
        <v>239</v>
      </c>
      <c r="AC40" s="231">
        <v>397</v>
      </c>
      <c r="AD40" s="231" t="s">
        <v>239</v>
      </c>
      <c r="AE40" s="231">
        <v>457</v>
      </c>
      <c r="AF40" s="231" t="s">
        <v>239</v>
      </c>
      <c r="AG40" s="231">
        <v>157</v>
      </c>
      <c r="AH40" s="231" t="s">
        <v>239</v>
      </c>
      <c r="AI40" s="231">
        <v>838</v>
      </c>
      <c r="AJ40" s="231" t="s">
        <v>239</v>
      </c>
      <c r="AK40" s="231">
        <v>498</v>
      </c>
      <c r="AL40" s="231" t="s">
        <v>239</v>
      </c>
      <c r="AM40" s="231">
        <v>4289</v>
      </c>
    </row>
    <row r="41" spans="1:39" ht="15.75" outlineLevel="1">
      <c r="A41" s="411">
        <v>16</v>
      </c>
      <c r="B41" s="12">
        <v>129016</v>
      </c>
      <c r="C41" s="218" t="s">
        <v>1489</v>
      </c>
      <c r="D41" s="218" t="s">
        <v>1490</v>
      </c>
      <c r="E41" s="23" t="s">
        <v>138</v>
      </c>
      <c r="F41" s="17" t="s">
        <v>45</v>
      </c>
      <c r="G41" s="11" t="s">
        <v>1432</v>
      </c>
      <c r="H41" s="12">
        <v>8</v>
      </c>
      <c r="I41" s="11" t="s">
        <v>1433</v>
      </c>
      <c r="J41" s="192" t="s">
        <v>1480</v>
      </c>
      <c r="K41" s="17" t="s">
        <v>233</v>
      </c>
      <c r="L41" s="17" t="s">
        <v>233</v>
      </c>
      <c r="M41" s="231">
        <v>1.8</v>
      </c>
      <c r="N41" s="234">
        <v>1.8</v>
      </c>
      <c r="O41" s="132">
        <v>1.8</v>
      </c>
      <c r="P41" s="231" t="s">
        <v>239</v>
      </c>
      <c r="Q41" s="231">
        <v>1.8</v>
      </c>
      <c r="R41" s="231" t="s">
        <v>239</v>
      </c>
      <c r="S41" s="231">
        <v>1.8</v>
      </c>
      <c r="T41" s="231" t="s">
        <v>239</v>
      </c>
      <c r="U41" s="231">
        <v>1.8</v>
      </c>
      <c r="V41" s="231" t="s">
        <v>239</v>
      </c>
      <c r="W41" s="132">
        <v>1.8</v>
      </c>
      <c r="X41" s="231" t="s">
        <v>239</v>
      </c>
      <c r="Y41" s="231">
        <v>1.8</v>
      </c>
      <c r="Z41" s="231" t="s">
        <v>239</v>
      </c>
      <c r="AA41" s="231">
        <v>1.8</v>
      </c>
      <c r="AB41" s="231" t="s">
        <v>239</v>
      </c>
      <c r="AC41" s="231">
        <v>1.8</v>
      </c>
      <c r="AD41" s="231" t="s">
        <v>239</v>
      </c>
      <c r="AE41" s="132">
        <v>1.8</v>
      </c>
      <c r="AF41" s="231" t="s">
        <v>239</v>
      </c>
      <c r="AG41" s="231">
        <v>1.8</v>
      </c>
      <c r="AH41" s="231" t="s">
        <v>239</v>
      </c>
      <c r="AI41" s="231">
        <v>1.8</v>
      </c>
      <c r="AJ41" s="231" t="s">
        <v>239</v>
      </c>
      <c r="AK41" s="231">
        <v>1.8</v>
      </c>
      <c r="AL41" s="231" t="s">
        <v>239</v>
      </c>
      <c r="AM41" s="231">
        <v>0</v>
      </c>
    </row>
    <row r="42" spans="1:39" ht="15.75" outlineLevel="1">
      <c r="A42" s="412"/>
      <c r="B42" s="12">
        <v>129016</v>
      </c>
      <c r="C42" s="218" t="s">
        <v>1489</v>
      </c>
      <c r="D42" s="218" t="s">
        <v>1490</v>
      </c>
      <c r="E42" s="23" t="s">
        <v>44</v>
      </c>
      <c r="F42" s="17" t="s">
        <v>45</v>
      </c>
      <c r="G42" s="11" t="s">
        <v>1432</v>
      </c>
      <c r="H42" s="12">
        <v>20</v>
      </c>
      <c r="I42" s="11" t="s">
        <v>1433</v>
      </c>
      <c r="J42" s="192" t="s">
        <v>1452</v>
      </c>
      <c r="K42" s="17" t="s">
        <v>233</v>
      </c>
      <c r="L42" s="17" t="s">
        <v>233</v>
      </c>
      <c r="M42" s="231">
        <v>6883</v>
      </c>
      <c r="N42" s="232">
        <v>6799.44038</v>
      </c>
      <c r="O42" s="132">
        <v>330</v>
      </c>
      <c r="P42" s="231" t="s">
        <v>239</v>
      </c>
      <c r="Q42" s="231">
        <v>73</v>
      </c>
      <c r="R42" s="231" t="s">
        <v>239</v>
      </c>
      <c r="S42" s="231">
        <v>126</v>
      </c>
      <c r="T42" s="231" t="s">
        <v>239</v>
      </c>
      <c r="U42" s="231">
        <v>33</v>
      </c>
      <c r="V42" s="231" t="s">
        <v>239</v>
      </c>
      <c r="W42" s="231">
        <v>512</v>
      </c>
      <c r="X42" s="231" t="s">
        <v>239</v>
      </c>
      <c r="Y42" s="231">
        <v>664</v>
      </c>
      <c r="Z42" s="231" t="s">
        <v>239</v>
      </c>
      <c r="AA42" s="231">
        <v>154</v>
      </c>
      <c r="AB42" s="231" t="s">
        <v>239</v>
      </c>
      <c r="AC42" s="231">
        <v>0</v>
      </c>
      <c r="AD42" s="231" t="s">
        <v>239</v>
      </c>
      <c r="AE42" s="231">
        <v>139</v>
      </c>
      <c r="AF42" s="231" t="s">
        <v>239</v>
      </c>
      <c r="AG42" s="231">
        <v>159</v>
      </c>
      <c r="AH42" s="231" t="s">
        <v>239</v>
      </c>
      <c r="AI42" s="231">
        <v>714</v>
      </c>
      <c r="AJ42" s="231" t="s">
        <v>239</v>
      </c>
      <c r="AK42" s="231">
        <v>786</v>
      </c>
      <c r="AL42" s="231" t="s">
        <v>239</v>
      </c>
      <c r="AM42" s="231">
        <v>3690</v>
      </c>
    </row>
    <row r="43" spans="1:39" ht="15.75" outlineLevel="1">
      <c r="A43" s="411">
        <v>17</v>
      </c>
      <c r="B43" s="12">
        <v>129017</v>
      </c>
      <c r="C43" s="218" t="s">
        <v>1489</v>
      </c>
      <c r="D43" s="218" t="s">
        <v>1490</v>
      </c>
      <c r="E43" s="23" t="s">
        <v>138</v>
      </c>
      <c r="F43" s="17" t="s">
        <v>45</v>
      </c>
      <c r="G43" s="11" t="s">
        <v>1432</v>
      </c>
      <c r="H43" s="12">
        <v>12</v>
      </c>
      <c r="I43" s="11" t="s">
        <v>1433</v>
      </c>
      <c r="J43" s="374" t="s">
        <v>207</v>
      </c>
      <c r="K43" s="17" t="s">
        <v>233</v>
      </c>
      <c r="L43" s="17" t="s">
        <v>233</v>
      </c>
      <c r="M43" s="231">
        <v>13</v>
      </c>
      <c r="N43" s="232">
        <v>13</v>
      </c>
      <c r="O43" s="231">
        <v>13</v>
      </c>
      <c r="P43" s="231" t="s">
        <v>239</v>
      </c>
      <c r="Q43" s="231">
        <v>13</v>
      </c>
      <c r="R43" s="231" t="s">
        <v>239</v>
      </c>
      <c r="S43" s="231">
        <v>13</v>
      </c>
      <c r="T43" s="231" t="s">
        <v>239</v>
      </c>
      <c r="U43" s="231">
        <v>13</v>
      </c>
      <c r="V43" s="230" t="s">
        <v>239</v>
      </c>
      <c r="W43" s="231">
        <v>13</v>
      </c>
      <c r="X43" s="231" t="s">
        <v>239</v>
      </c>
      <c r="Y43" s="231">
        <v>13</v>
      </c>
      <c r="Z43" s="231" t="s">
        <v>239</v>
      </c>
      <c r="AA43" s="231">
        <v>13</v>
      </c>
      <c r="AB43" s="231" t="s">
        <v>239</v>
      </c>
      <c r="AC43" s="231">
        <v>13</v>
      </c>
      <c r="AD43" s="231" t="s">
        <v>239</v>
      </c>
      <c r="AE43" s="231">
        <v>13</v>
      </c>
      <c r="AF43" s="231" t="s">
        <v>239</v>
      </c>
      <c r="AG43" s="231">
        <v>13</v>
      </c>
      <c r="AH43" s="231" t="s">
        <v>239</v>
      </c>
      <c r="AI43" s="231">
        <v>13</v>
      </c>
      <c r="AJ43" s="231" t="s">
        <v>239</v>
      </c>
      <c r="AK43" s="231">
        <v>13</v>
      </c>
      <c r="AL43" s="231" t="s">
        <v>239</v>
      </c>
      <c r="AM43" s="231">
        <v>0</v>
      </c>
    </row>
    <row r="44" spans="1:39" ht="15.75" outlineLevel="1">
      <c r="A44" s="412"/>
      <c r="B44" s="12">
        <v>129017</v>
      </c>
      <c r="C44" s="218" t="s">
        <v>1489</v>
      </c>
      <c r="D44" s="218" t="s">
        <v>1490</v>
      </c>
      <c r="E44" s="23" t="s">
        <v>44</v>
      </c>
      <c r="F44" s="17" t="s">
        <v>45</v>
      </c>
      <c r="G44" s="11" t="s">
        <v>1432</v>
      </c>
      <c r="H44" s="12">
        <v>6</v>
      </c>
      <c r="I44" s="11" t="s">
        <v>1433</v>
      </c>
      <c r="J44" s="375"/>
      <c r="K44" s="17" t="s">
        <v>233</v>
      </c>
      <c r="L44" s="17" t="s">
        <v>233</v>
      </c>
      <c r="M44" s="231">
        <v>27234</v>
      </c>
      <c r="N44" s="232">
        <v>26903.379239999998</v>
      </c>
      <c r="O44" s="132">
        <v>144</v>
      </c>
      <c r="P44" s="231" t="s">
        <v>239</v>
      </c>
      <c r="Q44" s="231">
        <v>134</v>
      </c>
      <c r="R44" s="231" t="s">
        <v>239</v>
      </c>
      <c r="S44" s="231">
        <v>266</v>
      </c>
      <c r="T44" s="231" t="s">
        <v>239</v>
      </c>
      <c r="U44" s="231">
        <v>302</v>
      </c>
      <c r="V44" s="231" t="s">
        <v>239</v>
      </c>
      <c r="W44" s="231">
        <v>316</v>
      </c>
      <c r="X44" s="231" t="s">
        <v>239</v>
      </c>
      <c r="Y44" s="231">
        <v>294</v>
      </c>
      <c r="Z44" s="231" t="s">
        <v>239</v>
      </c>
      <c r="AA44" s="231">
        <v>294</v>
      </c>
      <c r="AB44" s="231" t="s">
        <v>239</v>
      </c>
      <c r="AC44" s="231">
        <v>267</v>
      </c>
      <c r="AD44" s="231" t="s">
        <v>239</v>
      </c>
      <c r="AE44" s="231">
        <v>294</v>
      </c>
      <c r="AF44" s="231" t="s">
        <v>239</v>
      </c>
      <c r="AG44" s="231">
        <v>0</v>
      </c>
      <c r="AH44" s="231" t="s">
        <v>239</v>
      </c>
      <c r="AI44" s="231">
        <v>6288</v>
      </c>
      <c r="AJ44" s="231" t="s">
        <v>239</v>
      </c>
      <c r="AK44" s="231">
        <v>985</v>
      </c>
      <c r="AL44" s="231" t="s">
        <v>239</v>
      </c>
      <c r="AM44" s="231">
        <v>9584</v>
      </c>
    </row>
    <row r="45" spans="1:39" ht="15.75" outlineLevel="1">
      <c r="A45" s="411">
        <v>18</v>
      </c>
      <c r="B45" s="12">
        <v>129018</v>
      </c>
      <c r="C45" s="218" t="s">
        <v>1489</v>
      </c>
      <c r="D45" s="218" t="s">
        <v>1490</v>
      </c>
      <c r="E45" s="23" t="s">
        <v>138</v>
      </c>
      <c r="F45" s="17" t="s">
        <v>45</v>
      </c>
      <c r="G45" s="11" t="s">
        <v>1432</v>
      </c>
      <c r="H45" s="12">
        <v>4</v>
      </c>
      <c r="I45" s="11" t="s">
        <v>1433</v>
      </c>
      <c r="J45" s="193" t="s">
        <v>1460</v>
      </c>
      <c r="K45" s="17" t="s">
        <v>233</v>
      </c>
      <c r="L45" s="17" t="s">
        <v>233</v>
      </c>
      <c r="M45" s="231">
        <v>0.32500000000000001</v>
      </c>
      <c r="N45" s="234">
        <v>0.32500000000000001</v>
      </c>
      <c r="O45" s="132">
        <v>0.32500000000000001</v>
      </c>
      <c r="P45" s="231" t="s">
        <v>239</v>
      </c>
      <c r="Q45" s="231">
        <v>0.32500000000000001</v>
      </c>
      <c r="R45" s="231" t="s">
        <v>239</v>
      </c>
      <c r="S45" s="231">
        <v>0.32500000000000001</v>
      </c>
      <c r="T45" s="231" t="s">
        <v>239</v>
      </c>
      <c r="U45" s="231">
        <v>0.32500000000000001</v>
      </c>
      <c r="V45" s="231" t="s">
        <v>239</v>
      </c>
      <c r="W45" s="231">
        <v>0.32500000000000001</v>
      </c>
      <c r="X45" s="231" t="s">
        <v>239</v>
      </c>
      <c r="Y45" s="231">
        <v>0.32500000000000001</v>
      </c>
      <c r="Z45" s="231" t="s">
        <v>239</v>
      </c>
      <c r="AA45" s="231">
        <v>0.32500000000000001</v>
      </c>
      <c r="AB45" s="231" t="s">
        <v>239</v>
      </c>
      <c r="AC45" s="231">
        <v>0.32500000000000001</v>
      </c>
      <c r="AD45" s="231" t="s">
        <v>239</v>
      </c>
      <c r="AE45" s="231">
        <v>0.32500000000000001</v>
      </c>
      <c r="AF45" s="231" t="s">
        <v>239</v>
      </c>
      <c r="AG45" s="231">
        <v>0.32500000000000001</v>
      </c>
      <c r="AH45" s="231" t="s">
        <v>239</v>
      </c>
      <c r="AI45" s="231">
        <v>0.32500000000000001</v>
      </c>
      <c r="AJ45" s="231" t="s">
        <v>239</v>
      </c>
      <c r="AK45" s="231">
        <v>0.32500000000000001</v>
      </c>
      <c r="AL45" s="231" t="s">
        <v>239</v>
      </c>
      <c r="AM45" s="231">
        <v>0</v>
      </c>
    </row>
    <row r="46" spans="1:39" ht="15.75" outlineLevel="1">
      <c r="A46" s="412"/>
      <c r="B46" s="12">
        <v>129018</v>
      </c>
      <c r="C46" s="218" t="s">
        <v>1489</v>
      </c>
      <c r="D46" s="218" t="s">
        <v>1490</v>
      </c>
      <c r="E46" s="23" t="s">
        <v>44</v>
      </c>
      <c r="F46" s="17" t="s">
        <v>45</v>
      </c>
      <c r="G46" s="11" t="s">
        <v>1432</v>
      </c>
      <c r="H46" s="12">
        <v>29</v>
      </c>
      <c r="I46" s="11" t="s">
        <v>1433</v>
      </c>
      <c r="J46" s="193" t="s">
        <v>1442</v>
      </c>
      <c r="K46" s="17" t="s">
        <v>233</v>
      </c>
      <c r="L46" s="17" t="s">
        <v>233</v>
      </c>
      <c r="M46" s="231">
        <v>2835</v>
      </c>
      <c r="N46" s="232">
        <v>2800.5830999999998</v>
      </c>
      <c r="O46" s="132">
        <v>41</v>
      </c>
      <c r="P46" s="231" t="s">
        <v>239</v>
      </c>
      <c r="Q46" s="231">
        <v>753</v>
      </c>
      <c r="R46" s="231" t="s">
        <v>239</v>
      </c>
      <c r="S46" s="231">
        <v>4</v>
      </c>
      <c r="T46" s="231" t="s">
        <v>239</v>
      </c>
      <c r="U46" s="231">
        <v>555</v>
      </c>
      <c r="V46" s="231" t="s">
        <v>239</v>
      </c>
      <c r="W46" s="231">
        <v>585</v>
      </c>
      <c r="X46" s="231" t="s">
        <v>239</v>
      </c>
      <c r="Y46" s="231">
        <v>1205</v>
      </c>
      <c r="Z46" s="231" t="s">
        <v>239</v>
      </c>
      <c r="AA46" s="231">
        <v>237</v>
      </c>
      <c r="AB46" s="231" t="s">
        <v>239</v>
      </c>
      <c r="AC46" s="231">
        <v>278</v>
      </c>
      <c r="AD46" s="231" t="s">
        <v>239</v>
      </c>
      <c r="AE46" s="231">
        <v>338</v>
      </c>
      <c r="AF46" s="231" t="s">
        <v>239</v>
      </c>
      <c r="AG46" s="231">
        <v>106</v>
      </c>
      <c r="AH46" s="231" t="s">
        <v>239</v>
      </c>
      <c r="AI46" s="231">
        <v>726</v>
      </c>
      <c r="AJ46" s="231" t="s">
        <v>239</v>
      </c>
      <c r="AK46" s="231">
        <v>514</v>
      </c>
      <c r="AL46" s="231" t="s">
        <v>239</v>
      </c>
      <c r="AM46" s="231">
        <v>5342</v>
      </c>
    </row>
    <row r="47" spans="1:39" ht="15.75" outlineLevel="1">
      <c r="A47" s="411">
        <v>19</v>
      </c>
      <c r="B47" s="12">
        <v>129019</v>
      </c>
      <c r="C47" s="218" t="s">
        <v>1489</v>
      </c>
      <c r="D47" s="218" t="s">
        <v>1490</v>
      </c>
      <c r="E47" s="23" t="s">
        <v>138</v>
      </c>
      <c r="F47" s="17" t="s">
        <v>45</v>
      </c>
      <c r="G47" s="11" t="s">
        <v>1432</v>
      </c>
      <c r="H47" s="12">
        <v>41</v>
      </c>
      <c r="I47" s="11" t="s">
        <v>1433</v>
      </c>
      <c r="J47" s="193" t="s">
        <v>1460</v>
      </c>
      <c r="K47" s="17" t="s">
        <v>233</v>
      </c>
      <c r="L47" s="17" t="s">
        <v>233</v>
      </c>
      <c r="M47" s="231">
        <v>0.32500000000000001</v>
      </c>
      <c r="N47" s="235">
        <v>0.32500000000000001</v>
      </c>
      <c r="O47" s="132">
        <v>0.32500000000000001</v>
      </c>
      <c r="P47" s="231" t="s">
        <v>239</v>
      </c>
      <c r="Q47" s="231">
        <v>0.32500000000000001</v>
      </c>
      <c r="R47" s="231" t="s">
        <v>239</v>
      </c>
      <c r="S47" s="231">
        <v>0.32500000000000001</v>
      </c>
      <c r="T47" s="231" t="s">
        <v>239</v>
      </c>
      <c r="U47" s="231">
        <v>0.32500000000000001</v>
      </c>
      <c r="V47" s="230" t="s">
        <v>239</v>
      </c>
      <c r="W47" s="231">
        <v>0.32500000000000001</v>
      </c>
      <c r="X47" s="231" t="s">
        <v>239</v>
      </c>
      <c r="Y47" s="231">
        <v>0.32500000000000001</v>
      </c>
      <c r="Z47" s="231" t="s">
        <v>239</v>
      </c>
      <c r="AA47" s="231">
        <v>0.32500000000000001</v>
      </c>
      <c r="AB47" s="231" t="s">
        <v>239</v>
      </c>
      <c r="AC47" s="231">
        <v>0.32500000000000001</v>
      </c>
      <c r="AD47" s="231" t="s">
        <v>239</v>
      </c>
      <c r="AE47" s="231">
        <v>0.32500000000000001</v>
      </c>
      <c r="AF47" s="231" t="s">
        <v>239</v>
      </c>
      <c r="AG47" s="231">
        <v>0.32500000000000001</v>
      </c>
      <c r="AH47" s="231" t="s">
        <v>239</v>
      </c>
      <c r="AI47" s="231">
        <v>0.32500000000000001</v>
      </c>
      <c r="AJ47" s="231" t="s">
        <v>239</v>
      </c>
      <c r="AK47" s="231">
        <v>0.32500000000000001</v>
      </c>
      <c r="AL47" s="231" t="s">
        <v>239</v>
      </c>
      <c r="AM47" s="231">
        <v>0</v>
      </c>
    </row>
    <row r="48" spans="1:39" ht="15.75" outlineLevel="1">
      <c r="A48" s="412"/>
      <c r="B48" s="12">
        <v>129019</v>
      </c>
      <c r="C48" s="218" t="s">
        <v>1489</v>
      </c>
      <c r="D48" s="218" t="s">
        <v>1490</v>
      </c>
      <c r="E48" s="23" t="s">
        <v>44</v>
      </c>
      <c r="F48" s="17" t="s">
        <v>45</v>
      </c>
      <c r="G48" s="11" t="s">
        <v>1432</v>
      </c>
      <c r="H48" s="12">
        <v>26</v>
      </c>
      <c r="I48" s="11" t="s">
        <v>1433</v>
      </c>
      <c r="J48" s="193" t="s">
        <v>1457</v>
      </c>
      <c r="K48" s="17" t="s">
        <v>233</v>
      </c>
      <c r="L48" s="17" t="s">
        <v>233</v>
      </c>
      <c r="M48" s="231">
        <v>0</v>
      </c>
      <c r="N48" s="232">
        <v>0</v>
      </c>
      <c r="O48" s="132">
        <v>0</v>
      </c>
      <c r="P48" s="231" t="s">
        <v>239</v>
      </c>
      <c r="Q48" s="231">
        <v>0</v>
      </c>
      <c r="R48" s="231" t="s">
        <v>239</v>
      </c>
      <c r="S48" s="231">
        <v>0</v>
      </c>
      <c r="T48" s="231" t="s">
        <v>239</v>
      </c>
      <c r="U48" s="231">
        <v>0</v>
      </c>
      <c r="V48" s="231" t="s">
        <v>239</v>
      </c>
      <c r="W48" s="231">
        <v>0</v>
      </c>
      <c r="X48" s="231" t="s">
        <v>239</v>
      </c>
      <c r="Y48" s="231">
        <v>0</v>
      </c>
      <c r="Z48" s="231" t="s">
        <v>239</v>
      </c>
      <c r="AA48" s="231">
        <v>0</v>
      </c>
      <c r="AB48" s="231" t="s">
        <v>239</v>
      </c>
      <c r="AC48" s="231">
        <v>0</v>
      </c>
      <c r="AD48" s="231" t="s">
        <v>239</v>
      </c>
      <c r="AE48" s="231">
        <v>0</v>
      </c>
      <c r="AF48" s="231" t="s">
        <v>239</v>
      </c>
      <c r="AG48" s="231">
        <v>0</v>
      </c>
      <c r="AH48" s="231" t="s">
        <v>239</v>
      </c>
      <c r="AI48" s="231">
        <v>0</v>
      </c>
      <c r="AJ48" s="231" t="s">
        <v>239</v>
      </c>
      <c r="AK48" s="231">
        <v>0</v>
      </c>
      <c r="AL48" s="231" t="s">
        <v>239</v>
      </c>
      <c r="AM48" s="231">
        <v>0</v>
      </c>
    </row>
    <row r="49" spans="1:39" ht="15.75" outlineLevel="1">
      <c r="A49" s="411">
        <v>20</v>
      </c>
      <c r="B49" s="12">
        <v>129020</v>
      </c>
      <c r="C49" s="218" t="s">
        <v>1489</v>
      </c>
      <c r="D49" s="218" t="s">
        <v>1490</v>
      </c>
      <c r="E49" s="23" t="s">
        <v>138</v>
      </c>
      <c r="F49" s="17" t="s">
        <v>45</v>
      </c>
      <c r="G49" s="11" t="s">
        <v>1432</v>
      </c>
      <c r="H49" s="12">
        <v>15</v>
      </c>
      <c r="I49" s="11" t="s">
        <v>1433</v>
      </c>
      <c r="J49" s="193" t="s">
        <v>617</v>
      </c>
      <c r="K49" s="17" t="s">
        <v>233</v>
      </c>
      <c r="L49" s="17" t="s">
        <v>233</v>
      </c>
      <c r="M49" s="231">
        <v>19</v>
      </c>
      <c r="N49" s="232">
        <v>19</v>
      </c>
      <c r="O49" s="231">
        <v>19</v>
      </c>
      <c r="P49" s="231" t="s">
        <v>239</v>
      </c>
      <c r="Q49" s="231">
        <v>19</v>
      </c>
      <c r="R49" s="231" t="s">
        <v>239</v>
      </c>
      <c r="S49" s="231">
        <v>19</v>
      </c>
      <c r="T49" s="231" t="s">
        <v>239</v>
      </c>
      <c r="U49" s="231">
        <v>19</v>
      </c>
      <c r="V49" s="231" t="s">
        <v>239</v>
      </c>
      <c r="W49" s="231">
        <v>19</v>
      </c>
      <c r="X49" s="231" t="s">
        <v>239</v>
      </c>
      <c r="Y49" s="231">
        <v>19</v>
      </c>
      <c r="Z49" s="231" t="s">
        <v>239</v>
      </c>
      <c r="AA49" s="231">
        <v>19</v>
      </c>
      <c r="AB49" s="231" t="s">
        <v>239</v>
      </c>
      <c r="AC49" s="231">
        <v>19</v>
      </c>
      <c r="AD49" s="231" t="s">
        <v>239</v>
      </c>
      <c r="AE49" s="231">
        <v>19</v>
      </c>
      <c r="AF49" s="231" t="s">
        <v>239</v>
      </c>
      <c r="AG49" s="231">
        <v>19</v>
      </c>
      <c r="AH49" s="231" t="s">
        <v>239</v>
      </c>
      <c r="AI49" s="231">
        <v>19</v>
      </c>
      <c r="AJ49" s="231" t="s">
        <v>239</v>
      </c>
      <c r="AK49" s="231">
        <v>19</v>
      </c>
      <c r="AL49" s="231" t="s">
        <v>239</v>
      </c>
      <c r="AM49" s="231">
        <v>0</v>
      </c>
    </row>
    <row r="50" spans="1:39" ht="15.75" outlineLevel="1">
      <c r="A50" s="412"/>
      <c r="B50" s="12">
        <v>129020</v>
      </c>
      <c r="C50" s="218" t="s">
        <v>1489</v>
      </c>
      <c r="D50" s="218" t="s">
        <v>1490</v>
      </c>
      <c r="E50" s="23" t="s">
        <v>44</v>
      </c>
      <c r="F50" s="17" t="s">
        <v>45</v>
      </c>
      <c r="G50" s="11" t="s">
        <v>1432</v>
      </c>
      <c r="H50" s="12">
        <v>8</v>
      </c>
      <c r="I50" s="11" t="s">
        <v>1433</v>
      </c>
      <c r="J50" s="193" t="s">
        <v>216</v>
      </c>
      <c r="K50" s="17" t="s">
        <v>233</v>
      </c>
      <c r="L50" s="17" t="s">
        <v>233</v>
      </c>
      <c r="M50" s="231">
        <v>4542</v>
      </c>
      <c r="N50" s="232">
        <v>4486.8601199999994</v>
      </c>
      <c r="O50" s="132">
        <v>236</v>
      </c>
      <c r="P50" s="231" t="s">
        <v>239</v>
      </c>
      <c r="Q50" s="231">
        <v>114</v>
      </c>
      <c r="R50" s="231" t="s">
        <v>239</v>
      </c>
      <c r="S50" s="231">
        <v>125</v>
      </c>
      <c r="T50" s="231" t="s">
        <v>239</v>
      </c>
      <c r="U50" s="231">
        <v>72</v>
      </c>
      <c r="V50" s="231" t="s">
        <v>239</v>
      </c>
      <c r="W50" s="231">
        <v>21</v>
      </c>
      <c r="X50" s="231" t="s">
        <v>239</v>
      </c>
      <c r="Y50" s="231">
        <v>422</v>
      </c>
      <c r="Z50" s="231" t="s">
        <v>239</v>
      </c>
      <c r="AA50" s="231">
        <v>426</v>
      </c>
      <c r="AB50" s="231" t="s">
        <v>239</v>
      </c>
      <c r="AC50" s="231">
        <v>330</v>
      </c>
      <c r="AD50" s="231" t="s">
        <v>239</v>
      </c>
      <c r="AE50" s="231">
        <v>0</v>
      </c>
      <c r="AF50" s="231" t="s">
        <v>239</v>
      </c>
      <c r="AG50" s="231">
        <v>154</v>
      </c>
      <c r="AH50" s="231" t="s">
        <v>239</v>
      </c>
      <c r="AI50" s="231">
        <v>1183</v>
      </c>
      <c r="AJ50" s="231" t="s">
        <v>239</v>
      </c>
      <c r="AK50" s="231">
        <v>627</v>
      </c>
      <c r="AL50" s="231" t="s">
        <v>239</v>
      </c>
      <c r="AM50" s="231">
        <v>3710</v>
      </c>
    </row>
    <row r="51" spans="1:39" ht="15.75" outlineLevel="1">
      <c r="A51" s="411">
        <v>21</v>
      </c>
      <c r="B51" s="12">
        <v>129021</v>
      </c>
      <c r="C51" s="218" t="s">
        <v>1489</v>
      </c>
      <c r="D51" s="218" t="s">
        <v>1490</v>
      </c>
      <c r="E51" s="23" t="s">
        <v>138</v>
      </c>
      <c r="F51" s="17" t="s">
        <v>45</v>
      </c>
      <c r="G51" s="11" t="s">
        <v>1432</v>
      </c>
      <c r="H51" s="12">
        <v>5</v>
      </c>
      <c r="I51" s="11" t="s">
        <v>1433</v>
      </c>
      <c r="J51" s="192" t="s">
        <v>1446</v>
      </c>
      <c r="K51" s="17" t="s">
        <v>233</v>
      </c>
      <c r="L51" s="17" t="s">
        <v>233</v>
      </c>
      <c r="M51" s="231">
        <v>38</v>
      </c>
      <c r="N51" s="232">
        <v>38</v>
      </c>
      <c r="O51" s="231">
        <v>38</v>
      </c>
      <c r="P51" s="231" t="s">
        <v>239</v>
      </c>
      <c r="Q51" s="231">
        <v>38</v>
      </c>
      <c r="R51" s="231" t="s">
        <v>239</v>
      </c>
      <c r="S51" s="231">
        <v>38</v>
      </c>
      <c r="T51" s="231" t="s">
        <v>239</v>
      </c>
      <c r="U51" s="231">
        <v>38</v>
      </c>
      <c r="V51" s="230" t="s">
        <v>239</v>
      </c>
      <c r="W51" s="231">
        <v>38</v>
      </c>
      <c r="X51" s="231" t="s">
        <v>239</v>
      </c>
      <c r="Y51" s="231">
        <v>38</v>
      </c>
      <c r="Z51" s="231" t="s">
        <v>239</v>
      </c>
      <c r="AA51" s="231">
        <v>38</v>
      </c>
      <c r="AB51" s="231" t="s">
        <v>239</v>
      </c>
      <c r="AC51" s="231">
        <v>38</v>
      </c>
      <c r="AD51" s="231" t="s">
        <v>239</v>
      </c>
      <c r="AE51" s="231">
        <v>38</v>
      </c>
      <c r="AF51" s="231" t="s">
        <v>239</v>
      </c>
      <c r="AG51" s="231">
        <v>38</v>
      </c>
      <c r="AH51" s="231" t="s">
        <v>239</v>
      </c>
      <c r="AI51" s="231">
        <v>38</v>
      </c>
      <c r="AJ51" s="231" t="s">
        <v>239</v>
      </c>
      <c r="AK51" s="231">
        <v>38</v>
      </c>
      <c r="AL51" s="231" t="s">
        <v>239</v>
      </c>
      <c r="AM51" s="231">
        <v>0</v>
      </c>
    </row>
    <row r="52" spans="1:39" ht="15.75" outlineLevel="1">
      <c r="A52" s="412"/>
      <c r="B52" s="12">
        <v>129021</v>
      </c>
      <c r="C52" s="218" t="s">
        <v>1489</v>
      </c>
      <c r="D52" s="218" t="s">
        <v>1490</v>
      </c>
      <c r="E52" s="23" t="s">
        <v>44</v>
      </c>
      <c r="F52" s="17" t="s">
        <v>45</v>
      </c>
      <c r="G52" s="11" t="s">
        <v>1432</v>
      </c>
      <c r="H52" s="12">
        <v>17</v>
      </c>
      <c r="I52" s="11" t="s">
        <v>1433</v>
      </c>
      <c r="J52" s="192" t="s">
        <v>1481</v>
      </c>
      <c r="K52" s="17" t="s">
        <v>233</v>
      </c>
      <c r="L52" s="17" t="s">
        <v>233</v>
      </c>
      <c r="M52" s="231">
        <v>7843</v>
      </c>
      <c r="N52" s="232">
        <v>7747.7859799999997</v>
      </c>
      <c r="O52" s="132">
        <v>818</v>
      </c>
      <c r="P52" s="231" t="s">
        <v>239</v>
      </c>
      <c r="Q52" s="231">
        <v>695</v>
      </c>
      <c r="R52" s="231" t="s">
        <v>239</v>
      </c>
      <c r="S52" s="231">
        <v>651</v>
      </c>
      <c r="T52" s="231" t="s">
        <v>239</v>
      </c>
      <c r="U52" s="231">
        <v>747</v>
      </c>
      <c r="V52" s="231" t="s">
        <v>239</v>
      </c>
      <c r="W52" s="231">
        <v>747</v>
      </c>
      <c r="X52" s="231" t="s">
        <v>239</v>
      </c>
      <c r="Y52" s="231">
        <v>669</v>
      </c>
      <c r="Z52" s="231" t="s">
        <v>239</v>
      </c>
      <c r="AA52" s="231">
        <v>154</v>
      </c>
      <c r="AB52" s="231" t="s">
        <v>239</v>
      </c>
      <c r="AC52" s="231">
        <v>430</v>
      </c>
      <c r="AD52" s="231" t="s">
        <v>239</v>
      </c>
      <c r="AE52" s="231">
        <v>159</v>
      </c>
      <c r="AF52" s="231" t="s">
        <v>239</v>
      </c>
      <c r="AG52" s="231">
        <v>157</v>
      </c>
      <c r="AH52" s="231" t="s">
        <v>239</v>
      </c>
      <c r="AI52" s="231">
        <v>141</v>
      </c>
      <c r="AJ52" s="231" t="s">
        <v>239</v>
      </c>
      <c r="AK52" s="231">
        <v>1303</v>
      </c>
      <c r="AL52" s="231" t="s">
        <v>239</v>
      </c>
      <c r="AM52" s="231">
        <v>6671</v>
      </c>
    </row>
    <row r="53" spans="1:39" ht="15.75" outlineLevel="1">
      <c r="A53" s="411">
        <v>22</v>
      </c>
      <c r="B53" s="12">
        <v>129022</v>
      </c>
      <c r="C53" s="218" t="s">
        <v>1489</v>
      </c>
      <c r="D53" s="218" t="s">
        <v>1490</v>
      </c>
      <c r="E53" s="23" t="s">
        <v>138</v>
      </c>
      <c r="F53" s="17" t="s">
        <v>45</v>
      </c>
      <c r="G53" s="11" t="s">
        <v>1432</v>
      </c>
      <c r="H53" s="12">
        <v>19</v>
      </c>
      <c r="I53" s="11" t="s">
        <v>1433</v>
      </c>
      <c r="J53" s="192" t="s">
        <v>208</v>
      </c>
      <c r="K53" s="17" t="s">
        <v>233</v>
      </c>
      <c r="L53" s="17" t="s">
        <v>233</v>
      </c>
      <c r="M53" s="231">
        <v>25</v>
      </c>
      <c r="N53" s="232">
        <v>25</v>
      </c>
      <c r="O53" s="231">
        <v>25</v>
      </c>
      <c r="P53" s="231" t="s">
        <v>239</v>
      </c>
      <c r="Q53" s="231">
        <v>25</v>
      </c>
      <c r="R53" s="231" t="s">
        <v>239</v>
      </c>
      <c r="S53" s="231">
        <v>25</v>
      </c>
      <c r="T53" s="231" t="s">
        <v>239</v>
      </c>
      <c r="U53" s="231">
        <v>25</v>
      </c>
      <c r="V53" s="231" t="s">
        <v>239</v>
      </c>
      <c r="W53" s="231">
        <v>25</v>
      </c>
      <c r="X53" s="231" t="s">
        <v>239</v>
      </c>
      <c r="Y53" s="231">
        <v>25</v>
      </c>
      <c r="Z53" s="231" t="s">
        <v>239</v>
      </c>
      <c r="AA53" s="231">
        <v>25</v>
      </c>
      <c r="AB53" s="231" t="s">
        <v>239</v>
      </c>
      <c r="AC53" s="231">
        <v>25</v>
      </c>
      <c r="AD53" s="231" t="s">
        <v>239</v>
      </c>
      <c r="AE53" s="231">
        <v>25</v>
      </c>
      <c r="AF53" s="231" t="s">
        <v>239</v>
      </c>
      <c r="AG53" s="231">
        <v>25</v>
      </c>
      <c r="AH53" s="231" t="s">
        <v>239</v>
      </c>
      <c r="AI53" s="231">
        <v>25</v>
      </c>
      <c r="AJ53" s="231" t="s">
        <v>239</v>
      </c>
      <c r="AK53" s="231">
        <v>25</v>
      </c>
      <c r="AL53" s="231" t="s">
        <v>239</v>
      </c>
      <c r="AM53" s="231">
        <v>0</v>
      </c>
    </row>
    <row r="54" spans="1:39" ht="15.75" outlineLevel="1">
      <c r="A54" s="412"/>
      <c r="B54" s="12">
        <v>129022</v>
      </c>
      <c r="C54" s="218" t="s">
        <v>1489</v>
      </c>
      <c r="D54" s="218" t="s">
        <v>1490</v>
      </c>
      <c r="E54" s="23" t="s">
        <v>44</v>
      </c>
      <c r="F54" s="17" t="s">
        <v>45</v>
      </c>
      <c r="G54" s="11" t="s">
        <v>1432</v>
      </c>
      <c r="H54" s="12">
        <v>24</v>
      </c>
      <c r="I54" s="11" t="s">
        <v>1433</v>
      </c>
      <c r="J54" s="192" t="s">
        <v>1463</v>
      </c>
      <c r="K54" s="17" t="s">
        <v>233</v>
      </c>
      <c r="L54" s="17" t="s">
        <v>233</v>
      </c>
      <c r="M54" s="231">
        <v>5972</v>
      </c>
      <c r="N54" s="232">
        <v>5899.4999200000002</v>
      </c>
      <c r="O54" s="132">
        <v>386</v>
      </c>
      <c r="P54" s="231" t="s">
        <v>239</v>
      </c>
      <c r="Q54" s="231">
        <v>730</v>
      </c>
      <c r="R54" s="231" t="s">
        <v>239</v>
      </c>
      <c r="S54" s="231">
        <v>863</v>
      </c>
      <c r="T54" s="231" t="s">
        <v>239</v>
      </c>
      <c r="U54" s="231">
        <v>472</v>
      </c>
      <c r="V54" s="231" t="s">
        <v>239</v>
      </c>
      <c r="W54" s="231">
        <v>336</v>
      </c>
      <c r="X54" s="231" t="s">
        <v>239</v>
      </c>
      <c r="Y54" s="231">
        <v>155</v>
      </c>
      <c r="Z54" s="231" t="s">
        <v>239</v>
      </c>
      <c r="AA54" s="231">
        <v>378</v>
      </c>
      <c r="AB54" s="231" t="s">
        <v>239</v>
      </c>
      <c r="AC54" s="231">
        <v>281</v>
      </c>
      <c r="AD54" s="231" t="s">
        <v>239</v>
      </c>
      <c r="AE54" s="231">
        <v>365</v>
      </c>
      <c r="AF54" s="231" t="s">
        <v>239</v>
      </c>
      <c r="AG54" s="231">
        <v>159</v>
      </c>
      <c r="AH54" s="231" t="s">
        <v>239</v>
      </c>
      <c r="AI54" s="231">
        <v>160</v>
      </c>
      <c r="AJ54" s="231" t="s">
        <v>239</v>
      </c>
      <c r="AK54" s="231">
        <v>1407</v>
      </c>
      <c r="AL54" s="231" t="s">
        <v>239</v>
      </c>
      <c r="AM54" s="231">
        <v>5692</v>
      </c>
    </row>
    <row r="55" spans="1:39" ht="15.75" outlineLevel="1">
      <c r="A55" s="411">
        <v>23</v>
      </c>
      <c r="B55" s="12">
        <v>129023</v>
      </c>
      <c r="C55" s="218" t="s">
        <v>1489</v>
      </c>
      <c r="D55" s="218" t="s">
        <v>1490</v>
      </c>
      <c r="E55" s="23" t="s">
        <v>138</v>
      </c>
      <c r="F55" s="17" t="s">
        <v>45</v>
      </c>
      <c r="G55" s="11" t="s">
        <v>1432</v>
      </c>
      <c r="H55" s="12">
        <v>10</v>
      </c>
      <c r="I55" s="11" t="s">
        <v>1433</v>
      </c>
      <c r="J55" s="192" t="s">
        <v>1482</v>
      </c>
      <c r="K55" s="17" t="s">
        <v>233</v>
      </c>
      <c r="L55" s="17" t="s">
        <v>233</v>
      </c>
      <c r="M55" s="231">
        <v>25</v>
      </c>
      <c r="N55" s="232">
        <v>25</v>
      </c>
      <c r="O55" s="231">
        <v>25</v>
      </c>
      <c r="P55" s="231" t="s">
        <v>239</v>
      </c>
      <c r="Q55" s="231">
        <v>25</v>
      </c>
      <c r="R55" s="231" t="s">
        <v>239</v>
      </c>
      <c r="S55" s="231">
        <v>25</v>
      </c>
      <c r="T55" s="231" t="s">
        <v>239</v>
      </c>
      <c r="U55" s="231">
        <v>25</v>
      </c>
      <c r="V55" s="230" t="s">
        <v>239</v>
      </c>
      <c r="W55" s="231">
        <v>25</v>
      </c>
      <c r="X55" s="231" t="s">
        <v>239</v>
      </c>
      <c r="Y55" s="231">
        <v>25</v>
      </c>
      <c r="Z55" s="231" t="s">
        <v>239</v>
      </c>
      <c r="AA55" s="231">
        <v>25</v>
      </c>
      <c r="AB55" s="231" t="s">
        <v>239</v>
      </c>
      <c r="AC55" s="231">
        <v>25</v>
      </c>
      <c r="AD55" s="231" t="s">
        <v>239</v>
      </c>
      <c r="AE55" s="231">
        <v>25</v>
      </c>
      <c r="AF55" s="231" t="s">
        <v>239</v>
      </c>
      <c r="AG55" s="231">
        <v>25</v>
      </c>
      <c r="AH55" s="231" t="s">
        <v>239</v>
      </c>
      <c r="AI55" s="231">
        <v>25</v>
      </c>
      <c r="AJ55" s="231" t="s">
        <v>239</v>
      </c>
      <c r="AK55" s="231">
        <v>25</v>
      </c>
      <c r="AL55" s="231" t="s">
        <v>239</v>
      </c>
      <c r="AM55" s="231">
        <v>0</v>
      </c>
    </row>
    <row r="56" spans="1:39" ht="15.75" outlineLevel="1">
      <c r="A56" s="412"/>
      <c r="B56" s="12">
        <v>129023</v>
      </c>
      <c r="C56" s="218" t="s">
        <v>1489</v>
      </c>
      <c r="D56" s="218" t="s">
        <v>1490</v>
      </c>
      <c r="E56" s="23" t="s">
        <v>44</v>
      </c>
      <c r="F56" s="17" t="s">
        <v>45</v>
      </c>
      <c r="G56" s="11" t="s">
        <v>1432</v>
      </c>
      <c r="H56" s="12">
        <v>17</v>
      </c>
      <c r="I56" s="11" t="s">
        <v>1433</v>
      </c>
      <c r="J56" s="192" t="s">
        <v>1462</v>
      </c>
      <c r="K56" s="17" t="s">
        <v>233</v>
      </c>
      <c r="L56" s="17" t="s">
        <v>233</v>
      </c>
      <c r="M56" s="231">
        <v>4907</v>
      </c>
      <c r="N56" s="232">
        <v>4847.4290199999996</v>
      </c>
      <c r="O56" s="132">
        <v>563</v>
      </c>
      <c r="P56" s="231" t="s">
        <v>239</v>
      </c>
      <c r="Q56" s="231">
        <v>608</v>
      </c>
      <c r="R56" s="231" t="s">
        <v>239</v>
      </c>
      <c r="S56" s="231">
        <v>576</v>
      </c>
      <c r="T56" s="231" t="s">
        <v>239</v>
      </c>
      <c r="U56" s="231">
        <v>431</v>
      </c>
      <c r="V56" s="231" t="s">
        <v>239</v>
      </c>
      <c r="W56" s="231">
        <v>409</v>
      </c>
      <c r="X56" s="231" t="s">
        <v>239</v>
      </c>
      <c r="Y56" s="231">
        <v>153</v>
      </c>
      <c r="Z56" s="231" t="s">
        <v>239</v>
      </c>
      <c r="AA56" s="231">
        <v>541</v>
      </c>
      <c r="AB56" s="231" t="s">
        <v>239</v>
      </c>
      <c r="AC56" s="231">
        <v>255</v>
      </c>
      <c r="AD56" s="231" t="s">
        <v>239</v>
      </c>
      <c r="AE56" s="231">
        <v>274</v>
      </c>
      <c r="AF56" s="231" t="s">
        <v>239</v>
      </c>
      <c r="AG56" s="231">
        <v>157</v>
      </c>
      <c r="AH56" s="231" t="s">
        <v>239</v>
      </c>
      <c r="AI56" s="231">
        <v>546</v>
      </c>
      <c r="AJ56" s="231" t="s">
        <v>239</v>
      </c>
      <c r="AK56" s="231">
        <v>1359</v>
      </c>
      <c r="AL56" s="231" t="s">
        <v>239</v>
      </c>
      <c r="AM56" s="231">
        <v>5872</v>
      </c>
    </row>
    <row r="57" spans="1:39" ht="15.75" outlineLevel="1">
      <c r="A57" s="411">
        <v>24</v>
      </c>
      <c r="B57" s="12">
        <v>129024</v>
      </c>
      <c r="C57" s="218" t="s">
        <v>1489</v>
      </c>
      <c r="D57" s="218" t="s">
        <v>1490</v>
      </c>
      <c r="E57" s="23" t="s">
        <v>138</v>
      </c>
      <c r="F57" s="17" t="s">
        <v>45</v>
      </c>
      <c r="G57" s="11" t="s">
        <v>1432</v>
      </c>
      <c r="H57" s="12">
        <v>32</v>
      </c>
      <c r="I57" s="11" t="s">
        <v>1433</v>
      </c>
      <c r="J57" s="192" t="s">
        <v>1457</v>
      </c>
      <c r="K57" s="17" t="s">
        <v>233</v>
      </c>
      <c r="L57" s="17" t="s">
        <v>233</v>
      </c>
      <c r="M57" s="231">
        <v>43</v>
      </c>
      <c r="N57" s="231">
        <v>43</v>
      </c>
      <c r="O57" s="231">
        <v>43</v>
      </c>
      <c r="P57" s="231" t="s">
        <v>239</v>
      </c>
      <c r="Q57" s="231">
        <v>43</v>
      </c>
      <c r="R57" s="231" t="s">
        <v>239</v>
      </c>
      <c r="S57" s="231">
        <v>43</v>
      </c>
      <c r="T57" s="231" t="s">
        <v>239</v>
      </c>
      <c r="U57" s="231">
        <v>43</v>
      </c>
      <c r="V57" s="231" t="s">
        <v>239</v>
      </c>
      <c r="W57" s="231">
        <v>43</v>
      </c>
      <c r="X57" s="231" t="s">
        <v>239</v>
      </c>
      <c r="Y57" s="231">
        <v>43</v>
      </c>
      <c r="Z57" s="231" t="s">
        <v>239</v>
      </c>
      <c r="AA57" s="231">
        <v>43</v>
      </c>
      <c r="AB57" s="231" t="s">
        <v>239</v>
      </c>
      <c r="AC57" s="231">
        <v>43</v>
      </c>
      <c r="AD57" s="231" t="s">
        <v>239</v>
      </c>
      <c r="AE57" s="231">
        <v>43</v>
      </c>
      <c r="AF57" s="231" t="s">
        <v>239</v>
      </c>
      <c r="AG57" s="231">
        <v>43</v>
      </c>
      <c r="AH57" s="231" t="s">
        <v>239</v>
      </c>
      <c r="AI57" s="231">
        <v>43</v>
      </c>
      <c r="AJ57" s="231" t="s">
        <v>239</v>
      </c>
      <c r="AK57" s="231">
        <v>43</v>
      </c>
      <c r="AL57" s="231" t="s">
        <v>239</v>
      </c>
      <c r="AM57" s="231">
        <v>0</v>
      </c>
    </row>
    <row r="58" spans="1:39" ht="15.75" outlineLevel="1">
      <c r="A58" s="412"/>
      <c r="B58" s="12">
        <v>129024</v>
      </c>
      <c r="C58" s="218" t="s">
        <v>1489</v>
      </c>
      <c r="D58" s="218" t="s">
        <v>1490</v>
      </c>
      <c r="E58" s="23" t="s">
        <v>44</v>
      </c>
      <c r="F58" s="17" t="s">
        <v>45</v>
      </c>
      <c r="G58" s="11" t="s">
        <v>1432</v>
      </c>
      <c r="H58" s="12">
        <v>8</v>
      </c>
      <c r="I58" s="11" t="s">
        <v>1433</v>
      </c>
      <c r="J58" s="192" t="s">
        <v>617</v>
      </c>
      <c r="K58" s="17" t="s">
        <v>233</v>
      </c>
      <c r="L58" s="17" t="s">
        <v>233</v>
      </c>
      <c r="M58" s="231">
        <v>55500</v>
      </c>
      <c r="N58" s="232">
        <v>54826.229999999996</v>
      </c>
      <c r="O58" s="132">
        <v>0</v>
      </c>
      <c r="P58" s="231" t="s">
        <v>239</v>
      </c>
      <c r="Q58" s="231">
        <v>0</v>
      </c>
      <c r="R58" s="231" t="s">
        <v>239</v>
      </c>
      <c r="S58" s="231">
        <v>0</v>
      </c>
      <c r="T58" s="231" t="s">
        <v>239</v>
      </c>
      <c r="U58" s="231">
        <v>0</v>
      </c>
      <c r="V58" s="230" t="s">
        <v>239</v>
      </c>
      <c r="W58" s="231">
        <v>0</v>
      </c>
      <c r="X58" s="231" t="s">
        <v>239</v>
      </c>
      <c r="Y58" s="231">
        <v>0</v>
      </c>
      <c r="Z58" s="231" t="s">
        <v>239</v>
      </c>
      <c r="AA58" s="231">
        <v>0</v>
      </c>
      <c r="AB58" s="231" t="s">
        <v>239</v>
      </c>
      <c r="AC58" s="231">
        <v>0</v>
      </c>
      <c r="AD58" s="231" t="s">
        <v>239</v>
      </c>
      <c r="AE58" s="231">
        <v>0</v>
      </c>
      <c r="AF58" s="231" t="s">
        <v>239</v>
      </c>
      <c r="AG58" s="231">
        <v>0</v>
      </c>
      <c r="AH58" s="231" t="s">
        <v>239</v>
      </c>
      <c r="AI58" s="231">
        <v>0</v>
      </c>
      <c r="AJ58" s="231" t="s">
        <v>239</v>
      </c>
      <c r="AK58" s="231">
        <v>0</v>
      </c>
      <c r="AL58" s="231" t="s">
        <v>239</v>
      </c>
      <c r="AM58" s="231">
        <v>0</v>
      </c>
    </row>
    <row r="59" spans="1:39" ht="15.75" outlineLevel="1">
      <c r="A59" s="411">
        <v>25</v>
      </c>
      <c r="B59" s="12">
        <v>129025</v>
      </c>
      <c r="C59" s="218" t="s">
        <v>1489</v>
      </c>
      <c r="D59" s="218" t="s">
        <v>1490</v>
      </c>
      <c r="E59" s="23" t="s">
        <v>138</v>
      </c>
      <c r="F59" s="17" t="s">
        <v>45</v>
      </c>
      <c r="G59" s="11" t="s">
        <v>1432</v>
      </c>
      <c r="H59" s="12">
        <v>12</v>
      </c>
      <c r="I59" s="11" t="s">
        <v>1433</v>
      </c>
      <c r="J59" s="374" t="s">
        <v>1457</v>
      </c>
      <c r="K59" s="17" t="s">
        <v>233</v>
      </c>
      <c r="L59" s="17" t="s">
        <v>233</v>
      </c>
      <c r="M59" s="231">
        <v>13</v>
      </c>
      <c r="N59" s="232">
        <v>13</v>
      </c>
      <c r="O59" s="231">
        <v>13</v>
      </c>
      <c r="P59" s="231" t="s">
        <v>239</v>
      </c>
      <c r="Q59" s="231">
        <v>13</v>
      </c>
      <c r="R59" s="231" t="s">
        <v>239</v>
      </c>
      <c r="S59" s="231">
        <v>13</v>
      </c>
      <c r="T59" s="231" t="s">
        <v>239</v>
      </c>
      <c r="U59" s="231">
        <v>13</v>
      </c>
      <c r="V59" s="231" t="s">
        <v>239</v>
      </c>
      <c r="W59" s="231">
        <v>13</v>
      </c>
      <c r="X59" s="231" t="s">
        <v>239</v>
      </c>
      <c r="Y59" s="231">
        <v>13</v>
      </c>
      <c r="Z59" s="231" t="s">
        <v>239</v>
      </c>
      <c r="AA59" s="231">
        <v>13</v>
      </c>
      <c r="AB59" s="231" t="s">
        <v>239</v>
      </c>
      <c r="AC59" s="231">
        <v>13</v>
      </c>
      <c r="AD59" s="231" t="s">
        <v>239</v>
      </c>
      <c r="AE59" s="231">
        <v>13</v>
      </c>
      <c r="AF59" s="231" t="s">
        <v>239</v>
      </c>
      <c r="AG59" s="231">
        <v>13</v>
      </c>
      <c r="AH59" s="231" t="s">
        <v>239</v>
      </c>
      <c r="AI59" s="231">
        <v>13</v>
      </c>
      <c r="AJ59" s="231" t="s">
        <v>239</v>
      </c>
      <c r="AK59" s="231">
        <v>13</v>
      </c>
      <c r="AL59" s="231" t="s">
        <v>239</v>
      </c>
      <c r="AM59" s="231">
        <v>0</v>
      </c>
    </row>
    <row r="60" spans="1:39" ht="15.75" outlineLevel="1">
      <c r="A60" s="412"/>
      <c r="B60" s="12">
        <v>129025</v>
      </c>
      <c r="C60" s="218" t="s">
        <v>1489</v>
      </c>
      <c r="D60" s="218" t="s">
        <v>1490</v>
      </c>
      <c r="E60" s="23" t="s">
        <v>44</v>
      </c>
      <c r="F60" s="17" t="s">
        <v>45</v>
      </c>
      <c r="G60" s="11" t="s">
        <v>1432</v>
      </c>
      <c r="H60" s="12">
        <v>18</v>
      </c>
      <c r="I60" s="11" t="s">
        <v>1433</v>
      </c>
      <c r="J60" s="375"/>
      <c r="K60" s="17" t="s">
        <v>233</v>
      </c>
      <c r="L60" s="17" t="s">
        <v>233</v>
      </c>
      <c r="M60" s="231">
        <v>4500</v>
      </c>
      <c r="N60" s="232">
        <v>4445.37</v>
      </c>
      <c r="O60" s="132">
        <v>408</v>
      </c>
      <c r="P60" s="231" t="s">
        <v>239</v>
      </c>
      <c r="Q60" s="231">
        <v>408</v>
      </c>
      <c r="R60" s="231" t="s">
        <v>239</v>
      </c>
      <c r="S60" s="231">
        <v>408</v>
      </c>
      <c r="T60" s="231" t="s">
        <v>239</v>
      </c>
      <c r="U60" s="231">
        <v>408</v>
      </c>
      <c r="V60" s="231" t="s">
        <v>239</v>
      </c>
      <c r="W60" s="231">
        <v>498</v>
      </c>
      <c r="X60" s="231" t="s">
        <v>239</v>
      </c>
      <c r="Y60" s="231">
        <v>938</v>
      </c>
      <c r="Z60" s="231" t="s">
        <v>239</v>
      </c>
      <c r="AA60" s="231">
        <v>155</v>
      </c>
      <c r="AB60" s="231" t="s">
        <v>239</v>
      </c>
      <c r="AC60" s="231">
        <v>397</v>
      </c>
      <c r="AD60" s="231" t="s">
        <v>239</v>
      </c>
      <c r="AE60" s="231">
        <v>45</v>
      </c>
      <c r="AF60" s="231" t="s">
        <v>239</v>
      </c>
      <c r="AG60" s="231">
        <v>79</v>
      </c>
      <c r="AH60" s="231" t="s">
        <v>239</v>
      </c>
      <c r="AI60" s="231">
        <v>37</v>
      </c>
      <c r="AJ60" s="231" t="s">
        <v>239</v>
      </c>
      <c r="AK60" s="231">
        <v>257</v>
      </c>
      <c r="AL60" s="231" t="s">
        <v>239</v>
      </c>
      <c r="AM60" s="231">
        <v>4038</v>
      </c>
    </row>
    <row r="61" spans="1:39" ht="15.75" outlineLevel="1">
      <c r="A61" s="411">
        <v>26</v>
      </c>
      <c r="B61" s="12">
        <v>129026</v>
      </c>
      <c r="C61" s="218" t="s">
        <v>1489</v>
      </c>
      <c r="D61" s="218" t="s">
        <v>1490</v>
      </c>
      <c r="E61" s="23" t="s">
        <v>138</v>
      </c>
      <c r="F61" s="17" t="s">
        <v>45</v>
      </c>
      <c r="G61" s="11" t="s">
        <v>1432</v>
      </c>
      <c r="H61" s="12">
        <v>17</v>
      </c>
      <c r="I61" s="11" t="s">
        <v>1433</v>
      </c>
      <c r="J61" s="193" t="s">
        <v>1460</v>
      </c>
      <c r="K61" s="17" t="s">
        <v>233</v>
      </c>
      <c r="L61" s="17" t="s">
        <v>233</v>
      </c>
      <c r="M61" s="231">
        <v>0</v>
      </c>
      <c r="N61" s="232">
        <v>0</v>
      </c>
      <c r="O61" s="132">
        <v>0</v>
      </c>
      <c r="P61" s="231" t="s">
        <v>239</v>
      </c>
      <c r="Q61" s="231">
        <v>0</v>
      </c>
      <c r="R61" s="231" t="s">
        <v>239</v>
      </c>
      <c r="S61" s="231">
        <v>0</v>
      </c>
      <c r="T61" s="231" t="s">
        <v>239</v>
      </c>
      <c r="U61" s="231">
        <v>0</v>
      </c>
      <c r="V61" s="230" t="s">
        <v>239</v>
      </c>
      <c r="W61" s="231">
        <v>0</v>
      </c>
      <c r="X61" s="231" t="s">
        <v>239</v>
      </c>
      <c r="Y61" s="231">
        <v>0</v>
      </c>
      <c r="Z61" s="231" t="s">
        <v>239</v>
      </c>
      <c r="AA61" s="231">
        <v>0</v>
      </c>
      <c r="AB61" s="231" t="s">
        <v>239</v>
      </c>
      <c r="AC61" s="231">
        <v>0</v>
      </c>
      <c r="AD61" s="231" t="s">
        <v>239</v>
      </c>
      <c r="AE61" s="231">
        <v>0</v>
      </c>
      <c r="AF61" s="231" t="s">
        <v>239</v>
      </c>
      <c r="AG61" s="231">
        <v>0</v>
      </c>
      <c r="AH61" s="231" t="s">
        <v>239</v>
      </c>
      <c r="AI61" s="231">
        <v>0</v>
      </c>
      <c r="AJ61" s="231" t="s">
        <v>239</v>
      </c>
      <c r="AK61" s="231">
        <v>0</v>
      </c>
      <c r="AL61" s="231" t="s">
        <v>239</v>
      </c>
      <c r="AM61" s="231">
        <v>0</v>
      </c>
    </row>
    <row r="62" spans="1:39" ht="15.75" outlineLevel="1">
      <c r="A62" s="412"/>
      <c r="B62" s="12">
        <v>129026</v>
      </c>
      <c r="C62" s="218" t="s">
        <v>1489</v>
      </c>
      <c r="D62" s="218" t="s">
        <v>1490</v>
      </c>
      <c r="E62" s="23" t="s">
        <v>44</v>
      </c>
      <c r="F62" s="17" t="s">
        <v>45</v>
      </c>
      <c r="G62" s="11" t="s">
        <v>1432</v>
      </c>
      <c r="H62" s="12">
        <v>25</v>
      </c>
      <c r="I62" s="11" t="s">
        <v>1433</v>
      </c>
      <c r="J62" s="193" t="s">
        <v>1442</v>
      </c>
      <c r="K62" s="17" t="s">
        <v>233</v>
      </c>
      <c r="L62" s="17" t="s">
        <v>233</v>
      </c>
      <c r="M62" s="231">
        <v>0</v>
      </c>
      <c r="N62" s="232">
        <v>0</v>
      </c>
      <c r="O62" s="132">
        <v>0</v>
      </c>
      <c r="P62" s="231" t="s">
        <v>239</v>
      </c>
      <c r="Q62" s="231">
        <v>0</v>
      </c>
      <c r="R62" s="231" t="s">
        <v>239</v>
      </c>
      <c r="S62" s="231">
        <v>0</v>
      </c>
      <c r="T62" s="231" t="s">
        <v>239</v>
      </c>
      <c r="U62" s="231">
        <v>0</v>
      </c>
      <c r="V62" s="231" t="s">
        <v>239</v>
      </c>
      <c r="W62" s="231">
        <v>0</v>
      </c>
      <c r="X62" s="231" t="s">
        <v>239</v>
      </c>
      <c r="Y62" s="231">
        <v>0</v>
      </c>
      <c r="Z62" s="231" t="s">
        <v>239</v>
      </c>
      <c r="AA62" s="231">
        <v>0</v>
      </c>
      <c r="AB62" s="231" t="s">
        <v>239</v>
      </c>
      <c r="AC62" s="231">
        <v>0</v>
      </c>
      <c r="AD62" s="231" t="s">
        <v>239</v>
      </c>
      <c r="AE62" s="231">
        <v>0</v>
      </c>
      <c r="AF62" s="231" t="s">
        <v>239</v>
      </c>
      <c r="AG62" s="231">
        <v>0</v>
      </c>
      <c r="AH62" s="231" t="s">
        <v>239</v>
      </c>
      <c r="AI62" s="231">
        <v>0</v>
      </c>
      <c r="AJ62" s="231" t="s">
        <v>239</v>
      </c>
      <c r="AK62" s="231">
        <v>0</v>
      </c>
      <c r="AL62" s="231" t="s">
        <v>239</v>
      </c>
      <c r="AM62" s="231">
        <v>0</v>
      </c>
    </row>
    <row r="63" spans="1:39" ht="15.75" outlineLevel="1">
      <c r="A63" s="411">
        <v>27</v>
      </c>
      <c r="B63" s="12">
        <v>129027</v>
      </c>
      <c r="C63" s="218" t="s">
        <v>1489</v>
      </c>
      <c r="D63" s="218" t="s">
        <v>1490</v>
      </c>
      <c r="E63" s="23" t="s">
        <v>138</v>
      </c>
      <c r="F63" s="17" t="s">
        <v>45</v>
      </c>
      <c r="G63" s="11" t="s">
        <v>1432</v>
      </c>
      <c r="H63" s="12">
        <v>13</v>
      </c>
      <c r="I63" s="11" t="s">
        <v>1433</v>
      </c>
      <c r="J63" s="193" t="s">
        <v>1460</v>
      </c>
      <c r="K63" s="17" t="s">
        <v>233</v>
      </c>
      <c r="L63" s="17" t="s">
        <v>233</v>
      </c>
      <c r="M63" s="231">
        <v>48</v>
      </c>
      <c r="N63" s="232">
        <v>48</v>
      </c>
      <c r="O63" s="231">
        <v>48</v>
      </c>
      <c r="P63" s="231" t="s">
        <v>239</v>
      </c>
      <c r="Q63" s="231">
        <v>48</v>
      </c>
      <c r="R63" s="231" t="s">
        <v>239</v>
      </c>
      <c r="S63" s="231">
        <v>48</v>
      </c>
      <c r="T63" s="231" t="s">
        <v>239</v>
      </c>
      <c r="U63" s="231">
        <v>48</v>
      </c>
      <c r="V63" s="231" t="s">
        <v>239</v>
      </c>
      <c r="W63" s="231">
        <v>48</v>
      </c>
      <c r="X63" s="231" t="s">
        <v>239</v>
      </c>
      <c r="Y63" s="231">
        <v>48</v>
      </c>
      <c r="Z63" s="231" t="s">
        <v>239</v>
      </c>
      <c r="AA63" s="231">
        <v>48</v>
      </c>
      <c r="AB63" s="231" t="s">
        <v>239</v>
      </c>
      <c r="AC63" s="231">
        <v>48</v>
      </c>
      <c r="AD63" s="231" t="s">
        <v>239</v>
      </c>
      <c r="AE63" s="231">
        <v>48</v>
      </c>
      <c r="AF63" s="231" t="s">
        <v>239</v>
      </c>
      <c r="AG63" s="231">
        <v>48</v>
      </c>
      <c r="AH63" s="231" t="s">
        <v>239</v>
      </c>
      <c r="AI63" s="231">
        <v>48</v>
      </c>
      <c r="AJ63" s="231" t="s">
        <v>239</v>
      </c>
      <c r="AK63" s="231">
        <v>48</v>
      </c>
      <c r="AL63" s="231" t="s">
        <v>239</v>
      </c>
      <c r="AM63" s="231">
        <v>0</v>
      </c>
    </row>
    <row r="64" spans="1:39" ht="15.75" outlineLevel="1">
      <c r="A64" s="412"/>
      <c r="B64" s="12">
        <v>129027</v>
      </c>
      <c r="C64" s="218" t="s">
        <v>1489</v>
      </c>
      <c r="D64" s="218" t="s">
        <v>1490</v>
      </c>
      <c r="E64" s="23" t="s">
        <v>44</v>
      </c>
      <c r="F64" s="17" t="s">
        <v>45</v>
      </c>
      <c r="G64" s="11" t="s">
        <v>1432</v>
      </c>
      <c r="H64" s="12">
        <v>5</v>
      </c>
      <c r="I64" s="11" t="s">
        <v>1433</v>
      </c>
      <c r="J64" s="193" t="s">
        <v>1457</v>
      </c>
      <c r="K64" s="17" t="s">
        <v>233</v>
      </c>
      <c r="L64" s="17" t="s">
        <v>233</v>
      </c>
      <c r="M64" s="231">
        <v>17807</v>
      </c>
      <c r="N64" s="232">
        <v>17590.82302</v>
      </c>
      <c r="O64" s="132">
        <v>478</v>
      </c>
      <c r="P64" s="231" t="s">
        <v>239</v>
      </c>
      <c r="Q64" s="231">
        <v>725</v>
      </c>
      <c r="R64" s="231" t="s">
        <v>239</v>
      </c>
      <c r="S64" s="231">
        <v>845</v>
      </c>
      <c r="T64" s="231" t="s">
        <v>239</v>
      </c>
      <c r="U64" s="231">
        <v>916</v>
      </c>
      <c r="V64" s="230" t="s">
        <v>239</v>
      </c>
      <c r="W64" s="231">
        <v>1092</v>
      </c>
      <c r="X64" s="231" t="s">
        <v>239</v>
      </c>
      <c r="Y64" s="231">
        <v>8794</v>
      </c>
      <c r="Z64" s="231" t="s">
        <v>239</v>
      </c>
      <c r="AA64" s="231">
        <v>1374</v>
      </c>
      <c r="AB64" s="231" t="s">
        <v>239</v>
      </c>
      <c r="AC64" s="231">
        <v>953</v>
      </c>
      <c r="AD64" s="231" t="s">
        <v>239</v>
      </c>
      <c r="AE64" s="231">
        <v>934</v>
      </c>
      <c r="AF64" s="231" t="s">
        <v>239</v>
      </c>
      <c r="AG64" s="231">
        <v>603</v>
      </c>
      <c r="AH64" s="231" t="s">
        <v>239</v>
      </c>
      <c r="AI64" s="231">
        <v>1757</v>
      </c>
      <c r="AJ64" s="231" t="s">
        <v>239</v>
      </c>
      <c r="AK64" s="231">
        <v>0</v>
      </c>
      <c r="AL64" s="231" t="s">
        <v>239</v>
      </c>
      <c r="AM64" s="231">
        <v>18471</v>
      </c>
    </row>
    <row r="65" spans="1:39" ht="15.75" outlineLevel="1">
      <c r="A65" s="411">
        <v>28</v>
      </c>
      <c r="B65" s="12">
        <v>129028</v>
      </c>
      <c r="C65" s="218" t="s">
        <v>1489</v>
      </c>
      <c r="D65" s="218" t="s">
        <v>1490</v>
      </c>
      <c r="E65" s="23" t="s">
        <v>138</v>
      </c>
      <c r="F65" s="17" t="s">
        <v>45</v>
      </c>
      <c r="G65" s="11" t="s">
        <v>1432</v>
      </c>
      <c r="H65" s="12">
        <v>4</v>
      </c>
      <c r="I65" s="11" t="s">
        <v>1433</v>
      </c>
      <c r="J65" s="193" t="s">
        <v>617</v>
      </c>
      <c r="K65" s="17" t="s">
        <v>233</v>
      </c>
      <c r="L65" s="17" t="s">
        <v>233</v>
      </c>
      <c r="M65" s="231">
        <v>7</v>
      </c>
      <c r="N65" s="232">
        <v>7</v>
      </c>
      <c r="O65" s="231">
        <v>7</v>
      </c>
      <c r="P65" s="231" t="s">
        <v>239</v>
      </c>
      <c r="Q65" s="231">
        <v>7</v>
      </c>
      <c r="R65" s="231" t="s">
        <v>239</v>
      </c>
      <c r="S65" s="231">
        <v>7</v>
      </c>
      <c r="T65" s="231" t="s">
        <v>239</v>
      </c>
      <c r="U65" s="231">
        <v>7</v>
      </c>
      <c r="V65" s="231" t="s">
        <v>239</v>
      </c>
      <c r="W65" s="231">
        <v>7</v>
      </c>
      <c r="X65" s="231" t="s">
        <v>239</v>
      </c>
      <c r="Y65" s="231">
        <v>7</v>
      </c>
      <c r="Z65" s="231" t="s">
        <v>239</v>
      </c>
      <c r="AA65" s="231">
        <v>7</v>
      </c>
      <c r="AB65" s="231" t="s">
        <v>239</v>
      </c>
      <c r="AC65" s="231">
        <v>7</v>
      </c>
      <c r="AD65" s="231" t="s">
        <v>239</v>
      </c>
      <c r="AE65" s="231">
        <v>7</v>
      </c>
      <c r="AF65" s="231" t="s">
        <v>239</v>
      </c>
      <c r="AG65" s="231">
        <v>7</v>
      </c>
      <c r="AH65" s="231" t="s">
        <v>239</v>
      </c>
      <c r="AI65" s="231">
        <v>7</v>
      </c>
      <c r="AJ65" s="231" t="s">
        <v>239</v>
      </c>
      <c r="AK65" s="231">
        <v>7</v>
      </c>
      <c r="AL65" s="231" t="s">
        <v>239</v>
      </c>
      <c r="AM65" s="231">
        <v>0</v>
      </c>
    </row>
    <row r="66" spans="1:39" ht="15.75" outlineLevel="1">
      <c r="A66" s="412"/>
      <c r="B66" s="12">
        <v>129028</v>
      </c>
      <c r="C66" s="218" t="s">
        <v>1489</v>
      </c>
      <c r="D66" s="218" t="s">
        <v>1490</v>
      </c>
      <c r="E66" s="23" t="s">
        <v>44</v>
      </c>
      <c r="F66" s="17" t="s">
        <v>45</v>
      </c>
      <c r="G66" s="11" t="s">
        <v>1432</v>
      </c>
      <c r="H66" s="12">
        <v>18</v>
      </c>
      <c r="I66" s="11" t="s">
        <v>1433</v>
      </c>
      <c r="J66" s="193" t="s">
        <v>216</v>
      </c>
      <c r="K66" s="17" t="s">
        <v>233</v>
      </c>
      <c r="L66" s="17" t="s">
        <v>233</v>
      </c>
      <c r="M66" s="231">
        <v>48582</v>
      </c>
      <c r="N66" s="232">
        <v>47992.214520000001</v>
      </c>
      <c r="O66" s="132">
        <v>1602</v>
      </c>
      <c r="P66" s="231" t="s">
        <v>239</v>
      </c>
      <c r="Q66" s="231">
        <v>239</v>
      </c>
      <c r="R66" s="231" t="s">
        <v>239</v>
      </c>
      <c r="S66" s="231">
        <v>284</v>
      </c>
      <c r="T66" s="231" t="s">
        <v>239</v>
      </c>
      <c r="U66" s="231">
        <v>834</v>
      </c>
      <c r="V66" s="231" t="s">
        <v>239</v>
      </c>
      <c r="W66" s="231">
        <v>851</v>
      </c>
      <c r="X66" s="231" t="s">
        <v>239</v>
      </c>
      <c r="Y66" s="231">
        <v>969</v>
      </c>
      <c r="Z66" s="231" t="s">
        <v>239</v>
      </c>
      <c r="AA66" s="231">
        <v>522</v>
      </c>
      <c r="AB66" s="231" t="s">
        <v>239</v>
      </c>
      <c r="AC66" s="231">
        <v>1035</v>
      </c>
      <c r="AD66" s="231" t="s">
        <v>239</v>
      </c>
      <c r="AE66" s="231">
        <v>845</v>
      </c>
      <c r="AF66" s="231" t="s">
        <v>239</v>
      </c>
      <c r="AG66" s="231">
        <v>372</v>
      </c>
      <c r="AH66" s="231" t="s">
        <v>239</v>
      </c>
      <c r="AI66" s="231">
        <v>1325</v>
      </c>
      <c r="AJ66" s="231" t="s">
        <v>239</v>
      </c>
      <c r="AK66" s="231">
        <v>444</v>
      </c>
      <c r="AL66" s="231" t="s">
        <v>239</v>
      </c>
      <c r="AM66" s="231">
        <v>9322</v>
      </c>
    </row>
    <row r="67" spans="1:39" ht="15.75" outlineLevel="1">
      <c r="A67" s="411">
        <v>29</v>
      </c>
      <c r="B67" s="12">
        <v>129029</v>
      </c>
      <c r="C67" s="218" t="s">
        <v>1489</v>
      </c>
      <c r="D67" s="218" t="s">
        <v>1490</v>
      </c>
      <c r="E67" s="23" t="s">
        <v>138</v>
      </c>
      <c r="F67" s="17" t="s">
        <v>45</v>
      </c>
      <c r="G67" s="11" t="s">
        <v>1432</v>
      </c>
      <c r="H67" s="12">
        <v>17</v>
      </c>
      <c r="I67" s="11" t="s">
        <v>1433</v>
      </c>
      <c r="J67" s="191" t="s">
        <v>216</v>
      </c>
      <c r="K67" s="17" t="s">
        <v>233</v>
      </c>
      <c r="L67" s="17" t="s">
        <v>233</v>
      </c>
      <c r="M67" s="231">
        <v>25</v>
      </c>
      <c r="N67" s="232">
        <v>25</v>
      </c>
      <c r="O67" s="231">
        <v>25</v>
      </c>
      <c r="P67" s="231" t="s">
        <v>239</v>
      </c>
      <c r="Q67" s="231">
        <v>25</v>
      </c>
      <c r="R67" s="231" t="s">
        <v>239</v>
      </c>
      <c r="S67" s="231">
        <v>25</v>
      </c>
      <c r="T67" s="231" t="s">
        <v>239</v>
      </c>
      <c r="U67" s="231">
        <v>25</v>
      </c>
      <c r="V67" s="230" t="s">
        <v>239</v>
      </c>
      <c r="W67" s="231">
        <v>25</v>
      </c>
      <c r="X67" s="231" t="s">
        <v>239</v>
      </c>
      <c r="Y67" s="231">
        <v>25</v>
      </c>
      <c r="Z67" s="231" t="s">
        <v>239</v>
      </c>
      <c r="AA67" s="231">
        <v>25</v>
      </c>
      <c r="AB67" s="231" t="s">
        <v>239</v>
      </c>
      <c r="AC67" s="231">
        <v>25</v>
      </c>
      <c r="AD67" s="231" t="s">
        <v>239</v>
      </c>
      <c r="AE67" s="231">
        <v>25</v>
      </c>
      <c r="AF67" s="231" t="s">
        <v>239</v>
      </c>
      <c r="AG67" s="231">
        <v>25</v>
      </c>
      <c r="AH67" s="231" t="s">
        <v>239</v>
      </c>
      <c r="AI67" s="231">
        <v>25</v>
      </c>
      <c r="AJ67" s="231" t="s">
        <v>239</v>
      </c>
      <c r="AK67" s="231">
        <v>25</v>
      </c>
      <c r="AL67" s="231" t="s">
        <v>239</v>
      </c>
      <c r="AM67" s="231">
        <v>0</v>
      </c>
    </row>
    <row r="68" spans="1:39" ht="15.75" outlineLevel="1">
      <c r="A68" s="412"/>
      <c r="B68" s="12">
        <v>129029</v>
      </c>
      <c r="C68" s="218" t="s">
        <v>1489</v>
      </c>
      <c r="D68" s="218" t="s">
        <v>1490</v>
      </c>
      <c r="E68" s="23" t="s">
        <v>44</v>
      </c>
      <c r="F68" s="17" t="s">
        <v>45</v>
      </c>
      <c r="G68" s="11" t="s">
        <v>1432</v>
      </c>
      <c r="H68" s="12">
        <v>28</v>
      </c>
      <c r="I68" s="11" t="s">
        <v>1433</v>
      </c>
      <c r="J68" s="192" t="s">
        <v>1434</v>
      </c>
      <c r="K68" s="17" t="s">
        <v>233</v>
      </c>
      <c r="L68" s="17" t="s">
        <v>233</v>
      </c>
      <c r="M68" s="231">
        <v>6301</v>
      </c>
      <c r="N68" s="232">
        <v>6224.5058599999993</v>
      </c>
      <c r="O68" s="132">
        <v>814</v>
      </c>
      <c r="P68" s="231" t="s">
        <v>239</v>
      </c>
      <c r="Q68" s="231">
        <v>329</v>
      </c>
      <c r="R68" s="231" t="s">
        <v>239</v>
      </c>
      <c r="S68" s="231">
        <v>355</v>
      </c>
      <c r="T68" s="231" t="s">
        <v>239</v>
      </c>
      <c r="U68" s="231">
        <v>501</v>
      </c>
      <c r="V68" s="231" t="s">
        <v>239</v>
      </c>
      <c r="W68" s="231">
        <v>314</v>
      </c>
      <c r="X68" s="231" t="s">
        <v>239</v>
      </c>
      <c r="Y68" s="231">
        <v>401</v>
      </c>
      <c r="Z68" s="231" t="s">
        <v>239</v>
      </c>
      <c r="AA68" s="231">
        <v>366</v>
      </c>
      <c r="AB68" s="231" t="s">
        <v>239</v>
      </c>
      <c r="AC68" s="231">
        <v>239</v>
      </c>
      <c r="AD68" s="231" t="s">
        <v>239</v>
      </c>
      <c r="AE68" s="231">
        <v>200</v>
      </c>
      <c r="AF68" s="231" t="s">
        <v>239</v>
      </c>
      <c r="AG68" s="231">
        <v>154</v>
      </c>
      <c r="AH68" s="231" t="s">
        <v>239</v>
      </c>
      <c r="AI68" s="231">
        <v>969</v>
      </c>
      <c r="AJ68" s="231" t="s">
        <v>239</v>
      </c>
      <c r="AK68" s="231">
        <v>149</v>
      </c>
      <c r="AL68" s="231" t="s">
        <v>239</v>
      </c>
      <c r="AM68" s="231">
        <v>4791</v>
      </c>
    </row>
    <row r="69" spans="1:39" ht="15.75" outlineLevel="1">
      <c r="A69" s="411">
        <v>30</v>
      </c>
      <c r="B69" s="12">
        <v>129030</v>
      </c>
      <c r="C69" s="218" t="s">
        <v>1489</v>
      </c>
      <c r="D69" s="218" t="s">
        <v>1490</v>
      </c>
      <c r="E69" s="23" t="s">
        <v>138</v>
      </c>
      <c r="F69" s="17" t="s">
        <v>45</v>
      </c>
      <c r="G69" s="11" t="s">
        <v>1432</v>
      </c>
      <c r="H69" s="12">
        <v>33</v>
      </c>
      <c r="I69" s="11" t="s">
        <v>1433</v>
      </c>
      <c r="J69" s="192" t="s">
        <v>1480</v>
      </c>
      <c r="K69" s="17" t="s">
        <v>233</v>
      </c>
      <c r="L69" s="17" t="s">
        <v>233</v>
      </c>
      <c r="M69" s="231">
        <v>37</v>
      </c>
      <c r="N69" s="232">
        <v>37</v>
      </c>
      <c r="O69" s="231">
        <v>37</v>
      </c>
      <c r="P69" s="231" t="s">
        <v>239</v>
      </c>
      <c r="Q69" s="231">
        <v>37</v>
      </c>
      <c r="R69" s="231" t="s">
        <v>239</v>
      </c>
      <c r="S69" s="231">
        <v>37</v>
      </c>
      <c r="T69" s="231" t="s">
        <v>239</v>
      </c>
      <c r="U69" s="231">
        <v>37</v>
      </c>
      <c r="V69" s="231" t="s">
        <v>239</v>
      </c>
      <c r="W69" s="231">
        <v>37</v>
      </c>
      <c r="X69" s="231" t="s">
        <v>239</v>
      </c>
      <c r="Y69" s="231">
        <v>37</v>
      </c>
      <c r="Z69" s="231" t="s">
        <v>239</v>
      </c>
      <c r="AA69" s="231">
        <v>37</v>
      </c>
      <c r="AB69" s="231" t="s">
        <v>239</v>
      </c>
      <c r="AC69" s="231">
        <v>37</v>
      </c>
      <c r="AD69" s="231" t="s">
        <v>239</v>
      </c>
      <c r="AE69" s="231">
        <v>37</v>
      </c>
      <c r="AF69" s="231" t="s">
        <v>239</v>
      </c>
      <c r="AG69" s="231">
        <v>37</v>
      </c>
      <c r="AH69" s="231" t="s">
        <v>239</v>
      </c>
      <c r="AI69" s="231">
        <v>37</v>
      </c>
      <c r="AJ69" s="231" t="s">
        <v>239</v>
      </c>
      <c r="AK69" s="231">
        <v>37</v>
      </c>
      <c r="AL69" s="231" t="s">
        <v>239</v>
      </c>
      <c r="AM69" s="231">
        <v>0</v>
      </c>
    </row>
    <row r="70" spans="1:39" ht="15.75" outlineLevel="1">
      <c r="A70" s="412"/>
      <c r="B70" s="12">
        <v>129030</v>
      </c>
      <c r="C70" s="218" t="s">
        <v>1489</v>
      </c>
      <c r="D70" s="218" t="s">
        <v>1490</v>
      </c>
      <c r="E70" s="23" t="s">
        <v>44</v>
      </c>
      <c r="F70" s="17" t="s">
        <v>45</v>
      </c>
      <c r="G70" s="11" t="s">
        <v>1432</v>
      </c>
      <c r="H70" s="12">
        <v>25</v>
      </c>
      <c r="I70" s="11" t="s">
        <v>1433</v>
      </c>
      <c r="J70" s="192" t="s">
        <v>1452</v>
      </c>
      <c r="K70" s="17" t="s">
        <v>233</v>
      </c>
      <c r="L70" s="17" t="s">
        <v>233</v>
      </c>
      <c r="M70" s="231">
        <v>9666</v>
      </c>
      <c r="N70" s="232">
        <v>9548.6547599999994</v>
      </c>
      <c r="O70" s="132">
        <v>998</v>
      </c>
      <c r="P70" s="231" t="s">
        <v>239</v>
      </c>
      <c r="Q70" s="231">
        <v>907</v>
      </c>
      <c r="R70" s="231" t="s">
        <v>239</v>
      </c>
      <c r="S70" s="231">
        <v>727</v>
      </c>
      <c r="T70" s="231" t="s">
        <v>239</v>
      </c>
      <c r="U70" s="231">
        <v>543</v>
      </c>
      <c r="V70" s="230" t="s">
        <v>239</v>
      </c>
      <c r="W70" s="231">
        <v>837</v>
      </c>
      <c r="X70" s="231" t="s">
        <v>239</v>
      </c>
      <c r="Y70" s="231">
        <v>703</v>
      </c>
      <c r="Z70" s="231" t="s">
        <v>239</v>
      </c>
      <c r="AA70" s="231">
        <v>0</v>
      </c>
      <c r="AB70" s="231" t="s">
        <v>239</v>
      </c>
      <c r="AC70" s="231">
        <v>8866</v>
      </c>
      <c r="AD70" s="231" t="s">
        <v>239</v>
      </c>
      <c r="AE70" s="231">
        <v>630</v>
      </c>
      <c r="AF70" s="231" t="s">
        <v>239</v>
      </c>
      <c r="AG70" s="231">
        <v>154</v>
      </c>
      <c r="AH70" s="231" t="s">
        <v>239</v>
      </c>
      <c r="AI70" s="231">
        <v>1589</v>
      </c>
      <c r="AJ70" s="231" t="s">
        <v>239</v>
      </c>
      <c r="AK70" s="231">
        <v>87</v>
      </c>
      <c r="AL70" s="231" t="s">
        <v>239</v>
      </c>
      <c r="AM70" s="231">
        <v>16041</v>
      </c>
    </row>
    <row r="71" spans="1:39" ht="15.75" outlineLevel="1">
      <c r="A71" s="411">
        <v>31</v>
      </c>
      <c r="B71" s="12">
        <v>129031</v>
      </c>
      <c r="C71" s="218" t="s">
        <v>1489</v>
      </c>
      <c r="D71" s="218" t="s">
        <v>1490</v>
      </c>
      <c r="E71" s="23" t="s">
        <v>138</v>
      </c>
      <c r="F71" s="17" t="s">
        <v>45</v>
      </c>
      <c r="G71" s="11" t="s">
        <v>1432</v>
      </c>
      <c r="H71" s="12">
        <v>9</v>
      </c>
      <c r="I71" s="11" t="s">
        <v>1433</v>
      </c>
      <c r="J71" s="374" t="s">
        <v>207</v>
      </c>
      <c r="K71" s="17" t="s">
        <v>233</v>
      </c>
      <c r="L71" s="17" t="s">
        <v>233</v>
      </c>
      <c r="M71" s="231">
        <v>37</v>
      </c>
      <c r="N71" s="232">
        <v>37</v>
      </c>
      <c r="O71" s="231">
        <v>37</v>
      </c>
      <c r="P71" s="231" t="s">
        <v>239</v>
      </c>
      <c r="Q71" s="231">
        <v>37</v>
      </c>
      <c r="R71" s="231" t="s">
        <v>239</v>
      </c>
      <c r="S71" s="231">
        <v>37</v>
      </c>
      <c r="T71" s="231" t="s">
        <v>239</v>
      </c>
      <c r="U71" s="231">
        <v>37</v>
      </c>
      <c r="V71" s="231" t="s">
        <v>239</v>
      </c>
      <c r="W71" s="231">
        <v>37</v>
      </c>
      <c r="X71" s="231" t="s">
        <v>239</v>
      </c>
      <c r="Y71" s="231">
        <v>37</v>
      </c>
      <c r="Z71" s="231" t="s">
        <v>239</v>
      </c>
      <c r="AA71" s="231">
        <v>37</v>
      </c>
      <c r="AB71" s="231" t="s">
        <v>239</v>
      </c>
      <c r="AC71" s="231">
        <v>37</v>
      </c>
      <c r="AD71" s="231" t="s">
        <v>239</v>
      </c>
      <c r="AE71" s="231">
        <v>37</v>
      </c>
      <c r="AF71" s="231" t="s">
        <v>239</v>
      </c>
      <c r="AG71" s="231">
        <v>37</v>
      </c>
      <c r="AH71" s="231" t="s">
        <v>239</v>
      </c>
      <c r="AI71" s="231">
        <v>37</v>
      </c>
      <c r="AJ71" s="231" t="s">
        <v>239</v>
      </c>
      <c r="AK71" s="231">
        <v>37</v>
      </c>
      <c r="AL71" s="231" t="s">
        <v>239</v>
      </c>
      <c r="AM71" s="231">
        <v>0</v>
      </c>
    </row>
    <row r="72" spans="1:39" ht="15.75" outlineLevel="1">
      <c r="A72" s="412"/>
      <c r="B72" s="12">
        <v>129031</v>
      </c>
      <c r="C72" s="218" t="s">
        <v>1489</v>
      </c>
      <c r="D72" s="218" t="s">
        <v>1490</v>
      </c>
      <c r="E72" s="23" t="s">
        <v>44</v>
      </c>
      <c r="F72" s="17" t="s">
        <v>45</v>
      </c>
      <c r="G72" s="11" t="s">
        <v>1432</v>
      </c>
      <c r="H72" s="12">
        <v>24</v>
      </c>
      <c r="I72" s="11" t="s">
        <v>1433</v>
      </c>
      <c r="J72" s="375"/>
      <c r="K72" s="17" t="s">
        <v>233</v>
      </c>
      <c r="L72" s="17" t="s">
        <v>233</v>
      </c>
      <c r="M72" s="231">
        <v>0</v>
      </c>
      <c r="N72" s="232">
        <v>0</v>
      </c>
      <c r="O72" s="132">
        <v>0</v>
      </c>
      <c r="P72" s="231" t="s">
        <v>239</v>
      </c>
      <c r="Q72" s="231">
        <v>0</v>
      </c>
      <c r="R72" s="231" t="s">
        <v>239</v>
      </c>
      <c r="S72" s="231">
        <v>0</v>
      </c>
      <c r="T72" s="231" t="s">
        <v>239</v>
      </c>
      <c r="U72" s="231">
        <v>0</v>
      </c>
      <c r="V72" s="231" t="s">
        <v>239</v>
      </c>
      <c r="W72" s="231">
        <v>0</v>
      </c>
      <c r="X72" s="231" t="s">
        <v>239</v>
      </c>
      <c r="Y72" s="231">
        <v>0</v>
      </c>
      <c r="Z72" s="231" t="s">
        <v>239</v>
      </c>
      <c r="AA72" s="231">
        <v>0</v>
      </c>
      <c r="AB72" s="231" t="s">
        <v>239</v>
      </c>
      <c r="AC72" s="231">
        <v>0</v>
      </c>
      <c r="AD72" s="231" t="s">
        <v>239</v>
      </c>
      <c r="AE72" s="231">
        <v>0</v>
      </c>
      <c r="AF72" s="231" t="s">
        <v>239</v>
      </c>
      <c r="AG72" s="231">
        <v>0</v>
      </c>
      <c r="AH72" s="231" t="s">
        <v>239</v>
      </c>
      <c r="AI72" s="231">
        <v>0</v>
      </c>
      <c r="AJ72" s="231" t="s">
        <v>239</v>
      </c>
      <c r="AK72" s="231">
        <v>0</v>
      </c>
      <c r="AL72" s="231" t="s">
        <v>239</v>
      </c>
      <c r="AM72" s="231">
        <v>0</v>
      </c>
    </row>
    <row r="73" spans="1:39" ht="15.75" outlineLevel="1">
      <c r="A73" s="411">
        <v>32</v>
      </c>
      <c r="B73" s="12">
        <v>129032</v>
      </c>
      <c r="C73" s="218" t="s">
        <v>1489</v>
      </c>
      <c r="D73" s="218" t="s">
        <v>1490</v>
      </c>
      <c r="E73" s="23" t="s">
        <v>138</v>
      </c>
      <c r="F73" s="17" t="s">
        <v>45</v>
      </c>
      <c r="G73" s="11" t="s">
        <v>1432</v>
      </c>
      <c r="H73" s="12">
        <v>36</v>
      </c>
      <c r="I73" s="11" t="s">
        <v>1433</v>
      </c>
      <c r="J73" s="193" t="s">
        <v>1460</v>
      </c>
      <c r="K73" s="17" t="s">
        <v>233</v>
      </c>
      <c r="L73" s="17" t="s">
        <v>233</v>
      </c>
      <c r="M73" s="231">
        <v>29</v>
      </c>
      <c r="N73" s="232">
        <v>29</v>
      </c>
      <c r="O73" s="231">
        <v>29</v>
      </c>
      <c r="P73" s="231" t="s">
        <v>239</v>
      </c>
      <c r="Q73" s="231">
        <v>29</v>
      </c>
      <c r="R73" s="231" t="s">
        <v>239</v>
      </c>
      <c r="S73" s="231">
        <v>29</v>
      </c>
      <c r="T73" s="231" t="s">
        <v>239</v>
      </c>
      <c r="U73" s="231">
        <v>29</v>
      </c>
      <c r="V73" s="230" t="s">
        <v>239</v>
      </c>
      <c r="W73" s="231">
        <v>29</v>
      </c>
      <c r="X73" s="231" t="s">
        <v>239</v>
      </c>
      <c r="Y73" s="231">
        <v>29</v>
      </c>
      <c r="Z73" s="231" t="s">
        <v>239</v>
      </c>
      <c r="AA73" s="231">
        <v>29</v>
      </c>
      <c r="AB73" s="231" t="s">
        <v>239</v>
      </c>
      <c r="AC73" s="231">
        <v>29</v>
      </c>
      <c r="AD73" s="231" t="s">
        <v>239</v>
      </c>
      <c r="AE73" s="231">
        <v>29</v>
      </c>
      <c r="AF73" s="231" t="s">
        <v>239</v>
      </c>
      <c r="AG73" s="231">
        <v>29</v>
      </c>
      <c r="AH73" s="231" t="s">
        <v>239</v>
      </c>
      <c r="AI73" s="231">
        <v>29</v>
      </c>
      <c r="AJ73" s="231" t="s">
        <v>239</v>
      </c>
      <c r="AK73" s="231">
        <v>29</v>
      </c>
      <c r="AL73" s="231" t="s">
        <v>239</v>
      </c>
      <c r="AM73" s="231">
        <v>0</v>
      </c>
    </row>
    <row r="74" spans="1:39" ht="15.75" outlineLevel="1">
      <c r="A74" s="412"/>
      <c r="B74" s="12">
        <v>129032</v>
      </c>
      <c r="C74" s="218" t="s">
        <v>1489</v>
      </c>
      <c r="D74" s="218" t="s">
        <v>1490</v>
      </c>
      <c r="E74" s="23" t="s">
        <v>44</v>
      </c>
      <c r="F74" s="17" t="s">
        <v>45</v>
      </c>
      <c r="G74" s="11" t="s">
        <v>1432</v>
      </c>
      <c r="H74" s="12">
        <v>34</v>
      </c>
      <c r="I74" s="11" t="s">
        <v>1433</v>
      </c>
      <c r="J74" s="193" t="s">
        <v>1442</v>
      </c>
      <c r="K74" s="17" t="s">
        <v>233</v>
      </c>
      <c r="L74" s="17" t="s">
        <v>233</v>
      </c>
      <c r="M74" s="231">
        <v>9100</v>
      </c>
      <c r="N74" s="232">
        <v>8989.5259999999998</v>
      </c>
      <c r="O74" s="132">
        <v>0</v>
      </c>
      <c r="P74" s="231" t="s">
        <v>239</v>
      </c>
      <c r="Q74" s="231">
        <v>688</v>
      </c>
      <c r="R74" s="231" t="s">
        <v>239</v>
      </c>
      <c r="S74" s="231">
        <v>819</v>
      </c>
      <c r="T74" s="231" t="s">
        <v>239</v>
      </c>
      <c r="U74" s="231">
        <v>752</v>
      </c>
      <c r="V74" s="231" t="s">
        <v>239</v>
      </c>
      <c r="W74" s="231">
        <v>624</v>
      </c>
      <c r="X74" s="231" t="s">
        <v>239</v>
      </c>
      <c r="Y74" s="231">
        <v>688</v>
      </c>
      <c r="Z74" s="231" t="s">
        <v>239</v>
      </c>
      <c r="AA74" s="231">
        <v>771</v>
      </c>
      <c r="AB74" s="231" t="s">
        <v>239</v>
      </c>
      <c r="AC74" s="231">
        <v>517</v>
      </c>
      <c r="AD74" s="231" t="s">
        <v>239</v>
      </c>
      <c r="AE74" s="231">
        <v>558</v>
      </c>
      <c r="AF74" s="231" t="s">
        <v>239</v>
      </c>
      <c r="AG74" s="231">
        <v>148</v>
      </c>
      <c r="AH74" s="231" t="s">
        <v>239</v>
      </c>
      <c r="AI74" s="231">
        <v>1274</v>
      </c>
      <c r="AJ74" s="231" t="s">
        <v>239</v>
      </c>
      <c r="AK74" s="231">
        <v>176</v>
      </c>
      <c r="AL74" s="231" t="s">
        <v>239</v>
      </c>
      <c r="AM74" s="231">
        <v>7015</v>
      </c>
    </row>
    <row r="75" spans="1:39" ht="15.75" outlineLevel="1">
      <c r="A75" s="411">
        <v>33</v>
      </c>
      <c r="B75" s="12">
        <v>129033</v>
      </c>
      <c r="C75" s="218" t="s">
        <v>1489</v>
      </c>
      <c r="D75" s="218" t="s">
        <v>1490</v>
      </c>
      <c r="E75" s="23" t="s">
        <v>138</v>
      </c>
      <c r="F75" s="17" t="s">
        <v>45</v>
      </c>
      <c r="G75" s="11" t="s">
        <v>1432</v>
      </c>
      <c r="H75" s="12">
        <v>7</v>
      </c>
      <c r="I75" s="11" t="s">
        <v>1433</v>
      </c>
      <c r="J75" s="193" t="s">
        <v>1460</v>
      </c>
      <c r="K75" s="17" t="s">
        <v>233</v>
      </c>
      <c r="L75" s="17" t="s">
        <v>233</v>
      </c>
      <c r="M75" s="231">
        <v>29</v>
      </c>
      <c r="N75" s="232">
        <v>29</v>
      </c>
      <c r="O75" s="231">
        <v>29</v>
      </c>
      <c r="P75" s="231" t="s">
        <v>239</v>
      </c>
      <c r="Q75" s="231">
        <v>29</v>
      </c>
      <c r="R75" s="231" t="s">
        <v>239</v>
      </c>
      <c r="S75" s="231">
        <v>29</v>
      </c>
      <c r="T75" s="231" t="s">
        <v>239</v>
      </c>
      <c r="U75" s="231">
        <v>29</v>
      </c>
      <c r="V75" s="231" t="s">
        <v>239</v>
      </c>
      <c r="W75" s="231">
        <v>29</v>
      </c>
      <c r="X75" s="231" t="s">
        <v>239</v>
      </c>
      <c r="Y75" s="231">
        <v>29</v>
      </c>
      <c r="Z75" s="231" t="s">
        <v>239</v>
      </c>
      <c r="AA75" s="231">
        <v>29</v>
      </c>
      <c r="AB75" s="231" t="s">
        <v>239</v>
      </c>
      <c r="AC75" s="231">
        <v>29</v>
      </c>
      <c r="AD75" s="231" t="s">
        <v>239</v>
      </c>
      <c r="AE75" s="231">
        <v>29</v>
      </c>
      <c r="AF75" s="231" t="s">
        <v>239</v>
      </c>
      <c r="AG75" s="231">
        <v>29</v>
      </c>
      <c r="AH75" s="231" t="s">
        <v>239</v>
      </c>
      <c r="AI75" s="231">
        <v>29</v>
      </c>
      <c r="AJ75" s="231" t="s">
        <v>239</v>
      </c>
      <c r="AK75" s="231">
        <v>29</v>
      </c>
      <c r="AL75" s="231" t="s">
        <v>239</v>
      </c>
      <c r="AM75" s="231">
        <v>0</v>
      </c>
    </row>
    <row r="76" spans="1:39" ht="15.75" outlineLevel="1">
      <c r="A76" s="412"/>
      <c r="B76" s="12">
        <v>129033</v>
      </c>
      <c r="C76" s="218" t="s">
        <v>1489</v>
      </c>
      <c r="D76" s="218" t="s">
        <v>1490</v>
      </c>
      <c r="E76" s="23" t="s">
        <v>44</v>
      </c>
      <c r="F76" s="17" t="s">
        <v>45</v>
      </c>
      <c r="G76" s="11" t="s">
        <v>1432</v>
      </c>
      <c r="H76" s="12">
        <v>5</v>
      </c>
      <c r="I76" s="11" t="s">
        <v>1433</v>
      </c>
      <c r="J76" s="193" t="s">
        <v>1457</v>
      </c>
      <c r="K76" s="17" t="s">
        <v>233</v>
      </c>
      <c r="L76" s="17" t="s">
        <v>233</v>
      </c>
      <c r="M76" s="231">
        <v>0</v>
      </c>
      <c r="N76" s="232">
        <v>0</v>
      </c>
      <c r="O76" s="132">
        <v>0</v>
      </c>
      <c r="P76" s="231" t="s">
        <v>239</v>
      </c>
      <c r="Q76" s="231">
        <v>0</v>
      </c>
      <c r="R76" s="231" t="s">
        <v>239</v>
      </c>
      <c r="S76" s="231">
        <v>0</v>
      </c>
      <c r="T76" s="231" t="s">
        <v>239</v>
      </c>
      <c r="U76" s="231">
        <v>0</v>
      </c>
      <c r="V76" s="230" t="s">
        <v>239</v>
      </c>
      <c r="W76" s="231">
        <v>0</v>
      </c>
      <c r="X76" s="231" t="s">
        <v>239</v>
      </c>
      <c r="Y76" s="231">
        <v>0</v>
      </c>
      <c r="Z76" s="231" t="s">
        <v>239</v>
      </c>
      <c r="AA76" s="231">
        <v>0</v>
      </c>
      <c r="AB76" s="231" t="s">
        <v>239</v>
      </c>
      <c r="AC76" s="231">
        <v>0</v>
      </c>
      <c r="AD76" s="231" t="s">
        <v>239</v>
      </c>
      <c r="AE76" s="231">
        <v>0</v>
      </c>
      <c r="AF76" s="231" t="s">
        <v>239</v>
      </c>
      <c r="AG76" s="231">
        <v>0</v>
      </c>
      <c r="AH76" s="231" t="s">
        <v>239</v>
      </c>
      <c r="AI76" s="231">
        <v>0</v>
      </c>
      <c r="AJ76" s="231" t="s">
        <v>239</v>
      </c>
      <c r="AK76" s="231">
        <v>0</v>
      </c>
      <c r="AL76" s="231" t="s">
        <v>239</v>
      </c>
      <c r="AM76" s="231">
        <v>0</v>
      </c>
    </row>
    <row r="77" spans="1:39" ht="15.75" outlineLevel="1">
      <c r="A77" s="411">
        <v>34</v>
      </c>
      <c r="B77" s="12">
        <v>129034</v>
      </c>
      <c r="C77" s="218" t="s">
        <v>1489</v>
      </c>
      <c r="D77" s="218" t="s">
        <v>1490</v>
      </c>
      <c r="E77" s="23" t="s">
        <v>138</v>
      </c>
      <c r="F77" s="17" t="s">
        <v>45</v>
      </c>
      <c r="G77" s="11" t="s">
        <v>1432</v>
      </c>
      <c r="H77" s="12">
        <v>4</v>
      </c>
      <c r="I77" s="11" t="s">
        <v>1433</v>
      </c>
      <c r="J77" s="193" t="s">
        <v>617</v>
      </c>
      <c r="K77" s="17" t="s">
        <v>233</v>
      </c>
      <c r="L77" s="17" t="s">
        <v>233</v>
      </c>
      <c r="M77" s="231">
        <v>12</v>
      </c>
      <c r="N77" s="232">
        <v>12</v>
      </c>
      <c r="O77" s="231">
        <v>12</v>
      </c>
      <c r="P77" s="231" t="s">
        <v>239</v>
      </c>
      <c r="Q77" s="231">
        <v>12</v>
      </c>
      <c r="R77" s="231" t="s">
        <v>239</v>
      </c>
      <c r="S77" s="231">
        <v>12</v>
      </c>
      <c r="T77" s="231" t="s">
        <v>239</v>
      </c>
      <c r="U77" s="231">
        <v>12</v>
      </c>
      <c r="V77" s="231" t="s">
        <v>239</v>
      </c>
      <c r="W77" s="231">
        <v>12</v>
      </c>
      <c r="X77" s="231" t="s">
        <v>239</v>
      </c>
      <c r="Y77" s="231">
        <v>12</v>
      </c>
      <c r="Z77" s="231" t="s">
        <v>239</v>
      </c>
      <c r="AA77" s="231">
        <v>12</v>
      </c>
      <c r="AB77" s="231" t="s">
        <v>239</v>
      </c>
      <c r="AC77" s="231">
        <v>12</v>
      </c>
      <c r="AD77" s="231" t="s">
        <v>239</v>
      </c>
      <c r="AE77" s="231">
        <v>12</v>
      </c>
      <c r="AF77" s="231" t="s">
        <v>239</v>
      </c>
      <c r="AG77" s="231">
        <v>12</v>
      </c>
      <c r="AH77" s="231" t="s">
        <v>239</v>
      </c>
      <c r="AI77" s="231">
        <v>12</v>
      </c>
      <c r="AJ77" s="231" t="s">
        <v>239</v>
      </c>
      <c r="AK77" s="231">
        <v>12</v>
      </c>
      <c r="AL77" s="231" t="s">
        <v>239</v>
      </c>
      <c r="AM77" s="231">
        <v>0</v>
      </c>
    </row>
    <row r="78" spans="1:39" ht="15.75" outlineLevel="1">
      <c r="A78" s="412"/>
      <c r="B78" s="12">
        <v>129034</v>
      </c>
      <c r="C78" s="218" t="s">
        <v>1489</v>
      </c>
      <c r="D78" s="218" t="s">
        <v>1490</v>
      </c>
      <c r="E78" s="23" t="s">
        <v>44</v>
      </c>
      <c r="F78" s="17" t="s">
        <v>45</v>
      </c>
      <c r="G78" s="11" t="s">
        <v>1432</v>
      </c>
      <c r="H78" s="12">
        <v>3</v>
      </c>
      <c r="I78" s="11" t="s">
        <v>1433</v>
      </c>
      <c r="J78" s="193" t="s">
        <v>216</v>
      </c>
      <c r="K78" s="17" t="s">
        <v>233</v>
      </c>
      <c r="L78" s="17" t="s">
        <v>233</v>
      </c>
      <c r="M78" s="231">
        <v>2194</v>
      </c>
      <c r="N78" s="232">
        <v>2167.3648399999997</v>
      </c>
      <c r="O78" s="132">
        <v>388</v>
      </c>
      <c r="P78" s="231" t="s">
        <v>239</v>
      </c>
      <c r="Q78" s="231">
        <v>527</v>
      </c>
      <c r="R78" s="231" t="s">
        <v>239</v>
      </c>
      <c r="S78" s="231">
        <v>427</v>
      </c>
      <c r="T78" s="231" t="s">
        <v>239</v>
      </c>
      <c r="U78" s="231">
        <v>377</v>
      </c>
      <c r="V78" s="231" t="s">
        <v>239</v>
      </c>
      <c r="W78" s="231">
        <v>357</v>
      </c>
      <c r="X78" s="231" t="s">
        <v>239</v>
      </c>
      <c r="Y78" s="231">
        <v>171</v>
      </c>
      <c r="Z78" s="231" t="s">
        <v>239</v>
      </c>
      <c r="AA78" s="231">
        <v>247</v>
      </c>
      <c r="AB78" s="231" t="s">
        <v>239</v>
      </c>
      <c r="AC78" s="231">
        <v>271</v>
      </c>
      <c r="AD78" s="231" t="s">
        <v>239</v>
      </c>
      <c r="AE78" s="231">
        <v>314</v>
      </c>
      <c r="AF78" s="231" t="s">
        <v>239</v>
      </c>
      <c r="AG78" s="231">
        <v>154</v>
      </c>
      <c r="AH78" s="231" t="s">
        <v>239</v>
      </c>
      <c r="AI78" s="231">
        <v>709</v>
      </c>
      <c r="AJ78" s="231" t="s">
        <v>239</v>
      </c>
      <c r="AK78" s="231">
        <v>841</v>
      </c>
      <c r="AL78" s="231" t="s">
        <v>239</v>
      </c>
      <c r="AM78" s="231">
        <v>4783</v>
      </c>
    </row>
    <row r="79" spans="1:39" ht="15.75" outlineLevel="1">
      <c r="A79" s="411">
        <v>35</v>
      </c>
      <c r="B79" s="12">
        <v>129035</v>
      </c>
      <c r="C79" s="218" t="s">
        <v>1489</v>
      </c>
      <c r="D79" s="218" t="s">
        <v>1490</v>
      </c>
      <c r="E79" s="23" t="s">
        <v>138</v>
      </c>
      <c r="F79" s="17" t="s">
        <v>45</v>
      </c>
      <c r="G79" s="11" t="s">
        <v>1432</v>
      </c>
      <c r="H79" s="12">
        <v>15</v>
      </c>
      <c r="I79" s="11" t="s">
        <v>1433</v>
      </c>
      <c r="J79" s="192" t="s">
        <v>1446</v>
      </c>
      <c r="K79" s="17" t="s">
        <v>233</v>
      </c>
      <c r="L79" s="17" t="s">
        <v>233</v>
      </c>
      <c r="M79" s="231">
        <v>11</v>
      </c>
      <c r="N79" s="232">
        <v>11</v>
      </c>
      <c r="O79" s="231">
        <v>11</v>
      </c>
      <c r="P79" s="231" t="s">
        <v>239</v>
      </c>
      <c r="Q79" s="231">
        <v>11</v>
      </c>
      <c r="R79" s="231" t="s">
        <v>239</v>
      </c>
      <c r="S79" s="231">
        <v>11</v>
      </c>
      <c r="T79" s="231" t="s">
        <v>239</v>
      </c>
      <c r="U79" s="231">
        <v>11</v>
      </c>
      <c r="V79" s="230" t="s">
        <v>239</v>
      </c>
      <c r="W79" s="231">
        <v>11</v>
      </c>
      <c r="X79" s="231" t="s">
        <v>239</v>
      </c>
      <c r="Y79" s="231">
        <v>11</v>
      </c>
      <c r="Z79" s="231" t="s">
        <v>239</v>
      </c>
      <c r="AA79" s="231">
        <v>11</v>
      </c>
      <c r="AB79" s="231" t="s">
        <v>239</v>
      </c>
      <c r="AC79" s="231">
        <v>11</v>
      </c>
      <c r="AD79" s="231" t="s">
        <v>239</v>
      </c>
      <c r="AE79" s="231">
        <v>11</v>
      </c>
      <c r="AF79" s="231" t="s">
        <v>239</v>
      </c>
      <c r="AG79" s="231">
        <v>11</v>
      </c>
      <c r="AH79" s="231" t="s">
        <v>239</v>
      </c>
      <c r="AI79" s="231">
        <v>11</v>
      </c>
      <c r="AJ79" s="231" t="s">
        <v>239</v>
      </c>
      <c r="AK79" s="231">
        <v>11</v>
      </c>
      <c r="AL79" s="231" t="s">
        <v>239</v>
      </c>
      <c r="AM79" s="231">
        <v>0</v>
      </c>
    </row>
    <row r="80" spans="1:39" ht="15.75" outlineLevel="1">
      <c r="A80" s="412"/>
      <c r="B80" s="12">
        <v>129035</v>
      </c>
      <c r="C80" s="218" t="s">
        <v>1489</v>
      </c>
      <c r="D80" s="218" t="s">
        <v>1490</v>
      </c>
      <c r="E80" s="23" t="s">
        <v>44</v>
      </c>
      <c r="F80" s="17" t="s">
        <v>45</v>
      </c>
      <c r="G80" s="11" t="s">
        <v>1432</v>
      </c>
      <c r="H80" s="12">
        <v>21</v>
      </c>
      <c r="I80" s="11" t="s">
        <v>1433</v>
      </c>
      <c r="J80" s="192" t="s">
        <v>1481</v>
      </c>
      <c r="K80" s="17" t="s">
        <v>233</v>
      </c>
      <c r="L80" s="17" t="s">
        <v>233</v>
      </c>
      <c r="M80" s="231">
        <v>6435</v>
      </c>
      <c r="N80" s="232">
        <v>6356.8791000000001</v>
      </c>
      <c r="O80" s="132">
        <v>568</v>
      </c>
      <c r="P80" s="231" t="s">
        <v>239</v>
      </c>
      <c r="Q80" s="231">
        <v>871</v>
      </c>
      <c r="R80" s="231" t="s">
        <v>239</v>
      </c>
      <c r="S80" s="231">
        <v>717</v>
      </c>
      <c r="T80" s="231" t="s">
        <v>239</v>
      </c>
      <c r="U80" s="231">
        <v>664</v>
      </c>
      <c r="V80" s="231" t="s">
        <v>239</v>
      </c>
      <c r="W80" s="231">
        <v>474</v>
      </c>
      <c r="X80" s="231" t="s">
        <v>239</v>
      </c>
      <c r="Y80" s="231">
        <v>151</v>
      </c>
      <c r="Z80" s="231" t="s">
        <v>239</v>
      </c>
      <c r="AA80" s="231">
        <v>415</v>
      </c>
      <c r="AB80" s="231" t="s">
        <v>239</v>
      </c>
      <c r="AC80" s="231">
        <v>300</v>
      </c>
      <c r="AD80" s="231" t="s">
        <v>239</v>
      </c>
      <c r="AE80" s="231">
        <v>272</v>
      </c>
      <c r="AF80" s="231" t="s">
        <v>239</v>
      </c>
      <c r="AG80" s="231">
        <v>150</v>
      </c>
      <c r="AH80" s="231" t="s">
        <v>239</v>
      </c>
      <c r="AI80" s="231">
        <v>531</v>
      </c>
      <c r="AJ80" s="231" t="s">
        <v>239</v>
      </c>
      <c r="AK80" s="231">
        <v>413</v>
      </c>
      <c r="AL80" s="231" t="s">
        <v>239</v>
      </c>
      <c r="AM80" s="231">
        <v>5526</v>
      </c>
    </row>
    <row r="81" spans="1:39" ht="15.75" outlineLevel="1">
      <c r="A81" s="411">
        <v>36</v>
      </c>
      <c r="B81" s="12">
        <v>129036</v>
      </c>
      <c r="C81" s="218" t="s">
        <v>1489</v>
      </c>
      <c r="D81" s="218" t="s">
        <v>1490</v>
      </c>
      <c r="E81" s="23" t="s">
        <v>138</v>
      </c>
      <c r="F81" s="17" t="s">
        <v>45</v>
      </c>
      <c r="G81" s="11" t="s">
        <v>1432</v>
      </c>
      <c r="H81" s="12">
        <v>19</v>
      </c>
      <c r="I81" s="11" t="s">
        <v>1433</v>
      </c>
      <c r="J81" s="192" t="s">
        <v>208</v>
      </c>
      <c r="K81" s="17" t="s">
        <v>233</v>
      </c>
      <c r="L81" s="17" t="s">
        <v>233</v>
      </c>
      <c r="M81" s="231">
        <v>11</v>
      </c>
      <c r="N81" s="232">
        <v>11</v>
      </c>
      <c r="O81" s="231">
        <v>11</v>
      </c>
      <c r="P81" s="231" t="s">
        <v>239</v>
      </c>
      <c r="Q81" s="231">
        <v>11</v>
      </c>
      <c r="R81" s="231" t="s">
        <v>239</v>
      </c>
      <c r="S81" s="231">
        <v>11</v>
      </c>
      <c r="T81" s="231" t="s">
        <v>239</v>
      </c>
      <c r="U81" s="231">
        <v>11</v>
      </c>
      <c r="V81" s="231" t="s">
        <v>239</v>
      </c>
      <c r="W81" s="231">
        <v>11</v>
      </c>
      <c r="X81" s="231" t="s">
        <v>239</v>
      </c>
      <c r="Y81" s="231">
        <v>11</v>
      </c>
      <c r="Z81" s="231" t="s">
        <v>239</v>
      </c>
      <c r="AA81" s="231">
        <v>11</v>
      </c>
      <c r="AB81" s="231" t="s">
        <v>239</v>
      </c>
      <c r="AC81" s="231">
        <v>11</v>
      </c>
      <c r="AD81" s="231" t="s">
        <v>239</v>
      </c>
      <c r="AE81" s="231">
        <v>11</v>
      </c>
      <c r="AF81" s="231" t="s">
        <v>239</v>
      </c>
      <c r="AG81" s="231">
        <v>11</v>
      </c>
      <c r="AH81" s="231" t="s">
        <v>239</v>
      </c>
      <c r="AI81" s="231">
        <v>11</v>
      </c>
      <c r="AJ81" s="231" t="s">
        <v>239</v>
      </c>
      <c r="AK81" s="231">
        <v>11</v>
      </c>
      <c r="AL81" s="231" t="s">
        <v>239</v>
      </c>
      <c r="AM81" s="231">
        <v>0</v>
      </c>
    </row>
    <row r="82" spans="1:39" ht="15.75" outlineLevel="1">
      <c r="A82" s="412"/>
      <c r="B82" s="12">
        <v>129036</v>
      </c>
      <c r="C82" s="218" t="s">
        <v>1489</v>
      </c>
      <c r="D82" s="218" t="s">
        <v>1490</v>
      </c>
      <c r="E82" s="23" t="s">
        <v>44</v>
      </c>
      <c r="F82" s="17" t="s">
        <v>45</v>
      </c>
      <c r="G82" s="11" t="s">
        <v>1432</v>
      </c>
      <c r="H82" s="12">
        <v>30</v>
      </c>
      <c r="I82" s="11" t="s">
        <v>1433</v>
      </c>
      <c r="J82" s="192" t="s">
        <v>1463</v>
      </c>
      <c r="K82" s="17" t="s">
        <v>233</v>
      </c>
      <c r="L82" s="17" t="s">
        <v>233</v>
      </c>
      <c r="M82" s="231">
        <v>0</v>
      </c>
      <c r="N82" s="232">
        <v>0</v>
      </c>
      <c r="O82" s="132">
        <v>0</v>
      </c>
      <c r="P82" s="231" t="s">
        <v>239</v>
      </c>
      <c r="Q82" s="231">
        <v>0</v>
      </c>
      <c r="R82" s="231" t="s">
        <v>239</v>
      </c>
      <c r="S82" s="231">
        <v>0</v>
      </c>
      <c r="T82" s="231" t="s">
        <v>239</v>
      </c>
      <c r="U82" s="231">
        <v>0</v>
      </c>
      <c r="V82" s="230" t="s">
        <v>239</v>
      </c>
      <c r="W82" s="231">
        <v>0</v>
      </c>
      <c r="X82" s="231" t="s">
        <v>239</v>
      </c>
      <c r="Y82" s="231">
        <v>0</v>
      </c>
      <c r="Z82" s="231" t="s">
        <v>239</v>
      </c>
      <c r="AA82" s="231">
        <v>0</v>
      </c>
      <c r="AB82" s="231" t="s">
        <v>239</v>
      </c>
      <c r="AC82" s="231">
        <v>0</v>
      </c>
      <c r="AD82" s="231" t="s">
        <v>239</v>
      </c>
      <c r="AE82" s="231">
        <v>0</v>
      </c>
      <c r="AF82" s="231" t="s">
        <v>239</v>
      </c>
      <c r="AG82" s="231">
        <v>0</v>
      </c>
      <c r="AH82" s="231" t="s">
        <v>239</v>
      </c>
      <c r="AI82" s="231">
        <v>0</v>
      </c>
      <c r="AJ82" s="231" t="s">
        <v>239</v>
      </c>
      <c r="AK82" s="231">
        <v>0</v>
      </c>
      <c r="AL82" s="231" t="s">
        <v>239</v>
      </c>
      <c r="AM82" s="231">
        <v>0</v>
      </c>
    </row>
    <row r="83" spans="1:39" ht="15.75" outlineLevel="1">
      <c r="A83" s="411">
        <v>37</v>
      </c>
      <c r="B83" s="12">
        <v>129037</v>
      </c>
      <c r="C83" s="218" t="s">
        <v>1489</v>
      </c>
      <c r="D83" s="218" t="s">
        <v>1490</v>
      </c>
      <c r="E83" s="23" t="s">
        <v>138</v>
      </c>
      <c r="F83" s="17" t="s">
        <v>45</v>
      </c>
      <c r="G83" s="11" t="s">
        <v>1432</v>
      </c>
      <c r="H83" s="12">
        <v>33</v>
      </c>
      <c r="I83" s="11" t="s">
        <v>1433</v>
      </c>
      <c r="J83" s="192" t="s">
        <v>1482</v>
      </c>
      <c r="K83" s="17" t="s">
        <v>233</v>
      </c>
      <c r="L83" s="17" t="s">
        <v>233</v>
      </c>
      <c r="M83" s="231">
        <v>25</v>
      </c>
      <c r="N83" s="232">
        <v>25</v>
      </c>
      <c r="O83" s="231">
        <v>25</v>
      </c>
      <c r="P83" s="231" t="s">
        <v>239</v>
      </c>
      <c r="Q83" s="231">
        <v>25</v>
      </c>
      <c r="R83" s="231" t="s">
        <v>239</v>
      </c>
      <c r="S83" s="231">
        <v>25</v>
      </c>
      <c r="T83" s="231" t="s">
        <v>239</v>
      </c>
      <c r="U83" s="231">
        <v>25</v>
      </c>
      <c r="V83" s="231" t="s">
        <v>239</v>
      </c>
      <c r="W83" s="231">
        <v>25</v>
      </c>
      <c r="X83" s="231" t="s">
        <v>239</v>
      </c>
      <c r="Y83" s="231">
        <v>25</v>
      </c>
      <c r="Z83" s="231" t="s">
        <v>239</v>
      </c>
      <c r="AA83" s="231">
        <v>25</v>
      </c>
      <c r="AB83" s="231" t="s">
        <v>239</v>
      </c>
      <c r="AC83" s="231">
        <v>25</v>
      </c>
      <c r="AD83" s="231" t="s">
        <v>239</v>
      </c>
      <c r="AE83" s="231">
        <v>25</v>
      </c>
      <c r="AF83" s="231" t="s">
        <v>239</v>
      </c>
      <c r="AG83" s="231">
        <v>25</v>
      </c>
      <c r="AH83" s="231" t="s">
        <v>239</v>
      </c>
      <c r="AI83" s="231">
        <v>25</v>
      </c>
      <c r="AJ83" s="231" t="s">
        <v>239</v>
      </c>
      <c r="AK83" s="231">
        <v>25</v>
      </c>
      <c r="AL83" s="231" t="s">
        <v>239</v>
      </c>
      <c r="AM83" s="231">
        <v>0</v>
      </c>
    </row>
    <row r="84" spans="1:39" ht="15.75" outlineLevel="1">
      <c r="A84" s="412"/>
      <c r="B84" s="12">
        <v>129037</v>
      </c>
      <c r="C84" s="218" t="s">
        <v>1489</v>
      </c>
      <c r="D84" s="218" t="s">
        <v>1490</v>
      </c>
      <c r="E84" s="23" t="s">
        <v>44</v>
      </c>
      <c r="F84" s="17" t="s">
        <v>45</v>
      </c>
      <c r="G84" s="11" t="s">
        <v>1432</v>
      </c>
      <c r="H84" s="12">
        <v>19</v>
      </c>
      <c r="I84" s="11" t="s">
        <v>1433</v>
      </c>
      <c r="J84" s="192" t="s">
        <v>1462</v>
      </c>
      <c r="K84" s="17" t="s">
        <v>233</v>
      </c>
      <c r="L84" s="17" t="s">
        <v>233</v>
      </c>
      <c r="M84" s="231">
        <v>13870</v>
      </c>
      <c r="N84" s="232">
        <v>13701.618199999999</v>
      </c>
      <c r="O84" s="132">
        <v>694</v>
      </c>
      <c r="P84" s="231" t="s">
        <v>239</v>
      </c>
      <c r="Q84" s="231">
        <v>848</v>
      </c>
      <c r="R84" s="231" t="s">
        <v>239</v>
      </c>
      <c r="S84" s="231">
        <v>578</v>
      </c>
      <c r="T84" s="231" t="s">
        <v>239</v>
      </c>
      <c r="U84" s="231">
        <v>611</v>
      </c>
      <c r="V84" s="231" t="s">
        <v>239</v>
      </c>
      <c r="W84" s="231">
        <v>432</v>
      </c>
      <c r="X84" s="231" t="s">
        <v>239</v>
      </c>
      <c r="Y84" s="231">
        <v>541</v>
      </c>
      <c r="Z84" s="231" t="s">
        <v>239</v>
      </c>
      <c r="AA84" s="231">
        <v>7216</v>
      </c>
      <c r="AB84" s="231" t="s">
        <v>239</v>
      </c>
      <c r="AC84" s="231">
        <v>830</v>
      </c>
      <c r="AD84" s="231" t="s">
        <v>239</v>
      </c>
      <c r="AE84" s="231">
        <v>734</v>
      </c>
      <c r="AF84" s="231" t="s">
        <v>239</v>
      </c>
      <c r="AG84" s="231">
        <v>157</v>
      </c>
      <c r="AH84" s="231" t="s">
        <v>239</v>
      </c>
      <c r="AI84" s="231">
        <v>1412</v>
      </c>
      <c r="AJ84" s="231" t="s">
        <v>239</v>
      </c>
      <c r="AK84" s="231">
        <v>1139</v>
      </c>
      <c r="AL84" s="231" t="s">
        <v>239</v>
      </c>
      <c r="AM84" s="231">
        <v>15192</v>
      </c>
    </row>
    <row r="85" spans="1:39" ht="15.75" outlineLevel="1">
      <c r="A85" s="411">
        <v>38</v>
      </c>
      <c r="B85" s="12">
        <v>129038</v>
      </c>
      <c r="C85" s="218" t="s">
        <v>1489</v>
      </c>
      <c r="D85" s="218" t="s">
        <v>1490</v>
      </c>
      <c r="E85" s="23" t="s">
        <v>138</v>
      </c>
      <c r="F85" s="17" t="s">
        <v>45</v>
      </c>
      <c r="G85" s="11" t="s">
        <v>1432</v>
      </c>
      <c r="H85" s="12">
        <v>6</v>
      </c>
      <c r="I85" s="11" t="s">
        <v>1433</v>
      </c>
      <c r="J85" s="192" t="s">
        <v>1457</v>
      </c>
      <c r="K85" s="17" t="s">
        <v>233</v>
      </c>
      <c r="L85" s="17" t="s">
        <v>233</v>
      </c>
      <c r="M85" s="231">
        <v>25</v>
      </c>
      <c r="N85" s="232">
        <v>25</v>
      </c>
      <c r="O85" s="231">
        <v>25</v>
      </c>
      <c r="P85" s="231" t="s">
        <v>239</v>
      </c>
      <c r="Q85" s="231">
        <v>25</v>
      </c>
      <c r="R85" s="231" t="s">
        <v>239</v>
      </c>
      <c r="S85" s="231">
        <v>25</v>
      </c>
      <c r="T85" s="231" t="s">
        <v>239</v>
      </c>
      <c r="U85" s="231">
        <v>25</v>
      </c>
      <c r="V85" s="230" t="s">
        <v>239</v>
      </c>
      <c r="W85" s="231">
        <v>25</v>
      </c>
      <c r="X85" s="231" t="s">
        <v>239</v>
      </c>
      <c r="Y85" s="231">
        <v>25</v>
      </c>
      <c r="Z85" s="231" t="s">
        <v>239</v>
      </c>
      <c r="AA85" s="231">
        <v>25</v>
      </c>
      <c r="AB85" s="231" t="s">
        <v>239</v>
      </c>
      <c r="AC85" s="231">
        <v>25</v>
      </c>
      <c r="AD85" s="231" t="s">
        <v>239</v>
      </c>
      <c r="AE85" s="231">
        <v>25</v>
      </c>
      <c r="AF85" s="231" t="s">
        <v>239</v>
      </c>
      <c r="AG85" s="231">
        <v>25</v>
      </c>
      <c r="AH85" s="231" t="s">
        <v>239</v>
      </c>
      <c r="AI85" s="231">
        <v>25</v>
      </c>
      <c r="AJ85" s="231" t="s">
        <v>239</v>
      </c>
      <c r="AK85" s="231">
        <v>25</v>
      </c>
      <c r="AL85" s="231" t="s">
        <v>239</v>
      </c>
      <c r="AM85" s="231">
        <v>0</v>
      </c>
    </row>
    <row r="86" spans="1:39" ht="15.75" outlineLevel="1">
      <c r="A86" s="412"/>
      <c r="B86" s="12">
        <v>129038</v>
      </c>
      <c r="C86" s="218" t="s">
        <v>1489</v>
      </c>
      <c r="D86" s="218" t="s">
        <v>1490</v>
      </c>
      <c r="E86" s="23" t="s">
        <v>44</v>
      </c>
      <c r="F86" s="17" t="s">
        <v>45</v>
      </c>
      <c r="G86" s="11" t="s">
        <v>1432</v>
      </c>
      <c r="H86" s="12">
        <v>15</v>
      </c>
      <c r="I86" s="11" t="s">
        <v>1433</v>
      </c>
      <c r="J86" s="192" t="s">
        <v>617</v>
      </c>
      <c r="K86" s="17" t="s">
        <v>233</v>
      </c>
      <c r="L86" s="17" t="s">
        <v>233</v>
      </c>
      <c r="M86" s="231">
        <v>0</v>
      </c>
      <c r="N86" s="232">
        <v>0</v>
      </c>
      <c r="O86" s="132">
        <v>0</v>
      </c>
      <c r="P86" s="231" t="s">
        <v>239</v>
      </c>
      <c r="Q86" s="231">
        <v>0</v>
      </c>
      <c r="R86" s="231" t="s">
        <v>239</v>
      </c>
      <c r="S86" s="231">
        <v>0</v>
      </c>
      <c r="T86" s="231" t="s">
        <v>239</v>
      </c>
      <c r="U86" s="231">
        <v>0</v>
      </c>
      <c r="V86" s="231" t="s">
        <v>239</v>
      </c>
      <c r="W86" s="231">
        <v>0</v>
      </c>
      <c r="X86" s="231" t="s">
        <v>239</v>
      </c>
      <c r="Y86" s="231">
        <v>0</v>
      </c>
      <c r="Z86" s="231" t="s">
        <v>239</v>
      </c>
      <c r="AA86" s="231">
        <v>0</v>
      </c>
      <c r="AB86" s="231" t="s">
        <v>239</v>
      </c>
      <c r="AC86" s="231">
        <v>0</v>
      </c>
      <c r="AD86" s="231" t="s">
        <v>239</v>
      </c>
      <c r="AE86" s="231">
        <v>0</v>
      </c>
      <c r="AF86" s="231" t="s">
        <v>239</v>
      </c>
      <c r="AG86" s="231">
        <v>0</v>
      </c>
      <c r="AH86" s="231" t="s">
        <v>239</v>
      </c>
      <c r="AI86" s="231">
        <v>0</v>
      </c>
      <c r="AJ86" s="231" t="s">
        <v>239</v>
      </c>
      <c r="AK86" s="231">
        <v>0</v>
      </c>
      <c r="AL86" s="231" t="s">
        <v>239</v>
      </c>
      <c r="AM86" s="231">
        <v>0</v>
      </c>
    </row>
    <row r="87" spans="1:39" ht="15.75" outlineLevel="1">
      <c r="A87" s="411">
        <v>39</v>
      </c>
      <c r="B87" s="12">
        <v>129039</v>
      </c>
      <c r="C87" s="218" t="s">
        <v>1489</v>
      </c>
      <c r="D87" s="218" t="s">
        <v>1490</v>
      </c>
      <c r="E87" s="23" t="s">
        <v>138</v>
      </c>
      <c r="F87" s="17" t="s">
        <v>45</v>
      </c>
      <c r="G87" s="11" t="s">
        <v>1432</v>
      </c>
      <c r="H87" s="12">
        <v>19</v>
      </c>
      <c r="I87" s="11" t="s">
        <v>1433</v>
      </c>
      <c r="J87" s="374" t="s">
        <v>1457</v>
      </c>
      <c r="K87" s="17" t="s">
        <v>233</v>
      </c>
      <c r="L87" s="17" t="s">
        <v>233</v>
      </c>
      <c r="M87" s="231">
        <v>8</v>
      </c>
      <c r="N87" s="232">
        <v>8</v>
      </c>
      <c r="O87" s="231">
        <v>8</v>
      </c>
      <c r="P87" s="231" t="s">
        <v>239</v>
      </c>
      <c r="Q87" s="231">
        <v>8</v>
      </c>
      <c r="R87" s="231" t="s">
        <v>239</v>
      </c>
      <c r="S87" s="231">
        <v>8</v>
      </c>
      <c r="T87" s="231" t="s">
        <v>239</v>
      </c>
      <c r="U87" s="231">
        <v>8</v>
      </c>
      <c r="V87" s="231" t="s">
        <v>239</v>
      </c>
      <c r="W87" s="231">
        <v>8</v>
      </c>
      <c r="X87" s="231" t="s">
        <v>239</v>
      </c>
      <c r="Y87" s="231">
        <v>8</v>
      </c>
      <c r="Z87" s="231" t="s">
        <v>239</v>
      </c>
      <c r="AA87" s="231">
        <v>8</v>
      </c>
      <c r="AB87" s="231" t="s">
        <v>239</v>
      </c>
      <c r="AC87" s="231">
        <v>8</v>
      </c>
      <c r="AD87" s="231" t="s">
        <v>239</v>
      </c>
      <c r="AE87" s="231">
        <v>8</v>
      </c>
      <c r="AF87" s="231" t="s">
        <v>239</v>
      </c>
      <c r="AG87" s="231">
        <v>8</v>
      </c>
      <c r="AH87" s="231" t="s">
        <v>239</v>
      </c>
      <c r="AI87" s="231">
        <v>8</v>
      </c>
      <c r="AJ87" s="231" t="s">
        <v>239</v>
      </c>
      <c r="AK87" s="231">
        <v>8</v>
      </c>
      <c r="AL87" s="231" t="s">
        <v>239</v>
      </c>
      <c r="AM87" s="231">
        <v>0</v>
      </c>
    </row>
    <row r="88" spans="1:39" ht="15.75" outlineLevel="1">
      <c r="A88" s="412"/>
      <c r="B88" s="12">
        <v>129039</v>
      </c>
      <c r="C88" s="218" t="s">
        <v>1489</v>
      </c>
      <c r="D88" s="218" t="s">
        <v>1490</v>
      </c>
      <c r="E88" s="23" t="s">
        <v>44</v>
      </c>
      <c r="F88" s="17" t="s">
        <v>45</v>
      </c>
      <c r="G88" s="11" t="s">
        <v>1432</v>
      </c>
      <c r="H88" s="12">
        <v>22</v>
      </c>
      <c r="I88" s="11" t="s">
        <v>1433</v>
      </c>
      <c r="J88" s="375"/>
      <c r="K88" s="17" t="s">
        <v>233</v>
      </c>
      <c r="L88" s="17" t="s">
        <v>233</v>
      </c>
      <c r="M88" s="231">
        <v>25876</v>
      </c>
      <c r="N88" s="232">
        <v>25561.86536</v>
      </c>
      <c r="O88" s="132">
        <v>673</v>
      </c>
      <c r="P88" s="231" t="s">
        <v>239</v>
      </c>
      <c r="Q88" s="231">
        <v>683</v>
      </c>
      <c r="R88" s="231" t="s">
        <v>239</v>
      </c>
      <c r="S88" s="231">
        <v>658</v>
      </c>
      <c r="T88" s="231" t="s">
        <v>239</v>
      </c>
      <c r="U88" s="231">
        <v>943</v>
      </c>
      <c r="V88" s="230" t="s">
        <v>239</v>
      </c>
      <c r="W88" s="231">
        <v>1136</v>
      </c>
      <c r="X88" s="231" t="s">
        <v>239</v>
      </c>
      <c r="Y88" s="231">
        <v>895</v>
      </c>
      <c r="Z88" s="231" t="s">
        <v>239</v>
      </c>
      <c r="AA88" s="231">
        <v>5372</v>
      </c>
      <c r="AB88" s="231" t="s">
        <v>239</v>
      </c>
      <c r="AC88" s="231">
        <v>248</v>
      </c>
      <c r="AD88" s="231" t="s">
        <v>239</v>
      </c>
      <c r="AE88" s="231">
        <v>2054</v>
      </c>
      <c r="AF88" s="231" t="s">
        <v>239</v>
      </c>
      <c r="AG88" s="231">
        <v>317</v>
      </c>
      <c r="AH88" s="231" t="s">
        <v>239</v>
      </c>
      <c r="AI88" s="231">
        <v>1879</v>
      </c>
      <c r="AJ88" s="231" t="s">
        <v>239</v>
      </c>
      <c r="AK88" s="231">
        <v>1005</v>
      </c>
      <c r="AL88" s="231" t="s">
        <v>239</v>
      </c>
      <c r="AM88" s="231">
        <v>15863</v>
      </c>
    </row>
    <row r="89" spans="1:39" ht="15.75" outlineLevel="1">
      <c r="A89" s="411">
        <v>40</v>
      </c>
      <c r="B89" s="12">
        <v>129040</v>
      </c>
      <c r="C89" s="218" t="s">
        <v>1489</v>
      </c>
      <c r="D89" s="218" t="s">
        <v>1490</v>
      </c>
      <c r="E89" s="23" t="s">
        <v>138</v>
      </c>
      <c r="F89" s="17" t="s">
        <v>45</v>
      </c>
      <c r="G89" s="11" t="s">
        <v>1432</v>
      </c>
      <c r="H89" s="12">
        <v>24</v>
      </c>
      <c r="I89" s="11" t="s">
        <v>1433</v>
      </c>
      <c r="J89" s="193" t="s">
        <v>1460</v>
      </c>
      <c r="K89" s="17" t="s">
        <v>233</v>
      </c>
      <c r="L89" s="17" t="s">
        <v>233</v>
      </c>
      <c r="M89" s="231">
        <v>26</v>
      </c>
      <c r="N89" s="232">
        <v>26</v>
      </c>
      <c r="O89" s="231">
        <v>26</v>
      </c>
      <c r="P89" s="231" t="s">
        <v>239</v>
      </c>
      <c r="Q89" s="231">
        <v>26</v>
      </c>
      <c r="R89" s="231" t="s">
        <v>239</v>
      </c>
      <c r="S89" s="231">
        <v>26</v>
      </c>
      <c r="T89" s="231" t="s">
        <v>239</v>
      </c>
      <c r="U89" s="231">
        <v>26</v>
      </c>
      <c r="V89" s="231" t="s">
        <v>239</v>
      </c>
      <c r="W89" s="231">
        <v>26</v>
      </c>
      <c r="X89" s="231" t="s">
        <v>239</v>
      </c>
      <c r="Y89" s="231">
        <v>26</v>
      </c>
      <c r="Z89" s="231" t="s">
        <v>239</v>
      </c>
      <c r="AA89" s="231">
        <v>26</v>
      </c>
      <c r="AB89" s="231" t="s">
        <v>239</v>
      </c>
      <c r="AC89" s="231">
        <v>26</v>
      </c>
      <c r="AD89" s="231" t="s">
        <v>239</v>
      </c>
      <c r="AE89" s="231">
        <v>26</v>
      </c>
      <c r="AF89" s="231" t="s">
        <v>239</v>
      </c>
      <c r="AG89" s="231">
        <v>26</v>
      </c>
      <c r="AH89" s="231" t="s">
        <v>239</v>
      </c>
      <c r="AI89" s="231">
        <v>26</v>
      </c>
      <c r="AJ89" s="231" t="s">
        <v>239</v>
      </c>
      <c r="AK89" s="231">
        <v>26</v>
      </c>
      <c r="AL89" s="231" t="s">
        <v>239</v>
      </c>
      <c r="AM89" s="231">
        <v>0</v>
      </c>
    </row>
    <row r="90" spans="1:39" ht="15.75" outlineLevel="1">
      <c r="A90" s="412"/>
      <c r="B90" s="12">
        <v>129040</v>
      </c>
      <c r="C90" s="218" t="s">
        <v>1489</v>
      </c>
      <c r="D90" s="218" t="s">
        <v>1490</v>
      </c>
      <c r="E90" s="23" t="s">
        <v>44</v>
      </c>
      <c r="F90" s="17" t="s">
        <v>45</v>
      </c>
      <c r="G90" s="11" t="s">
        <v>1432</v>
      </c>
      <c r="H90" s="12">
        <v>16</v>
      </c>
      <c r="I90" s="11" t="s">
        <v>1433</v>
      </c>
      <c r="J90" s="193" t="s">
        <v>1442</v>
      </c>
      <c r="K90" s="17" t="s">
        <v>233</v>
      </c>
      <c r="L90" s="17" t="s">
        <v>233</v>
      </c>
      <c r="M90" s="231">
        <v>5125</v>
      </c>
      <c r="N90" s="232">
        <v>5062.7824999999993</v>
      </c>
      <c r="O90" s="132">
        <v>304</v>
      </c>
      <c r="P90" s="231" t="s">
        <v>239</v>
      </c>
      <c r="Q90" s="231">
        <v>225</v>
      </c>
      <c r="R90" s="231" t="s">
        <v>239</v>
      </c>
      <c r="S90" s="231">
        <v>318</v>
      </c>
      <c r="T90" s="231" t="s">
        <v>239</v>
      </c>
      <c r="U90" s="231">
        <v>19</v>
      </c>
      <c r="V90" s="231" t="s">
        <v>239</v>
      </c>
      <c r="W90" s="231">
        <v>18</v>
      </c>
      <c r="X90" s="231" t="s">
        <v>239</v>
      </c>
      <c r="Y90" s="231">
        <v>184</v>
      </c>
      <c r="Z90" s="231" t="s">
        <v>239</v>
      </c>
      <c r="AA90" s="231">
        <v>1</v>
      </c>
      <c r="AB90" s="231" t="s">
        <v>239</v>
      </c>
      <c r="AC90" s="231">
        <v>0</v>
      </c>
      <c r="AD90" s="231" t="s">
        <v>239</v>
      </c>
      <c r="AE90" s="231">
        <v>378</v>
      </c>
      <c r="AF90" s="231" t="s">
        <v>239</v>
      </c>
      <c r="AG90" s="231">
        <v>162</v>
      </c>
      <c r="AH90" s="231" t="s">
        <v>239</v>
      </c>
      <c r="AI90" s="231">
        <v>84</v>
      </c>
      <c r="AJ90" s="231" t="s">
        <v>239</v>
      </c>
      <c r="AK90" s="231">
        <v>999</v>
      </c>
      <c r="AL90" s="231" t="s">
        <v>239</v>
      </c>
      <c r="AM90" s="231">
        <v>2692</v>
      </c>
    </row>
    <row r="91" spans="1:39" ht="15.75" outlineLevel="1">
      <c r="A91" s="411">
        <v>41</v>
      </c>
      <c r="B91" s="12">
        <v>129041</v>
      </c>
      <c r="C91" s="218" t="s">
        <v>1489</v>
      </c>
      <c r="D91" s="218" t="s">
        <v>1490</v>
      </c>
      <c r="E91" s="23" t="s">
        <v>138</v>
      </c>
      <c r="F91" s="17" t="s">
        <v>45</v>
      </c>
      <c r="G91" s="11" t="s">
        <v>1432</v>
      </c>
      <c r="H91" s="12">
        <v>5</v>
      </c>
      <c r="I91" s="11" t="s">
        <v>1433</v>
      </c>
      <c r="J91" s="193" t="s">
        <v>1460</v>
      </c>
      <c r="K91" s="17" t="s">
        <v>233</v>
      </c>
      <c r="L91" s="17" t="s">
        <v>233</v>
      </c>
      <c r="M91" s="231">
        <v>26</v>
      </c>
      <c r="N91" s="232">
        <v>26</v>
      </c>
      <c r="O91" s="231">
        <v>26</v>
      </c>
      <c r="P91" s="231" t="s">
        <v>239</v>
      </c>
      <c r="Q91" s="231">
        <v>26</v>
      </c>
      <c r="R91" s="231" t="s">
        <v>239</v>
      </c>
      <c r="S91" s="231">
        <v>26</v>
      </c>
      <c r="T91" s="231" t="s">
        <v>239</v>
      </c>
      <c r="U91" s="231">
        <v>26</v>
      </c>
      <c r="V91" s="230" t="s">
        <v>239</v>
      </c>
      <c r="W91" s="231">
        <v>26</v>
      </c>
      <c r="X91" s="231" t="s">
        <v>239</v>
      </c>
      <c r="Y91" s="231">
        <v>26</v>
      </c>
      <c r="Z91" s="231" t="s">
        <v>239</v>
      </c>
      <c r="AA91" s="231">
        <v>26</v>
      </c>
      <c r="AB91" s="231" t="s">
        <v>239</v>
      </c>
      <c r="AC91" s="231">
        <v>26</v>
      </c>
      <c r="AD91" s="231" t="s">
        <v>239</v>
      </c>
      <c r="AE91" s="231">
        <v>26</v>
      </c>
      <c r="AF91" s="231" t="s">
        <v>239</v>
      </c>
      <c r="AG91" s="231">
        <v>26</v>
      </c>
      <c r="AH91" s="231" t="s">
        <v>239</v>
      </c>
      <c r="AI91" s="231">
        <v>26</v>
      </c>
      <c r="AJ91" s="231" t="s">
        <v>239</v>
      </c>
      <c r="AK91" s="231">
        <v>26</v>
      </c>
      <c r="AL91" s="231" t="s">
        <v>239</v>
      </c>
      <c r="AM91" s="231">
        <v>0</v>
      </c>
    </row>
    <row r="92" spans="1:39" ht="15.75" outlineLevel="1">
      <c r="A92" s="412"/>
      <c r="B92" s="12">
        <v>129041</v>
      </c>
      <c r="C92" s="218" t="s">
        <v>1489</v>
      </c>
      <c r="D92" s="218" t="s">
        <v>1490</v>
      </c>
      <c r="E92" s="23" t="s">
        <v>44</v>
      </c>
      <c r="F92" s="17" t="s">
        <v>45</v>
      </c>
      <c r="G92" s="11" t="s">
        <v>1432</v>
      </c>
      <c r="H92" s="12">
        <v>17</v>
      </c>
      <c r="I92" s="11" t="s">
        <v>1433</v>
      </c>
      <c r="J92" s="193" t="s">
        <v>1457</v>
      </c>
      <c r="K92" s="17" t="s">
        <v>233</v>
      </c>
      <c r="L92" s="17" t="s">
        <v>233</v>
      </c>
      <c r="M92" s="231">
        <v>0</v>
      </c>
      <c r="N92" s="232">
        <v>0</v>
      </c>
      <c r="O92" s="132">
        <v>0</v>
      </c>
      <c r="P92" s="231" t="s">
        <v>239</v>
      </c>
      <c r="Q92" s="231">
        <v>0</v>
      </c>
      <c r="R92" s="231" t="s">
        <v>239</v>
      </c>
      <c r="S92" s="231">
        <v>0</v>
      </c>
      <c r="T92" s="231" t="s">
        <v>239</v>
      </c>
      <c r="U92" s="231">
        <v>0</v>
      </c>
      <c r="V92" s="231" t="s">
        <v>239</v>
      </c>
      <c r="W92" s="231">
        <v>0</v>
      </c>
      <c r="X92" s="231" t="s">
        <v>239</v>
      </c>
      <c r="Y92" s="231">
        <v>0</v>
      </c>
      <c r="Z92" s="231" t="s">
        <v>239</v>
      </c>
      <c r="AA92" s="231">
        <v>0</v>
      </c>
      <c r="AB92" s="231" t="s">
        <v>239</v>
      </c>
      <c r="AC92" s="231">
        <v>0</v>
      </c>
      <c r="AD92" s="231" t="s">
        <v>239</v>
      </c>
      <c r="AE92" s="231">
        <v>0</v>
      </c>
      <c r="AF92" s="231" t="s">
        <v>239</v>
      </c>
      <c r="AG92" s="231">
        <v>0</v>
      </c>
      <c r="AH92" s="231" t="s">
        <v>239</v>
      </c>
      <c r="AI92" s="231">
        <v>0</v>
      </c>
      <c r="AJ92" s="231" t="s">
        <v>239</v>
      </c>
      <c r="AK92" s="231">
        <v>0</v>
      </c>
      <c r="AL92" s="231" t="s">
        <v>239</v>
      </c>
      <c r="AM92" s="231">
        <v>0</v>
      </c>
    </row>
    <row r="93" spans="1:39" ht="15.75" outlineLevel="1">
      <c r="A93" s="411">
        <v>42</v>
      </c>
      <c r="B93" s="12">
        <v>129042</v>
      </c>
      <c r="C93" s="218" t="s">
        <v>1489</v>
      </c>
      <c r="D93" s="218" t="s">
        <v>1490</v>
      </c>
      <c r="E93" s="23" t="s">
        <v>138</v>
      </c>
      <c r="F93" s="17" t="s">
        <v>45</v>
      </c>
      <c r="G93" s="11" t="s">
        <v>1432</v>
      </c>
      <c r="H93" s="12">
        <v>19</v>
      </c>
      <c r="I93" s="11" t="s">
        <v>1433</v>
      </c>
      <c r="J93" s="193" t="s">
        <v>617</v>
      </c>
      <c r="K93" s="17" t="s">
        <v>233</v>
      </c>
      <c r="L93" s="17" t="s">
        <v>233</v>
      </c>
      <c r="M93" s="231">
        <v>26</v>
      </c>
      <c r="N93" s="232">
        <v>26</v>
      </c>
      <c r="O93" s="231">
        <v>26</v>
      </c>
      <c r="P93" s="231" t="s">
        <v>239</v>
      </c>
      <c r="Q93" s="231">
        <v>26</v>
      </c>
      <c r="R93" s="231" t="s">
        <v>239</v>
      </c>
      <c r="S93" s="231">
        <v>26</v>
      </c>
      <c r="T93" s="231" t="s">
        <v>239</v>
      </c>
      <c r="U93" s="231">
        <v>26</v>
      </c>
      <c r="V93" s="231" t="s">
        <v>239</v>
      </c>
      <c r="W93" s="231">
        <v>26</v>
      </c>
      <c r="X93" s="231" t="s">
        <v>239</v>
      </c>
      <c r="Y93" s="231">
        <v>26</v>
      </c>
      <c r="Z93" s="231" t="s">
        <v>239</v>
      </c>
      <c r="AA93" s="231">
        <v>26</v>
      </c>
      <c r="AB93" s="231" t="s">
        <v>239</v>
      </c>
      <c r="AC93" s="231">
        <v>26</v>
      </c>
      <c r="AD93" s="231" t="s">
        <v>239</v>
      </c>
      <c r="AE93" s="231">
        <v>26</v>
      </c>
      <c r="AF93" s="231" t="s">
        <v>239</v>
      </c>
      <c r="AG93" s="231">
        <v>26</v>
      </c>
      <c r="AH93" s="231" t="s">
        <v>239</v>
      </c>
      <c r="AI93" s="231">
        <v>26</v>
      </c>
      <c r="AJ93" s="231" t="s">
        <v>239</v>
      </c>
      <c r="AK93" s="231">
        <v>26</v>
      </c>
      <c r="AL93" s="231" t="s">
        <v>239</v>
      </c>
      <c r="AM93" s="231">
        <v>0</v>
      </c>
    </row>
    <row r="94" spans="1:39" ht="15.75" outlineLevel="1">
      <c r="A94" s="412"/>
      <c r="B94" s="12">
        <v>129042</v>
      </c>
      <c r="C94" s="218" t="s">
        <v>1489</v>
      </c>
      <c r="D94" s="218" t="s">
        <v>1490</v>
      </c>
      <c r="E94" s="23" t="s">
        <v>44</v>
      </c>
      <c r="F94" s="17" t="s">
        <v>45</v>
      </c>
      <c r="G94" s="11" t="s">
        <v>1432</v>
      </c>
      <c r="H94" s="12">
        <v>18</v>
      </c>
      <c r="I94" s="11" t="s">
        <v>1433</v>
      </c>
      <c r="J94" s="193" t="s">
        <v>216</v>
      </c>
      <c r="K94" s="17" t="s">
        <v>233</v>
      </c>
      <c r="L94" s="17" t="s">
        <v>233</v>
      </c>
      <c r="M94" s="231">
        <v>0</v>
      </c>
      <c r="N94" s="232">
        <v>0</v>
      </c>
      <c r="O94" s="132">
        <v>0</v>
      </c>
      <c r="P94" s="231" t="s">
        <v>239</v>
      </c>
      <c r="Q94" s="231">
        <v>0</v>
      </c>
      <c r="R94" s="231" t="s">
        <v>239</v>
      </c>
      <c r="S94" s="231">
        <v>0</v>
      </c>
      <c r="T94" s="231" t="s">
        <v>239</v>
      </c>
      <c r="U94" s="231">
        <v>0</v>
      </c>
      <c r="V94" s="230" t="s">
        <v>239</v>
      </c>
      <c r="W94" s="231">
        <v>0</v>
      </c>
      <c r="X94" s="231" t="s">
        <v>239</v>
      </c>
      <c r="Y94" s="231">
        <v>0</v>
      </c>
      <c r="Z94" s="231" t="s">
        <v>239</v>
      </c>
      <c r="AA94" s="231">
        <v>0</v>
      </c>
      <c r="AB94" s="231" t="s">
        <v>239</v>
      </c>
      <c r="AC94" s="231">
        <v>0</v>
      </c>
      <c r="AD94" s="231" t="s">
        <v>239</v>
      </c>
      <c r="AE94" s="231">
        <v>0</v>
      </c>
      <c r="AF94" s="231" t="s">
        <v>239</v>
      </c>
      <c r="AG94" s="231">
        <v>0</v>
      </c>
      <c r="AH94" s="231" t="s">
        <v>239</v>
      </c>
      <c r="AI94" s="231">
        <v>0</v>
      </c>
      <c r="AJ94" s="231" t="s">
        <v>239</v>
      </c>
      <c r="AK94" s="231">
        <v>0</v>
      </c>
      <c r="AL94" s="231" t="s">
        <v>239</v>
      </c>
      <c r="AM94" s="231">
        <v>0</v>
      </c>
    </row>
    <row r="95" spans="1:39" ht="15.75" outlineLevel="1">
      <c r="A95" s="411">
        <v>43</v>
      </c>
      <c r="B95" s="12">
        <v>129043</v>
      </c>
      <c r="C95" s="218" t="s">
        <v>1489</v>
      </c>
      <c r="D95" s="218" t="s">
        <v>1490</v>
      </c>
      <c r="E95" s="23" t="s">
        <v>138</v>
      </c>
      <c r="F95" s="17" t="s">
        <v>45</v>
      </c>
      <c r="G95" s="11" t="s">
        <v>1432</v>
      </c>
      <c r="H95" s="12">
        <v>13</v>
      </c>
      <c r="I95" s="11" t="s">
        <v>1433</v>
      </c>
      <c r="J95" s="191" t="s">
        <v>216</v>
      </c>
      <c r="K95" s="17" t="s">
        <v>233</v>
      </c>
      <c r="L95" s="17" t="s">
        <v>233</v>
      </c>
      <c r="M95" s="231">
        <v>14</v>
      </c>
      <c r="N95" s="231">
        <v>14</v>
      </c>
      <c r="O95" s="231">
        <v>14</v>
      </c>
      <c r="P95" s="231" t="s">
        <v>239</v>
      </c>
      <c r="Q95" s="231">
        <v>14</v>
      </c>
      <c r="R95" s="231" t="s">
        <v>239</v>
      </c>
      <c r="S95" s="231">
        <v>14</v>
      </c>
      <c r="T95" s="231" t="s">
        <v>239</v>
      </c>
      <c r="U95" s="231">
        <v>14</v>
      </c>
      <c r="V95" s="231" t="s">
        <v>239</v>
      </c>
      <c r="W95" s="231">
        <v>14</v>
      </c>
      <c r="X95" s="231" t="s">
        <v>239</v>
      </c>
      <c r="Y95" s="231">
        <v>14</v>
      </c>
      <c r="Z95" s="231" t="s">
        <v>239</v>
      </c>
      <c r="AA95" s="231">
        <v>14</v>
      </c>
      <c r="AB95" s="231" t="s">
        <v>239</v>
      </c>
      <c r="AC95" s="231">
        <v>14</v>
      </c>
      <c r="AD95" s="231" t="s">
        <v>239</v>
      </c>
      <c r="AE95" s="231">
        <v>14</v>
      </c>
      <c r="AF95" s="231" t="s">
        <v>239</v>
      </c>
      <c r="AG95" s="231">
        <v>14</v>
      </c>
      <c r="AH95" s="231" t="s">
        <v>239</v>
      </c>
      <c r="AI95" s="231">
        <v>14</v>
      </c>
      <c r="AJ95" s="231" t="s">
        <v>239</v>
      </c>
      <c r="AK95" s="231">
        <v>14</v>
      </c>
      <c r="AL95" s="231" t="s">
        <v>239</v>
      </c>
      <c r="AM95" s="231">
        <v>0</v>
      </c>
    </row>
    <row r="96" spans="1:39" ht="15.75" outlineLevel="1">
      <c r="A96" s="412"/>
      <c r="B96" s="12">
        <v>129043</v>
      </c>
      <c r="C96" s="218" t="s">
        <v>1489</v>
      </c>
      <c r="D96" s="218" t="s">
        <v>1490</v>
      </c>
      <c r="E96" s="23" t="s">
        <v>44</v>
      </c>
      <c r="F96" s="17" t="s">
        <v>45</v>
      </c>
      <c r="G96" s="11" t="s">
        <v>1432</v>
      </c>
      <c r="H96" s="12">
        <v>14</v>
      </c>
      <c r="I96" s="11" t="s">
        <v>1433</v>
      </c>
      <c r="J96" s="192" t="s">
        <v>1434</v>
      </c>
      <c r="K96" s="17" t="s">
        <v>233</v>
      </c>
      <c r="L96" s="17" t="s">
        <v>233</v>
      </c>
      <c r="M96" s="231">
        <v>6235</v>
      </c>
      <c r="N96" s="232">
        <v>6159.3071</v>
      </c>
      <c r="O96" s="132">
        <v>559</v>
      </c>
      <c r="P96" s="231" t="s">
        <v>239</v>
      </c>
      <c r="Q96" s="231">
        <v>76</v>
      </c>
      <c r="R96" s="231" t="s">
        <v>239</v>
      </c>
      <c r="S96" s="231">
        <v>232</v>
      </c>
      <c r="T96" s="231" t="s">
        <v>239</v>
      </c>
      <c r="U96" s="231">
        <v>353</v>
      </c>
      <c r="V96" s="231" t="s">
        <v>239</v>
      </c>
      <c r="W96" s="231">
        <v>295</v>
      </c>
      <c r="X96" s="231" t="s">
        <v>239</v>
      </c>
      <c r="Y96" s="231">
        <v>228</v>
      </c>
      <c r="Z96" s="231" t="s">
        <v>239</v>
      </c>
      <c r="AA96" s="231">
        <v>190</v>
      </c>
      <c r="AB96" s="231" t="s">
        <v>239</v>
      </c>
      <c r="AC96" s="231">
        <v>217</v>
      </c>
      <c r="AD96" s="231" t="s">
        <v>239</v>
      </c>
      <c r="AE96" s="231">
        <v>1134</v>
      </c>
      <c r="AF96" s="231" t="s">
        <v>239</v>
      </c>
      <c r="AG96" s="231">
        <v>159</v>
      </c>
      <c r="AH96" s="231" t="s">
        <v>239</v>
      </c>
      <c r="AI96" s="231">
        <v>519</v>
      </c>
      <c r="AJ96" s="231" t="s">
        <v>239</v>
      </c>
      <c r="AK96" s="231">
        <v>122</v>
      </c>
      <c r="AL96" s="231" t="s">
        <v>239</v>
      </c>
      <c r="AM96" s="231">
        <v>4084</v>
      </c>
    </row>
    <row r="97" spans="1:39" ht="15.75" outlineLevel="1">
      <c r="A97" s="411">
        <v>44</v>
      </c>
      <c r="B97" s="12">
        <v>129044</v>
      </c>
      <c r="C97" s="218" t="s">
        <v>1489</v>
      </c>
      <c r="D97" s="218" t="s">
        <v>1490</v>
      </c>
      <c r="E97" s="23" t="s">
        <v>138</v>
      </c>
      <c r="F97" s="17" t="s">
        <v>45</v>
      </c>
      <c r="G97" s="11" t="s">
        <v>1432</v>
      </c>
      <c r="H97" s="12">
        <v>18</v>
      </c>
      <c r="I97" s="11" t="s">
        <v>1433</v>
      </c>
      <c r="J97" s="192" t="s">
        <v>1480</v>
      </c>
      <c r="K97" s="17" t="s">
        <v>233</v>
      </c>
      <c r="L97" s="17" t="s">
        <v>233</v>
      </c>
      <c r="M97" s="231">
        <v>16</v>
      </c>
      <c r="N97" s="232">
        <v>16</v>
      </c>
      <c r="O97" s="231">
        <v>16</v>
      </c>
      <c r="P97" s="231" t="s">
        <v>239</v>
      </c>
      <c r="Q97" s="231">
        <v>16</v>
      </c>
      <c r="R97" s="231" t="s">
        <v>239</v>
      </c>
      <c r="S97" s="231">
        <v>16</v>
      </c>
      <c r="T97" s="231" t="s">
        <v>239</v>
      </c>
      <c r="U97" s="231">
        <v>16</v>
      </c>
      <c r="V97" s="230" t="s">
        <v>239</v>
      </c>
      <c r="W97" s="231">
        <v>16</v>
      </c>
      <c r="X97" s="231" t="s">
        <v>239</v>
      </c>
      <c r="Y97" s="231">
        <v>16</v>
      </c>
      <c r="Z97" s="231" t="s">
        <v>239</v>
      </c>
      <c r="AA97" s="231">
        <v>16</v>
      </c>
      <c r="AB97" s="231" t="s">
        <v>239</v>
      </c>
      <c r="AC97" s="231">
        <v>16</v>
      </c>
      <c r="AD97" s="231" t="s">
        <v>239</v>
      </c>
      <c r="AE97" s="231">
        <v>16</v>
      </c>
      <c r="AF97" s="231" t="s">
        <v>239</v>
      </c>
      <c r="AG97" s="231">
        <v>16</v>
      </c>
      <c r="AH97" s="231" t="s">
        <v>239</v>
      </c>
      <c r="AI97" s="231">
        <v>16</v>
      </c>
      <c r="AJ97" s="231" t="s">
        <v>239</v>
      </c>
      <c r="AK97" s="231">
        <v>16</v>
      </c>
      <c r="AL97" s="231" t="s">
        <v>239</v>
      </c>
      <c r="AM97" s="231">
        <v>0</v>
      </c>
    </row>
    <row r="98" spans="1:39" ht="15.75" outlineLevel="1">
      <c r="A98" s="412"/>
      <c r="B98" s="12">
        <v>129044</v>
      </c>
      <c r="C98" s="218" t="s">
        <v>1489</v>
      </c>
      <c r="D98" s="218" t="s">
        <v>1490</v>
      </c>
      <c r="E98" s="23" t="s">
        <v>44</v>
      </c>
      <c r="F98" s="17" t="s">
        <v>45</v>
      </c>
      <c r="G98" s="11" t="s">
        <v>1432</v>
      </c>
      <c r="H98" s="12">
        <v>12</v>
      </c>
      <c r="I98" s="11" t="s">
        <v>1433</v>
      </c>
      <c r="J98" s="192" t="s">
        <v>1452</v>
      </c>
      <c r="K98" s="17" t="s">
        <v>233</v>
      </c>
      <c r="L98" s="17" t="s">
        <v>233</v>
      </c>
      <c r="M98" s="231">
        <v>4212</v>
      </c>
      <c r="N98" s="232">
        <v>4160.8663200000001</v>
      </c>
      <c r="O98" s="132">
        <v>360</v>
      </c>
      <c r="P98" s="231" t="s">
        <v>239</v>
      </c>
      <c r="Q98" s="231">
        <v>325</v>
      </c>
      <c r="R98" s="231" t="s">
        <v>239</v>
      </c>
      <c r="S98" s="231">
        <v>360</v>
      </c>
      <c r="T98" s="231" t="s">
        <v>239</v>
      </c>
      <c r="U98" s="231">
        <v>0</v>
      </c>
      <c r="V98" s="231" t="s">
        <v>239</v>
      </c>
      <c r="W98" s="231">
        <v>0</v>
      </c>
      <c r="X98" s="231" t="s">
        <v>239</v>
      </c>
      <c r="Y98" s="231">
        <v>0</v>
      </c>
      <c r="Z98" s="231" t="s">
        <v>239</v>
      </c>
      <c r="AA98" s="231">
        <v>481</v>
      </c>
      <c r="AB98" s="231" t="s">
        <v>239</v>
      </c>
      <c r="AC98" s="231">
        <v>481</v>
      </c>
      <c r="AD98" s="231" t="s">
        <v>239</v>
      </c>
      <c r="AE98" s="231">
        <v>481</v>
      </c>
      <c r="AF98" s="231" t="s">
        <v>239</v>
      </c>
      <c r="AG98" s="231">
        <v>481</v>
      </c>
      <c r="AH98" s="231" t="s">
        <v>239</v>
      </c>
      <c r="AI98" s="231">
        <v>481</v>
      </c>
      <c r="AJ98" s="231" t="s">
        <v>239</v>
      </c>
      <c r="AK98" s="231">
        <v>481</v>
      </c>
      <c r="AL98" s="231" t="s">
        <v>239</v>
      </c>
      <c r="AM98" s="231">
        <v>3931</v>
      </c>
    </row>
    <row r="99" spans="1:39" ht="15.75" outlineLevel="1">
      <c r="A99" s="411">
        <v>45</v>
      </c>
      <c r="B99" s="12">
        <v>129045</v>
      </c>
      <c r="C99" s="218" t="s">
        <v>1489</v>
      </c>
      <c r="D99" s="218" t="s">
        <v>1490</v>
      </c>
      <c r="E99" s="23" t="s">
        <v>138</v>
      </c>
      <c r="F99" s="17" t="s">
        <v>45</v>
      </c>
      <c r="G99" s="11" t="s">
        <v>1432</v>
      </c>
      <c r="H99" s="12">
        <v>15</v>
      </c>
      <c r="I99" s="11" t="s">
        <v>1433</v>
      </c>
      <c r="J99" s="374" t="s">
        <v>207</v>
      </c>
      <c r="K99" s="17" t="s">
        <v>233</v>
      </c>
      <c r="L99" s="17" t="s">
        <v>233</v>
      </c>
      <c r="M99" s="231">
        <v>2.2000000000000002</v>
      </c>
      <c r="N99" s="233">
        <v>2.2000000000000002</v>
      </c>
      <c r="O99" s="132">
        <v>2.2000000000000002</v>
      </c>
      <c r="P99" s="231" t="s">
        <v>239</v>
      </c>
      <c r="Q99" s="132">
        <v>2.2000000000000002</v>
      </c>
      <c r="R99" s="231" t="s">
        <v>239</v>
      </c>
      <c r="S99" s="132">
        <v>2.2000000000000002</v>
      </c>
      <c r="T99" s="231" t="s">
        <v>239</v>
      </c>
      <c r="U99" s="132">
        <v>2.2000000000000002</v>
      </c>
      <c r="V99" s="231" t="s">
        <v>239</v>
      </c>
      <c r="W99" s="132">
        <v>2.2000000000000002</v>
      </c>
      <c r="X99" s="231" t="s">
        <v>239</v>
      </c>
      <c r="Y99" s="132">
        <v>2.2000000000000002</v>
      </c>
      <c r="Z99" s="231" t="s">
        <v>239</v>
      </c>
      <c r="AA99" s="132">
        <v>2.2000000000000002</v>
      </c>
      <c r="AB99" s="231" t="s">
        <v>239</v>
      </c>
      <c r="AC99" s="132">
        <v>2.2000000000000002</v>
      </c>
      <c r="AD99" s="231" t="s">
        <v>239</v>
      </c>
      <c r="AE99" s="132">
        <v>2.2000000000000002</v>
      </c>
      <c r="AF99" s="231" t="s">
        <v>239</v>
      </c>
      <c r="AG99" s="132">
        <v>2.2000000000000002</v>
      </c>
      <c r="AH99" s="231" t="s">
        <v>239</v>
      </c>
      <c r="AI99" s="132">
        <v>2.2000000000000002</v>
      </c>
      <c r="AJ99" s="231" t="s">
        <v>239</v>
      </c>
      <c r="AK99" s="132">
        <v>2.2000000000000002</v>
      </c>
      <c r="AL99" s="231" t="s">
        <v>239</v>
      </c>
      <c r="AM99" s="231">
        <v>0</v>
      </c>
    </row>
    <row r="100" spans="1:39" ht="15.75" outlineLevel="1">
      <c r="A100" s="412"/>
      <c r="B100" s="12">
        <v>129045</v>
      </c>
      <c r="C100" s="218" t="s">
        <v>1489</v>
      </c>
      <c r="D100" s="218" t="s">
        <v>1490</v>
      </c>
      <c r="E100" s="23" t="s">
        <v>44</v>
      </c>
      <c r="F100" s="17" t="s">
        <v>45</v>
      </c>
      <c r="G100" s="11" t="s">
        <v>1432</v>
      </c>
      <c r="H100" s="12">
        <v>22</v>
      </c>
      <c r="I100" s="11" t="s">
        <v>1433</v>
      </c>
      <c r="J100" s="375"/>
      <c r="K100" s="17" t="s">
        <v>233</v>
      </c>
      <c r="L100" s="17" t="s">
        <v>233</v>
      </c>
      <c r="M100" s="231">
        <v>13202</v>
      </c>
      <c r="N100" s="232">
        <v>13041.727719999999</v>
      </c>
      <c r="O100" s="132">
        <v>360</v>
      </c>
      <c r="P100" s="231" t="s">
        <v>239</v>
      </c>
      <c r="Q100" s="231">
        <v>753</v>
      </c>
      <c r="R100" s="231" t="s">
        <v>239</v>
      </c>
      <c r="S100" s="231">
        <v>517</v>
      </c>
      <c r="T100" s="231" t="s">
        <v>239</v>
      </c>
      <c r="U100" s="231">
        <v>1171</v>
      </c>
      <c r="V100" s="230" t="s">
        <v>239</v>
      </c>
      <c r="W100" s="231">
        <v>1329</v>
      </c>
      <c r="X100" s="231" t="s">
        <v>239</v>
      </c>
      <c r="Y100" s="231">
        <v>2790</v>
      </c>
      <c r="Z100" s="231" t="s">
        <v>239</v>
      </c>
      <c r="AA100" s="231">
        <v>669</v>
      </c>
      <c r="AB100" s="231" t="s">
        <v>239</v>
      </c>
      <c r="AC100" s="231">
        <v>678</v>
      </c>
      <c r="AD100" s="231" t="s">
        <v>239</v>
      </c>
      <c r="AE100" s="231">
        <v>666</v>
      </c>
      <c r="AF100" s="231" t="s">
        <v>239</v>
      </c>
      <c r="AG100" s="231">
        <v>314</v>
      </c>
      <c r="AH100" s="231" t="s">
        <v>239</v>
      </c>
      <c r="AI100" s="231">
        <v>1448</v>
      </c>
      <c r="AJ100" s="231" t="s">
        <v>239</v>
      </c>
      <c r="AK100" s="231">
        <v>1007</v>
      </c>
      <c r="AL100" s="231" t="s">
        <v>239</v>
      </c>
      <c r="AM100" s="231">
        <v>11702</v>
      </c>
    </row>
    <row r="101" spans="1:39" ht="15.75" outlineLevel="1">
      <c r="A101" s="411">
        <v>46</v>
      </c>
      <c r="B101" s="12">
        <v>129046</v>
      </c>
      <c r="C101" s="218" t="s">
        <v>1489</v>
      </c>
      <c r="D101" s="218" t="s">
        <v>1490</v>
      </c>
      <c r="E101" s="23" t="s">
        <v>138</v>
      </c>
      <c r="F101" s="17" t="s">
        <v>45</v>
      </c>
      <c r="G101" s="11" t="s">
        <v>1432</v>
      </c>
      <c r="H101" s="12">
        <v>26</v>
      </c>
      <c r="I101" s="11" t="s">
        <v>1433</v>
      </c>
      <c r="J101" s="193" t="s">
        <v>1460</v>
      </c>
      <c r="K101" s="17" t="s">
        <v>233</v>
      </c>
      <c r="L101" s="17" t="s">
        <v>233</v>
      </c>
      <c r="M101" s="231">
        <v>0</v>
      </c>
      <c r="N101" s="232">
        <v>0</v>
      </c>
      <c r="O101" s="132">
        <v>0</v>
      </c>
      <c r="P101" s="231" t="s">
        <v>239</v>
      </c>
      <c r="Q101" s="231">
        <v>0</v>
      </c>
      <c r="R101" s="231" t="s">
        <v>239</v>
      </c>
      <c r="S101" s="231">
        <v>0</v>
      </c>
      <c r="T101" s="231" t="s">
        <v>239</v>
      </c>
      <c r="U101" s="231">
        <v>0</v>
      </c>
      <c r="V101" s="231" t="s">
        <v>239</v>
      </c>
      <c r="W101" s="231">
        <v>0</v>
      </c>
      <c r="X101" s="231" t="s">
        <v>239</v>
      </c>
      <c r="Y101" s="231">
        <v>0</v>
      </c>
      <c r="Z101" s="231" t="s">
        <v>239</v>
      </c>
      <c r="AA101" s="231">
        <v>0</v>
      </c>
      <c r="AB101" s="231" t="s">
        <v>239</v>
      </c>
      <c r="AC101" s="231">
        <v>0</v>
      </c>
      <c r="AD101" s="231" t="s">
        <v>239</v>
      </c>
      <c r="AE101" s="231">
        <v>0</v>
      </c>
      <c r="AF101" s="231" t="s">
        <v>239</v>
      </c>
      <c r="AG101" s="231">
        <v>0</v>
      </c>
      <c r="AH101" s="231" t="s">
        <v>239</v>
      </c>
      <c r="AI101" s="231">
        <v>0</v>
      </c>
      <c r="AJ101" s="231" t="s">
        <v>239</v>
      </c>
      <c r="AK101" s="231">
        <v>0</v>
      </c>
      <c r="AL101" s="231" t="s">
        <v>239</v>
      </c>
      <c r="AM101" s="231">
        <v>0</v>
      </c>
    </row>
    <row r="102" spans="1:39" ht="15.75" outlineLevel="1">
      <c r="A102" s="412"/>
      <c r="B102" s="12">
        <v>129046</v>
      </c>
      <c r="C102" s="218" t="s">
        <v>1489</v>
      </c>
      <c r="D102" s="218" t="s">
        <v>1490</v>
      </c>
      <c r="E102" s="23" t="s">
        <v>44</v>
      </c>
      <c r="F102" s="17" t="s">
        <v>45</v>
      </c>
      <c r="G102" s="11" t="s">
        <v>1432</v>
      </c>
      <c r="H102" s="12">
        <v>27</v>
      </c>
      <c r="I102" s="11" t="s">
        <v>1433</v>
      </c>
      <c r="J102" s="193" t="s">
        <v>1442</v>
      </c>
      <c r="K102" s="17" t="s">
        <v>233</v>
      </c>
      <c r="L102" s="17" t="s">
        <v>233</v>
      </c>
      <c r="M102" s="231">
        <v>3281</v>
      </c>
      <c r="N102" s="232">
        <v>3241.1686599999998</v>
      </c>
      <c r="O102" s="132">
        <v>543</v>
      </c>
      <c r="P102" s="231" t="s">
        <v>239</v>
      </c>
      <c r="Q102" s="231">
        <v>684</v>
      </c>
      <c r="R102" s="231" t="s">
        <v>239</v>
      </c>
      <c r="S102" s="231">
        <v>835</v>
      </c>
      <c r="T102" s="231" t="s">
        <v>239</v>
      </c>
      <c r="U102" s="231">
        <v>651</v>
      </c>
      <c r="V102" s="231" t="s">
        <v>239</v>
      </c>
      <c r="W102" s="231">
        <v>306</v>
      </c>
      <c r="X102" s="231" t="s">
        <v>239</v>
      </c>
      <c r="Y102" s="231">
        <v>219</v>
      </c>
      <c r="Z102" s="231" t="s">
        <v>239</v>
      </c>
      <c r="AA102" s="231">
        <v>365</v>
      </c>
      <c r="AB102" s="231" t="s">
        <v>239</v>
      </c>
      <c r="AC102" s="231">
        <v>242</v>
      </c>
      <c r="AD102" s="231" t="s">
        <v>239</v>
      </c>
      <c r="AE102" s="231">
        <v>203</v>
      </c>
      <c r="AF102" s="231" t="s">
        <v>239</v>
      </c>
      <c r="AG102" s="231">
        <v>106</v>
      </c>
      <c r="AH102" s="231" t="s">
        <v>239</v>
      </c>
      <c r="AI102" s="231">
        <v>591</v>
      </c>
      <c r="AJ102" s="231" t="s">
        <v>239</v>
      </c>
      <c r="AK102" s="231">
        <v>214</v>
      </c>
      <c r="AL102" s="231" t="s">
        <v>239</v>
      </c>
      <c r="AM102" s="231">
        <v>4959</v>
      </c>
    </row>
    <row r="103" spans="1:39" ht="15.75" outlineLevel="1">
      <c r="A103" s="411">
        <v>47</v>
      </c>
      <c r="B103" s="12">
        <v>129047</v>
      </c>
      <c r="C103" s="218" t="s">
        <v>1489</v>
      </c>
      <c r="D103" s="218" t="s">
        <v>1490</v>
      </c>
      <c r="E103" s="23" t="s">
        <v>138</v>
      </c>
      <c r="F103" s="17" t="s">
        <v>45</v>
      </c>
      <c r="G103" s="11" t="s">
        <v>1432</v>
      </c>
      <c r="H103" s="12">
        <v>34</v>
      </c>
      <c r="I103" s="11" t="s">
        <v>1433</v>
      </c>
      <c r="J103" s="193" t="s">
        <v>1460</v>
      </c>
      <c r="K103" s="17" t="s">
        <v>233</v>
      </c>
      <c r="L103" s="17" t="s">
        <v>233</v>
      </c>
      <c r="M103" s="231">
        <v>6.7</v>
      </c>
      <c r="N103" s="233">
        <v>6.7</v>
      </c>
      <c r="O103" s="132">
        <v>6.7</v>
      </c>
      <c r="P103" s="231" t="s">
        <v>239</v>
      </c>
      <c r="Q103" s="132">
        <v>6.7</v>
      </c>
      <c r="R103" s="231" t="s">
        <v>239</v>
      </c>
      <c r="S103" s="132">
        <v>6.7</v>
      </c>
      <c r="T103" s="231" t="s">
        <v>239</v>
      </c>
      <c r="U103" s="132">
        <v>6.7</v>
      </c>
      <c r="V103" s="230" t="s">
        <v>239</v>
      </c>
      <c r="W103" s="132">
        <v>6.7</v>
      </c>
      <c r="X103" s="231" t="s">
        <v>239</v>
      </c>
      <c r="Y103" s="132">
        <v>6.7</v>
      </c>
      <c r="Z103" s="231" t="s">
        <v>239</v>
      </c>
      <c r="AA103" s="132">
        <v>6.7</v>
      </c>
      <c r="AB103" s="231" t="s">
        <v>239</v>
      </c>
      <c r="AC103" s="132">
        <v>6.7</v>
      </c>
      <c r="AD103" s="231" t="s">
        <v>239</v>
      </c>
      <c r="AE103" s="132">
        <v>6.7</v>
      </c>
      <c r="AF103" s="231" t="s">
        <v>239</v>
      </c>
      <c r="AG103" s="132">
        <v>6.7</v>
      </c>
      <c r="AH103" s="231" t="s">
        <v>239</v>
      </c>
      <c r="AI103" s="132">
        <v>6.7</v>
      </c>
      <c r="AJ103" s="231" t="s">
        <v>239</v>
      </c>
      <c r="AK103" s="132">
        <v>6.7</v>
      </c>
      <c r="AL103" s="231" t="s">
        <v>239</v>
      </c>
      <c r="AM103" s="231">
        <v>0</v>
      </c>
    </row>
    <row r="104" spans="1:39" ht="15.75" outlineLevel="1">
      <c r="A104" s="412"/>
      <c r="B104" s="12">
        <v>129047</v>
      </c>
      <c r="C104" s="218" t="s">
        <v>1489</v>
      </c>
      <c r="D104" s="218" t="s">
        <v>1490</v>
      </c>
      <c r="E104" s="23" t="s">
        <v>44</v>
      </c>
      <c r="F104" s="17" t="s">
        <v>45</v>
      </c>
      <c r="G104" s="11" t="s">
        <v>1432</v>
      </c>
      <c r="H104" s="12">
        <v>16</v>
      </c>
      <c r="I104" s="11" t="s">
        <v>1433</v>
      </c>
      <c r="J104" s="193" t="s">
        <v>1457</v>
      </c>
      <c r="K104" s="17" t="s">
        <v>233</v>
      </c>
      <c r="L104" s="17" t="s">
        <v>233</v>
      </c>
      <c r="M104" s="231">
        <v>9215</v>
      </c>
      <c r="N104" s="232">
        <v>9103.1298999999999</v>
      </c>
      <c r="O104" s="132">
        <v>333</v>
      </c>
      <c r="P104" s="231" t="s">
        <v>239</v>
      </c>
      <c r="Q104" s="231">
        <v>610</v>
      </c>
      <c r="R104" s="231" t="s">
        <v>239</v>
      </c>
      <c r="S104" s="231">
        <v>761</v>
      </c>
      <c r="T104" s="231" t="s">
        <v>239</v>
      </c>
      <c r="U104" s="231">
        <v>908</v>
      </c>
      <c r="V104" s="231" t="s">
        <v>239</v>
      </c>
      <c r="W104" s="231">
        <v>927</v>
      </c>
      <c r="X104" s="231" t="s">
        <v>239</v>
      </c>
      <c r="Y104" s="231">
        <v>1046</v>
      </c>
      <c r="Z104" s="231" t="s">
        <v>239</v>
      </c>
      <c r="AA104" s="231">
        <v>610</v>
      </c>
      <c r="AB104" s="231" t="s">
        <v>239</v>
      </c>
      <c r="AC104" s="231">
        <v>583</v>
      </c>
      <c r="AD104" s="231" t="s">
        <v>239</v>
      </c>
      <c r="AE104" s="231">
        <v>707</v>
      </c>
      <c r="AF104" s="231" t="s">
        <v>239</v>
      </c>
      <c r="AG104" s="231">
        <v>313</v>
      </c>
      <c r="AH104" s="231" t="s">
        <v>239</v>
      </c>
      <c r="AI104" s="231">
        <v>1385</v>
      </c>
      <c r="AJ104" s="231" t="s">
        <v>239</v>
      </c>
      <c r="AK104" s="231">
        <v>1028</v>
      </c>
      <c r="AL104" s="231" t="s">
        <v>239</v>
      </c>
      <c r="AM104" s="231">
        <v>9211</v>
      </c>
    </row>
    <row r="105" spans="1:39" ht="15.75" outlineLevel="1">
      <c r="A105" s="411">
        <v>48</v>
      </c>
      <c r="B105" s="12">
        <v>129048</v>
      </c>
      <c r="C105" s="218" t="s">
        <v>1489</v>
      </c>
      <c r="D105" s="218" t="s">
        <v>1490</v>
      </c>
      <c r="E105" s="23" t="s">
        <v>138</v>
      </c>
      <c r="F105" s="17" t="s">
        <v>45</v>
      </c>
      <c r="G105" s="11" t="s">
        <v>1432</v>
      </c>
      <c r="H105" s="12">
        <v>33</v>
      </c>
      <c r="I105" s="11" t="s">
        <v>1433</v>
      </c>
      <c r="J105" s="193" t="s">
        <v>617</v>
      </c>
      <c r="K105" s="17" t="s">
        <v>233</v>
      </c>
      <c r="L105" s="17" t="s">
        <v>233</v>
      </c>
      <c r="M105" s="231">
        <v>10.220000000000001</v>
      </c>
      <c r="N105" s="234">
        <v>10.220000000000001</v>
      </c>
      <c r="O105" s="231">
        <v>10.220000000000001</v>
      </c>
      <c r="P105" s="231" t="s">
        <v>239</v>
      </c>
      <c r="Q105" s="231">
        <v>10.220000000000001</v>
      </c>
      <c r="R105" s="231" t="s">
        <v>239</v>
      </c>
      <c r="S105" s="231">
        <v>10.220000000000001</v>
      </c>
      <c r="T105" s="231" t="s">
        <v>239</v>
      </c>
      <c r="U105" s="231">
        <v>10.220000000000001</v>
      </c>
      <c r="V105" s="231" t="s">
        <v>239</v>
      </c>
      <c r="W105" s="231">
        <v>10.220000000000001</v>
      </c>
      <c r="X105" s="231" t="s">
        <v>239</v>
      </c>
      <c r="Y105" s="231">
        <v>10.220000000000001</v>
      </c>
      <c r="Z105" s="231" t="s">
        <v>239</v>
      </c>
      <c r="AA105" s="231">
        <v>10.220000000000001</v>
      </c>
      <c r="AB105" s="231" t="s">
        <v>239</v>
      </c>
      <c r="AC105" s="231">
        <v>10.220000000000001</v>
      </c>
      <c r="AD105" s="231" t="s">
        <v>239</v>
      </c>
      <c r="AE105" s="231">
        <v>10.220000000000001</v>
      </c>
      <c r="AF105" s="231" t="s">
        <v>239</v>
      </c>
      <c r="AG105" s="231">
        <v>10.220000000000001</v>
      </c>
      <c r="AH105" s="231" t="s">
        <v>239</v>
      </c>
      <c r="AI105" s="231">
        <v>10.220000000000001</v>
      </c>
      <c r="AJ105" s="231" t="s">
        <v>239</v>
      </c>
      <c r="AK105" s="231">
        <v>10.220000000000001</v>
      </c>
      <c r="AL105" s="231" t="s">
        <v>239</v>
      </c>
      <c r="AM105" s="231">
        <v>0</v>
      </c>
    </row>
    <row r="106" spans="1:39" ht="15.75" outlineLevel="1">
      <c r="A106" s="412"/>
      <c r="B106" s="12">
        <v>129048</v>
      </c>
      <c r="C106" s="218" t="s">
        <v>1489</v>
      </c>
      <c r="D106" s="218" t="s">
        <v>1490</v>
      </c>
      <c r="E106" s="23" t="s">
        <v>44</v>
      </c>
      <c r="F106" s="17" t="s">
        <v>45</v>
      </c>
      <c r="G106" s="11" t="s">
        <v>1432</v>
      </c>
      <c r="H106" s="12">
        <v>5</v>
      </c>
      <c r="I106" s="11" t="s">
        <v>1433</v>
      </c>
      <c r="J106" s="193" t="s">
        <v>216</v>
      </c>
      <c r="K106" s="17" t="s">
        <v>233</v>
      </c>
      <c r="L106" s="17" t="s">
        <v>233</v>
      </c>
      <c r="M106" s="231">
        <v>24058</v>
      </c>
      <c r="N106" s="232">
        <v>23765.935879999997</v>
      </c>
      <c r="O106" s="132">
        <v>1151</v>
      </c>
      <c r="P106" s="231" t="s">
        <v>239</v>
      </c>
      <c r="Q106" s="231">
        <v>957</v>
      </c>
      <c r="R106" s="231" t="s">
        <v>239</v>
      </c>
      <c r="S106" s="231">
        <v>618</v>
      </c>
      <c r="T106" s="231" t="s">
        <v>239</v>
      </c>
      <c r="U106" s="231">
        <v>352</v>
      </c>
      <c r="V106" s="230" t="s">
        <v>239</v>
      </c>
      <c r="W106" s="231">
        <v>304</v>
      </c>
      <c r="X106" s="231" t="s">
        <v>239</v>
      </c>
      <c r="Y106" s="231">
        <v>1297</v>
      </c>
      <c r="Z106" s="231" t="s">
        <v>239</v>
      </c>
      <c r="AA106" s="231">
        <v>1658</v>
      </c>
      <c r="AB106" s="231" t="s">
        <v>239</v>
      </c>
      <c r="AC106" s="231">
        <v>268</v>
      </c>
      <c r="AD106" s="231" t="s">
        <v>239</v>
      </c>
      <c r="AE106" s="231">
        <v>302</v>
      </c>
      <c r="AF106" s="231" t="s">
        <v>239</v>
      </c>
      <c r="AG106" s="231">
        <v>792</v>
      </c>
      <c r="AH106" s="231" t="s">
        <v>239</v>
      </c>
      <c r="AI106" s="231">
        <v>585</v>
      </c>
      <c r="AJ106" s="231" t="s">
        <v>239</v>
      </c>
      <c r="AK106" s="231">
        <v>227</v>
      </c>
      <c r="AL106" s="231" t="s">
        <v>239</v>
      </c>
      <c r="AM106" s="231">
        <v>8511</v>
      </c>
    </row>
    <row r="107" spans="1:39" ht="15.75" outlineLevel="1">
      <c r="A107" s="411">
        <v>49</v>
      </c>
      <c r="B107" s="12">
        <v>129049</v>
      </c>
      <c r="C107" s="218" t="s">
        <v>1489</v>
      </c>
      <c r="D107" s="218" t="s">
        <v>1490</v>
      </c>
      <c r="E107" s="23" t="s">
        <v>138</v>
      </c>
      <c r="F107" s="17" t="s">
        <v>45</v>
      </c>
      <c r="G107" s="11" t="s">
        <v>1432</v>
      </c>
      <c r="H107" s="12">
        <v>9</v>
      </c>
      <c r="I107" s="11" t="s">
        <v>1433</v>
      </c>
      <c r="J107" s="192" t="s">
        <v>1446</v>
      </c>
      <c r="K107" s="17" t="s">
        <v>233</v>
      </c>
      <c r="L107" s="17" t="s">
        <v>233</v>
      </c>
      <c r="M107" s="231">
        <v>10.220000000000001</v>
      </c>
      <c r="N107" s="234">
        <v>10.220000000000001</v>
      </c>
      <c r="O107" s="231">
        <v>10.220000000000001</v>
      </c>
      <c r="P107" s="231" t="s">
        <v>239</v>
      </c>
      <c r="Q107" s="231">
        <v>10.220000000000001</v>
      </c>
      <c r="R107" s="231" t="s">
        <v>239</v>
      </c>
      <c r="S107" s="231">
        <v>10.220000000000001</v>
      </c>
      <c r="T107" s="231" t="s">
        <v>239</v>
      </c>
      <c r="U107" s="231">
        <v>10.220000000000001</v>
      </c>
      <c r="V107" s="231" t="s">
        <v>239</v>
      </c>
      <c r="W107" s="231">
        <v>10.220000000000001</v>
      </c>
      <c r="X107" s="231" t="s">
        <v>239</v>
      </c>
      <c r="Y107" s="231">
        <v>10.220000000000001</v>
      </c>
      <c r="Z107" s="231" t="s">
        <v>239</v>
      </c>
      <c r="AA107" s="231">
        <v>10.220000000000001</v>
      </c>
      <c r="AB107" s="231" t="s">
        <v>239</v>
      </c>
      <c r="AC107" s="231">
        <v>10.220000000000001</v>
      </c>
      <c r="AD107" s="231" t="s">
        <v>239</v>
      </c>
      <c r="AE107" s="231">
        <v>10.220000000000001</v>
      </c>
      <c r="AF107" s="231" t="s">
        <v>239</v>
      </c>
      <c r="AG107" s="231">
        <v>10.220000000000001</v>
      </c>
      <c r="AH107" s="231" t="s">
        <v>239</v>
      </c>
      <c r="AI107" s="231">
        <v>10.220000000000001</v>
      </c>
      <c r="AJ107" s="231" t="s">
        <v>239</v>
      </c>
      <c r="AK107" s="231">
        <v>10.220000000000001</v>
      </c>
      <c r="AL107" s="231" t="s">
        <v>239</v>
      </c>
      <c r="AM107" s="231">
        <v>0</v>
      </c>
    </row>
    <row r="108" spans="1:39" ht="15.75" outlineLevel="1">
      <c r="A108" s="412"/>
      <c r="B108" s="12">
        <v>129049</v>
      </c>
      <c r="C108" s="218" t="s">
        <v>1489</v>
      </c>
      <c r="D108" s="218" t="s">
        <v>1490</v>
      </c>
      <c r="E108" s="23" t="s">
        <v>44</v>
      </c>
      <c r="F108" s="17" t="s">
        <v>45</v>
      </c>
      <c r="G108" s="11" t="s">
        <v>1432</v>
      </c>
      <c r="H108" s="12">
        <v>4</v>
      </c>
      <c r="I108" s="11" t="s">
        <v>1433</v>
      </c>
      <c r="J108" s="192" t="s">
        <v>1481</v>
      </c>
      <c r="K108" s="17" t="s">
        <v>233</v>
      </c>
      <c r="L108" s="17" t="s">
        <v>233</v>
      </c>
      <c r="M108" s="231">
        <v>0</v>
      </c>
      <c r="N108" s="232">
        <v>0</v>
      </c>
      <c r="O108" s="132">
        <v>0</v>
      </c>
      <c r="P108" s="231" t="s">
        <v>239</v>
      </c>
      <c r="Q108" s="231">
        <v>0</v>
      </c>
      <c r="R108" s="231" t="s">
        <v>239</v>
      </c>
      <c r="S108" s="231">
        <v>0</v>
      </c>
      <c r="T108" s="231" t="s">
        <v>239</v>
      </c>
      <c r="U108" s="231">
        <v>0</v>
      </c>
      <c r="V108" s="231" t="s">
        <v>239</v>
      </c>
      <c r="W108" s="231">
        <v>0</v>
      </c>
      <c r="X108" s="231" t="s">
        <v>239</v>
      </c>
      <c r="Y108" s="231">
        <v>0</v>
      </c>
      <c r="Z108" s="231" t="s">
        <v>239</v>
      </c>
      <c r="AA108" s="231">
        <v>0</v>
      </c>
      <c r="AB108" s="231" t="s">
        <v>239</v>
      </c>
      <c r="AC108" s="231">
        <v>0</v>
      </c>
      <c r="AD108" s="231" t="s">
        <v>239</v>
      </c>
      <c r="AE108" s="231">
        <v>0</v>
      </c>
      <c r="AF108" s="231" t="s">
        <v>239</v>
      </c>
      <c r="AG108" s="231">
        <v>0</v>
      </c>
      <c r="AH108" s="231" t="s">
        <v>239</v>
      </c>
      <c r="AI108" s="231">
        <v>0</v>
      </c>
      <c r="AJ108" s="231" t="s">
        <v>239</v>
      </c>
      <c r="AK108" s="231">
        <v>0</v>
      </c>
      <c r="AL108" s="231" t="s">
        <v>239</v>
      </c>
      <c r="AM108" s="231">
        <v>0</v>
      </c>
    </row>
    <row r="109" spans="1:39" ht="15.75" outlineLevel="1">
      <c r="A109" s="411">
        <v>50</v>
      </c>
      <c r="B109" s="10">
        <v>129050</v>
      </c>
      <c r="C109" s="218" t="s">
        <v>1489</v>
      </c>
      <c r="D109" s="218" t="s">
        <v>1490</v>
      </c>
      <c r="E109" s="23" t="s">
        <v>44</v>
      </c>
      <c r="F109" s="17" t="s">
        <v>45</v>
      </c>
      <c r="G109" s="11" t="s">
        <v>1432</v>
      </c>
      <c r="H109" s="12">
        <v>6</v>
      </c>
      <c r="I109" s="11" t="s">
        <v>1433</v>
      </c>
      <c r="J109" s="192" t="s">
        <v>208</v>
      </c>
      <c r="K109" s="17" t="s">
        <v>233</v>
      </c>
      <c r="L109" s="17" t="s">
        <v>233</v>
      </c>
      <c r="M109" s="231">
        <v>10.220000000000001</v>
      </c>
      <c r="N109" s="234">
        <v>10.220000000000001</v>
      </c>
      <c r="O109" s="231">
        <v>10.220000000000001</v>
      </c>
      <c r="P109" s="231" t="s">
        <v>239</v>
      </c>
      <c r="Q109" s="231">
        <v>10.220000000000001</v>
      </c>
      <c r="R109" s="231" t="s">
        <v>239</v>
      </c>
      <c r="S109" s="231">
        <v>10.220000000000001</v>
      </c>
      <c r="T109" s="231" t="s">
        <v>239</v>
      </c>
      <c r="U109" s="231">
        <v>10.220000000000001</v>
      </c>
      <c r="V109" s="230" t="s">
        <v>239</v>
      </c>
      <c r="W109" s="231">
        <v>10.220000000000001</v>
      </c>
      <c r="X109" s="231" t="s">
        <v>239</v>
      </c>
      <c r="Y109" s="231">
        <v>10.220000000000001</v>
      </c>
      <c r="Z109" s="231" t="s">
        <v>239</v>
      </c>
      <c r="AA109" s="231">
        <v>10.220000000000001</v>
      </c>
      <c r="AB109" s="231" t="s">
        <v>239</v>
      </c>
      <c r="AC109" s="231">
        <v>10.220000000000001</v>
      </c>
      <c r="AD109" s="231" t="s">
        <v>239</v>
      </c>
      <c r="AE109" s="231">
        <v>10.220000000000001</v>
      </c>
      <c r="AF109" s="231" t="s">
        <v>239</v>
      </c>
      <c r="AG109" s="231">
        <v>10.220000000000001</v>
      </c>
      <c r="AH109" s="231" t="s">
        <v>239</v>
      </c>
      <c r="AI109" s="231">
        <v>10.220000000000001</v>
      </c>
      <c r="AJ109" s="231" t="s">
        <v>239</v>
      </c>
      <c r="AK109" s="231">
        <v>10.220000000000001</v>
      </c>
      <c r="AL109" s="231" t="s">
        <v>239</v>
      </c>
      <c r="AM109" s="231">
        <v>0</v>
      </c>
    </row>
    <row r="110" spans="1:39" ht="15.75" outlineLevel="1">
      <c r="A110" s="412"/>
      <c r="B110" s="10">
        <v>129050</v>
      </c>
      <c r="C110" s="218" t="s">
        <v>1489</v>
      </c>
      <c r="D110" s="218" t="s">
        <v>1490</v>
      </c>
      <c r="E110" s="23" t="s">
        <v>138</v>
      </c>
      <c r="F110" s="17" t="s">
        <v>45</v>
      </c>
      <c r="G110" s="11" t="s">
        <v>1432</v>
      </c>
      <c r="H110" s="12">
        <v>12</v>
      </c>
      <c r="I110" s="11" t="s">
        <v>1433</v>
      </c>
      <c r="J110" s="192" t="s">
        <v>1463</v>
      </c>
      <c r="K110" s="17" t="s">
        <v>233</v>
      </c>
      <c r="L110" s="17" t="s">
        <v>233</v>
      </c>
      <c r="M110" s="231">
        <v>0</v>
      </c>
      <c r="N110" s="232">
        <v>0</v>
      </c>
      <c r="O110" s="132">
        <v>0</v>
      </c>
      <c r="P110" s="231" t="s">
        <v>239</v>
      </c>
      <c r="Q110" s="231">
        <v>0</v>
      </c>
      <c r="R110" s="231" t="s">
        <v>239</v>
      </c>
      <c r="S110" s="231">
        <v>0</v>
      </c>
      <c r="T110" s="231" t="s">
        <v>239</v>
      </c>
      <c r="U110" s="231">
        <v>0</v>
      </c>
      <c r="V110" s="231" t="s">
        <v>239</v>
      </c>
      <c r="W110" s="231">
        <v>0</v>
      </c>
      <c r="X110" s="231" t="s">
        <v>239</v>
      </c>
      <c r="Y110" s="231">
        <v>0</v>
      </c>
      <c r="Z110" s="231" t="s">
        <v>239</v>
      </c>
      <c r="AA110" s="231">
        <v>0</v>
      </c>
      <c r="AB110" s="231" t="s">
        <v>239</v>
      </c>
      <c r="AC110" s="231">
        <v>0</v>
      </c>
      <c r="AD110" s="231" t="s">
        <v>239</v>
      </c>
      <c r="AE110" s="231">
        <v>0</v>
      </c>
      <c r="AF110" s="231" t="s">
        <v>239</v>
      </c>
      <c r="AG110" s="231">
        <v>0</v>
      </c>
      <c r="AH110" s="231" t="s">
        <v>239</v>
      </c>
      <c r="AI110" s="231">
        <v>0</v>
      </c>
      <c r="AJ110" s="231" t="s">
        <v>239</v>
      </c>
      <c r="AK110" s="231">
        <v>0</v>
      </c>
      <c r="AL110" s="231" t="s">
        <v>239</v>
      </c>
      <c r="AM110" s="231">
        <v>0</v>
      </c>
    </row>
    <row r="111" spans="1:39" ht="15.75" outlineLevel="1">
      <c r="A111" s="411">
        <v>51</v>
      </c>
      <c r="B111" s="10">
        <v>129051</v>
      </c>
      <c r="C111" s="218" t="s">
        <v>1489</v>
      </c>
      <c r="D111" s="218" t="s">
        <v>1490</v>
      </c>
      <c r="E111" s="23" t="s">
        <v>44</v>
      </c>
      <c r="F111" s="17" t="s">
        <v>45</v>
      </c>
      <c r="G111" s="11" t="s">
        <v>1432</v>
      </c>
      <c r="H111" s="12">
        <v>6</v>
      </c>
      <c r="I111" s="11" t="s">
        <v>1433</v>
      </c>
      <c r="J111" s="192" t="s">
        <v>1482</v>
      </c>
      <c r="K111" s="17" t="s">
        <v>233</v>
      </c>
      <c r="L111" s="17" t="s">
        <v>233</v>
      </c>
      <c r="M111" s="231">
        <v>30</v>
      </c>
      <c r="N111" s="232">
        <v>30</v>
      </c>
      <c r="O111" s="231">
        <v>30</v>
      </c>
      <c r="P111" s="231" t="s">
        <v>239</v>
      </c>
      <c r="Q111" s="231">
        <v>30</v>
      </c>
      <c r="R111" s="231" t="s">
        <v>239</v>
      </c>
      <c r="S111" s="231">
        <v>30</v>
      </c>
      <c r="T111" s="231" t="s">
        <v>239</v>
      </c>
      <c r="U111" s="231">
        <v>30</v>
      </c>
      <c r="V111" s="231" t="s">
        <v>239</v>
      </c>
      <c r="W111" s="231">
        <v>30</v>
      </c>
      <c r="X111" s="231" t="s">
        <v>239</v>
      </c>
      <c r="Y111" s="231">
        <v>30</v>
      </c>
      <c r="Z111" s="231" t="s">
        <v>239</v>
      </c>
      <c r="AA111" s="231">
        <v>30</v>
      </c>
      <c r="AB111" s="231" t="s">
        <v>239</v>
      </c>
      <c r="AC111" s="231">
        <v>30</v>
      </c>
      <c r="AD111" s="231" t="s">
        <v>239</v>
      </c>
      <c r="AE111" s="231">
        <v>30</v>
      </c>
      <c r="AF111" s="231" t="s">
        <v>239</v>
      </c>
      <c r="AG111" s="231">
        <v>30</v>
      </c>
      <c r="AH111" s="231" t="s">
        <v>239</v>
      </c>
      <c r="AI111" s="231">
        <v>30</v>
      </c>
      <c r="AJ111" s="231" t="s">
        <v>239</v>
      </c>
      <c r="AK111" s="231">
        <v>30</v>
      </c>
      <c r="AL111" s="231" t="s">
        <v>239</v>
      </c>
      <c r="AM111" s="231">
        <v>0</v>
      </c>
    </row>
    <row r="112" spans="1:39" ht="15.75" outlineLevel="1">
      <c r="A112" s="412"/>
      <c r="B112" s="10">
        <v>129051</v>
      </c>
      <c r="C112" s="218" t="s">
        <v>1489</v>
      </c>
      <c r="D112" s="218" t="s">
        <v>1490</v>
      </c>
      <c r="E112" s="23" t="s">
        <v>138</v>
      </c>
      <c r="F112" s="17" t="s">
        <v>45</v>
      </c>
      <c r="G112" s="11" t="s">
        <v>1432</v>
      </c>
      <c r="H112" s="12">
        <v>4</v>
      </c>
      <c r="I112" s="11" t="s">
        <v>1433</v>
      </c>
      <c r="J112" s="192" t="s">
        <v>1462</v>
      </c>
      <c r="K112" s="17" t="s">
        <v>233</v>
      </c>
      <c r="L112" s="17" t="s">
        <v>233</v>
      </c>
      <c r="M112" s="231">
        <v>9154</v>
      </c>
      <c r="N112" s="232">
        <v>9042.8704399999988</v>
      </c>
      <c r="O112" s="132">
        <v>719</v>
      </c>
      <c r="P112" s="231" t="s">
        <v>239</v>
      </c>
      <c r="Q112" s="231">
        <v>410</v>
      </c>
      <c r="R112" s="231" t="s">
        <v>239</v>
      </c>
      <c r="S112" s="231">
        <v>600</v>
      </c>
      <c r="T112" s="231" t="s">
        <v>239</v>
      </c>
      <c r="U112" s="231">
        <v>332</v>
      </c>
      <c r="V112" s="230" t="s">
        <v>239</v>
      </c>
      <c r="W112" s="231">
        <v>636</v>
      </c>
      <c r="X112" s="231" t="s">
        <v>239</v>
      </c>
      <c r="Y112" s="231">
        <v>2759</v>
      </c>
      <c r="Z112" s="231" t="s">
        <v>239</v>
      </c>
      <c r="AA112" s="231">
        <v>384</v>
      </c>
      <c r="AB112" s="231" t="s">
        <v>239</v>
      </c>
      <c r="AC112" s="231">
        <v>717</v>
      </c>
      <c r="AD112" s="231" t="s">
        <v>239</v>
      </c>
      <c r="AE112" s="231">
        <v>1134</v>
      </c>
      <c r="AF112" s="231" t="s">
        <v>239</v>
      </c>
      <c r="AG112" s="231">
        <v>161</v>
      </c>
      <c r="AH112" s="231" t="s">
        <v>239</v>
      </c>
      <c r="AI112" s="231">
        <v>1185</v>
      </c>
      <c r="AJ112" s="231" t="s">
        <v>239</v>
      </c>
      <c r="AK112" s="231">
        <v>297</v>
      </c>
      <c r="AL112" s="231" t="s">
        <v>239</v>
      </c>
      <c r="AM112" s="231">
        <v>9334</v>
      </c>
    </row>
    <row r="113" spans="1:39" ht="15.75" outlineLevel="1">
      <c r="A113" s="411">
        <v>52</v>
      </c>
      <c r="B113" s="10">
        <v>129052</v>
      </c>
      <c r="C113" s="218" t="s">
        <v>1489</v>
      </c>
      <c r="D113" s="218" t="s">
        <v>1490</v>
      </c>
      <c r="E113" s="23" t="s">
        <v>44</v>
      </c>
      <c r="F113" s="17" t="s">
        <v>45</v>
      </c>
      <c r="G113" s="11" t="s">
        <v>1432</v>
      </c>
      <c r="H113" s="12">
        <v>29</v>
      </c>
      <c r="I113" s="11" t="s">
        <v>1433</v>
      </c>
      <c r="J113" s="192" t="s">
        <v>1457</v>
      </c>
      <c r="K113" s="17" t="s">
        <v>233</v>
      </c>
      <c r="L113" s="17" t="s">
        <v>233</v>
      </c>
      <c r="M113" s="231">
        <v>48</v>
      </c>
      <c r="N113" s="232">
        <v>48</v>
      </c>
      <c r="O113" s="231">
        <v>48</v>
      </c>
      <c r="P113" s="231" t="s">
        <v>239</v>
      </c>
      <c r="Q113" s="231">
        <v>48</v>
      </c>
      <c r="R113" s="231" t="s">
        <v>239</v>
      </c>
      <c r="S113" s="231">
        <v>48</v>
      </c>
      <c r="T113" s="231" t="s">
        <v>239</v>
      </c>
      <c r="U113" s="231">
        <v>48</v>
      </c>
      <c r="V113" s="231" t="s">
        <v>239</v>
      </c>
      <c r="W113" s="231">
        <v>48</v>
      </c>
      <c r="X113" s="231" t="s">
        <v>239</v>
      </c>
      <c r="Y113" s="231">
        <v>48</v>
      </c>
      <c r="Z113" s="231" t="s">
        <v>239</v>
      </c>
      <c r="AA113" s="231">
        <v>48</v>
      </c>
      <c r="AB113" s="231" t="s">
        <v>239</v>
      </c>
      <c r="AC113" s="231">
        <v>48</v>
      </c>
      <c r="AD113" s="231" t="s">
        <v>239</v>
      </c>
      <c r="AE113" s="231">
        <v>48</v>
      </c>
      <c r="AF113" s="231" t="s">
        <v>239</v>
      </c>
      <c r="AG113" s="231">
        <v>48</v>
      </c>
      <c r="AH113" s="231" t="s">
        <v>239</v>
      </c>
      <c r="AI113" s="231">
        <v>48</v>
      </c>
      <c r="AJ113" s="231" t="s">
        <v>239</v>
      </c>
      <c r="AK113" s="231">
        <v>48</v>
      </c>
      <c r="AL113" s="231" t="s">
        <v>239</v>
      </c>
      <c r="AM113" s="231">
        <v>0</v>
      </c>
    </row>
    <row r="114" spans="1:39" ht="15.75" outlineLevel="1">
      <c r="A114" s="412"/>
      <c r="B114" s="10">
        <v>129052</v>
      </c>
      <c r="C114" s="218" t="s">
        <v>1489</v>
      </c>
      <c r="D114" s="218" t="s">
        <v>1490</v>
      </c>
      <c r="E114" s="23" t="s">
        <v>44</v>
      </c>
      <c r="F114" s="17" t="s">
        <v>45</v>
      </c>
      <c r="G114" s="11" t="s">
        <v>1432</v>
      </c>
      <c r="H114" s="12">
        <v>41</v>
      </c>
      <c r="I114" s="11" t="s">
        <v>1433</v>
      </c>
      <c r="J114" s="192" t="s">
        <v>617</v>
      </c>
      <c r="K114" s="17" t="s">
        <v>233</v>
      </c>
      <c r="L114" s="17" t="s">
        <v>233</v>
      </c>
      <c r="M114" s="231">
        <v>4516</v>
      </c>
      <c r="N114" s="232">
        <v>4461.1757600000001</v>
      </c>
      <c r="O114" s="132">
        <v>287</v>
      </c>
      <c r="P114" s="231" t="s">
        <v>239</v>
      </c>
      <c r="Q114" s="231">
        <v>414</v>
      </c>
      <c r="R114" s="231" t="s">
        <v>239</v>
      </c>
      <c r="S114" s="231">
        <v>142</v>
      </c>
      <c r="T114" s="231" t="s">
        <v>239</v>
      </c>
      <c r="U114" s="231">
        <v>205</v>
      </c>
      <c r="V114" s="231" t="s">
        <v>239</v>
      </c>
      <c r="W114" s="231">
        <v>113</v>
      </c>
      <c r="X114" s="231" t="s">
        <v>239</v>
      </c>
      <c r="Y114" s="231">
        <v>218</v>
      </c>
      <c r="Z114" s="231" t="s">
        <v>239</v>
      </c>
      <c r="AA114" s="231">
        <v>162</v>
      </c>
      <c r="AB114" s="231" t="s">
        <v>239</v>
      </c>
      <c r="AC114" s="231">
        <v>140</v>
      </c>
      <c r="AD114" s="231" t="s">
        <v>239</v>
      </c>
      <c r="AE114" s="231">
        <v>88</v>
      </c>
      <c r="AF114" s="231" t="s">
        <v>239</v>
      </c>
      <c r="AG114" s="231">
        <v>151</v>
      </c>
      <c r="AH114" s="231" t="s">
        <v>239</v>
      </c>
      <c r="AI114" s="231">
        <v>251</v>
      </c>
      <c r="AJ114" s="231" t="s">
        <v>239</v>
      </c>
      <c r="AK114" s="231">
        <v>192</v>
      </c>
      <c r="AL114" s="231" t="s">
        <v>239</v>
      </c>
      <c r="AM114" s="231">
        <v>2363</v>
      </c>
    </row>
    <row r="115" spans="1:39" ht="15" customHeight="1" outlineLevel="1">
      <c r="A115" s="411">
        <v>53</v>
      </c>
      <c r="B115" s="10">
        <v>129053</v>
      </c>
      <c r="C115" s="218" t="s">
        <v>1489</v>
      </c>
      <c r="D115" s="218" t="s">
        <v>1490</v>
      </c>
      <c r="E115" s="23" t="s">
        <v>138</v>
      </c>
      <c r="F115" s="17" t="s">
        <v>45</v>
      </c>
      <c r="G115" s="11" t="s">
        <v>1432</v>
      </c>
      <c r="H115" s="12">
        <v>26</v>
      </c>
      <c r="I115" s="11" t="s">
        <v>1433</v>
      </c>
      <c r="J115" s="374" t="s">
        <v>1457</v>
      </c>
      <c r="K115" s="17" t="s">
        <v>233</v>
      </c>
      <c r="L115" s="17" t="s">
        <v>233</v>
      </c>
      <c r="M115" s="231">
        <v>48</v>
      </c>
      <c r="N115" s="232">
        <v>48</v>
      </c>
      <c r="O115" s="231">
        <v>48</v>
      </c>
      <c r="P115" s="231" t="s">
        <v>239</v>
      </c>
      <c r="Q115" s="231">
        <v>48</v>
      </c>
      <c r="R115" s="231" t="s">
        <v>239</v>
      </c>
      <c r="S115" s="231">
        <v>48</v>
      </c>
      <c r="T115" s="231" t="s">
        <v>239</v>
      </c>
      <c r="U115" s="231">
        <v>48</v>
      </c>
      <c r="V115" s="230" t="s">
        <v>239</v>
      </c>
      <c r="W115" s="231">
        <v>48</v>
      </c>
      <c r="X115" s="231" t="s">
        <v>239</v>
      </c>
      <c r="Y115" s="231">
        <v>48</v>
      </c>
      <c r="Z115" s="231" t="s">
        <v>239</v>
      </c>
      <c r="AA115" s="231">
        <v>48</v>
      </c>
      <c r="AB115" s="231" t="s">
        <v>239</v>
      </c>
      <c r="AC115" s="231">
        <v>48</v>
      </c>
      <c r="AD115" s="231" t="s">
        <v>239</v>
      </c>
      <c r="AE115" s="231">
        <v>48</v>
      </c>
      <c r="AF115" s="231" t="s">
        <v>239</v>
      </c>
      <c r="AG115" s="231">
        <v>48</v>
      </c>
      <c r="AH115" s="231" t="s">
        <v>239</v>
      </c>
      <c r="AI115" s="231">
        <v>48</v>
      </c>
      <c r="AJ115" s="231" t="s">
        <v>239</v>
      </c>
      <c r="AK115" s="231">
        <v>48</v>
      </c>
      <c r="AL115" s="231" t="s">
        <v>239</v>
      </c>
      <c r="AM115" s="231">
        <v>0</v>
      </c>
    </row>
    <row r="116" spans="1:39" ht="15" customHeight="1" outlineLevel="1">
      <c r="A116" s="412"/>
      <c r="B116" s="10">
        <v>129053</v>
      </c>
      <c r="C116" s="218" t="s">
        <v>1489</v>
      </c>
      <c r="D116" s="218" t="s">
        <v>1490</v>
      </c>
      <c r="E116" s="23" t="s">
        <v>44</v>
      </c>
      <c r="F116" s="17" t="s">
        <v>45</v>
      </c>
      <c r="G116" s="11" t="s">
        <v>1432</v>
      </c>
      <c r="H116" s="12">
        <v>15</v>
      </c>
      <c r="I116" s="11" t="s">
        <v>1433</v>
      </c>
      <c r="J116" s="375"/>
      <c r="K116" s="17" t="s">
        <v>233</v>
      </c>
      <c r="L116" s="17" t="s">
        <v>233</v>
      </c>
      <c r="M116" s="231">
        <v>0</v>
      </c>
      <c r="N116" s="232">
        <v>0</v>
      </c>
      <c r="O116" s="132">
        <v>0</v>
      </c>
      <c r="P116" s="231" t="s">
        <v>239</v>
      </c>
      <c r="Q116" s="231">
        <v>0</v>
      </c>
      <c r="R116" s="231" t="s">
        <v>239</v>
      </c>
      <c r="S116" s="231">
        <v>0</v>
      </c>
      <c r="T116" s="231" t="s">
        <v>239</v>
      </c>
      <c r="U116" s="231">
        <v>0</v>
      </c>
      <c r="V116" s="231" t="s">
        <v>239</v>
      </c>
      <c r="W116" s="231">
        <v>0</v>
      </c>
      <c r="X116" s="231" t="s">
        <v>239</v>
      </c>
      <c r="Y116" s="231">
        <v>0</v>
      </c>
      <c r="Z116" s="231" t="s">
        <v>239</v>
      </c>
      <c r="AA116" s="231">
        <v>0</v>
      </c>
      <c r="AB116" s="231" t="s">
        <v>239</v>
      </c>
      <c r="AC116" s="231">
        <v>0</v>
      </c>
      <c r="AD116" s="231" t="s">
        <v>239</v>
      </c>
      <c r="AE116" s="231">
        <v>0</v>
      </c>
      <c r="AF116" s="231" t="s">
        <v>239</v>
      </c>
      <c r="AG116" s="231">
        <v>0</v>
      </c>
      <c r="AH116" s="231" t="s">
        <v>239</v>
      </c>
      <c r="AI116" s="231">
        <v>0</v>
      </c>
      <c r="AJ116" s="231" t="s">
        <v>239</v>
      </c>
      <c r="AK116" s="231">
        <v>0</v>
      </c>
      <c r="AL116" s="231" t="s">
        <v>239</v>
      </c>
      <c r="AM116" s="231">
        <v>0</v>
      </c>
    </row>
    <row r="117" spans="1:39" ht="15" customHeight="1" outlineLevel="1">
      <c r="A117" s="411">
        <v>54</v>
      </c>
      <c r="B117" s="10">
        <v>129054</v>
      </c>
      <c r="C117" s="218" t="s">
        <v>1489</v>
      </c>
      <c r="D117" s="218" t="s">
        <v>1490</v>
      </c>
      <c r="E117" s="23" t="s">
        <v>138</v>
      </c>
      <c r="F117" s="17" t="s">
        <v>45</v>
      </c>
      <c r="G117" s="11" t="s">
        <v>1432</v>
      </c>
      <c r="H117" s="12">
        <v>8</v>
      </c>
      <c r="I117" s="11" t="s">
        <v>1433</v>
      </c>
      <c r="J117" s="193" t="s">
        <v>1460</v>
      </c>
      <c r="K117" s="17" t="s">
        <v>233</v>
      </c>
      <c r="L117" s="17" t="s">
        <v>233</v>
      </c>
      <c r="M117" s="231">
        <v>12</v>
      </c>
      <c r="N117" s="232">
        <v>12</v>
      </c>
      <c r="O117" s="231">
        <v>12</v>
      </c>
      <c r="P117" s="231" t="s">
        <v>239</v>
      </c>
      <c r="Q117" s="231">
        <v>12</v>
      </c>
      <c r="R117" s="231" t="s">
        <v>239</v>
      </c>
      <c r="S117" s="231">
        <v>12</v>
      </c>
      <c r="T117" s="231" t="s">
        <v>239</v>
      </c>
      <c r="U117" s="231">
        <v>12</v>
      </c>
      <c r="V117" s="231" t="s">
        <v>239</v>
      </c>
      <c r="W117" s="231">
        <v>12</v>
      </c>
      <c r="X117" s="231" t="s">
        <v>239</v>
      </c>
      <c r="Y117" s="231">
        <v>12</v>
      </c>
      <c r="Z117" s="231" t="s">
        <v>239</v>
      </c>
      <c r="AA117" s="231">
        <v>12</v>
      </c>
      <c r="AB117" s="231" t="s">
        <v>239</v>
      </c>
      <c r="AC117" s="231">
        <v>12</v>
      </c>
      <c r="AD117" s="231" t="s">
        <v>239</v>
      </c>
      <c r="AE117" s="231">
        <v>12</v>
      </c>
      <c r="AF117" s="231" t="s">
        <v>239</v>
      </c>
      <c r="AG117" s="231">
        <v>12</v>
      </c>
      <c r="AH117" s="231" t="s">
        <v>239</v>
      </c>
      <c r="AI117" s="231">
        <v>12</v>
      </c>
      <c r="AJ117" s="231" t="s">
        <v>239</v>
      </c>
      <c r="AK117" s="231">
        <v>12</v>
      </c>
      <c r="AL117" s="231" t="s">
        <v>239</v>
      </c>
      <c r="AM117" s="231">
        <v>0</v>
      </c>
    </row>
    <row r="118" spans="1:39" ht="15" customHeight="1" outlineLevel="1">
      <c r="A118" s="412"/>
      <c r="B118" s="10">
        <v>129054</v>
      </c>
      <c r="C118" s="218" t="s">
        <v>1489</v>
      </c>
      <c r="D118" s="218" t="s">
        <v>1490</v>
      </c>
      <c r="E118" s="23" t="s">
        <v>44</v>
      </c>
      <c r="F118" s="17" t="s">
        <v>45</v>
      </c>
      <c r="G118" s="11" t="s">
        <v>1432</v>
      </c>
      <c r="H118" s="12">
        <v>5</v>
      </c>
      <c r="I118" s="11" t="s">
        <v>1433</v>
      </c>
      <c r="J118" s="193" t="s">
        <v>1442</v>
      </c>
      <c r="K118" s="17" t="s">
        <v>233</v>
      </c>
      <c r="L118" s="17" t="s">
        <v>233</v>
      </c>
      <c r="M118" s="231">
        <v>2616</v>
      </c>
      <c r="N118" s="232">
        <v>2584.2417599999999</v>
      </c>
      <c r="O118" s="132">
        <v>428</v>
      </c>
      <c r="P118" s="231" t="s">
        <v>239</v>
      </c>
      <c r="Q118" s="231">
        <v>496</v>
      </c>
      <c r="R118" s="231" t="s">
        <v>239</v>
      </c>
      <c r="S118" s="231">
        <v>438</v>
      </c>
      <c r="T118" s="231" t="s">
        <v>239</v>
      </c>
      <c r="U118" s="231">
        <v>46</v>
      </c>
      <c r="V118" s="230" t="s">
        <v>239</v>
      </c>
      <c r="W118" s="231">
        <v>176</v>
      </c>
      <c r="X118" s="231" t="s">
        <v>239</v>
      </c>
      <c r="Y118" s="231">
        <v>572</v>
      </c>
      <c r="Z118" s="231" t="s">
        <v>239</v>
      </c>
      <c r="AA118" s="231">
        <v>572</v>
      </c>
      <c r="AB118" s="231" t="s">
        <v>239</v>
      </c>
      <c r="AC118" s="231">
        <v>572</v>
      </c>
      <c r="AD118" s="231" t="s">
        <v>239</v>
      </c>
      <c r="AE118" s="231">
        <v>572</v>
      </c>
      <c r="AF118" s="231" t="s">
        <v>239</v>
      </c>
      <c r="AG118" s="231">
        <v>572</v>
      </c>
      <c r="AH118" s="231" t="s">
        <v>239</v>
      </c>
      <c r="AI118" s="231">
        <v>572</v>
      </c>
      <c r="AJ118" s="231" t="s">
        <v>239</v>
      </c>
      <c r="AK118" s="231">
        <v>579</v>
      </c>
      <c r="AL118" s="231" t="s">
        <v>239</v>
      </c>
      <c r="AM118" s="231">
        <v>5595</v>
      </c>
    </row>
    <row r="119" spans="1:39" ht="15" customHeight="1" outlineLevel="1">
      <c r="A119" s="411">
        <v>55</v>
      </c>
      <c r="B119" s="10">
        <v>129055</v>
      </c>
      <c r="C119" s="218" t="s">
        <v>1489</v>
      </c>
      <c r="D119" s="218" t="s">
        <v>1490</v>
      </c>
      <c r="E119" s="23" t="s">
        <v>44</v>
      </c>
      <c r="F119" s="17" t="s">
        <v>45</v>
      </c>
      <c r="G119" s="11" t="s">
        <v>1432</v>
      </c>
      <c r="H119" s="12">
        <v>17</v>
      </c>
      <c r="I119" s="11" t="s">
        <v>1433</v>
      </c>
      <c r="J119" s="193" t="s">
        <v>1460</v>
      </c>
      <c r="K119" s="17" t="s">
        <v>233</v>
      </c>
      <c r="L119" s="17" t="s">
        <v>233</v>
      </c>
      <c r="M119" s="231">
        <v>13</v>
      </c>
      <c r="N119" s="232">
        <v>13</v>
      </c>
      <c r="O119" s="231">
        <v>13</v>
      </c>
      <c r="P119" s="231" t="s">
        <v>239</v>
      </c>
      <c r="Q119" s="231">
        <v>13</v>
      </c>
      <c r="R119" s="231" t="s">
        <v>239</v>
      </c>
      <c r="S119" s="231">
        <v>13</v>
      </c>
      <c r="T119" s="231" t="s">
        <v>239</v>
      </c>
      <c r="U119" s="231">
        <v>13</v>
      </c>
      <c r="V119" s="231" t="s">
        <v>239</v>
      </c>
      <c r="W119" s="231">
        <v>13</v>
      </c>
      <c r="X119" s="231" t="s">
        <v>239</v>
      </c>
      <c r="Y119" s="231">
        <v>13</v>
      </c>
      <c r="Z119" s="231" t="s">
        <v>239</v>
      </c>
      <c r="AA119" s="231">
        <v>13</v>
      </c>
      <c r="AB119" s="231" t="s">
        <v>239</v>
      </c>
      <c r="AC119" s="231">
        <v>13</v>
      </c>
      <c r="AD119" s="231" t="s">
        <v>239</v>
      </c>
      <c r="AE119" s="231">
        <v>13</v>
      </c>
      <c r="AF119" s="231" t="s">
        <v>239</v>
      </c>
      <c r="AG119" s="231">
        <v>13</v>
      </c>
      <c r="AH119" s="231" t="s">
        <v>239</v>
      </c>
      <c r="AI119" s="231">
        <v>13</v>
      </c>
      <c r="AJ119" s="231" t="s">
        <v>239</v>
      </c>
      <c r="AK119" s="231">
        <v>13</v>
      </c>
      <c r="AL119" s="231" t="s">
        <v>239</v>
      </c>
      <c r="AM119" s="231">
        <v>0</v>
      </c>
    </row>
    <row r="120" spans="1:39" ht="15" customHeight="1" outlineLevel="1">
      <c r="A120" s="412"/>
      <c r="B120" s="10">
        <v>129055</v>
      </c>
      <c r="C120" s="218" t="s">
        <v>1489</v>
      </c>
      <c r="D120" s="218" t="s">
        <v>1490</v>
      </c>
      <c r="E120" s="23" t="s">
        <v>138</v>
      </c>
      <c r="F120" s="17" t="s">
        <v>45</v>
      </c>
      <c r="G120" s="11" t="s">
        <v>1432</v>
      </c>
      <c r="H120" s="12">
        <v>19</v>
      </c>
      <c r="I120" s="11" t="s">
        <v>1433</v>
      </c>
      <c r="J120" s="193" t="s">
        <v>1457</v>
      </c>
      <c r="K120" s="17" t="s">
        <v>233</v>
      </c>
      <c r="L120" s="17" t="s">
        <v>233</v>
      </c>
      <c r="M120" s="231">
        <v>1477</v>
      </c>
      <c r="N120" s="232">
        <v>1459.0692199999999</v>
      </c>
      <c r="O120" s="132">
        <v>402</v>
      </c>
      <c r="P120" s="231" t="s">
        <v>239</v>
      </c>
      <c r="Q120" s="231">
        <v>200</v>
      </c>
      <c r="R120" s="231" t="s">
        <v>239</v>
      </c>
      <c r="S120" s="231">
        <v>12</v>
      </c>
      <c r="T120" s="231" t="s">
        <v>239</v>
      </c>
      <c r="U120" s="231">
        <v>67</v>
      </c>
      <c r="V120" s="231" t="s">
        <v>239</v>
      </c>
      <c r="W120" s="231">
        <v>49</v>
      </c>
      <c r="X120" s="231" t="s">
        <v>239</v>
      </c>
      <c r="Y120" s="231">
        <v>351</v>
      </c>
      <c r="Z120" s="231" t="s">
        <v>239</v>
      </c>
      <c r="AA120" s="231">
        <v>142</v>
      </c>
      <c r="AB120" s="231" t="s">
        <v>239</v>
      </c>
      <c r="AC120" s="231">
        <v>105</v>
      </c>
      <c r="AD120" s="231" t="s">
        <v>239</v>
      </c>
      <c r="AE120" s="231">
        <v>123</v>
      </c>
      <c r="AF120" s="231" t="s">
        <v>239</v>
      </c>
      <c r="AG120" s="231">
        <v>157</v>
      </c>
      <c r="AH120" s="231" t="s">
        <v>239</v>
      </c>
      <c r="AI120" s="231">
        <v>246</v>
      </c>
      <c r="AJ120" s="231" t="s">
        <v>239</v>
      </c>
      <c r="AK120" s="231">
        <v>974</v>
      </c>
      <c r="AL120" s="231" t="s">
        <v>239</v>
      </c>
      <c r="AM120" s="231">
        <v>2828</v>
      </c>
    </row>
    <row r="121" spans="1:39" ht="15" customHeight="1" outlineLevel="1">
      <c r="A121" s="411">
        <v>56</v>
      </c>
      <c r="B121" s="10">
        <v>129056</v>
      </c>
      <c r="C121" s="218" t="s">
        <v>1489</v>
      </c>
      <c r="D121" s="218" t="s">
        <v>1490</v>
      </c>
      <c r="E121" s="23" t="s">
        <v>44</v>
      </c>
      <c r="F121" s="17" t="s">
        <v>45</v>
      </c>
      <c r="G121" s="11" t="s">
        <v>1432</v>
      </c>
      <c r="H121" s="12">
        <v>24</v>
      </c>
      <c r="I121" s="11" t="s">
        <v>1433</v>
      </c>
      <c r="J121" s="193" t="s">
        <v>617</v>
      </c>
      <c r="K121" s="17" t="s">
        <v>233</v>
      </c>
      <c r="L121" s="17" t="s">
        <v>233</v>
      </c>
      <c r="M121" s="231">
        <v>6</v>
      </c>
      <c r="N121" s="232">
        <v>6</v>
      </c>
      <c r="O121" s="231">
        <v>6</v>
      </c>
      <c r="P121" s="231" t="s">
        <v>239</v>
      </c>
      <c r="Q121" s="231">
        <v>6</v>
      </c>
      <c r="R121" s="231" t="s">
        <v>239</v>
      </c>
      <c r="S121" s="231">
        <v>6</v>
      </c>
      <c r="T121" s="231" t="s">
        <v>239</v>
      </c>
      <c r="U121" s="231">
        <v>6</v>
      </c>
      <c r="V121" s="230" t="s">
        <v>239</v>
      </c>
      <c r="W121" s="231">
        <v>6</v>
      </c>
      <c r="X121" s="231" t="s">
        <v>239</v>
      </c>
      <c r="Y121" s="231">
        <v>6</v>
      </c>
      <c r="Z121" s="231" t="s">
        <v>239</v>
      </c>
      <c r="AA121" s="231">
        <v>6</v>
      </c>
      <c r="AB121" s="231" t="s">
        <v>239</v>
      </c>
      <c r="AC121" s="231">
        <v>6</v>
      </c>
      <c r="AD121" s="231" t="s">
        <v>239</v>
      </c>
      <c r="AE121" s="231">
        <v>6</v>
      </c>
      <c r="AF121" s="231" t="s">
        <v>239</v>
      </c>
      <c r="AG121" s="231">
        <v>6</v>
      </c>
      <c r="AH121" s="231" t="s">
        <v>239</v>
      </c>
      <c r="AI121" s="231">
        <v>6</v>
      </c>
      <c r="AJ121" s="231" t="s">
        <v>239</v>
      </c>
      <c r="AK121" s="231">
        <v>6</v>
      </c>
      <c r="AL121" s="231" t="s">
        <v>239</v>
      </c>
      <c r="AM121" s="231">
        <v>0</v>
      </c>
    </row>
    <row r="122" spans="1:39" ht="15" customHeight="1" outlineLevel="1">
      <c r="A122" s="412"/>
      <c r="B122" s="10">
        <v>129056</v>
      </c>
      <c r="C122" s="218" t="s">
        <v>1489</v>
      </c>
      <c r="D122" s="218" t="s">
        <v>1490</v>
      </c>
      <c r="E122" s="23" t="s">
        <v>138</v>
      </c>
      <c r="F122" s="17" t="s">
        <v>45</v>
      </c>
      <c r="G122" s="11" t="s">
        <v>1432</v>
      </c>
      <c r="H122" s="12">
        <v>10</v>
      </c>
      <c r="I122" s="11" t="s">
        <v>1433</v>
      </c>
      <c r="J122" s="193" t="s">
        <v>216</v>
      </c>
      <c r="K122" s="17" t="s">
        <v>233</v>
      </c>
      <c r="L122" s="17" t="s">
        <v>233</v>
      </c>
      <c r="M122" s="231">
        <v>10068</v>
      </c>
      <c r="N122" s="232">
        <v>9945.77448</v>
      </c>
      <c r="O122" s="132">
        <v>541</v>
      </c>
      <c r="P122" s="231" t="s">
        <v>239</v>
      </c>
      <c r="Q122" s="231">
        <v>10</v>
      </c>
      <c r="R122" s="231" t="s">
        <v>239</v>
      </c>
      <c r="S122" s="231">
        <v>9</v>
      </c>
      <c r="T122" s="231" t="s">
        <v>239</v>
      </c>
      <c r="U122" s="231">
        <v>11</v>
      </c>
      <c r="V122" s="231" t="s">
        <v>239</v>
      </c>
      <c r="W122" s="231">
        <v>593</v>
      </c>
      <c r="X122" s="231" t="s">
        <v>239</v>
      </c>
      <c r="Y122" s="231">
        <v>0</v>
      </c>
      <c r="Z122" s="231" t="s">
        <v>239</v>
      </c>
      <c r="AA122" s="231">
        <v>0</v>
      </c>
      <c r="AB122" s="231" t="s">
        <v>239</v>
      </c>
      <c r="AC122" s="231">
        <v>0</v>
      </c>
      <c r="AD122" s="231" t="s">
        <v>239</v>
      </c>
      <c r="AE122" s="231">
        <v>408</v>
      </c>
      <c r="AF122" s="231" t="s">
        <v>239</v>
      </c>
      <c r="AG122" s="231">
        <v>305</v>
      </c>
      <c r="AH122" s="231" t="s">
        <v>239</v>
      </c>
      <c r="AI122" s="231">
        <v>0</v>
      </c>
      <c r="AJ122" s="231" t="s">
        <v>239</v>
      </c>
      <c r="AK122" s="231">
        <v>518</v>
      </c>
      <c r="AL122" s="231" t="s">
        <v>239</v>
      </c>
      <c r="AM122" s="231">
        <v>2395</v>
      </c>
    </row>
    <row r="123" spans="1:39" ht="15" customHeight="1" outlineLevel="1">
      <c r="A123" s="411">
        <v>57</v>
      </c>
      <c r="B123" s="10">
        <v>129057</v>
      </c>
      <c r="C123" s="218" t="s">
        <v>1489</v>
      </c>
      <c r="D123" s="218" t="s">
        <v>1490</v>
      </c>
      <c r="E123" s="23" t="s">
        <v>44</v>
      </c>
      <c r="F123" s="17" t="s">
        <v>45</v>
      </c>
      <c r="G123" s="11" t="s">
        <v>1432</v>
      </c>
      <c r="H123" s="12">
        <v>17</v>
      </c>
      <c r="I123" s="11" t="s">
        <v>1433</v>
      </c>
      <c r="J123" s="191" t="s">
        <v>216</v>
      </c>
      <c r="K123" s="17" t="s">
        <v>233</v>
      </c>
      <c r="L123" s="17" t="s">
        <v>233</v>
      </c>
      <c r="M123" s="231">
        <v>1</v>
      </c>
      <c r="N123" s="232">
        <v>1</v>
      </c>
      <c r="O123" s="231">
        <v>1</v>
      </c>
      <c r="P123" s="231" t="s">
        <v>239</v>
      </c>
      <c r="Q123" s="231">
        <v>1</v>
      </c>
      <c r="R123" s="231" t="s">
        <v>239</v>
      </c>
      <c r="S123" s="231">
        <v>1</v>
      </c>
      <c r="T123" s="231" t="s">
        <v>239</v>
      </c>
      <c r="U123" s="231">
        <v>1</v>
      </c>
      <c r="V123" s="231" t="s">
        <v>239</v>
      </c>
      <c r="W123" s="231">
        <v>1</v>
      </c>
      <c r="X123" s="231" t="s">
        <v>239</v>
      </c>
      <c r="Y123" s="231">
        <v>1</v>
      </c>
      <c r="Z123" s="231" t="s">
        <v>239</v>
      </c>
      <c r="AA123" s="231">
        <v>1</v>
      </c>
      <c r="AB123" s="231" t="s">
        <v>239</v>
      </c>
      <c r="AC123" s="231">
        <v>1</v>
      </c>
      <c r="AD123" s="231" t="s">
        <v>239</v>
      </c>
      <c r="AE123" s="231">
        <v>1</v>
      </c>
      <c r="AF123" s="231" t="s">
        <v>239</v>
      </c>
      <c r="AG123" s="231">
        <v>1</v>
      </c>
      <c r="AH123" s="231" t="s">
        <v>239</v>
      </c>
      <c r="AI123" s="231">
        <v>1</v>
      </c>
      <c r="AJ123" s="231" t="s">
        <v>239</v>
      </c>
      <c r="AK123" s="231">
        <v>1</v>
      </c>
      <c r="AL123" s="231" t="s">
        <v>239</v>
      </c>
      <c r="AM123" s="231">
        <v>0</v>
      </c>
    </row>
    <row r="124" spans="1:39" ht="15" customHeight="1" outlineLevel="1">
      <c r="A124" s="412"/>
      <c r="B124" s="10">
        <v>129057</v>
      </c>
      <c r="C124" s="218" t="s">
        <v>1489</v>
      </c>
      <c r="D124" s="218" t="s">
        <v>1490</v>
      </c>
      <c r="E124" s="23" t="s">
        <v>44</v>
      </c>
      <c r="F124" s="17" t="s">
        <v>45</v>
      </c>
      <c r="G124" s="11" t="s">
        <v>1432</v>
      </c>
      <c r="H124" s="12">
        <v>32</v>
      </c>
      <c r="I124" s="11" t="s">
        <v>1433</v>
      </c>
      <c r="J124" s="192" t="s">
        <v>1434</v>
      </c>
      <c r="K124" s="17" t="s">
        <v>233</v>
      </c>
      <c r="L124" s="17" t="s">
        <v>233</v>
      </c>
      <c r="M124" s="231">
        <v>5373</v>
      </c>
      <c r="N124" s="232">
        <v>5307.77178</v>
      </c>
      <c r="O124" s="132">
        <v>279</v>
      </c>
      <c r="P124" s="231" t="s">
        <v>239</v>
      </c>
      <c r="Q124" s="231">
        <v>401</v>
      </c>
      <c r="R124" s="231" t="s">
        <v>239</v>
      </c>
      <c r="S124" s="231">
        <v>449</v>
      </c>
      <c r="T124" s="231" t="s">
        <v>239</v>
      </c>
      <c r="U124" s="231">
        <v>1057</v>
      </c>
      <c r="V124" s="230" t="s">
        <v>239</v>
      </c>
      <c r="W124" s="231">
        <v>814</v>
      </c>
      <c r="X124" s="231" t="s">
        <v>239</v>
      </c>
      <c r="Y124" s="231">
        <v>117</v>
      </c>
      <c r="Z124" s="231" t="s">
        <v>239</v>
      </c>
      <c r="AA124" s="231">
        <v>338</v>
      </c>
      <c r="AB124" s="231" t="s">
        <v>239</v>
      </c>
      <c r="AC124" s="231">
        <v>457</v>
      </c>
      <c r="AD124" s="231" t="s">
        <v>239</v>
      </c>
      <c r="AE124" s="231">
        <v>427</v>
      </c>
      <c r="AF124" s="231" t="s">
        <v>239</v>
      </c>
      <c r="AG124" s="231">
        <v>151</v>
      </c>
      <c r="AH124" s="231" t="s">
        <v>239</v>
      </c>
      <c r="AI124" s="231">
        <v>951</v>
      </c>
      <c r="AJ124" s="231" t="s">
        <v>239</v>
      </c>
      <c r="AK124" s="231">
        <v>587</v>
      </c>
      <c r="AL124" s="231" t="s">
        <v>239</v>
      </c>
      <c r="AM124" s="231">
        <v>6028</v>
      </c>
    </row>
    <row r="125" spans="1:39" ht="15" customHeight="1" outlineLevel="1">
      <c r="A125" s="411">
        <v>58</v>
      </c>
      <c r="B125" s="10">
        <v>129058</v>
      </c>
      <c r="C125" s="218" t="s">
        <v>1489</v>
      </c>
      <c r="D125" s="218" t="s">
        <v>1490</v>
      </c>
      <c r="E125" s="23" t="s">
        <v>138</v>
      </c>
      <c r="F125" s="17" t="s">
        <v>45</v>
      </c>
      <c r="G125" s="11" t="s">
        <v>1432</v>
      </c>
      <c r="H125" s="12">
        <v>8</v>
      </c>
      <c r="I125" s="11" t="s">
        <v>1433</v>
      </c>
      <c r="J125" s="192" t="s">
        <v>1480</v>
      </c>
      <c r="K125" s="17" t="s">
        <v>233</v>
      </c>
      <c r="L125" s="17" t="s">
        <v>233</v>
      </c>
      <c r="M125" s="231">
        <v>1</v>
      </c>
      <c r="N125" s="232">
        <v>1</v>
      </c>
      <c r="O125" s="231">
        <v>1</v>
      </c>
      <c r="P125" s="231" t="s">
        <v>239</v>
      </c>
      <c r="Q125" s="231">
        <v>1</v>
      </c>
      <c r="R125" s="231" t="s">
        <v>239</v>
      </c>
      <c r="S125" s="231">
        <v>1</v>
      </c>
      <c r="T125" s="231" t="s">
        <v>239</v>
      </c>
      <c r="U125" s="231">
        <v>1</v>
      </c>
      <c r="V125" s="231" t="s">
        <v>239</v>
      </c>
      <c r="W125" s="231">
        <v>1</v>
      </c>
      <c r="X125" s="231" t="s">
        <v>239</v>
      </c>
      <c r="Y125" s="231">
        <v>1</v>
      </c>
      <c r="Z125" s="231" t="s">
        <v>239</v>
      </c>
      <c r="AA125" s="231">
        <v>1</v>
      </c>
      <c r="AB125" s="231" t="s">
        <v>239</v>
      </c>
      <c r="AC125" s="231">
        <v>1</v>
      </c>
      <c r="AD125" s="231" t="s">
        <v>239</v>
      </c>
      <c r="AE125" s="231">
        <v>1</v>
      </c>
      <c r="AF125" s="231" t="s">
        <v>239</v>
      </c>
      <c r="AG125" s="231">
        <v>1</v>
      </c>
      <c r="AH125" s="231" t="s">
        <v>239</v>
      </c>
      <c r="AI125" s="231">
        <v>1</v>
      </c>
      <c r="AJ125" s="231" t="s">
        <v>239</v>
      </c>
      <c r="AK125" s="231">
        <v>1</v>
      </c>
      <c r="AL125" s="231" t="s">
        <v>239</v>
      </c>
      <c r="AM125" s="231">
        <v>0</v>
      </c>
    </row>
    <row r="126" spans="1:39" ht="15" customHeight="1" outlineLevel="1">
      <c r="A126" s="412"/>
      <c r="B126" s="10">
        <v>129058</v>
      </c>
      <c r="C126" s="218" t="s">
        <v>1489</v>
      </c>
      <c r="D126" s="218" t="s">
        <v>1490</v>
      </c>
      <c r="E126" s="23" t="s">
        <v>44</v>
      </c>
      <c r="F126" s="17" t="s">
        <v>45</v>
      </c>
      <c r="G126" s="11" t="s">
        <v>1432</v>
      </c>
      <c r="H126" s="12">
        <v>12</v>
      </c>
      <c r="I126" s="11" t="s">
        <v>1433</v>
      </c>
      <c r="J126" s="192" t="s">
        <v>1452</v>
      </c>
      <c r="K126" s="17" t="s">
        <v>233</v>
      </c>
      <c r="L126" s="17" t="s">
        <v>233</v>
      </c>
      <c r="M126" s="231">
        <v>0</v>
      </c>
      <c r="N126" s="232">
        <v>0</v>
      </c>
      <c r="O126" s="132">
        <v>0</v>
      </c>
      <c r="P126" s="231" t="s">
        <v>239</v>
      </c>
      <c r="Q126" s="231">
        <v>0</v>
      </c>
      <c r="R126" s="231" t="s">
        <v>239</v>
      </c>
      <c r="S126" s="231">
        <v>0</v>
      </c>
      <c r="T126" s="231" t="s">
        <v>239</v>
      </c>
      <c r="U126" s="231">
        <v>0</v>
      </c>
      <c r="V126" s="231" t="s">
        <v>239</v>
      </c>
      <c r="W126" s="231">
        <v>0</v>
      </c>
      <c r="X126" s="231" t="s">
        <v>239</v>
      </c>
      <c r="Y126" s="231">
        <v>0</v>
      </c>
      <c r="Z126" s="231" t="s">
        <v>239</v>
      </c>
      <c r="AA126" s="231">
        <v>0</v>
      </c>
      <c r="AB126" s="231" t="s">
        <v>239</v>
      </c>
      <c r="AC126" s="231">
        <v>0</v>
      </c>
      <c r="AD126" s="231" t="s">
        <v>239</v>
      </c>
      <c r="AE126" s="231">
        <v>0</v>
      </c>
      <c r="AF126" s="231" t="s">
        <v>239</v>
      </c>
      <c r="AG126" s="231">
        <v>0</v>
      </c>
      <c r="AH126" s="231" t="s">
        <v>239</v>
      </c>
      <c r="AI126" s="231">
        <v>0</v>
      </c>
      <c r="AJ126" s="231" t="s">
        <v>239</v>
      </c>
      <c r="AK126" s="231">
        <v>0</v>
      </c>
      <c r="AL126" s="231" t="s">
        <v>239</v>
      </c>
      <c r="AM126" s="231">
        <v>0</v>
      </c>
    </row>
    <row r="127" spans="1:39" ht="15" customHeight="1" outlineLevel="1">
      <c r="A127" s="411">
        <v>59</v>
      </c>
      <c r="B127" s="10">
        <v>129059</v>
      </c>
      <c r="C127" s="218" t="s">
        <v>1489</v>
      </c>
      <c r="D127" s="218" t="s">
        <v>1490</v>
      </c>
      <c r="E127" s="23" t="s">
        <v>138</v>
      </c>
      <c r="F127" s="17" t="s">
        <v>45</v>
      </c>
      <c r="G127" s="11" t="s">
        <v>1432</v>
      </c>
      <c r="H127" s="12">
        <v>18</v>
      </c>
      <c r="I127" s="11" t="s">
        <v>1433</v>
      </c>
      <c r="J127" s="374" t="s">
        <v>207</v>
      </c>
      <c r="K127" s="17" t="s">
        <v>233</v>
      </c>
      <c r="L127" s="17" t="s">
        <v>233</v>
      </c>
      <c r="M127" s="231">
        <v>25</v>
      </c>
      <c r="N127" s="232">
        <v>25</v>
      </c>
      <c r="O127" s="231">
        <v>25</v>
      </c>
      <c r="P127" s="231" t="s">
        <v>239</v>
      </c>
      <c r="Q127" s="231">
        <v>25</v>
      </c>
      <c r="R127" s="231" t="s">
        <v>239</v>
      </c>
      <c r="S127" s="231">
        <v>25</v>
      </c>
      <c r="T127" s="231" t="s">
        <v>239</v>
      </c>
      <c r="U127" s="231">
        <v>25</v>
      </c>
      <c r="V127" s="230" t="s">
        <v>239</v>
      </c>
      <c r="W127" s="231">
        <v>25</v>
      </c>
      <c r="X127" s="231" t="s">
        <v>239</v>
      </c>
      <c r="Y127" s="231">
        <v>25</v>
      </c>
      <c r="Z127" s="231" t="s">
        <v>239</v>
      </c>
      <c r="AA127" s="231">
        <v>25</v>
      </c>
      <c r="AB127" s="231" t="s">
        <v>239</v>
      </c>
      <c r="AC127" s="231">
        <v>25</v>
      </c>
      <c r="AD127" s="231" t="s">
        <v>239</v>
      </c>
      <c r="AE127" s="231">
        <v>25</v>
      </c>
      <c r="AF127" s="231" t="s">
        <v>239</v>
      </c>
      <c r="AG127" s="231">
        <v>25</v>
      </c>
      <c r="AH127" s="231" t="s">
        <v>239</v>
      </c>
      <c r="AI127" s="231">
        <v>25</v>
      </c>
      <c r="AJ127" s="231" t="s">
        <v>239</v>
      </c>
      <c r="AK127" s="231">
        <v>25</v>
      </c>
      <c r="AL127" s="231" t="s">
        <v>239</v>
      </c>
      <c r="AM127" s="231">
        <v>0</v>
      </c>
    </row>
    <row r="128" spans="1:39" ht="15" customHeight="1" outlineLevel="1">
      <c r="A128" s="412"/>
      <c r="B128" s="10">
        <v>129059</v>
      </c>
      <c r="C128" s="218" t="s">
        <v>1489</v>
      </c>
      <c r="D128" s="218" t="s">
        <v>1490</v>
      </c>
      <c r="E128" s="23" t="s">
        <v>44</v>
      </c>
      <c r="F128" s="17" t="s">
        <v>45</v>
      </c>
      <c r="G128" s="11" t="s">
        <v>1432</v>
      </c>
      <c r="H128" s="12">
        <v>17</v>
      </c>
      <c r="I128" s="11" t="s">
        <v>1433</v>
      </c>
      <c r="J128" s="375"/>
      <c r="K128" s="17" t="s">
        <v>233</v>
      </c>
      <c r="L128" s="17" t="s">
        <v>233</v>
      </c>
      <c r="M128" s="231">
        <v>11912</v>
      </c>
      <c r="N128" s="232">
        <v>11767.38832</v>
      </c>
      <c r="O128" s="132">
        <v>384</v>
      </c>
      <c r="P128" s="231" t="s">
        <v>239</v>
      </c>
      <c r="Q128" s="231">
        <v>492</v>
      </c>
      <c r="R128" s="231" t="s">
        <v>239</v>
      </c>
      <c r="S128" s="231">
        <v>597</v>
      </c>
      <c r="T128" s="231" t="s">
        <v>239</v>
      </c>
      <c r="U128" s="231">
        <v>1536</v>
      </c>
      <c r="V128" s="231" t="s">
        <v>239</v>
      </c>
      <c r="W128" s="231">
        <v>1142</v>
      </c>
      <c r="X128" s="231" t="s">
        <v>239</v>
      </c>
      <c r="Y128" s="231">
        <v>50</v>
      </c>
      <c r="Z128" s="231" t="s">
        <v>239</v>
      </c>
      <c r="AA128" s="231">
        <v>261</v>
      </c>
      <c r="AB128" s="231" t="s">
        <v>239</v>
      </c>
      <c r="AC128" s="231">
        <v>452</v>
      </c>
      <c r="AD128" s="231" t="s">
        <v>239</v>
      </c>
      <c r="AE128" s="231">
        <v>447</v>
      </c>
      <c r="AF128" s="231" t="s">
        <v>239</v>
      </c>
      <c r="AG128" s="231">
        <v>152</v>
      </c>
      <c r="AH128" s="231" t="s">
        <v>239</v>
      </c>
      <c r="AI128" s="231">
        <v>1062</v>
      </c>
      <c r="AJ128" s="231" t="s">
        <v>239</v>
      </c>
      <c r="AK128" s="231">
        <v>671</v>
      </c>
      <c r="AL128" s="231" t="s">
        <v>239</v>
      </c>
      <c r="AM128" s="231">
        <v>7246</v>
      </c>
    </row>
    <row r="129" spans="1:39" ht="15" customHeight="1" outlineLevel="1">
      <c r="A129" s="411">
        <v>60</v>
      </c>
      <c r="B129" s="10">
        <v>129060</v>
      </c>
      <c r="C129" s="218" t="s">
        <v>1489</v>
      </c>
      <c r="D129" s="218" t="s">
        <v>1490</v>
      </c>
      <c r="E129" s="23" t="s">
        <v>44</v>
      </c>
      <c r="F129" s="17" t="s">
        <v>45</v>
      </c>
      <c r="G129" s="11" t="s">
        <v>1432</v>
      </c>
      <c r="H129" s="12">
        <v>4</v>
      </c>
      <c r="I129" s="11" t="s">
        <v>1433</v>
      </c>
      <c r="J129" s="193" t="s">
        <v>1460</v>
      </c>
      <c r="K129" s="17" t="s">
        <v>233</v>
      </c>
      <c r="L129" s="17" t="s">
        <v>233</v>
      </c>
      <c r="M129" s="231">
        <v>7.7</v>
      </c>
      <c r="N129" s="233">
        <v>7.7</v>
      </c>
      <c r="O129" s="132">
        <v>7.7</v>
      </c>
      <c r="P129" s="231" t="s">
        <v>239</v>
      </c>
      <c r="Q129" s="233">
        <v>7.7</v>
      </c>
      <c r="R129" s="231" t="s">
        <v>239</v>
      </c>
      <c r="S129" s="231">
        <v>7.7</v>
      </c>
      <c r="T129" s="231" t="s">
        <v>239</v>
      </c>
      <c r="U129" s="132">
        <v>7.7</v>
      </c>
      <c r="V129" s="231" t="s">
        <v>239</v>
      </c>
      <c r="W129" s="233">
        <v>7.7</v>
      </c>
      <c r="X129" s="231" t="s">
        <v>239</v>
      </c>
      <c r="Y129" s="231">
        <v>7.7</v>
      </c>
      <c r="Z129" s="231" t="s">
        <v>239</v>
      </c>
      <c r="AA129" s="132">
        <v>7.7</v>
      </c>
      <c r="AB129" s="231" t="s">
        <v>239</v>
      </c>
      <c r="AC129" s="233">
        <v>7.7</v>
      </c>
      <c r="AD129" s="231" t="s">
        <v>239</v>
      </c>
      <c r="AE129" s="231">
        <v>7.7</v>
      </c>
      <c r="AF129" s="231" t="s">
        <v>239</v>
      </c>
      <c r="AG129" s="132">
        <v>7.7</v>
      </c>
      <c r="AH129" s="231" t="s">
        <v>239</v>
      </c>
      <c r="AI129" s="233">
        <v>7.7</v>
      </c>
      <c r="AJ129" s="231" t="s">
        <v>239</v>
      </c>
      <c r="AK129" s="231">
        <v>7.7</v>
      </c>
      <c r="AL129" s="231" t="s">
        <v>239</v>
      </c>
      <c r="AM129" s="231">
        <v>0</v>
      </c>
    </row>
    <row r="130" spans="1:39" ht="15" customHeight="1" outlineLevel="1">
      <c r="A130" s="412"/>
      <c r="B130" s="10">
        <v>129060</v>
      </c>
      <c r="C130" s="218" t="s">
        <v>1489</v>
      </c>
      <c r="D130" s="218" t="s">
        <v>1490</v>
      </c>
      <c r="E130" s="23" t="s">
        <v>138</v>
      </c>
      <c r="F130" s="17" t="s">
        <v>45</v>
      </c>
      <c r="G130" s="11" t="s">
        <v>1432</v>
      </c>
      <c r="H130" s="12">
        <v>5</v>
      </c>
      <c r="I130" s="11" t="s">
        <v>1433</v>
      </c>
      <c r="J130" s="193" t="s">
        <v>1442</v>
      </c>
      <c r="K130" s="17" t="s">
        <v>233</v>
      </c>
      <c r="L130" s="17" t="s">
        <v>233</v>
      </c>
      <c r="M130" s="231">
        <v>5357</v>
      </c>
      <c r="N130" s="232">
        <v>5291.9660199999998</v>
      </c>
      <c r="O130" s="132">
        <v>493</v>
      </c>
      <c r="P130" s="231" t="s">
        <v>239</v>
      </c>
      <c r="Q130" s="231">
        <v>1197</v>
      </c>
      <c r="R130" s="231" t="s">
        <v>239</v>
      </c>
      <c r="S130" s="231">
        <v>705</v>
      </c>
      <c r="T130" s="231" t="s">
        <v>239</v>
      </c>
      <c r="U130" s="231">
        <v>659</v>
      </c>
      <c r="V130" s="230" t="s">
        <v>239</v>
      </c>
      <c r="W130" s="231">
        <v>783</v>
      </c>
      <c r="X130" s="231" t="s">
        <v>239</v>
      </c>
      <c r="Y130" s="231">
        <v>590</v>
      </c>
      <c r="Z130" s="231" t="s">
        <v>239</v>
      </c>
      <c r="AA130" s="231">
        <v>307</v>
      </c>
      <c r="AB130" s="231" t="s">
        <v>239</v>
      </c>
      <c r="AC130" s="231">
        <v>975</v>
      </c>
      <c r="AD130" s="231" t="s">
        <v>239</v>
      </c>
      <c r="AE130" s="231">
        <v>620</v>
      </c>
      <c r="AF130" s="231" t="s">
        <v>239</v>
      </c>
      <c r="AG130" s="231">
        <v>313</v>
      </c>
      <c r="AH130" s="231" t="s">
        <v>239</v>
      </c>
      <c r="AI130" s="231">
        <v>1055</v>
      </c>
      <c r="AJ130" s="231" t="s">
        <v>239</v>
      </c>
      <c r="AK130" s="231">
        <v>745</v>
      </c>
      <c r="AL130" s="231" t="s">
        <v>239</v>
      </c>
      <c r="AM130" s="231">
        <v>8442</v>
      </c>
    </row>
    <row r="131" spans="1:39" ht="15" customHeight="1" outlineLevel="1">
      <c r="A131" s="411">
        <v>61</v>
      </c>
      <c r="B131" s="10">
        <v>129061</v>
      </c>
      <c r="C131" s="218" t="s">
        <v>1489</v>
      </c>
      <c r="D131" s="218" t="s">
        <v>1490</v>
      </c>
      <c r="E131" s="23" t="s">
        <v>44</v>
      </c>
      <c r="F131" s="17" t="s">
        <v>45</v>
      </c>
      <c r="G131" s="11" t="s">
        <v>1432</v>
      </c>
      <c r="H131" s="12">
        <v>25</v>
      </c>
      <c r="I131" s="11" t="s">
        <v>1433</v>
      </c>
      <c r="J131" s="193" t="s">
        <v>1460</v>
      </c>
      <c r="K131" s="17" t="s">
        <v>233</v>
      </c>
      <c r="L131" s="17" t="s">
        <v>233</v>
      </c>
      <c r="M131" s="231">
        <v>7.7</v>
      </c>
      <c r="N131" s="233">
        <v>7.7</v>
      </c>
      <c r="O131" s="132">
        <v>7.7</v>
      </c>
      <c r="P131" s="231" t="s">
        <v>239</v>
      </c>
      <c r="Q131" s="233">
        <v>7.7</v>
      </c>
      <c r="R131" s="231" t="s">
        <v>239</v>
      </c>
      <c r="S131" s="231">
        <v>7.7</v>
      </c>
      <c r="T131" s="231" t="s">
        <v>239</v>
      </c>
      <c r="U131" s="132">
        <v>7.7</v>
      </c>
      <c r="V131" s="231" t="s">
        <v>239</v>
      </c>
      <c r="W131" s="233">
        <v>7.7</v>
      </c>
      <c r="X131" s="231" t="s">
        <v>239</v>
      </c>
      <c r="Y131" s="231">
        <v>7.7</v>
      </c>
      <c r="Z131" s="231" t="s">
        <v>239</v>
      </c>
      <c r="AA131" s="132">
        <v>7.7</v>
      </c>
      <c r="AB131" s="231" t="s">
        <v>239</v>
      </c>
      <c r="AC131" s="233">
        <v>7.7</v>
      </c>
      <c r="AD131" s="231" t="s">
        <v>239</v>
      </c>
      <c r="AE131" s="231">
        <v>7.7</v>
      </c>
      <c r="AF131" s="231" t="s">
        <v>239</v>
      </c>
      <c r="AG131" s="132">
        <v>7.7</v>
      </c>
      <c r="AH131" s="231" t="s">
        <v>239</v>
      </c>
      <c r="AI131" s="233">
        <v>7.7</v>
      </c>
      <c r="AJ131" s="231" t="s">
        <v>239</v>
      </c>
      <c r="AK131" s="231">
        <v>7.7</v>
      </c>
      <c r="AL131" s="231" t="s">
        <v>239</v>
      </c>
      <c r="AM131" s="231">
        <v>0</v>
      </c>
    </row>
    <row r="132" spans="1:39" ht="15" customHeight="1" outlineLevel="1">
      <c r="A132" s="412"/>
      <c r="B132" s="10">
        <v>129061</v>
      </c>
      <c r="C132" s="218" t="s">
        <v>1489</v>
      </c>
      <c r="D132" s="218" t="s">
        <v>1490</v>
      </c>
      <c r="E132" s="23" t="s">
        <v>138</v>
      </c>
      <c r="F132" s="17" t="s">
        <v>45</v>
      </c>
      <c r="G132" s="11" t="s">
        <v>1432</v>
      </c>
      <c r="H132" s="12">
        <v>27</v>
      </c>
      <c r="I132" s="11" t="s">
        <v>1433</v>
      </c>
      <c r="J132" s="193" t="s">
        <v>1457</v>
      </c>
      <c r="K132" s="17" t="s">
        <v>233</v>
      </c>
      <c r="L132" s="17" t="s">
        <v>233</v>
      </c>
      <c r="M132" s="231">
        <v>0</v>
      </c>
      <c r="N132" s="232">
        <v>0</v>
      </c>
      <c r="O132" s="132">
        <v>0</v>
      </c>
      <c r="P132" s="231" t="s">
        <v>239</v>
      </c>
      <c r="Q132" s="231">
        <v>0</v>
      </c>
      <c r="R132" s="231" t="s">
        <v>239</v>
      </c>
      <c r="S132" s="231">
        <v>0</v>
      </c>
      <c r="T132" s="231" t="s">
        <v>239</v>
      </c>
      <c r="U132" s="231">
        <v>0</v>
      </c>
      <c r="V132" s="231" t="s">
        <v>239</v>
      </c>
      <c r="W132" s="231">
        <v>0</v>
      </c>
      <c r="X132" s="231" t="s">
        <v>239</v>
      </c>
      <c r="Y132" s="231">
        <v>0</v>
      </c>
      <c r="Z132" s="231" t="s">
        <v>239</v>
      </c>
      <c r="AA132" s="231">
        <v>0</v>
      </c>
      <c r="AB132" s="231" t="s">
        <v>239</v>
      </c>
      <c r="AC132" s="231">
        <v>0</v>
      </c>
      <c r="AD132" s="231" t="s">
        <v>239</v>
      </c>
      <c r="AE132" s="231">
        <v>0</v>
      </c>
      <c r="AF132" s="231" t="s">
        <v>239</v>
      </c>
      <c r="AG132" s="231">
        <v>0</v>
      </c>
      <c r="AH132" s="231" t="s">
        <v>239</v>
      </c>
      <c r="AI132" s="231">
        <v>0</v>
      </c>
      <c r="AJ132" s="231" t="s">
        <v>239</v>
      </c>
      <c r="AK132" s="231">
        <v>0</v>
      </c>
      <c r="AL132" s="231" t="s">
        <v>239</v>
      </c>
      <c r="AM132" s="231">
        <v>0</v>
      </c>
    </row>
    <row r="133" spans="1:39" ht="15" customHeight="1" outlineLevel="1">
      <c r="A133" s="411">
        <v>62</v>
      </c>
      <c r="B133" s="10">
        <v>129062</v>
      </c>
      <c r="C133" s="218" t="s">
        <v>1489</v>
      </c>
      <c r="D133" s="218" t="s">
        <v>1490</v>
      </c>
      <c r="E133" s="23" t="s">
        <v>44</v>
      </c>
      <c r="F133" s="17" t="s">
        <v>45</v>
      </c>
      <c r="G133" s="11" t="s">
        <v>1432</v>
      </c>
      <c r="H133" s="12">
        <v>21</v>
      </c>
      <c r="I133" s="11" t="s">
        <v>1433</v>
      </c>
      <c r="J133" s="193" t="s">
        <v>617</v>
      </c>
      <c r="K133" s="17" t="s">
        <v>233</v>
      </c>
      <c r="L133" s="17" t="s">
        <v>233</v>
      </c>
      <c r="M133" s="231">
        <v>30</v>
      </c>
      <c r="N133" s="232">
        <v>30</v>
      </c>
      <c r="O133" s="231">
        <v>30</v>
      </c>
      <c r="P133" s="231" t="s">
        <v>239</v>
      </c>
      <c r="Q133" s="231">
        <v>30</v>
      </c>
      <c r="R133" s="231" t="s">
        <v>239</v>
      </c>
      <c r="S133" s="231">
        <v>30</v>
      </c>
      <c r="T133" s="231" t="s">
        <v>239</v>
      </c>
      <c r="U133" s="231">
        <v>30</v>
      </c>
      <c r="V133" s="230" t="s">
        <v>239</v>
      </c>
      <c r="W133" s="231">
        <v>30</v>
      </c>
      <c r="X133" s="231" t="s">
        <v>239</v>
      </c>
      <c r="Y133" s="231">
        <v>30</v>
      </c>
      <c r="Z133" s="231" t="s">
        <v>239</v>
      </c>
      <c r="AA133" s="231">
        <v>30</v>
      </c>
      <c r="AB133" s="231" t="s">
        <v>239</v>
      </c>
      <c r="AC133" s="231">
        <v>30</v>
      </c>
      <c r="AD133" s="231" t="s">
        <v>239</v>
      </c>
      <c r="AE133" s="231">
        <v>30</v>
      </c>
      <c r="AF133" s="231" t="s">
        <v>239</v>
      </c>
      <c r="AG133" s="231">
        <v>30</v>
      </c>
      <c r="AH133" s="231" t="s">
        <v>239</v>
      </c>
      <c r="AI133" s="231">
        <v>30</v>
      </c>
      <c r="AJ133" s="231" t="s">
        <v>239</v>
      </c>
      <c r="AK133" s="231">
        <v>30</v>
      </c>
      <c r="AL133" s="231" t="s">
        <v>239</v>
      </c>
      <c r="AM133" s="231">
        <v>0</v>
      </c>
    </row>
    <row r="134" spans="1:39" ht="15" customHeight="1" outlineLevel="1">
      <c r="A134" s="412"/>
      <c r="B134" s="10">
        <v>129062</v>
      </c>
      <c r="C134" s="218" t="s">
        <v>1489</v>
      </c>
      <c r="D134" s="218" t="s">
        <v>1490</v>
      </c>
      <c r="E134" s="23" t="s">
        <v>44</v>
      </c>
      <c r="F134" s="17" t="s">
        <v>45</v>
      </c>
      <c r="G134" s="11" t="s">
        <v>1432</v>
      </c>
      <c r="H134" s="12">
        <v>19</v>
      </c>
      <c r="I134" s="11" t="s">
        <v>1433</v>
      </c>
      <c r="J134" s="193" t="s">
        <v>216</v>
      </c>
      <c r="K134" s="17" t="s">
        <v>233</v>
      </c>
      <c r="L134" s="17" t="s">
        <v>233</v>
      </c>
      <c r="M134" s="231">
        <v>13229</v>
      </c>
      <c r="N134" s="232">
        <v>13068.399939999999</v>
      </c>
      <c r="O134" s="132">
        <v>600</v>
      </c>
      <c r="P134" s="231" t="s">
        <v>239</v>
      </c>
      <c r="Q134" s="231">
        <v>708</v>
      </c>
      <c r="R134" s="231" t="s">
        <v>239</v>
      </c>
      <c r="S134" s="231">
        <v>777</v>
      </c>
      <c r="T134" s="231" t="s">
        <v>239</v>
      </c>
      <c r="U134" s="231">
        <v>950</v>
      </c>
      <c r="V134" s="231" t="s">
        <v>239</v>
      </c>
      <c r="W134" s="231">
        <v>949</v>
      </c>
      <c r="X134" s="231" t="s">
        <v>239</v>
      </c>
      <c r="Y134" s="231">
        <v>2729</v>
      </c>
      <c r="Z134" s="231" t="s">
        <v>239</v>
      </c>
      <c r="AA134" s="231">
        <v>381</v>
      </c>
      <c r="AB134" s="231" t="s">
        <v>239</v>
      </c>
      <c r="AC134" s="231">
        <v>312</v>
      </c>
      <c r="AD134" s="231" t="s">
        <v>239</v>
      </c>
      <c r="AE134" s="231">
        <v>307</v>
      </c>
      <c r="AF134" s="231" t="s">
        <v>239</v>
      </c>
      <c r="AG134" s="231">
        <v>463</v>
      </c>
      <c r="AH134" s="231" t="s">
        <v>239</v>
      </c>
      <c r="AI134" s="231">
        <v>312</v>
      </c>
      <c r="AJ134" s="231" t="s">
        <v>239</v>
      </c>
      <c r="AK134" s="231">
        <v>471</v>
      </c>
      <c r="AL134" s="231" t="s">
        <v>239</v>
      </c>
      <c r="AM134" s="231">
        <v>8959</v>
      </c>
    </row>
    <row r="135" spans="1:39" ht="15" customHeight="1" outlineLevel="1">
      <c r="A135" s="411">
        <v>63</v>
      </c>
      <c r="B135" s="10">
        <v>129063</v>
      </c>
      <c r="C135" s="218" t="s">
        <v>1489</v>
      </c>
      <c r="D135" s="218" t="s">
        <v>1490</v>
      </c>
      <c r="E135" s="23" t="s">
        <v>138</v>
      </c>
      <c r="F135" s="17" t="s">
        <v>45</v>
      </c>
      <c r="G135" s="11" t="s">
        <v>1432</v>
      </c>
      <c r="H135" s="12">
        <v>30</v>
      </c>
      <c r="I135" s="11" t="s">
        <v>1433</v>
      </c>
      <c r="J135" s="192" t="s">
        <v>1446</v>
      </c>
      <c r="K135" s="17" t="s">
        <v>233</v>
      </c>
      <c r="L135" s="17" t="s">
        <v>233</v>
      </c>
      <c r="M135" s="231">
        <v>1.5</v>
      </c>
      <c r="N135" s="233">
        <v>1.5</v>
      </c>
      <c r="O135" s="132">
        <v>1.5</v>
      </c>
      <c r="P135" s="231" t="s">
        <v>239</v>
      </c>
      <c r="Q135" s="132">
        <v>1.5</v>
      </c>
      <c r="R135" s="231" t="s">
        <v>239</v>
      </c>
      <c r="S135" s="132">
        <v>1.5</v>
      </c>
      <c r="T135" s="231" t="s">
        <v>239</v>
      </c>
      <c r="U135" s="132">
        <v>1.5</v>
      </c>
      <c r="V135" s="231" t="s">
        <v>239</v>
      </c>
      <c r="W135" s="132">
        <v>1.5</v>
      </c>
      <c r="X135" s="231" t="s">
        <v>239</v>
      </c>
      <c r="Y135" s="132">
        <v>1.5</v>
      </c>
      <c r="Z135" s="231" t="s">
        <v>239</v>
      </c>
      <c r="AA135" s="132">
        <v>1.5</v>
      </c>
      <c r="AB135" s="231" t="s">
        <v>239</v>
      </c>
      <c r="AC135" s="132">
        <v>1.5</v>
      </c>
      <c r="AD135" s="231" t="s">
        <v>239</v>
      </c>
      <c r="AE135" s="132">
        <v>1.5</v>
      </c>
      <c r="AF135" s="231" t="s">
        <v>239</v>
      </c>
      <c r="AG135" s="132">
        <v>1.5</v>
      </c>
      <c r="AH135" s="231" t="s">
        <v>239</v>
      </c>
      <c r="AI135" s="132">
        <v>1.5</v>
      </c>
      <c r="AJ135" s="231" t="s">
        <v>239</v>
      </c>
      <c r="AK135" s="132">
        <v>1.5</v>
      </c>
      <c r="AL135" s="231" t="s">
        <v>239</v>
      </c>
      <c r="AM135" s="231">
        <v>0</v>
      </c>
    </row>
    <row r="136" spans="1:39" ht="15" customHeight="1" outlineLevel="1">
      <c r="A136" s="412"/>
      <c r="B136" s="10">
        <v>129063</v>
      </c>
      <c r="C136" s="218" t="s">
        <v>1489</v>
      </c>
      <c r="D136" s="218" t="s">
        <v>1490</v>
      </c>
      <c r="E136" s="23" t="s">
        <v>44</v>
      </c>
      <c r="F136" s="17" t="s">
        <v>45</v>
      </c>
      <c r="G136" s="11" t="s">
        <v>1432</v>
      </c>
      <c r="H136" s="12">
        <v>33</v>
      </c>
      <c r="I136" s="11" t="s">
        <v>1433</v>
      </c>
      <c r="J136" s="192" t="s">
        <v>1481</v>
      </c>
      <c r="K136" s="17" t="s">
        <v>233</v>
      </c>
      <c r="L136" s="17" t="s">
        <v>233</v>
      </c>
      <c r="M136" s="231">
        <v>0</v>
      </c>
      <c r="N136" s="232">
        <v>0</v>
      </c>
      <c r="O136" s="132">
        <v>360</v>
      </c>
      <c r="P136" s="231" t="s">
        <v>239</v>
      </c>
      <c r="Q136" s="231">
        <v>557</v>
      </c>
      <c r="R136" s="231" t="s">
        <v>239</v>
      </c>
      <c r="S136" s="231">
        <v>453</v>
      </c>
      <c r="T136" s="231" t="s">
        <v>239</v>
      </c>
      <c r="U136" s="231">
        <v>287</v>
      </c>
      <c r="V136" s="230" t="s">
        <v>239</v>
      </c>
      <c r="W136" s="231">
        <v>346</v>
      </c>
      <c r="X136" s="231" t="s">
        <v>239</v>
      </c>
      <c r="Y136" s="231">
        <v>380</v>
      </c>
      <c r="Z136" s="231" t="s">
        <v>239</v>
      </c>
      <c r="AA136" s="231">
        <v>359</v>
      </c>
      <c r="AB136" s="231" t="s">
        <v>239</v>
      </c>
      <c r="AC136" s="231">
        <v>352</v>
      </c>
      <c r="AD136" s="231" t="s">
        <v>239</v>
      </c>
      <c r="AE136" s="231">
        <v>227</v>
      </c>
      <c r="AF136" s="231" t="s">
        <v>239</v>
      </c>
      <c r="AG136" s="231">
        <v>156</v>
      </c>
      <c r="AH136" s="231" t="s">
        <v>239</v>
      </c>
      <c r="AI136" s="231">
        <v>571</v>
      </c>
      <c r="AJ136" s="231" t="s">
        <v>239</v>
      </c>
      <c r="AK136" s="231">
        <v>451</v>
      </c>
      <c r="AL136" s="231" t="s">
        <v>239</v>
      </c>
      <c r="AM136" s="231">
        <v>4499</v>
      </c>
    </row>
    <row r="137" spans="1:39" ht="15" customHeight="1" outlineLevel="1">
      <c r="A137" s="411">
        <v>64</v>
      </c>
      <c r="B137" s="10">
        <v>129064</v>
      </c>
      <c r="C137" s="218" t="s">
        <v>1489</v>
      </c>
      <c r="D137" s="218" t="s">
        <v>1490</v>
      </c>
      <c r="E137" s="23" t="s">
        <v>138</v>
      </c>
      <c r="F137" s="17" t="s">
        <v>45</v>
      </c>
      <c r="G137" s="11" t="s">
        <v>1432</v>
      </c>
      <c r="H137" s="12">
        <v>19</v>
      </c>
      <c r="I137" s="11" t="s">
        <v>1433</v>
      </c>
      <c r="J137" s="192" t="s">
        <v>208</v>
      </c>
      <c r="K137" s="17" t="s">
        <v>233</v>
      </c>
      <c r="L137" s="17" t="s">
        <v>233</v>
      </c>
      <c r="M137" s="231">
        <v>14</v>
      </c>
      <c r="N137" s="232">
        <v>14</v>
      </c>
      <c r="O137" s="231">
        <v>14</v>
      </c>
      <c r="P137" s="231" t="s">
        <v>239</v>
      </c>
      <c r="Q137" s="231">
        <v>14</v>
      </c>
      <c r="R137" s="231" t="s">
        <v>239</v>
      </c>
      <c r="S137" s="231">
        <v>14</v>
      </c>
      <c r="T137" s="231" t="s">
        <v>239</v>
      </c>
      <c r="U137" s="231">
        <v>14</v>
      </c>
      <c r="V137" s="231" t="s">
        <v>239</v>
      </c>
      <c r="W137" s="231">
        <v>14</v>
      </c>
      <c r="X137" s="231" t="s">
        <v>239</v>
      </c>
      <c r="Y137" s="231">
        <v>14</v>
      </c>
      <c r="Z137" s="231" t="s">
        <v>239</v>
      </c>
      <c r="AA137" s="231">
        <v>14</v>
      </c>
      <c r="AB137" s="231" t="s">
        <v>239</v>
      </c>
      <c r="AC137" s="231">
        <v>14</v>
      </c>
      <c r="AD137" s="231" t="s">
        <v>239</v>
      </c>
      <c r="AE137" s="231">
        <v>14</v>
      </c>
      <c r="AF137" s="231" t="s">
        <v>239</v>
      </c>
      <c r="AG137" s="231">
        <v>14</v>
      </c>
      <c r="AH137" s="231" t="s">
        <v>239</v>
      </c>
      <c r="AI137" s="231">
        <v>14</v>
      </c>
      <c r="AJ137" s="231" t="s">
        <v>239</v>
      </c>
      <c r="AK137" s="231">
        <v>14</v>
      </c>
      <c r="AL137" s="231" t="s">
        <v>239</v>
      </c>
      <c r="AM137" s="231">
        <v>0</v>
      </c>
    </row>
    <row r="138" spans="1:39" ht="15" customHeight="1" outlineLevel="1">
      <c r="A138" s="412"/>
      <c r="B138" s="10">
        <v>129064</v>
      </c>
      <c r="C138" s="218" t="s">
        <v>1489</v>
      </c>
      <c r="D138" s="218" t="s">
        <v>1490</v>
      </c>
      <c r="E138" s="23" t="s">
        <v>44</v>
      </c>
      <c r="F138" s="17" t="s">
        <v>45</v>
      </c>
      <c r="G138" s="11" t="s">
        <v>1432</v>
      </c>
      <c r="H138" s="12">
        <v>6</v>
      </c>
      <c r="I138" s="11" t="s">
        <v>1433</v>
      </c>
      <c r="J138" s="192" t="s">
        <v>1463</v>
      </c>
      <c r="K138" s="17" t="s">
        <v>233</v>
      </c>
      <c r="L138" s="17" t="s">
        <v>233</v>
      </c>
      <c r="M138" s="231">
        <v>1273</v>
      </c>
      <c r="N138" s="232">
        <v>1257.5457799999999</v>
      </c>
      <c r="O138" s="132">
        <v>169</v>
      </c>
      <c r="P138" s="231" t="s">
        <v>239</v>
      </c>
      <c r="Q138" s="231">
        <v>32</v>
      </c>
      <c r="R138" s="231" t="s">
        <v>239</v>
      </c>
      <c r="S138" s="231">
        <v>66</v>
      </c>
      <c r="T138" s="231" t="s">
        <v>239</v>
      </c>
      <c r="U138" s="231">
        <v>35</v>
      </c>
      <c r="V138" s="231" t="s">
        <v>239</v>
      </c>
      <c r="W138" s="231">
        <v>45</v>
      </c>
      <c r="X138" s="231" t="s">
        <v>239</v>
      </c>
      <c r="Y138" s="231">
        <v>0</v>
      </c>
      <c r="Z138" s="231" t="s">
        <v>239</v>
      </c>
      <c r="AA138" s="231">
        <v>155</v>
      </c>
      <c r="AB138" s="231" t="s">
        <v>239</v>
      </c>
      <c r="AC138" s="231">
        <v>0</v>
      </c>
      <c r="AD138" s="231" t="s">
        <v>239</v>
      </c>
      <c r="AE138" s="231">
        <v>137</v>
      </c>
      <c r="AF138" s="231" t="s">
        <v>239</v>
      </c>
      <c r="AG138" s="231">
        <v>157</v>
      </c>
      <c r="AH138" s="231" t="s">
        <v>239</v>
      </c>
      <c r="AI138" s="231">
        <v>0</v>
      </c>
      <c r="AJ138" s="231" t="s">
        <v>239</v>
      </c>
      <c r="AK138" s="231">
        <v>0</v>
      </c>
      <c r="AL138" s="231" t="s">
        <v>239</v>
      </c>
      <c r="AM138" s="231">
        <v>796</v>
      </c>
    </row>
    <row r="139" spans="1:39" ht="15" customHeight="1" outlineLevel="1">
      <c r="A139" s="411">
        <v>65</v>
      </c>
      <c r="B139" s="10">
        <v>129065</v>
      </c>
      <c r="C139" s="218" t="s">
        <v>1489</v>
      </c>
      <c r="D139" s="218" t="s">
        <v>1490</v>
      </c>
      <c r="E139" s="23" t="s">
        <v>44</v>
      </c>
      <c r="F139" s="17" t="s">
        <v>45</v>
      </c>
      <c r="G139" s="11" t="s">
        <v>1432</v>
      </c>
      <c r="H139" s="12">
        <v>15</v>
      </c>
      <c r="I139" s="11" t="s">
        <v>1433</v>
      </c>
      <c r="J139" s="192" t="s">
        <v>1482</v>
      </c>
      <c r="K139" s="17" t="s">
        <v>233</v>
      </c>
      <c r="L139" s="17" t="s">
        <v>233</v>
      </c>
      <c r="M139" s="231">
        <v>14</v>
      </c>
      <c r="N139" s="232">
        <v>14</v>
      </c>
      <c r="O139" s="231">
        <v>14</v>
      </c>
      <c r="P139" s="231" t="s">
        <v>239</v>
      </c>
      <c r="Q139" s="231">
        <v>14</v>
      </c>
      <c r="R139" s="231" t="s">
        <v>239</v>
      </c>
      <c r="S139" s="231">
        <v>14</v>
      </c>
      <c r="T139" s="231" t="s">
        <v>239</v>
      </c>
      <c r="U139" s="231">
        <v>14</v>
      </c>
      <c r="V139" s="230" t="s">
        <v>239</v>
      </c>
      <c r="W139" s="231">
        <v>14</v>
      </c>
      <c r="X139" s="231" t="s">
        <v>239</v>
      </c>
      <c r="Y139" s="231">
        <v>14</v>
      </c>
      <c r="Z139" s="231" t="s">
        <v>239</v>
      </c>
      <c r="AA139" s="231">
        <v>14</v>
      </c>
      <c r="AB139" s="231" t="s">
        <v>239</v>
      </c>
      <c r="AC139" s="231">
        <v>14</v>
      </c>
      <c r="AD139" s="231" t="s">
        <v>239</v>
      </c>
      <c r="AE139" s="231">
        <v>14</v>
      </c>
      <c r="AF139" s="231" t="s">
        <v>239</v>
      </c>
      <c r="AG139" s="231">
        <v>14</v>
      </c>
      <c r="AH139" s="231" t="s">
        <v>239</v>
      </c>
      <c r="AI139" s="231">
        <v>14</v>
      </c>
      <c r="AJ139" s="231" t="s">
        <v>239</v>
      </c>
      <c r="AK139" s="231">
        <v>14</v>
      </c>
      <c r="AL139" s="231" t="s">
        <v>239</v>
      </c>
      <c r="AM139" s="231">
        <v>0</v>
      </c>
    </row>
    <row r="140" spans="1:39" ht="15" customHeight="1" outlineLevel="1">
      <c r="A140" s="412"/>
      <c r="B140" s="10">
        <v>129065</v>
      </c>
      <c r="C140" s="218" t="s">
        <v>1489</v>
      </c>
      <c r="D140" s="218" t="s">
        <v>1490</v>
      </c>
      <c r="E140" s="23" t="s">
        <v>138</v>
      </c>
      <c r="F140" s="17" t="s">
        <v>45</v>
      </c>
      <c r="G140" s="11" t="s">
        <v>1432</v>
      </c>
      <c r="H140" s="12">
        <v>19</v>
      </c>
      <c r="I140" s="11" t="s">
        <v>1433</v>
      </c>
      <c r="J140" s="192" t="s">
        <v>1462</v>
      </c>
      <c r="K140" s="17" t="s">
        <v>233</v>
      </c>
      <c r="L140" s="17" t="s">
        <v>233</v>
      </c>
      <c r="M140" s="231">
        <v>0</v>
      </c>
      <c r="N140" s="232">
        <v>0</v>
      </c>
      <c r="O140" s="132">
        <v>0</v>
      </c>
      <c r="P140" s="231" t="s">
        <v>239</v>
      </c>
      <c r="Q140" s="231">
        <v>0</v>
      </c>
      <c r="R140" s="231" t="s">
        <v>239</v>
      </c>
      <c r="S140" s="231">
        <v>0</v>
      </c>
      <c r="T140" s="231" t="s">
        <v>239</v>
      </c>
      <c r="U140" s="231">
        <v>0</v>
      </c>
      <c r="V140" s="231" t="s">
        <v>239</v>
      </c>
      <c r="W140" s="231">
        <v>0</v>
      </c>
      <c r="X140" s="231" t="s">
        <v>239</v>
      </c>
      <c r="Y140" s="231">
        <v>0</v>
      </c>
      <c r="Z140" s="231" t="s">
        <v>239</v>
      </c>
      <c r="AA140" s="231">
        <v>0</v>
      </c>
      <c r="AB140" s="231" t="s">
        <v>239</v>
      </c>
      <c r="AC140" s="231">
        <v>0</v>
      </c>
      <c r="AD140" s="231" t="s">
        <v>239</v>
      </c>
      <c r="AE140" s="231">
        <v>0</v>
      </c>
      <c r="AF140" s="231" t="s">
        <v>239</v>
      </c>
      <c r="AG140" s="231">
        <v>0</v>
      </c>
      <c r="AH140" s="231" t="s">
        <v>239</v>
      </c>
      <c r="AI140" s="231">
        <v>0</v>
      </c>
      <c r="AJ140" s="231" t="s">
        <v>239</v>
      </c>
      <c r="AK140" s="231">
        <v>0</v>
      </c>
      <c r="AL140" s="231" t="s">
        <v>239</v>
      </c>
      <c r="AM140" s="231">
        <v>0</v>
      </c>
    </row>
    <row r="141" spans="1:39" ht="15" customHeight="1" outlineLevel="1">
      <c r="A141" s="411">
        <v>66</v>
      </c>
      <c r="B141" s="10">
        <v>129066</v>
      </c>
      <c r="C141" s="218" t="s">
        <v>1489</v>
      </c>
      <c r="D141" s="218" t="s">
        <v>1490</v>
      </c>
      <c r="E141" s="23" t="s">
        <v>44</v>
      </c>
      <c r="F141" s="17" t="s">
        <v>45</v>
      </c>
      <c r="G141" s="11" t="s">
        <v>1432</v>
      </c>
      <c r="H141" s="12">
        <v>22</v>
      </c>
      <c r="I141" s="11" t="s">
        <v>1433</v>
      </c>
      <c r="J141" s="192" t="s">
        <v>1457</v>
      </c>
      <c r="K141" s="17" t="s">
        <v>233</v>
      </c>
      <c r="L141" s="17" t="s">
        <v>233</v>
      </c>
      <c r="M141" s="231">
        <v>5.5</v>
      </c>
      <c r="N141" s="233">
        <v>5.5</v>
      </c>
      <c r="O141" s="132">
        <v>5.5</v>
      </c>
      <c r="P141" s="231" t="s">
        <v>239</v>
      </c>
      <c r="Q141" s="233">
        <v>5.5</v>
      </c>
      <c r="R141" s="231" t="s">
        <v>239</v>
      </c>
      <c r="S141" s="231">
        <v>5.5</v>
      </c>
      <c r="T141" s="231" t="s">
        <v>239</v>
      </c>
      <c r="U141" s="132">
        <v>5.5</v>
      </c>
      <c r="V141" s="231" t="s">
        <v>239</v>
      </c>
      <c r="W141" s="233">
        <v>5.5</v>
      </c>
      <c r="X141" s="231" t="s">
        <v>239</v>
      </c>
      <c r="Y141" s="231">
        <v>5.5</v>
      </c>
      <c r="Z141" s="231" t="s">
        <v>239</v>
      </c>
      <c r="AA141" s="132">
        <v>5.5</v>
      </c>
      <c r="AB141" s="231" t="s">
        <v>239</v>
      </c>
      <c r="AC141" s="233">
        <v>5.5</v>
      </c>
      <c r="AD141" s="231" t="s">
        <v>239</v>
      </c>
      <c r="AE141" s="231">
        <v>5.5</v>
      </c>
      <c r="AF141" s="231" t="s">
        <v>239</v>
      </c>
      <c r="AG141" s="132">
        <v>5.5</v>
      </c>
      <c r="AH141" s="231" t="s">
        <v>239</v>
      </c>
      <c r="AI141" s="233">
        <v>5.5</v>
      </c>
      <c r="AJ141" s="231" t="s">
        <v>239</v>
      </c>
      <c r="AK141" s="231">
        <v>5.5</v>
      </c>
      <c r="AL141" s="231" t="s">
        <v>239</v>
      </c>
      <c r="AM141" s="231">
        <v>0</v>
      </c>
    </row>
    <row r="142" spans="1:39" ht="15" customHeight="1" outlineLevel="1">
      <c r="A142" s="412"/>
      <c r="B142" s="10">
        <v>129066</v>
      </c>
      <c r="C142" s="218" t="s">
        <v>1489</v>
      </c>
      <c r="D142" s="218" t="s">
        <v>1490</v>
      </c>
      <c r="E142" s="23" t="s">
        <v>138</v>
      </c>
      <c r="F142" s="17" t="s">
        <v>45</v>
      </c>
      <c r="G142" s="11" t="s">
        <v>1432</v>
      </c>
      <c r="H142" s="12">
        <v>24</v>
      </c>
      <c r="I142" s="11" t="s">
        <v>1433</v>
      </c>
      <c r="J142" s="192" t="s">
        <v>617</v>
      </c>
      <c r="K142" s="17" t="s">
        <v>233</v>
      </c>
      <c r="L142" s="17" t="s">
        <v>233</v>
      </c>
      <c r="M142" s="231">
        <v>8610</v>
      </c>
      <c r="N142" s="232">
        <v>8505.4745999999996</v>
      </c>
      <c r="O142" s="132">
        <v>568</v>
      </c>
      <c r="P142" s="231" t="s">
        <v>239</v>
      </c>
      <c r="Q142" s="231">
        <v>763</v>
      </c>
      <c r="R142" s="231" t="s">
        <v>239</v>
      </c>
      <c r="S142" s="231">
        <v>882</v>
      </c>
      <c r="T142" s="231" t="s">
        <v>239</v>
      </c>
      <c r="U142" s="231">
        <v>610</v>
      </c>
      <c r="V142" s="230" t="s">
        <v>239</v>
      </c>
      <c r="W142" s="231">
        <v>834</v>
      </c>
      <c r="X142" s="231" t="s">
        <v>239</v>
      </c>
      <c r="Y142" s="231">
        <v>382</v>
      </c>
      <c r="Z142" s="231" t="s">
        <v>239</v>
      </c>
      <c r="AA142" s="231">
        <v>667</v>
      </c>
      <c r="AB142" s="231" t="s">
        <v>239</v>
      </c>
      <c r="AC142" s="231">
        <v>625</v>
      </c>
      <c r="AD142" s="231" t="s">
        <v>239</v>
      </c>
      <c r="AE142" s="231">
        <v>1634</v>
      </c>
      <c r="AF142" s="231" t="s">
        <v>239</v>
      </c>
      <c r="AG142" s="231">
        <v>321</v>
      </c>
      <c r="AH142" s="231" t="s">
        <v>239</v>
      </c>
      <c r="AI142" s="231">
        <v>170</v>
      </c>
      <c r="AJ142" s="231" t="s">
        <v>239</v>
      </c>
      <c r="AK142" s="231">
        <v>608</v>
      </c>
      <c r="AL142" s="231" t="s">
        <v>239</v>
      </c>
      <c r="AM142" s="231">
        <v>8064</v>
      </c>
    </row>
    <row r="143" spans="1:39" ht="15" customHeight="1" outlineLevel="1">
      <c r="A143" s="411">
        <v>67</v>
      </c>
      <c r="B143" s="10">
        <v>129067</v>
      </c>
      <c r="C143" s="218" t="s">
        <v>1489</v>
      </c>
      <c r="D143" s="218" t="s">
        <v>1490</v>
      </c>
      <c r="E143" s="23" t="s">
        <v>44</v>
      </c>
      <c r="F143" s="17" t="s">
        <v>45</v>
      </c>
      <c r="G143" s="11" t="s">
        <v>1432</v>
      </c>
      <c r="H143" s="12">
        <v>16</v>
      </c>
      <c r="I143" s="11" t="s">
        <v>1433</v>
      </c>
      <c r="J143" s="374" t="s">
        <v>1457</v>
      </c>
      <c r="K143" s="17" t="s">
        <v>233</v>
      </c>
      <c r="L143" s="17" t="s">
        <v>233</v>
      </c>
      <c r="M143" s="231">
        <v>17</v>
      </c>
      <c r="N143" s="232">
        <v>17</v>
      </c>
      <c r="O143" s="231">
        <v>17</v>
      </c>
      <c r="P143" s="231" t="s">
        <v>239</v>
      </c>
      <c r="Q143" s="231">
        <v>17</v>
      </c>
      <c r="R143" s="231" t="s">
        <v>239</v>
      </c>
      <c r="S143" s="231">
        <v>17</v>
      </c>
      <c r="T143" s="231" t="s">
        <v>239</v>
      </c>
      <c r="U143" s="231">
        <v>17</v>
      </c>
      <c r="V143" s="231" t="s">
        <v>239</v>
      </c>
      <c r="W143" s="231">
        <v>17</v>
      </c>
      <c r="X143" s="231" t="s">
        <v>239</v>
      </c>
      <c r="Y143" s="231">
        <v>17</v>
      </c>
      <c r="Z143" s="231" t="s">
        <v>239</v>
      </c>
      <c r="AA143" s="231">
        <v>17</v>
      </c>
      <c r="AB143" s="231" t="s">
        <v>239</v>
      </c>
      <c r="AC143" s="231">
        <v>17</v>
      </c>
      <c r="AD143" s="231" t="s">
        <v>239</v>
      </c>
      <c r="AE143" s="231">
        <v>17</v>
      </c>
      <c r="AF143" s="231" t="s">
        <v>239</v>
      </c>
      <c r="AG143" s="231">
        <v>17</v>
      </c>
      <c r="AH143" s="231" t="s">
        <v>239</v>
      </c>
      <c r="AI143" s="231">
        <v>17</v>
      </c>
      <c r="AJ143" s="231" t="s">
        <v>239</v>
      </c>
      <c r="AK143" s="231">
        <v>17</v>
      </c>
      <c r="AL143" s="231" t="s">
        <v>239</v>
      </c>
      <c r="AM143" s="231">
        <v>0</v>
      </c>
    </row>
    <row r="144" spans="1:39" ht="15" customHeight="1" outlineLevel="1">
      <c r="A144" s="412"/>
      <c r="B144" s="10">
        <v>129067</v>
      </c>
      <c r="C144" s="218" t="s">
        <v>1489</v>
      </c>
      <c r="D144" s="218" t="s">
        <v>1490</v>
      </c>
      <c r="E144" s="23" t="s">
        <v>44</v>
      </c>
      <c r="F144" s="17" t="s">
        <v>45</v>
      </c>
      <c r="G144" s="11" t="s">
        <v>1432</v>
      </c>
      <c r="H144" s="12">
        <v>5</v>
      </c>
      <c r="I144" s="11" t="s">
        <v>1433</v>
      </c>
      <c r="J144" s="375"/>
      <c r="K144" s="17" t="s">
        <v>233</v>
      </c>
      <c r="L144" s="17" t="s">
        <v>233</v>
      </c>
      <c r="M144" s="231">
        <v>16917</v>
      </c>
      <c r="N144" s="232">
        <v>16711.627619999999</v>
      </c>
      <c r="O144" s="132">
        <v>290</v>
      </c>
      <c r="P144" s="231" t="s">
        <v>239</v>
      </c>
      <c r="Q144" s="231">
        <v>323</v>
      </c>
      <c r="R144" s="231" t="s">
        <v>239</v>
      </c>
      <c r="S144" s="231">
        <v>388</v>
      </c>
      <c r="T144" s="231" t="s">
        <v>239</v>
      </c>
      <c r="U144" s="231">
        <v>862</v>
      </c>
      <c r="V144" s="231" t="s">
        <v>239</v>
      </c>
      <c r="W144" s="231">
        <v>683</v>
      </c>
      <c r="X144" s="231" t="s">
        <v>239</v>
      </c>
      <c r="Y144" s="231">
        <v>2938</v>
      </c>
      <c r="Z144" s="231" t="s">
        <v>239</v>
      </c>
      <c r="AA144" s="231">
        <v>648</v>
      </c>
      <c r="AB144" s="231" t="s">
        <v>239</v>
      </c>
      <c r="AC144" s="231">
        <v>487</v>
      </c>
      <c r="AD144" s="231" t="s">
        <v>239</v>
      </c>
      <c r="AE144" s="231">
        <v>503</v>
      </c>
      <c r="AF144" s="231" t="s">
        <v>239</v>
      </c>
      <c r="AG144" s="231">
        <v>559</v>
      </c>
      <c r="AH144" s="231" t="s">
        <v>239</v>
      </c>
      <c r="AI144" s="231">
        <v>546</v>
      </c>
      <c r="AJ144" s="231" t="s">
        <v>239</v>
      </c>
      <c r="AK144" s="231">
        <v>571</v>
      </c>
      <c r="AL144" s="231" t="s">
        <v>239</v>
      </c>
      <c r="AM144" s="231">
        <v>8798</v>
      </c>
    </row>
    <row r="145" spans="1:39" ht="15" customHeight="1" outlineLevel="1">
      <c r="A145" s="411">
        <v>68</v>
      </c>
      <c r="B145" s="10">
        <v>129068</v>
      </c>
      <c r="C145" s="218" t="s">
        <v>1489</v>
      </c>
      <c r="D145" s="218" t="s">
        <v>1490</v>
      </c>
      <c r="E145" s="23" t="s">
        <v>138</v>
      </c>
      <c r="F145" s="17" t="s">
        <v>45</v>
      </c>
      <c r="G145" s="11" t="s">
        <v>1432</v>
      </c>
      <c r="H145" s="12">
        <v>17</v>
      </c>
      <c r="I145" s="11" t="s">
        <v>1433</v>
      </c>
      <c r="J145" s="193" t="s">
        <v>1460</v>
      </c>
      <c r="K145" s="17" t="s">
        <v>233</v>
      </c>
      <c r="L145" s="17" t="s">
        <v>233</v>
      </c>
      <c r="M145" s="231">
        <v>24</v>
      </c>
      <c r="N145" s="232">
        <v>24</v>
      </c>
      <c r="O145" s="231">
        <v>24</v>
      </c>
      <c r="P145" s="231" t="s">
        <v>239</v>
      </c>
      <c r="Q145" s="231">
        <v>24</v>
      </c>
      <c r="R145" s="231" t="s">
        <v>239</v>
      </c>
      <c r="S145" s="231">
        <v>24</v>
      </c>
      <c r="T145" s="231" t="s">
        <v>239</v>
      </c>
      <c r="U145" s="231">
        <v>24</v>
      </c>
      <c r="V145" s="230" t="s">
        <v>239</v>
      </c>
      <c r="W145" s="231">
        <v>24</v>
      </c>
      <c r="X145" s="231" t="s">
        <v>239</v>
      </c>
      <c r="Y145" s="231">
        <v>24</v>
      </c>
      <c r="Z145" s="231" t="s">
        <v>239</v>
      </c>
      <c r="AA145" s="231">
        <v>24</v>
      </c>
      <c r="AB145" s="231" t="s">
        <v>239</v>
      </c>
      <c r="AC145" s="231">
        <v>24</v>
      </c>
      <c r="AD145" s="231" t="s">
        <v>239</v>
      </c>
      <c r="AE145" s="231">
        <v>24</v>
      </c>
      <c r="AF145" s="231" t="s">
        <v>239</v>
      </c>
      <c r="AG145" s="231">
        <v>24</v>
      </c>
      <c r="AH145" s="231" t="s">
        <v>239</v>
      </c>
      <c r="AI145" s="231">
        <v>24</v>
      </c>
      <c r="AJ145" s="231" t="s">
        <v>239</v>
      </c>
      <c r="AK145" s="231">
        <v>24</v>
      </c>
      <c r="AL145" s="231" t="s">
        <v>239</v>
      </c>
      <c r="AM145" s="231">
        <v>0</v>
      </c>
    </row>
    <row r="146" spans="1:39" ht="15" customHeight="1" outlineLevel="1">
      <c r="A146" s="412"/>
      <c r="B146" s="10">
        <v>129068</v>
      </c>
      <c r="C146" s="218" t="s">
        <v>1489</v>
      </c>
      <c r="D146" s="218" t="s">
        <v>1490</v>
      </c>
      <c r="E146" s="23" t="s">
        <v>44</v>
      </c>
      <c r="F146" s="17" t="s">
        <v>45</v>
      </c>
      <c r="G146" s="11" t="s">
        <v>1432</v>
      </c>
      <c r="H146" s="12">
        <v>19</v>
      </c>
      <c r="I146" s="11" t="s">
        <v>1433</v>
      </c>
      <c r="J146" s="193" t="s">
        <v>1442</v>
      </c>
      <c r="K146" s="17" t="s">
        <v>233</v>
      </c>
      <c r="L146" s="17" t="s">
        <v>233</v>
      </c>
      <c r="M146" s="231">
        <v>5791</v>
      </c>
      <c r="N146" s="232">
        <v>5720.6972599999999</v>
      </c>
      <c r="O146" s="132">
        <v>409</v>
      </c>
      <c r="P146" s="231" t="s">
        <v>239</v>
      </c>
      <c r="Q146" s="231">
        <v>607</v>
      </c>
      <c r="R146" s="231" t="s">
        <v>239</v>
      </c>
      <c r="S146" s="231">
        <v>660</v>
      </c>
      <c r="T146" s="231" t="s">
        <v>239</v>
      </c>
      <c r="U146" s="231">
        <v>380</v>
      </c>
      <c r="V146" s="231" t="s">
        <v>239</v>
      </c>
      <c r="W146" s="231">
        <v>376</v>
      </c>
      <c r="X146" s="231" t="s">
        <v>239</v>
      </c>
      <c r="Y146" s="231">
        <v>504</v>
      </c>
      <c r="Z146" s="231" t="s">
        <v>239</v>
      </c>
      <c r="AA146" s="231">
        <v>394</v>
      </c>
      <c r="AB146" s="231" t="s">
        <v>239</v>
      </c>
      <c r="AC146" s="231">
        <v>410</v>
      </c>
      <c r="AD146" s="231" t="s">
        <v>239</v>
      </c>
      <c r="AE146" s="231">
        <v>331</v>
      </c>
      <c r="AF146" s="231" t="s">
        <v>239</v>
      </c>
      <c r="AG146" s="231">
        <v>159</v>
      </c>
      <c r="AH146" s="231" t="s">
        <v>239</v>
      </c>
      <c r="AI146" s="231">
        <v>551</v>
      </c>
      <c r="AJ146" s="231" t="s">
        <v>239</v>
      </c>
      <c r="AK146" s="231">
        <v>383</v>
      </c>
      <c r="AL146" s="231" t="s">
        <v>239</v>
      </c>
      <c r="AM146" s="231">
        <v>5164</v>
      </c>
    </row>
    <row r="147" spans="1:39" ht="15" customHeight="1" outlineLevel="1">
      <c r="A147" s="411">
        <v>69</v>
      </c>
      <c r="B147" s="10">
        <v>129069</v>
      </c>
      <c r="C147" s="218" t="s">
        <v>1489</v>
      </c>
      <c r="D147" s="218" t="s">
        <v>1490</v>
      </c>
      <c r="E147" s="23" t="s">
        <v>138</v>
      </c>
      <c r="F147" s="17" t="s">
        <v>45</v>
      </c>
      <c r="G147" s="11" t="s">
        <v>1432</v>
      </c>
      <c r="H147" s="12">
        <v>18</v>
      </c>
      <c r="I147" s="11" t="s">
        <v>1433</v>
      </c>
      <c r="J147" s="193" t="s">
        <v>1460</v>
      </c>
      <c r="K147" s="17" t="s">
        <v>233</v>
      </c>
      <c r="L147" s="17" t="s">
        <v>233</v>
      </c>
      <c r="M147" s="231">
        <v>11</v>
      </c>
      <c r="N147" s="232">
        <v>11</v>
      </c>
      <c r="O147" s="231">
        <v>11</v>
      </c>
      <c r="P147" s="231" t="s">
        <v>239</v>
      </c>
      <c r="Q147" s="231">
        <v>11</v>
      </c>
      <c r="R147" s="231" t="s">
        <v>239</v>
      </c>
      <c r="S147" s="231">
        <v>11</v>
      </c>
      <c r="T147" s="231" t="s">
        <v>239</v>
      </c>
      <c r="U147" s="231">
        <v>11</v>
      </c>
      <c r="V147" s="231" t="s">
        <v>239</v>
      </c>
      <c r="W147" s="231">
        <v>11</v>
      </c>
      <c r="X147" s="231" t="s">
        <v>239</v>
      </c>
      <c r="Y147" s="231">
        <v>11</v>
      </c>
      <c r="Z147" s="231" t="s">
        <v>239</v>
      </c>
      <c r="AA147" s="231">
        <v>11</v>
      </c>
      <c r="AB147" s="231" t="s">
        <v>239</v>
      </c>
      <c r="AC147" s="231">
        <v>11</v>
      </c>
      <c r="AD147" s="231" t="s">
        <v>239</v>
      </c>
      <c r="AE147" s="231">
        <v>11</v>
      </c>
      <c r="AF147" s="231" t="s">
        <v>239</v>
      </c>
      <c r="AG147" s="231">
        <v>11</v>
      </c>
      <c r="AH147" s="231" t="s">
        <v>239</v>
      </c>
      <c r="AI147" s="231">
        <v>11</v>
      </c>
      <c r="AJ147" s="231" t="s">
        <v>239</v>
      </c>
      <c r="AK147" s="231">
        <v>11</v>
      </c>
      <c r="AL147" s="231" t="s">
        <v>239</v>
      </c>
      <c r="AM147" s="231">
        <v>0</v>
      </c>
    </row>
    <row r="148" spans="1:39" ht="15" customHeight="1" outlineLevel="1">
      <c r="A148" s="412"/>
      <c r="B148" s="10">
        <v>129069</v>
      </c>
      <c r="C148" s="218" t="s">
        <v>1489</v>
      </c>
      <c r="D148" s="218" t="s">
        <v>1490</v>
      </c>
      <c r="E148" s="23" t="s">
        <v>44</v>
      </c>
      <c r="F148" s="17" t="s">
        <v>45</v>
      </c>
      <c r="G148" s="11" t="s">
        <v>1432</v>
      </c>
      <c r="H148" s="12">
        <v>13</v>
      </c>
      <c r="I148" s="11" t="s">
        <v>1433</v>
      </c>
      <c r="J148" s="193" t="s">
        <v>1457</v>
      </c>
      <c r="K148" s="17" t="s">
        <v>233</v>
      </c>
      <c r="L148" s="17" t="s">
        <v>233</v>
      </c>
      <c r="M148" s="231">
        <v>2465</v>
      </c>
      <c r="N148" s="232">
        <v>2435.0749000000001</v>
      </c>
      <c r="O148" s="132">
        <v>263</v>
      </c>
      <c r="P148" s="231" t="s">
        <v>239</v>
      </c>
      <c r="Q148" s="231">
        <v>342</v>
      </c>
      <c r="R148" s="231" t="s">
        <v>239</v>
      </c>
      <c r="S148" s="231">
        <v>207</v>
      </c>
      <c r="T148" s="231" t="s">
        <v>239</v>
      </c>
      <c r="U148" s="231">
        <v>137</v>
      </c>
      <c r="V148" s="230" t="s">
        <v>239</v>
      </c>
      <c r="W148" s="231">
        <v>78</v>
      </c>
      <c r="X148" s="231" t="s">
        <v>239</v>
      </c>
      <c r="Y148" s="231">
        <v>159</v>
      </c>
      <c r="Z148" s="231" t="s">
        <v>239</v>
      </c>
      <c r="AA148" s="231">
        <v>115</v>
      </c>
      <c r="AB148" s="231" t="s">
        <v>239</v>
      </c>
      <c r="AC148" s="231">
        <v>121</v>
      </c>
      <c r="AD148" s="231" t="s">
        <v>239</v>
      </c>
      <c r="AE148" s="231">
        <v>212</v>
      </c>
      <c r="AF148" s="231" t="s">
        <v>239</v>
      </c>
      <c r="AG148" s="231">
        <v>134</v>
      </c>
      <c r="AH148" s="231" t="s">
        <v>239</v>
      </c>
      <c r="AI148" s="231">
        <v>328</v>
      </c>
      <c r="AJ148" s="231" t="s">
        <v>239</v>
      </c>
      <c r="AK148" s="231">
        <v>340</v>
      </c>
      <c r="AL148" s="231" t="s">
        <v>239</v>
      </c>
      <c r="AM148" s="231">
        <v>2436</v>
      </c>
    </row>
    <row r="149" spans="1:39" ht="15" customHeight="1" outlineLevel="1">
      <c r="A149" s="411">
        <v>70</v>
      </c>
      <c r="B149" s="10">
        <v>129070</v>
      </c>
      <c r="C149" s="218" t="s">
        <v>1489</v>
      </c>
      <c r="D149" s="218" t="s">
        <v>1490</v>
      </c>
      <c r="E149" s="23" t="s">
        <v>44</v>
      </c>
      <c r="F149" s="17" t="s">
        <v>45</v>
      </c>
      <c r="G149" s="11" t="s">
        <v>1432</v>
      </c>
      <c r="H149" s="12">
        <v>21</v>
      </c>
      <c r="I149" s="11" t="s">
        <v>1433</v>
      </c>
      <c r="J149" s="193" t="s">
        <v>617</v>
      </c>
      <c r="K149" s="17" t="s">
        <v>233</v>
      </c>
      <c r="L149" s="17" t="s">
        <v>233</v>
      </c>
      <c r="M149" s="231">
        <v>11</v>
      </c>
      <c r="N149" s="232">
        <v>11</v>
      </c>
      <c r="O149" s="231">
        <v>11</v>
      </c>
      <c r="P149" s="231" t="s">
        <v>239</v>
      </c>
      <c r="Q149" s="231">
        <v>11</v>
      </c>
      <c r="R149" s="231" t="s">
        <v>239</v>
      </c>
      <c r="S149" s="231">
        <v>11</v>
      </c>
      <c r="T149" s="231" t="s">
        <v>239</v>
      </c>
      <c r="U149" s="231">
        <v>11</v>
      </c>
      <c r="V149" s="231" t="s">
        <v>239</v>
      </c>
      <c r="W149" s="231">
        <v>11</v>
      </c>
      <c r="X149" s="231" t="s">
        <v>239</v>
      </c>
      <c r="Y149" s="231">
        <v>11</v>
      </c>
      <c r="Z149" s="231" t="s">
        <v>239</v>
      </c>
      <c r="AA149" s="231">
        <v>11</v>
      </c>
      <c r="AB149" s="231" t="s">
        <v>239</v>
      </c>
      <c r="AC149" s="231">
        <v>11</v>
      </c>
      <c r="AD149" s="231" t="s">
        <v>239</v>
      </c>
      <c r="AE149" s="231">
        <v>11</v>
      </c>
      <c r="AF149" s="231" t="s">
        <v>239</v>
      </c>
      <c r="AG149" s="231">
        <v>11</v>
      </c>
      <c r="AH149" s="231" t="s">
        <v>239</v>
      </c>
      <c r="AI149" s="231">
        <v>11</v>
      </c>
      <c r="AJ149" s="231" t="s">
        <v>239</v>
      </c>
      <c r="AK149" s="231">
        <v>11</v>
      </c>
      <c r="AL149" s="231" t="s">
        <v>239</v>
      </c>
      <c r="AM149" s="231">
        <v>0</v>
      </c>
    </row>
    <row r="150" spans="1:39" ht="15" customHeight="1" outlineLevel="1">
      <c r="A150" s="412"/>
      <c r="B150" s="10">
        <v>129070</v>
      </c>
      <c r="C150" s="218" t="s">
        <v>1489</v>
      </c>
      <c r="D150" s="218" t="s">
        <v>1490</v>
      </c>
      <c r="E150" s="23" t="s">
        <v>138</v>
      </c>
      <c r="F150" s="17" t="s">
        <v>45</v>
      </c>
      <c r="G150" s="11" t="s">
        <v>1432</v>
      </c>
      <c r="H150" s="12">
        <v>19</v>
      </c>
      <c r="I150" s="11" t="s">
        <v>1433</v>
      </c>
      <c r="J150" s="193" t="s">
        <v>216</v>
      </c>
      <c r="K150" s="17" t="s">
        <v>233</v>
      </c>
      <c r="L150" s="17" t="s">
        <v>233</v>
      </c>
      <c r="M150" s="231">
        <v>0</v>
      </c>
      <c r="N150" s="232">
        <v>0</v>
      </c>
      <c r="O150" s="132">
        <v>0</v>
      </c>
      <c r="P150" s="231" t="s">
        <v>239</v>
      </c>
      <c r="Q150" s="231">
        <v>0</v>
      </c>
      <c r="R150" s="231" t="s">
        <v>239</v>
      </c>
      <c r="S150" s="231">
        <v>0</v>
      </c>
      <c r="T150" s="231" t="s">
        <v>239</v>
      </c>
      <c r="U150" s="231">
        <v>0</v>
      </c>
      <c r="V150" s="231" t="s">
        <v>239</v>
      </c>
      <c r="W150" s="231">
        <v>0</v>
      </c>
      <c r="X150" s="231" t="s">
        <v>239</v>
      </c>
      <c r="Y150" s="231">
        <v>0</v>
      </c>
      <c r="Z150" s="231" t="s">
        <v>239</v>
      </c>
      <c r="AA150" s="231">
        <v>0</v>
      </c>
      <c r="AB150" s="231" t="s">
        <v>239</v>
      </c>
      <c r="AC150" s="231">
        <v>0</v>
      </c>
      <c r="AD150" s="231" t="s">
        <v>239</v>
      </c>
      <c r="AE150" s="231">
        <v>0</v>
      </c>
      <c r="AF150" s="231" t="s">
        <v>239</v>
      </c>
      <c r="AG150" s="231">
        <v>0</v>
      </c>
      <c r="AH150" s="231" t="s">
        <v>239</v>
      </c>
      <c r="AI150" s="231">
        <v>0</v>
      </c>
      <c r="AJ150" s="231" t="s">
        <v>239</v>
      </c>
      <c r="AK150" s="231">
        <v>0</v>
      </c>
      <c r="AL150" s="231" t="s">
        <v>239</v>
      </c>
      <c r="AM150" s="231">
        <v>0</v>
      </c>
    </row>
    <row r="151" spans="1:39" ht="15" customHeight="1" outlineLevel="1">
      <c r="A151" s="411">
        <v>71</v>
      </c>
      <c r="B151" s="10">
        <v>129071</v>
      </c>
      <c r="C151" s="218" t="s">
        <v>1489</v>
      </c>
      <c r="D151" s="218" t="s">
        <v>1490</v>
      </c>
      <c r="E151" s="23" t="s">
        <v>44</v>
      </c>
      <c r="F151" s="17" t="s">
        <v>45</v>
      </c>
      <c r="G151" s="11" t="s">
        <v>1432</v>
      </c>
      <c r="H151" s="12">
        <v>30</v>
      </c>
      <c r="I151" s="11" t="s">
        <v>1433</v>
      </c>
      <c r="J151" s="191" t="s">
        <v>216</v>
      </c>
      <c r="K151" s="17" t="s">
        <v>233</v>
      </c>
      <c r="L151" s="17" t="s">
        <v>233</v>
      </c>
      <c r="M151" s="231">
        <v>1</v>
      </c>
      <c r="N151" s="231">
        <v>1</v>
      </c>
      <c r="O151" s="231">
        <v>1</v>
      </c>
      <c r="P151" s="231" t="s">
        <v>239</v>
      </c>
      <c r="Q151" s="231">
        <v>1</v>
      </c>
      <c r="R151" s="231" t="s">
        <v>239</v>
      </c>
      <c r="S151" s="231">
        <v>1</v>
      </c>
      <c r="T151" s="231" t="s">
        <v>239</v>
      </c>
      <c r="U151" s="231">
        <v>1</v>
      </c>
      <c r="V151" s="230" t="s">
        <v>239</v>
      </c>
      <c r="W151" s="231">
        <v>1</v>
      </c>
      <c r="X151" s="231" t="s">
        <v>239</v>
      </c>
      <c r="Y151" s="231">
        <v>1</v>
      </c>
      <c r="Z151" s="231" t="s">
        <v>239</v>
      </c>
      <c r="AA151" s="231">
        <v>1</v>
      </c>
      <c r="AB151" s="231" t="s">
        <v>239</v>
      </c>
      <c r="AC151" s="231">
        <v>1</v>
      </c>
      <c r="AD151" s="231" t="s">
        <v>239</v>
      </c>
      <c r="AE151" s="231">
        <v>1</v>
      </c>
      <c r="AF151" s="231" t="s">
        <v>239</v>
      </c>
      <c r="AG151" s="231">
        <v>1</v>
      </c>
      <c r="AH151" s="231" t="s">
        <v>239</v>
      </c>
      <c r="AI151" s="231">
        <v>1</v>
      </c>
      <c r="AJ151" s="231" t="s">
        <v>239</v>
      </c>
      <c r="AK151" s="231">
        <v>1</v>
      </c>
      <c r="AL151" s="231" t="s">
        <v>239</v>
      </c>
      <c r="AM151" s="231">
        <v>0</v>
      </c>
    </row>
    <row r="152" spans="1:39" ht="15" customHeight="1" outlineLevel="1">
      <c r="A152" s="412"/>
      <c r="B152" s="10">
        <v>129071</v>
      </c>
      <c r="C152" s="218" t="s">
        <v>1489</v>
      </c>
      <c r="D152" s="218" t="s">
        <v>1490</v>
      </c>
      <c r="E152" s="23" t="s">
        <v>138</v>
      </c>
      <c r="F152" s="17" t="s">
        <v>45</v>
      </c>
      <c r="G152" s="11" t="s">
        <v>1432</v>
      </c>
      <c r="H152" s="12">
        <v>33</v>
      </c>
      <c r="I152" s="11" t="s">
        <v>1433</v>
      </c>
      <c r="J152" s="192" t="s">
        <v>1434</v>
      </c>
      <c r="K152" s="17" t="s">
        <v>233</v>
      </c>
      <c r="L152" s="17" t="s">
        <v>233</v>
      </c>
      <c r="M152" s="231">
        <v>2603</v>
      </c>
      <c r="N152" s="232">
        <v>2571.3995799999998</v>
      </c>
      <c r="O152" s="132">
        <v>33</v>
      </c>
      <c r="P152" s="231" t="s">
        <v>239</v>
      </c>
      <c r="Q152" s="231">
        <v>60</v>
      </c>
      <c r="R152" s="231" t="s">
        <v>239</v>
      </c>
      <c r="S152" s="231">
        <v>33</v>
      </c>
      <c r="T152" s="231" t="s">
        <v>239</v>
      </c>
      <c r="U152" s="231">
        <v>837</v>
      </c>
      <c r="V152" s="231" t="s">
        <v>239</v>
      </c>
      <c r="W152" s="231">
        <v>692</v>
      </c>
      <c r="X152" s="231" t="s">
        <v>239</v>
      </c>
      <c r="Y152" s="231">
        <v>0</v>
      </c>
      <c r="Z152" s="231" t="s">
        <v>239</v>
      </c>
      <c r="AA152" s="231">
        <v>0</v>
      </c>
      <c r="AB152" s="231" t="s">
        <v>239</v>
      </c>
      <c r="AC152" s="231">
        <v>0</v>
      </c>
      <c r="AD152" s="231" t="s">
        <v>239</v>
      </c>
      <c r="AE152" s="231">
        <v>217</v>
      </c>
      <c r="AF152" s="231" t="s">
        <v>239</v>
      </c>
      <c r="AG152" s="231">
        <v>149</v>
      </c>
      <c r="AH152" s="231" t="s">
        <v>239</v>
      </c>
      <c r="AI152" s="231">
        <v>76</v>
      </c>
      <c r="AJ152" s="231" t="s">
        <v>239</v>
      </c>
      <c r="AK152" s="231">
        <v>81</v>
      </c>
      <c r="AL152" s="231" t="s">
        <v>239</v>
      </c>
      <c r="AM152" s="231">
        <v>2178</v>
      </c>
    </row>
    <row r="153" spans="1:39" ht="15" customHeight="1" outlineLevel="1">
      <c r="A153" s="411">
        <v>72</v>
      </c>
      <c r="B153" s="10">
        <v>129072</v>
      </c>
      <c r="C153" s="218" t="s">
        <v>1489</v>
      </c>
      <c r="D153" s="218" t="s">
        <v>1490</v>
      </c>
      <c r="E153" s="23" t="s">
        <v>44</v>
      </c>
      <c r="F153" s="17" t="s">
        <v>45</v>
      </c>
      <c r="G153" s="11" t="s">
        <v>1432</v>
      </c>
      <c r="H153" s="12">
        <v>19</v>
      </c>
      <c r="I153" s="11" t="s">
        <v>1433</v>
      </c>
      <c r="J153" s="192" t="s">
        <v>1480</v>
      </c>
      <c r="K153" s="17" t="s">
        <v>233</v>
      </c>
      <c r="L153" s="17" t="s">
        <v>233</v>
      </c>
      <c r="M153" s="231">
        <v>16</v>
      </c>
      <c r="N153" s="232">
        <v>16</v>
      </c>
      <c r="O153" s="231">
        <v>16</v>
      </c>
      <c r="P153" s="231" t="s">
        <v>239</v>
      </c>
      <c r="Q153" s="231">
        <v>16</v>
      </c>
      <c r="R153" s="231" t="s">
        <v>239</v>
      </c>
      <c r="S153" s="231">
        <v>16</v>
      </c>
      <c r="T153" s="231" t="s">
        <v>239</v>
      </c>
      <c r="U153" s="231">
        <v>16</v>
      </c>
      <c r="V153" s="231" t="s">
        <v>239</v>
      </c>
      <c r="W153" s="231">
        <v>16</v>
      </c>
      <c r="X153" s="231" t="s">
        <v>239</v>
      </c>
      <c r="Y153" s="231">
        <v>16</v>
      </c>
      <c r="Z153" s="231" t="s">
        <v>239</v>
      </c>
      <c r="AA153" s="231">
        <v>16</v>
      </c>
      <c r="AB153" s="231" t="s">
        <v>239</v>
      </c>
      <c r="AC153" s="231">
        <v>16</v>
      </c>
      <c r="AD153" s="231" t="s">
        <v>239</v>
      </c>
      <c r="AE153" s="231">
        <v>16</v>
      </c>
      <c r="AF153" s="231" t="s">
        <v>239</v>
      </c>
      <c r="AG153" s="231">
        <v>16</v>
      </c>
      <c r="AH153" s="231" t="s">
        <v>239</v>
      </c>
      <c r="AI153" s="231">
        <v>16</v>
      </c>
      <c r="AJ153" s="231" t="s">
        <v>239</v>
      </c>
      <c r="AK153" s="231">
        <v>16</v>
      </c>
      <c r="AL153" s="231" t="s">
        <v>239</v>
      </c>
      <c r="AM153" s="231">
        <v>0</v>
      </c>
    </row>
    <row r="154" spans="1:39" ht="15" customHeight="1" outlineLevel="1">
      <c r="A154" s="412"/>
      <c r="B154" s="10">
        <v>129072</v>
      </c>
      <c r="C154" s="218" t="s">
        <v>1489</v>
      </c>
      <c r="D154" s="218" t="s">
        <v>1490</v>
      </c>
      <c r="E154" s="23" t="s">
        <v>44</v>
      </c>
      <c r="F154" s="17" t="s">
        <v>45</v>
      </c>
      <c r="G154" s="11" t="s">
        <v>1432</v>
      </c>
      <c r="H154" s="12">
        <v>6</v>
      </c>
      <c r="I154" s="11" t="s">
        <v>1433</v>
      </c>
      <c r="J154" s="192" t="s">
        <v>1452</v>
      </c>
      <c r="K154" s="17" t="s">
        <v>233</v>
      </c>
      <c r="L154" s="17" t="s">
        <v>233</v>
      </c>
      <c r="M154" s="231">
        <v>688</v>
      </c>
      <c r="N154" s="232">
        <v>679.64767999999992</v>
      </c>
      <c r="O154" s="132">
        <v>188</v>
      </c>
      <c r="P154" s="231" t="s">
        <v>239</v>
      </c>
      <c r="Q154" s="231">
        <v>220</v>
      </c>
      <c r="R154" s="231" t="s">
        <v>239</v>
      </c>
      <c r="S154" s="231">
        <v>134</v>
      </c>
      <c r="T154" s="231" t="s">
        <v>239</v>
      </c>
      <c r="U154" s="231">
        <v>126</v>
      </c>
      <c r="V154" s="230" t="s">
        <v>239</v>
      </c>
      <c r="W154" s="231">
        <v>142</v>
      </c>
      <c r="X154" s="231" t="s">
        <v>239</v>
      </c>
      <c r="Y154" s="231">
        <v>234</v>
      </c>
      <c r="Z154" s="231" t="s">
        <v>239</v>
      </c>
      <c r="AA154" s="231">
        <v>116</v>
      </c>
      <c r="AB154" s="231" t="s">
        <v>239</v>
      </c>
      <c r="AC154" s="231">
        <v>139</v>
      </c>
      <c r="AD154" s="231" t="s">
        <v>239</v>
      </c>
      <c r="AE154" s="231">
        <v>136</v>
      </c>
      <c r="AF154" s="231" t="s">
        <v>239</v>
      </c>
      <c r="AG154" s="231">
        <v>156</v>
      </c>
      <c r="AH154" s="231" t="s">
        <v>239</v>
      </c>
      <c r="AI154" s="231">
        <v>169</v>
      </c>
      <c r="AJ154" s="231" t="s">
        <v>239</v>
      </c>
      <c r="AK154" s="231">
        <v>1438</v>
      </c>
      <c r="AL154" s="231" t="s">
        <v>239</v>
      </c>
      <c r="AM154" s="231">
        <v>3198</v>
      </c>
    </row>
    <row r="155" spans="1:39" ht="15" customHeight="1" outlineLevel="1">
      <c r="A155" s="411">
        <v>73</v>
      </c>
      <c r="B155" s="10">
        <v>129073</v>
      </c>
      <c r="C155" s="218" t="s">
        <v>1489</v>
      </c>
      <c r="D155" s="218" t="s">
        <v>1490</v>
      </c>
      <c r="E155" s="23" t="s">
        <v>138</v>
      </c>
      <c r="F155" s="17" t="s">
        <v>45</v>
      </c>
      <c r="G155" s="11" t="s">
        <v>1432</v>
      </c>
      <c r="H155" s="12">
        <v>15</v>
      </c>
      <c r="I155" s="11" t="s">
        <v>1433</v>
      </c>
      <c r="J155" s="374" t="s">
        <v>207</v>
      </c>
      <c r="K155" s="17" t="s">
        <v>233</v>
      </c>
      <c r="L155" s="17" t="s">
        <v>233</v>
      </c>
      <c r="M155" s="231">
        <v>22</v>
      </c>
      <c r="N155" s="232">
        <v>22</v>
      </c>
      <c r="O155" s="231">
        <v>22</v>
      </c>
      <c r="P155" s="231" t="s">
        <v>239</v>
      </c>
      <c r="Q155" s="231">
        <v>22</v>
      </c>
      <c r="R155" s="231" t="s">
        <v>239</v>
      </c>
      <c r="S155" s="231">
        <v>22</v>
      </c>
      <c r="T155" s="231" t="s">
        <v>239</v>
      </c>
      <c r="U155" s="231">
        <v>22</v>
      </c>
      <c r="V155" s="231" t="s">
        <v>239</v>
      </c>
      <c r="W155" s="231">
        <v>22</v>
      </c>
      <c r="X155" s="231" t="s">
        <v>239</v>
      </c>
      <c r="Y155" s="231">
        <v>22</v>
      </c>
      <c r="Z155" s="231" t="s">
        <v>239</v>
      </c>
      <c r="AA155" s="231">
        <v>22</v>
      </c>
      <c r="AB155" s="231" t="s">
        <v>239</v>
      </c>
      <c r="AC155" s="231">
        <v>22</v>
      </c>
      <c r="AD155" s="231" t="s">
        <v>239</v>
      </c>
      <c r="AE155" s="231">
        <v>22</v>
      </c>
      <c r="AF155" s="231" t="s">
        <v>239</v>
      </c>
      <c r="AG155" s="231">
        <v>22</v>
      </c>
      <c r="AH155" s="231" t="s">
        <v>239</v>
      </c>
      <c r="AI155" s="231">
        <v>22</v>
      </c>
      <c r="AJ155" s="231" t="s">
        <v>239</v>
      </c>
      <c r="AK155" s="231">
        <v>22</v>
      </c>
      <c r="AL155" s="231" t="s">
        <v>239</v>
      </c>
      <c r="AM155" s="231">
        <v>0</v>
      </c>
    </row>
    <row r="156" spans="1:39" ht="15" customHeight="1" outlineLevel="1">
      <c r="A156" s="412"/>
      <c r="B156" s="10">
        <v>129073</v>
      </c>
      <c r="C156" s="218" t="s">
        <v>1489</v>
      </c>
      <c r="D156" s="218" t="s">
        <v>1490</v>
      </c>
      <c r="E156" s="23" t="s">
        <v>44</v>
      </c>
      <c r="F156" s="17" t="s">
        <v>45</v>
      </c>
      <c r="G156" s="11" t="s">
        <v>1432</v>
      </c>
      <c r="H156" s="12">
        <v>19</v>
      </c>
      <c r="I156" s="11" t="s">
        <v>1433</v>
      </c>
      <c r="J156" s="375"/>
      <c r="K156" s="17" t="s">
        <v>233</v>
      </c>
      <c r="L156" s="17" t="s">
        <v>233</v>
      </c>
      <c r="M156" s="231">
        <v>12455</v>
      </c>
      <c r="N156" s="232">
        <v>12303.7963</v>
      </c>
      <c r="O156" s="132">
        <v>600</v>
      </c>
      <c r="P156" s="231" t="s">
        <v>239</v>
      </c>
      <c r="Q156" s="231">
        <v>817</v>
      </c>
      <c r="R156" s="231" t="s">
        <v>239</v>
      </c>
      <c r="S156" s="231">
        <v>674</v>
      </c>
      <c r="T156" s="231" t="s">
        <v>239</v>
      </c>
      <c r="U156" s="231">
        <v>769</v>
      </c>
      <c r="V156" s="231" t="s">
        <v>239</v>
      </c>
      <c r="W156" s="231">
        <v>649</v>
      </c>
      <c r="X156" s="231" t="s">
        <v>239</v>
      </c>
      <c r="Y156" s="231">
        <v>772</v>
      </c>
      <c r="Z156" s="231" t="s">
        <v>239</v>
      </c>
      <c r="AA156" s="231">
        <v>478</v>
      </c>
      <c r="AB156" s="231" t="s">
        <v>239</v>
      </c>
      <c r="AC156" s="231">
        <v>622</v>
      </c>
      <c r="AD156" s="231" t="s">
        <v>239</v>
      </c>
      <c r="AE156" s="231">
        <v>594</v>
      </c>
      <c r="AF156" s="231" t="s">
        <v>239</v>
      </c>
      <c r="AG156" s="231">
        <v>613</v>
      </c>
      <c r="AH156" s="231" t="s">
        <v>239</v>
      </c>
      <c r="AI156" s="231">
        <v>512</v>
      </c>
      <c r="AJ156" s="231" t="s">
        <v>239</v>
      </c>
      <c r="AK156" s="231">
        <v>512</v>
      </c>
      <c r="AL156" s="231" t="s">
        <v>239</v>
      </c>
      <c r="AM156" s="231">
        <v>7612</v>
      </c>
    </row>
    <row r="157" spans="1:39" ht="15" customHeight="1" outlineLevel="1">
      <c r="A157" s="411">
        <v>74</v>
      </c>
      <c r="B157" s="10">
        <v>129074</v>
      </c>
      <c r="C157" s="218" t="s">
        <v>1489</v>
      </c>
      <c r="D157" s="218" t="s">
        <v>1490</v>
      </c>
      <c r="E157" s="23" t="s">
        <v>138</v>
      </c>
      <c r="F157" s="17" t="s">
        <v>45</v>
      </c>
      <c r="G157" s="11" t="s">
        <v>1432</v>
      </c>
      <c r="H157" s="12">
        <v>22</v>
      </c>
      <c r="I157" s="11" t="s">
        <v>1433</v>
      </c>
      <c r="J157" s="193" t="s">
        <v>1460</v>
      </c>
      <c r="K157" s="17" t="s">
        <v>233</v>
      </c>
      <c r="L157" s="17" t="s">
        <v>233</v>
      </c>
      <c r="M157" s="231">
        <v>74</v>
      </c>
      <c r="N157" s="232">
        <v>74</v>
      </c>
      <c r="O157" s="231">
        <v>74</v>
      </c>
      <c r="P157" s="231" t="s">
        <v>239</v>
      </c>
      <c r="Q157" s="231">
        <v>74</v>
      </c>
      <c r="R157" s="231" t="s">
        <v>239</v>
      </c>
      <c r="S157" s="231">
        <v>74</v>
      </c>
      <c r="T157" s="231" t="s">
        <v>239</v>
      </c>
      <c r="U157" s="231">
        <v>74</v>
      </c>
      <c r="V157" s="230" t="s">
        <v>239</v>
      </c>
      <c r="W157" s="231">
        <v>74</v>
      </c>
      <c r="X157" s="231" t="s">
        <v>239</v>
      </c>
      <c r="Y157" s="231">
        <v>74</v>
      </c>
      <c r="Z157" s="231" t="s">
        <v>239</v>
      </c>
      <c r="AA157" s="231">
        <v>74</v>
      </c>
      <c r="AB157" s="231" t="s">
        <v>239</v>
      </c>
      <c r="AC157" s="231">
        <v>74</v>
      </c>
      <c r="AD157" s="231" t="s">
        <v>239</v>
      </c>
      <c r="AE157" s="231">
        <v>74</v>
      </c>
      <c r="AF157" s="231" t="s">
        <v>239</v>
      </c>
      <c r="AG157" s="231">
        <v>74</v>
      </c>
      <c r="AH157" s="231" t="s">
        <v>239</v>
      </c>
      <c r="AI157" s="231">
        <v>74</v>
      </c>
      <c r="AJ157" s="231" t="s">
        <v>239</v>
      </c>
      <c r="AK157" s="231">
        <v>74</v>
      </c>
      <c r="AL157" s="231" t="s">
        <v>239</v>
      </c>
      <c r="AM157" s="231">
        <v>0</v>
      </c>
    </row>
    <row r="158" spans="1:39" ht="15" customHeight="1" outlineLevel="1">
      <c r="A158" s="412"/>
      <c r="B158" s="10">
        <v>129074</v>
      </c>
      <c r="C158" s="218" t="s">
        <v>1489</v>
      </c>
      <c r="D158" s="218" t="s">
        <v>1490</v>
      </c>
      <c r="E158" s="23" t="s">
        <v>44</v>
      </c>
      <c r="F158" s="17" t="s">
        <v>45</v>
      </c>
      <c r="G158" s="11" t="s">
        <v>1432</v>
      </c>
      <c r="H158" s="12">
        <v>24</v>
      </c>
      <c r="I158" s="11" t="s">
        <v>1433</v>
      </c>
      <c r="J158" s="193" t="s">
        <v>1442</v>
      </c>
      <c r="K158" s="17" t="s">
        <v>233</v>
      </c>
      <c r="L158" s="17" t="s">
        <v>233</v>
      </c>
      <c r="M158" s="231">
        <v>6650</v>
      </c>
      <c r="N158" s="232">
        <v>6569.2689999999993</v>
      </c>
      <c r="O158" s="132">
        <v>946</v>
      </c>
      <c r="P158" s="231" t="s">
        <v>239</v>
      </c>
      <c r="Q158" s="231">
        <v>787</v>
      </c>
      <c r="R158" s="231" t="s">
        <v>239</v>
      </c>
      <c r="S158" s="231">
        <v>469</v>
      </c>
      <c r="T158" s="231" t="s">
        <v>239</v>
      </c>
      <c r="U158" s="231">
        <v>698</v>
      </c>
      <c r="V158" s="231" t="s">
        <v>239</v>
      </c>
      <c r="W158" s="231">
        <v>1149</v>
      </c>
      <c r="X158" s="231" t="s">
        <v>239</v>
      </c>
      <c r="Y158" s="231">
        <v>523</v>
      </c>
      <c r="Z158" s="231" t="s">
        <v>239</v>
      </c>
      <c r="AA158" s="231">
        <v>499</v>
      </c>
      <c r="AB158" s="231" t="s">
        <v>239</v>
      </c>
      <c r="AC158" s="231">
        <v>581</v>
      </c>
      <c r="AD158" s="231" t="s">
        <v>239</v>
      </c>
      <c r="AE158" s="231">
        <v>689</v>
      </c>
      <c r="AF158" s="231" t="s">
        <v>239</v>
      </c>
      <c r="AG158" s="231">
        <v>369</v>
      </c>
      <c r="AH158" s="231" t="s">
        <v>239</v>
      </c>
      <c r="AI158" s="231">
        <v>868</v>
      </c>
      <c r="AJ158" s="231" t="s">
        <v>239</v>
      </c>
      <c r="AK158" s="231">
        <v>651</v>
      </c>
      <c r="AL158" s="231" t="s">
        <v>239</v>
      </c>
      <c r="AM158" s="231">
        <v>8229</v>
      </c>
    </row>
    <row r="159" spans="1:39" ht="15" customHeight="1" outlineLevel="1">
      <c r="A159" s="411">
        <v>75</v>
      </c>
      <c r="B159" s="10">
        <v>129075</v>
      </c>
      <c r="C159" s="218" t="s">
        <v>1489</v>
      </c>
      <c r="D159" s="218" t="s">
        <v>1490</v>
      </c>
      <c r="E159" s="23" t="s">
        <v>44</v>
      </c>
      <c r="F159" s="17" t="s">
        <v>45</v>
      </c>
      <c r="G159" s="11" t="s">
        <v>1432</v>
      </c>
      <c r="H159" s="12">
        <v>16</v>
      </c>
      <c r="I159" s="11" t="s">
        <v>1433</v>
      </c>
      <c r="J159" s="193" t="s">
        <v>1460</v>
      </c>
      <c r="K159" s="17" t="s">
        <v>233</v>
      </c>
      <c r="L159" s="17" t="s">
        <v>233</v>
      </c>
      <c r="M159" s="231">
        <v>33</v>
      </c>
      <c r="N159" s="232">
        <v>33</v>
      </c>
      <c r="O159" s="231">
        <v>33</v>
      </c>
      <c r="P159" s="231" t="s">
        <v>239</v>
      </c>
      <c r="Q159" s="231">
        <v>33</v>
      </c>
      <c r="R159" s="231" t="s">
        <v>239</v>
      </c>
      <c r="S159" s="231">
        <v>33</v>
      </c>
      <c r="T159" s="231" t="s">
        <v>239</v>
      </c>
      <c r="U159" s="231">
        <v>33</v>
      </c>
      <c r="V159" s="231" t="s">
        <v>239</v>
      </c>
      <c r="W159" s="231">
        <v>33</v>
      </c>
      <c r="X159" s="231" t="s">
        <v>239</v>
      </c>
      <c r="Y159" s="231">
        <v>33</v>
      </c>
      <c r="Z159" s="231" t="s">
        <v>239</v>
      </c>
      <c r="AA159" s="231">
        <v>33</v>
      </c>
      <c r="AB159" s="231" t="s">
        <v>239</v>
      </c>
      <c r="AC159" s="231">
        <v>33</v>
      </c>
      <c r="AD159" s="231" t="s">
        <v>239</v>
      </c>
      <c r="AE159" s="231">
        <v>33</v>
      </c>
      <c r="AF159" s="231" t="s">
        <v>239</v>
      </c>
      <c r="AG159" s="231">
        <v>33</v>
      </c>
      <c r="AH159" s="231" t="s">
        <v>239</v>
      </c>
      <c r="AI159" s="231">
        <v>33</v>
      </c>
      <c r="AJ159" s="231" t="s">
        <v>239</v>
      </c>
      <c r="AK159" s="231">
        <v>33</v>
      </c>
      <c r="AL159" s="231" t="s">
        <v>239</v>
      </c>
      <c r="AM159" s="231">
        <v>0</v>
      </c>
    </row>
    <row r="160" spans="1:39" ht="15" customHeight="1" outlineLevel="1">
      <c r="A160" s="412"/>
      <c r="B160" s="10">
        <v>129075</v>
      </c>
      <c r="C160" s="218" t="s">
        <v>1489</v>
      </c>
      <c r="D160" s="218" t="s">
        <v>1490</v>
      </c>
      <c r="E160" s="23" t="s">
        <v>138</v>
      </c>
      <c r="F160" s="17" t="s">
        <v>45</v>
      </c>
      <c r="G160" s="11" t="s">
        <v>1432</v>
      </c>
      <c r="H160" s="12">
        <v>5</v>
      </c>
      <c r="I160" s="11" t="s">
        <v>1433</v>
      </c>
      <c r="J160" s="193" t="s">
        <v>1457</v>
      </c>
      <c r="K160" s="17" t="s">
        <v>233</v>
      </c>
      <c r="L160" s="17" t="s">
        <v>233</v>
      </c>
      <c r="M160" s="231">
        <v>14443</v>
      </c>
      <c r="N160" s="232">
        <v>14267.661979999999</v>
      </c>
      <c r="O160" s="132">
        <v>1069</v>
      </c>
      <c r="P160" s="231" t="s">
        <v>239</v>
      </c>
      <c r="Q160" s="231">
        <v>879</v>
      </c>
      <c r="R160" s="231" t="s">
        <v>239</v>
      </c>
      <c r="S160" s="231">
        <v>968</v>
      </c>
      <c r="T160" s="231" t="s">
        <v>239</v>
      </c>
      <c r="U160" s="231">
        <v>641</v>
      </c>
      <c r="V160" s="230" t="s">
        <v>239</v>
      </c>
      <c r="W160" s="231">
        <v>776</v>
      </c>
      <c r="X160" s="231" t="s">
        <v>239</v>
      </c>
      <c r="Y160" s="231">
        <v>1124</v>
      </c>
      <c r="Z160" s="231" t="s">
        <v>239</v>
      </c>
      <c r="AA160" s="231">
        <v>579</v>
      </c>
      <c r="AB160" s="231" t="s">
        <v>239</v>
      </c>
      <c r="AC160" s="231">
        <v>374</v>
      </c>
      <c r="AD160" s="231" t="s">
        <v>239</v>
      </c>
      <c r="AE160" s="231">
        <v>1753</v>
      </c>
      <c r="AF160" s="231" t="s">
        <v>239</v>
      </c>
      <c r="AG160" s="231">
        <v>720</v>
      </c>
      <c r="AH160" s="231" t="s">
        <v>239</v>
      </c>
      <c r="AI160" s="231">
        <v>526</v>
      </c>
      <c r="AJ160" s="231" t="s">
        <v>239</v>
      </c>
      <c r="AK160" s="231">
        <v>591</v>
      </c>
      <c r="AL160" s="231" t="s">
        <v>239</v>
      </c>
      <c r="AM160" s="231">
        <v>10000</v>
      </c>
    </row>
    <row r="161" spans="1:39" ht="15" customHeight="1" outlineLevel="1">
      <c r="A161" s="411">
        <v>76</v>
      </c>
      <c r="B161" s="10">
        <v>129076</v>
      </c>
      <c r="C161" s="218" t="s">
        <v>1489</v>
      </c>
      <c r="D161" s="218" t="s">
        <v>1490</v>
      </c>
      <c r="E161" s="23" t="s">
        <v>44</v>
      </c>
      <c r="F161" s="17" t="s">
        <v>45</v>
      </c>
      <c r="G161" s="11" t="s">
        <v>1432</v>
      </c>
      <c r="H161" s="12">
        <v>17</v>
      </c>
      <c r="I161" s="11" t="s">
        <v>1433</v>
      </c>
      <c r="J161" s="193" t="s">
        <v>617</v>
      </c>
      <c r="K161" s="17" t="s">
        <v>233</v>
      </c>
      <c r="L161" s="17" t="s">
        <v>233</v>
      </c>
      <c r="M161" s="231">
        <v>22</v>
      </c>
      <c r="N161" s="232">
        <v>22</v>
      </c>
      <c r="O161" s="231">
        <v>22</v>
      </c>
      <c r="P161" s="231" t="s">
        <v>239</v>
      </c>
      <c r="Q161" s="231">
        <v>22</v>
      </c>
      <c r="R161" s="231" t="s">
        <v>239</v>
      </c>
      <c r="S161" s="231">
        <v>22</v>
      </c>
      <c r="T161" s="231" t="s">
        <v>239</v>
      </c>
      <c r="U161" s="231">
        <v>22</v>
      </c>
      <c r="V161" s="231" t="s">
        <v>239</v>
      </c>
      <c r="W161" s="231">
        <v>22</v>
      </c>
      <c r="X161" s="231" t="s">
        <v>239</v>
      </c>
      <c r="Y161" s="231">
        <v>22</v>
      </c>
      <c r="Z161" s="231" t="s">
        <v>239</v>
      </c>
      <c r="AA161" s="231">
        <v>22</v>
      </c>
      <c r="AB161" s="231" t="s">
        <v>239</v>
      </c>
      <c r="AC161" s="231">
        <v>22</v>
      </c>
      <c r="AD161" s="231" t="s">
        <v>239</v>
      </c>
      <c r="AE161" s="231">
        <v>22</v>
      </c>
      <c r="AF161" s="231" t="s">
        <v>239</v>
      </c>
      <c r="AG161" s="231">
        <v>22</v>
      </c>
      <c r="AH161" s="231" t="s">
        <v>239</v>
      </c>
      <c r="AI161" s="231">
        <v>22</v>
      </c>
      <c r="AJ161" s="231" t="s">
        <v>239</v>
      </c>
      <c r="AK161" s="231">
        <v>22</v>
      </c>
      <c r="AL161" s="231" t="s">
        <v>239</v>
      </c>
      <c r="AM161" s="231">
        <v>0</v>
      </c>
    </row>
    <row r="162" spans="1:39" ht="15" customHeight="1" outlineLevel="1">
      <c r="A162" s="412"/>
      <c r="B162" s="10">
        <v>129076</v>
      </c>
      <c r="C162" s="218" t="s">
        <v>1489</v>
      </c>
      <c r="D162" s="218" t="s">
        <v>1490</v>
      </c>
      <c r="E162" s="23" t="s">
        <v>138</v>
      </c>
      <c r="F162" s="17" t="s">
        <v>45</v>
      </c>
      <c r="G162" s="11" t="s">
        <v>1432</v>
      </c>
      <c r="H162" s="12">
        <v>19</v>
      </c>
      <c r="I162" s="11" t="s">
        <v>1433</v>
      </c>
      <c r="J162" s="193" t="s">
        <v>216</v>
      </c>
      <c r="K162" s="17" t="s">
        <v>233</v>
      </c>
      <c r="L162" s="17" t="s">
        <v>233</v>
      </c>
      <c r="M162" s="231">
        <v>5407</v>
      </c>
      <c r="N162" s="232">
        <v>5341.3590199999999</v>
      </c>
      <c r="O162" s="132">
        <v>406</v>
      </c>
      <c r="P162" s="231" t="s">
        <v>239</v>
      </c>
      <c r="Q162" s="231">
        <v>347</v>
      </c>
      <c r="R162" s="231" t="s">
        <v>239</v>
      </c>
      <c r="S162" s="231">
        <v>398</v>
      </c>
      <c r="T162" s="231" t="s">
        <v>239</v>
      </c>
      <c r="U162" s="231">
        <v>375</v>
      </c>
      <c r="V162" s="231" t="s">
        <v>239</v>
      </c>
      <c r="W162" s="231">
        <v>392</v>
      </c>
      <c r="X162" s="231" t="s">
        <v>239</v>
      </c>
      <c r="Y162" s="231">
        <v>389</v>
      </c>
      <c r="Z162" s="231" t="s">
        <v>239</v>
      </c>
      <c r="AA162" s="231">
        <v>75544</v>
      </c>
      <c r="AB162" s="231" t="s">
        <v>239</v>
      </c>
      <c r="AC162" s="231">
        <v>574</v>
      </c>
      <c r="AD162" s="231" t="s">
        <v>239</v>
      </c>
      <c r="AE162" s="231">
        <v>238</v>
      </c>
      <c r="AF162" s="231" t="s">
        <v>239</v>
      </c>
      <c r="AG162" s="231">
        <v>389</v>
      </c>
      <c r="AH162" s="231" t="s">
        <v>239</v>
      </c>
      <c r="AI162" s="231">
        <v>103</v>
      </c>
      <c r="AJ162" s="231" t="s">
        <v>239</v>
      </c>
      <c r="AK162" s="231">
        <v>516</v>
      </c>
      <c r="AL162" s="231" t="s">
        <v>239</v>
      </c>
      <c r="AM162" s="231">
        <v>79671</v>
      </c>
    </row>
    <row r="163" spans="1:39" ht="15" customHeight="1" outlineLevel="1">
      <c r="A163" s="411">
        <v>77</v>
      </c>
      <c r="B163" s="10">
        <v>129077</v>
      </c>
      <c r="C163" s="218" t="s">
        <v>1489</v>
      </c>
      <c r="D163" s="218" t="s">
        <v>1490</v>
      </c>
      <c r="E163" s="23" t="s">
        <v>44</v>
      </c>
      <c r="F163" s="17" t="s">
        <v>45</v>
      </c>
      <c r="G163" s="11" t="s">
        <v>1432</v>
      </c>
      <c r="H163" s="12">
        <v>18</v>
      </c>
      <c r="I163" s="11" t="s">
        <v>1433</v>
      </c>
      <c r="J163" s="192" t="s">
        <v>1446</v>
      </c>
      <c r="K163" s="17" t="s">
        <v>233</v>
      </c>
      <c r="L163" s="17" t="s">
        <v>233</v>
      </c>
      <c r="M163" s="231">
        <v>22</v>
      </c>
      <c r="N163" s="232">
        <v>22</v>
      </c>
      <c r="O163" s="231">
        <v>22</v>
      </c>
      <c r="P163" s="231" t="s">
        <v>239</v>
      </c>
      <c r="Q163" s="231">
        <v>22</v>
      </c>
      <c r="R163" s="231" t="s">
        <v>239</v>
      </c>
      <c r="S163" s="231">
        <v>22</v>
      </c>
      <c r="T163" s="231" t="s">
        <v>239</v>
      </c>
      <c r="U163" s="231">
        <v>22</v>
      </c>
      <c r="V163" s="230" t="s">
        <v>239</v>
      </c>
      <c r="W163" s="231">
        <v>22</v>
      </c>
      <c r="X163" s="231" t="s">
        <v>239</v>
      </c>
      <c r="Y163" s="231">
        <v>22</v>
      </c>
      <c r="Z163" s="231" t="s">
        <v>239</v>
      </c>
      <c r="AA163" s="231">
        <v>22</v>
      </c>
      <c r="AB163" s="231" t="s">
        <v>239</v>
      </c>
      <c r="AC163" s="231">
        <v>22</v>
      </c>
      <c r="AD163" s="231" t="s">
        <v>239</v>
      </c>
      <c r="AE163" s="231">
        <v>22</v>
      </c>
      <c r="AF163" s="231" t="s">
        <v>239</v>
      </c>
      <c r="AG163" s="231">
        <v>22</v>
      </c>
      <c r="AH163" s="231" t="s">
        <v>239</v>
      </c>
      <c r="AI163" s="231">
        <v>22</v>
      </c>
      <c r="AJ163" s="231" t="s">
        <v>239</v>
      </c>
      <c r="AK163" s="231">
        <v>22</v>
      </c>
      <c r="AL163" s="231" t="s">
        <v>239</v>
      </c>
      <c r="AM163" s="231">
        <v>0</v>
      </c>
    </row>
    <row r="164" spans="1:39" ht="15" customHeight="1" outlineLevel="1">
      <c r="A164" s="412"/>
      <c r="B164" s="10">
        <v>129077</v>
      </c>
      <c r="C164" s="218" t="s">
        <v>1489</v>
      </c>
      <c r="D164" s="218" t="s">
        <v>1490</v>
      </c>
      <c r="E164" s="23" t="s">
        <v>44</v>
      </c>
      <c r="F164" s="17" t="s">
        <v>45</v>
      </c>
      <c r="G164" s="11" t="s">
        <v>1432</v>
      </c>
      <c r="H164" s="12">
        <v>13</v>
      </c>
      <c r="I164" s="11" t="s">
        <v>1433</v>
      </c>
      <c r="J164" s="192" t="s">
        <v>1481</v>
      </c>
      <c r="K164" s="17" t="s">
        <v>233</v>
      </c>
      <c r="L164" s="17" t="s">
        <v>233</v>
      </c>
      <c r="M164" s="231">
        <v>0</v>
      </c>
      <c r="N164" s="232">
        <v>0</v>
      </c>
      <c r="O164" s="132">
        <v>0</v>
      </c>
      <c r="P164" s="231" t="s">
        <v>239</v>
      </c>
      <c r="Q164" s="231">
        <v>0</v>
      </c>
      <c r="R164" s="231" t="s">
        <v>239</v>
      </c>
      <c r="S164" s="231">
        <v>0</v>
      </c>
      <c r="T164" s="231" t="s">
        <v>239</v>
      </c>
      <c r="U164" s="231">
        <v>0</v>
      </c>
      <c r="V164" s="231" t="s">
        <v>239</v>
      </c>
      <c r="W164" s="231">
        <v>0</v>
      </c>
      <c r="X164" s="231" t="s">
        <v>239</v>
      </c>
      <c r="Y164" s="231">
        <v>0</v>
      </c>
      <c r="Z164" s="231" t="s">
        <v>239</v>
      </c>
      <c r="AA164" s="231">
        <v>0</v>
      </c>
      <c r="AB164" s="231" t="s">
        <v>239</v>
      </c>
      <c r="AC164" s="231">
        <v>0</v>
      </c>
      <c r="AD164" s="231" t="s">
        <v>239</v>
      </c>
      <c r="AE164" s="231">
        <v>0</v>
      </c>
      <c r="AF164" s="231" t="s">
        <v>239</v>
      </c>
      <c r="AG164" s="231">
        <v>0</v>
      </c>
      <c r="AH164" s="231" t="s">
        <v>239</v>
      </c>
      <c r="AI164" s="231">
        <v>0</v>
      </c>
      <c r="AJ164" s="231" t="s">
        <v>239</v>
      </c>
      <c r="AK164" s="231">
        <v>0</v>
      </c>
      <c r="AL164" s="231" t="s">
        <v>239</v>
      </c>
      <c r="AM164" s="231">
        <v>0</v>
      </c>
    </row>
    <row r="165" spans="1:39" ht="15" customHeight="1" outlineLevel="1">
      <c r="A165" s="411">
        <v>78</v>
      </c>
      <c r="B165" s="10">
        <v>129078</v>
      </c>
      <c r="C165" s="218" t="s">
        <v>1489</v>
      </c>
      <c r="D165" s="218" t="s">
        <v>1490</v>
      </c>
      <c r="E165" s="23" t="s">
        <v>138</v>
      </c>
      <c r="F165" s="17" t="s">
        <v>45</v>
      </c>
      <c r="G165" s="11" t="s">
        <v>1432</v>
      </c>
      <c r="H165" s="12">
        <v>21</v>
      </c>
      <c r="I165" s="11" t="s">
        <v>1433</v>
      </c>
      <c r="J165" s="192" t="s">
        <v>208</v>
      </c>
      <c r="K165" s="17" t="s">
        <v>233</v>
      </c>
      <c r="L165" s="17" t="s">
        <v>233</v>
      </c>
      <c r="M165" s="231">
        <v>10</v>
      </c>
      <c r="N165" s="232">
        <v>10</v>
      </c>
      <c r="O165" s="231">
        <v>10</v>
      </c>
      <c r="P165" s="231" t="s">
        <v>239</v>
      </c>
      <c r="Q165" s="231">
        <v>10</v>
      </c>
      <c r="R165" s="231" t="s">
        <v>239</v>
      </c>
      <c r="S165" s="231">
        <v>10</v>
      </c>
      <c r="T165" s="231" t="s">
        <v>239</v>
      </c>
      <c r="U165" s="231">
        <v>10</v>
      </c>
      <c r="V165" s="231" t="s">
        <v>239</v>
      </c>
      <c r="W165" s="231">
        <v>10</v>
      </c>
      <c r="X165" s="231" t="s">
        <v>239</v>
      </c>
      <c r="Y165" s="231">
        <v>10</v>
      </c>
      <c r="Z165" s="231" t="s">
        <v>239</v>
      </c>
      <c r="AA165" s="231">
        <v>10</v>
      </c>
      <c r="AB165" s="231" t="s">
        <v>239</v>
      </c>
      <c r="AC165" s="231">
        <v>10</v>
      </c>
      <c r="AD165" s="231" t="s">
        <v>239</v>
      </c>
      <c r="AE165" s="231">
        <v>10</v>
      </c>
      <c r="AF165" s="231" t="s">
        <v>239</v>
      </c>
      <c r="AG165" s="231">
        <v>10</v>
      </c>
      <c r="AH165" s="231" t="s">
        <v>239</v>
      </c>
      <c r="AI165" s="231">
        <v>10</v>
      </c>
      <c r="AJ165" s="231" t="s">
        <v>239</v>
      </c>
      <c r="AK165" s="231">
        <v>10</v>
      </c>
      <c r="AL165" s="231" t="s">
        <v>239</v>
      </c>
      <c r="AM165" s="231">
        <v>0</v>
      </c>
    </row>
    <row r="166" spans="1:39" ht="15" customHeight="1" outlineLevel="1">
      <c r="A166" s="412"/>
      <c r="B166" s="10">
        <v>129078</v>
      </c>
      <c r="C166" s="218" t="s">
        <v>1489</v>
      </c>
      <c r="D166" s="218" t="s">
        <v>1490</v>
      </c>
      <c r="E166" s="23" t="s">
        <v>44</v>
      </c>
      <c r="F166" s="17" t="s">
        <v>45</v>
      </c>
      <c r="G166" s="11" t="s">
        <v>1432</v>
      </c>
      <c r="H166" s="12">
        <v>19</v>
      </c>
      <c r="I166" s="11" t="s">
        <v>1433</v>
      </c>
      <c r="J166" s="192" t="s">
        <v>1463</v>
      </c>
      <c r="K166" s="17" t="s">
        <v>233</v>
      </c>
      <c r="L166" s="17" t="s">
        <v>233</v>
      </c>
      <c r="M166" s="231">
        <v>33384</v>
      </c>
      <c r="N166" s="232">
        <v>32978.718240000002</v>
      </c>
      <c r="O166" s="132">
        <v>855</v>
      </c>
      <c r="P166" s="231" t="s">
        <v>239</v>
      </c>
      <c r="Q166" s="231">
        <v>1305</v>
      </c>
      <c r="R166" s="231" t="s">
        <v>239</v>
      </c>
      <c r="S166" s="231">
        <v>1287</v>
      </c>
      <c r="T166" s="231" t="s">
        <v>239</v>
      </c>
      <c r="U166" s="231">
        <v>1232</v>
      </c>
      <c r="V166" s="230" t="s">
        <v>239</v>
      </c>
      <c r="W166" s="231">
        <v>924</v>
      </c>
      <c r="X166" s="231" t="s">
        <v>239</v>
      </c>
      <c r="Y166" s="231">
        <v>772</v>
      </c>
      <c r="Z166" s="231" t="s">
        <v>239</v>
      </c>
      <c r="AA166" s="231">
        <v>640</v>
      </c>
      <c r="AB166" s="231" t="s">
        <v>239</v>
      </c>
      <c r="AC166" s="231">
        <v>794</v>
      </c>
      <c r="AD166" s="231" t="s">
        <v>239</v>
      </c>
      <c r="AE166" s="231">
        <v>816</v>
      </c>
      <c r="AF166" s="231" t="s">
        <v>239</v>
      </c>
      <c r="AG166" s="231">
        <v>3109</v>
      </c>
      <c r="AH166" s="231" t="s">
        <v>239</v>
      </c>
      <c r="AI166" s="231">
        <v>719</v>
      </c>
      <c r="AJ166" s="231" t="s">
        <v>239</v>
      </c>
      <c r="AK166" s="231">
        <v>771</v>
      </c>
      <c r="AL166" s="231" t="s">
        <v>239</v>
      </c>
      <c r="AM166" s="231">
        <v>13224</v>
      </c>
    </row>
    <row r="167" spans="1:39" ht="15" customHeight="1" outlineLevel="1">
      <c r="A167" s="411">
        <v>79</v>
      </c>
      <c r="B167" s="10">
        <v>129079</v>
      </c>
      <c r="C167" s="218" t="s">
        <v>1489</v>
      </c>
      <c r="D167" s="218" t="s">
        <v>1490</v>
      </c>
      <c r="E167" s="23" t="s">
        <v>138</v>
      </c>
      <c r="F167" s="17" t="s">
        <v>45</v>
      </c>
      <c r="G167" s="11" t="s">
        <v>1432</v>
      </c>
      <c r="H167" s="12">
        <v>30</v>
      </c>
      <c r="I167" s="11" t="s">
        <v>1433</v>
      </c>
      <c r="J167" s="192" t="s">
        <v>1482</v>
      </c>
      <c r="K167" s="17" t="s">
        <v>233</v>
      </c>
      <c r="L167" s="17" t="s">
        <v>233</v>
      </c>
      <c r="M167" s="231">
        <v>6</v>
      </c>
      <c r="N167" s="232">
        <v>6</v>
      </c>
      <c r="O167" s="231">
        <v>6</v>
      </c>
      <c r="P167" s="231" t="s">
        <v>239</v>
      </c>
      <c r="Q167" s="231">
        <v>6</v>
      </c>
      <c r="R167" s="231" t="s">
        <v>239</v>
      </c>
      <c r="S167" s="231">
        <v>6</v>
      </c>
      <c r="T167" s="231" t="s">
        <v>239</v>
      </c>
      <c r="U167" s="231">
        <v>6</v>
      </c>
      <c r="V167" s="231" t="s">
        <v>239</v>
      </c>
      <c r="W167" s="231">
        <v>6</v>
      </c>
      <c r="X167" s="231" t="s">
        <v>239</v>
      </c>
      <c r="Y167" s="231">
        <v>6</v>
      </c>
      <c r="Z167" s="231" t="s">
        <v>239</v>
      </c>
      <c r="AA167" s="231">
        <v>6</v>
      </c>
      <c r="AB167" s="231" t="s">
        <v>239</v>
      </c>
      <c r="AC167" s="231">
        <v>6</v>
      </c>
      <c r="AD167" s="231" t="s">
        <v>239</v>
      </c>
      <c r="AE167" s="231">
        <v>6</v>
      </c>
      <c r="AF167" s="231" t="s">
        <v>239</v>
      </c>
      <c r="AG167" s="231">
        <v>6</v>
      </c>
      <c r="AH167" s="231" t="s">
        <v>239</v>
      </c>
      <c r="AI167" s="231">
        <v>6</v>
      </c>
      <c r="AJ167" s="231" t="s">
        <v>239</v>
      </c>
      <c r="AK167" s="231">
        <v>6</v>
      </c>
      <c r="AL167" s="231" t="s">
        <v>239</v>
      </c>
      <c r="AM167" s="231">
        <v>0</v>
      </c>
    </row>
    <row r="168" spans="1:39" ht="15" customHeight="1" outlineLevel="1">
      <c r="A168" s="412"/>
      <c r="B168" s="10">
        <v>129079</v>
      </c>
      <c r="C168" s="218" t="s">
        <v>1489</v>
      </c>
      <c r="D168" s="218" t="s">
        <v>1490</v>
      </c>
      <c r="E168" s="23" t="s">
        <v>44</v>
      </c>
      <c r="F168" s="17" t="s">
        <v>45</v>
      </c>
      <c r="G168" s="11" t="s">
        <v>1432</v>
      </c>
      <c r="H168" s="12">
        <v>33</v>
      </c>
      <c r="I168" s="11" t="s">
        <v>1433</v>
      </c>
      <c r="J168" s="192" t="s">
        <v>1462</v>
      </c>
      <c r="K168" s="17" t="s">
        <v>233</v>
      </c>
      <c r="L168" s="17" t="s">
        <v>233</v>
      </c>
      <c r="M168" s="231">
        <v>3770</v>
      </c>
      <c r="N168" s="232">
        <v>3724.2321999999999</v>
      </c>
      <c r="O168" s="132">
        <v>163</v>
      </c>
      <c r="P168" s="231" t="s">
        <v>239</v>
      </c>
      <c r="Q168" s="231">
        <v>29</v>
      </c>
      <c r="R168" s="231" t="s">
        <v>239</v>
      </c>
      <c r="S168" s="231">
        <v>398</v>
      </c>
      <c r="T168" s="231" t="s">
        <v>239</v>
      </c>
      <c r="U168" s="231">
        <v>30</v>
      </c>
      <c r="V168" s="231" t="s">
        <v>239</v>
      </c>
      <c r="W168" s="231">
        <v>87</v>
      </c>
      <c r="X168" s="231" t="s">
        <v>239</v>
      </c>
      <c r="Y168" s="231">
        <v>0</v>
      </c>
      <c r="Z168" s="231" t="s">
        <v>239</v>
      </c>
      <c r="AA168" s="231">
        <v>0</v>
      </c>
      <c r="AB168" s="231" t="s">
        <v>239</v>
      </c>
      <c r="AC168" s="231">
        <v>0</v>
      </c>
      <c r="AD168" s="231" t="s">
        <v>239</v>
      </c>
      <c r="AE168" s="231">
        <v>174</v>
      </c>
      <c r="AF168" s="231" t="s">
        <v>239</v>
      </c>
      <c r="AG168" s="231">
        <v>0</v>
      </c>
      <c r="AH168" s="231" t="s">
        <v>239</v>
      </c>
      <c r="AI168" s="231">
        <v>0</v>
      </c>
      <c r="AJ168" s="231" t="s">
        <v>239</v>
      </c>
      <c r="AK168" s="231">
        <v>0</v>
      </c>
      <c r="AL168" s="231" t="s">
        <v>239</v>
      </c>
      <c r="AM168" s="231">
        <v>881</v>
      </c>
    </row>
    <row r="169" spans="1:39" ht="15" customHeight="1" outlineLevel="1">
      <c r="A169" s="411">
        <v>80</v>
      </c>
      <c r="B169" s="10">
        <v>129080</v>
      </c>
      <c r="C169" s="218" t="s">
        <v>1489</v>
      </c>
      <c r="D169" s="218" t="s">
        <v>1490</v>
      </c>
      <c r="E169" s="23" t="s">
        <v>44</v>
      </c>
      <c r="F169" s="17" t="s">
        <v>45</v>
      </c>
      <c r="G169" s="11" t="s">
        <v>1432</v>
      </c>
      <c r="H169" s="12">
        <v>19</v>
      </c>
      <c r="I169" s="11" t="s">
        <v>1433</v>
      </c>
      <c r="J169" s="192" t="s">
        <v>1457</v>
      </c>
      <c r="K169" s="17" t="s">
        <v>233</v>
      </c>
      <c r="L169" s="17" t="s">
        <v>233</v>
      </c>
      <c r="M169" s="231">
        <v>1</v>
      </c>
      <c r="N169" s="232">
        <v>1</v>
      </c>
      <c r="O169" s="231">
        <v>1</v>
      </c>
      <c r="P169" s="231" t="s">
        <v>239</v>
      </c>
      <c r="Q169" s="231">
        <v>1</v>
      </c>
      <c r="R169" s="231" t="s">
        <v>239</v>
      </c>
      <c r="S169" s="231">
        <v>1</v>
      </c>
      <c r="T169" s="231" t="s">
        <v>239</v>
      </c>
      <c r="U169" s="231">
        <v>1</v>
      </c>
      <c r="V169" s="230" t="s">
        <v>239</v>
      </c>
      <c r="W169" s="231">
        <v>1</v>
      </c>
      <c r="X169" s="231" t="s">
        <v>239</v>
      </c>
      <c r="Y169" s="231">
        <v>1</v>
      </c>
      <c r="Z169" s="231" t="s">
        <v>239</v>
      </c>
      <c r="AA169" s="231">
        <v>1</v>
      </c>
      <c r="AB169" s="231" t="s">
        <v>239</v>
      </c>
      <c r="AC169" s="231">
        <v>1</v>
      </c>
      <c r="AD169" s="231" t="s">
        <v>239</v>
      </c>
      <c r="AE169" s="231">
        <v>1</v>
      </c>
      <c r="AF169" s="231" t="s">
        <v>239</v>
      </c>
      <c r="AG169" s="231">
        <v>1</v>
      </c>
      <c r="AH169" s="231" t="s">
        <v>239</v>
      </c>
      <c r="AI169" s="231">
        <v>1</v>
      </c>
      <c r="AJ169" s="231" t="s">
        <v>239</v>
      </c>
      <c r="AK169" s="231">
        <v>1</v>
      </c>
      <c r="AL169" s="231" t="s">
        <v>239</v>
      </c>
      <c r="AM169" s="231">
        <v>0</v>
      </c>
    </row>
    <row r="170" spans="1:39" ht="15" customHeight="1" outlineLevel="1">
      <c r="A170" s="412"/>
      <c r="B170" s="10">
        <v>129080</v>
      </c>
      <c r="C170" s="218" t="s">
        <v>1489</v>
      </c>
      <c r="D170" s="218" t="s">
        <v>1490</v>
      </c>
      <c r="E170" s="23" t="s">
        <v>138</v>
      </c>
      <c r="F170" s="17" t="s">
        <v>45</v>
      </c>
      <c r="G170" s="11" t="s">
        <v>1432</v>
      </c>
      <c r="H170" s="12">
        <v>6</v>
      </c>
      <c r="I170" s="11" t="s">
        <v>1433</v>
      </c>
      <c r="J170" s="192" t="s">
        <v>617</v>
      </c>
      <c r="K170" s="17" t="s">
        <v>233</v>
      </c>
      <c r="L170" s="17" t="s">
        <v>233</v>
      </c>
      <c r="M170" s="231">
        <v>4868</v>
      </c>
      <c r="N170" s="232">
        <v>4808.9024799999997</v>
      </c>
      <c r="O170" s="132">
        <v>551</v>
      </c>
      <c r="P170" s="231" t="s">
        <v>239</v>
      </c>
      <c r="Q170" s="231">
        <v>35</v>
      </c>
      <c r="R170" s="231" t="s">
        <v>239</v>
      </c>
      <c r="S170" s="231">
        <v>93</v>
      </c>
      <c r="T170" s="231" t="s">
        <v>239</v>
      </c>
      <c r="U170" s="231">
        <v>75</v>
      </c>
      <c r="V170" s="231" t="s">
        <v>239</v>
      </c>
      <c r="W170" s="231">
        <v>68</v>
      </c>
      <c r="X170" s="231" t="s">
        <v>239</v>
      </c>
      <c r="Y170" s="231">
        <v>86</v>
      </c>
      <c r="Z170" s="231" t="s">
        <v>239</v>
      </c>
      <c r="AA170" s="231">
        <v>107</v>
      </c>
      <c r="AB170" s="231" t="s">
        <v>239</v>
      </c>
      <c r="AC170" s="231">
        <v>107</v>
      </c>
      <c r="AD170" s="231" t="s">
        <v>239</v>
      </c>
      <c r="AE170" s="231">
        <v>0</v>
      </c>
      <c r="AF170" s="231" t="s">
        <v>239</v>
      </c>
      <c r="AG170" s="231">
        <v>158</v>
      </c>
      <c r="AH170" s="231" t="s">
        <v>239</v>
      </c>
      <c r="AI170" s="231">
        <v>110</v>
      </c>
      <c r="AJ170" s="231" t="s">
        <v>239</v>
      </c>
      <c r="AK170" s="231">
        <v>128</v>
      </c>
      <c r="AL170" s="231" t="s">
        <v>239</v>
      </c>
      <c r="AM170" s="231">
        <v>1518</v>
      </c>
    </row>
    <row r="171" spans="1:39" ht="15" customHeight="1" outlineLevel="1">
      <c r="A171" s="411">
        <v>81</v>
      </c>
      <c r="B171" s="10">
        <v>129081</v>
      </c>
      <c r="C171" s="218" t="s">
        <v>1489</v>
      </c>
      <c r="D171" s="218" t="s">
        <v>1490</v>
      </c>
      <c r="E171" s="23" t="s">
        <v>44</v>
      </c>
      <c r="F171" s="17" t="s">
        <v>45</v>
      </c>
      <c r="G171" s="11" t="s">
        <v>1432</v>
      </c>
      <c r="H171" s="12">
        <v>15</v>
      </c>
      <c r="I171" s="11" t="s">
        <v>1433</v>
      </c>
      <c r="J171" s="374" t="s">
        <v>1457</v>
      </c>
      <c r="K171" s="17" t="s">
        <v>233</v>
      </c>
      <c r="L171" s="17" t="s">
        <v>233</v>
      </c>
      <c r="M171" s="231">
        <v>1</v>
      </c>
      <c r="N171" s="232">
        <v>1</v>
      </c>
      <c r="O171" s="231">
        <v>1</v>
      </c>
      <c r="P171" s="231" t="s">
        <v>239</v>
      </c>
      <c r="Q171" s="231">
        <v>1</v>
      </c>
      <c r="R171" s="231" t="s">
        <v>239</v>
      </c>
      <c r="S171" s="231">
        <v>1</v>
      </c>
      <c r="T171" s="231" t="s">
        <v>239</v>
      </c>
      <c r="U171" s="231">
        <v>1</v>
      </c>
      <c r="V171" s="231" t="s">
        <v>239</v>
      </c>
      <c r="W171" s="231">
        <v>1</v>
      </c>
      <c r="X171" s="231" t="s">
        <v>239</v>
      </c>
      <c r="Y171" s="231">
        <v>1</v>
      </c>
      <c r="Z171" s="231" t="s">
        <v>239</v>
      </c>
      <c r="AA171" s="231">
        <v>1</v>
      </c>
      <c r="AB171" s="231" t="s">
        <v>239</v>
      </c>
      <c r="AC171" s="231">
        <v>1</v>
      </c>
      <c r="AD171" s="231" t="s">
        <v>239</v>
      </c>
      <c r="AE171" s="231">
        <v>1</v>
      </c>
      <c r="AF171" s="231" t="s">
        <v>239</v>
      </c>
      <c r="AG171" s="231">
        <v>1</v>
      </c>
      <c r="AH171" s="231" t="s">
        <v>239</v>
      </c>
      <c r="AI171" s="231">
        <v>1</v>
      </c>
      <c r="AJ171" s="231" t="s">
        <v>239</v>
      </c>
      <c r="AK171" s="231">
        <v>1</v>
      </c>
      <c r="AL171" s="231" t="s">
        <v>239</v>
      </c>
      <c r="AM171" s="231">
        <v>0</v>
      </c>
    </row>
    <row r="172" spans="1:39" ht="15" customHeight="1" outlineLevel="1">
      <c r="A172" s="412"/>
      <c r="B172" s="10">
        <v>129081</v>
      </c>
      <c r="C172" s="218" t="s">
        <v>1489</v>
      </c>
      <c r="D172" s="218" t="s">
        <v>1490</v>
      </c>
      <c r="E172" s="23" t="s">
        <v>138</v>
      </c>
      <c r="F172" s="17" t="s">
        <v>45</v>
      </c>
      <c r="G172" s="11" t="s">
        <v>1432</v>
      </c>
      <c r="H172" s="12">
        <v>19</v>
      </c>
      <c r="I172" s="11" t="s">
        <v>1433</v>
      </c>
      <c r="J172" s="375"/>
      <c r="K172" s="17" t="s">
        <v>233</v>
      </c>
      <c r="L172" s="17" t="s">
        <v>233</v>
      </c>
      <c r="M172" s="231">
        <v>1556</v>
      </c>
      <c r="N172" s="232">
        <v>1537.11016</v>
      </c>
      <c r="O172" s="132">
        <v>44</v>
      </c>
      <c r="P172" s="231" t="s">
        <v>239</v>
      </c>
      <c r="Q172" s="231">
        <v>98</v>
      </c>
      <c r="R172" s="231" t="s">
        <v>239</v>
      </c>
      <c r="S172" s="231">
        <v>130</v>
      </c>
      <c r="T172" s="231" t="s">
        <v>239</v>
      </c>
      <c r="U172" s="231">
        <v>10</v>
      </c>
      <c r="V172" s="230" t="s">
        <v>239</v>
      </c>
      <c r="W172" s="231">
        <v>9</v>
      </c>
      <c r="X172" s="231" t="s">
        <v>239</v>
      </c>
      <c r="Y172" s="231">
        <v>85</v>
      </c>
      <c r="Z172" s="231" t="s">
        <v>239</v>
      </c>
      <c r="AA172" s="231">
        <v>154</v>
      </c>
      <c r="AB172" s="231" t="s">
        <v>239</v>
      </c>
      <c r="AC172" s="231">
        <v>130</v>
      </c>
      <c r="AD172" s="231" t="s">
        <v>239</v>
      </c>
      <c r="AE172" s="231">
        <v>157</v>
      </c>
      <c r="AF172" s="231" t="s">
        <v>239</v>
      </c>
      <c r="AG172" s="231">
        <v>488</v>
      </c>
      <c r="AH172" s="231" t="s">
        <v>239</v>
      </c>
      <c r="AI172" s="231">
        <v>152</v>
      </c>
      <c r="AJ172" s="231" t="s">
        <v>239</v>
      </c>
      <c r="AK172" s="231">
        <v>435</v>
      </c>
      <c r="AL172" s="231" t="s">
        <v>239</v>
      </c>
      <c r="AM172" s="231">
        <v>1892</v>
      </c>
    </row>
    <row r="173" spans="1:39" ht="15" customHeight="1" outlineLevel="1">
      <c r="A173" s="411">
        <v>82</v>
      </c>
      <c r="B173" s="10">
        <v>129082</v>
      </c>
      <c r="C173" s="218" t="s">
        <v>1489</v>
      </c>
      <c r="D173" s="218" t="s">
        <v>1490</v>
      </c>
      <c r="E173" s="23" t="s">
        <v>44</v>
      </c>
      <c r="F173" s="17" t="s">
        <v>45</v>
      </c>
      <c r="G173" s="11" t="s">
        <v>1432</v>
      </c>
      <c r="H173" s="12">
        <v>22</v>
      </c>
      <c r="I173" s="11" t="s">
        <v>1433</v>
      </c>
      <c r="J173" s="193" t="s">
        <v>1460</v>
      </c>
      <c r="K173" s="17" t="s">
        <v>233</v>
      </c>
      <c r="L173" s="17" t="s">
        <v>233</v>
      </c>
      <c r="M173" s="231">
        <v>1</v>
      </c>
      <c r="N173" s="232">
        <v>1</v>
      </c>
      <c r="O173" s="231">
        <v>1</v>
      </c>
      <c r="P173" s="231" t="s">
        <v>239</v>
      </c>
      <c r="Q173" s="231">
        <v>1</v>
      </c>
      <c r="R173" s="231" t="s">
        <v>239</v>
      </c>
      <c r="S173" s="231">
        <v>1</v>
      </c>
      <c r="T173" s="231" t="s">
        <v>239</v>
      </c>
      <c r="U173" s="231">
        <v>1</v>
      </c>
      <c r="V173" s="231" t="s">
        <v>239</v>
      </c>
      <c r="W173" s="231">
        <v>1</v>
      </c>
      <c r="X173" s="231" t="s">
        <v>239</v>
      </c>
      <c r="Y173" s="231">
        <v>1</v>
      </c>
      <c r="Z173" s="231" t="s">
        <v>239</v>
      </c>
      <c r="AA173" s="231">
        <v>1</v>
      </c>
      <c r="AB173" s="231" t="s">
        <v>239</v>
      </c>
      <c r="AC173" s="231">
        <v>1</v>
      </c>
      <c r="AD173" s="231" t="s">
        <v>239</v>
      </c>
      <c r="AE173" s="231">
        <v>1</v>
      </c>
      <c r="AF173" s="231" t="s">
        <v>239</v>
      </c>
      <c r="AG173" s="231">
        <v>1</v>
      </c>
      <c r="AH173" s="231" t="s">
        <v>239</v>
      </c>
      <c r="AI173" s="231">
        <v>1</v>
      </c>
      <c r="AJ173" s="231" t="s">
        <v>239</v>
      </c>
      <c r="AK173" s="231">
        <v>1</v>
      </c>
      <c r="AL173" s="231" t="s">
        <v>239</v>
      </c>
      <c r="AM173" s="231">
        <v>0</v>
      </c>
    </row>
    <row r="174" spans="1:39" ht="15" customHeight="1" outlineLevel="1">
      <c r="A174" s="412"/>
      <c r="B174" s="10">
        <v>129082</v>
      </c>
      <c r="C174" s="218" t="s">
        <v>1489</v>
      </c>
      <c r="D174" s="218" t="s">
        <v>1490</v>
      </c>
      <c r="E174" s="23" t="s">
        <v>138</v>
      </c>
      <c r="F174" s="17" t="s">
        <v>45</v>
      </c>
      <c r="G174" s="11" t="s">
        <v>1432</v>
      </c>
      <c r="H174" s="12">
        <v>24</v>
      </c>
      <c r="I174" s="11" t="s">
        <v>1433</v>
      </c>
      <c r="J174" s="193" t="s">
        <v>1442</v>
      </c>
      <c r="K174" s="17" t="s">
        <v>233</v>
      </c>
      <c r="L174" s="17" t="s">
        <v>233</v>
      </c>
      <c r="M174" s="231">
        <v>0</v>
      </c>
      <c r="N174" s="232">
        <v>0</v>
      </c>
      <c r="O174" s="132">
        <v>0</v>
      </c>
      <c r="P174" s="231" t="s">
        <v>239</v>
      </c>
      <c r="Q174" s="231">
        <v>0</v>
      </c>
      <c r="R174" s="231" t="s">
        <v>239</v>
      </c>
      <c r="S174" s="231">
        <v>0</v>
      </c>
      <c r="T174" s="231" t="s">
        <v>239</v>
      </c>
      <c r="U174" s="231">
        <v>0</v>
      </c>
      <c r="V174" s="231" t="s">
        <v>239</v>
      </c>
      <c r="W174" s="231">
        <v>0</v>
      </c>
      <c r="X174" s="231" t="s">
        <v>239</v>
      </c>
      <c r="Y174" s="231">
        <v>0</v>
      </c>
      <c r="Z174" s="231" t="s">
        <v>239</v>
      </c>
      <c r="AA174" s="231">
        <v>0</v>
      </c>
      <c r="AB174" s="231" t="s">
        <v>239</v>
      </c>
      <c r="AC174" s="231">
        <v>0</v>
      </c>
      <c r="AD174" s="231" t="s">
        <v>239</v>
      </c>
      <c r="AE174" s="231">
        <v>0</v>
      </c>
      <c r="AF174" s="231" t="s">
        <v>239</v>
      </c>
      <c r="AG174" s="231">
        <v>0</v>
      </c>
      <c r="AH174" s="231" t="s">
        <v>239</v>
      </c>
      <c r="AI174" s="231">
        <v>0</v>
      </c>
      <c r="AJ174" s="231" t="s">
        <v>239</v>
      </c>
      <c r="AK174" s="231">
        <v>0</v>
      </c>
      <c r="AL174" s="231" t="s">
        <v>239</v>
      </c>
      <c r="AM174" s="231">
        <v>0</v>
      </c>
    </row>
    <row r="175" spans="1:39" ht="15" customHeight="1" outlineLevel="1">
      <c r="A175" s="411">
        <v>83</v>
      </c>
      <c r="B175" s="10">
        <v>129083</v>
      </c>
      <c r="C175" s="218" t="s">
        <v>1489</v>
      </c>
      <c r="D175" s="218" t="s">
        <v>1490</v>
      </c>
      <c r="E175" s="23" t="s">
        <v>44</v>
      </c>
      <c r="F175" s="17" t="s">
        <v>45</v>
      </c>
      <c r="G175" s="11" t="s">
        <v>1432</v>
      </c>
      <c r="H175" s="12">
        <v>16</v>
      </c>
      <c r="I175" s="11" t="s">
        <v>1433</v>
      </c>
      <c r="J175" s="193" t="s">
        <v>1460</v>
      </c>
      <c r="K175" s="17" t="s">
        <v>233</v>
      </c>
      <c r="L175" s="17" t="s">
        <v>233</v>
      </c>
      <c r="M175" s="231">
        <v>71</v>
      </c>
      <c r="N175" s="232">
        <v>71</v>
      </c>
      <c r="O175" s="231">
        <v>71</v>
      </c>
      <c r="P175" s="231" t="s">
        <v>239</v>
      </c>
      <c r="Q175" s="231">
        <v>71</v>
      </c>
      <c r="R175" s="231" t="s">
        <v>239</v>
      </c>
      <c r="S175" s="231">
        <v>71</v>
      </c>
      <c r="T175" s="231" t="s">
        <v>239</v>
      </c>
      <c r="U175" s="231">
        <v>71</v>
      </c>
      <c r="V175" s="230" t="s">
        <v>239</v>
      </c>
      <c r="W175" s="231">
        <v>71</v>
      </c>
      <c r="X175" s="231" t="s">
        <v>239</v>
      </c>
      <c r="Y175" s="231">
        <v>71</v>
      </c>
      <c r="Z175" s="231" t="s">
        <v>239</v>
      </c>
      <c r="AA175" s="231">
        <v>71</v>
      </c>
      <c r="AB175" s="231" t="s">
        <v>239</v>
      </c>
      <c r="AC175" s="231">
        <v>71</v>
      </c>
      <c r="AD175" s="231" t="s">
        <v>239</v>
      </c>
      <c r="AE175" s="231">
        <v>71</v>
      </c>
      <c r="AF175" s="231" t="s">
        <v>239</v>
      </c>
      <c r="AG175" s="231">
        <v>71</v>
      </c>
      <c r="AH175" s="231" t="s">
        <v>239</v>
      </c>
      <c r="AI175" s="231">
        <v>71</v>
      </c>
      <c r="AJ175" s="231" t="s">
        <v>239</v>
      </c>
      <c r="AK175" s="231">
        <v>71</v>
      </c>
      <c r="AL175" s="231" t="s">
        <v>239</v>
      </c>
      <c r="AM175" s="231">
        <v>0</v>
      </c>
    </row>
    <row r="176" spans="1:39" ht="15" customHeight="1" outlineLevel="1">
      <c r="A176" s="412"/>
      <c r="B176" s="10">
        <v>129083</v>
      </c>
      <c r="C176" s="218" t="s">
        <v>1489</v>
      </c>
      <c r="D176" s="218" t="s">
        <v>1490</v>
      </c>
      <c r="E176" s="23" t="s">
        <v>138</v>
      </c>
      <c r="F176" s="17" t="s">
        <v>45</v>
      </c>
      <c r="G176" s="11" t="s">
        <v>1432</v>
      </c>
      <c r="H176" s="12">
        <v>5</v>
      </c>
      <c r="I176" s="11" t="s">
        <v>1433</v>
      </c>
      <c r="J176" s="193" t="s">
        <v>1457</v>
      </c>
      <c r="K176" s="17" t="s">
        <v>233</v>
      </c>
      <c r="L176" s="17" t="s">
        <v>233</v>
      </c>
      <c r="M176" s="231">
        <v>16438</v>
      </c>
      <c r="N176" s="232">
        <v>16238.44268</v>
      </c>
      <c r="O176" s="132">
        <v>789</v>
      </c>
      <c r="P176" s="231" t="s">
        <v>239</v>
      </c>
      <c r="Q176" s="231">
        <v>999</v>
      </c>
      <c r="R176" s="231" t="s">
        <v>239</v>
      </c>
      <c r="S176" s="231">
        <v>1022</v>
      </c>
      <c r="T176" s="231" t="s">
        <v>239</v>
      </c>
      <c r="U176" s="231">
        <v>986</v>
      </c>
      <c r="V176" s="231" t="s">
        <v>239</v>
      </c>
      <c r="W176" s="231">
        <v>671</v>
      </c>
      <c r="X176" s="231" t="s">
        <v>239</v>
      </c>
      <c r="Y176" s="231">
        <v>1406</v>
      </c>
      <c r="Z176" s="231" t="s">
        <v>239</v>
      </c>
      <c r="AA176" s="231">
        <v>330</v>
      </c>
      <c r="AB176" s="231" t="s">
        <v>239</v>
      </c>
      <c r="AC176" s="231">
        <v>364</v>
      </c>
      <c r="AD176" s="231" t="s">
        <v>239</v>
      </c>
      <c r="AE176" s="231">
        <v>1390</v>
      </c>
      <c r="AF176" s="231" t="s">
        <v>239</v>
      </c>
      <c r="AG176" s="231">
        <v>665</v>
      </c>
      <c r="AH176" s="231" t="s">
        <v>239</v>
      </c>
      <c r="AI176" s="231">
        <v>873</v>
      </c>
      <c r="AJ176" s="231" t="s">
        <v>239</v>
      </c>
      <c r="AK176" s="231">
        <v>0</v>
      </c>
      <c r="AL176" s="231" t="s">
        <v>239</v>
      </c>
      <c r="AM176" s="231">
        <v>9495</v>
      </c>
    </row>
    <row r="177" spans="1:39" ht="15" customHeight="1" outlineLevel="1">
      <c r="A177" s="411">
        <v>84</v>
      </c>
      <c r="B177" s="10">
        <v>129084</v>
      </c>
      <c r="C177" s="218" t="s">
        <v>1489</v>
      </c>
      <c r="D177" s="218" t="s">
        <v>1490</v>
      </c>
      <c r="E177" s="23" t="s">
        <v>44</v>
      </c>
      <c r="F177" s="17" t="s">
        <v>45</v>
      </c>
      <c r="G177" s="11" t="s">
        <v>1432</v>
      </c>
      <c r="H177" s="12">
        <v>17</v>
      </c>
      <c r="I177" s="11" t="s">
        <v>1433</v>
      </c>
      <c r="J177" s="193" t="s">
        <v>617</v>
      </c>
      <c r="K177" s="17" t="s">
        <v>233</v>
      </c>
      <c r="L177" s="17" t="s">
        <v>233</v>
      </c>
      <c r="M177" s="231">
        <v>20</v>
      </c>
      <c r="N177" s="232">
        <v>20</v>
      </c>
      <c r="O177" s="231">
        <v>20</v>
      </c>
      <c r="P177" s="231" t="s">
        <v>239</v>
      </c>
      <c r="Q177" s="231">
        <v>20</v>
      </c>
      <c r="R177" s="231" t="s">
        <v>239</v>
      </c>
      <c r="S177" s="231">
        <v>20</v>
      </c>
      <c r="T177" s="231" t="s">
        <v>239</v>
      </c>
      <c r="U177" s="231">
        <v>20</v>
      </c>
      <c r="V177" s="231" t="s">
        <v>239</v>
      </c>
      <c r="W177" s="231">
        <v>20</v>
      </c>
      <c r="X177" s="231" t="s">
        <v>239</v>
      </c>
      <c r="Y177" s="231">
        <v>20</v>
      </c>
      <c r="Z177" s="231" t="s">
        <v>239</v>
      </c>
      <c r="AA177" s="231">
        <v>20</v>
      </c>
      <c r="AB177" s="231" t="s">
        <v>239</v>
      </c>
      <c r="AC177" s="231">
        <v>20</v>
      </c>
      <c r="AD177" s="231" t="s">
        <v>239</v>
      </c>
      <c r="AE177" s="231">
        <v>20</v>
      </c>
      <c r="AF177" s="231" t="s">
        <v>239</v>
      </c>
      <c r="AG177" s="231">
        <v>20</v>
      </c>
      <c r="AH177" s="231" t="s">
        <v>239</v>
      </c>
      <c r="AI177" s="231">
        <v>20</v>
      </c>
      <c r="AJ177" s="231" t="s">
        <v>239</v>
      </c>
      <c r="AK177" s="231">
        <v>20</v>
      </c>
      <c r="AL177" s="231" t="s">
        <v>239</v>
      </c>
      <c r="AM177" s="231">
        <v>0</v>
      </c>
    </row>
    <row r="178" spans="1:39" ht="15" customHeight="1" outlineLevel="1">
      <c r="A178" s="412"/>
      <c r="B178" s="10">
        <v>129084</v>
      </c>
      <c r="C178" s="218" t="s">
        <v>1489</v>
      </c>
      <c r="D178" s="218" t="s">
        <v>1490</v>
      </c>
      <c r="E178" s="23" t="s">
        <v>44</v>
      </c>
      <c r="F178" s="17" t="s">
        <v>45</v>
      </c>
      <c r="G178" s="11" t="s">
        <v>1432</v>
      </c>
      <c r="H178" s="12">
        <v>19</v>
      </c>
      <c r="I178" s="11" t="s">
        <v>1433</v>
      </c>
      <c r="J178" s="193" t="s">
        <v>216</v>
      </c>
      <c r="K178" s="17" t="s">
        <v>233</v>
      </c>
      <c r="L178" s="17" t="s">
        <v>233</v>
      </c>
      <c r="M178" s="231">
        <v>8294</v>
      </c>
      <c r="N178" s="232">
        <v>8193.3108400000001</v>
      </c>
      <c r="O178" s="132">
        <v>421</v>
      </c>
      <c r="P178" s="231" t="s">
        <v>239</v>
      </c>
      <c r="Q178" s="231">
        <v>395</v>
      </c>
      <c r="R178" s="231" t="s">
        <v>239</v>
      </c>
      <c r="S178" s="231">
        <v>353</v>
      </c>
      <c r="T178" s="231" t="s">
        <v>239</v>
      </c>
      <c r="U178" s="231">
        <v>873</v>
      </c>
      <c r="V178" s="230" t="s">
        <v>239</v>
      </c>
      <c r="W178" s="231">
        <v>618</v>
      </c>
      <c r="X178" s="231" t="s">
        <v>239</v>
      </c>
      <c r="Y178" s="231">
        <v>614</v>
      </c>
      <c r="Z178" s="231" t="s">
        <v>239</v>
      </c>
      <c r="AA178" s="231">
        <v>13474</v>
      </c>
      <c r="AB178" s="231" t="s">
        <v>239</v>
      </c>
      <c r="AC178" s="231">
        <v>608</v>
      </c>
      <c r="AD178" s="231" t="s">
        <v>239</v>
      </c>
      <c r="AE178" s="231">
        <v>785</v>
      </c>
      <c r="AF178" s="231" t="s">
        <v>239</v>
      </c>
      <c r="AG178" s="231">
        <v>614</v>
      </c>
      <c r="AH178" s="231" t="s">
        <v>239</v>
      </c>
      <c r="AI178" s="231">
        <v>987</v>
      </c>
      <c r="AJ178" s="231" t="s">
        <v>239</v>
      </c>
      <c r="AK178" s="231">
        <v>921</v>
      </c>
      <c r="AL178" s="231" t="s">
        <v>239</v>
      </c>
      <c r="AM178" s="231">
        <v>20663</v>
      </c>
    </row>
    <row r="179" spans="1:39" ht="15" customHeight="1" outlineLevel="1">
      <c r="A179" s="411">
        <v>85</v>
      </c>
      <c r="B179" s="10">
        <v>129085</v>
      </c>
      <c r="C179" s="218" t="s">
        <v>1489</v>
      </c>
      <c r="D179" s="218" t="s">
        <v>1490</v>
      </c>
      <c r="E179" s="23" t="s">
        <v>138</v>
      </c>
      <c r="F179" s="17" t="s">
        <v>45</v>
      </c>
      <c r="G179" s="11" t="s">
        <v>1432</v>
      </c>
      <c r="H179" s="12">
        <v>18</v>
      </c>
      <c r="I179" s="11" t="s">
        <v>1433</v>
      </c>
      <c r="J179" s="191" t="s">
        <v>216</v>
      </c>
      <c r="K179" s="17" t="s">
        <v>233</v>
      </c>
      <c r="L179" s="17" t="s">
        <v>233</v>
      </c>
      <c r="M179" s="231">
        <v>0</v>
      </c>
      <c r="N179" s="232">
        <v>0</v>
      </c>
      <c r="O179" s="132">
        <v>0</v>
      </c>
      <c r="P179" s="231" t="s">
        <v>239</v>
      </c>
      <c r="Q179" s="231">
        <v>0</v>
      </c>
      <c r="R179" s="231" t="s">
        <v>239</v>
      </c>
      <c r="S179" s="231">
        <v>0</v>
      </c>
      <c r="T179" s="231" t="s">
        <v>239</v>
      </c>
      <c r="U179" s="231">
        <v>0</v>
      </c>
      <c r="V179" s="231" t="s">
        <v>239</v>
      </c>
      <c r="W179" s="231">
        <v>0</v>
      </c>
      <c r="X179" s="231" t="s">
        <v>239</v>
      </c>
      <c r="Y179" s="231">
        <v>0</v>
      </c>
      <c r="Z179" s="231" t="s">
        <v>239</v>
      </c>
      <c r="AA179" s="231">
        <v>0</v>
      </c>
      <c r="AB179" s="231" t="s">
        <v>239</v>
      </c>
      <c r="AC179" s="231">
        <v>0</v>
      </c>
      <c r="AD179" s="231" t="s">
        <v>239</v>
      </c>
      <c r="AE179" s="231">
        <v>0</v>
      </c>
      <c r="AF179" s="231" t="s">
        <v>239</v>
      </c>
      <c r="AG179" s="231">
        <v>0</v>
      </c>
      <c r="AH179" s="231" t="s">
        <v>239</v>
      </c>
      <c r="AI179" s="231">
        <v>0</v>
      </c>
      <c r="AJ179" s="231" t="s">
        <v>239</v>
      </c>
      <c r="AK179" s="231">
        <v>0</v>
      </c>
      <c r="AL179" s="231" t="s">
        <v>239</v>
      </c>
      <c r="AM179" s="231">
        <v>0</v>
      </c>
    </row>
    <row r="180" spans="1:39" ht="15" customHeight="1" outlineLevel="1">
      <c r="A180" s="412"/>
      <c r="B180" s="10">
        <v>129085</v>
      </c>
      <c r="C180" s="218" t="s">
        <v>1489</v>
      </c>
      <c r="D180" s="218" t="s">
        <v>1490</v>
      </c>
      <c r="E180" s="23" t="s">
        <v>44</v>
      </c>
      <c r="F180" s="17" t="s">
        <v>45</v>
      </c>
      <c r="G180" s="11" t="s">
        <v>1432</v>
      </c>
      <c r="H180" s="12">
        <v>13</v>
      </c>
      <c r="I180" s="11" t="s">
        <v>1433</v>
      </c>
      <c r="J180" s="192" t="s">
        <v>1434</v>
      </c>
      <c r="K180" s="17" t="s">
        <v>233</v>
      </c>
      <c r="L180" s="17" t="s">
        <v>233</v>
      </c>
      <c r="M180" s="231">
        <v>0</v>
      </c>
      <c r="N180" s="232">
        <v>0</v>
      </c>
      <c r="O180" s="132">
        <v>0</v>
      </c>
      <c r="P180" s="231" t="s">
        <v>239</v>
      </c>
      <c r="Q180" s="231">
        <v>0</v>
      </c>
      <c r="R180" s="231" t="s">
        <v>239</v>
      </c>
      <c r="S180" s="231">
        <v>0</v>
      </c>
      <c r="T180" s="231" t="s">
        <v>239</v>
      </c>
      <c r="U180" s="231">
        <v>0</v>
      </c>
      <c r="V180" s="231" t="s">
        <v>239</v>
      </c>
      <c r="W180" s="231">
        <v>0</v>
      </c>
      <c r="X180" s="231" t="s">
        <v>239</v>
      </c>
      <c r="Y180" s="231">
        <v>0</v>
      </c>
      <c r="Z180" s="231" t="s">
        <v>239</v>
      </c>
      <c r="AA180" s="231">
        <v>0</v>
      </c>
      <c r="AB180" s="231" t="s">
        <v>239</v>
      </c>
      <c r="AC180" s="231">
        <v>0</v>
      </c>
      <c r="AD180" s="231" t="s">
        <v>239</v>
      </c>
      <c r="AE180" s="231">
        <v>0</v>
      </c>
      <c r="AF180" s="231" t="s">
        <v>239</v>
      </c>
      <c r="AG180" s="231">
        <v>0</v>
      </c>
      <c r="AH180" s="231" t="s">
        <v>239</v>
      </c>
      <c r="AI180" s="231">
        <v>0</v>
      </c>
      <c r="AJ180" s="231" t="s">
        <v>239</v>
      </c>
      <c r="AK180" s="231">
        <v>0</v>
      </c>
      <c r="AL180" s="231" t="s">
        <v>239</v>
      </c>
      <c r="AM180" s="231">
        <v>0</v>
      </c>
    </row>
    <row r="181" spans="1:39" ht="15" customHeight="1" outlineLevel="1">
      <c r="A181" s="411">
        <v>86</v>
      </c>
      <c r="B181" s="10">
        <v>129086</v>
      </c>
      <c r="C181" s="218" t="s">
        <v>1489</v>
      </c>
      <c r="D181" s="218" t="s">
        <v>1490</v>
      </c>
      <c r="E181" s="23" t="s">
        <v>138</v>
      </c>
      <c r="F181" s="17" t="s">
        <v>45</v>
      </c>
      <c r="G181" s="11" t="s">
        <v>1432</v>
      </c>
      <c r="H181" s="12">
        <v>21</v>
      </c>
      <c r="I181" s="11" t="s">
        <v>1433</v>
      </c>
      <c r="J181" s="192" t="s">
        <v>1480</v>
      </c>
      <c r="K181" s="17" t="s">
        <v>233</v>
      </c>
      <c r="L181" s="17" t="s">
        <v>233</v>
      </c>
      <c r="M181" s="231">
        <v>56</v>
      </c>
      <c r="N181" s="232">
        <v>56</v>
      </c>
      <c r="O181" s="231">
        <v>56</v>
      </c>
      <c r="P181" s="231" t="s">
        <v>239</v>
      </c>
      <c r="Q181" s="231">
        <v>56</v>
      </c>
      <c r="R181" s="231" t="s">
        <v>239</v>
      </c>
      <c r="S181" s="231">
        <v>56</v>
      </c>
      <c r="T181" s="231" t="s">
        <v>239</v>
      </c>
      <c r="U181" s="231">
        <v>56</v>
      </c>
      <c r="V181" s="230" t="s">
        <v>239</v>
      </c>
      <c r="W181" s="231">
        <v>56</v>
      </c>
      <c r="X181" s="231" t="s">
        <v>239</v>
      </c>
      <c r="Y181" s="231">
        <v>56</v>
      </c>
      <c r="Z181" s="231" t="s">
        <v>239</v>
      </c>
      <c r="AA181" s="231">
        <v>56</v>
      </c>
      <c r="AB181" s="231" t="s">
        <v>239</v>
      </c>
      <c r="AC181" s="231">
        <v>56</v>
      </c>
      <c r="AD181" s="231" t="s">
        <v>239</v>
      </c>
      <c r="AE181" s="231">
        <v>56</v>
      </c>
      <c r="AF181" s="231" t="s">
        <v>239</v>
      </c>
      <c r="AG181" s="231">
        <v>56</v>
      </c>
      <c r="AH181" s="231" t="s">
        <v>239</v>
      </c>
      <c r="AI181" s="231">
        <v>56</v>
      </c>
      <c r="AJ181" s="231" t="s">
        <v>239</v>
      </c>
      <c r="AK181" s="231">
        <v>56</v>
      </c>
      <c r="AL181" s="231" t="s">
        <v>239</v>
      </c>
      <c r="AM181" s="231">
        <v>0</v>
      </c>
    </row>
    <row r="182" spans="1:39" ht="15" customHeight="1" outlineLevel="1">
      <c r="A182" s="412"/>
      <c r="B182" s="10">
        <v>129086</v>
      </c>
      <c r="C182" s="218" t="s">
        <v>1489</v>
      </c>
      <c r="D182" s="218" t="s">
        <v>1490</v>
      </c>
      <c r="E182" s="23" t="s">
        <v>44</v>
      </c>
      <c r="F182" s="17" t="s">
        <v>45</v>
      </c>
      <c r="G182" s="11" t="s">
        <v>1432</v>
      </c>
      <c r="H182" s="12">
        <v>19</v>
      </c>
      <c r="I182" s="11" t="s">
        <v>1433</v>
      </c>
      <c r="J182" s="192" t="s">
        <v>1452</v>
      </c>
      <c r="K182" s="17" t="s">
        <v>233</v>
      </c>
      <c r="L182" s="17" t="s">
        <v>233</v>
      </c>
      <c r="M182" s="231">
        <v>7867</v>
      </c>
      <c r="N182" s="232">
        <v>7771.4946199999995</v>
      </c>
      <c r="O182" s="132">
        <v>261</v>
      </c>
      <c r="P182" s="231" t="s">
        <v>239</v>
      </c>
      <c r="Q182" s="231">
        <v>468</v>
      </c>
      <c r="R182" s="231" t="s">
        <v>239</v>
      </c>
      <c r="S182" s="231">
        <v>617</v>
      </c>
      <c r="T182" s="231" t="s">
        <v>239</v>
      </c>
      <c r="U182" s="231">
        <v>748</v>
      </c>
      <c r="V182" s="231" t="s">
        <v>239</v>
      </c>
      <c r="W182" s="231">
        <v>223</v>
      </c>
      <c r="X182" s="231" t="s">
        <v>239</v>
      </c>
      <c r="Y182" s="231">
        <v>529</v>
      </c>
      <c r="Z182" s="231" t="s">
        <v>239</v>
      </c>
      <c r="AA182" s="231">
        <v>0</v>
      </c>
      <c r="AB182" s="231" t="s">
        <v>239</v>
      </c>
      <c r="AC182" s="231">
        <v>103</v>
      </c>
      <c r="AD182" s="231" t="s">
        <v>239</v>
      </c>
      <c r="AE182" s="231">
        <v>99</v>
      </c>
      <c r="AF182" s="231" t="s">
        <v>239</v>
      </c>
      <c r="AG182" s="231">
        <v>0</v>
      </c>
      <c r="AH182" s="231" t="s">
        <v>239</v>
      </c>
      <c r="AI182" s="231">
        <v>106</v>
      </c>
      <c r="AJ182" s="231" t="s">
        <v>239</v>
      </c>
      <c r="AK182" s="231">
        <v>83</v>
      </c>
      <c r="AL182" s="231" t="s">
        <v>239</v>
      </c>
      <c r="AM182" s="231">
        <v>3237</v>
      </c>
    </row>
    <row r="183" spans="1:39" ht="15" customHeight="1" outlineLevel="1">
      <c r="A183" s="411">
        <v>87</v>
      </c>
      <c r="B183" s="10">
        <v>129087</v>
      </c>
      <c r="C183" s="218" t="s">
        <v>1489</v>
      </c>
      <c r="D183" s="218" t="s">
        <v>1490</v>
      </c>
      <c r="E183" s="23" t="s">
        <v>44</v>
      </c>
      <c r="F183" s="17" t="s">
        <v>45</v>
      </c>
      <c r="G183" s="11" t="s">
        <v>1432</v>
      </c>
      <c r="H183" s="12">
        <v>30</v>
      </c>
      <c r="I183" s="11" t="s">
        <v>1433</v>
      </c>
      <c r="J183" s="374" t="s">
        <v>207</v>
      </c>
      <c r="K183" s="17" t="s">
        <v>233</v>
      </c>
      <c r="L183" s="17" t="s">
        <v>233</v>
      </c>
      <c r="M183" s="231">
        <v>87</v>
      </c>
      <c r="N183" s="232">
        <v>87</v>
      </c>
      <c r="O183" s="231">
        <v>87</v>
      </c>
      <c r="P183" s="231" t="s">
        <v>239</v>
      </c>
      <c r="Q183" s="231">
        <v>87</v>
      </c>
      <c r="R183" s="231" t="s">
        <v>239</v>
      </c>
      <c r="S183" s="231">
        <v>87</v>
      </c>
      <c r="T183" s="231" t="s">
        <v>239</v>
      </c>
      <c r="U183" s="231">
        <v>87</v>
      </c>
      <c r="V183" s="231" t="s">
        <v>239</v>
      </c>
      <c r="W183" s="231">
        <v>87</v>
      </c>
      <c r="X183" s="231" t="s">
        <v>239</v>
      </c>
      <c r="Y183" s="231">
        <v>87</v>
      </c>
      <c r="Z183" s="231" t="s">
        <v>239</v>
      </c>
      <c r="AA183" s="231">
        <v>87</v>
      </c>
      <c r="AB183" s="231" t="s">
        <v>239</v>
      </c>
      <c r="AC183" s="231">
        <v>87</v>
      </c>
      <c r="AD183" s="231" t="s">
        <v>239</v>
      </c>
      <c r="AE183" s="231">
        <v>87</v>
      </c>
      <c r="AF183" s="231" t="s">
        <v>239</v>
      </c>
      <c r="AG183" s="231">
        <v>87</v>
      </c>
      <c r="AH183" s="231" t="s">
        <v>239</v>
      </c>
      <c r="AI183" s="231">
        <v>87</v>
      </c>
      <c r="AJ183" s="231" t="s">
        <v>239</v>
      </c>
      <c r="AK183" s="231">
        <v>87</v>
      </c>
      <c r="AL183" s="231" t="s">
        <v>239</v>
      </c>
      <c r="AM183" s="231">
        <v>0</v>
      </c>
    </row>
    <row r="184" spans="1:39" ht="15" customHeight="1" outlineLevel="1">
      <c r="A184" s="412"/>
      <c r="B184" s="10">
        <v>129087</v>
      </c>
      <c r="C184" s="218" t="s">
        <v>1489</v>
      </c>
      <c r="D184" s="218" t="s">
        <v>1490</v>
      </c>
      <c r="E184" s="23" t="s">
        <v>138</v>
      </c>
      <c r="F184" s="17" t="s">
        <v>45</v>
      </c>
      <c r="G184" s="11" t="s">
        <v>1432</v>
      </c>
      <c r="H184" s="12">
        <v>33</v>
      </c>
      <c r="I184" s="11" t="s">
        <v>1433</v>
      </c>
      <c r="J184" s="375"/>
      <c r="K184" s="17" t="s">
        <v>233</v>
      </c>
      <c r="L184" s="17" t="s">
        <v>233</v>
      </c>
      <c r="M184" s="231">
        <v>36820</v>
      </c>
      <c r="N184" s="232">
        <v>36373.0052</v>
      </c>
      <c r="O184" s="132">
        <v>1517</v>
      </c>
      <c r="P184" s="231" t="s">
        <v>239</v>
      </c>
      <c r="Q184" s="231">
        <v>0</v>
      </c>
      <c r="R184" s="231" t="s">
        <v>239</v>
      </c>
      <c r="S184" s="231">
        <v>0</v>
      </c>
      <c r="T184" s="231" t="s">
        <v>239</v>
      </c>
      <c r="U184" s="231">
        <v>0</v>
      </c>
      <c r="V184" s="230" t="s">
        <v>239</v>
      </c>
      <c r="W184" s="231">
        <v>622</v>
      </c>
      <c r="X184" s="231" t="s">
        <v>239</v>
      </c>
      <c r="Y184" s="231">
        <v>742</v>
      </c>
      <c r="Z184" s="231" t="s">
        <v>239</v>
      </c>
      <c r="AA184" s="231">
        <v>8067</v>
      </c>
      <c r="AB184" s="231" t="s">
        <v>239</v>
      </c>
      <c r="AC184" s="231">
        <v>878</v>
      </c>
      <c r="AD184" s="231" t="s">
        <v>239</v>
      </c>
      <c r="AE184" s="231">
        <v>1166</v>
      </c>
      <c r="AF184" s="231" t="s">
        <v>239</v>
      </c>
      <c r="AG184" s="231">
        <v>1204</v>
      </c>
      <c r="AH184" s="231" t="s">
        <v>239</v>
      </c>
      <c r="AI184" s="231">
        <v>1530</v>
      </c>
      <c r="AJ184" s="231" t="s">
        <v>239</v>
      </c>
      <c r="AK184" s="231">
        <v>1105</v>
      </c>
      <c r="AL184" s="231" t="s">
        <v>239</v>
      </c>
      <c r="AM184" s="231">
        <v>16831</v>
      </c>
    </row>
    <row r="185" spans="1:39" ht="15" customHeight="1" outlineLevel="1">
      <c r="A185" s="411">
        <v>88</v>
      </c>
      <c r="B185" s="10">
        <v>129088</v>
      </c>
      <c r="C185" s="218" t="s">
        <v>1489</v>
      </c>
      <c r="D185" s="218" t="s">
        <v>1490</v>
      </c>
      <c r="E185" s="23" t="s">
        <v>44</v>
      </c>
      <c r="F185" s="17" t="s">
        <v>45</v>
      </c>
      <c r="G185" s="11" t="s">
        <v>1432</v>
      </c>
      <c r="H185" s="12">
        <v>19</v>
      </c>
      <c r="I185" s="11" t="s">
        <v>1433</v>
      </c>
      <c r="J185" s="193" t="s">
        <v>1460</v>
      </c>
      <c r="K185" s="17" t="s">
        <v>233</v>
      </c>
      <c r="L185" s="17" t="s">
        <v>233</v>
      </c>
      <c r="M185" s="231">
        <v>47</v>
      </c>
      <c r="N185" s="232">
        <v>47</v>
      </c>
      <c r="O185" s="231">
        <v>47</v>
      </c>
      <c r="P185" s="231" t="s">
        <v>239</v>
      </c>
      <c r="Q185" s="231">
        <v>47</v>
      </c>
      <c r="R185" s="231" t="s">
        <v>239</v>
      </c>
      <c r="S185" s="231">
        <v>47</v>
      </c>
      <c r="T185" s="231" t="s">
        <v>239</v>
      </c>
      <c r="U185" s="231">
        <v>47</v>
      </c>
      <c r="V185" s="231" t="s">
        <v>239</v>
      </c>
      <c r="W185" s="231">
        <v>47</v>
      </c>
      <c r="X185" s="231" t="s">
        <v>239</v>
      </c>
      <c r="Y185" s="231">
        <v>47</v>
      </c>
      <c r="Z185" s="231" t="s">
        <v>239</v>
      </c>
      <c r="AA185" s="231">
        <v>47</v>
      </c>
      <c r="AB185" s="231" t="s">
        <v>239</v>
      </c>
      <c r="AC185" s="231">
        <v>47</v>
      </c>
      <c r="AD185" s="231" t="s">
        <v>239</v>
      </c>
      <c r="AE185" s="231">
        <v>47</v>
      </c>
      <c r="AF185" s="231" t="s">
        <v>239</v>
      </c>
      <c r="AG185" s="231">
        <v>47</v>
      </c>
      <c r="AH185" s="231" t="s">
        <v>239</v>
      </c>
      <c r="AI185" s="231">
        <v>47</v>
      </c>
      <c r="AJ185" s="231" t="s">
        <v>239</v>
      </c>
      <c r="AK185" s="231">
        <v>47</v>
      </c>
      <c r="AL185" s="231" t="s">
        <v>239</v>
      </c>
      <c r="AM185" s="231">
        <v>0</v>
      </c>
    </row>
    <row r="186" spans="1:39" ht="15" customHeight="1" outlineLevel="1">
      <c r="A186" s="412"/>
      <c r="B186" s="10">
        <v>129088</v>
      </c>
      <c r="C186" s="218" t="s">
        <v>1489</v>
      </c>
      <c r="D186" s="218" t="s">
        <v>1490</v>
      </c>
      <c r="E186" s="23" t="s">
        <v>138</v>
      </c>
      <c r="F186" s="17" t="s">
        <v>45</v>
      </c>
      <c r="G186" s="11" t="s">
        <v>1432</v>
      </c>
      <c r="H186" s="12">
        <v>6</v>
      </c>
      <c r="I186" s="11" t="s">
        <v>1433</v>
      </c>
      <c r="J186" s="193" t="s">
        <v>1442</v>
      </c>
      <c r="K186" s="17" t="s">
        <v>233</v>
      </c>
      <c r="L186" s="17" t="s">
        <v>233</v>
      </c>
      <c r="M186" s="231">
        <v>0</v>
      </c>
      <c r="N186" s="232">
        <v>0</v>
      </c>
      <c r="O186" s="132">
        <v>0</v>
      </c>
      <c r="P186" s="231" t="s">
        <v>239</v>
      </c>
      <c r="Q186" s="231">
        <v>0</v>
      </c>
      <c r="R186" s="231" t="s">
        <v>239</v>
      </c>
      <c r="S186" s="231">
        <v>0</v>
      </c>
      <c r="T186" s="231" t="s">
        <v>239</v>
      </c>
      <c r="U186" s="231">
        <v>0</v>
      </c>
      <c r="V186" s="231" t="s">
        <v>239</v>
      </c>
      <c r="W186" s="231">
        <v>0</v>
      </c>
      <c r="X186" s="231" t="s">
        <v>239</v>
      </c>
      <c r="Y186" s="231">
        <v>0</v>
      </c>
      <c r="Z186" s="231" t="s">
        <v>239</v>
      </c>
      <c r="AA186" s="231">
        <v>0</v>
      </c>
      <c r="AB186" s="231" t="s">
        <v>239</v>
      </c>
      <c r="AC186" s="231">
        <v>0</v>
      </c>
      <c r="AD186" s="231" t="s">
        <v>239</v>
      </c>
      <c r="AE186" s="231">
        <v>0</v>
      </c>
      <c r="AF186" s="231" t="s">
        <v>239</v>
      </c>
      <c r="AG186" s="231">
        <v>0</v>
      </c>
      <c r="AH186" s="231" t="s">
        <v>239</v>
      </c>
      <c r="AI186" s="231">
        <v>0</v>
      </c>
      <c r="AJ186" s="231" t="s">
        <v>239</v>
      </c>
      <c r="AK186" s="231">
        <v>0</v>
      </c>
      <c r="AL186" s="231" t="s">
        <v>239</v>
      </c>
      <c r="AM186" s="231">
        <v>0</v>
      </c>
    </row>
    <row r="187" spans="1:39" ht="15" customHeight="1" outlineLevel="1">
      <c r="A187" s="411">
        <v>89</v>
      </c>
      <c r="B187" s="10">
        <v>129089</v>
      </c>
      <c r="C187" s="218" t="s">
        <v>1489</v>
      </c>
      <c r="D187" s="218" t="s">
        <v>1490</v>
      </c>
      <c r="E187" s="23" t="s">
        <v>44</v>
      </c>
      <c r="F187" s="17" t="s">
        <v>45</v>
      </c>
      <c r="G187" s="11" t="s">
        <v>1432</v>
      </c>
      <c r="H187" s="12">
        <v>15</v>
      </c>
      <c r="I187" s="11" t="s">
        <v>1433</v>
      </c>
      <c r="J187" s="193" t="s">
        <v>1460</v>
      </c>
      <c r="K187" s="17" t="s">
        <v>233</v>
      </c>
      <c r="L187" s="17" t="s">
        <v>233</v>
      </c>
      <c r="M187" s="231">
        <v>46</v>
      </c>
      <c r="N187" s="232">
        <v>46</v>
      </c>
      <c r="O187" s="231">
        <v>46</v>
      </c>
      <c r="P187" s="231" t="s">
        <v>239</v>
      </c>
      <c r="Q187" s="231">
        <v>46</v>
      </c>
      <c r="R187" s="231" t="s">
        <v>239</v>
      </c>
      <c r="S187" s="231">
        <v>46</v>
      </c>
      <c r="T187" s="231" t="s">
        <v>239</v>
      </c>
      <c r="U187" s="231">
        <v>46</v>
      </c>
      <c r="V187" s="230" t="s">
        <v>239</v>
      </c>
      <c r="W187" s="231">
        <v>46</v>
      </c>
      <c r="X187" s="231" t="s">
        <v>239</v>
      </c>
      <c r="Y187" s="231">
        <v>46</v>
      </c>
      <c r="Z187" s="231" t="s">
        <v>239</v>
      </c>
      <c r="AA187" s="231">
        <v>46</v>
      </c>
      <c r="AB187" s="231" t="s">
        <v>239</v>
      </c>
      <c r="AC187" s="231">
        <v>46</v>
      </c>
      <c r="AD187" s="231" t="s">
        <v>239</v>
      </c>
      <c r="AE187" s="231">
        <v>46</v>
      </c>
      <c r="AF187" s="231" t="s">
        <v>239</v>
      </c>
      <c r="AG187" s="231">
        <v>46</v>
      </c>
      <c r="AH187" s="231" t="s">
        <v>239</v>
      </c>
      <c r="AI187" s="231">
        <v>46</v>
      </c>
      <c r="AJ187" s="231" t="s">
        <v>239</v>
      </c>
      <c r="AK187" s="231">
        <v>46</v>
      </c>
      <c r="AL187" s="231" t="s">
        <v>239</v>
      </c>
      <c r="AM187" s="231">
        <v>0</v>
      </c>
    </row>
    <row r="188" spans="1:39" ht="15" customHeight="1" outlineLevel="1">
      <c r="A188" s="412"/>
      <c r="B188" s="10">
        <v>129089</v>
      </c>
      <c r="C188" s="218" t="s">
        <v>1489</v>
      </c>
      <c r="D188" s="218" t="s">
        <v>1490</v>
      </c>
      <c r="E188" s="23" t="s">
        <v>44</v>
      </c>
      <c r="F188" s="17" t="s">
        <v>45</v>
      </c>
      <c r="G188" s="11" t="s">
        <v>1432</v>
      </c>
      <c r="H188" s="12">
        <v>19</v>
      </c>
      <c r="I188" s="11" t="s">
        <v>1433</v>
      </c>
      <c r="J188" s="193" t="s">
        <v>1457</v>
      </c>
      <c r="K188" s="17" t="s">
        <v>233</v>
      </c>
      <c r="L188" s="17" t="s">
        <v>233</v>
      </c>
      <c r="M188" s="231">
        <v>13334</v>
      </c>
      <c r="N188" s="232">
        <v>13172.125239999999</v>
      </c>
      <c r="O188" s="132">
        <v>1033</v>
      </c>
      <c r="P188" s="231" t="s">
        <v>239</v>
      </c>
      <c r="Q188" s="231">
        <v>1041</v>
      </c>
      <c r="R188" s="231" t="s">
        <v>239</v>
      </c>
      <c r="S188" s="231">
        <v>1035</v>
      </c>
      <c r="T188" s="231" t="s">
        <v>239</v>
      </c>
      <c r="U188" s="231">
        <v>753</v>
      </c>
      <c r="V188" s="231" t="s">
        <v>239</v>
      </c>
      <c r="W188" s="231">
        <v>1093</v>
      </c>
      <c r="X188" s="231" t="s">
        <v>239</v>
      </c>
      <c r="Y188" s="231">
        <v>1069</v>
      </c>
      <c r="Z188" s="231" t="s">
        <v>239</v>
      </c>
      <c r="AA188" s="231">
        <v>10129</v>
      </c>
      <c r="AB188" s="231" t="s">
        <v>239</v>
      </c>
      <c r="AC188" s="231">
        <v>801</v>
      </c>
      <c r="AD188" s="231" t="s">
        <v>239</v>
      </c>
      <c r="AE188" s="231">
        <v>331</v>
      </c>
      <c r="AF188" s="231" t="s">
        <v>239</v>
      </c>
      <c r="AG188" s="231">
        <v>2074</v>
      </c>
      <c r="AH188" s="231" t="s">
        <v>239</v>
      </c>
      <c r="AI188" s="231">
        <v>301</v>
      </c>
      <c r="AJ188" s="231" t="s">
        <v>239</v>
      </c>
      <c r="AK188" s="231">
        <v>2352</v>
      </c>
      <c r="AL188" s="231" t="s">
        <v>239</v>
      </c>
      <c r="AM188" s="231">
        <v>22012</v>
      </c>
    </row>
    <row r="189" spans="1:39" ht="15" customHeight="1" outlineLevel="1">
      <c r="A189" s="411">
        <v>90</v>
      </c>
      <c r="B189" s="10">
        <v>129090</v>
      </c>
      <c r="C189" s="218" t="s">
        <v>1489</v>
      </c>
      <c r="D189" s="218" t="s">
        <v>1490</v>
      </c>
      <c r="E189" s="23" t="s">
        <v>138</v>
      </c>
      <c r="F189" s="17" t="s">
        <v>45</v>
      </c>
      <c r="G189" s="11" t="s">
        <v>1432</v>
      </c>
      <c r="H189" s="12">
        <v>22</v>
      </c>
      <c r="I189" s="11" t="s">
        <v>1433</v>
      </c>
      <c r="J189" s="193" t="s">
        <v>617</v>
      </c>
      <c r="K189" s="17" t="s">
        <v>233</v>
      </c>
      <c r="L189" s="17" t="s">
        <v>233</v>
      </c>
      <c r="M189" s="231">
        <v>8</v>
      </c>
      <c r="N189" s="232">
        <v>8</v>
      </c>
      <c r="O189" s="231">
        <v>8</v>
      </c>
      <c r="P189" s="231" t="s">
        <v>239</v>
      </c>
      <c r="Q189" s="231">
        <v>8</v>
      </c>
      <c r="R189" s="231" t="s">
        <v>239</v>
      </c>
      <c r="S189" s="231">
        <v>8</v>
      </c>
      <c r="T189" s="231" t="s">
        <v>239</v>
      </c>
      <c r="U189" s="231">
        <v>8</v>
      </c>
      <c r="V189" s="231" t="s">
        <v>239</v>
      </c>
      <c r="W189" s="231">
        <v>8</v>
      </c>
      <c r="X189" s="231" t="s">
        <v>239</v>
      </c>
      <c r="Y189" s="231">
        <v>8</v>
      </c>
      <c r="Z189" s="231" t="s">
        <v>239</v>
      </c>
      <c r="AA189" s="231">
        <v>8</v>
      </c>
      <c r="AB189" s="231" t="s">
        <v>239</v>
      </c>
      <c r="AC189" s="231">
        <v>8</v>
      </c>
      <c r="AD189" s="231" t="s">
        <v>239</v>
      </c>
      <c r="AE189" s="231">
        <v>8</v>
      </c>
      <c r="AF189" s="231" t="s">
        <v>239</v>
      </c>
      <c r="AG189" s="231">
        <v>8</v>
      </c>
      <c r="AH189" s="231" t="s">
        <v>239</v>
      </c>
      <c r="AI189" s="231">
        <v>8</v>
      </c>
      <c r="AJ189" s="231" t="s">
        <v>239</v>
      </c>
      <c r="AK189" s="231">
        <v>8</v>
      </c>
      <c r="AL189" s="231" t="s">
        <v>239</v>
      </c>
      <c r="AM189" s="231">
        <v>0</v>
      </c>
    </row>
    <row r="190" spans="1:39" ht="15" customHeight="1" outlineLevel="1">
      <c r="A190" s="412"/>
      <c r="B190" s="10">
        <v>129090</v>
      </c>
      <c r="C190" s="218" t="s">
        <v>1489</v>
      </c>
      <c r="D190" s="218" t="s">
        <v>1490</v>
      </c>
      <c r="E190" s="23" t="s">
        <v>44</v>
      </c>
      <c r="F190" s="17" t="s">
        <v>45</v>
      </c>
      <c r="G190" s="11" t="s">
        <v>1432</v>
      </c>
      <c r="H190" s="12">
        <v>24</v>
      </c>
      <c r="I190" s="11" t="s">
        <v>1433</v>
      </c>
      <c r="J190" s="193" t="s">
        <v>216</v>
      </c>
      <c r="K190" s="17" t="s">
        <v>233</v>
      </c>
      <c r="L190" s="17" t="s">
        <v>233</v>
      </c>
      <c r="M190" s="231">
        <v>3700</v>
      </c>
      <c r="N190" s="232">
        <v>3655.0819999999999</v>
      </c>
      <c r="O190" s="132">
        <v>298</v>
      </c>
      <c r="P190" s="231" t="s">
        <v>239</v>
      </c>
      <c r="Q190" s="231">
        <v>277</v>
      </c>
      <c r="R190" s="231" t="s">
        <v>239</v>
      </c>
      <c r="S190" s="231">
        <v>449</v>
      </c>
      <c r="T190" s="231" t="s">
        <v>239</v>
      </c>
      <c r="U190" s="231">
        <v>402</v>
      </c>
      <c r="V190" s="230" t="s">
        <v>239</v>
      </c>
      <c r="W190" s="231">
        <v>400</v>
      </c>
      <c r="X190" s="231" t="s">
        <v>239</v>
      </c>
      <c r="Y190" s="231">
        <v>205</v>
      </c>
      <c r="Z190" s="231" t="s">
        <v>239</v>
      </c>
      <c r="AA190" s="231">
        <v>611</v>
      </c>
      <c r="AB190" s="231" t="s">
        <v>239</v>
      </c>
      <c r="AC190" s="231">
        <v>166</v>
      </c>
      <c r="AD190" s="231" t="s">
        <v>239</v>
      </c>
      <c r="AE190" s="231">
        <v>173</v>
      </c>
      <c r="AF190" s="231" t="s">
        <v>239</v>
      </c>
      <c r="AG190" s="231">
        <v>169</v>
      </c>
      <c r="AH190" s="231" t="s">
        <v>239</v>
      </c>
      <c r="AI190" s="231">
        <v>159</v>
      </c>
      <c r="AJ190" s="231" t="s">
        <v>239</v>
      </c>
      <c r="AK190" s="231">
        <v>0</v>
      </c>
      <c r="AL190" s="231" t="s">
        <v>239</v>
      </c>
      <c r="AM190" s="231">
        <v>3309</v>
      </c>
    </row>
    <row r="191" spans="1:39" ht="15" customHeight="1" outlineLevel="1">
      <c r="A191" s="411">
        <v>91</v>
      </c>
      <c r="B191" s="10">
        <v>129091</v>
      </c>
      <c r="C191" s="218" t="s">
        <v>1489</v>
      </c>
      <c r="D191" s="218" t="s">
        <v>1490</v>
      </c>
      <c r="E191" s="23" t="s">
        <v>138</v>
      </c>
      <c r="F191" s="17" t="s">
        <v>45</v>
      </c>
      <c r="G191" s="11" t="s">
        <v>1432</v>
      </c>
      <c r="H191" s="12">
        <v>16</v>
      </c>
      <c r="I191" s="11" t="s">
        <v>1433</v>
      </c>
      <c r="J191" s="192" t="s">
        <v>1446</v>
      </c>
      <c r="K191" s="17" t="s">
        <v>233</v>
      </c>
      <c r="L191" s="17" t="s">
        <v>233</v>
      </c>
      <c r="M191" s="231">
        <v>29</v>
      </c>
      <c r="N191" s="232">
        <v>29</v>
      </c>
      <c r="O191" s="231">
        <v>29</v>
      </c>
      <c r="P191" s="231" t="s">
        <v>239</v>
      </c>
      <c r="Q191" s="231">
        <v>29</v>
      </c>
      <c r="R191" s="231" t="s">
        <v>239</v>
      </c>
      <c r="S191" s="231">
        <v>29</v>
      </c>
      <c r="T191" s="231" t="s">
        <v>239</v>
      </c>
      <c r="U191" s="231">
        <v>29</v>
      </c>
      <c r="V191" s="231" t="s">
        <v>239</v>
      </c>
      <c r="W191" s="231">
        <v>29</v>
      </c>
      <c r="X191" s="231" t="s">
        <v>239</v>
      </c>
      <c r="Y191" s="231">
        <v>29</v>
      </c>
      <c r="Z191" s="231" t="s">
        <v>239</v>
      </c>
      <c r="AA191" s="231">
        <v>29</v>
      </c>
      <c r="AB191" s="231" t="s">
        <v>239</v>
      </c>
      <c r="AC191" s="231">
        <v>29</v>
      </c>
      <c r="AD191" s="231" t="s">
        <v>239</v>
      </c>
      <c r="AE191" s="231">
        <v>29</v>
      </c>
      <c r="AF191" s="231" t="s">
        <v>239</v>
      </c>
      <c r="AG191" s="231">
        <v>29</v>
      </c>
      <c r="AH191" s="231" t="s">
        <v>239</v>
      </c>
      <c r="AI191" s="231">
        <v>29</v>
      </c>
      <c r="AJ191" s="231" t="s">
        <v>239</v>
      </c>
      <c r="AK191" s="231">
        <v>29</v>
      </c>
      <c r="AL191" s="231" t="s">
        <v>239</v>
      </c>
      <c r="AM191" s="231">
        <v>0</v>
      </c>
    </row>
    <row r="192" spans="1:39" ht="15" customHeight="1" outlineLevel="1">
      <c r="A192" s="412"/>
      <c r="B192" s="10">
        <v>129091</v>
      </c>
      <c r="C192" s="218" t="s">
        <v>1489</v>
      </c>
      <c r="D192" s="218" t="s">
        <v>1490</v>
      </c>
      <c r="E192" s="23" t="s">
        <v>44</v>
      </c>
      <c r="F192" s="17" t="s">
        <v>45</v>
      </c>
      <c r="G192" s="11" t="s">
        <v>1432</v>
      </c>
      <c r="H192" s="12">
        <v>5</v>
      </c>
      <c r="I192" s="11" t="s">
        <v>1433</v>
      </c>
      <c r="J192" s="192" t="s">
        <v>1481</v>
      </c>
      <c r="K192" s="17" t="s">
        <v>233</v>
      </c>
      <c r="L192" s="17" t="s">
        <v>233</v>
      </c>
      <c r="M192" s="231">
        <v>8046</v>
      </c>
      <c r="N192" s="232">
        <v>7948.3215599999994</v>
      </c>
      <c r="O192" s="132">
        <v>75</v>
      </c>
      <c r="P192" s="231" t="s">
        <v>239</v>
      </c>
      <c r="Q192" s="231">
        <v>145</v>
      </c>
      <c r="R192" s="231" t="s">
        <v>239</v>
      </c>
      <c r="S192" s="231">
        <v>188</v>
      </c>
      <c r="T192" s="231" t="s">
        <v>239</v>
      </c>
      <c r="U192" s="231">
        <v>174</v>
      </c>
      <c r="V192" s="231" t="s">
        <v>239</v>
      </c>
      <c r="W192" s="231">
        <v>301</v>
      </c>
      <c r="X192" s="231" t="s">
        <v>239</v>
      </c>
      <c r="Y192" s="231">
        <v>220</v>
      </c>
      <c r="Z192" s="231" t="s">
        <v>239</v>
      </c>
      <c r="AA192" s="231">
        <v>121</v>
      </c>
      <c r="AB192" s="231" t="s">
        <v>239</v>
      </c>
      <c r="AC192" s="231">
        <v>2273</v>
      </c>
      <c r="AD192" s="231" t="s">
        <v>239</v>
      </c>
      <c r="AE192" s="231">
        <v>409</v>
      </c>
      <c r="AF192" s="231" t="s">
        <v>239</v>
      </c>
      <c r="AG192" s="231">
        <v>406</v>
      </c>
      <c r="AH192" s="231" t="s">
        <v>239</v>
      </c>
      <c r="AI192" s="231">
        <v>547</v>
      </c>
      <c r="AJ192" s="231" t="s">
        <v>239</v>
      </c>
      <c r="AK192" s="231">
        <v>489</v>
      </c>
      <c r="AL192" s="231" t="s">
        <v>239</v>
      </c>
      <c r="AM192" s="231">
        <v>5348</v>
      </c>
    </row>
    <row r="193" spans="1:39" ht="15" customHeight="1" outlineLevel="1">
      <c r="A193" s="411">
        <v>92</v>
      </c>
      <c r="B193" s="10">
        <v>129092</v>
      </c>
      <c r="C193" s="218" t="s">
        <v>1489</v>
      </c>
      <c r="D193" s="218" t="s">
        <v>1490</v>
      </c>
      <c r="E193" s="23" t="s">
        <v>44</v>
      </c>
      <c r="F193" s="17" t="s">
        <v>45</v>
      </c>
      <c r="G193" s="11" t="s">
        <v>1432</v>
      </c>
      <c r="H193" s="12">
        <v>17</v>
      </c>
      <c r="I193" s="11" t="s">
        <v>1433</v>
      </c>
      <c r="J193" s="192" t="s">
        <v>208</v>
      </c>
      <c r="K193" s="17" t="s">
        <v>233</v>
      </c>
      <c r="L193" s="17" t="s">
        <v>233</v>
      </c>
      <c r="M193" s="231">
        <v>15</v>
      </c>
      <c r="N193" s="232">
        <v>15</v>
      </c>
      <c r="O193" s="231">
        <v>15</v>
      </c>
      <c r="P193" s="231" t="s">
        <v>239</v>
      </c>
      <c r="Q193" s="231">
        <v>15</v>
      </c>
      <c r="R193" s="231" t="s">
        <v>239</v>
      </c>
      <c r="S193" s="231">
        <v>15</v>
      </c>
      <c r="T193" s="231" t="s">
        <v>239</v>
      </c>
      <c r="U193" s="231">
        <v>15</v>
      </c>
      <c r="V193" s="230" t="s">
        <v>239</v>
      </c>
      <c r="W193" s="231">
        <v>15</v>
      </c>
      <c r="X193" s="231" t="s">
        <v>239</v>
      </c>
      <c r="Y193" s="231">
        <v>15</v>
      </c>
      <c r="Z193" s="231" t="s">
        <v>239</v>
      </c>
      <c r="AA193" s="231">
        <v>15</v>
      </c>
      <c r="AB193" s="231" t="s">
        <v>239</v>
      </c>
      <c r="AC193" s="231">
        <v>15</v>
      </c>
      <c r="AD193" s="231" t="s">
        <v>239</v>
      </c>
      <c r="AE193" s="231">
        <v>15</v>
      </c>
      <c r="AF193" s="231" t="s">
        <v>239</v>
      </c>
      <c r="AG193" s="231">
        <v>15</v>
      </c>
      <c r="AH193" s="231" t="s">
        <v>239</v>
      </c>
      <c r="AI193" s="231">
        <v>15</v>
      </c>
      <c r="AJ193" s="231" t="s">
        <v>239</v>
      </c>
      <c r="AK193" s="231">
        <v>15</v>
      </c>
      <c r="AL193" s="231" t="s">
        <v>239</v>
      </c>
      <c r="AM193" s="231">
        <v>0</v>
      </c>
    </row>
    <row r="194" spans="1:39" ht="15" customHeight="1" outlineLevel="1">
      <c r="A194" s="412"/>
      <c r="B194" s="10">
        <v>129092</v>
      </c>
      <c r="C194" s="218" t="s">
        <v>1489</v>
      </c>
      <c r="D194" s="218" t="s">
        <v>1490</v>
      </c>
      <c r="E194" s="23" t="s">
        <v>138</v>
      </c>
      <c r="F194" s="17" t="s">
        <v>45</v>
      </c>
      <c r="G194" s="11" t="s">
        <v>1432</v>
      </c>
      <c r="H194" s="12">
        <v>19</v>
      </c>
      <c r="I194" s="11" t="s">
        <v>1433</v>
      </c>
      <c r="J194" s="192" t="s">
        <v>1463</v>
      </c>
      <c r="K194" s="17" t="s">
        <v>233</v>
      </c>
      <c r="L194" s="17" t="s">
        <v>233</v>
      </c>
      <c r="M194" s="231">
        <v>1971</v>
      </c>
      <c r="N194" s="232">
        <v>1947.07206</v>
      </c>
      <c r="O194" s="132">
        <v>10344</v>
      </c>
      <c r="P194" s="231" t="s">
        <v>239</v>
      </c>
      <c r="Q194" s="231">
        <v>585</v>
      </c>
      <c r="R194" s="231" t="s">
        <v>239</v>
      </c>
      <c r="S194" s="231">
        <v>553</v>
      </c>
      <c r="T194" s="231" t="s">
        <v>239</v>
      </c>
      <c r="U194" s="231">
        <v>402</v>
      </c>
      <c r="V194" s="231" t="s">
        <v>239</v>
      </c>
      <c r="W194" s="231">
        <v>558</v>
      </c>
      <c r="X194" s="231" t="s">
        <v>239</v>
      </c>
      <c r="Y194" s="231">
        <v>727</v>
      </c>
      <c r="Z194" s="231" t="s">
        <v>239</v>
      </c>
      <c r="AA194" s="231">
        <v>0</v>
      </c>
      <c r="AB194" s="231" t="s">
        <v>239</v>
      </c>
      <c r="AC194" s="231">
        <v>0</v>
      </c>
      <c r="AD194" s="231" t="s">
        <v>239</v>
      </c>
      <c r="AE194" s="231">
        <v>0</v>
      </c>
      <c r="AF194" s="231" t="s">
        <v>239</v>
      </c>
      <c r="AG194" s="231">
        <v>0</v>
      </c>
      <c r="AH194" s="231" t="s">
        <v>239</v>
      </c>
      <c r="AI194" s="231">
        <v>0</v>
      </c>
      <c r="AJ194" s="231" t="s">
        <v>239</v>
      </c>
      <c r="AK194" s="231">
        <v>0</v>
      </c>
      <c r="AL194" s="231" t="s">
        <v>239</v>
      </c>
      <c r="AM194" s="231">
        <v>13169</v>
      </c>
    </row>
    <row r="195" spans="1:39" ht="15" customHeight="1" outlineLevel="1">
      <c r="A195" s="411">
        <v>93</v>
      </c>
      <c r="B195" s="10">
        <v>129093</v>
      </c>
      <c r="C195" s="218" t="s">
        <v>1489</v>
      </c>
      <c r="D195" s="218" t="s">
        <v>1490</v>
      </c>
      <c r="E195" s="23" t="s">
        <v>44</v>
      </c>
      <c r="F195" s="17" t="s">
        <v>45</v>
      </c>
      <c r="G195" s="11" t="s">
        <v>1432</v>
      </c>
      <c r="H195" s="12">
        <v>18</v>
      </c>
      <c r="I195" s="11" t="s">
        <v>1433</v>
      </c>
      <c r="J195" s="192" t="s">
        <v>1482</v>
      </c>
      <c r="K195" s="17" t="s">
        <v>233</v>
      </c>
      <c r="L195" s="17" t="s">
        <v>233</v>
      </c>
      <c r="M195" s="231">
        <v>30</v>
      </c>
      <c r="N195" s="232">
        <v>30</v>
      </c>
      <c r="O195" s="231">
        <v>30</v>
      </c>
      <c r="P195" s="231" t="s">
        <v>239</v>
      </c>
      <c r="Q195" s="231">
        <v>30</v>
      </c>
      <c r="R195" s="231" t="s">
        <v>239</v>
      </c>
      <c r="S195" s="231">
        <v>30</v>
      </c>
      <c r="T195" s="231" t="s">
        <v>239</v>
      </c>
      <c r="U195" s="231">
        <v>30</v>
      </c>
      <c r="V195" s="231" t="s">
        <v>239</v>
      </c>
      <c r="W195" s="231">
        <v>30</v>
      </c>
      <c r="X195" s="231" t="s">
        <v>239</v>
      </c>
      <c r="Y195" s="231">
        <v>30</v>
      </c>
      <c r="Z195" s="231" t="s">
        <v>239</v>
      </c>
      <c r="AA195" s="231">
        <v>30</v>
      </c>
      <c r="AB195" s="231" t="s">
        <v>239</v>
      </c>
      <c r="AC195" s="231">
        <v>30</v>
      </c>
      <c r="AD195" s="231" t="s">
        <v>239</v>
      </c>
      <c r="AE195" s="231">
        <v>30</v>
      </c>
      <c r="AF195" s="231" t="s">
        <v>239</v>
      </c>
      <c r="AG195" s="231">
        <v>30</v>
      </c>
      <c r="AH195" s="231" t="s">
        <v>239</v>
      </c>
      <c r="AI195" s="231">
        <v>30</v>
      </c>
      <c r="AJ195" s="231" t="s">
        <v>239</v>
      </c>
      <c r="AK195" s="231">
        <v>30</v>
      </c>
      <c r="AL195" s="231" t="s">
        <v>239</v>
      </c>
      <c r="AM195" s="231">
        <v>0</v>
      </c>
    </row>
    <row r="196" spans="1:39" ht="15" customHeight="1" outlineLevel="1">
      <c r="A196" s="412"/>
      <c r="B196" s="10">
        <v>129093</v>
      </c>
      <c r="C196" s="218" t="s">
        <v>1489</v>
      </c>
      <c r="D196" s="218" t="s">
        <v>1490</v>
      </c>
      <c r="E196" s="23" t="s">
        <v>138</v>
      </c>
      <c r="F196" s="17" t="s">
        <v>45</v>
      </c>
      <c r="G196" s="11" t="s">
        <v>1432</v>
      </c>
      <c r="H196" s="12">
        <v>13</v>
      </c>
      <c r="I196" s="11" t="s">
        <v>1433</v>
      </c>
      <c r="J196" s="192" t="s">
        <v>1462</v>
      </c>
      <c r="K196" s="17" t="s">
        <v>233</v>
      </c>
      <c r="L196" s="17" t="s">
        <v>233</v>
      </c>
      <c r="M196" s="231">
        <v>8600</v>
      </c>
      <c r="N196" s="232">
        <v>8495.5959999999995</v>
      </c>
      <c r="O196" s="132">
        <v>226</v>
      </c>
      <c r="P196" s="231" t="s">
        <v>239</v>
      </c>
      <c r="Q196" s="231">
        <v>194</v>
      </c>
      <c r="R196" s="231" t="s">
        <v>239</v>
      </c>
      <c r="S196" s="231">
        <v>641</v>
      </c>
      <c r="T196" s="231" t="s">
        <v>239</v>
      </c>
      <c r="U196" s="231">
        <v>490</v>
      </c>
      <c r="V196" s="230" t="s">
        <v>239</v>
      </c>
      <c r="W196" s="231">
        <v>406</v>
      </c>
      <c r="X196" s="231" t="s">
        <v>239</v>
      </c>
      <c r="Y196" s="231">
        <v>266</v>
      </c>
      <c r="Z196" s="231" t="s">
        <v>239</v>
      </c>
      <c r="AA196" s="231">
        <v>354</v>
      </c>
      <c r="AB196" s="231" t="s">
        <v>239</v>
      </c>
      <c r="AC196" s="231">
        <v>389</v>
      </c>
      <c r="AD196" s="231" t="s">
        <v>239</v>
      </c>
      <c r="AE196" s="231">
        <v>388</v>
      </c>
      <c r="AF196" s="231" t="s">
        <v>239</v>
      </c>
      <c r="AG196" s="231">
        <v>585</v>
      </c>
      <c r="AH196" s="231" t="s">
        <v>239</v>
      </c>
      <c r="AI196" s="231">
        <v>715</v>
      </c>
      <c r="AJ196" s="231" t="s">
        <v>239</v>
      </c>
      <c r="AK196" s="231">
        <v>0</v>
      </c>
      <c r="AL196" s="231" t="s">
        <v>239</v>
      </c>
      <c r="AM196" s="231">
        <v>4654</v>
      </c>
    </row>
    <row r="197" spans="1:39" ht="15" customHeight="1" outlineLevel="1">
      <c r="A197" s="411">
        <v>94</v>
      </c>
      <c r="B197" s="10">
        <v>129094</v>
      </c>
      <c r="C197" s="218" t="s">
        <v>1489</v>
      </c>
      <c r="D197" s="218" t="s">
        <v>1490</v>
      </c>
      <c r="E197" s="23" t="s">
        <v>44</v>
      </c>
      <c r="F197" s="17" t="s">
        <v>45</v>
      </c>
      <c r="G197" s="11" t="s">
        <v>1432</v>
      </c>
      <c r="H197" s="12">
        <v>21</v>
      </c>
      <c r="I197" s="11" t="s">
        <v>1433</v>
      </c>
      <c r="J197" s="192" t="s">
        <v>1457</v>
      </c>
      <c r="K197" s="17" t="s">
        <v>233</v>
      </c>
      <c r="L197" s="17" t="s">
        <v>233</v>
      </c>
      <c r="M197" s="231">
        <v>2</v>
      </c>
      <c r="N197" s="232">
        <v>2</v>
      </c>
      <c r="O197" s="231">
        <v>2</v>
      </c>
      <c r="P197" s="231" t="s">
        <v>239</v>
      </c>
      <c r="Q197" s="231">
        <v>2</v>
      </c>
      <c r="R197" s="231" t="s">
        <v>239</v>
      </c>
      <c r="S197" s="231">
        <v>2</v>
      </c>
      <c r="T197" s="231" t="s">
        <v>239</v>
      </c>
      <c r="U197" s="231">
        <v>2</v>
      </c>
      <c r="V197" s="231" t="s">
        <v>239</v>
      </c>
      <c r="W197" s="231">
        <v>2</v>
      </c>
      <c r="X197" s="231" t="s">
        <v>239</v>
      </c>
      <c r="Y197" s="231">
        <v>2</v>
      </c>
      <c r="Z197" s="231" t="s">
        <v>239</v>
      </c>
      <c r="AA197" s="231">
        <v>2</v>
      </c>
      <c r="AB197" s="231" t="s">
        <v>239</v>
      </c>
      <c r="AC197" s="231">
        <v>2</v>
      </c>
      <c r="AD197" s="231" t="s">
        <v>239</v>
      </c>
      <c r="AE197" s="231">
        <v>2</v>
      </c>
      <c r="AF197" s="231" t="s">
        <v>239</v>
      </c>
      <c r="AG197" s="231">
        <v>2</v>
      </c>
      <c r="AH197" s="231" t="s">
        <v>239</v>
      </c>
      <c r="AI197" s="231">
        <v>2</v>
      </c>
      <c r="AJ197" s="231" t="s">
        <v>239</v>
      </c>
      <c r="AK197" s="231">
        <v>2</v>
      </c>
      <c r="AL197" s="231" t="s">
        <v>239</v>
      </c>
      <c r="AM197" s="231">
        <v>0</v>
      </c>
    </row>
    <row r="198" spans="1:39" ht="15" customHeight="1" outlineLevel="1">
      <c r="A198" s="412"/>
      <c r="B198" s="10">
        <v>129094</v>
      </c>
      <c r="C198" s="218" t="s">
        <v>1489</v>
      </c>
      <c r="D198" s="218" t="s">
        <v>1490</v>
      </c>
      <c r="E198" s="23" t="s">
        <v>44</v>
      </c>
      <c r="F198" s="17" t="s">
        <v>45</v>
      </c>
      <c r="G198" s="11" t="s">
        <v>1432</v>
      </c>
      <c r="H198" s="12">
        <v>19</v>
      </c>
      <c r="I198" s="11" t="s">
        <v>1433</v>
      </c>
      <c r="J198" s="192" t="s">
        <v>617</v>
      </c>
      <c r="K198" s="17" t="s">
        <v>233</v>
      </c>
      <c r="L198" s="17" t="s">
        <v>233</v>
      </c>
      <c r="M198" s="231">
        <v>7787</v>
      </c>
      <c r="N198" s="232">
        <v>7692.4658199999994</v>
      </c>
      <c r="O198" s="132">
        <v>1142</v>
      </c>
      <c r="P198" s="231" t="s">
        <v>239</v>
      </c>
      <c r="Q198" s="231">
        <v>731</v>
      </c>
      <c r="R198" s="231" t="s">
        <v>239</v>
      </c>
      <c r="S198" s="231">
        <v>870</v>
      </c>
      <c r="T198" s="231" t="s">
        <v>239</v>
      </c>
      <c r="U198" s="231">
        <v>701</v>
      </c>
      <c r="V198" s="231" t="s">
        <v>239</v>
      </c>
      <c r="W198" s="231">
        <v>606</v>
      </c>
      <c r="X198" s="231" t="s">
        <v>239</v>
      </c>
      <c r="Y198" s="231">
        <v>4299</v>
      </c>
      <c r="Z198" s="231" t="s">
        <v>239</v>
      </c>
      <c r="AA198" s="231">
        <v>3403</v>
      </c>
      <c r="AB198" s="231" t="s">
        <v>239</v>
      </c>
      <c r="AC198" s="231">
        <v>153</v>
      </c>
      <c r="AD198" s="231" t="s">
        <v>239</v>
      </c>
      <c r="AE198" s="231">
        <v>842</v>
      </c>
      <c r="AF198" s="231" t="s">
        <v>239</v>
      </c>
      <c r="AG198" s="231">
        <v>633</v>
      </c>
      <c r="AH198" s="231" t="s">
        <v>239</v>
      </c>
      <c r="AI198" s="231">
        <v>954</v>
      </c>
      <c r="AJ198" s="231" t="s">
        <v>239</v>
      </c>
      <c r="AK198" s="231">
        <v>880</v>
      </c>
      <c r="AL198" s="231" t="s">
        <v>239</v>
      </c>
      <c r="AM198" s="231">
        <v>15214</v>
      </c>
    </row>
    <row r="199" spans="1:39" ht="15" customHeight="1" outlineLevel="1">
      <c r="A199" s="411">
        <v>95</v>
      </c>
      <c r="B199" s="10">
        <v>129095</v>
      </c>
      <c r="C199" s="218" t="s">
        <v>1489</v>
      </c>
      <c r="D199" s="218" t="s">
        <v>1490</v>
      </c>
      <c r="E199" s="23" t="s">
        <v>138</v>
      </c>
      <c r="F199" s="17" t="s">
        <v>45</v>
      </c>
      <c r="G199" s="11" t="s">
        <v>1432</v>
      </c>
      <c r="H199" s="12">
        <v>30</v>
      </c>
      <c r="I199" s="11" t="s">
        <v>1433</v>
      </c>
      <c r="J199" s="374" t="s">
        <v>1457</v>
      </c>
      <c r="K199" s="17" t="s">
        <v>233</v>
      </c>
      <c r="L199" s="17" t="s">
        <v>233</v>
      </c>
      <c r="M199" s="231">
        <v>0</v>
      </c>
      <c r="N199" s="232">
        <v>0</v>
      </c>
      <c r="O199" s="132">
        <v>0</v>
      </c>
      <c r="P199" s="231" t="s">
        <v>239</v>
      </c>
      <c r="Q199" s="231">
        <v>0</v>
      </c>
      <c r="R199" s="231" t="s">
        <v>239</v>
      </c>
      <c r="S199" s="231">
        <v>0</v>
      </c>
      <c r="T199" s="231" t="s">
        <v>239</v>
      </c>
      <c r="U199" s="231">
        <v>0</v>
      </c>
      <c r="V199" s="230" t="s">
        <v>239</v>
      </c>
      <c r="W199" s="231">
        <v>0</v>
      </c>
      <c r="X199" s="231" t="s">
        <v>239</v>
      </c>
      <c r="Y199" s="231">
        <v>0</v>
      </c>
      <c r="Z199" s="231" t="s">
        <v>239</v>
      </c>
      <c r="AA199" s="231">
        <v>0</v>
      </c>
      <c r="AB199" s="231" t="s">
        <v>239</v>
      </c>
      <c r="AC199" s="231">
        <v>0</v>
      </c>
      <c r="AD199" s="231" t="s">
        <v>239</v>
      </c>
      <c r="AE199" s="231">
        <v>0</v>
      </c>
      <c r="AF199" s="231" t="s">
        <v>239</v>
      </c>
      <c r="AG199" s="231">
        <v>0</v>
      </c>
      <c r="AH199" s="231" t="s">
        <v>239</v>
      </c>
      <c r="AI199" s="231">
        <v>0</v>
      </c>
      <c r="AJ199" s="231" t="s">
        <v>239</v>
      </c>
      <c r="AK199" s="231">
        <v>0</v>
      </c>
      <c r="AL199" s="231" t="s">
        <v>239</v>
      </c>
      <c r="AM199" s="231">
        <v>0</v>
      </c>
    </row>
    <row r="200" spans="1:39" ht="15" customHeight="1" outlineLevel="1">
      <c r="A200" s="412"/>
      <c r="B200" s="10">
        <v>129095</v>
      </c>
      <c r="C200" s="218" t="s">
        <v>1489</v>
      </c>
      <c r="D200" s="218" t="s">
        <v>1490</v>
      </c>
      <c r="E200" s="23" t="s">
        <v>44</v>
      </c>
      <c r="F200" s="17" t="s">
        <v>45</v>
      </c>
      <c r="G200" s="11" t="s">
        <v>1432</v>
      </c>
      <c r="H200" s="12">
        <v>33</v>
      </c>
      <c r="I200" s="11" t="s">
        <v>1433</v>
      </c>
      <c r="J200" s="375"/>
      <c r="K200" s="17" t="s">
        <v>233</v>
      </c>
      <c r="L200" s="17" t="s">
        <v>233</v>
      </c>
      <c r="M200" s="231">
        <v>1076</v>
      </c>
      <c r="N200" s="232">
        <v>1062.9373599999999</v>
      </c>
      <c r="O200" s="132">
        <v>393</v>
      </c>
      <c r="P200" s="231" t="s">
        <v>239</v>
      </c>
      <c r="Q200" s="231">
        <v>204</v>
      </c>
      <c r="R200" s="231" t="s">
        <v>239</v>
      </c>
      <c r="S200" s="231">
        <v>180</v>
      </c>
      <c r="T200" s="231" t="s">
        <v>239</v>
      </c>
      <c r="U200" s="231">
        <v>248</v>
      </c>
      <c r="V200" s="231" t="s">
        <v>239</v>
      </c>
      <c r="W200" s="231">
        <v>137</v>
      </c>
      <c r="X200" s="231" t="s">
        <v>239</v>
      </c>
      <c r="Y200" s="231">
        <v>127</v>
      </c>
      <c r="Z200" s="231" t="s">
        <v>239</v>
      </c>
      <c r="AA200" s="231">
        <v>177</v>
      </c>
      <c r="AB200" s="231" t="s">
        <v>239</v>
      </c>
      <c r="AC200" s="231">
        <v>77</v>
      </c>
      <c r="AD200" s="231" t="s">
        <v>239</v>
      </c>
      <c r="AE200" s="231">
        <v>108</v>
      </c>
      <c r="AF200" s="231" t="s">
        <v>239</v>
      </c>
      <c r="AG200" s="231">
        <v>200</v>
      </c>
      <c r="AH200" s="231" t="s">
        <v>239</v>
      </c>
      <c r="AI200" s="231">
        <v>246</v>
      </c>
      <c r="AJ200" s="231" t="s">
        <v>239</v>
      </c>
      <c r="AK200" s="231">
        <v>210</v>
      </c>
      <c r="AL200" s="231" t="s">
        <v>239</v>
      </c>
      <c r="AM200" s="231">
        <v>2307</v>
      </c>
    </row>
    <row r="201" spans="1:39" ht="15" customHeight="1" outlineLevel="1">
      <c r="A201" s="411">
        <v>96</v>
      </c>
      <c r="B201" s="10">
        <v>129096</v>
      </c>
      <c r="C201" s="218" t="s">
        <v>1489</v>
      </c>
      <c r="D201" s="218" t="s">
        <v>1490</v>
      </c>
      <c r="E201" s="23" t="s">
        <v>138</v>
      </c>
      <c r="F201" s="17" t="s">
        <v>45</v>
      </c>
      <c r="G201" s="11" t="s">
        <v>1432</v>
      </c>
      <c r="H201" s="12">
        <v>19</v>
      </c>
      <c r="I201" s="11" t="s">
        <v>1433</v>
      </c>
      <c r="J201" s="193" t="s">
        <v>1460</v>
      </c>
      <c r="K201" s="17" t="s">
        <v>233</v>
      </c>
      <c r="L201" s="17" t="s">
        <v>233</v>
      </c>
      <c r="M201" s="231">
        <v>0</v>
      </c>
      <c r="N201" s="232">
        <v>0</v>
      </c>
      <c r="O201" s="132">
        <v>0</v>
      </c>
      <c r="P201" s="231" t="s">
        <v>239</v>
      </c>
      <c r="Q201" s="231">
        <v>0</v>
      </c>
      <c r="R201" s="231" t="s">
        <v>239</v>
      </c>
      <c r="S201" s="231">
        <v>0</v>
      </c>
      <c r="T201" s="231" t="s">
        <v>239</v>
      </c>
      <c r="U201" s="231">
        <v>0</v>
      </c>
      <c r="V201" s="231" t="s">
        <v>239</v>
      </c>
      <c r="W201" s="231">
        <v>0</v>
      </c>
      <c r="X201" s="231" t="s">
        <v>239</v>
      </c>
      <c r="Y201" s="231">
        <v>0</v>
      </c>
      <c r="Z201" s="231" t="s">
        <v>239</v>
      </c>
      <c r="AA201" s="231">
        <v>0</v>
      </c>
      <c r="AB201" s="231" t="s">
        <v>239</v>
      </c>
      <c r="AC201" s="231">
        <v>0</v>
      </c>
      <c r="AD201" s="231" t="s">
        <v>239</v>
      </c>
      <c r="AE201" s="231">
        <v>0</v>
      </c>
      <c r="AF201" s="231" t="s">
        <v>239</v>
      </c>
      <c r="AG201" s="231">
        <v>0</v>
      </c>
      <c r="AH201" s="231" t="s">
        <v>239</v>
      </c>
      <c r="AI201" s="231">
        <v>0</v>
      </c>
      <c r="AJ201" s="231" t="s">
        <v>239</v>
      </c>
      <c r="AK201" s="231">
        <v>0</v>
      </c>
      <c r="AL201" s="231" t="s">
        <v>239</v>
      </c>
      <c r="AM201" s="231">
        <v>0</v>
      </c>
    </row>
    <row r="202" spans="1:39" ht="15" customHeight="1" outlineLevel="1">
      <c r="A202" s="412"/>
      <c r="B202" s="10">
        <v>129096</v>
      </c>
      <c r="C202" s="218" t="s">
        <v>1489</v>
      </c>
      <c r="D202" s="218" t="s">
        <v>1490</v>
      </c>
      <c r="E202" s="23" t="s">
        <v>44</v>
      </c>
      <c r="F202" s="17" t="s">
        <v>45</v>
      </c>
      <c r="G202" s="11" t="s">
        <v>1432</v>
      </c>
      <c r="H202" s="12">
        <v>6</v>
      </c>
      <c r="I202" s="11" t="s">
        <v>1433</v>
      </c>
      <c r="J202" s="193" t="s">
        <v>1442</v>
      </c>
      <c r="K202" s="17" t="s">
        <v>233</v>
      </c>
      <c r="L202" s="17" t="s">
        <v>233</v>
      </c>
      <c r="M202" s="231">
        <v>11235</v>
      </c>
      <c r="N202" s="232">
        <v>11098.607099999999</v>
      </c>
      <c r="O202" s="132">
        <v>0</v>
      </c>
      <c r="P202" s="231" t="s">
        <v>239</v>
      </c>
      <c r="Q202" s="231">
        <v>0</v>
      </c>
      <c r="R202" s="231" t="s">
        <v>239</v>
      </c>
      <c r="S202" s="231">
        <v>0</v>
      </c>
      <c r="T202" s="231" t="s">
        <v>239</v>
      </c>
      <c r="U202" s="231">
        <v>0</v>
      </c>
      <c r="V202" s="230" t="s">
        <v>239</v>
      </c>
      <c r="W202" s="231">
        <v>0</v>
      </c>
      <c r="X202" s="231" t="s">
        <v>239</v>
      </c>
      <c r="Y202" s="231">
        <v>0</v>
      </c>
      <c r="Z202" s="231" t="s">
        <v>239</v>
      </c>
      <c r="AA202" s="231">
        <v>0</v>
      </c>
      <c r="AB202" s="231" t="s">
        <v>239</v>
      </c>
      <c r="AC202" s="231">
        <v>0</v>
      </c>
      <c r="AD202" s="231" t="s">
        <v>239</v>
      </c>
      <c r="AE202" s="231">
        <v>0</v>
      </c>
      <c r="AF202" s="231" t="s">
        <v>239</v>
      </c>
      <c r="AG202" s="231">
        <v>0</v>
      </c>
      <c r="AH202" s="231" t="s">
        <v>239</v>
      </c>
      <c r="AI202" s="231">
        <v>0</v>
      </c>
      <c r="AJ202" s="231" t="s">
        <v>239</v>
      </c>
      <c r="AK202" s="231">
        <v>0</v>
      </c>
      <c r="AL202" s="231" t="s">
        <v>239</v>
      </c>
      <c r="AM202" s="231">
        <v>0</v>
      </c>
    </row>
    <row r="203" spans="1:39" ht="15" customHeight="1" outlineLevel="1">
      <c r="A203" s="411">
        <v>97</v>
      </c>
      <c r="B203" s="10">
        <v>129097</v>
      </c>
      <c r="C203" s="218" t="s">
        <v>1489</v>
      </c>
      <c r="D203" s="218" t="s">
        <v>1490</v>
      </c>
      <c r="E203" s="23" t="s">
        <v>44</v>
      </c>
      <c r="F203" s="17" t="s">
        <v>45</v>
      </c>
      <c r="G203" s="11" t="s">
        <v>1432</v>
      </c>
      <c r="H203" s="12">
        <v>15</v>
      </c>
      <c r="I203" s="11" t="s">
        <v>1433</v>
      </c>
      <c r="J203" s="193" t="s">
        <v>1460</v>
      </c>
      <c r="K203" s="17" t="s">
        <v>233</v>
      </c>
      <c r="L203" s="17" t="s">
        <v>233</v>
      </c>
      <c r="M203" s="231">
        <v>40</v>
      </c>
      <c r="N203" s="232">
        <v>40</v>
      </c>
      <c r="O203" s="231">
        <v>40</v>
      </c>
      <c r="P203" s="231" t="s">
        <v>239</v>
      </c>
      <c r="Q203" s="231">
        <v>40</v>
      </c>
      <c r="R203" s="231" t="s">
        <v>239</v>
      </c>
      <c r="S203" s="231">
        <v>40</v>
      </c>
      <c r="T203" s="231" t="s">
        <v>239</v>
      </c>
      <c r="U203" s="231">
        <v>40</v>
      </c>
      <c r="V203" s="231" t="s">
        <v>239</v>
      </c>
      <c r="W203" s="231">
        <v>40</v>
      </c>
      <c r="X203" s="231" t="s">
        <v>239</v>
      </c>
      <c r="Y203" s="231">
        <v>40</v>
      </c>
      <c r="Z203" s="231" t="s">
        <v>239</v>
      </c>
      <c r="AA203" s="231">
        <v>40</v>
      </c>
      <c r="AB203" s="231" t="s">
        <v>239</v>
      </c>
      <c r="AC203" s="231">
        <v>40</v>
      </c>
      <c r="AD203" s="231" t="s">
        <v>239</v>
      </c>
      <c r="AE203" s="231">
        <v>40</v>
      </c>
      <c r="AF203" s="231" t="s">
        <v>239</v>
      </c>
      <c r="AG203" s="231">
        <v>40</v>
      </c>
      <c r="AH203" s="231" t="s">
        <v>239</v>
      </c>
      <c r="AI203" s="231">
        <v>40</v>
      </c>
      <c r="AJ203" s="231" t="s">
        <v>239</v>
      </c>
      <c r="AK203" s="231">
        <v>40</v>
      </c>
      <c r="AL203" s="231" t="s">
        <v>239</v>
      </c>
      <c r="AM203" s="231">
        <v>0</v>
      </c>
    </row>
    <row r="204" spans="1:39" ht="15" customHeight="1" outlineLevel="1">
      <c r="A204" s="412"/>
      <c r="B204" s="10">
        <v>129097</v>
      </c>
      <c r="C204" s="218" t="s">
        <v>1489</v>
      </c>
      <c r="D204" s="218" t="s">
        <v>1490</v>
      </c>
      <c r="E204" s="23" t="s">
        <v>138</v>
      </c>
      <c r="F204" s="17" t="s">
        <v>45</v>
      </c>
      <c r="G204" s="11" t="s">
        <v>1432</v>
      </c>
      <c r="H204" s="12">
        <v>19</v>
      </c>
      <c r="I204" s="11" t="s">
        <v>1433</v>
      </c>
      <c r="J204" s="193" t="s">
        <v>1457</v>
      </c>
      <c r="K204" s="17" t="s">
        <v>233</v>
      </c>
      <c r="L204" s="17" t="s">
        <v>233</v>
      </c>
      <c r="M204" s="231">
        <v>7862</v>
      </c>
      <c r="N204" s="232">
        <v>7766.5553199999995</v>
      </c>
      <c r="O204" s="132">
        <v>185</v>
      </c>
      <c r="P204" s="231" t="s">
        <v>239</v>
      </c>
      <c r="Q204" s="231">
        <v>317</v>
      </c>
      <c r="R204" s="231" t="s">
        <v>239</v>
      </c>
      <c r="S204" s="231">
        <v>329</v>
      </c>
      <c r="T204" s="231" t="s">
        <v>239</v>
      </c>
      <c r="U204" s="231">
        <v>426</v>
      </c>
      <c r="V204" s="231" t="s">
        <v>239</v>
      </c>
      <c r="W204" s="231">
        <v>367</v>
      </c>
      <c r="X204" s="231" t="s">
        <v>239</v>
      </c>
      <c r="Y204" s="231">
        <v>2649</v>
      </c>
      <c r="Z204" s="231" t="s">
        <v>239</v>
      </c>
      <c r="AA204" s="231">
        <v>477</v>
      </c>
      <c r="AB204" s="231" t="s">
        <v>239</v>
      </c>
      <c r="AC204" s="231">
        <v>422</v>
      </c>
      <c r="AD204" s="231" t="s">
        <v>239</v>
      </c>
      <c r="AE204" s="231">
        <v>551</v>
      </c>
      <c r="AF204" s="231" t="s">
        <v>239</v>
      </c>
      <c r="AG204" s="231">
        <v>491</v>
      </c>
      <c r="AH204" s="231" t="s">
        <v>239</v>
      </c>
      <c r="AI204" s="231">
        <v>821</v>
      </c>
      <c r="AJ204" s="231" t="s">
        <v>239</v>
      </c>
      <c r="AK204" s="231">
        <v>632</v>
      </c>
      <c r="AL204" s="231" t="s">
        <v>239</v>
      </c>
      <c r="AM204" s="231">
        <v>7667</v>
      </c>
    </row>
    <row r="205" spans="1:39" ht="15" customHeight="1" outlineLevel="1">
      <c r="A205" s="411">
        <v>98</v>
      </c>
      <c r="B205" s="10">
        <v>129098</v>
      </c>
      <c r="C205" s="218" t="s">
        <v>1489</v>
      </c>
      <c r="D205" s="218" t="s">
        <v>1490</v>
      </c>
      <c r="E205" s="23" t="s">
        <v>44</v>
      </c>
      <c r="F205" s="17" t="s">
        <v>45</v>
      </c>
      <c r="G205" s="11" t="s">
        <v>1432</v>
      </c>
      <c r="H205" s="12">
        <v>22</v>
      </c>
      <c r="I205" s="11" t="s">
        <v>1433</v>
      </c>
      <c r="J205" s="193" t="s">
        <v>617</v>
      </c>
      <c r="K205" s="17" t="s">
        <v>233</v>
      </c>
      <c r="L205" s="17" t="s">
        <v>233</v>
      </c>
      <c r="M205" s="231">
        <v>103</v>
      </c>
      <c r="N205" s="232">
        <v>103</v>
      </c>
      <c r="O205" s="231">
        <v>103</v>
      </c>
      <c r="P205" s="231" t="s">
        <v>239</v>
      </c>
      <c r="Q205" s="231">
        <v>103</v>
      </c>
      <c r="R205" s="231" t="s">
        <v>239</v>
      </c>
      <c r="S205" s="231">
        <v>103</v>
      </c>
      <c r="T205" s="231" t="s">
        <v>239</v>
      </c>
      <c r="U205" s="231">
        <v>103</v>
      </c>
      <c r="V205" s="230" t="s">
        <v>239</v>
      </c>
      <c r="W205" s="231">
        <v>103</v>
      </c>
      <c r="X205" s="231" t="s">
        <v>239</v>
      </c>
      <c r="Y205" s="231">
        <v>103</v>
      </c>
      <c r="Z205" s="231" t="s">
        <v>239</v>
      </c>
      <c r="AA205" s="231">
        <v>103</v>
      </c>
      <c r="AB205" s="231" t="s">
        <v>239</v>
      </c>
      <c r="AC205" s="231">
        <v>103</v>
      </c>
      <c r="AD205" s="231" t="s">
        <v>239</v>
      </c>
      <c r="AE205" s="231">
        <v>103</v>
      </c>
      <c r="AF205" s="231" t="s">
        <v>239</v>
      </c>
      <c r="AG205" s="231">
        <v>103</v>
      </c>
      <c r="AH205" s="231" t="s">
        <v>239</v>
      </c>
      <c r="AI205" s="231">
        <v>103</v>
      </c>
      <c r="AJ205" s="231" t="s">
        <v>239</v>
      </c>
      <c r="AK205" s="231">
        <v>103</v>
      </c>
      <c r="AL205" s="231" t="s">
        <v>239</v>
      </c>
      <c r="AM205" s="231">
        <v>0</v>
      </c>
    </row>
    <row r="206" spans="1:39" ht="15" customHeight="1" outlineLevel="1">
      <c r="A206" s="412"/>
      <c r="B206" s="10">
        <v>129098</v>
      </c>
      <c r="C206" s="218" t="s">
        <v>1489</v>
      </c>
      <c r="D206" s="218" t="s">
        <v>1490</v>
      </c>
      <c r="E206" s="23" t="s">
        <v>138</v>
      </c>
      <c r="F206" s="17" t="s">
        <v>45</v>
      </c>
      <c r="G206" s="11" t="s">
        <v>1432</v>
      </c>
      <c r="H206" s="12">
        <v>24</v>
      </c>
      <c r="I206" s="11" t="s">
        <v>1433</v>
      </c>
      <c r="J206" s="193" t="s">
        <v>216</v>
      </c>
      <c r="K206" s="17" t="s">
        <v>233</v>
      </c>
      <c r="L206" s="17" t="s">
        <v>233</v>
      </c>
      <c r="M206" s="231">
        <v>18989</v>
      </c>
      <c r="N206" s="232">
        <v>18758.473539999999</v>
      </c>
      <c r="O206" s="132">
        <v>824</v>
      </c>
      <c r="P206" s="231" t="s">
        <v>239</v>
      </c>
      <c r="Q206" s="231">
        <v>689</v>
      </c>
      <c r="R206" s="231" t="s">
        <v>239</v>
      </c>
      <c r="S206" s="231">
        <v>468</v>
      </c>
      <c r="T206" s="231" t="s">
        <v>239</v>
      </c>
      <c r="U206" s="231">
        <v>581</v>
      </c>
      <c r="V206" s="231" t="s">
        <v>239</v>
      </c>
      <c r="W206" s="231">
        <v>1065</v>
      </c>
      <c r="X206" s="231" t="s">
        <v>239</v>
      </c>
      <c r="Y206" s="231">
        <v>155</v>
      </c>
      <c r="Z206" s="231" t="s">
        <v>239</v>
      </c>
      <c r="AA206" s="231">
        <v>154</v>
      </c>
      <c r="AB206" s="231" t="s">
        <v>239</v>
      </c>
      <c r="AC206" s="231">
        <v>154</v>
      </c>
      <c r="AD206" s="231" t="s">
        <v>239</v>
      </c>
      <c r="AE206" s="231">
        <v>219</v>
      </c>
      <c r="AF206" s="231" t="s">
        <v>239</v>
      </c>
      <c r="AG206" s="231">
        <v>162</v>
      </c>
      <c r="AH206" s="231" t="s">
        <v>239</v>
      </c>
      <c r="AI206" s="231">
        <v>150</v>
      </c>
      <c r="AJ206" s="231" t="s">
        <v>239</v>
      </c>
      <c r="AK206" s="231">
        <v>314</v>
      </c>
      <c r="AL206" s="231" t="s">
        <v>239</v>
      </c>
      <c r="AM206" s="231">
        <v>4935</v>
      </c>
    </row>
    <row r="207" spans="1:39" ht="15" customHeight="1" outlineLevel="1">
      <c r="A207" s="411">
        <v>99</v>
      </c>
      <c r="B207" s="10">
        <v>129099</v>
      </c>
      <c r="C207" s="218" t="s">
        <v>1489</v>
      </c>
      <c r="D207" s="218" t="s">
        <v>1490</v>
      </c>
      <c r="E207" s="23" t="s">
        <v>44</v>
      </c>
      <c r="F207" s="17" t="s">
        <v>45</v>
      </c>
      <c r="G207" s="11" t="s">
        <v>1432</v>
      </c>
      <c r="H207" s="12">
        <v>16</v>
      </c>
      <c r="I207" s="11" t="s">
        <v>1433</v>
      </c>
      <c r="J207" s="191" t="s">
        <v>216</v>
      </c>
      <c r="K207" s="17" t="s">
        <v>233</v>
      </c>
      <c r="L207" s="17" t="s">
        <v>233</v>
      </c>
      <c r="M207" s="231">
        <v>0</v>
      </c>
      <c r="N207" s="232">
        <v>0</v>
      </c>
      <c r="O207" s="132">
        <v>0</v>
      </c>
      <c r="P207" s="231" t="s">
        <v>239</v>
      </c>
      <c r="Q207" s="231">
        <v>0</v>
      </c>
      <c r="R207" s="231" t="s">
        <v>239</v>
      </c>
      <c r="S207" s="231">
        <v>0</v>
      </c>
      <c r="T207" s="231" t="s">
        <v>239</v>
      </c>
      <c r="U207" s="231">
        <v>0</v>
      </c>
      <c r="V207" s="231" t="s">
        <v>239</v>
      </c>
      <c r="W207" s="231">
        <v>0</v>
      </c>
      <c r="X207" s="231" t="s">
        <v>239</v>
      </c>
      <c r="Y207" s="231">
        <v>0</v>
      </c>
      <c r="Z207" s="231" t="s">
        <v>239</v>
      </c>
      <c r="AA207" s="231">
        <v>0</v>
      </c>
      <c r="AB207" s="231" t="s">
        <v>239</v>
      </c>
      <c r="AC207" s="231">
        <v>0</v>
      </c>
      <c r="AD207" s="231" t="s">
        <v>239</v>
      </c>
      <c r="AE207" s="231">
        <v>0</v>
      </c>
      <c r="AF207" s="231" t="s">
        <v>239</v>
      </c>
      <c r="AG207" s="231">
        <v>0</v>
      </c>
      <c r="AH207" s="231" t="s">
        <v>239</v>
      </c>
      <c r="AI207" s="231">
        <v>0</v>
      </c>
      <c r="AJ207" s="231" t="s">
        <v>239</v>
      </c>
      <c r="AK207" s="231">
        <v>0</v>
      </c>
      <c r="AL207" s="231" t="s">
        <v>239</v>
      </c>
      <c r="AM207" s="231">
        <v>0</v>
      </c>
    </row>
    <row r="208" spans="1:39" ht="15" customHeight="1" outlineLevel="1">
      <c r="A208" s="412"/>
      <c r="B208" s="10">
        <v>129099</v>
      </c>
      <c r="C208" s="218" t="s">
        <v>1489</v>
      </c>
      <c r="D208" s="218" t="s">
        <v>1490</v>
      </c>
      <c r="E208" s="23" t="s">
        <v>44</v>
      </c>
      <c r="F208" s="17" t="s">
        <v>45</v>
      </c>
      <c r="G208" s="11" t="s">
        <v>1432</v>
      </c>
      <c r="H208" s="12">
        <v>21</v>
      </c>
      <c r="I208" s="11" t="s">
        <v>1433</v>
      </c>
      <c r="J208" s="192" t="s">
        <v>1434</v>
      </c>
      <c r="K208" s="17" t="s">
        <v>233</v>
      </c>
      <c r="L208" s="17" t="s">
        <v>233</v>
      </c>
      <c r="M208" s="231">
        <v>0</v>
      </c>
      <c r="N208" s="232">
        <v>0</v>
      </c>
      <c r="O208" s="132">
        <v>0</v>
      </c>
      <c r="P208" s="231" t="s">
        <v>239</v>
      </c>
      <c r="Q208" s="231">
        <v>0</v>
      </c>
      <c r="R208" s="231" t="s">
        <v>239</v>
      </c>
      <c r="S208" s="231">
        <v>0</v>
      </c>
      <c r="T208" s="231" t="s">
        <v>239</v>
      </c>
      <c r="U208" s="231">
        <v>0</v>
      </c>
      <c r="V208" s="230" t="s">
        <v>239</v>
      </c>
      <c r="W208" s="231">
        <v>0</v>
      </c>
      <c r="X208" s="231" t="s">
        <v>239</v>
      </c>
      <c r="Y208" s="231">
        <v>0</v>
      </c>
      <c r="Z208" s="231" t="s">
        <v>239</v>
      </c>
      <c r="AA208" s="231">
        <v>0</v>
      </c>
      <c r="AB208" s="231" t="s">
        <v>239</v>
      </c>
      <c r="AC208" s="231">
        <v>0</v>
      </c>
      <c r="AD208" s="231" t="s">
        <v>239</v>
      </c>
      <c r="AE208" s="231">
        <v>0</v>
      </c>
      <c r="AF208" s="231" t="s">
        <v>239</v>
      </c>
      <c r="AG208" s="231">
        <v>0</v>
      </c>
      <c r="AH208" s="231" t="s">
        <v>239</v>
      </c>
      <c r="AI208" s="231">
        <v>0</v>
      </c>
      <c r="AJ208" s="231" t="s">
        <v>239</v>
      </c>
      <c r="AK208" s="231">
        <v>0</v>
      </c>
      <c r="AL208" s="231" t="s">
        <v>239</v>
      </c>
      <c r="AM208" s="231">
        <v>0</v>
      </c>
    </row>
    <row r="209" spans="1:39" ht="15" customHeight="1" outlineLevel="1">
      <c r="A209" s="411">
        <v>100</v>
      </c>
      <c r="B209" s="10">
        <v>129100</v>
      </c>
      <c r="C209" s="218" t="s">
        <v>1489</v>
      </c>
      <c r="D209" s="218" t="s">
        <v>1490</v>
      </c>
      <c r="E209" s="23" t="s">
        <v>138</v>
      </c>
      <c r="F209" s="17" t="s">
        <v>45</v>
      </c>
      <c r="G209" s="11" t="s">
        <v>1432</v>
      </c>
      <c r="H209" s="12">
        <v>19</v>
      </c>
      <c r="I209" s="11" t="s">
        <v>1433</v>
      </c>
      <c r="J209" s="192" t="s">
        <v>1480</v>
      </c>
      <c r="K209" s="17" t="s">
        <v>233</v>
      </c>
      <c r="L209" s="17" t="s">
        <v>233</v>
      </c>
      <c r="M209" s="231">
        <v>12</v>
      </c>
      <c r="N209" s="232">
        <v>12</v>
      </c>
      <c r="O209" s="231">
        <v>12</v>
      </c>
      <c r="P209" s="231" t="s">
        <v>239</v>
      </c>
      <c r="Q209" s="231">
        <v>12</v>
      </c>
      <c r="R209" s="231" t="s">
        <v>239</v>
      </c>
      <c r="S209" s="231">
        <v>12</v>
      </c>
      <c r="T209" s="231" t="s">
        <v>239</v>
      </c>
      <c r="U209" s="231">
        <v>12</v>
      </c>
      <c r="V209" s="231" t="s">
        <v>239</v>
      </c>
      <c r="W209" s="231">
        <v>12</v>
      </c>
      <c r="X209" s="231" t="s">
        <v>239</v>
      </c>
      <c r="Y209" s="231">
        <v>12</v>
      </c>
      <c r="Z209" s="231" t="s">
        <v>239</v>
      </c>
      <c r="AA209" s="231">
        <v>12</v>
      </c>
      <c r="AB209" s="231" t="s">
        <v>239</v>
      </c>
      <c r="AC209" s="231">
        <v>12</v>
      </c>
      <c r="AD209" s="231" t="s">
        <v>239</v>
      </c>
      <c r="AE209" s="231">
        <v>12</v>
      </c>
      <c r="AF209" s="231" t="s">
        <v>239</v>
      </c>
      <c r="AG209" s="231">
        <v>12</v>
      </c>
      <c r="AH209" s="231" t="s">
        <v>239</v>
      </c>
      <c r="AI209" s="231">
        <v>12</v>
      </c>
      <c r="AJ209" s="231" t="s">
        <v>239</v>
      </c>
      <c r="AK209" s="231">
        <v>12</v>
      </c>
      <c r="AL209" s="231" t="s">
        <v>239</v>
      </c>
      <c r="AM209" s="231">
        <v>0</v>
      </c>
    </row>
    <row r="210" spans="1:39" ht="15" customHeight="1" outlineLevel="1">
      <c r="A210" s="412"/>
      <c r="B210" s="10">
        <v>129100</v>
      </c>
      <c r="C210" s="218" t="s">
        <v>1489</v>
      </c>
      <c r="D210" s="218" t="s">
        <v>1490</v>
      </c>
      <c r="E210" s="23" t="s">
        <v>44</v>
      </c>
      <c r="F210" s="17" t="s">
        <v>45</v>
      </c>
      <c r="G210" s="11" t="s">
        <v>1432</v>
      </c>
      <c r="H210" s="12">
        <v>30</v>
      </c>
      <c r="I210" s="11" t="s">
        <v>1433</v>
      </c>
      <c r="J210" s="192" t="s">
        <v>1452</v>
      </c>
      <c r="K210" s="17" t="s">
        <v>233</v>
      </c>
      <c r="L210" s="17" t="s">
        <v>233</v>
      </c>
      <c r="M210" s="231">
        <v>2443</v>
      </c>
      <c r="N210" s="232">
        <v>2413.3419799999997</v>
      </c>
      <c r="O210" s="132">
        <v>120</v>
      </c>
      <c r="P210" s="231" t="s">
        <v>239</v>
      </c>
      <c r="Q210" s="231">
        <v>146</v>
      </c>
      <c r="R210" s="231" t="s">
        <v>239</v>
      </c>
      <c r="S210" s="231">
        <v>103</v>
      </c>
      <c r="T210" s="231" t="s">
        <v>239</v>
      </c>
      <c r="U210" s="231">
        <v>120</v>
      </c>
      <c r="V210" s="231" t="s">
        <v>239</v>
      </c>
      <c r="W210" s="231">
        <v>125</v>
      </c>
      <c r="X210" s="231" t="s">
        <v>239</v>
      </c>
      <c r="Y210" s="231">
        <v>153</v>
      </c>
      <c r="Z210" s="231" t="s">
        <v>239</v>
      </c>
      <c r="AA210" s="231">
        <v>455</v>
      </c>
      <c r="AB210" s="231" t="s">
        <v>239</v>
      </c>
      <c r="AC210" s="231">
        <v>148</v>
      </c>
      <c r="AD210" s="231" t="s">
        <v>239</v>
      </c>
      <c r="AE210" s="231">
        <v>149</v>
      </c>
      <c r="AF210" s="231" t="s">
        <v>239</v>
      </c>
      <c r="AG210" s="231">
        <v>157</v>
      </c>
      <c r="AH210" s="231" t="s">
        <v>239</v>
      </c>
      <c r="AI210" s="231">
        <v>160</v>
      </c>
      <c r="AJ210" s="231" t="s">
        <v>239</v>
      </c>
      <c r="AK210" s="231">
        <v>121</v>
      </c>
      <c r="AL210" s="231" t="s">
        <v>239</v>
      </c>
      <c r="AM210" s="231">
        <v>1957</v>
      </c>
    </row>
    <row r="211" spans="1:39" ht="15" customHeight="1" outlineLevel="1">
      <c r="A211" s="411">
        <v>101</v>
      </c>
      <c r="B211" s="10">
        <v>129101</v>
      </c>
      <c r="C211" s="218" t="s">
        <v>1489</v>
      </c>
      <c r="D211" s="218" t="s">
        <v>1490</v>
      </c>
      <c r="E211" s="23" t="s">
        <v>138</v>
      </c>
      <c r="F211" s="17" t="s">
        <v>45</v>
      </c>
      <c r="G211" s="11" t="s">
        <v>1432</v>
      </c>
      <c r="H211" s="12">
        <v>33</v>
      </c>
      <c r="I211" s="11" t="s">
        <v>1433</v>
      </c>
      <c r="J211" s="374" t="s">
        <v>207</v>
      </c>
      <c r="K211" s="17" t="s">
        <v>233</v>
      </c>
      <c r="L211" s="17" t="s">
        <v>233</v>
      </c>
      <c r="M211" s="231">
        <v>12</v>
      </c>
      <c r="N211" s="232">
        <v>12</v>
      </c>
      <c r="O211" s="231">
        <v>12</v>
      </c>
      <c r="P211" s="231" t="s">
        <v>239</v>
      </c>
      <c r="Q211" s="231">
        <v>12</v>
      </c>
      <c r="R211" s="231" t="s">
        <v>239</v>
      </c>
      <c r="S211" s="231">
        <v>12</v>
      </c>
      <c r="T211" s="231" t="s">
        <v>239</v>
      </c>
      <c r="U211" s="231">
        <v>12</v>
      </c>
      <c r="V211" s="230" t="s">
        <v>239</v>
      </c>
      <c r="W211" s="231">
        <v>12</v>
      </c>
      <c r="X211" s="231" t="s">
        <v>239</v>
      </c>
      <c r="Y211" s="231">
        <v>12</v>
      </c>
      <c r="Z211" s="231" t="s">
        <v>239</v>
      </c>
      <c r="AA211" s="231">
        <v>12</v>
      </c>
      <c r="AB211" s="231" t="s">
        <v>239</v>
      </c>
      <c r="AC211" s="231">
        <v>12</v>
      </c>
      <c r="AD211" s="231" t="s">
        <v>239</v>
      </c>
      <c r="AE211" s="231">
        <v>12</v>
      </c>
      <c r="AF211" s="231" t="s">
        <v>239</v>
      </c>
      <c r="AG211" s="231">
        <v>12</v>
      </c>
      <c r="AH211" s="231" t="s">
        <v>239</v>
      </c>
      <c r="AI211" s="231">
        <v>12</v>
      </c>
      <c r="AJ211" s="231" t="s">
        <v>239</v>
      </c>
      <c r="AK211" s="231">
        <v>12</v>
      </c>
      <c r="AL211" s="231" t="s">
        <v>239</v>
      </c>
      <c r="AM211" s="231">
        <v>0</v>
      </c>
    </row>
    <row r="212" spans="1:39" ht="15" customHeight="1" outlineLevel="1">
      <c r="A212" s="412"/>
      <c r="B212" s="10">
        <v>129101</v>
      </c>
      <c r="C212" s="218" t="s">
        <v>1489</v>
      </c>
      <c r="D212" s="218" t="s">
        <v>1490</v>
      </c>
      <c r="E212" s="23" t="s">
        <v>44</v>
      </c>
      <c r="F212" s="17" t="s">
        <v>45</v>
      </c>
      <c r="G212" s="11" t="s">
        <v>1432</v>
      </c>
      <c r="H212" s="12">
        <v>19</v>
      </c>
      <c r="I212" s="11" t="s">
        <v>1433</v>
      </c>
      <c r="J212" s="375"/>
      <c r="K212" s="17" t="s">
        <v>233</v>
      </c>
      <c r="L212" s="17" t="s">
        <v>233</v>
      </c>
      <c r="M212" s="231">
        <v>0</v>
      </c>
      <c r="N212" s="232">
        <v>0</v>
      </c>
      <c r="O212" s="132">
        <v>0</v>
      </c>
      <c r="P212" s="231" t="s">
        <v>239</v>
      </c>
      <c r="Q212" s="231">
        <v>0</v>
      </c>
      <c r="R212" s="231" t="s">
        <v>239</v>
      </c>
      <c r="S212" s="231">
        <v>0</v>
      </c>
      <c r="T212" s="231" t="s">
        <v>239</v>
      </c>
      <c r="U212" s="231">
        <v>0</v>
      </c>
      <c r="V212" s="231" t="s">
        <v>239</v>
      </c>
      <c r="W212" s="231">
        <v>0</v>
      </c>
      <c r="X212" s="231" t="s">
        <v>239</v>
      </c>
      <c r="Y212" s="231">
        <v>0</v>
      </c>
      <c r="Z212" s="231" t="s">
        <v>239</v>
      </c>
      <c r="AA212" s="231">
        <v>0</v>
      </c>
      <c r="AB212" s="231" t="s">
        <v>239</v>
      </c>
      <c r="AC212" s="231">
        <v>0</v>
      </c>
      <c r="AD212" s="231" t="s">
        <v>239</v>
      </c>
      <c r="AE212" s="231">
        <v>0</v>
      </c>
      <c r="AF212" s="231" t="s">
        <v>239</v>
      </c>
      <c r="AG212" s="231">
        <v>0</v>
      </c>
      <c r="AH212" s="231" t="s">
        <v>239</v>
      </c>
      <c r="AI212" s="231">
        <v>0</v>
      </c>
      <c r="AJ212" s="231" t="s">
        <v>239</v>
      </c>
      <c r="AK212" s="231">
        <v>0</v>
      </c>
      <c r="AL212" s="231" t="s">
        <v>239</v>
      </c>
      <c r="AM212" s="231">
        <v>0</v>
      </c>
    </row>
    <row r="213" spans="1:39" ht="15" customHeight="1" outlineLevel="1">
      <c r="A213" s="411">
        <v>102</v>
      </c>
      <c r="B213" s="10">
        <v>129102</v>
      </c>
      <c r="C213" s="218" t="s">
        <v>1489</v>
      </c>
      <c r="D213" s="218" t="s">
        <v>1490</v>
      </c>
      <c r="E213" s="23" t="s">
        <v>44</v>
      </c>
      <c r="F213" s="17" t="s">
        <v>45</v>
      </c>
      <c r="G213" s="11" t="s">
        <v>1432</v>
      </c>
      <c r="H213" s="12">
        <v>6</v>
      </c>
      <c r="I213" s="11" t="s">
        <v>1433</v>
      </c>
      <c r="J213" s="193" t="s">
        <v>1460</v>
      </c>
      <c r="K213" s="17" t="s">
        <v>233</v>
      </c>
      <c r="L213" s="17" t="s">
        <v>233</v>
      </c>
      <c r="M213" s="231">
        <v>12</v>
      </c>
      <c r="N213" s="232">
        <v>12</v>
      </c>
      <c r="O213" s="231">
        <v>12</v>
      </c>
      <c r="P213" s="231" t="s">
        <v>239</v>
      </c>
      <c r="Q213" s="231">
        <v>12</v>
      </c>
      <c r="R213" s="231" t="s">
        <v>239</v>
      </c>
      <c r="S213" s="231">
        <v>12</v>
      </c>
      <c r="T213" s="231" t="s">
        <v>239</v>
      </c>
      <c r="U213" s="231">
        <v>12</v>
      </c>
      <c r="V213" s="231" t="s">
        <v>239</v>
      </c>
      <c r="W213" s="231">
        <v>12</v>
      </c>
      <c r="X213" s="231" t="s">
        <v>239</v>
      </c>
      <c r="Y213" s="231">
        <v>12</v>
      </c>
      <c r="Z213" s="231" t="s">
        <v>239</v>
      </c>
      <c r="AA213" s="231">
        <v>12</v>
      </c>
      <c r="AB213" s="231" t="s">
        <v>239</v>
      </c>
      <c r="AC213" s="231">
        <v>12</v>
      </c>
      <c r="AD213" s="231" t="s">
        <v>239</v>
      </c>
      <c r="AE213" s="231">
        <v>12</v>
      </c>
      <c r="AF213" s="231" t="s">
        <v>239</v>
      </c>
      <c r="AG213" s="231">
        <v>12</v>
      </c>
      <c r="AH213" s="231" t="s">
        <v>239</v>
      </c>
      <c r="AI213" s="231">
        <v>12</v>
      </c>
      <c r="AJ213" s="231" t="s">
        <v>239</v>
      </c>
      <c r="AK213" s="231">
        <v>12</v>
      </c>
      <c r="AL213" s="231" t="s">
        <v>239</v>
      </c>
      <c r="AM213" s="231">
        <v>0</v>
      </c>
    </row>
    <row r="214" spans="1:39" ht="15" customHeight="1" outlineLevel="1">
      <c r="A214" s="412"/>
      <c r="B214" s="10">
        <v>129102</v>
      </c>
      <c r="C214" s="218" t="s">
        <v>1489</v>
      </c>
      <c r="D214" s="218" t="s">
        <v>1490</v>
      </c>
      <c r="E214" s="23" t="s">
        <v>138</v>
      </c>
      <c r="F214" s="17" t="s">
        <v>45</v>
      </c>
      <c r="G214" s="11" t="s">
        <v>1432</v>
      </c>
      <c r="H214" s="12">
        <v>15</v>
      </c>
      <c r="I214" s="11" t="s">
        <v>1433</v>
      </c>
      <c r="J214" s="193" t="s">
        <v>1442</v>
      </c>
      <c r="K214" s="17" t="s">
        <v>233</v>
      </c>
      <c r="L214" s="17" t="s">
        <v>233</v>
      </c>
      <c r="M214" s="231">
        <v>0</v>
      </c>
      <c r="N214" s="232">
        <v>0</v>
      </c>
      <c r="O214" s="132">
        <v>0</v>
      </c>
      <c r="P214" s="231" t="s">
        <v>239</v>
      </c>
      <c r="Q214" s="231">
        <v>0</v>
      </c>
      <c r="R214" s="231" t="s">
        <v>239</v>
      </c>
      <c r="S214" s="231">
        <v>0</v>
      </c>
      <c r="T214" s="231" t="s">
        <v>239</v>
      </c>
      <c r="U214" s="231">
        <v>0</v>
      </c>
      <c r="V214" s="230" t="s">
        <v>239</v>
      </c>
      <c r="W214" s="231">
        <v>0</v>
      </c>
      <c r="X214" s="231" t="s">
        <v>239</v>
      </c>
      <c r="Y214" s="231">
        <v>0</v>
      </c>
      <c r="Z214" s="231" t="s">
        <v>239</v>
      </c>
      <c r="AA214" s="231">
        <v>0</v>
      </c>
      <c r="AB214" s="231" t="s">
        <v>239</v>
      </c>
      <c r="AC214" s="231">
        <v>0</v>
      </c>
      <c r="AD214" s="231" t="s">
        <v>239</v>
      </c>
      <c r="AE214" s="231">
        <v>0</v>
      </c>
      <c r="AF214" s="231" t="s">
        <v>239</v>
      </c>
      <c r="AG214" s="231">
        <v>0</v>
      </c>
      <c r="AH214" s="231" t="s">
        <v>239</v>
      </c>
      <c r="AI214" s="231">
        <v>0</v>
      </c>
      <c r="AJ214" s="231" t="s">
        <v>239</v>
      </c>
      <c r="AK214" s="231">
        <v>0</v>
      </c>
      <c r="AL214" s="231" t="s">
        <v>239</v>
      </c>
      <c r="AM214" s="231">
        <v>0</v>
      </c>
    </row>
    <row r="215" spans="1:39" ht="15" customHeight="1" outlineLevel="1">
      <c r="A215" s="411">
        <v>103</v>
      </c>
      <c r="B215" s="10">
        <v>129103</v>
      </c>
      <c r="C215" s="218" t="s">
        <v>1489</v>
      </c>
      <c r="D215" s="218" t="s">
        <v>1490</v>
      </c>
      <c r="E215" s="23" t="s">
        <v>44</v>
      </c>
      <c r="F215" s="17" t="s">
        <v>45</v>
      </c>
      <c r="G215" s="11" t="s">
        <v>1432</v>
      </c>
      <c r="H215" s="12">
        <v>19</v>
      </c>
      <c r="I215" s="11" t="s">
        <v>1433</v>
      </c>
      <c r="J215" s="193" t="s">
        <v>1460</v>
      </c>
      <c r="K215" s="17" t="s">
        <v>233</v>
      </c>
      <c r="L215" s="17" t="s">
        <v>233</v>
      </c>
      <c r="M215" s="231">
        <v>45</v>
      </c>
      <c r="N215" s="232">
        <v>45</v>
      </c>
      <c r="O215" s="231">
        <v>45</v>
      </c>
      <c r="P215" s="231" t="s">
        <v>239</v>
      </c>
      <c r="Q215" s="231">
        <v>45</v>
      </c>
      <c r="R215" s="231" t="s">
        <v>239</v>
      </c>
      <c r="S215" s="231">
        <v>45</v>
      </c>
      <c r="T215" s="231" t="s">
        <v>239</v>
      </c>
      <c r="U215" s="231">
        <v>45</v>
      </c>
      <c r="V215" s="231" t="s">
        <v>239</v>
      </c>
      <c r="W215" s="231">
        <v>45</v>
      </c>
      <c r="X215" s="231" t="s">
        <v>239</v>
      </c>
      <c r="Y215" s="231">
        <v>45</v>
      </c>
      <c r="Z215" s="231" t="s">
        <v>239</v>
      </c>
      <c r="AA215" s="231">
        <v>45</v>
      </c>
      <c r="AB215" s="231" t="s">
        <v>239</v>
      </c>
      <c r="AC215" s="231">
        <v>45</v>
      </c>
      <c r="AD215" s="231" t="s">
        <v>239</v>
      </c>
      <c r="AE215" s="231">
        <v>45</v>
      </c>
      <c r="AF215" s="231" t="s">
        <v>239</v>
      </c>
      <c r="AG215" s="231">
        <v>45</v>
      </c>
      <c r="AH215" s="231" t="s">
        <v>239</v>
      </c>
      <c r="AI215" s="231">
        <v>45</v>
      </c>
      <c r="AJ215" s="231" t="s">
        <v>239</v>
      </c>
      <c r="AK215" s="231">
        <v>45</v>
      </c>
      <c r="AL215" s="231" t="s">
        <v>239</v>
      </c>
      <c r="AM215" s="231">
        <v>0</v>
      </c>
    </row>
    <row r="216" spans="1:39" ht="15" customHeight="1" outlineLevel="1">
      <c r="A216" s="412"/>
      <c r="B216" s="10">
        <v>129103</v>
      </c>
      <c r="C216" s="218" t="s">
        <v>1489</v>
      </c>
      <c r="D216" s="218" t="s">
        <v>1490</v>
      </c>
      <c r="E216" s="23" t="s">
        <v>138</v>
      </c>
      <c r="F216" s="17" t="s">
        <v>45</v>
      </c>
      <c r="G216" s="11" t="s">
        <v>1432</v>
      </c>
      <c r="H216" s="12">
        <v>22</v>
      </c>
      <c r="I216" s="11" t="s">
        <v>1433</v>
      </c>
      <c r="J216" s="193" t="s">
        <v>1457</v>
      </c>
      <c r="K216" s="17" t="s">
        <v>233</v>
      </c>
      <c r="L216" s="17" t="s">
        <v>233</v>
      </c>
      <c r="M216" s="231">
        <v>2423</v>
      </c>
      <c r="N216" s="232">
        <v>2393.5847799999997</v>
      </c>
      <c r="O216" s="132">
        <v>357</v>
      </c>
      <c r="P216" s="231" t="s">
        <v>239</v>
      </c>
      <c r="Q216" s="231">
        <v>351</v>
      </c>
      <c r="R216" s="231" t="s">
        <v>239</v>
      </c>
      <c r="S216" s="231">
        <v>344</v>
      </c>
      <c r="T216" s="231" t="s">
        <v>239</v>
      </c>
      <c r="U216" s="231">
        <v>345</v>
      </c>
      <c r="V216" s="231" t="s">
        <v>239</v>
      </c>
      <c r="W216" s="231">
        <v>256</v>
      </c>
      <c r="X216" s="231" t="s">
        <v>239</v>
      </c>
      <c r="Y216" s="231">
        <v>153</v>
      </c>
      <c r="Z216" s="231" t="s">
        <v>239</v>
      </c>
      <c r="AA216" s="231">
        <v>154</v>
      </c>
      <c r="AB216" s="231" t="s">
        <v>239</v>
      </c>
      <c r="AC216" s="231">
        <v>158</v>
      </c>
      <c r="AD216" s="231" t="s">
        <v>239</v>
      </c>
      <c r="AE216" s="231">
        <v>148</v>
      </c>
      <c r="AF216" s="231" t="s">
        <v>239</v>
      </c>
      <c r="AG216" s="231">
        <v>151</v>
      </c>
      <c r="AH216" s="231" t="s">
        <v>239</v>
      </c>
      <c r="AI216" s="231">
        <v>154</v>
      </c>
      <c r="AJ216" s="231" t="s">
        <v>239</v>
      </c>
      <c r="AK216" s="231">
        <v>254</v>
      </c>
      <c r="AL216" s="231" t="s">
        <v>239</v>
      </c>
      <c r="AM216" s="231">
        <v>2825</v>
      </c>
    </row>
    <row r="217" spans="1:39" ht="15" customHeight="1" outlineLevel="1">
      <c r="A217" s="411">
        <v>104</v>
      </c>
      <c r="B217" s="10">
        <v>129104</v>
      </c>
      <c r="C217" s="218" t="s">
        <v>1489</v>
      </c>
      <c r="D217" s="218" t="s">
        <v>1490</v>
      </c>
      <c r="E217" s="23" t="s">
        <v>44</v>
      </c>
      <c r="F217" s="17" t="s">
        <v>45</v>
      </c>
      <c r="G217" s="11" t="s">
        <v>1432</v>
      </c>
      <c r="H217" s="12">
        <v>21</v>
      </c>
      <c r="I217" s="11" t="s">
        <v>1433</v>
      </c>
      <c r="J217" s="193" t="s">
        <v>617</v>
      </c>
      <c r="K217" s="17" t="s">
        <v>233</v>
      </c>
      <c r="L217" s="17" t="s">
        <v>233</v>
      </c>
      <c r="M217" s="231">
        <v>1</v>
      </c>
      <c r="N217" s="232">
        <v>1</v>
      </c>
      <c r="O217" s="231">
        <v>1</v>
      </c>
      <c r="P217" s="231" t="s">
        <v>239</v>
      </c>
      <c r="Q217" s="231">
        <v>1</v>
      </c>
      <c r="R217" s="231" t="s">
        <v>239</v>
      </c>
      <c r="S217" s="231">
        <v>1</v>
      </c>
      <c r="T217" s="231" t="s">
        <v>239</v>
      </c>
      <c r="U217" s="231">
        <v>1</v>
      </c>
      <c r="V217" s="230" t="s">
        <v>239</v>
      </c>
      <c r="W217" s="231">
        <v>1</v>
      </c>
      <c r="X217" s="231" t="s">
        <v>239</v>
      </c>
      <c r="Y217" s="231">
        <v>1</v>
      </c>
      <c r="Z217" s="231" t="s">
        <v>239</v>
      </c>
      <c r="AA217" s="231">
        <v>1</v>
      </c>
      <c r="AB217" s="231" t="s">
        <v>239</v>
      </c>
      <c r="AC217" s="231">
        <v>1</v>
      </c>
      <c r="AD217" s="231" t="s">
        <v>239</v>
      </c>
      <c r="AE217" s="231">
        <v>1</v>
      </c>
      <c r="AF217" s="231" t="s">
        <v>239</v>
      </c>
      <c r="AG217" s="231">
        <v>1</v>
      </c>
      <c r="AH217" s="231" t="s">
        <v>239</v>
      </c>
      <c r="AI217" s="231">
        <v>1</v>
      </c>
      <c r="AJ217" s="231" t="s">
        <v>239</v>
      </c>
      <c r="AK217" s="231">
        <v>1</v>
      </c>
      <c r="AL217" s="231" t="s">
        <v>239</v>
      </c>
      <c r="AM217" s="231">
        <v>0</v>
      </c>
    </row>
    <row r="218" spans="1:39" ht="15" customHeight="1" outlineLevel="1">
      <c r="A218" s="412"/>
      <c r="B218" s="10">
        <v>129104</v>
      </c>
      <c r="C218" s="218" t="s">
        <v>1489</v>
      </c>
      <c r="D218" s="218" t="s">
        <v>1490</v>
      </c>
      <c r="E218" s="23" t="s">
        <v>138</v>
      </c>
      <c r="F218" s="17" t="s">
        <v>45</v>
      </c>
      <c r="G218" s="11" t="s">
        <v>1432</v>
      </c>
      <c r="H218" s="12">
        <v>19</v>
      </c>
      <c r="I218" s="11" t="s">
        <v>1433</v>
      </c>
      <c r="J218" s="193" t="s">
        <v>216</v>
      </c>
      <c r="K218" s="17" t="s">
        <v>233</v>
      </c>
      <c r="L218" s="17" t="s">
        <v>233</v>
      </c>
      <c r="M218" s="231">
        <v>0</v>
      </c>
      <c r="N218" s="232">
        <v>0</v>
      </c>
      <c r="O218" s="132">
        <v>0</v>
      </c>
      <c r="P218" s="231" t="s">
        <v>239</v>
      </c>
      <c r="Q218" s="231">
        <v>0</v>
      </c>
      <c r="R218" s="231" t="s">
        <v>239</v>
      </c>
      <c r="S218" s="231">
        <v>0</v>
      </c>
      <c r="T218" s="231" t="s">
        <v>239</v>
      </c>
      <c r="U218" s="231">
        <v>0</v>
      </c>
      <c r="V218" s="231" t="s">
        <v>239</v>
      </c>
      <c r="W218" s="231">
        <v>0</v>
      </c>
      <c r="X218" s="231" t="s">
        <v>239</v>
      </c>
      <c r="Y218" s="231">
        <v>0</v>
      </c>
      <c r="Z218" s="231" t="s">
        <v>239</v>
      </c>
      <c r="AA218" s="231">
        <v>0</v>
      </c>
      <c r="AB218" s="231" t="s">
        <v>239</v>
      </c>
      <c r="AC218" s="231">
        <v>0</v>
      </c>
      <c r="AD218" s="231" t="s">
        <v>239</v>
      </c>
      <c r="AE218" s="231">
        <v>0</v>
      </c>
      <c r="AF218" s="231" t="s">
        <v>239</v>
      </c>
      <c r="AG218" s="231">
        <v>0</v>
      </c>
      <c r="AH218" s="231" t="s">
        <v>239</v>
      </c>
      <c r="AI218" s="231">
        <v>0</v>
      </c>
      <c r="AJ218" s="231" t="s">
        <v>239</v>
      </c>
      <c r="AK218" s="231">
        <v>0</v>
      </c>
      <c r="AL218" s="231" t="s">
        <v>239</v>
      </c>
      <c r="AM218" s="231">
        <v>0</v>
      </c>
    </row>
    <row r="219" spans="1:39" ht="15" customHeight="1" outlineLevel="1">
      <c r="A219" s="411">
        <v>105</v>
      </c>
      <c r="B219" s="10">
        <v>129105</v>
      </c>
      <c r="C219" s="218" t="s">
        <v>1489</v>
      </c>
      <c r="D219" s="218" t="s">
        <v>1490</v>
      </c>
      <c r="E219" s="23" t="s">
        <v>44</v>
      </c>
      <c r="F219" s="17" t="s">
        <v>45</v>
      </c>
      <c r="G219" s="11" t="s">
        <v>1432</v>
      </c>
      <c r="H219" s="12">
        <v>30</v>
      </c>
      <c r="I219" s="11" t="s">
        <v>1433</v>
      </c>
      <c r="J219" s="192" t="s">
        <v>1446</v>
      </c>
      <c r="K219" s="17" t="s">
        <v>233</v>
      </c>
      <c r="L219" s="17" t="s">
        <v>233</v>
      </c>
      <c r="M219" s="231">
        <v>1</v>
      </c>
      <c r="N219" s="232">
        <v>1</v>
      </c>
      <c r="O219" s="231">
        <v>1</v>
      </c>
      <c r="P219" s="231" t="s">
        <v>239</v>
      </c>
      <c r="Q219" s="231">
        <v>1</v>
      </c>
      <c r="R219" s="231" t="s">
        <v>239</v>
      </c>
      <c r="S219" s="231">
        <v>1</v>
      </c>
      <c r="T219" s="231" t="s">
        <v>239</v>
      </c>
      <c r="U219" s="231">
        <v>1</v>
      </c>
      <c r="V219" s="231" t="s">
        <v>239</v>
      </c>
      <c r="W219" s="231">
        <v>1</v>
      </c>
      <c r="X219" s="231" t="s">
        <v>239</v>
      </c>
      <c r="Y219" s="231">
        <v>1</v>
      </c>
      <c r="Z219" s="231" t="s">
        <v>239</v>
      </c>
      <c r="AA219" s="231">
        <v>1</v>
      </c>
      <c r="AB219" s="231" t="s">
        <v>239</v>
      </c>
      <c r="AC219" s="231">
        <v>1</v>
      </c>
      <c r="AD219" s="231" t="s">
        <v>239</v>
      </c>
      <c r="AE219" s="231">
        <v>1</v>
      </c>
      <c r="AF219" s="231" t="s">
        <v>239</v>
      </c>
      <c r="AG219" s="231">
        <v>1</v>
      </c>
      <c r="AH219" s="231" t="s">
        <v>239</v>
      </c>
      <c r="AI219" s="231">
        <v>1</v>
      </c>
      <c r="AJ219" s="231" t="s">
        <v>239</v>
      </c>
      <c r="AK219" s="231">
        <v>1</v>
      </c>
      <c r="AL219" s="231" t="s">
        <v>239</v>
      </c>
      <c r="AM219" s="231">
        <v>0</v>
      </c>
    </row>
    <row r="220" spans="1:39" ht="15" customHeight="1" outlineLevel="1">
      <c r="A220" s="412"/>
      <c r="B220" s="10">
        <v>129105</v>
      </c>
      <c r="C220" s="218" t="s">
        <v>1489</v>
      </c>
      <c r="D220" s="218" t="s">
        <v>1490</v>
      </c>
      <c r="E220" s="23" t="s">
        <v>138</v>
      </c>
      <c r="F220" s="17" t="s">
        <v>45</v>
      </c>
      <c r="G220" s="11" t="s">
        <v>1432</v>
      </c>
      <c r="H220" s="12">
        <v>33</v>
      </c>
      <c r="I220" s="11" t="s">
        <v>1433</v>
      </c>
      <c r="J220" s="192" t="s">
        <v>1481</v>
      </c>
      <c r="K220" s="17" t="s">
        <v>233</v>
      </c>
      <c r="L220" s="17" t="s">
        <v>233</v>
      </c>
      <c r="M220" s="231">
        <v>3957</v>
      </c>
      <c r="N220" s="232">
        <v>3908.9620199999999</v>
      </c>
      <c r="O220" s="132">
        <v>529</v>
      </c>
      <c r="P220" s="231" t="s">
        <v>239</v>
      </c>
      <c r="Q220" s="231">
        <v>394</v>
      </c>
      <c r="R220" s="231" t="s">
        <v>239</v>
      </c>
      <c r="S220" s="231">
        <v>473</v>
      </c>
      <c r="T220" s="231" t="s">
        <v>239</v>
      </c>
      <c r="U220" s="231">
        <v>448</v>
      </c>
      <c r="V220" s="230" t="s">
        <v>239</v>
      </c>
      <c r="W220" s="231">
        <v>484</v>
      </c>
      <c r="X220" s="231" t="s">
        <v>239</v>
      </c>
      <c r="Y220" s="231">
        <v>0</v>
      </c>
      <c r="Z220" s="231" t="s">
        <v>239</v>
      </c>
      <c r="AA220" s="231">
        <v>0</v>
      </c>
      <c r="AB220" s="231" t="s">
        <v>239</v>
      </c>
      <c r="AC220" s="231">
        <v>44</v>
      </c>
      <c r="AD220" s="231" t="s">
        <v>239</v>
      </c>
      <c r="AE220" s="231">
        <v>179</v>
      </c>
      <c r="AF220" s="231" t="s">
        <v>239</v>
      </c>
      <c r="AG220" s="231">
        <v>154</v>
      </c>
      <c r="AH220" s="231" t="s">
        <v>239</v>
      </c>
      <c r="AI220" s="231">
        <v>206</v>
      </c>
      <c r="AJ220" s="231" t="s">
        <v>239</v>
      </c>
      <c r="AK220" s="231">
        <v>273</v>
      </c>
      <c r="AL220" s="231" t="s">
        <v>239</v>
      </c>
      <c r="AM220" s="231">
        <v>3184</v>
      </c>
    </row>
    <row r="221" spans="1:39" ht="15" customHeight="1" outlineLevel="1">
      <c r="A221" s="411">
        <v>106</v>
      </c>
      <c r="B221" s="10">
        <v>129106</v>
      </c>
      <c r="C221" s="218" t="s">
        <v>1489</v>
      </c>
      <c r="D221" s="218" t="s">
        <v>1490</v>
      </c>
      <c r="E221" s="23" t="s">
        <v>44</v>
      </c>
      <c r="F221" s="17" t="s">
        <v>45</v>
      </c>
      <c r="G221" s="11" t="s">
        <v>1432</v>
      </c>
      <c r="H221" s="12">
        <v>19</v>
      </c>
      <c r="I221" s="11" t="s">
        <v>1433</v>
      </c>
      <c r="J221" s="192" t="s">
        <v>208</v>
      </c>
      <c r="K221" s="17" t="s">
        <v>233</v>
      </c>
      <c r="L221" s="17" t="s">
        <v>233</v>
      </c>
      <c r="M221" s="231">
        <v>1</v>
      </c>
      <c r="N221" s="232">
        <v>1</v>
      </c>
      <c r="O221" s="231">
        <v>1</v>
      </c>
      <c r="P221" s="231" t="s">
        <v>239</v>
      </c>
      <c r="Q221" s="231">
        <v>1</v>
      </c>
      <c r="R221" s="231" t="s">
        <v>239</v>
      </c>
      <c r="S221" s="231">
        <v>1</v>
      </c>
      <c r="T221" s="231" t="s">
        <v>239</v>
      </c>
      <c r="U221" s="231">
        <v>1</v>
      </c>
      <c r="V221" s="231" t="s">
        <v>239</v>
      </c>
      <c r="W221" s="231">
        <v>1</v>
      </c>
      <c r="X221" s="231" t="s">
        <v>239</v>
      </c>
      <c r="Y221" s="231">
        <v>1</v>
      </c>
      <c r="Z221" s="231" t="s">
        <v>239</v>
      </c>
      <c r="AA221" s="231">
        <v>1</v>
      </c>
      <c r="AB221" s="231" t="s">
        <v>239</v>
      </c>
      <c r="AC221" s="231">
        <v>1</v>
      </c>
      <c r="AD221" s="231" t="s">
        <v>239</v>
      </c>
      <c r="AE221" s="231">
        <v>1</v>
      </c>
      <c r="AF221" s="231" t="s">
        <v>239</v>
      </c>
      <c r="AG221" s="231">
        <v>1</v>
      </c>
      <c r="AH221" s="231" t="s">
        <v>239</v>
      </c>
      <c r="AI221" s="231">
        <v>1</v>
      </c>
      <c r="AJ221" s="231" t="s">
        <v>239</v>
      </c>
      <c r="AK221" s="231">
        <v>1</v>
      </c>
      <c r="AL221" s="231" t="s">
        <v>239</v>
      </c>
      <c r="AM221" s="231">
        <v>0</v>
      </c>
    </row>
    <row r="222" spans="1:39" ht="15" customHeight="1" outlineLevel="1">
      <c r="A222" s="412"/>
      <c r="B222" s="10">
        <v>129106</v>
      </c>
      <c r="C222" s="218" t="s">
        <v>1489</v>
      </c>
      <c r="D222" s="218" t="s">
        <v>1490</v>
      </c>
      <c r="E222" s="23" t="s">
        <v>44</v>
      </c>
      <c r="F222" s="17" t="s">
        <v>45</v>
      </c>
      <c r="G222" s="11" t="s">
        <v>1432</v>
      </c>
      <c r="H222" s="12">
        <v>6</v>
      </c>
      <c r="I222" s="11" t="s">
        <v>1433</v>
      </c>
      <c r="J222" s="192" t="s">
        <v>1463</v>
      </c>
      <c r="K222" s="17" t="s">
        <v>233</v>
      </c>
      <c r="L222" s="17" t="s">
        <v>233</v>
      </c>
      <c r="M222" s="231">
        <v>1690</v>
      </c>
      <c r="N222" s="232">
        <v>1669.4833999999998</v>
      </c>
      <c r="O222" s="132">
        <v>238</v>
      </c>
      <c r="P222" s="231" t="s">
        <v>239</v>
      </c>
      <c r="Q222" s="231">
        <v>209</v>
      </c>
      <c r="R222" s="231" t="s">
        <v>239</v>
      </c>
      <c r="S222" s="231">
        <v>134</v>
      </c>
      <c r="T222" s="231" t="s">
        <v>239</v>
      </c>
      <c r="U222" s="231">
        <v>181</v>
      </c>
      <c r="V222" s="231" t="s">
        <v>239</v>
      </c>
      <c r="W222" s="231">
        <v>178</v>
      </c>
      <c r="X222" s="231" t="s">
        <v>239</v>
      </c>
      <c r="Y222" s="231">
        <v>153</v>
      </c>
      <c r="Z222" s="231" t="s">
        <v>239</v>
      </c>
      <c r="AA222" s="231">
        <v>0</v>
      </c>
      <c r="AB222" s="231" t="s">
        <v>239</v>
      </c>
      <c r="AC222" s="231">
        <v>0</v>
      </c>
      <c r="AD222" s="231" t="s">
        <v>239</v>
      </c>
      <c r="AE222" s="231">
        <v>0</v>
      </c>
      <c r="AF222" s="231" t="s">
        <v>239</v>
      </c>
      <c r="AG222" s="231">
        <v>0</v>
      </c>
      <c r="AH222" s="231" t="s">
        <v>239</v>
      </c>
      <c r="AI222" s="231">
        <v>80</v>
      </c>
      <c r="AJ222" s="231" t="s">
        <v>239</v>
      </c>
      <c r="AK222" s="231">
        <v>103</v>
      </c>
      <c r="AL222" s="231" t="s">
        <v>239</v>
      </c>
      <c r="AM222" s="231">
        <v>1276</v>
      </c>
    </row>
    <row r="223" spans="1:39" ht="15" customHeight="1" outlineLevel="1">
      <c r="A223" s="411">
        <v>107</v>
      </c>
      <c r="B223" s="10">
        <v>129107</v>
      </c>
      <c r="C223" s="218" t="s">
        <v>1489</v>
      </c>
      <c r="D223" s="218" t="s">
        <v>1490</v>
      </c>
      <c r="E223" s="23" t="s">
        <v>138</v>
      </c>
      <c r="F223" s="17" t="s">
        <v>45</v>
      </c>
      <c r="G223" s="11" t="s">
        <v>1432</v>
      </c>
      <c r="H223" s="12">
        <v>15</v>
      </c>
      <c r="I223" s="11" t="s">
        <v>1433</v>
      </c>
      <c r="J223" s="192" t="s">
        <v>1482</v>
      </c>
      <c r="K223" s="17" t="s">
        <v>233</v>
      </c>
      <c r="L223" s="17" t="s">
        <v>233</v>
      </c>
      <c r="M223" s="231">
        <v>1</v>
      </c>
      <c r="N223" s="232">
        <v>1</v>
      </c>
      <c r="O223" s="231">
        <v>1</v>
      </c>
      <c r="P223" s="231" t="s">
        <v>239</v>
      </c>
      <c r="Q223" s="231">
        <v>1</v>
      </c>
      <c r="R223" s="231" t="s">
        <v>239</v>
      </c>
      <c r="S223" s="231">
        <v>1</v>
      </c>
      <c r="T223" s="231" t="s">
        <v>239</v>
      </c>
      <c r="U223" s="231">
        <v>1</v>
      </c>
      <c r="V223" s="230" t="s">
        <v>239</v>
      </c>
      <c r="W223" s="231">
        <v>1</v>
      </c>
      <c r="X223" s="231" t="s">
        <v>239</v>
      </c>
      <c r="Y223" s="231">
        <v>1</v>
      </c>
      <c r="Z223" s="231" t="s">
        <v>239</v>
      </c>
      <c r="AA223" s="231">
        <v>1</v>
      </c>
      <c r="AB223" s="231" t="s">
        <v>239</v>
      </c>
      <c r="AC223" s="231">
        <v>1</v>
      </c>
      <c r="AD223" s="231" t="s">
        <v>239</v>
      </c>
      <c r="AE223" s="231">
        <v>1</v>
      </c>
      <c r="AF223" s="231" t="s">
        <v>239</v>
      </c>
      <c r="AG223" s="231">
        <v>1</v>
      </c>
      <c r="AH223" s="231" t="s">
        <v>239</v>
      </c>
      <c r="AI223" s="231">
        <v>1</v>
      </c>
      <c r="AJ223" s="231" t="s">
        <v>239</v>
      </c>
      <c r="AK223" s="231">
        <v>1</v>
      </c>
      <c r="AL223" s="231" t="s">
        <v>239</v>
      </c>
      <c r="AM223" s="231">
        <v>0</v>
      </c>
    </row>
    <row r="224" spans="1:39" ht="15" customHeight="1" outlineLevel="1">
      <c r="A224" s="412"/>
      <c r="B224" s="10">
        <v>129107</v>
      </c>
      <c r="C224" s="218" t="s">
        <v>1489</v>
      </c>
      <c r="D224" s="218" t="s">
        <v>1490</v>
      </c>
      <c r="E224" s="23" t="s">
        <v>44</v>
      </c>
      <c r="F224" s="17" t="s">
        <v>45</v>
      </c>
      <c r="G224" s="11" t="s">
        <v>1432</v>
      </c>
      <c r="H224" s="12">
        <v>19</v>
      </c>
      <c r="I224" s="11" t="s">
        <v>1433</v>
      </c>
      <c r="J224" s="192" t="s">
        <v>1462</v>
      </c>
      <c r="K224" s="17" t="s">
        <v>233</v>
      </c>
      <c r="L224" s="17" t="s">
        <v>233</v>
      </c>
      <c r="M224" s="231">
        <v>0</v>
      </c>
      <c r="N224" s="232">
        <v>0</v>
      </c>
      <c r="O224" s="132">
        <v>0</v>
      </c>
      <c r="P224" s="231" t="s">
        <v>239</v>
      </c>
      <c r="Q224" s="231">
        <v>0</v>
      </c>
      <c r="R224" s="231" t="s">
        <v>239</v>
      </c>
      <c r="S224" s="231">
        <v>0</v>
      </c>
      <c r="T224" s="231" t="s">
        <v>239</v>
      </c>
      <c r="U224" s="231">
        <v>0</v>
      </c>
      <c r="V224" s="231" t="s">
        <v>239</v>
      </c>
      <c r="W224" s="231">
        <v>0</v>
      </c>
      <c r="X224" s="231" t="s">
        <v>239</v>
      </c>
      <c r="Y224" s="231">
        <v>0</v>
      </c>
      <c r="Z224" s="231" t="s">
        <v>239</v>
      </c>
      <c r="AA224" s="231">
        <v>0</v>
      </c>
      <c r="AB224" s="231" t="s">
        <v>239</v>
      </c>
      <c r="AC224" s="231">
        <v>0</v>
      </c>
      <c r="AD224" s="231" t="s">
        <v>239</v>
      </c>
      <c r="AE224" s="231">
        <v>0</v>
      </c>
      <c r="AF224" s="231" t="s">
        <v>239</v>
      </c>
      <c r="AG224" s="231">
        <v>0</v>
      </c>
      <c r="AH224" s="231" t="s">
        <v>239</v>
      </c>
      <c r="AI224" s="231">
        <v>0</v>
      </c>
      <c r="AJ224" s="231" t="s">
        <v>239</v>
      </c>
      <c r="AK224" s="231">
        <v>0</v>
      </c>
      <c r="AL224" s="231" t="s">
        <v>239</v>
      </c>
      <c r="AM224" s="231">
        <v>0</v>
      </c>
    </row>
    <row r="225" spans="1:39" ht="15" customHeight="1" outlineLevel="1">
      <c r="A225" s="411">
        <v>108</v>
      </c>
      <c r="B225" s="10">
        <v>129108</v>
      </c>
      <c r="C225" s="218" t="s">
        <v>1489</v>
      </c>
      <c r="D225" s="218" t="s">
        <v>1490</v>
      </c>
      <c r="E225" s="23" t="s">
        <v>138</v>
      </c>
      <c r="F225" s="17" t="s">
        <v>45</v>
      </c>
      <c r="G225" s="11" t="s">
        <v>1432</v>
      </c>
      <c r="H225" s="12">
        <v>22</v>
      </c>
      <c r="I225" s="11" t="s">
        <v>1433</v>
      </c>
      <c r="J225" s="192" t="s">
        <v>1457</v>
      </c>
      <c r="K225" s="17" t="s">
        <v>233</v>
      </c>
      <c r="L225" s="17" t="s">
        <v>233</v>
      </c>
      <c r="M225" s="231">
        <v>30</v>
      </c>
      <c r="N225" s="232">
        <v>30</v>
      </c>
      <c r="O225" s="231">
        <v>30</v>
      </c>
      <c r="P225" s="231" t="s">
        <v>239</v>
      </c>
      <c r="Q225" s="231">
        <v>30</v>
      </c>
      <c r="R225" s="231" t="s">
        <v>239</v>
      </c>
      <c r="S225" s="231">
        <v>30</v>
      </c>
      <c r="T225" s="231" t="s">
        <v>239</v>
      </c>
      <c r="U225" s="231">
        <v>30</v>
      </c>
      <c r="V225" s="231" t="s">
        <v>239</v>
      </c>
      <c r="W225" s="231">
        <v>30</v>
      </c>
      <c r="X225" s="231" t="s">
        <v>239</v>
      </c>
      <c r="Y225" s="231">
        <v>30</v>
      </c>
      <c r="Z225" s="231" t="s">
        <v>239</v>
      </c>
      <c r="AA225" s="231">
        <v>30</v>
      </c>
      <c r="AB225" s="231" t="s">
        <v>239</v>
      </c>
      <c r="AC225" s="231">
        <v>30</v>
      </c>
      <c r="AD225" s="231" t="s">
        <v>239</v>
      </c>
      <c r="AE225" s="231">
        <v>30</v>
      </c>
      <c r="AF225" s="231" t="s">
        <v>239</v>
      </c>
      <c r="AG225" s="231">
        <v>30</v>
      </c>
      <c r="AH225" s="231" t="s">
        <v>239</v>
      </c>
      <c r="AI225" s="231">
        <v>30</v>
      </c>
      <c r="AJ225" s="231" t="s">
        <v>239</v>
      </c>
      <c r="AK225" s="231">
        <v>30</v>
      </c>
      <c r="AL225" s="231" t="s">
        <v>239</v>
      </c>
      <c r="AM225" s="231">
        <v>0</v>
      </c>
    </row>
    <row r="226" spans="1:39" ht="15" customHeight="1" outlineLevel="1">
      <c r="A226" s="412"/>
      <c r="B226" s="10">
        <v>129108</v>
      </c>
      <c r="C226" s="218" t="s">
        <v>1489</v>
      </c>
      <c r="D226" s="218" t="s">
        <v>1490</v>
      </c>
      <c r="E226" s="23" t="s">
        <v>44</v>
      </c>
      <c r="F226" s="17" t="s">
        <v>45</v>
      </c>
      <c r="G226" s="11" t="s">
        <v>1432</v>
      </c>
      <c r="H226" s="12">
        <v>24</v>
      </c>
      <c r="I226" s="11" t="s">
        <v>1433</v>
      </c>
      <c r="J226" s="192" t="s">
        <v>617</v>
      </c>
      <c r="K226" s="17" t="s">
        <v>233</v>
      </c>
      <c r="L226" s="17" t="s">
        <v>233</v>
      </c>
      <c r="M226" s="231">
        <v>15491</v>
      </c>
      <c r="N226" s="232">
        <v>15302.939259999999</v>
      </c>
      <c r="O226" s="132">
        <v>1454</v>
      </c>
      <c r="P226" s="231" t="s">
        <v>239</v>
      </c>
      <c r="Q226" s="231">
        <v>1532</v>
      </c>
      <c r="R226" s="231" t="s">
        <v>239</v>
      </c>
      <c r="S226" s="231">
        <v>1087</v>
      </c>
      <c r="T226" s="231" t="s">
        <v>239</v>
      </c>
      <c r="U226" s="231">
        <v>2115</v>
      </c>
      <c r="V226" s="230" t="s">
        <v>239</v>
      </c>
      <c r="W226" s="231">
        <v>1376</v>
      </c>
      <c r="X226" s="231" t="s">
        <v>239</v>
      </c>
      <c r="Y226" s="231">
        <v>1446</v>
      </c>
      <c r="Z226" s="231" t="s">
        <v>239</v>
      </c>
      <c r="AA226" s="231">
        <v>1145</v>
      </c>
      <c r="AB226" s="231" t="s">
        <v>239</v>
      </c>
      <c r="AC226" s="231">
        <v>156</v>
      </c>
      <c r="AD226" s="231" t="s">
        <v>239</v>
      </c>
      <c r="AE226" s="231">
        <v>255</v>
      </c>
      <c r="AF226" s="231" t="s">
        <v>239</v>
      </c>
      <c r="AG226" s="231">
        <v>2743</v>
      </c>
      <c r="AH226" s="231" t="s">
        <v>239</v>
      </c>
      <c r="AI226" s="231">
        <v>1925</v>
      </c>
      <c r="AJ226" s="231" t="s">
        <v>239</v>
      </c>
      <c r="AK226" s="231">
        <v>1734</v>
      </c>
      <c r="AL226" s="231" t="s">
        <v>239</v>
      </c>
      <c r="AM226" s="231">
        <v>16968</v>
      </c>
    </row>
    <row r="227" spans="1:39" ht="15" customHeight="1" outlineLevel="1">
      <c r="A227" s="411">
        <v>109</v>
      </c>
      <c r="B227" s="10">
        <v>129109</v>
      </c>
      <c r="C227" s="218" t="s">
        <v>1489</v>
      </c>
      <c r="D227" s="218" t="s">
        <v>1490</v>
      </c>
      <c r="E227" s="23" t="s">
        <v>44</v>
      </c>
      <c r="F227" s="17" t="s">
        <v>45</v>
      </c>
      <c r="G227" s="11" t="s">
        <v>1432</v>
      </c>
      <c r="H227" s="12">
        <v>16</v>
      </c>
      <c r="I227" s="11" t="s">
        <v>1433</v>
      </c>
      <c r="J227" s="374" t="s">
        <v>1457</v>
      </c>
      <c r="K227" s="17" t="s">
        <v>233</v>
      </c>
      <c r="L227" s="17" t="s">
        <v>233</v>
      </c>
      <c r="M227" s="231">
        <v>1</v>
      </c>
      <c r="N227" s="232">
        <v>1</v>
      </c>
      <c r="O227" s="231">
        <v>1</v>
      </c>
      <c r="P227" s="231" t="s">
        <v>239</v>
      </c>
      <c r="Q227" s="231">
        <v>1</v>
      </c>
      <c r="R227" s="231" t="s">
        <v>239</v>
      </c>
      <c r="S227" s="231">
        <v>1</v>
      </c>
      <c r="T227" s="231" t="s">
        <v>239</v>
      </c>
      <c r="U227" s="231">
        <v>1</v>
      </c>
      <c r="V227" s="231" t="s">
        <v>239</v>
      </c>
      <c r="W227" s="231">
        <v>1</v>
      </c>
      <c r="X227" s="231" t="s">
        <v>239</v>
      </c>
      <c r="Y227" s="231">
        <v>1</v>
      </c>
      <c r="Z227" s="231" t="s">
        <v>239</v>
      </c>
      <c r="AA227" s="231">
        <v>1</v>
      </c>
      <c r="AB227" s="231" t="s">
        <v>239</v>
      </c>
      <c r="AC227" s="231">
        <v>1</v>
      </c>
      <c r="AD227" s="231" t="s">
        <v>239</v>
      </c>
      <c r="AE227" s="231">
        <v>1</v>
      </c>
      <c r="AF227" s="231" t="s">
        <v>239</v>
      </c>
      <c r="AG227" s="231">
        <v>1</v>
      </c>
      <c r="AH227" s="231" t="s">
        <v>239</v>
      </c>
      <c r="AI227" s="231">
        <v>1</v>
      </c>
      <c r="AJ227" s="231" t="s">
        <v>239</v>
      </c>
      <c r="AK227" s="231">
        <v>1</v>
      </c>
      <c r="AL227" s="231" t="s">
        <v>239</v>
      </c>
      <c r="AM227" s="231">
        <v>0</v>
      </c>
    </row>
    <row r="228" spans="1:39" ht="15" customHeight="1" outlineLevel="1">
      <c r="A228" s="412"/>
      <c r="B228" s="10">
        <v>129109</v>
      </c>
      <c r="C228" s="218" t="s">
        <v>1489</v>
      </c>
      <c r="D228" s="218" t="s">
        <v>1490</v>
      </c>
      <c r="E228" s="23" t="s">
        <v>138</v>
      </c>
      <c r="F228" s="17" t="s">
        <v>45</v>
      </c>
      <c r="G228" s="11" t="s">
        <v>1432</v>
      </c>
      <c r="H228" s="12">
        <v>5</v>
      </c>
      <c r="I228" s="11" t="s">
        <v>1433</v>
      </c>
      <c r="J228" s="375"/>
      <c r="K228" s="17" t="s">
        <v>233</v>
      </c>
      <c r="L228" s="17" t="s">
        <v>233</v>
      </c>
      <c r="M228" s="231">
        <v>3172</v>
      </c>
      <c r="N228" s="232">
        <v>3133.4919199999999</v>
      </c>
      <c r="O228" s="132">
        <v>152</v>
      </c>
      <c r="P228" s="231" t="s">
        <v>239</v>
      </c>
      <c r="Q228" s="231">
        <v>47</v>
      </c>
      <c r="R228" s="231" t="s">
        <v>239</v>
      </c>
      <c r="S228" s="231">
        <v>25</v>
      </c>
      <c r="T228" s="231" t="s">
        <v>239</v>
      </c>
      <c r="U228" s="231">
        <v>56</v>
      </c>
      <c r="V228" s="231" t="s">
        <v>239</v>
      </c>
      <c r="W228" s="231">
        <v>15</v>
      </c>
      <c r="X228" s="231" t="s">
        <v>239</v>
      </c>
      <c r="Y228" s="231">
        <v>0</v>
      </c>
      <c r="Z228" s="231" t="s">
        <v>239</v>
      </c>
      <c r="AA228" s="231">
        <v>0</v>
      </c>
      <c r="AB228" s="231" t="s">
        <v>239</v>
      </c>
      <c r="AC228" s="231">
        <v>0</v>
      </c>
      <c r="AD228" s="231" t="s">
        <v>239</v>
      </c>
      <c r="AE228" s="231">
        <v>0</v>
      </c>
      <c r="AF228" s="231" t="s">
        <v>239</v>
      </c>
      <c r="AG228" s="231">
        <v>0</v>
      </c>
      <c r="AH228" s="231" t="s">
        <v>239</v>
      </c>
      <c r="AI228" s="231">
        <v>0</v>
      </c>
      <c r="AJ228" s="231" t="s">
        <v>239</v>
      </c>
      <c r="AK228" s="231">
        <v>2473</v>
      </c>
      <c r="AL228" s="231" t="s">
        <v>239</v>
      </c>
      <c r="AM228" s="231">
        <v>2768</v>
      </c>
    </row>
    <row r="229" spans="1:39" ht="15" customHeight="1" outlineLevel="1">
      <c r="A229" s="411">
        <v>110</v>
      </c>
      <c r="B229" s="10">
        <v>129110</v>
      </c>
      <c r="C229" s="218" t="s">
        <v>1489</v>
      </c>
      <c r="D229" s="218" t="s">
        <v>1490</v>
      </c>
      <c r="E229" s="23" t="s">
        <v>44</v>
      </c>
      <c r="F229" s="17" t="s">
        <v>45</v>
      </c>
      <c r="G229" s="11" t="s">
        <v>1432</v>
      </c>
      <c r="H229" s="12">
        <v>17</v>
      </c>
      <c r="I229" s="11" t="s">
        <v>1433</v>
      </c>
      <c r="J229" s="193" t="s">
        <v>1460</v>
      </c>
      <c r="K229" s="17" t="s">
        <v>233</v>
      </c>
      <c r="L229" s="17" t="s">
        <v>233</v>
      </c>
      <c r="M229" s="231">
        <v>0.4</v>
      </c>
      <c r="N229" s="233">
        <v>0.4</v>
      </c>
      <c r="O229" s="132">
        <v>0.4</v>
      </c>
      <c r="P229" s="231" t="s">
        <v>239</v>
      </c>
      <c r="Q229" s="233">
        <v>0.4</v>
      </c>
      <c r="R229" s="231" t="s">
        <v>239</v>
      </c>
      <c r="S229" s="231">
        <v>0.4</v>
      </c>
      <c r="T229" s="231" t="s">
        <v>239</v>
      </c>
      <c r="U229" s="132">
        <v>0.4</v>
      </c>
      <c r="V229" s="230" t="s">
        <v>239</v>
      </c>
      <c r="W229" s="233">
        <v>0.4</v>
      </c>
      <c r="X229" s="231" t="s">
        <v>239</v>
      </c>
      <c r="Y229" s="231">
        <v>0.4</v>
      </c>
      <c r="Z229" s="231" t="s">
        <v>239</v>
      </c>
      <c r="AA229" s="132">
        <v>0.4</v>
      </c>
      <c r="AB229" s="231" t="s">
        <v>239</v>
      </c>
      <c r="AC229" s="233">
        <v>0.4</v>
      </c>
      <c r="AD229" s="231" t="s">
        <v>239</v>
      </c>
      <c r="AE229" s="231">
        <v>0.4</v>
      </c>
      <c r="AF229" s="231" t="s">
        <v>239</v>
      </c>
      <c r="AG229" s="132">
        <v>0.4</v>
      </c>
      <c r="AH229" s="231" t="s">
        <v>239</v>
      </c>
      <c r="AI229" s="233">
        <v>0.4</v>
      </c>
      <c r="AJ229" s="231" t="s">
        <v>239</v>
      </c>
      <c r="AK229" s="231">
        <v>0.4</v>
      </c>
      <c r="AL229" s="231" t="s">
        <v>239</v>
      </c>
      <c r="AM229" s="231">
        <v>0</v>
      </c>
    </row>
    <row r="230" spans="1:39" ht="15" customHeight="1" outlineLevel="1">
      <c r="A230" s="412"/>
      <c r="B230" s="10">
        <v>129110</v>
      </c>
      <c r="C230" s="218" t="s">
        <v>1489</v>
      </c>
      <c r="D230" s="218" t="s">
        <v>1490</v>
      </c>
      <c r="E230" s="23" t="s">
        <v>138</v>
      </c>
      <c r="F230" s="17" t="s">
        <v>45</v>
      </c>
      <c r="G230" s="11" t="s">
        <v>1432</v>
      </c>
      <c r="H230" s="12">
        <v>19</v>
      </c>
      <c r="I230" s="11" t="s">
        <v>1433</v>
      </c>
      <c r="J230" s="193" t="s">
        <v>1442</v>
      </c>
      <c r="K230" s="17" t="s">
        <v>233</v>
      </c>
      <c r="L230" s="17" t="s">
        <v>233</v>
      </c>
      <c r="M230" s="231">
        <v>3914</v>
      </c>
      <c r="N230" s="232">
        <v>3866.4840399999998</v>
      </c>
      <c r="O230" s="132">
        <v>451</v>
      </c>
      <c r="P230" s="231" t="s">
        <v>239</v>
      </c>
      <c r="Q230" s="231">
        <v>85</v>
      </c>
      <c r="R230" s="231" t="s">
        <v>239</v>
      </c>
      <c r="S230" s="231">
        <v>84</v>
      </c>
      <c r="T230" s="231" t="s">
        <v>239</v>
      </c>
      <c r="U230" s="231">
        <v>71</v>
      </c>
      <c r="V230" s="231" t="s">
        <v>239</v>
      </c>
      <c r="W230" s="231">
        <v>117</v>
      </c>
      <c r="X230" s="231" t="s">
        <v>239</v>
      </c>
      <c r="Y230" s="231">
        <v>4</v>
      </c>
      <c r="Z230" s="231" t="s">
        <v>239</v>
      </c>
      <c r="AA230" s="231">
        <v>527</v>
      </c>
      <c r="AB230" s="231" t="s">
        <v>239</v>
      </c>
      <c r="AC230" s="231">
        <v>155</v>
      </c>
      <c r="AD230" s="231" t="s">
        <v>239</v>
      </c>
      <c r="AE230" s="231">
        <v>149</v>
      </c>
      <c r="AF230" s="231" t="s">
        <v>239</v>
      </c>
      <c r="AG230" s="231">
        <v>159</v>
      </c>
      <c r="AH230" s="231" t="s">
        <v>239</v>
      </c>
      <c r="AI230" s="231">
        <v>153</v>
      </c>
      <c r="AJ230" s="231" t="s">
        <v>239</v>
      </c>
      <c r="AK230" s="231">
        <v>0</v>
      </c>
      <c r="AL230" s="231" t="s">
        <v>239</v>
      </c>
      <c r="AM230" s="231">
        <v>1955</v>
      </c>
    </row>
    <row r="231" spans="1:39" ht="15" customHeight="1" outlineLevel="1">
      <c r="A231" s="411">
        <v>111</v>
      </c>
      <c r="B231" s="10">
        <v>129111</v>
      </c>
      <c r="C231" s="218" t="s">
        <v>1489</v>
      </c>
      <c r="D231" s="218" t="s">
        <v>1490</v>
      </c>
      <c r="E231" s="23" t="s">
        <v>44</v>
      </c>
      <c r="F231" s="17" t="s">
        <v>45</v>
      </c>
      <c r="G231" s="11" t="s">
        <v>1432</v>
      </c>
      <c r="H231" s="12">
        <v>21</v>
      </c>
      <c r="I231" s="11" t="s">
        <v>1433</v>
      </c>
      <c r="J231" s="193" t="s">
        <v>1460</v>
      </c>
      <c r="K231" s="17" t="s">
        <v>233</v>
      </c>
      <c r="L231" s="17" t="s">
        <v>233</v>
      </c>
      <c r="M231" s="231">
        <v>17</v>
      </c>
      <c r="N231" s="232">
        <v>17</v>
      </c>
      <c r="O231" s="231">
        <v>17</v>
      </c>
      <c r="P231" s="231" t="s">
        <v>239</v>
      </c>
      <c r="Q231" s="231">
        <v>17</v>
      </c>
      <c r="R231" s="231" t="s">
        <v>239</v>
      </c>
      <c r="S231" s="231">
        <v>17</v>
      </c>
      <c r="T231" s="231" t="s">
        <v>239</v>
      </c>
      <c r="U231" s="231">
        <v>17</v>
      </c>
      <c r="V231" s="231" t="s">
        <v>239</v>
      </c>
      <c r="W231" s="231">
        <v>17</v>
      </c>
      <c r="X231" s="231" t="s">
        <v>239</v>
      </c>
      <c r="Y231" s="231">
        <v>17</v>
      </c>
      <c r="Z231" s="231" t="s">
        <v>239</v>
      </c>
      <c r="AA231" s="231">
        <v>17</v>
      </c>
      <c r="AB231" s="231" t="s">
        <v>239</v>
      </c>
      <c r="AC231" s="231">
        <v>17</v>
      </c>
      <c r="AD231" s="231" t="s">
        <v>239</v>
      </c>
      <c r="AE231" s="231">
        <v>17</v>
      </c>
      <c r="AF231" s="231" t="s">
        <v>239</v>
      </c>
      <c r="AG231" s="231">
        <v>17</v>
      </c>
      <c r="AH231" s="231" t="s">
        <v>239</v>
      </c>
      <c r="AI231" s="231">
        <v>17</v>
      </c>
      <c r="AJ231" s="231" t="s">
        <v>239</v>
      </c>
      <c r="AK231" s="231">
        <v>17</v>
      </c>
      <c r="AL231" s="231" t="s">
        <v>239</v>
      </c>
      <c r="AM231" s="231">
        <v>0</v>
      </c>
    </row>
    <row r="232" spans="1:39" ht="15" customHeight="1" outlineLevel="1">
      <c r="A232" s="412"/>
      <c r="B232" s="10">
        <v>129111</v>
      </c>
      <c r="C232" s="218" t="s">
        <v>1489</v>
      </c>
      <c r="D232" s="218" t="s">
        <v>1490</v>
      </c>
      <c r="E232" s="23" t="s">
        <v>44</v>
      </c>
      <c r="F232" s="17" t="s">
        <v>45</v>
      </c>
      <c r="G232" s="11" t="s">
        <v>1432</v>
      </c>
      <c r="H232" s="12">
        <v>19</v>
      </c>
      <c r="I232" s="11" t="s">
        <v>1433</v>
      </c>
      <c r="J232" s="193" t="s">
        <v>1457</v>
      </c>
      <c r="K232" s="17" t="s">
        <v>233</v>
      </c>
      <c r="L232" s="17" t="s">
        <v>233</v>
      </c>
      <c r="M232" s="231">
        <v>3978</v>
      </c>
      <c r="N232" s="232">
        <v>3929.7070799999997</v>
      </c>
      <c r="O232" s="132">
        <v>371</v>
      </c>
      <c r="P232" s="231" t="s">
        <v>239</v>
      </c>
      <c r="Q232" s="231">
        <v>485</v>
      </c>
      <c r="R232" s="231" t="s">
        <v>239</v>
      </c>
      <c r="S232" s="231">
        <v>301</v>
      </c>
      <c r="T232" s="231" t="s">
        <v>239</v>
      </c>
      <c r="U232" s="231">
        <v>354</v>
      </c>
      <c r="V232" s="230" t="s">
        <v>239</v>
      </c>
      <c r="W232" s="231">
        <v>187</v>
      </c>
      <c r="X232" s="231" t="s">
        <v>239</v>
      </c>
      <c r="Y232" s="231">
        <v>162</v>
      </c>
      <c r="Z232" s="231" t="s">
        <v>239</v>
      </c>
      <c r="AA232" s="231">
        <v>2883</v>
      </c>
      <c r="AB232" s="231" t="s">
        <v>239</v>
      </c>
      <c r="AC232" s="231">
        <v>421</v>
      </c>
      <c r="AD232" s="231" t="s">
        <v>239</v>
      </c>
      <c r="AE232" s="231">
        <v>500</v>
      </c>
      <c r="AF232" s="231" t="s">
        <v>239</v>
      </c>
      <c r="AG232" s="231">
        <v>573</v>
      </c>
      <c r="AH232" s="231" t="s">
        <v>239</v>
      </c>
      <c r="AI232" s="231">
        <v>731</v>
      </c>
      <c r="AJ232" s="231" t="s">
        <v>239</v>
      </c>
      <c r="AK232" s="231">
        <v>546</v>
      </c>
      <c r="AL232" s="231" t="s">
        <v>239</v>
      </c>
      <c r="AM232" s="231">
        <v>7514</v>
      </c>
    </row>
    <row r="233" spans="1:39" ht="15" customHeight="1" outlineLevel="1">
      <c r="A233" s="411">
        <v>112</v>
      </c>
      <c r="B233" s="10">
        <v>129112</v>
      </c>
      <c r="C233" s="218" t="s">
        <v>1489</v>
      </c>
      <c r="D233" s="218" t="s">
        <v>1490</v>
      </c>
      <c r="E233" s="23" t="s">
        <v>138</v>
      </c>
      <c r="F233" s="17" t="s">
        <v>45</v>
      </c>
      <c r="G233" s="11" t="s">
        <v>1432</v>
      </c>
      <c r="H233" s="12">
        <v>30</v>
      </c>
      <c r="I233" s="11" t="s">
        <v>1433</v>
      </c>
      <c r="J233" s="193" t="s">
        <v>617</v>
      </c>
      <c r="K233" s="17" t="s">
        <v>233</v>
      </c>
      <c r="L233" s="17" t="s">
        <v>233</v>
      </c>
      <c r="M233" s="231">
        <v>40</v>
      </c>
      <c r="N233" s="232">
        <v>40</v>
      </c>
      <c r="O233" s="231">
        <v>40</v>
      </c>
      <c r="P233" s="231" t="s">
        <v>239</v>
      </c>
      <c r="Q233" s="231">
        <v>40</v>
      </c>
      <c r="R233" s="231" t="s">
        <v>239</v>
      </c>
      <c r="S233" s="231">
        <v>40</v>
      </c>
      <c r="T233" s="231" t="s">
        <v>239</v>
      </c>
      <c r="U233" s="231">
        <v>40</v>
      </c>
      <c r="V233" s="231" t="s">
        <v>239</v>
      </c>
      <c r="W233" s="231">
        <v>40</v>
      </c>
      <c r="X233" s="231" t="s">
        <v>239</v>
      </c>
      <c r="Y233" s="231">
        <v>40</v>
      </c>
      <c r="Z233" s="231" t="s">
        <v>239</v>
      </c>
      <c r="AA233" s="231">
        <v>40</v>
      </c>
      <c r="AB233" s="231" t="s">
        <v>239</v>
      </c>
      <c r="AC233" s="231">
        <v>40</v>
      </c>
      <c r="AD233" s="231" t="s">
        <v>239</v>
      </c>
      <c r="AE233" s="231">
        <v>40</v>
      </c>
      <c r="AF233" s="231" t="s">
        <v>239</v>
      </c>
      <c r="AG233" s="231">
        <v>40</v>
      </c>
      <c r="AH233" s="231" t="s">
        <v>239</v>
      </c>
      <c r="AI233" s="231">
        <v>40</v>
      </c>
      <c r="AJ233" s="231" t="s">
        <v>239</v>
      </c>
      <c r="AK233" s="231">
        <v>40</v>
      </c>
      <c r="AL233" s="231" t="s">
        <v>239</v>
      </c>
      <c r="AM233" s="231">
        <v>0</v>
      </c>
    </row>
    <row r="234" spans="1:39" ht="15" customHeight="1" outlineLevel="1">
      <c r="A234" s="412"/>
      <c r="B234" s="10">
        <v>129112</v>
      </c>
      <c r="C234" s="218" t="s">
        <v>1489</v>
      </c>
      <c r="D234" s="218" t="s">
        <v>1490</v>
      </c>
      <c r="E234" s="23" t="s">
        <v>44</v>
      </c>
      <c r="F234" s="17" t="s">
        <v>45</v>
      </c>
      <c r="G234" s="11" t="s">
        <v>1432</v>
      </c>
      <c r="H234" s="12">
        <v>33</v>
      </c>
      <c r="I234" s="11" t="s">
        <v>1433</v>
      </c>
      <c r="J234" s="193" t="s">
        <v>216</v>
      </c>
      <c r="K234" s="17" t="s">
        <v>233</v>
      </c>
      <c r="L234" s="17" t="s">
        <v>233</v>
      </c>
      <c r="M234" s="231">
        <v>11618</v>
      </c>
      <c r="N234" s="232">
        <v>11476.957479999999</v>
      </c>
      <c r="O234" s="132">
        <v>560</v>
      </c>
      <c r="P234" s="231" t="s">
        <v>239</v>
      </c>
      <c r="Q234" s="231">
        <v>578</v>
      </c>
      <c r="R234" s="231" t="s">
        <v>239</v>
      </c>
      <c r="S234" s="231">
        <v>746</v>
      </c>
      <c r="T234" s="231" t="s">
        <v>239</v>
      </c>
      <c r="U234" s="231">
        <v>286</v>
      </c>
      <c r="V234" s="231" t="s">
        <v>239</v>
      </c>
      <c r="W234" s="231">
        <v>704</v>
      </c>
      <c r="X234" s="231" t="s">
        <v>239</v>
      </c>
      <c r="Y234" s="231">
        <v>161</v>
      </c>
      <c r="Z234" s="231" t="s">
        <v>239</v>
      </c>
      <c r="AA234" s="231">
        <v>684</v>
      </c>
      <c r="AB234" s="231" t="s">
        <v>239</v>
      </c>
      <c r="AC234" s="231">
        <v>317</v>
      </c>
      <c r="AD234" s="231" t="s">
        <v>239</v>
      </c>
      <c r="AE234" s="231">
        <v>305</v>
      </c>
      <c r="AF234" s="231" t="s">
        <v>239</v>
      </c>
      <c r="AG234" s="231">
        <v>308</v>
      </c>
      <c r="AH234" s="231" t="s">
        <v>239</v>
      </c>
      <c r="AI234" s="231">
        <v>221</v>
      </c>
      <c r="AJ234" s="231" t="s">
        <v>239</v>
      </c>
      <c r="AK234" s="231">
        <v>329</v>
      </c>
      <c r="AL234" s="231" t="s">
        <v>239</v>
      </c>
      <c r="AM234" s="231">
        <v>5199</v>
      </c>
    </row>
    <row r="235" spans="1:39" ht="15" customHeight="1" outlineLevel="1">
      <c r="A235" s="411">
        <v>113</v>
      </c>
      <c r="B235" s="10">
        <v>129113</v>
      </c>
      <c r="C235" s="218" t="s">
        <v>1489</v>
      </c>
      <c r="D235" s="218" t="s">
        <v>1490</v>
      </c>
      <c r="E235" s="23" t="s">
        <v>138</v>
      </c>
      <c r="F235" s="17" t="s">
        <v>45</v>
      </c>
      <c r="G235" s="11" t="s">
        <v>1432</v>
      </c>
      <c r="H235" s="12">
        <v>19</v>
      </c>
      <c r="I235" s="11" t="s">
        <v>1433</v>
      </c>
      <c r="J235" s="191" t="s">
        <v>216</v>
      </c>
      <c r="K235" s="17" t="s">
        <v>233</v>
      </c>
      <c r="L235" s="17" t="s">
        <v>233</v>
      </c>
      <c r="M235" s="231">
        <v>46</v>
      </c>
      <c r="N235" s="232">
        <v>46</v>
      </c>
      <c r="O235" s="231">
        <v>46</v>
      </c>
      <c r="P235" s="231" t="s">
        <v>239</v>
      </c>
      <c r="Q235" s="231">
        <v>46</v>
      </c>
      <c r="R235" s="231" t="s">
        <v>239</v>
      </c>
      <c r="S235" s="231">
        <v>46</v>
      </c>
      <c r="T235" s="231" t="s">
        <v>239</v>
      </c>
      <c r="U235" s="231">
        <v>46</v>
      </c>
      <c r="V235" s="230" t="s">
        <v>239</v>
      </c>
      <c r="W235" s="231">
        <v>46</v>
      </c>
      <c r="X235" s="231" t="s">
        <v>239</v>
      </c>
      <c r="Y235" s="231">
        <v>46</v>
      </c>
      <c r="Z235" s="231" t="s">
        <v>239</v>
      </c>
      <c r="AA235" s="231">
        <v>46</v>
      </c>
      <c r="AB235" s="231" t="s">
        <v>239</v>
      </c>
      <c r="AC235" s="231">
        <v>46</v>
      </c>
      <c r="AD235" s="231" t="s">
        <v>239</v>
      </c>
      <c r="AE235" s="231">
        <v>46</v>
      </c>
      <c r="AF235" s="231" t="s">
        <v>239</v>
      </c>
      <c r="AG235" s="231">
        <v>46</v>
      </c>
      <c r="AH235" s="231" t="s">
        <v>239</v>
      </c>
      <c r="AI235" s="231">
        <v>46</v>
      </c>
      <c r="AJ235" s="231" t="s">
        <v>239</v>
      </c>
      <c r="AK235" s="231">
        <v>46</v>
      </c>
      <c r="AL235" s="231" t="s">
        <v>239</v>
      </c>
      <c r="AM235" s="231">
        <v>0</v>
      </c>
    </row>
    <row r="236" spans="1:39" ht="15" customHeight="1" outlineLevel="1">
      <c r="A236" s="412"/>
      <c r="B236" s="10">
        <v>129113</v>
      </c>
      <c r="C236" s="218" t="s">
        <v>1489</v>
      </c>
      <c r="D236" s="218" t="s">
        <v>1490</v>
      </c>
      <c r="E236" s="23" t="s">
        <v>44</v>
      </c>
      <c r="F236" s="17" t="s">
        <v>45</v>
      </c>
      <c r="G236" s="11" t="s">
        <v>1432</v>
      </c>
      <c r="H236" s="12">
        <v>6</v>
      </c>
      <c r="I236" s="11" t="s">
        <v>1433</v>
      </c>
      <c r="J236" s="192" t="s">
        <v>1434</v>
      </c>
      <c r="K236" s="17" t="s">
        <v>233</v>
      </c>
      <c r="L236" s="17" t="s">
        <v>233</v>
      </c>
      <c r="M236" s="231">
        <v>16388</v>
      </c>
      <c r="N236" s="232">
        <v>16189.04968</v>
      </c>
      <c r="O236" s="132">
        <v>676</v>
      </c>
      <c r="P236" s="231" t="s">
        <v>239</v>
      </c>
      <c r="Q236" s="231">
        <v>774</v>
      </c>
      <c r="R236" s="231" t="s">
        <v>239</v>
      </c>
      <c r="S236" s="231">
        <v>612</v>
      </c>
      <c r="T236" s="231" t="s">
        <v>239</v>
      </c>
      <c r="U236" s="231">
        <v>697</v>
      </c>
      <c r="V236" s="231" t="s">
        <v>239</v>
      </c>
      <c r="W236" s="231">
        <v>684</v>
      </c>
      <c r="X236" s="231" t="s">
        <v>239</v>
      </c>
      <c r="Y236" s="231">
        <v>586</v>
      </c>
      <c r="Z236" s="231" t="s">
        <v>239</v>
      </c>
      <c r="AA236" s="231">
        <v>586</v>
      </c>
      <c r="AB236" s="231" t="s">
        <v>239</v>
      </c>
      <c r="AC236" s="231">
        <v>586</v>
      </c>
      <c r="AD236" s="231" t="s">
        <v>239</v>
      </c>
      <c r="AE236" s="231">
        <v>586</v>
      </c>
      <c r="AF236" s="231" t="s">
        <v>239</v>
      </c>
      <c r="AG236" s="231">
        <v>586</v>
      </c>
      <c r="AH236" s="231" t="s">
        <v>239</v>
      </c>
      <c r="AI236" s="231">
        <v>24094</v>
      </c>
      <c r="AJ236" s="231" t="s">
        <v>239</v>
      </c>
      <c r="AK236" s="231">
        <v>1562</v>
      </c>
      <c r="AL236" s="231" t="s">
        <v>239</v>
      </c>
      <c r="AM236" s="231">
        <v>32029</v>
      </c>
    </row>
    <row r="237" spans="1:39" ht="15" customHeight="1" outlineLevel="1">
      <c r="A237" s="411">
        <v>114</v>
      </c>
      <c r="B237" s="10">
        <v>129114</v>
      </c>
      <c r="C237" s="218" t="s">
        <v>1489</v>
      </c>
      <c r="D237" s="218" t="s">
        <v>1490</v>
      </c>
      <c r="E237" s="23" t="s">
        <v>44</v>
      </c>
      <c r="F237" s="17" t="s">
        <v>45</v>
      </c>
      <c r="G237" s="11" t="s">
        <v>1432</v>
      </c>
      <c r="H237" s="12">
        <v>15</v>
      </c>
      <c r="I237" s="11" t="s">
        <v>1433</v>
      </c>
      <c r="J237" s="192" t="s">
        <v>1480</v>
      </c>
      <c r="K237" s="17" t="s">
        <v>233</v>
      </c>
      <c r="L237" s="17" t="s">
        <v>233</v>
      </c>
      <c r="M237" s="231">
        <v>1</v>
      </c>
      <c r="N237" s="232">
        <v>1</v>
      </c>
      <c r="O237" s="231">
        <v>1</v>
      </c>
      <c r="P237" s="231" t="s">
        <v>239</v>
      </c>
      <c r="Q237" s="231">
        <v>1</v>
      </c>
      <c r="R237" s="231" t="s">
        <v>239</v>
      </c>
      <c r="S237" s="231">
        <v>1</v>
      </c>
      <c r="T237" s="231" t="s">
        <v>239</v>
      </c>
      <c r="U237" s="231">
        <v>1</v>
      </c>
      <c r="V237" s="231" t="s">
        <v>239</v>
      </c>
      <c r="W237" s="231">
        <v>1</v>
      </c>
      <c r="X237" s="231" t="s">
        <v>239</v>
      </c>
      <c r="Y237" s="231">
        <v>1</v>
      </c>
      <c r="Z237" s="231" t="s">
        <v>239</v>
      </c>
      <c r="AA237" s="231">
        <v>1</v>
      </c>
      <c r="AB237" s="231" t="s">
        <v>239</v>
      </c>
      <c r="AC237" s="231">
        <v>1</v>
      </c>
      <c r="AD237" s="231" t="s">
        <v>239</v>
      </c>
      <c r="AE237" s="231">
        <v>1</v>
      </c>
      <c r="AF237" s="231" t="s">
        <v>239</v>
      </c>
      <c r="AG237" s="231">
        <v>1</v>
      </c>
      <c r="AH237" s="231" t="s">
        <v>239</v>
      </c>
      <c r="AI237" s="231">
        <v>1</v>
      </c>
      <c r="AJ237" s="231" t="s">
        <v>239</v>
      </c>
      <c r="AK237" s="231">
        <v>1</v>
      </c>
      <c r="AL237" s="231" t="s">
        <v>239</v>
      </c>
      <c r="AM237" s="231">
        <v>0</v>
      </c>
    </row>
    <row r="238" spans="1:39" ht="15" customHeight="1" outlineLevel="1">
      <c r="A238" s="412"/>
      <c r="B238" s="10">
        <v>129114</v>
      </c>
      <c r="C238" s="218" t="s">
        <v>1489</v>
      </c>
      <c r="D238" s="218" t="s">
        <v>1490</v>
      </c>
      <c r="E238" s="23" t="s">
        <v>138</v>
      </c>
      <c r="F238" s="17" t="s">
        <v>45</v>
      </c>
      <c r="G238" s="11" t="s">
        <v>1432</v>
      </c>
      <c r="H238" s="12">
        <v>19</v>
      </c>
      <c r="I238" s="11" t="s">
        <v>1433</v>
      </c>
      <c r="J238" s="192" t="s">
        <v>1452</v>
      </c>
      <c r="K238" s="17" t="s">
        <v>233</v>
      </c>
      <c r="L238" s="17" t="s">
        <v>233</v>
      </c>
      <c r="M238" s="231">
        <v>7542</v>
      </c>
      <c r="N238" s="232">
        <v>7450.4401199999993</v>
      </c>
      <c r="O238" s="132">
        <v>269</v>
      </c>
      <c r="P238" s="231" t="s">
        <v>239</v>
      </c>
      <c r="Q238" s="231">
        <v>941</v>
      </c>
      <c r="R238" s="231" t="s">
        <v>239</v>
      </c>
      <c r="S238" s="231">
        <v>557</v>
      </c>
      <c r="T238" s="231" t="s">
        <v>239</v>
      </c>
      <c r="U238" s="231">
        <v>0</v>
      </c>
      <c r="V238" s="230" t="s">
        <v>239</v>
      </c>
      <c r="W238" s="231">
        <v>0</v>
      </c>
      <c r="X238" s="231" t="s">
        <v>239</v>
      </c>
      <c r="Y238" s="231">
        <v>102</v>
      </c>
      <c r="Z238" s="231" t="s">
        <v>239</v>
      </c>
      <c r="AA238" s="231">
        <v>102</v>
      </c>
      <c r="AB238" s="231" t="s">
        <v>239</v>
      </c>
      <c r="AC238" s="231">
        <v>103</v>
      </c>
      <c r="AD238" s="231" t="s">
        <v>239</v>
      </c>
      <c r="AE238" s="231">
        <v>902</v>
      </c>
      <c r="AF238" s="231" t="s">
        <v>239</v>
      </c>
      <c r="AG238" s="231">
        <v>103</v>
      </c>
      <c r="AH238" s="231" t="s">
        <v>239</v>
      </c>
      <c r="AI238" s="231">
        <v>103</v>
      </c>
      <c r="AJ238" s="231" t="s">
        <v>239</v>
      </c>
      <c r="AK238" s="231">
        <v>369</v>
      </c>
      <c r="AL238" s="231" t="s">
        <v>239</v>
      </c>
      <c r="AM238" s="231">
        <v>3551</v>
      </c>
    </row>
    <row r="239" spans="1:39" ht="15" customHeight="1" outlineLevel="1">
      <c r="A239" s="411">
        <v>115</v>
      </c>
      <c r="B239" s="10">
        <v>129115</v>
      </c>
      <c r="C239" s="218" t="s">
        <v>1489</v>
      </c>
      <c r="D239" s="218" t="s">
        <v>1490</v>
      </c>
      <c r="E239" s="23" t="s">
        <v>44</v>
      </c>
      <c r="F239" s="17" t="s">
        <v>45</v>
      </c>
      <c r="G239" s="11" t="s">
        <v>1432</v>
      </c>
      <c r="H239" s="12">
        <v>21</v>
      </c>
      <c r="I239" s="11" t="s">
        <v>1433</v>
      </c>
      <c r="J239" s="374" t="s">
        <v>207</v>
      </c>
      <c r="K239" s="17" t="s">
        <v>233</v>
      </c>
      <c r="L239" s="17" t="s">
        <v>233</v>
      </c>
      <c r="M239" s="231">
        <v>3</v>
      </c>
      <c r="N239" s="232">
        <v>3</v>
      </c>
      <c r="O239" s="231">
        <v>3</v>
      </c>
      <c r="P239" s="231" t="s">
        <v>239</v>
      </c>
      <c r="Q239" s="231">
        <v>3</v>
      </c>
      <c r="R239" s="231" t="s">
        <v>239</v>
      </c>
      <c r="S239" s="231">
        <v>3</v>
      </c>
      <c r="T239" s="231" t="s">
        <v>239</v>
      </c>
      <c r="U239" s="231">
        <v>3</v>
      </c>
      <c r="V239" s="231" t="s">
        <v>239</v>
      </c>
      <c r="W239" s="231">
        <v>3</v>
      </c>
      <c r="X239" s="231" t="s">
        <v>239</v>
      </c>
      <c r="Y239" s="231">
        <v>3</v>
      </c>
      <c r="Z239" s="231" t="s">
        <v>239</v>
      </c>
      <c r="AA239" s="231">
        <v>3</v>
      </c>
      <c r="AB239" s="231" t="s">
        <v>239</v>
      </c>
      <c r="AC239" s="231">
        <v>3</v>
      </c>
      <c r="AD239" s="231" t="s">
        <v>239</v>
      </c>
      <c r="AE239" s="231">
        <v>3</v>
      </c>
      <c r="AF239" s="231" t="s">
        <v>239</v>
      </c>
      <c r="AG239" s="231">
        <v>3</v>
      </c>
      <c r="AH239" s="231" t="s">
        <v>239</v>
      </c>
      <c r="AI239" s="231">
        <v>3</v>
      </c>
      <c r="AJ239" s="231" t="s">
        <v>239</v>
      </c>
      <c r="AK239" s="231">
        <v>3</v>
      </c>
      <c r="AL239" s="231" t="s">
        <v>239</v>
      </c>
      <c r="AM239" s="231">
        <v>0</v>
      </c>
    </row>
    <row r="240" spans="1:39" ht="15" customHeight="1" outlineLevel="1">
      <c r="A240" s="412"/>
      <c r="B240" s="10">
        <v>129115</v>
      </c>
      <c r="C240" s="218" t="s">
        <v>1489</v>
      </c>
      <c r="D240" s="218" t="s">
        <v>1490</v>
      </c>
      <c r="E240" s="23" t="s">
        <v>138</v>
      </c>
      <c r="F240" s="17" t="s">
        <v>45</v>
      </c>
      <c r="G240" s="11" t="s">
        <v>1432</v>
      </c>
      <c r="H240" s="12">
        <v>19</v>
      </c>
      <c r="I240" s="11" t="s">
        <v>1433</v>
      </c>
      <c r="J240" s="375"/>
      <c r="K240" s="17" t="s">
        <v>233</v>
      </c>
      <c r="L240" s="17" t="s">
        <v>233</v>
      </c>
      <c r="M240" s="231">
        <v>1175</v>
      </c>
      <c r="N240" s="232">
        <v>1160.7355</v>
      </c>
      <c r="O240" s="132">
        <v>314</v>
      </c>
      <c r="P240" s="231" t="s">
        <v>239</v>
      </c>
      <c r="Q240" s="231">
        <v>254</v>
      </c>
      <c r="R240" s="231" t="s">
        <v>239</v>
      </c>
      <c r="S240" s="231">
        <v>146</v>
      </c>
      <c r="T240" s="231" t="s">
        <v>239</v>
      </c>
      <c r="U240" s="231">
        <v>266</v>
      </c>
      <c r="V240" s="231" t="s">
        <v>239</v>
      </c>
      <c r="W240" s="231">
        <v>631</v>
      </c>
      <c r="X240" s="231" t="s">
        <v>239</v>
      </c>
      <c r="Y240" s="231">
        <v>0</v>
      </c>
      <c r="Z240" s="231" t="s">
        <v>239</v>
      </c>
      <c r="AA240" s="231">
        <v>216</v>
      </c>
      <c r="AB240" s="231" t="s">
        <v>239</v>
      </c>
      <c r="AC240" s="231">
        <v>91</v>
      </c>
      <c r="AD240" s="231" t="s">
        <v>239</v>
      </c>
      <c r="AE240" s="231">
        <v>39</v>
      </c>
      <c r="AF240" s="231" t="s">
        <v>239</v>
      </c>
      <c r="AG240" s="231">
        <v>85</v>
      </c>
      <c r="AH240" s="231" t="s">
        <v>239</v>
      </c>
      <c r="AI240" s="231">
        <v>266</v>
      </c>
      <c r="AJ240" s="231" t="s">
        <v>239</v>
      </c>
      <c r="AK240" s="231">
        <v>125</v>
      </c>
      <c r="AL240" s="231" t="s">
        <v>239</v>
      </c>
      <c r="AM240" s="231">
        <v>2433</v>
      </c>
    </row>
    <row r="241" spans="1:39" ht="15" customHeight="1" outlineLevel="1">
      <c r="A241" s="411">
        <v>116</v>
      </c>
      <c r="B241" s="10">
        <v>129116</v>
      </c>
      <c r="C241" s="218" t="s">
        <v>1489</v>
      </c>
      <c r="D241" s="218" t="s">
        <v>1490</v>
      </c>
      <c r="E241" s="23" t="s">
        <v>44</v>
      </c>
      <c r="F241" s="17" t="s">
        <v>45</v>
      </c>
      <c r="G241" s="11" t="s">
        <v>1432</v>
      </c>
      <c r="H241" s="12">
        <v>30</v>
      </c>
      <c r="I241" s="11" t="s">
        <v>1433</v>
      </c>
      <c r="J241" s="193" t="s">
        <v>1460</v>
      </c>
      <c r="K241" s="17" t="s">
        <v>233</v>
      </c>
      <c r="L241" s="17" t="s">
        <v>233</v>
      </c>
      <c r="M241" s="231">
        <v>13.4</v>
      </c>
      <c r="N241" s="233">
        <v>13.4</v>
      </c>
      <c r="O241" s="132">
        <v>13.4</v>
      </c>
      <c r="P241" s="231" t="s">
        <v>239</v>
      </c>
      <c r="Q241" s="233">
        <v>13.4</v>
      </c>
      <c r="R241" s="231" t="s">
        <v>239</v>
      </c>
      <c r="S241" s="231">
        <v>13.4</v>
      </c>
      <c r="T241" s="231" t="s">
        <v>239</v>
      </c>
      <c r="U241" s="132">
        <v>13.4</v>
      </c>
      <c r="V241" s="230" t="s">
        <v>239</v>
      </c>
      <c r="W241" s="233">
        <v>13.4</v>
      </c>
      <c r="X241" s="231" t="s">
        <v>239</v>
      </c>
      <c r="Y241" s="231">
        <v>13.4</v>
      </c>
      <c r="Z241" s="231" t="s">
        <v>239</v>
      </c>
      <c r="AA241" s="132">
        <v>13.4</v>
      </c>
      <c r="AB241" s="231" t="s">
        <v>239</v>
      </c>
      <c r="AC241" s="233">
        <v>13.4</v>
      </c>
      <c r="AD241" s="231" t="s">
        <v>239</v>
      </c>
      <c r="AE241" s="231">
        <v>13.4</v>
      </c>
      <c r="AF241" s="231" t="s">
        <v>239</v>
      </c>
      <c r="AG241" s="132">
        <v>13.4</v>
      </c>
      <c r="AH241" s="231" t="s">
        <v>239</v>
      </c>
      <c r="AI241" s="233">
        <v>13.4</v>
      </c>
      <c r="AJ241" s="231" t="s">
        <v>239</v>
      </c>
      <c r="AK241" s="231">
        <v>13.4</v>
      </c>
      <c r="AL241" s="231" t="s">
        <v>239</v>
      </c>
      <c r="AM241" s="231">
        <v>0</v>
      </c>
    </row>
    <row r="242" spans="1:39" ht="15" customHeight="1" outlineLevel="1">
      <c r="A242" s="412"/>
      <c r="B242" s="10">
        <v>129116</v>
      </c>
      <c r="C242" s="218" t="s">
        <v>1489</v>
      </c>
      <c r="D242" s="218" t="s">
        <v>1490</v>
      </c>
      <c r="E242" s="23" t="s">
        <v>44</v>
      </c>
      <c r="F242" s="17" t="s">
        <v>45</v>
      </c>
      <c r="G242" s="11" t="s">
        <v>1432</v>
      </c>
      <c r="H242" s="12">
        <v>33</v>
      </c>
      <c r="I242" s="11" t="s">
        <v>1433</v>
      </c>
      <c r="J242" s="193" t="s">
        <v>1442</v>
      </c>
      <c r="K242" s="17" t="s">
        <v>233</v>
      </c>
      <c r="L242" s="17" t="s">
        <v>233</v>
      </c>
      <c r="M242" s="231">
        <v>4643</v>
      </c>
      <c r="N242" s="232">
        <v>4586.6339799999996</v>
      </c>
      <c r="O242" s="132">
        <v>500</v>
      </c>
      <c r="P242" s="231" t="s">
        <v>239</v>
      </c>
      <c r="Q242" s="231">
        <v>271</v>
      </c>
      <c r="R242" s="231" t="s">
        <v>239</v>
      </c>
      <c r="S242" s="231">
        <v>261</v>
      </c>
      <c r="T242" s="231" t="s">
        <v>239</v>
      </c>
      <c r="U242" s="231">
        <v>239</v>
      </c>
      <c r="V242" s="231" t="s">
        <v>239</v>
      </c>
      <c r="W242" s="231">
        <v>258</v>
      </c>
      <c r="X242" s="231" t="s">
        <v>239</v>
      </c>
      <c r="Y242" s="231">
        <v>0</v>
      </c>
      <c r="Z242" s="231" t="s">
        <v>239</v>
      </c>
      <c r="AA242" s="231">
        <v>397</v>
      </c>
      <c r="AB242" s="231" t="s">
        <v>239</v>
      </c>
      <c r="AC242" s="231">
        <v>227</v>
      </c>
      <c r="AD242" s="231" t="s">
        <v>239</v>
      </c>
      <c r="AE242" s="231">
        <v>182</v>
      </c>
      <c r="AF242" s="231" t="s">
        <v>239</v>
      </c>
      <c r="AG242" s="231">
        <v>253</v>
      </c>
      <c r="AH242" s="231" t="s">
        <v>239</v>
      </c>
      <c r="AI242" s="231">
        <v>306</v>
      </c>
      <c r="AJ242" s="231" t="s">
        <v>239</v>
      </c>
      <c r="AK242" s="231">
        <v>303</v>
      </c>
      <c r="AL242" s="231" t="s">
        <v>239</v>
      </c>
      <c r="AM242" s="231">
        <v>3197</v>
      </c>
    </row>
    <row r="243" spans="1:39" ht="15" customHeight="1" outlineLevel="1">
      <c r="A243" s="411">
        <v>117</v>
      </c>
      <c r="B243" s="10">
        <v>129117</v>
      </c>
      <c r="C243" s="218" t="s">
        <v>1489</v>
      </c>
      <c r="D243" s="218" t="s">
        <v>1490</v>
      </c>
      <c r="E243" s="23" t="s">
        <v>138</v>
      </c>
      <c r="F243" s="17" t="s">
        <v>45</v>
      </c>
      <c r="G243" s="11" t="s">
        <v>1432</v>
      </c>
      <c r="H243" s="12">
        <v>19</v>
      </c>
      <c r="I243" s="11" t="s">
        <v>1433</v>
      </c>
      <c r="J243" s="193" t="s">
        <v>1460</v>
      </c>
      <c r="K243" s="17" t="s">
        <v>233</v>
      </c>
      <c r="L243" s="17" t="s">
        <v>233</v>
      </c>
      <c r="M243" s="231">
        <v>25</v>
      </c>
      <c r="N243" s="232">
        <v>25</v>
      </c>
      <c r="O243" s="231">
        <v>25</v>
      </c>
      <c r="P243" s="231" t="s">
        <v>239</v>
      </c>
      <c r="Q243" s="231">
        <v>25</v>
      </c>
      <c r="R243" s="231" t="s">
        <v>239</v>
      </c>
      <c r="S243" s="231">
        <v>25</v>
      </c>
      <c r="T243" s="231" t="s">
        <v>239</v>
      </c>
      <c r="U243" s="231">
        <v>25</v>
      </c>
      <c r="V243" s="231" t="s">
        <v>239</v>
      </c>
      <c r="W243" s="231">
        <v>25</v>
      </c>
      <c r="X243" s="231" t="s">
        <v>239</v>
      </c>
      <c r="Y243" s="231">
        <v>25</v>
      </c>
      <c r="Z243" s="231" t="s">
        <v>239</v>
      </c>
      <c r="AA243" s="231">
        <v>25</v>
      </c>
      <c r="AB243" s="231" t="s">
        <v>239</v>
      </c>
      <c r="AC243" s="231">
        <v>25</v>
      </c>
      <c r="AD243" s="231" t="s">
        <v>239</v>
      </c>
      <c r="AE243" s="231">
        <v>25</v>
      </c>
      <c r="AF243" s="231" t="s">
        <v>239</v>
      </c>
      <c r="AG243" s="231">
        <v>25</v>
      </c>
      <c r="AH243" s="231" t="s">
        <v>239</v>
      </c>
      <c r="AI243" s="231">
        <v>25</v>
      </c>
      <c r="AJ243" s="231" t="s">
        <v>239</v>
      </c>
      <c r="AK243" s="231">
        <v>25</v>
      </c>
      <c r="AL243" s="231" t="s">
        <v>239</v>
      </c>
      <c r="AM243" s="231">
        <v>0</v>
      </c>
    </row>
    <row r="244" spans="1:39" ht="15" customHeight="1" outlineLevel="1">
      <c r="A244" s="412"/>
      <c r="B244" s="10">
        <v>129117</v>
      </c>
      <c r="C244" s="218" t="s">
        <v>1489</v>
      </c>
      <c r="D244" s="218" t="s">
        <v>1490</v>
      </c>
      <c r="E244" s="23" t="s">
        <v>44</v>
      </c>
      <c r="F244" s="17" t="s">
        <v>45</v>
      </c>
      <c r="G244" s="11" t="s">
        <v>1432</v>
      </c>
      <c r="H244" s="12">
        <v>6</v>
      </c>
      <c r="I244" s="11" t="s">
        <v>1433</v>
      </c>
      <c r="J244" s="193" t="s">
        <v>1457</v>
      </c>
      <c r="K244" s="17" t="s">
        <v>233</v>
      </c>
      <c r="L244" s="17" t="s">
        <v>233</v>
      </c>
      <c r="M244" s="231">
        <v>7362</v>
      </c>
      <c r="N244" s="232">
        <v>7272.6253200000001</v>
      </c>
      <c r="O244" s="132">
        <v>1476</v>
      </c>
      <c r="P244" s="231" t="s">
        <v>239</v>
      </c>
      <c r="Q244" s="231">
        <v>97</v>
      </c>
      <c r="R244" s="231" t="s">
        <v>239</v>
      </c>
      <c r="S244" s="231">
        <v>27</v>
      </c>
      <c r="T244" s="231" t="s">
        <v>239</v>
      </c>
      <c r="U244" s="231">
        <v>549</v>
      </c>
      <c r="V244" s="230" t="s">
        <v>239</v>
      </c>
      <c r="W244" s="231">
        <v>349</v>
      </c>
      <c r="X244" s="231" t="s">
        <v>239</v>
      </c>
      <c r="Y244" s="231">
        <v>1140</v>
      </c>
      <c r="Z244" s="231" t="s">
        <v>239</v>
      </c>
      <c r="AA244" s="231">
        <v>261</v>
      </c>
      <c r="AB244" s="231" t="s">
        <v>239</v>
      </c>
      <c r="AC244" s="231">
        <v>199</v>
      </c>
      <c r="AD244" s="231" t="s">
        <v>239</v>
      </c>
      <c r="AE244" s="231">
        <v>424</v>
      </c>
      <c r="AF244" s="231" t="s">
        <v>239</v>
      </c>
      <c r="AG244" s="231">
        <v>582</v>
      </c>
      <c r="AH244" s="231" t="s">
        <v>239</v>
      </c>
      <c r="AI244" s="231">
        <v>600</v>
      </c>
      <c r="AJ244" s="231" t="s">
        <v>239</v>
      </c>
      <c r="AK244" s="231">
        <v>719</v>
      </c>
      <c r="AL244" s="231" t="s">
        <v>239</v>
      </c>
      <c r="AM244" s="231">
        <v>6423</v>
      </c>
    </row>
    <row r="245" spans="1:39" ht="15" customHeight="1" outlineLevel="1">
      <c r="A245" s="411">
        <v>118</v>
      </c>
      <c r="B245" s="10">
        <v>129118</v>
      </c>
      <c r="C245" s="218" t="s">
        <v>1489</v>
      </c>
      <c r="D245" s="218" t="s">
        <v>1490</v>
      </c>
      <c r="E245" s="23" t="s">
        <v>138</v>
      </c>
      <c r="F245" s="17" t="s">
        <v>45</v>
      </c>
      <c r="G245" s="11" t="s">
        <v>1432</v>
      </c>
      <c r="H245" s="12">
        <v>15</v>
      </c>
      <c r="I245" s="11" t="s">
        <v>1433</v>
      </c>
      <c r="J245" s="193" t="s">
        <v>617</v>
      </c>
      <c r="K245" s="17" t="s">
        <v>233</v>
      </c>
      <c r="L245" s="17" t="s">
        <v>233</v>
      </c>
      <c r="M245" s="231">
        <v>2</v>
      </c>
      <c r="N245" s="232">
        <v>2</v>
      </c>
      <c r="O245" s="231">
        <v>2</v>
      </c>
      <c r="P245" s="231" t="s">
        <v>239</v>
      </c>
      <c r="Q245" s="231">
        <v>2</v>
      </c>
      <c r="R245" s="231" t="s">
        <v>239</v>
      </c>
      <c r="S245" s="231">
        <v>2</v>
      </c>
      <c r="T245" s="231" t="s">
        <v>239</v>
      </c>
      <c r="U245" s="231">
        <v>2</v>
      </c>
      <c r="V245" s="231" t="s">
        <v>239</v>
      </c>
      <c r="W245" s="231">
        <v>2</v>
      </c>
      <c r="X245" s="231" t="s">
        <v>239</v>
      </c>
      <c r="Y245" s="231">
        <v>2</v>
      </c>
      <c r="Z245" s="231" t="s">
        <v>239</v>
      </c>
      <c r="AA245" s="231">
        <v>2</v>
      </c>
      <c r="AB245" s="231" t="s">
        <v>239</v>
      </c>
      <c r="AC245" s="231">
        <v>2</v>
      </c>
      <c r="AD245" s="231" t="s">
        <v>239</v>
      </c>
      <c r="AE245" s="231">
        <v>2</v>
      </c>
      <c r="AF245" s="231" t="s">
        <v>239</v>
      </c>
      <c r="AG245" s="231">
        <v>2</v>
      </c>
      <c r="AH245" s="231" t="s">
        <v>239</v>
      </c>
      <c r="AI245" s="231">
        <v>2</v>
      </c>
      <c r="AJ245" s="231" t="s">
        <v>239</v>
      </c>
      <c r="AK245" s="231">
        <v>2</v>
      </c>
      <c r="AL245" s="231" t="s">
        <v>239</v>
      </c>
      <c r="AM245" s="231">
        <v>0</v>
      </c>
    </row>
    <row r="246" spans="1:39" ht="15" customHeight="1" outlineLevel="1">
      <c r="A246" s="412"/>
      <c r="B246" s="10">
        <v>129118</v>
      </c>
      <c r="C246" s="218" t="s">
        <v>1489</v>
      </c>
      <c r="D246" s="218" t="s">
        <v>1490</v>
      </c>
      <c r="E246" s="23" t="s">
        <v>44</v>
      </c>
      <c r="F246" s="17" t="s">
        <v>45</v>
      </c>
      <c r="G246" s="11" t="s">
        <v>1432</v>
      </c>
      <c r="H246" s="12">
        <v>19</v>
      </c>
      <c r="I246" s="11" t="s">
        <v>1433</v>
      </c>
      <c r="J246" s="193" t="s">
        <v>216</v>
      </c>
      <c r="K246" s="17" t="s">
        <v>233</v>
      </c>
      <c r="L246" s="17" t="s">
        <v>233</v>
      </c>
      <c r="M246" s="231">
        <v>5106</v>
      </c>
      <c r="N246" s="232">
        <v>5044.0131599999995</v>
      </c>
      <c r="O246" s="132">
        <v>167</v>
      </c>
      <c r="P246" s="231" t="s">
        <v>239</v>
      </c>
      <c r="Q246" s="231">
        <v>258</v>
      </c>
      <c r="R246" s="231" t="s">
        <v>239</v>
      </c>
      <c r="S246" s="231">
        <v>307</v>
      </c>
      <c r="T246" s="231" t="s">
        <v>239</v>
      </c>
      <c r="U246" s="231">
        <v>369</v>
      </c>
      <c r="V246" s="231" t="s">
        <v>239</v>
      </c>
      <c r="W246" s="231">
        <v>360</v>
      </c>
      <c r="X246" s="231" t="s">
        <v>239</v>
      </c>
      <c r="Y246" s="231">
        <v>767</v>
      </c>
      <c r="Z246" s="231" t="s">
        <v>239</v>
      </c>
      <c r="AA246" s="231">
        <v>212</v>
      </c>
      <c r="AB246" s="231" t="s">
        <v>239</v>
      </c>
      <c r="AC246" s="231">
        <v>117</v>
      </c>
      <c r="AD246" s="231" t="s">
        <v>239</v>
      </c>
      <c r="AE246" s="231">
        <v>184</v>
      </c>
      <c r="AF246" s="231" t="s">
        <v>239</v>
      </c>
      <c r="AG246" s="231">
        <v>209</v>
      </c>
      <c r="AH246" s="231" t="s">
        <v>239</v>
      </c>
      <c r="AI246" s="231">
        <v>322</v>
      </c>
      <c r="AJ246" s="231" t="s">
        <v>239</v>
      </c>
      <c r="AK246" s="231">
        <v>265</v>
      </c>
      <c r="AL246" s="231" t="s">
        <v>239</v>
      </c>
      <c r="AM246" s="231">
        <v>3537</v>
      </c>
    </row>
    <row r="247" spans="1:39" ht="15" customHeight="1" outlineLevel="1">
      <c r="A247" s="411">
        <v>119</v>
      </c>
      <c r="B247" s="10">
        <v>129119</v>
      </c>
      <c r="C247" s="218" t="s">
        <v>1489</v>
      </c>
      <c r="D247" s="218" t="s">
        <v>1490</v>
      </c>
      <c r="E247" s="23" t="s">
        <v>44</v>
      </c>
      <c r="F247" s="17" t="s">
        <v>45</v>
      </c>
      <c r="G247" s="11" t="s">
        <v>1432</v>
      </c>
      <c r="H247" s="12">
        <v>22</v>
      </c>
      <c r="I247" s="11" t="s">
        <v>1433</v>
      </c>
      <c r="J247" s="192" t="s">
        <v>1446</v>
      </c>
      <c r="K247" s="17" t="s">
        <v>233</v>
      </c>
      <c r="L247" s="17" t="s">
        <v>233</v>
      </c>
      <c r="M247" s="231">
        <v>0</v>
      </c>
      <c r="N247" s="232">
        <v>0</v>
      </c>
      <c r="O247" s="132">
        <v>0</v>
      </c>
      <c r="P247" s="231" t="s">
        <v>239</v>
      </c>
      <c r="Q247" s="231">
        <v>0</v>
      </c>
      <c r="R247" s="231" t="s">
        <v>239</v>
      </c>
      <c r="S247" s="231">
        <v>0</v>
      </c>
      <c r="T247" s="231" t="s">
        <v>239</v>
      </c>
      <c r="U247" s="231">
        <v>0</v>
      </c>
      <c r="V247" s="230" t="s">
        <v>239</v>
      </c>
      <c r="W247" s="231">
        <v>0</v>
      </c>
      <c r="X247" s="231" t="s">
        <v>239</v>
      </c>
      <c r="Y247" s="231">
        <v>0</v>
      </c>
      <c r="Z247" s="231" t="s">
        <v>239</v>
      </c>
      <c r="AA247" s="231">
        <v>0</v>
      </c>
      <c r="AB247" s="231" t="s">
        <v>239</v>
      </c>
      <c r="AC247" s="231">
        <v>0</v>
      </c>
      <c r="AD247" s="231" t="s">
        <v>239</v>
      </c>
      <c r="AE247" s="231">
        <v>0</v>
      </c>
      <c r="AF247" s="231" t="s">
        <v>239</v>
      </c>
      <c r="AG247" s="231">
        <v>0</v>
      </c>
      <c r="AH247" s="231" t="s">
        <v>239</v>
      </c>
      <c r="AI247" s="231">
        <v>0</v>
      </c>
      <c r="AJ247" s="231" t="s">
        <v>239</v>
      </c>
      <c r="AK247" s="231">
        <v>0</v>
      </c>
      <c r="AL247" s="231" t="s">
        <v>239</v>
      </c>
      <c r="AM247" s="231">
        <v>0</v>
      </c>
    </row>
    <row r="248" spans="1:39" ht="15" customHeight="1" outlineLevel="1">
      <c r="A248" s="412"/>
      <c r="B248" s="10">
        <v>129119</v>
      </c>
      <c r="C248" s="218" t="s">
        <v>1489</v>
      </c>
      <c r="D248" s="218" t="s">
        <v>1490</v>
      </c>
      <c r="E248" s="23" t="s">
        <v>138</v>
      </c>
      <c r="F248" s="17" t="s">
        <v>45</v>
      </c>
      <c r="G248" s="11" t="s">
        <v>1432</v>
      </c>
      <c r="H248" s="12">
        <v>24</v>
      </c>
      <c r="I248" s="11" t="s">
        <v>1433</v>
      </c>
      <c r="J248" s="192" t="s">
        <v>1481</v>
      </c>
      <c r="K248" s="17" t="s">
        <v>233</v>
      </c>
      <c r="L248" s="17" t="s">
        <v>233</v>
      </c>
      <c r="M248" s="231">
        <v>0</v>
      </c>
      <c r="N248" s="232">
        <v>0</v>
      </c>
      <c r="O248" s="132">
        <v>0</v>
      </c>
      <c r="P248" s="231" t="s">
        <v>239</v>
      </c>
      <c r="Q248" s="231">
        <v>0</v>
      </c>
      <c r="R248" s="231" t="s">
        <v>239</v>
      </c>
      <c r="S248" s="231">
        <v>0</v>
      </c>
      <c r="T248" s="231" t="s">
        <v>239</v>
      </c>
      <c r="U248" s="231">
        <v>0</v>
      </c>
      <c r="V248" s="231" t="s">
        <v>239</v>
      </c>
      <c r="W248" s="231">
        <v>0</v>
      </c>
      <c r="X248" s="231" t="s">
        <v>239</v>
      </c>
      <c r="Y248" s="231">
        <v>0</v>
      </c>
      <c r="Z248" s="231" t="s">
        <v>239</v>
      </c>
      <c r="AA248" s="231">
        <v>0</v>
      </c>
      <c r="AB248" s="231" t="s">
        <v>239</v>
      </c>
      <c r="AC248" s="231">
        <v>0</v>
      </c>
      <c r="AD248" s="231" t="s">
        <v>239</v>
      </c>
      <c r="AE248" s="231">
        <v>0</v>
      </c>
      <c r="AF248" s="231" t="s">
        <v>239</v>
      </c>
      <c r="AG248" s="231">
        <v>0</v>
      </c>
      <c r="AH248" s="231" t="s">
        <v>239</v>
      </c>
      <c r="AI248" s="231">
        <v>0</v>
      </c>
      <c r="AJ248" s="231" t="s">
        <v>239</v>
      </c>
      <c r="AK248" s="231">
        <v>0</v>
      </c>
      <c r="AL248" s="231" t="s">
        <v>239</v>
      </c>
      <c r="AM248" s="231">
        <v>0</v>
      </c>
    </row>
    <row r="249" spans="1:39" ht="15" customHeight="1" outlineLevel="1">
      <c r="A249" s="411">
        <v>120</v>
      </c>
      <c r="B249" s="10">
        <v>129120</v>
      </c>
      <c r="C249" s="218" t="s">
        <v>1489</v>
      </c>
      <c r="D249" s="218" t="s">
        <v>1490</v>
      </c>
      <c r="E249" s="23" t="s">
        <v>44</v>
      </c>
      <c r="F249" s="17" t="s">
        <v>45</v>
      </c>
      <c r="G249" s="11" t="s">
        <v>1432</v>
      </c>
      <c r="H249" s="12">
        <v>16</v>
      </c>
      <c r="I249" s="11" t="s">
        <v>1433</v>
      </c>
      <c r="J249" s="192" t="s">
        <v>208</v>
      </c>
      <c r="K249" s="17" t="s">
        <v>233</v>
      </c>
      <c r="L249" s="17" t="s">
        <v>233</v>
      </c>
      <c r="M249" s="231">
        <v>11</v>
      </c>
      <c r="N249" s="232">
        <v>11</v>
      </c>
      <c r="O249" s="231">
        <v>11</v>
      </c>
      <c r="P249" s="231" t="s">
        <v>239</v>
      </c>
      <c r="Q249" s="231">
        <v>11</v>
      </c>
      <c r="R249" s="231" t="s">
        <v>239</v>
      </c>
      <c r="S249" s="231">
        <v>11</v>
      </c>
      <c r="T249" s="231" t="s">
        <v>239</v>
      </c>
      <c r="U249" s="231">
        <v>11</v>
      </c>
      <c r="V249" s="231" t="s">
        <v>239</v>
      </c>
      <c r="W249" s="231">
        <v>11</v>
      </c>
      <c r="X249" s="231" t="s">
        <v>239</v>
      </c>
      <c r="Y249" s="231">
        <v>11</v>
      </c>
      <c r="Z249" s="231" t="s">
        <v>239</v>
      </c>
      <c r="AA249" s="231">
        <v>11</v>
      </c>
      <c r="AB249" s="231" t="s">
        <v>239</v>
      </c>
      <c r="AC249" s="231">
        <v>11</v>
      </c>
      <c r="AD249" s="231" t="s">
        <v>239</v>
      </c>
      <c r="AE249" s="231">
        <v>11</v>
      </c>
      <c r="AF249" s="231" t="s">
        <v>239</v>
      </c>
      <c r="AG249" s="231">
        <v>11</v>
      </c>
      <c r="AH249" s="231" t="s">
        <v>239</v>
      </c>
      <c r="AI249" s="231">
        <v>11</v>
      </c>
      <c r="AJ249" s="231" t="s">
        <v>239</v>
      </c>
      <c r="AK249" s="231">
        <v>11</v>
      </c>
      <c r="AL249" s="231" t="s">
        <v>239</v>
      </c>
      <c r="AM249" s="231">
        <v>0</v>
      </c>
    </row>
    <row r="250" spans="1:39" ht="15" customHeight="1" outlineLevel="1">
      <c r="A250" s="412"/>
      <c r="B250" s="10">
        <v>129120</v>
      </c>
      <c r="C250" s="218" t="s">
        <v>1489</v>
      </c>
      <c r="D250" s="218" t="s">
        <v>1490</v>
      </c>
      <c r="E250" s="23" t="s">
        <v>138</v>
      </c>
      <c r="F250" s="17" t="s">
        <v>45</v>
      </c>
      <c r="G250" s="11" t="s">
        <v>1432</v>
      </c>
      <c r="H250" s="12">
        <v>5</v>
      </c>
      <c r="I250" s="11" t="s">
        <v>1433</v>
      </c>
      <c r="J250" s="192" t="s">
        <v>1463</v>
      </c>
      <c r="K250" s="17" t="s">
        <v>233</v>
      </c>
      <c r="L250" s="17" t="s">
        <v>233</v>
      </c>
      <c r="M250" s="231">
        <v>1051</v>
      </c>
      <c r="N250" s="232">
        <v>1038.2408599999999</v>
      </c>
      <c r="O250" s="132">
        <v>108</v>
      </c>
      <c r="P250" s="231" t="s">
        <v>239</v>
      </c>
      <c r="Q250" s="232">
        <v>106.66943999999999</v>
      </c>
      <c r="R250" s="231" t="s">
        <v>239</v>
      </c>
      <c r="S250" s="232">
        <v>105.3552724992</v>
      </c>
      <c r="T250" s="231" t="s">
        <v>239</v>
      </c>
      <c r="U250" s="232">
        <v>104.05729554200985</v>
      </c>
      <c r="V250" s="230" t="s">
        <v>239</v>
      </c>
      <c r="W250" s="232">
        <v>102.77530966093229</v>
      </c>
      <c r="X250" s="231" t="s">
        <v>239</v>
      </c>
      <c r="Y250" s="232">
        <v>101.50911784590961</v>
      </c>
      <c r="Z250" s="231" t="s">
        <v>239</v>
      </c>
      <c r="AA250" s="232">
        <v>100.258525514048</v>
      </c>
      <c r="AB250" s="231" t="s">
        <v>239</v>
      </c>
      <c r="AC250" s="232">
        <v>99.023340479714932</v>
      </c>
      <c r="AD250" s="231" t="s">
        <v>239</v>
      </c>
      <c r="AE250" s="232">
        <v>97.803372925004851</v>
      </c>
      <c r="AF250" s="231" t="s">
        <v>239</v>
      </c>
      <c r="AG250" s="232">
        <v>96.598435370568794</v>
      </c>
      <c r="AH250" s="231" t="s">
        <v>239</v>
      </c>
      <c r="AI250" s="232">
        <v>95.408342646803391</v>
      </c>
      <c r="AJ250" s="231" t="s">
        <v>239</v>
      </c>
      <c r="AK250" s="232">
        <v>94.232911865394769</v>
      </c>
      <c r="AL250" s="232" t="s">
        <v>239</v>
      </c>
      <c r="AM250" s="232">
        <v>1211.6913643495864</v>
      </c>
    </row>
    <row r="251" spans="1:39" ht="15" customHeight="1" outlineLevel="1">
      <c r="A251" s="411">
        <v>121</v>
      </c>
      <c r="B251" s="10">
        <v>129121</v>
      </c>
      <c r="C251" s="218" t="s">
        <v>1489</v>
      </c>
      <c r="D251" s="218" t="s">
        <v>1490</v>
      </c>
      <c r="E251" s="23" t="s">
        <v>44</v>
      </c>
      <c r="F251" s="17" t="s">
        <v>45</v>
      </c>
      <c r="G251" s="11" t="s">
        <v>1432</v>
      </c>
      <c r="H251" s="12">
        <v>21</v>
      </c>
      <c r="I251" s="11" t="s">
        <v>1433</v>
      </c>
      <c r="J251" s="192" t="s">
        <v>1482</v>
      </c>
      <c r="K251" s="17" t="s">
        <v>233</v>
      </c>
      <c r="L251" s="17" t="s">
        <v>233</v>
      </c>
      <c r="M251" s="231">
        <v>18</v>
      </c>
      <c r="N251" s="232">
        <v>18</v>
      </c>
      <c r="O251" s="231">
        <v>18</v>
      </c>
      <c r="P251" s="231" t="s">
        <v>239</v>
      </c>
      <c r="Q251" s="231">
        <v>18</v>
      </c>
      <c r="R251" s="231" t="s">
        <v>239</v>
      </c>
      <c r="S251" s="231">
        <v>18</v>
      </c>
      <c r="T251" s="231" t="s">
        <v>239</v>
      </c>
      <c r="U251" s="231">
        <v>18</v>
      </c>
      <c r="V251" s="231" t="s">
        <v>239</v>
      </c>
      <c r="W251" s="231">
        <v>18</v>
      </c>
      <c r="X251" s="231" t="s">
        <v>239</v>
      </c>
      <c r="Y251" s="231">
        <v>18</v>
      </c>
      <c r="Z251" s="231" t="s">
        <v>239</v>
      </c>
      <c r="AA251" s="231">
        <v>18</v>
      </c>
      <c r="AB251" s="231" t="s">
        <v>239</v>
      </c>
      <c r="AC251" s="231">
        <v>18</v>
      </c>
      <c r="AD251" s="231" t="s">
        <v>239</v>
      </c>
      <c r="AE251" s="231">
        <v>18</v>
      </c>
      <c r="AF251" s="231" t="s">
        <v>239</v>
      </c>
      <c r="AG251" s="231">
        <v>18</v>
      </c>
      <c r="AH251" s="231" t="s">
        <v>239</v>
      </c>
      <c r="AI251" s="231">
        <v>18</v>
      </c>
      <c r="AJ251" s="231" t="s">
        <v>239</v>
      </c>
      <c r="AK251" s="231">
        <v>18</v>
      </c>
      <c r="AL251" s="232" t="s">
        <v>239</v>
      </c>
      <c r="AM251" s="232">
        <v>0</v>
      </c>
    </row>
    <row r="252" spans="1:39" ht="15" customHeight="1" outlineLevel="1">
      <c r="A252" s="412"/>
      <c r="B252" s="10">
        <v>129121</v>
      </c>
      <c r="C252" s="218" t="s">
        <v>1489</v>
      </c>
      <c r="D252" s="218" t="s">
        <v>1490</v>
      </c>
      <c r="E252" s="23" t="s">
        <v>44</v>
      </c>
      <c r="F252" s="17" t="s">
        <v>45</v>
      </c>
      <c r="G252" s="11" t="s">
        <v>1432</v>
      </c>
      <c r="H252" s="12">
        <v>19</v>
      </c>
      <c r="I252" s="11" t="s">
        <v>1433</v>
      </c>
      <c r="J252" s="192" t="s">
        <v>1462</v>
      </c>
      <c r="K252" s="17" t="s">
        <v>233</v>
      </c>
      <c r="L252" s="17" t="s">
        <v>233</v>
      </c>
      <c r="M252" s="231">
        <v>3248</v>
      </c>
      <c r="N252" s="232">
        <v>3208.5692799999997</v>
      </c>
      <c r="O252" s="132">
        <v>438</v>
      </c>
      <c r="P252" s="231" t="s">
        <v>239</v>
      </c>
      <c r="Q252" s="232">
        <v>432.60383999999999</v>
      </c>
      <c r="R252" s="231" t="s">
        <v>239</v>
      </c>
      <c r="S252" s="232">
        <v>427.2741606912</v>
      </c>
      <c r="T252" s="231" t="s">
        <v>239</v>
      </c>
      <c r="U252" s="232">
        <v>422.0101430314844</v>
      </c>
      <c r="V252" s="231" t="s">
        <v>239</v>
      </c>
      <c r="W252" s="232">
        <v>416.8109780693365</v>
      </c>
      <c r="X252" s="231" t="s">
        <v>239</v>
      </c>
      <c r="Y252" s="232">
        <v>411.6758668195223</v>
      </c>
      <c r="Z252" s="231" t="s">
        <v>239</v>
      </c>
      <c r="AA252" s="232">
        <v>406.60402014030581</v>
      </c>
      <c r="AB252" s="231" t="s">
        <v>239</v>
      </c>
      <c r="AC252" s="232">
        <v>401.59465861217723</v>
      </c>
      <c r="AD252" s="231" t="s">
        <v>239</v>
      </c>
      <c r="AE252" s="232">
        <v>396.64701241807518</v>
      </c>
      <c r="AF252" s="231" t="s">
        <v>239</v>
      </c>
      <c r="AG252" s="232">
        <v>391.76032122508451</v>
      </c>
      <c r="AH252" s="231" t="s">
        <v>239</v>
      </c>
      <c r="AI252" s="232">
        <v>386.93383406759148</v>
      </c>
      <c r="AJ252" s="231" t="s">
        <v>239</v>
      </c>
      <c r="AK252" s="232">
        <v>382.16680923187874</v>
      </c>
      <c r="AL252" s="232" t="s">
        <v>239</v>
      </c>
      <c r="AM252" s="232">
        <v>4914.0816443066551</v>
      </c>
    </row>
    <row r="253" spans="1:39" ht="15" customHeight="1" outlineLevel="1">
      <c r="A253" s="411">
        <v>122</v>
      </c>
      <c r="B253" s="10">
        <v>129122</v>
      </c>
      <c r="C253" s="218" t="s">
        <v>1489</v>
      </c>
      <c r="D253" s="218" t="s">
        <v>1490</v>
      </c>
      <c r="E253" s="23" t="s">
        <v>138</v>
      </c>
      <c r="F253" s="17" t="s">
        <v>45</v>
      </c>
      <c r="G253" s="11" t="s">
        <v>1432</v>
      </c>
      <c r="H253" s="12">
        <v>30</v>
      </c>
      <c r="I253" s="11" t="s">
        <v>1433</v>
      </c>
      <c r="J253" s="192" t="s">
        <v>1457</v>
      </c>
      <c r="K253" s="17" t="s">
        <v>233</v>
      </c>
      <c r="L253" s="17" t="s">
        <v>233</v>
      </c>
      <c r="M253" s="231">
        <v>6</v>
      </c>
      <c r="N253" s="232">
        <v>6</v>
      </c>
      <c r="O253" s="231">
        <v>6</v>
      </c>
      <c r="P253" s="231" t="s">
        <v>239</v>
      </c>
      <c r="Q253" s="231">
        <v>6</v>
      </c>
      <c r="R253" s="231" t="s">
        <v>239</v>
      </c>
      <c r="S253" s="231">
        <v>6</v>
      </c>
      <c r="T253" s="231" t="s">
        <v>239</v>
      </c>
      <c r="U253" s="231">
        <v>6</v>
      </c>
      <c r="V253" s="230" t="s">
        <v>239</v>
      </c>
      <c r="W253" s="231">
        <v>6</v>
      </c>
      <c r="X253" s="231" t="s">
        <v>239</v>
      </c>
      <c r="Y253" s="231">
        <v>6</v>
      </c>
      <c r="Z253" s="231" t="s">
        <v>239</v>
      </c>
      <c r="AA253" s="231">
        <v>6</v>
      </c>
      <c r="AB253" s="231" t="s">
        <v>239</v>
      </c>
      <c r="AC253" s="231">
        <v>6</v>
      </c>
      <c r="AD253" s="231" t="s">
        <v>239</v>
      </c>
      <c r="AE253" s="231">
        <v>6</v>
      </c>
      <c r="AF253" s="231" t="s">
        <v>239</v>
      </c>
      <c r="AG253" s="231">
        <v>6</v>
      </c>
      <c r="AH253" s="231" t="s">
        <v>239</v>
      </c>
      <c r="AI253" s="231">
        <v>6</v>
      </c>
      <c r="AJ253" s="231" t="s">
        <v>239</v>
      </c>
      <c r="AK253" s="231">
        <v>6</v>
      </c>
      <c r="AL253" s="232" t="s">
        <v>239</v>
      </c>
      <c r="AM253" s="232">
        <v>0</v>
      </c>
    </row>
    <row r="254" spans="1:39" ht="15" customHeight="1" outlineLevel="1">
      <c r="A254" s="412"/>
      <c r="B254" s="10">
        <v>129122</v>
      </c>
      <c r="C254" s="218" t="s">
        <v>1489</v>
      </c>
      <c r="D254" s="218" t="s">
        <v>1490</v>
      </c>
      <c r="E254" s="23" t="s">
        <v>44</v>
      </c>
      <c r="F254" s="17" t="s">
        <v>45</v>
      </c>
      <c r="G254" s="11" t="s">
        <v>1432</v>
      </c>
      <c r="H254" s="12">
        <v>33</v>
      </c>
      <c r="I254" s="11" t="s">
        <v>1433</v>
      </c>
      <c r="J254" s="192" t="s">
        <v>617</v>
      </c>
      <c r="K254" s="17" t="s">
        <v>233</v>
      </c>
      <c r="L254" s="17" t="s">
        <v>233</v>
      </c>
      <c r="M254" s="231">
        <v>11714</v>
      </c>
      <c r="N254" s="232">
        <v>11571.79204</v>
      </c>
      <c r="O254" s="132">
        <v>385</v>
      </c>
      <c r="P254" s="231" t="s">
        <v>239</v>
      </c>
      <c r="Q254" s="232">
        <v>380.2568</v>
      </c>
      <c r="R254" s="231" t="s">
        <v>239</v>
      </c>
      <c r="S254" s="232">
        <v>375.57203622399999</v>
      </c>
      <c r="T254" s="231" t="s">
        <v>239</v>
      </c>
      <c r="U254" s="232">
        <v>370.94498873772028</v>
      </c>
      <c r="V254" s="231" t="s">
        <v>239</v>
      </c>
      <c r="W254" s="232">
        <v>366.37494647647156</v>
      </c>
      <c r="X254" s="231" t="s">
        <v>239</v>
      </c>
      <c r="Y254" s="232">
        <v>361.86120713588144</v>
      </c>
      <c r="Z254" s="231" t="s">
        <v>239</v>
      </c>
      <c r="AA254" s="232">
        <v>357.40307706396737</v>
      </c>
      <c r="AB254" s="231" t="s">
        <v>239</v>
      </c>
      <c r="AC254" s="232">
        <v>352.99987115453928</v>
      </c>
      <c r="AD254" s="231" t="s">
        <v>239</v>
      </c>
      <c r="AE254" s="232">
        <v>348.65091274191536</v>
      </c>
      <c r="AF254" s="231" t="s">
        <v>239</v>
      </c>
      <c r="AG254" s="232">
        <v>344.35553349693498</v>
      </c>
      <c r="AH254" s="231" t="s">
        <v>239</v>
      </c>
      <c r="AI254" s="232">
        <v>340.11307332425275</v>
      </c>
      <c r="AJ254" s="231" t="s">
        <v>239</v>
      </c>
      <c r="AK254" s="232">
        <v>335.92288026089795</v>
      </c>
      <c r="AL254" s="232" t="s">
        <v>239</v>
      </c>
      <c r="AM254" s="232">
        <v>4319.4553266165813</v>
      </c>
    </row>
    <row r="255" spans="1:39" ht="15" customHeight="1" outlineLevel="1">
      <c r="A255" s="411">
        <v>123</v>
      </c>
      <c r="B255" s="10">
        <v>129123</v>
      </c>
      <c r="C255" s="218" t="s">
        <v>1489</v>
      </c>
      <c r="D255" s="218" t="s">
        <v>1490</v>
      </c>
      <c r="E255" s="23" t="s">
        <v>138</v>
      </c>
      <c r="F255" s="17" t="s">
        <v>45</v>
      </c>
      <c r="G255" s="11" t="s">
        <v>1432</v>
      </c>
      <c r="H255" s="12">
        <v>19</v>
      </c>
      <c r="I255" s="11" t="s">
        <v>1433</v>
      </c>
      <c r="J255" s="374" t="s">
        <v>1457</v>
      </c>
      <c r="K255" s="17" t="s">
        <v>233</v>
      </c>
      <c r="L255" s="17" t="s">
        <v>233</v>
      </c>
      <c r="M255" s="231">
        <v>6</v>
      </c>
      <c r="N255" s="232">
        <v>6</v>
      </c>
      <c r="O255" s="231">
        <v>6</v>
      </c>
      <c r="P255" s="231" t="s">
        <v>239</v>
      </c>
      <c r="Q255" s="231">
        <v>6</v>
      </c>
      <c r="R255" s="231" t="s">
        <v>239</v>
      </c>
      <c r="S255" s="231">
        <v>6</v>
      </c>
      <c r="T255" s="231" t="s">
        <v>239</v>
      </c>
      <c r="U255" s="231">
        <v>6</v>
      </c>
      <c r="V255" s="231" t="s">
        <v>239</v>
      </c>
      <c r="W255" s="231">
        <v>6</v>
      </c>
      <c r="X255" s="231" t="s">
        <v>239</v>
      </c>
      <c r="Y255" s="231">
        <v>6</v>
      </c>
      <c r="Z255" s="231" t="s">
        <v>239</v>
      </c>
      <c r="AA255" s="231">
        <v>6</v>
      </c>
      <c r="AB255" s="231" t="s">
        <v>239</v>
      </c>
      <c r="AC255" s="231">
        <v>6</v>
      </c>
      <c r="AD255" s="231" t="s">
        <v>239</v>
      </c>
      <c r="AE255" s="231">
        <v>6</v>
      </c>
      <c r="AF255" s="231" t="s">
        <v>239</v>
      </c>
      <c r="AG255" s="231">
        <v>6</v>
      </c>
      <c r="AH255" s="231" t="s">
        <v>239</v>
      </c>
      <c r="AI255" s="231">
        <v>6</v>
      </c>
      <c r="AJ255" s="231" t="s">
        <v>239</v>
      </c>
      <c r="AK255" s="231">
        <v>6</v>
      </c>
      <c r="AL255" s="232" t="s">
        <v>239</v>
      </c>
      <c r="AM255" s="232">
        <v>0</v>
      </c>
    </row>
    <row r="256" spans="1:39" ht="15" customHeight="1" outlineLevel="1">
      <c r="A256" s="412"/>
      <c r="B256" s="10">
        <v>129123</v>
      </c>
      <c r="C256" s="218" t="s">
        <v>1489</v>
      </c>
      <c r="D256" s="218" t="s">
        <v>1490</v>
      </c>
      <c r="E256" s="23" t="s">
        <v>44</v>
      </c>
      <c r="F256" s="17" t="s">
        <v>45</v>
      </c>
      <c r="G256" s="11" t="s">
        <v>1432</v>
      </c>
      <c r="H256" s="12">
        <v>6</v>
      </c>
      <c r="I256" s="11" t="s">
        <v>1433</v>
      </c>
      <c r="J256" s="375"/>
      <c r="K256" s="17" t="s">
        <v>233</v>
      </c>
      <c r="L256" s="17" t="s">
        <v>233</v>
      </c>
      <c r="M256" s="231">
        <v>1370</v>
      </c>
      <c r="N256" s="232">
        <v>1353.3681999999999</v>
      </c>
      <c r="O256" s="132">
        <v>21</v>
      </c>
      <c r="P256" s="231" t="s">
        <v>239</v>
      </c>
      <c r="Q256" s="232">
        <v>20.74128</v>
      </c>
      <c r="R256" s="231" t="s">
        <v>239</v>
      </c>
      <c r="S256" s="232">
        <v>20.4857474304</v>
      </c>
      <c r="T256" s="231" t="s">
        <v>239</v>
      </c>
      <c r="U256" s="232">
        <v>20.233363022057471</v>
      </c>
      <c r="V256" s="230" t="s">
        <v>239</v>
      </c>
      <c r="W256" s="232">
        <v>19.984087989625724</v>
      </c>
      <c r="X256" s="231" t="s">
        <v>239</v>
      </c>
      <c r="Y256" s="232">
        <v>19.737884025593534</v>
      </c>
      <c r="Z256" s="231" t="s">
        <v>239</v>
      </c>
      <c r="AA256" s="232">
        <v>19.49471329439822</v>
      </c>
      <c r="AB256" s="231" t="s">
        <v>239</v>
      </c>
      <c r="AC256" s="232">
        <v>19.254538426611234</v>
      </c>
      <c r="AD256" s="231" t="s">
        <v>239</v>
      </c>
      <c r="AE256" s="232">
        <v>19.017322513195385</v>
      </c>
      <c r="AF256" s="231" t="s">
        <v>239</v>
      </c>
      <c r="AG256" s="232">
        <v>18.783029099832817</v>
      </c>
      <c r="AH256" s="231" t="s">
        <v>239</v>
      </c>
      <c r="AI256" s="232">
        <v>18.551622181322877</v>
      </c>
      <c r="AJ256" s="231" t="s">
        <v>239</v>
      </c>
      <c r="AK256" s="232">
        <v>18.32306619604898</v>
      </c>
      <c r="AL256" s="232" t="s">
        <v>239</v>
      </c>
      <c r="AM256" s="232">
        <v>235.60665417908623</v>
      </c>
    </row>
    <row r="257" spans="1:39" ht="15" customHeight="1" outlineLevel="1">
      <c r="A257" s="411">
        <v>124</v>
      </c>
      <c r="B257" s="10">
        <v>129124</v>
      </c>
      <c r="C257" s="218" t="s">
        <v>1489</v>
      </c>
      <c r="D257" s="218" t="s">
        <v>1490</v>
      </c>
      <c r="E257" s="23" t="s">
        <v>44</v>
      </c>
      <c r="F257" s="17" t="s">
        <v>45</v>
      </c>
      <c r="G257" s="11" t="s">
        <v>1432</v>
      </c>
      <c r="H257" s="12">
        <v>15</v>
      </c>
      <c r="I257" s="11" t="s">
        <v>1433</v>
      </c>
      <c r="J257" s="193" t="s">
        <v>1460</v>
      </c>
      <c r="K257" s="17" t="s">
        <v>233</v>
      </c>
      <c r="L257" s="17" t="s">
        <v>233</v>
      </c>
      <c r="M257" s="231">
        <v>65</v>
      </c>
      <c r="N257" s="232">
        <v>65</v>
      </c>
      <c r="O257" s="231">
        <v>65</v>
      </c>
      <c r="P257" s="231" t="s">
        <v>239</v>
      </c>
      <c r="Q257" s="231">
        <v>65</v>
      </c>
      <c r="R257" s="231" t="s">
        <v>239</v>
      </c>
      <c r="S257" s="231">
        <v>65</v>
      </c>
      <c r="T257" s="231" t="s">
        <v>239</v>
      </c>
      <c r="U257" s="231">
        <v>65</v>
      </c>
      <c r="V257" s="231" t="s">
        <v>239</v>
      </c>
      <c r="W257" s="231">
        <v>65</v>
      </c>
      <c r="X257" s="231" t="s">
        <v>239</v>
      </c>
      <c r="Y257" s="231">
        <v>65</v>
      </c>
      <c r="Z257" s="231" t="s">
        <v>239</v>
      </c>
      <c r="AA257" s="231">
        <v>65</v>
      </c>
      <c r="AB257" s="231" t="s">
        <v>239</v>
      </c>
      <c r="AC257" s="231">
        <v>65</v>
      </c>
      <c r="AD257" s="231" t="s">
        <v>239</v>
      </c>
      <c r="AE257" s="231">
        <v>65</v>
      </c>
      <c r="AF257" s="231" t="s">
        <v>239</v>
      </c>
      <c r="AG257" s="231">
        <v>65</v>
      </c>
      <c r="AH257" s="231" t="s">
        <v>239</v>
      </c>
      <c r="AI257" s="231">
        <v>65</v>
      </c>
      <c r="AJ257" s="231" t="s">
        <v>239</v>
      </c>
      <c r="AK257" s="231">
        <v>65</v>
      </c>
      <c r="AL257" s="232" t="s">
        <v>239</v>
      </c>
      <c r="AM257" s="232">
        <v>0</v>
      </c>
    </row>
    <row r="258" spans="1:39" ht="15" customHeight="1" outlineLevel="1">
      <c r="A258" s="412"/>
      <c r="B258" s="10">
        <v>129124</v>
      </c>
      <c r="C258" s="218" t="s">
        <v>1489</v>
      </c>
      <c r="D258" s="218" t="s">
        <v>1490</v>
      </c>
      <c r="E258" s="23" t="s">
        <v>138</v>
      </c>
      <c r="F258" s="17" t="s">
        <v>45</v>
      </c>
      <c r="G258" s="11" t="s">
        <v>1432</v>
      </c>
      <c r="H258" s="12">
        <v>19</v>
      </c>
      <c r="I258" s="11" t="s">
        <v>1433</v>
      </c>
      <c r="J258" s="193" t="s">
        <v>1442</v>
      </c>
      <c r="K258" s="17" t="s">
        <v>233</v>
      </c>
      <c r="L258" s="17" t="s">
        <v>233</v>
      </c>
      <c r="M258" s="231">
        <v>41940</v>
      </c>
      <c r="N258" s="232">
        <v>41430.848399999995</v>
      </c>
      <c r="O258" s="132">
        <v>2255</v>
      </c>
      <c r="P258" s="231" t="s">
        <v>239</v>
      </c>
      <c r="Q258" s="232">
        <v>2227.2184000000002</v>
      </c>
      <c r="R258" s="231" t="s">
        <v>239</v>
      </c>
      <c r="S258" s="232">
        <v>2199.779069312</v>
      </c>
      <c r="T258" s="231" t="s">
        <v>239</v>
      </c>
      <c r="U258" s="232">
        <v>2172.6777911780764</v>
      </c>
      <c r="V258" s="231" t="s">
        <v>239</v>
      </c>
      <c r="W258" s="232">
        <v>2145.9104007907627</v>
      </c>
      <c r="X258" s="231" t="s">
        <v>239</v>
      </c>
      <c r="Y258" s="232">
        <v>2119.4727846530204</v>
      </c>
      <c r="Z258" s="231" t="s">
        <v>239</v>
      </c>
      <c r="AA258" s="232">
        <v>2093.3608799460953</v>
      </c>
      <c r="AB258" s="231" t="s">
        <v>239</v>
      </c>
      <c r="AC258" s="232">
        <v>2067.5706739051593</v>
      </c>
      <c r="AD258" s="231" t="s">
        <v>239</v>
      </c>
      <c r="AE258" s="232">
        <v>2042.0982032026477</v>
      </c>
      <c r="AF258" s="231" t="s">
        <v>239</v>
      </c>
      <c r="AG258" s="232">
        <v>2016.9395533391912</v>
      </c>
      <c r="AH258" s="231" t="s">
        <v>239</v>
      </c>
      <c r="AI258" s="232">
        <v>1992.0908580420523</v>
      </c>
      <c r="AJ258" s="231" t="s">
        <v>239</v>
      </c>
      <c r="AK258" s="232">
        <v>1967.5482986709742</v>
      </c>
      <c r="AL258" s="232" t="s">
        <v>239</v>
      </c>
      <c r="AM258" s="232">
        <v>25299.666913039979</v>
      </c>
    </row>
    <row r="259" spans="1:39" ht="15" customHeight="1" outlineLevel="1">
      <c r="A259" s="411">
        <v>125</v>
      </c>
      <c r="B259" s="10">
        <v>129125</v>
      </c>
      <c r="C259" s="218" t="s">
        <v>1489</v>
      </c>
      <c r="D259" s="218" t="s">
        <v>1490</v>
      </c>
      <c r="E259" s="23" t="s">
        <v>44</v>
      </c>
      <c r="F259" s="17" t="s">
        <v>45</v>
      </c>
      <c r="G259" s="11" t="s">
        <v>1432</v>
      </c>
      <c r="H259" s="12">
        <v>22</v>
      </c>
      <c r="I259" s="11" t="s">
        <v>1433</v>
      </c>
      <c r="J259" s="193" t="s">
        <v>1460</v>
      </c>
      <c r="K259" s="17" t="s">
        <v>233</v>
      </c>
      <c r="L259" s="17" t="s">
        <v>233</v>
      </c>
      <c r="M259" s="231">
        <v>0.5</v>
      </c>
      <c r="N259" s="233">
        <v>0.5</v>
      </c>
      <c r="O259" s="132">
        <v>0.5</v>
      </c>
      <c r="P259" s="231" t="s">
        <v>239</v>
      </c>
      <c r="Q259" s="233">
        <v>0.5</v>
      </c>
      <c r="R259" s="231" t="s">
        <v>239</v>
      </c>
      <c r="S259" s="231">
        <v>0.5</v>
      </c>
      <c r="T259" s="231" t="s">
        <v>239</v>
      </c>
      <c r="U259" s="132">
        <v>0.5</v>
      </c>
      <c r="V259" s="230" t="s">
        <v>239</v>
      </c>
      <c r="W259" s="233">
        <v>0.5</v>
      </c>
      <c r="X259" s="231" t="s">
        <v>239</v>
      </c>
      <c r="Y259" s="231">
        <v>0.5</v>
      </c>
      <c r="Z259" s="231" t="s">
        <v>239</v>
      </c>
      <c r="AA259" s="132">
        <v>0.5</v>
      </c>
      <c r="AB259" s="231" t="s">
        <v>239</v>
      </c>
      <c r="AC259" s="233">
        <v>0.5</v>
      </c>
      <c r="AD259" s="231" t="s">
        <v>239</v>
      </c>
      <c r="AE259" s="231">
        <v>0.5</v>
      </c>
      <c r="AF259" s="231" t="s">
        <v>239</v>
      </c>
      <c r="AG259" s="132">
        <v>0.5</v>
      </c>
      <c r="AH259" s="231" t="s">
        <v>239</v>
      </c>
      <c r="AI259" s="233">
        <v>0.5</v>
      </c>
      <c r="AJ259" s="231" t="s">
        <v>239</v>
      </c>
      <c r="AK259" s="231">
        <v>0.5</v>
      </c>
      <c r="AL259" s="232" t="s">
        <v>239</v>
      </c>
      <c r="AM259" s="232">
        <v>0</v>
      </c>
    </row>
    <row r="260" spans="1:39" ht="15" customHeight="1" outlineLevel="1">
      <c r="A260" s="412"/>
      <c r="B260" s="10">
        <v>129125</v>
      </c>
      <c r="C260" s="218" t="s">
        <v>1489</v>
      </c>
      <c r="D260" s="218" t="s">
        <v>1490</v>
      </c>
      <c r="E260" s="23" t="s">
        <v>138</v>
      </c>
      <c r="F260" s="17" t="s">
        <v>45</v>
      </c>
      <c r="G260" s="11" t="s">
        <v>1432</v>
      </c>
      <c r="H260" s="12">
        <v>24</v>
      </c>
      <c r="I260" s="11" t="s">
        <v>1433</v>
      </c>
      <c r="J260" s="193" t="s">
        <v>1457</v>
      </c>
      <c r="K260" s="17" t="s">
        <v>233</v>
      </c>
      <c r="L260" s="17" t="s">
        <v>233</v>
      </c>
      <c r="M260" s="231">
        <v>2196</v>
      </c>
      <c r="N260" s="232">
        <v>2169.3405600000001</v>
      </c>
      <c r="O260" s="132">
        <v>351</v>
      </c>
      <c r="P260" s="231" t="s">
        <v>239</v>
      </c>
      <c r="Q260" s="232">
        <v>346.67568</v>
      </c>
      <c r="R260" s="231" t="s">
        <v>239</v>
      </c>
      <c r="S260" s="232">
        <v>342.40463562240001</v>
      </c>
      <c r="T260" s="231" t="s">
        <v>239</v>
      </c>
      <c r="U260" s="232">
        <v>338.18621051153207</v>
      </c>
      <c r="V260" s="231" t="s">
        <v>239</v>
      </c>
      <c r="W260" s="232">
        <v>334.01975639802998</v>
      </c>
      <c r="X260" s="231" t="s">
        <v>239</v>
      </c>
      <c r="Y260" s="232">
        <v>329.90463299920623</v>
      </c>
      <c r="Z260" s="231" t="s">
        <v>239</v>
      </c>
      <c r="AA260" s="232">
        <v>325.84020792065598</v>
      </c>
      <c r="AB260" s="231" t="s">
        <v>239</v>
      </c>
      <c r="AC260" s="232">
        <v>321.82585655907349</v>
      </c>
      <c r="AD260" s="231" t="s">
        <v>239</v>
      </c>
      <c r="AE260" s="232">
        <v>317.86096200626571</v>
      </c>
      <c r="AF260" s="231" t="s">
        <v>239</v>
      </c>
      <c r="AG260" s="232">
        <v>313.94491495434852</v>
      </c>
      <c r="AH260" s="231" t="s">
        <v>239</v>
      </c>
      <c r="AI260" s="232">
        <v>310.07711360211096</v>
      </c>
      <c r="AJ260" s="231" t="s">
        <v>239</v>
      </c>
      <c r="AK260" s="232">
        <v>306.25696356253297</v>
      </c>
      <c r="AL260" s="232" t="s">
        <v>239</v>
      </c>
      <c r="AM260" s="232">
        <v>3937.9969341361557</v>
      </c>
    </row>
    <row r="261" spans="1:39" ht="15" customHeight="1" outlineLevel="1">
      <c r="A261" s="411">
        <v>126</v>
      </c>
      <c r="B261" s="10">
        <v>129126</v>
      </c>
      <c r="C261" s="218" t="s">
        <v>1489</v>
      </c>
      <c r="D261" s="218" t="s">
        <v>1490</v>
      </c>
      <c r="E261" s="23" t="s">
        <v>44</v>
      </c>
      <c r="F261" s="17" t="s">
        <v>45</v>
      </c>
      <c r="G261" s="11" t="s">
        <v>1432</v>
      </c>
      <c r="H261" s="12">
        <v>16</v>
      </c>
      <c r="I261" s="11" t="s">
        <v>1433</v>
      </c>
      <c r="J261" s="193" t="s">
        <v>617</v>
      </c>
      <c r="K261" s="17" t="s">
        <v>233</v>
      </c>
      <c r="L261" s="17" t="s">
        <v>233</v>
      </c>
      <c r="M261" s="231">
        <v>25</v>
      </c>
      <c r="N261" s="232">
        <v>25</v>
      </c>
      <c r="O261" s="231">
        <v>25</v>
      </c>
      <c r="P261" s="231" t="s">
        <v>239</v>
      </c>
      <c r="Q261" s="231">
        <v>25</v>
      </c>
      <c r="R261" s="231" t="s">
        <v>239</v>
      </c>
      <c r="S261" s="231">
        <v>25</v>
      </c>
      <c r="T261" s="231" t="s">
        <v>239</v>
      </c>
      <c r="U261" s="231">
        <v>25</v>
      </c>
      <c r="V261" s="231" t="s">
        <v>239</v>
      </c>
      <c r="W261" s="231">
        <v>25</v>
      </c>
      <c r="X261" s="231" t="s">
        <v>239</v>
      </c>
      <c r="Y261" s="231">
        <v>25</v>
      </c>
      <c r="Z261" s="231" t="s">
        <v>239</v>
      </c>
      <c r="AA261" s="231">
        <v>25</v>
      </c>
      <c r="AB261" s="231" t="s">
        <v>239</v>
      </c>
      <c r="AC261" s="231">
        <v>25</v>
      </c>
      <c r="AD261" s="231" t="s">
        <v>239</v>
      </c>
      <c r="AE261" s="231">
        <v>25</v>
      </c>
      <c r="AF261" s="231" t="s">
        <v>239</v>
      </c>
      <c r="AG261" s="231">
        <v>25</v>
      </c>
      <c r="AH261" s="231" t="s">
        <v>239</v>
      </c>
      <c r="AI261" s="231">
        <v>25</v>
      </c>
      <c r="AJ261" s="231" t="s">
        <v>239</v>
      </c>
      <c r="AK261" s="231">
        <v>25</v>
      </c>
      <c r="AL261" s="232" t="s">
        <v>239</v>
      </c>
      <c r="AM261" s="232">
        <v>0</v>
      </c>
    </row>
    <row r="262" spans="1:39" ht="15" customHeight="1" outlineLevel="1">
      <c r="A262" s="412"/>
      <c r="B262" s="10">
        <v>129126</v>
      </c>
      <c r="C262" s="218" t="s">
        <v>1489</v>
      </c>
      <c r="D262" s="218" t="s">
        <v>1490</v>
      </c>
      <c r="E262" s="23" t="s">
        <v>44</v>
      </c>
      <c r="F262" s="17" t="s">
        <v>45</v>
      </c>
      <c r="G262" s="11" t="s">
        <v>1432</v>
      </c>
      <c r="H262" s="12">
        <v>5</v>
      </c>
      <c r="I262" s="11" t="s">
        <v>1433</v>
      </c>
      <c r="J262" s="193" t="s">
        <v>216</v>
      </c>
      <c r="K262" s="17" t="s">
        <v>233</v>
      </c>
      <c r="L262" s="17" t="s">
        <v>233</v>
      </c>
      <c r="M262" s="231">
        <v>4356</v>
      </c>
      <c r="N262" s="232">
        <v>4303.11816</v>
      </c>
      <c r="O262" s="132">
        <v>354</v>
      </c>
      <c r="P262" s="231" t="s">
        <v>239</v>
      </c>
      <c r="Q262" s="232">
        <v>349.63871999999998</v>
      </c>
      <c r="R262" s="231" t="s">
        <v>239</v>
      </c>
      <c r="S262" s="232">
        <v>345.33117096959995</v>
      </c>
      <c r="T262" s="231" t="s">
        <v>239</v>
      </c>
      <c r="U262" s="232">
        <v>341.0766909432545</v>
      </c>
      <c r="V262" s="230" t="s">
        <v>239</v>
      </c>
      <c r="W262" s="232">
        <v>336.87462611083362</v>
      </c>
      <c r="X262" s="231" t="s">
        <v>239</v>
      </c>
      <c r="Y262" s="232">
        <v>332.72433071714812</v>
      </c>
      <c r="Z262" s="231" t="s">
        <v>239</v>
      </c>
      <c r="AA262" s="232">
        <v>328.62516696271285</v>
      </c>
      <c r="AB262" s="231" t="s">
        <v>239</v>
      </c>
      <c r="AC262" s="232">
        <v>324.57650490573224</v>
      </c>
      <c r="AD262" s="231" t="s">
        <v>239</v>
      </c>
      <c r="AE262" s="232">
        <v>320.5777223652936</v>
      </c>
      <c r="AF262" s="231" t="s">
        <v>239</v>
      </c>
      <c r="AG262" s="232">
        <v>316.62820482575319</v>
      </c>
      <c r="AH262" s="231" t="s">
        <v>239</v>
      </c>
      <c r="AI262" s="232">
        <v>312.72734534229988</v>
      </c>
      <c r="AJ262" s="231" t="s">
        <v>239</v>
      </c>
      <c r="AK262" s="232">
        <v>308.87454444768275</v>
      </c>
      <c r="AL262" s="232" t="s">
        <v>239</v>
      </c>
      <c r="AM262" s="232">
        <v>3971.6550275903101</v>
      </c>
    </row>
    <row r="263" spans="1:39" ht="15" customHeight="1" outlineLevel="1">
      <c r="A263" s="411">
        <v>127</v>
      </c>
      <c r="B263" s="10">
        <v>129127</v>
      </c>
      <c r="C263" s="218" t="s">
        <v>1489</v>
      </c>
      <c r="D263" s="218" t="s">
        <v>1490</v>
      </c>
      <c r="E263" s="23" t="s">
        <v>138</v>
      </c>
      <c r="F263" s="17" t="s">
        <v>45</v>
      </c>
      <c r="G263" s="11" t="s">
        <v>1432</v>
      </c>
      <c r="H263" s="12">
        <v>17</v>
      </c>
      <c r="I263" s="11" t="s">
        <v>1433</v>
      </c>
      <c r="J263" s="191" t="s">
        <v>216</v>
      </c>
      <c r="K263" s="17" t="s">
        <v>233</v>
      </c>
      <c r="L263" s="17" t="s">
        <v>233</v>
      </c>
      <c r="M263" s="231">
        <v>25</v>
      </c>
      <c r="N263" s="232">
        <v>25</v>
      </c>
      <c r="O263" s="231">
        <v>25</v>
      </c>
      <c r="P263" s="231" t="s">
        <v>239</v>
      </c>
      <c r="Q263" s="231">
        <v>25</v>
      </c>
      <c r="R263" s="231" t="s">
        <v>239</v>
      </c>
      <c r="S263" s="231">
        <v>25</v>
      </c>
      <c r="T263" s="231" t="s">
        <v>239</v>
      </c>
      <c r="U263" s="231">
        <v>25</v>
      </c>
      <c r="V263" s="231" t="s">
        <v>239</v>
      </c>
      <c r="W263" s="231">
        <v>25</v>
      </c>
      <c r="X263" s="231" t="s">
        <v>239</v>
      </c>
      <c r="Y263" s="231">
        <v>25</v>
      </c>
      <c r="Z263" s="231" t="s">
        <v>239</v>
      </c>
      <c r="AA263" s="231">
        <v>25</v>
      </c>
      <c r="AB263" s="231" t="s">
        <v>239</v>
      </c>
      <c r="AC263" s="231">
        <v>25</v>
      </c>
      <c r="AD263" s="231" t="s">
        <v>239</v>
      </c>
      <c r="AE263" s="231">
        <v>25</v>
      </c>
      <c r="AF263" s="231" t="s">
        <v>239</v>
      </c>
      <c r="AG263" s="231">
        <v>25</v>
      </c>
      <c r="AH263" s="231" t="s">
        <v>239</v>
      </c>
      <c r="AI263" s="231">
        <v>25</v>
      </c>
      <c r="AJ263" s="231" t="s">
        <v>239</v>
      </c>
      <c r="AK263" s="231">
        <v>25</v>
      </c>
      <c r="AL263" s="232" t="s">
        <v>239</v>
      </c>
      <c r="AM263" s="232">
        <v>0</v>
      </c>
    </row>
    <row r="264" spans="1:39" ht="15" customHeight="1" outlineLevel="1">
      <c r="A264" s="412"/>
      <c r="B264" s="10">
        <v>129127</v>
      </c>
      <c r="C264" s="218" t="s">
        <v>1489</v>
      </c>
      <c r="D264" s="218" t="s">
        <v>1490</v>
      </c>
      <c r="E264" s="23" t="s">
        <v>44</v>
      </c>
      <c r="F264" s="17" t="s">
        <v>45</v>
      </c>
      <c r="G264" s="11" t="s">
        <v>1432</v>
      </c>
      <c r="H264" s="12">
        <v>19</v>
      </c>
      <c r="I264" s="11" t="s">
        <v>1433</v>
      </c>
      <c r="J264" s="192" t="s">
        <v>1434</v>
      </c>
      <c r="K264" s="17" t="s">
        <v>233</v>
      </c>
      <c r="L264" s="17" t="s">
        <v>233</v>
      </c>
      <c r="M264" s="231">
        <v>0</v>
      </c>
      <c r="N264" s="232">
        <v>0</v>
      </c>
      <c r="O264" s="132"/>
      <c r="P264" s="231" t="s">
        <v>239</v>
      </c>
      <c r="Q264" s="232">
        <v>0</v>
      </c>
      <c r="R264" s="231" t="s">
        <v>239</v>
      </c>
      <c r="S264" s="232">
        <v>0</v>
      </c>
      <c r="T264" s="231" t="s">
        <v>239</v>
      </c>
      <c r="U264" s="232">
        <v>0</v>
      </c>
      <c r="V264" s="231" t="s">
        <v>239</v>
      </c>
      <c r="W264" s="232">
        <v>0</v>
      </c>
      <c r="X264" s="231" t="s">
        <v>239</v>
      </c>
      <c r="Y264" s="232">
        <v>0</v>
      </c>
      <c r="Z264" s="231" t="s">
        <v>239</v>
      </c>
      <c r="AA264" s="232">
        <v>0</v>
      </c>
      <c r="AB264" s="231" t="s">
        <v>239</v>
      </c>
      <c r="AC264" s="232">
        <v>0</v>
      </c>
      <c r="AD264" s="231" t="s">
        <v>239</v>
      </c>
      <c r="AE264" s="232">
        <v>0</v>
      </c>
      <c r="AF264" s="231" t="s">
        <v>239</v>
      </c>
      <c r="AG264" s="232">
        <v>0</v>
      </c>
      <c r="AH264" s="231" t="s">
        <v>239</v>
      </c>
      <c r="AI264" s="232">
        <v>0</v>
      </c>
      <c r="AJ264" s="231" t="s">
        <v>239</v>
      </c>
      <c r="AK264" s="232">
        <v>0</v>
      </c>
      <c r="AL264" s="232" t="s">
        <v>239</v>
      </c>
      <c r="AM264" s="232">
        <v>0</v>
      </c>
    </row>
    <row r="265" spans="1:39" ht="15" customHeight="1" outlineLevel="1">
      <c r="A265" s="411">
        <v>128</v>
      </c>
      <c r="B265" s="10">
        <v>129128</v>
      </c>
      <c r="C265" s="218" t="s">
        <v>1489</v>
      </c>
      <c r="D265" s="218" t="s">
        <v>1490</v>
      </c>
      <c r="E265" s="23" t="s">
        <v>138</v>
      </c>
      <c r="F265" s="17" t="s">
        <v>45</v>
      </c>
      <c r="G265" s="11" t="s">
        <v>1432</v>
      </c>
      <c r="H265" s="12">
        <v>21</v>
      </c>
      <c r="I265" s="11" t="s">
        <v>1433</v>
      </c>
      <c r="J265" s="192" t="s">
        <v>1480</v>
      </c>
      <c r="K265" s="17" t="s">
        <v>233</v>
      </c>
      <c r="L265" s="17" t="s">
        <v>233</v>
      </c>
      <c r="M265" s="231">
        <v>13</v>
      </c>
      <c r="N265" s="232">
        <v>13</v>
      </c>
      <c r="O265" s="231">
        <v>13</v>
      </c>
      <c r="P265" s="231" t="s">
        <v>239</v>
      </c>
      <c r="Q265" s="231">
        <v>13</v>
      </c>
      <c r="R265" s="231" t="s">
        <v>239</v>
      </c>
      <c r="S265" s="231">
        <v>13</v>
      </c>
      <c r="T265" s="231" t="s">
        <v>239</v>
      </c>
      <c r="U265" s="231">
        <v>13</v>
      </c>
      <c r="V265" s="230" t="s">
        <v>239</v>
      </c>
      <c r="W265" s="231">
        <v>13</v>
      </c>
      <c r="X265" s="231" t="s">
        <v>239</v>
      </c>
      <c r="Y265" s="231">
        <v>13</v>
      </c>
      <c r="Z265" s="231" t="s">
        <v>239</v>
      </c>
      <c r="AA265" s="231">
        <v>13</v>
      </c>
      <c r="AB265" s="231" t="s">
        <v>239</v>
      </c>
      <c r="AC265" s="231">
        <v>13</v>
      </c>
      <c r="AD265" s="231" t="s">
        <v>239</v>
      </c>
      <c r="AE265" s="231">
        <v>13</v>
      </c>
      <c r="AF265" s="231" t="s">
        <v>239</v>
      </c>
      <c r="AG265" s="231">
        <v>13</v>
      </c>
      <c r="AH265" s="231" t="s">
        <v>239</v>
      </c>
      <c r="AI265" s="231">
        <v>13</v>
      </c>
      <c r="AJ265" s="231" t="s">
        <v>239</v>
      </c>
      <c r="AK265" s="231">
        <v>13</v>
      </c>
      <c r="AL265" s="232" t="s">
        <v>239</v>
      </c>
      <c r="AM265" s="232">
        <v>0</v>
      </c>
    </row>
    <row r="266" spans="1:39" ht="15" customHeight="1" outlineLevel="1">
      <c r="A266" s="412"/>
      <c r="B266" s="10">
        <v>129128</v>
      </c>
      <c r="C266" s="218" t="s">
        <v>1489</v>
      </c>
      <c r="D266" s="218" t="s">
        <v>1490</v>
      </c>
      <c r="E266" s="23" t="s">
        <v>44</v>
      </c>
      <c r="F266" s="17" t="s">
        <v>45</v>
      </c>
      <c r="G266" s="11" t="s">
        <v>1432</v>
      </c>
      <c r="H266" s="12">
        <v>19</v>
      </c>
      <c r="I266" s="11" t="s">
        <v>1433</v>
      </c>
      <c r="J266" s="192" t="s">
        <v>1452</v>
      </c>
      <c r="K266" s="17" t="s">
        <v>233</v>
      </c>
      <c r="L266" s="17" t="s">
        <v>233</v>
      </c>
      <c r="M266" s="231">
        <v>10065</v>
      </c>
      <c r="N266" s="232">
        <v>9942.8109000000004</v>
      </c>
      <c r="O266" s="132">
        <v>262</v>
      </c>
      <c r="P266" s="231" t="s">
        <v>239</v>
      </c>
      <c r="Q266" s="232">
        <v>258.77215999999999</v>
      </c>
      <c r="R266" s="231" t="s">
        <v>239</v>
      </c>
      <c r="S266" s="232">
        <v>255.58408698879998</v>
      </c>
      <c r="T266" s="231" t="s">
        <v>239</v>
      </c>
      <c r="U266" s="232">
        <v>252.43529103709795</v>
      </c>
      <c r="V266" s="231" t="s">
        <v>239</v>
      </c>
      <c r="W266" s="232">
        <v>249.3252882515209</v>
      </c>
      <c r="X266" s="231" t="s">
        <v>239</v>
      </c>
      <c r="Y266" s="232">
        <v>246.25360070026215</v>
      </c>
      <c r="Z266" s="231" t="s">
        <v>239</v>
      </c>
      <c r="AA266" s="232">
        <v>243.21975633963493</v>
      </c>
      <c r="AB266" s="231" t="s">
        <v>239</v>
      </c>
      <c r="AC266" s="232">
        <v>240.22328894153063</v>
      </c>
      <c r="AD266" s="231" t="s">
        <v>239</v>
      </c>
      <c r="AE266" s="232">
        <v>237.26373802177096</v>
      </c>
      <c r="AF266" s="231" t="s">
        <v>239</v>
      </c>
      <c r="AG266" s="232">
        <v>234.34064876934275</v>
      </c>
      <c r="AH266" s="231" t="s">
        <v>239</v>
      </c>
      <c r="AI266" s="232">
        <v>231.45357197650443</v>
      </c>
      <c r="AJ266" s="231" t="s">
        <v>239</v>
      </c>
      <c r="AK266" s="232">
        <v>228.60206396975391</v>
      </c>
      <c r="AL266" s="232" t="s">
        <v>239</v>
      </c>
      <c r="AM266" s="232">
        <v>2939.4734949962185</v>
      </c>
    </row>
    <row r="267" spans="1:39" ht="15" customHeight="1" outlineLevel="1">
      <c r="A267" s="411">
        <v>129</v>
      </c>
      <c r="B267" s="10">
        <v>129129</v>
      </c>
      <c r="C267" s="218" t="s">
        <v>1489</v>
      </c>
      <c r="D267" s="218" t="s">
        <v>1490</v>
      </c>
      <c r="E267" s="23" t="s">
        <v>138</v>
      </c>
      <c r="F267" s="17" t="s">
        <v>45</v>
      </c>
      <c r="G267" s="11" t="s">
        <v>1432</v>
      </c>
      <c r="H267" s="12">
        <v>30</v>
      </c>
      <c r="I267" s="11" t="s">
        <v>1433</v>
      </c>
      <c r="J267" s="374" t="s">
        <v>207</v>
      </c>
      <c r="K267" s="17" t="s">
        <v>233</v>
      </c>
      <c r="L267" s="17" t="s">
        <v>233</v>
      </c>
      <c r="M267" s="231">
        <v>25</v>
      </c>
      <c r="N267" s="232">
        <v>25</v>
      </c>
      <c r="O267" s="231">
        <v>25</v>
      </c>
      <c r="P267" s="231" t="s">
        <v>239</v>
      </c>
      <c r="Q267" s="231">
        <v>25</v>
      </c>
      <c r="R267" s="231" t="s">
        <v>239</v>
      </c>
      <c r="S267" s="231">
        <v>25</v>
      </c>
      <c r="T267" s="231" t="s">
        <v>239</v>
      </c>
      <c r="U267" s="231">
        <v>25</v>
      </c>
      <c r="V267" s="231" t="s">
        <v>239</v>
      </c>
      <c r="W267" s="231">
        <v>25</v>
      </c>
      <c r="X267" s="231" t="s">
        <v>239</v>
      </c>
      <c r="Y267" s="231">
        <v>25</v>
      </c>
      <c r="Z267" s="231" t="s">
        <v>239</v>
      </c>
      <c r="AA267" s="231">
        <v>25</v>
      </c>
      <c r="AB267" s="231" t="s">
        <v>239</v>
      </c>
      <c r="AC267" s="231">
        <v>25</v>
      </c>
      <c r="AD267" s="231" t="s">
        <v>239</v>
      </c>
      <c r="AE267" s="231">
        <v>25</v>
      </c>
      <c r="AF267" s="231" t="s">
        <v>239</v>
      </c>
      <c r="AG267" s="231">
        <v>25</v>
      </c>
      <c r="AH267" s="231" t="s">
        <v>239</v>
      </c>
      <c r="AI267" s="231">
        <v>25</v>
      </c>
      <c r="AJ267" s="231" t="s">
        <v>239</v>
      </c>
      <c r="AK267" s="231">
        <v>25</v>
      </c>
      <c r="AL267" s="232" t="s">
        <v>239</v>
      </c>
      <c r="AM267" s="232">
        <v>0</v>
      </c>
    </row>
    <row r="268" spans="1:39" ht="15" customHeight="1" outlineLevel="1">
      <c r="A268" s="412"/>
      <c r="B268" s="10">
        <v>129129</v>
      </c>
      <c r="C268" s="218" t="s">
        <v>1489</v>
      </c>
      <c r="D268" s="218" t="s">
        <v>1490</v>
      </c>
      <c r="E268" s="23" t="s">
        <v>44</v>
      </c>
      <c r="F268" s="17" t="s">
        <v>45</v>
      </c>
      <c r="G268" s="11" t="s">
        <v>1432</v>
      </c>
      <c r="H268" s="12">
        <v>33</v>
      </c>
      <c r="I268" s="11" t="s">
        <v>1433</v>
      </c>
      <c r="J268" s="375"/>
      <c r="K268" s="17" t="s">
        <v>233</v>
      </c>
      <c r="L268" s="17" t="s">
        <v>233</v>
      </c>
      <c r="M268" s="231">
        <v>0</v>
      </c>
      <c r="N268" s="232">
        <v>0</v>
      </c>
      <c r="O268" s="132"/>
      <c r="P268" s="231" t="s">
        <v>239</v>
      </c>
      <c r="Q268" s="232">
        <v>0</v>
      </c>
      <c r="R268" s="231" t="s">
        <v>239</v>
      </c>
      <c r="S268" s="232">
        <v>0</v>
      </c>
      <c r="T268" s="231" t="s">
        <v>239</v>
      </c>
      <c r="U268" s="232">
        <v>0</v>
      </c>
      <c r="V268" s="230" t="s">
        <v>239</v>
      </c>
      <c r="W268" s="232">
        <v>0</v>
      </c>
      <c r="X268" s="231" t="s">
        <v>239</v>
      </c>
      <c r="Y268" s="232">
        <v>0</v>
      </c>
      <c r="Z268" s="231" t="s">
        <v>239</v>
      </c>
      <c r="AA268" s="232">
        <v>0</v>
      </c>
      <c r="AB268" s="231" t="s">
        <v>239</v>
      </c>
      <c r="AC268" s="232">
        <v>0</v>
      </c>
      <c r="AD268" s="231" t="s">
        <v>239</v>
      </c>
      <c r="AE268" s="232">
        <v>0</v>
      </c>
      <c r="AF268" s="231" t="s">
        <v>239</v>
      </c>
      <c r="AG268" s="232">
        <v>0</v>
      </c>
      <c r="AH268" s="231" t="s">
        <v>239</v>
      </c>
      <c r="AI268" s="232">
        <v>0</v>
      </c>
      <c r="AJ268" s="231" t="s">
        <v>239</v>
      </c>
      <c r="AK268" s="232">
        <v>0</v>
      </c>
      <c r="AL268" s="232" t="s">
        <v>239</v>
      </c>
      <c r="AM268" s="232">
        <v>0</v>
      </c>
    </row>
    <row r="269" spans="1:39" ht="15" customHeight="1" outlineLevel="1">
      <c r="A269" s="411">
        <v>130</v>
      </c>
      <c r="B269" s="10">
        <v>129130</v>
      </c>
      <c r="C269" s="218" t="s">
        <v>1489</v>
      </c>
      <c r="D269" s="218" t="s">
        <v>1490</v>
      </c>
      <c r="E269" s="23" t="s">
        <v>138</v>
      </c>
      <c r="F269" s="17" t="s">
        <v>45</v>
      </c>
      <c r="G269" s="11" t="s">
        <v>1432</v>
      </c>
      <c r="H269" s="12">
        <v>19</v>
      </c>
      <c r="I269" s="11" t="s">
        <v>1433</v>
      </c>
      <c r="J269" s="193" t="s">
        <v>1460</v>
      </c>
      <c r="K269" s="17" t="s">
        <v>233</v>
      </c>
      <c r="L269" s="17" t="s">
        <v>233</v>
      </c>
      <c r="M269" s="231">
        <v>28</v>
      </c>
      <c r="N269" s="232">
        <v>28</v>
      </c>
      <c r="O269" s="231">
        <v>28</v>
      </c>
      <c r="P269" s="231" t="s">
        <v>239</v>
      </c>
      <c r="Q269" s="231">
        <v>28</v>
      </c>
      <c r="R269" s="231" t="s">
        <v>239</v>
      </c>
      <c r="S269" s="231">
        <v>28</v>
      </c>
      <c r="T269" s="231" t="s">
        <v>239</v>
      </c>
      <c r="U269" s="231">
        <v>28</v>
      </c>
      <c r="V269" s="231" t="s">
        <v>239</v>
      </c>
      <c r="W269" s="231">
        <v>28</v>
      </c>
      <c r="X269" s="231" t="s">
        <v>239</v>
      </c>
      <c r="Y269" s="231">
        <v>28</v>
      </c>
      <c r="Z269" s="231" t="s">
        <v>239</v>
      </c>
      <c r="AA269" s="231">
        <v>28</v>
      </c>
      <c r="AB269" s="231" t="s">
        <v>239</v>
      </c>
      <c r="AC269" s="231">
        <v>28</v>
      </c>
      <c r="AD269" s="231" t="s">
        <v>239</v>
      </c>
      <c r="AE269" s="231">
        <v>28</v>
      </c>
      <c r="AF269" s="231" t="s">
        <v>239</v>
      </c>
      <c r="AG269" s="231">
        <v>28</v>
      </c>
      <c r="AH269" s="231" t="s">
        <v>239</v>
      </c>
      <c r="AI269" s="231">
        <v>28</v>
      </c>
      <c r="AJ269" s="231" t="s">
        <v>239</v>
      </c>
      <c r="AK269" s="231">
        <v>28</v>
      </c>
      <c r="AL269" s="232" t="s">
        <v>239</v>
      </c>
      <c r="AM269" s="232">
        <v>0</v>
      </c>
    </row>
    <row r="270" spans="1:39" ht="15" customHeight="1" outlineLevel="1">
      <c r="A270" s="412"/>
      <c r="B270" s="10">
        <v>129130</v>
      </c>
      <c r="C270" s="218" t="s">
        <v>1489</v>
      </c>
      <c r="D270" s="218" t="s">
        <v>1490</v>
      </c>
      <c r="E270" s="23" t="s">
        <v>44</v>
      </c>
      <c r="F270" s="17" t="s">
        <v>45</v>
      </c>
      <c r="G270" s="11" t="s">
        <v>1432</v>
      </c>
      <c r="H270" s="12">
        <v>6</v>
      </c>
      <c r="I270" s="11" t="s">
        <v>1433</v>
      </c>
      <c r="J270" s="193" t="s">
        <v>1442</v>
      </c>
      <c r="K270" s="17" t="s">
        <v>233</v>
      </c>
      <c r="L270" s="17" t="s">
        <v>233</v>
      </c>
      <c r="M270" s="231">
        <v>10396</v>
      </c>
      <c r="N270" s="232">
        <v>10269.79256</v>
      </c>
      <c r="O270" s="132">
        <v>468</v>
      </c>
      <c r="P270" s="231" t="s">
        <v>239</v>
      </c>
      <c r="Q270" s="232">
        <v>462.23424</v>
      </c>
      <c r="R270" s="231" t="s">
        <v>239</v>
      </c>
      <c r="S270" s="232">
        <v>456.53951416320001</v>
      </c>
      <c r="T270" s="231" t="s">
        <v>239</v>
      </c>
      <c r="U270" s="232">
        <v>450.9149473487094</v>
      </c>
      <c r="V270" s="231" t="s">
        <v>239</v>
      </c>
      <c r="W270" s="232">
        <v>445.35967519737329</v>
      </c>
      <c r="X270" s="231" t="s">
        <v>239</v>
      </c>
      <c r="Y270" s="232">
        <v>439.87284399894168</v>
      </c>
      <c r="Z270" s="231" t="s">
        <v>239</v>
      </c>
      <c r="AA270" s="232">
        <v>434.45361056087472</v>
      </c>
      <c r="AB270" s="231" t="s">
        <v>239</v>
      </c>
      <c r="AC270" s="232">
        <v>429.10114207876472</v>
      </c>
      <c r="AD270" s="231" t="s">
        <v>239</v>
      </c>
      <c r="AE270" s="232">
        <v>423.81461600835434</v>
      </c>
      <c r="AF270" s="231" t="s">
        <v>239</v>
      </c>
      <c r="AG270" s="232">
        <v>418.59321993913142</v>
      </c>
      <c r="AH270" s="231" t="s">
        <v>239</v>
      </c>
      <c r="AI270" s="232">
        <v>413.43615146948133</v>
      </c>
      <c r="AJ270" s="231" t="s">
        <v>239</v>
      </c>
      <c r="AK270" s="232">
        <v>408.34261808337732</v>
      </c>
      <c r="AL270" s="232" t="s">
        <v>239</v>
      </c>
      <c r="AM270" s="232">
        <v>5250.6625788482088</v>
      </c>
    </row>
    <row r="271" spans="1:39" ht="15" customHeight="1" outlineLevel="1">
      <c r="A271" s="411">
        <v>131</v>
      </c>
      <c r="B271" s="10">
        <v>129131</v>
      </c>
      <c r="C271" s="218" t="s">
        <v>1489</v>
      </c>
      <c r="D271" s="218" t="s">
        <v>1490</v>
      </c>
      <c r="E271" s="23" t="s">
        <v>44</v>
      </c>
      <c r="F271" s="17" t="s">
        <v>45</v>
      </c>
      <c r="G271" s="11" t="s">
        <v>1432</v>
      </c>
      <c r="H271" s="12">
        <v>15</v>
      </c>
      <c r="I271" s="11" t="s">
        <v>1433</v>
      </c>
      <c r="J271" s="193" t="s">
        <v>1460</v>
      </c>
      <c r="K271" s="17" t="s">
        <v>233</v>
      </c>
      <c r="L271" s="17" t="s">
        <v>233</v>
      </c>
      <c r="M271" s="231">
        <v>12</v>
      </c>
      <c r="N271" s="232">
        <v>12</v>
      </c>
      <c r="O271" s="231">
        <v>12</v>
      </c>
      <c r="P271" s="231" t="s">
        <v>239</v>
      </c>
      <c r="Q271" s="231">
        <v>12</v>
      </c>
      <c r="R271" s="231" t="s">
        <v>239</v>
      </c>
      <c r="S271" s="231">
        <v>12</v>
      </c>
      <c r="T271" s="231" t="s">
        <v>239</v>
      </c>
      <c r="U271" s="231">
        <v>12</v>
      </c>
      <c r="V271" s="230" t="s">
        <v>239</v>
      </c>
      <c r="W271" s="231">
        <v>12</v>
      </c>
      <c r="X271" s="231" t="s">
        <v>239</v>
      </c>
      <c r="Y271" s="231">
        <v>12</v>
      </c>
      <c r="Z271" s="231" t="s">
        <v>239</v>
      </c>
      <c r="AA271" s="231">
        <v>12</v>
      </c>
      <c r="AB271" s="231" t="s">
        <v>239</v>
      </c>
      <c r="AC271" s="231">
        <v>12</v>
      </c>
      <c r="AD271" s="231" t="s">
        <v>239</v>
      </c>
      <c r="AE271" s="231">
        <v>12</v>
      </c>
      <c r="AF271" s="231" t="s">
        <v>239</v>
      </c>
      <c r="AG271" s="231">
        <v>12</v>
      </c>
      <c r="AH271" s="231" t="s">
        <v>239</v>
      </c>
      <c r="AI271" s="231">
        <v>12</v>
      </c>
      <c r="AJ271" s="231" t="s">
        <v>239</v>
      </c>
      <c r="AK271" s="231">
        <v>12</v>
      </c>
      <c r="AL271" s="232" t="s">
        <v>239</v>
      </c>
      <c r="AM271" s="232">
        <v>0</v>
      </c>
    </row>
    <row r="272" spans="1:39" ht="15" customHeight="1" outlineLevel="1">
      <c r="A272" s="412"/>
      <c r="B272" s="10">
        <v>129131</v>
      </c>
      <c r="C272" s="218" t="s">
        <v>1489</v>
      </c>
      <c r="D272" s="218" t="s">
        <v>1490</v>
      </c>
      <c r="E272" s="23" t="s">
        <v>138</v>
      </c>
      <c r="F272" s="17" t="s">
        <v>45</v>
      </c>
      <c r="G272" s="11" t="s">
        <v>1432</v>
      </c>
      <c r="H272" s="12">
        <v>19</v>
      </c>
      <c r="I272" s="11" t="s">
        <v>1433</v>
      </c>
      <c r="J272" s="193" t="s">
        <v>1457</v>
      </c>
      <c r="K272" s="17" t="s">
        <v>233</v>
      </c>
      <c r="L272" s="17" t="s">
        <v>233</v>
      </c>
      <c r="M272" s="231">
        <v>6984</v>
      </c>
      <c r="N272" s="232">
        <v>6899.2142399999993</v>
      </c>
      <c r="O272" s="132">
        <v>517</v>
      </c>
      <c r="P272" s="231" t="s">
        <v>239</v>
      </c>
      <c r="Q272" s="232">
        <v>510.63056</v>
      </c>
      <c r="R272" s="231" t="s">
        <v>239</v>
      </c>
      <c r="S272" s="232">
        <v>504.3395915008</v>
      </c>
      <c r="T272" s="231" t="s">
        <v>239</v>
      </c>
      <c r="U272" s="232">
        <v>498.12612773351015</v>
      </c>
      <c r="V272" s="231" t="s">
        <v>239</v>
      </c>
      <c r="W272" s="232">
        <v>491.98921383983333</v>
      </c>
      <c r="X272" s="231" t="s">
        <v>239</v>
      </c>
      <c r="Y272" s="232">
        <v>485.92790672532658</v>
      </c>
      <c r="Z272" s="231" t="s">
        <v>239</v>
      </c>
      <c r="AA272" s="232">
        <v>479.94127491447057</v>
      </c>
      <c r="AB272" s="231" t="s">
        <v>239</v>
      </c>
      <c r="AC272" s="232">
        <v>474.02839840752426</v>
      </c>
      <c r="AD272" s="231" t="s">
        <v>239</v>
      </c>
      <c r="AE272" s="232">
        <v>468.18836853914354</v>
      </c>
      <c r="AF272" s="231" t="s">
        <v>239</v>
      </c>
      <c r="AG272" s="232">
        <v>462.42028783874127</v>
      </c>
      <c r="AH272" s="231" t="s">
        <v>239</v>
      </c>
      <c r="AI272" s="232">
        <v>456.723269892568</v>
      </c>
      <c r="AJ272" s="231" t="s">
        <v>239</v>
      </c>
      <c r="AK272" s="232">
        <v>451.09643920749158</v>
      </c>
      <c r="AL272" s="232" t="s">
        <v>239</v>
      </c>
      <c r="AM272" s="232">
        <v>5800.4114385994089</v>
      </c>
    </row>
    <row r="273" spans="1:39" ht="15" customHeight="1" outlineLevel="1">
      <c r="A273" s="411">
        <v>132</v>
      </c>
      <c r="B273" s="10">
        <v>129132</v>
      </c>
      <c r="C273" s="218" t="s">
        <v>1489</v>
      </c>
      <c r="D273" s="218" t="s">
        <v>1490</v>
      </c>
      <c r="E273" s="23" t="s">
        <v>44</v>
      </c>
      <c r="F273" s="17" t="s">
        <v>45</v>
      </c>
      <c r="G273" s="11" t="s">
        <v>1432</v>
      </c>
      <c r="H273" s="12">
        <v>22</v>
      </c>
      <c r="I273" s="11" t="s">
        <v>1433</v>
      </c>
      <c r="J273" s="193" t="s">
        <v>617</v>
      </c>
      <c r="K273" s="17" t="s">
        <v>233</v>
      </c>
      <c r="L273" s="17" t="s">
        <v>233</v>
      </c>
      <c r="M273" s="231">
        <v>19</v>
      </c>
      <c r="N273" s="232">
        <v>19</v>
      </c>
      <c r="O273" s="231">
        <v>19</v>
      </c>
      <c r="P273" s="231" t="s">
        <v>239</v>
      </c>
      <c r="Q273" s="231">
        <v>19</v>
      </c>
      <c r="R273" s="231" t="s">
        <v>239</v>
      </c>
      <c r="S273" s="231">
        <v>19</v>
      </c>
      <c r="T273" s="231" t="s">
        <v>239</v>
      </c>
      <c r="U273" s="231">
        <v>19</v>
      </c>
      <c r="V273" s="231" t="s">
        <v>239</v>
      </c>
      <c r="W273" s="231">
        <v>19</v>
      </c>
      <c r="X273" s="231" t="s">
        <v>239</v>
      </c>
      <c r="Y273" s="231">
        <v>19</v>
      </c>
      <c r="Z273" s="231" t="s">
        <v>239</v>
      </c>
      <c r="AA273" s="231">
        <v>19</v>
      </c>
      <c r="AB273" s="231" t="s">
        <v>239</v>
      </c>
      <c r="AC273" s="231">
        <v>19</v>
      </c>
      <c r="AD273" s="231" t="s">
        <v>239</v>
      </c>
      <c r="AE273" s="231">
        <v>19</v>
      </c>
      <c r="AF273" s="231" t="s">
        <v>239</v>
      </c>
      <c r="AG273" s="231">
        <v>19</v>
      </c>
      <c r="AH273" s="231" t="s">
        <v>239</v>
      </c>
      <c r="AI273" s="231">
        <v>19</v>
      </c>
      <c r="AJ273" s="231" t="s">
        <v>239</v>
      </c>
      <c r="AK273" s="231">
        <v>19</v>
      </c>
      <c r="AL273" s="232" t="s">
        <v>239</v>
      </c>
      <c r="AM273" s="232">
        <v>0</v>
      </c>
    </row>
    <row r="274" spans="1:39" ht="15" customHeight="1" outlineLevel="1">
      <c r="A274" s="412"/>
      <c r="B274" s="10">
        <v>129132</v>
      </c>
      <c r="C274" s="218" t="s">
        <v>1489</v>
      </c>
      <c r="D274" s="218" t="s">
        <v>1490</v>
      </c>
      <c r="E274" s="23" t="s">
        <v>138</v>
      </c>
      <c r="F274" s="17" t="s">
        <v>45</v>
      </c>
      <c r="G274" s="11" t="s">
        <v>1432</v>
      </c>
      <c r="H274" s="12">
        <v>24</v>
      </c>
      <c r="I274" s="11" t="s">
        <v>1433</v>
      </c>
      <c r="J274" s="193" t="s">
        <v>216</v>
      </c>
      <c r="K274" s="17" t="s">
        <v>233</v>
      </c>
      <c r="L274" s="17" t="s">
        <v>233</v>
      </c>
      <c r="M274" s="231">
        <v>3282</v>
      </c>
      <c r="N274" s="232">
        <v>3242.15652</v>
      </c>
      <c r="O274" s="132">
        <v>575</v>
      </c>
      <c r="P274" s="231" t="s">
        <v>239</v>
      </c>
      <c r="Q274" s="232">
        <v>567.91600000000005</v>
      </c>
      <c r="R274" s="231" t="s">
        <v>239</v>
      </c>
      <c r="S274" s="232">
        <v>560.9192748800001</v>
      </c>
      <c r="T274" s="231" t="s">
        <v>239</v>
      </c>
      <c r="U274" s="232">
        <v>554.00874941347854</v>
      </c>
      <c r="V274" s="230" t="s">
        <v>239</v>
      </c>
      <c r="W274" s="232">
        <v>547.18336162070443</v>
      </c>
      <c r="X274" s="231" t="s">
        <v>239</v>
      </c>
      <c r="Y274" s="232">
        <v>540.44206260553733</v>
      </c>
      <c r="Z274" s="231" t="s">
        <v>239</v>
      </c>
      <c r="AA274" s="232">
        <v>533.78381639423708</v>
      </c>
      <c r="AB274" s="231" t="s">
        <v>239</v>
      </c>
      <c r="AC274" s="232">
        <v>527.20759977626005</v>
      </c>
      <c r="AD274" s="231" t="s">
        <v>239</v>
      </c>
      <c r="AE274" s="232">
        <v>520.71240214701652</v>
      </c>
      <c r="AF274" s="231" t="s">
        <v>239</v>
      </c>
      <c r="AG274" s="232">
        <v>514.29722535256531</v>
      </c>
      <c r="AH274" s="231" t="s">
        <v>239</v>
      </c>
      <c r="AI274" s="232">
        <v>507.96108353622168</v>
      </c>
      <c r="AJ274" s="231" t="s">
        <v>239</v>
      </c>
      <c r="AK274" s="232">
        <v>501.70300298705541</v>
      </c>
      <c r="AL274" s="232" t="s">
        <v>239</v>
      </c>
      <c r="AM274" s="232">
        <v>6451.1345787130767</v>
      </c>
    </row>
    <row r="275" spans="1:39" ht="15" customHeight="1" outlineLevel="1">
      <c r="A275" s="411">
        <v>133</v>
      </c>
      <c r="B275" s="10">
        <v>129133</v>
      </c>
      <c r="C275" s="218" t="s">
        <v>1489</v>
      </c>
      <c r="D275" s="218" t="s">
        <v>1490</v>
      </c>
      <c r="E275" s="23" t="s">
        <v>44</v>
      </c>
      <c r="F275" s="17" t="s">
        <v>45</v>
      </c>
      <c r="G275" s="11" t="s">
        <v>1432</v>
      </c>
      <c r="H275" s="12">
        <v>16</v>
      </c>
      <c r="I275" s="11" t="s">
        <v>1433</v>
      </c>
      <c r="J275" s="192" t="s">
        <v>1446</v>
      </c>
      <c r="K275" s="17" t="s">
        <v>233</v>
      </c>
      <c r="L275" s="17" t="s">
        <v>233</v>
      </c>
      <c r="M275" s="231">
        <v>33</v>
      </c>
      <c r="N275" s="232">
        <v>33</v>
      </c>
      <c r="O275" s="231">
        <v>33</v>
      </c>
      <c r="P275" s="231" t="s">
        <v>239</v>
      </c>
      <c r="Q275" s="231">
        <v>33</v>
      </c>
      <c r="R275" s="231" t="s">
        <v>239</v>
      </c>
      <c r="S275" s="231">
        <v>33</v>
      </c>
      <c r="T275" s="231" t="s">
        <v>239</v>
      </c>
      <c r="U275" s="231">
        <v>33</v>
      </c>
      <c r="V275" s="231" t="s">
        <v>239</v>
      </c>
      <c r="W275" s="231">
        <v>33</v>
      </c>
      <c r="X275" s="231" t="s">
        <v>239</v>
      </c>
      <c r="Y275" s="231">
        <v>33</v>
      </c>
      <c r="Z275" s="231" t="s">
        <v>239</v>
      </c>
      <c r="AA275" s="231">
        <v>33</v>
      </c>
      <c r="AB275" s="231" t="s">
        <v>239</v>
      </c>
      <c r="AC275" s="231">
        <v>33</v>
      </c>
      <c r="AD275" s="231" t="s">
        <v>239</v>
      </c>
      <c r="AE275" s="231">
        <v>33</v>
      </c>
      <c r="AF275" s="231" t="s">
        <v>239</v>
      </c>
      <c r="AG275" s="231">
        <v>33</v>
      </c>
      <c r="AH275" s="231" t="s">
        <v>239</v>
      </c>
      <c r="AI275" s="231">
        <v>33</v>
      </c>
      <c r="AJ275" s="231" t="s">
        <v>239</v>
      </c>
      <c r="AK275" s="231">
        <v>33</v>
      </c>
      <c r="AL275" s="232" t="s">
        <v>239</v>
      </c>
      <c r="AM275" s="232">
        <v>0</v>
      </c>
    </row>
    <row r="276" spans="1:39" ht="15" customHeight="1" outlineLevel="1">
      <c r="A276" s="412"/>
      <c r="B276" s="10">
        <v>129133</v>
      </c>
      <c r="C276" s="218" t="s">
        <v>1489</v>
      </c>
      <c r="D276" s="218" t="s">
        <v>1490</v>
      </c>
      <c r="E276" s="23" t="s">
        <v>44</v>
      </c>
      <c r="F276" s="17" t="s">
        <v>45</v>
      </c>
      <c r="G276" s="11" t="s">
        <v>1432</v>
      </c>
      <c r="H276" s="12">
        <v>5</v>
      </c>
      <c r="I276" s="11" t="s">
        <v>1433</v>
      </c>
      <c r="J276" s="192" t="s">
        <v>1481</v>
      </c>
      <c r="K276" s="17" t="s">
        <v>233</v>
      </c>
      <c r="L276" s="17" t="s">
        <v>233</v>
      </c>
      <c r="M276" s="231">
        <v>1827</v>
      </c>
      <c r="N276" s="232">
        <v>1804.8202199999998</v>
      </c>
      <c r="O276" s="132">
        <v>125</v>
      </c>
      <c r="P276" s="231" t="s">
        <v>239</v>
      </c>
      <c r="Q276" s="232">
        <v>123.46</v>
      </c>
      <c r="R276" s="231" t="s">
        <v>239</v>
      </c>
      <c r="S276" s="232">
        <v>121.93897279999999</v>
      </c>
      <c r="T276" s="231" t="s">
        <v>239</v>
      </c>
      <c r="U276" s="232">
        <v>120.43668465510399</v>
      </c>
      <c r="V276" s="231" t="s">
        <v>239</v>
      </c>
      <c r="W276" s="232">
        <v>118.95290470015311</v>
      </c>
      <c r="X276" s="231" t="s">
        <v>239</v>
      </c>
      <c r="Y276" s="232">
        <v>117.48740491424722</v>
      </c>
      <c r="Z276" s="231" t="s">
        <v>239</v>
      </c>
      <c r="AA276" s="232">
        <v>116.0399600857037</v>
      </c>
      <c r="AB276" s="231" t="s">
        <v>239</v>
      </c>
      <c r="AC276" s="232">
        <v>114.61034777744783</v>
      </c>
      <c r="AD276" s="231" t="s">
        <v>239</v>
      </c>
      <c r="AE276" s="232">
        <v>113.19834829282966</v>
      </c>
      <c r="AF276" s="231" t="s">
        <v>239</v>
      </c>
      <c r="AG276" s="232">
        <v>111.803744641862</v>
      </c>
      <c r="AH276" s="231" t="s">
        <v>239</v>
      </c>
      <c r="AI276" s="232">
        <v>110.42632250787426</v>
      </c>
      <c r="AJ276" s="231" t="s">
        <v>239</v>
      </c>
      <c r="AK276" s="232">
        <v>109.06587021457725</v>
      </c>
      <c r="AL276" s="232" t="s">
        <v>239</v>
      </c>
      <c r="AM276" s="232">
        <v>1402.4205605897989</v>
      </c>
    </row>
    <row r="277" spans="1:39" ht="15" customHeight="1" outlineLevel="1">
      <c r="A277" s="411">
        <v>134</v>
      </c>
      <c r="B277" s="10">
        <v>129134</v>
      </c>
      <c r="C277" s="218" t="s">
        <v>1489</v>
      </c>
      <c r="D277" s="218" t="s">
        <v>1490</v>
      </c>
      <c r="E277" s="23" t="s">
        <v>138</v>
      </c>
      <c r="F277" s="17" t="s">
        <v>45</v>
      </c>
      <c r="G277" s="11" t="s">
        <v>1432</v>
      </c>
      <c r="H277" s="12">
        <v>17</v>
      </c>
      <c r="I277" s="11" t="s">
        <v>1433</v>
      </c>
      <c r="J277" s="192" t="s">
        <v>208</v>
      </c>
      <c r="K277" s="17" t="s">
        <v>233</v>
      </c>
      <c r="L277" s="17" t="s">
        <v>233</v>
      </c>
      <c r="M277" s="231">
        <v>0.5</v>
      </c>
      <c r="N277" s="233">
        <v>0.5</v>
      </c>
      <c r="O277" s="132">
        <v>0.5</v>
      </c>
      <c r="P277" s="231" t="s">
        <v>239</v>
      </c>
      <c r="Q277" s="233">
        <v>0.5</v>
      </c>
      <c r="R277" s="231" t="s">
        <v>239</v>
      </c>
      <c r="S277" s="231">
        <v>0.5</v>
      </c>
      <c r="T277" s="231" t="s">
        <v>239</v>
      </c>
      <c r="U277" s="132">
        <v>0.5</v>
      </c>
      <c r="V277" s="230" t="s">
        <v>239</v>
      </c>
      <c r="W277" s="233">
        <v>0.5</v>
      </c>
      <c r="X277" s="231" t="s">
        <v>239</v>
      </c>
      <c r="Y277" s="231">
        <v>0.5</v>
      </c>
      <c r="Z277" s="231" t="s">
        <v>239</v>
      </c>
      <c r="AA277" s="132">
        <v>0.5</v>
      </c>
      <c r="AB277" s="231" t="s">
        <v>239</v>
      </c>
      <c r="AC277" s="233">
        <v>0.5</v>
      </c>
      <c r="AD277" s="231" t="s">
        <v>239</v>
      </c>
      <c r="AE277" s="231">
        <v>0.5</v>
      </c>
      <c r="AF277" s="231" t="s">
        <v>239</v>
      </c>
      <c r="AG277" s="132">
        <v>0.5</v>
      </c>
      <c r="AH277" s="231" t="s">
        <v>239</v>
      </c>
      <c r="AI277" s="233">
        <v>0.5</v>
      </c>
      <c r="AJ277" s="231" t="s">
        <v>239</v>
      </c>
      <c r="AK277" s="231">
        <v>0.5</v>
      </c>
      <c r="AL277" s="232" t="s">
        <v>239</v>
      </c>
      <c r="AM277" s="232">
        <v>0</v>
      </c>
    </row>
    <row r="278" spans="1:39" ht="15" customHeight="1" outlineLevel="1">
      <c r="A278" s="412"/>
      <c r="B278" s="10">
        <v>129134</v>
      </c>
      <c r="C278" s="218" t="s">
        <v>1489</v>
      </c>
      <c r="D278" s="218" t="s">
        <v>1490</v>
      </c>
      <c r="E278" s="23" t="s">
        <v>44</v>
      </c>
      <c r="F278" s="17" t="s">
        <v>45</v>
      </c>
      <c r="G278" s="11" t="s">
        <v>1432</v>
      </c>
      <c r="H278" s="12">
        <v>21</v>
      </c>
      <c r="I278" s="11" t="s">
        <v>1433</v>
      </c>
      <c r="J278" s="192" t="s">
        <v>1463</v>
      </c>
      <c r="K278" s="17" t="s">
        <v>233</v>
      </c>
      <c r="L278" s="17" t="s">
        <v>233</v>
      </c>
      <c r="M278" s="231">
        <v>1189</v>
      </c>
      <c r="N278" s="232">
        <v>1174.5655400000001</v>
      </c>
      <c r="O278" s="132">
        <v>32</v>
      </c>
      <c r="P278" s="231" t="s">
        <v>239</v>
      </c>
      <c r="Q278" s="232">
        <v>31.60576</v>
      </c>
      <c r="R278" s="231" t="s">
        <v>239</v>
      </c>
      <c r="S278" s="232">
        <v>31.216377036800001</v>
      </c>
      <c r="T278" s="231" t="s">
        <v>239</v>
      </c>
      <c r="U278" s="232">
        <v>30.831791271706624</v>
      </c>
      <c r="V278" s="231" t="s">
        <v>239</v>
      </c>
      <c r="W278" s="232">
        <v>30.451943603239197</v>
      </c>
      <c r="X278" s="231" t="s">
        <v>239</v>
      </c>
      <c r="Y278" s="232">
        <v>30.076775658047289</v>
      </c>
      <c r="Z278" s="231" t="s">
        <v>239</v>
      </c>
      <c r="AA278" s="232">
        <v>29.706229781940145</v>
      </c>
      <c r="AB278" s="231" t="s">
        <v>239</v>
      </c>
      <c r="AC278" s="232">
        <v>29.340249031026641</v>
      </c>
      <c r="AD278" s="231" t="s">
        <v>239</v>
      </c>
      <c r="AE278" s="232">
        <v>28.978777162964391</v>
      </c>
      <c r="AF278" s="231" t="s">
        <v>239</v>
      </c>
      <c r="AG278" s="232">
        <v>28.62175862831667</v>
      </c>
      <c r="AH278" s="231" t="s">
        <v>239</v>
      </c>
      <c r="AI278" s="232">
        <v>28.269138562015808</v>
      </c>
      <c r="AJ278" s="231" t="s">
        <v>239</v>
      </c>
      <c r="AK278" s="232">
        <v>27.920862774931773</v>
      </c>
      <c r="AL278" s="232" t="s">
        <v>239</v>
      </c>
      <c r="AM278" s="232">
        <v>359.01966351098861</v>
      </c>
    </row>
    <row r="279" spans="1:39" ht="15" customHeight="1" outlineLevel="1">
      <c r="A279" s="411">
        <v>135</v>
      </c>
      <c r="B279" s="10">
        <v>129135</v>
      </c>
      <c r="C279" s="218" t="s">
        <v>1489</v>
      </c>
      <c r="D279" s="218" t="s">
        <v>1490</v>
      </c>
      <c r="E279" s="23" t="s">
        <v>138</v>
      </c>
      <c r="F279" s="17" t="s">
        <v>45</v>
      </c>
      <c r="G279" s="11" t="s">
        <v>1432</v>
      </c>
      <c r="H279" s="12">
        <v>19</v>
      </c>
      <c r="I279" s="11" t="s">
        <v>1433</v>
      </c>
      <c r="J279" s="192" t="s">
        <v>1482</v>
      </c>
      <c r="K279" s="17" t="s">
        <v>233</v>
      </c>
      <c r="L279" s="17" t="s">
        <v>233</v>
      </c>
      <c r="M279" s="231">
        <v>1</v>
      </c>
      <c r="N279" s="232">
        <v>1</v>
      </c>
      <c r="O279" s="231">
        <v>1</v>
      </c>
      <c r="P279" s="231" t="s">
        <v>239</v>
      </c>
      <c r="Q279" s="231">
        <v>1</v>
      </c>
      <c r="R279" s="231" t="s">
        <v>239</v>
      </c>
      <c r="S279" s="231">
        <v>1</v>
      </c>
      <c r="T279" s="231" t="s">
        <v>239</v>
      </c>
      <c r="U279" s="231">
        <v>1</v>
      </c>
      <c r="V279" s="231" t="s">
        <v>239</v>
      </c>
      <c r="W279" s="231">
        <v>1</v>
      </c>
      <c r="X279" s="231" t="s">
        <v>239</v>
      </c>
      <c r="Y279" s="231">
        <v>1</v>
      </c>
      <c r="Z279" s="231" t="s">
        <v>239</v>
      </c>
      <c r="AA279" s="231">
        <v>1</v>
      </c>
      <c r="AB279" s="231" t="s">
        <v>239</v>
      </c>
      <c r="AC279" s="231">
        <v>1</v>
      </c>
      <c r="AD279" s="231" t="s">
        <v>239</v>
      </c>
      <c r="AE279" s="231">
        <v>1</v>
      </c>
      <c r="AF279" s="231" t="s">
        <v>239</v>
      </c>
      <c r="AG279" s="231">
        <v>1</v>
      </c>
      <c r="AH279" s="231" t="s">
        <v>239</v>
      </c>
      <c r="AI279" s="231">
        <v>1</v>
      </c>
      <c r="AJ279" s="231" t="s">
        <v>239</v>
      </c>
      <c r="AK279" s="231">
        <v>1</v>
      </c>
      <c r="AL279" s="232" t="s">
        <v>239</v>
      </c>
      <c r="AM279" s="232">
        <v>0</v>
      </c>
    </row>
    <row r="280" spans="1:39" ht="15" customHeight="1" outlineLevel="1">
      <c r="A280" s="412"/>
      <c r="B280" s="10">
        <v>129135</v>
      </c>
      <c r="C280" s="218" t="s">
        <v>1489</v>
      </c>
      <c r="D280" s="218" t="s">
        <v>1490</v>
      </c>
      <c r="E280" s="23" t="s">
        <v>44</v>
      </c>
      <c r="F280" s="17" t="s">
        <v>45</v>
      </c>
      <c r="G280" s="11" t="s">
        <v>1432</v>
      </c>
      <c r="H280" s="12">
        <v>30</v>
      </c>
      <c r="I280" s="11" t="s">
        <v>1433</v>
      </c>
      <c r="J280" s="192" t="s">
        <v>1462</v>
      </c>
      <c r="K280" s="17" t="s">
        <v>233</v>
      </c>
      <c r="L280" s="17" t="s">
        <v>233</v>
      </c>
      <c r="M280" s="231">
        <v>2965</v>
      </c>
      <c r="N280" s="232">
        <v>2929.0048999999999</v>
      </c>
      <c r="O280" s="132">
        <v>117</v>
      </c>
      <c r="P280" s="231" t="s">
        <v>239</v>
      </c>
      <c r="Q280" s="232">
        <v>115.55856</v>
      </c>
      <c r="R280" s="231" t="s">
        <v>239</v>
      </c>
      <c r="S280" s="232">
        <v>114.1348785408</v>
      </c>
      <c r="T280" s="231" t="s">
        <v>239</v>
      </c>
      <c r="U280" s="232">
        <v>112.72873683717735</v>
      </c>
      <c r="V280" s="230" t="s">
        <v>239</v>
      </c>
      <c r="W280" s="232">
        <v>111.33991879934332</v>
      </c>
      <c r="X280" s="231" t="s">
        <v>239</v>
      </c>
      <c r="Y280" s="232">
        <v>109.96821099973542</v>
      </c>
      <c r="Z280" s="231" t="s">
        <v>239</v>
      </c>
      <c r="AA280" s="232">
        <v>108.61340264021868</v>
      </c>
      <c r="AB280" s="231" t="s">
        <v>239</v>
      </c>
      <c r="AC280" s="232">
        <v>107.27528551969118</v>
      </c>
      <c r="AD280" s="231" t="s">
        <v>239</v>
      </c>
      <c r="AE280" s="232">
        <v>105.95365400208858</v>
      </c>
      <c r="AF280" s="231" t="s">
        <v>239</v>
      </c>
      <c r="AG280" s="232">
        <v>104.64830498478285</v>
      </c>
      <c r="AH280" s="231" t="s">
        <v>239</v>
      </c>
      <c r="AI280" s="232">
        <v>103.35903786737033</v>
      </c>
      <c r="AJ280" s="231" t="s">
        <v>239</v>
      </c>
      <c r="AK280" s="232">
        <v>102.08565452084433</v>
      </c>
      <c r="AL280" s="232" t="s">
        <v>239</v>
      </c>
      <c r="AM280" s="232">
        <v>1312.6656447120522</v>
      </c>
    </row>
    <row r="281" spans="1:39" ht="15" customHeight="1" outlineLevel="1">
      <c r="A281" s="411">
        <v>136</v>
      </c>
      <c r="B281" s="10">
        <v>129136</v>
      </c>
      <c r="C281" s="218" t="s">
        <v>1489</v>
      </c>
      <c r="D281" s="218" t="s">
        <v>1490</v>
      </c>
      <c r="E281" s="23" t="s">
        <v>44</v>
      </c>
      <c r="F281" s="17" t="s">
        <v>45</v>
      </c>
      <c r="G281" s="11" t="s">
        <v>1432</v>
      </c>
      <c r="H281" s="12">
        <v>33</v>
      </c>
      <c r="I281" s="11" t="s">
        <v>1433</v>
      </c>
      <c r="J281" s="192" t="s">
        <v>1457</v>
      </c>
      <c r="K281" s="17" t="s">
        <v>233</v>
      </c>
      <c r="L281" s="17" t="s">
        <v>233</v>
      </c>
      <c r="M281" s="231">
        <v>1</v>
      </c>
      <c r="N281" s="232">
        <v>1</v>
      </c>
      <c r="O281" s="231">
        <v>1</v>
      </c>
      <c r="P281" s="231" t="s">
        <v>239</v>
      </c>
      <c r="Q281" s="231">
        <v>1</v>
      </c>
      <c r="R281" s="231" t="s">
        <v>239</v>
      </c>
      <c r="S281" s="231">
        <v>1</v>
      </c>
      <c r="T281" s="231" t="s">
        <v>239</v>
      </c>
      <c r="U281" s="231">
        <v>1</v>
      </c>
      <c r="V281" s="231" t="s">
        <v>239</v>
      </c>
      <c r="W281" s="231">
        <v>1</v>
      </c>
      <c r="X281" s="231" t="s">
        <v>239</v>
      </c>
      <c r="Y281" s="231">
        <v>1</v>
      </c>
      <c r="Z281" s="231" t="s">
        <v>239</v>
      </c>
      <c r="AA281" s="231">
        <v>1</v>
      </c>
      <c r="AB281" s="231" t="s">
        <v>239</v>
      </c>
      <c r="AC281" s="231">
        <v>1</v>
      </c>
      <c r="AD281" s="231" t="s">
        <v>239</v>
      </c>
      <c r="AE281" s="231">
        <v>1</v>
      </c>
      <c r="AF281" s="231" t="s">
        <v>239</v>
      </c>
      <c r="AG281" s="231">
        <v>1</v>
      </c>
      <c r="AH281" s="231" t="s">
        <v>239</v>
      </c>
      <c r="AI281" s="231">
        <v>1</v>
      </c>
      <c r="AJ281" s="231" t="s">
        <v>239</v>
      </c>
      <c r="AK281" s="231">
        <v>1</v>
      </c>
      <c r="AL281" s="232" t="s">
        <v>239</v>
      </c>
      <c r="AM281" s="232">
        <v>0</v>
      </c>
    </row>
    <row r="282" spans="1:39" ht="15" customHeight="1" outlineLevel="1">
      <c r="A282" s="412"/>
      <c r="B282" s="10">
        <v>129136</v>
      </c>
      <c r="C282" s="218" t="s">
        <v>1489</v>
      </c>
      <c r="D282" s="218" t="s">
        <v>1490</v>
      </c>
      <c r="E282" s="23" t="s">
        <v>138</v>
      </c>
      <c r="F282" s="17" t="s">
        <v>45</v>
      </c>
      <c r="G282" s="11" t="s">
        <v>1432</v>
      </c>
      <c r="H282" s="12">
        <v>19</v>
      </c>
      <c r="I282" s="11" t="s">
        <v>1433</v>
      </c>
      <c r="J282" s="192" t="s">
        <v>617</v>
      </c>
      <c r="K282" s="17" t="s">
        <v>233</v>
      </c>
      <c r="L282" s="17" t="s">
        <v>233</v>
      </c>
      <c r="M282" s="231">
        <v>4885</v>
      </c>
      <c r="N282" s="232">
        <v>4825.6961000000001</v>
      </c>
      <c r="O282" s="132">
        <v>603</v>
      </c>
      <c r="P282" s="231" t="s">
        <v>239</v>
      </c>
      <c r="Q282" s="232">
        <v>595.57104000000004</v>
      </c>
      <c r="R282" s="231" t="s">
        <v>239</v>
      </c>
      <c r="S282" s="232">
        <v>588.23360478720008</v>
      </c>
      <c r="T282" s="231" t="s">
        <v>239</v>
      </c>
      <c r="U282" s="232">
        <v>580.98656677622182</v>
      </c>
      <c r="V282" s="231" t="s">
        <v>239</v>
      </c>
      <c r="W282" s="232">
        <v>573.8288122735388</v>
      </c>
      <c r="X282" s="231" t="s">
        <v>239</v>
      </c>
      <c r="Y282" s="232">
        <v>566.75924130632882</v>
      </c>
      <c r="Z282" s="231" t="s">
        <v>239</v>
      </c>
      <c r="AA282" s="232">
        <v>559.7767674534349</v>
      </c>
      <c r="AB282" s="231" t="s">
        <v>239</v>
      </c>
      <c r="AC282" s="232">
        <v>552.88031767840857</v>
      </c>
      <c r="AD282" s="231" t="s">
        <v>239</v>
      </c>
      <c r="AE282" s="232">
        <v>546.06883216461063</v>
      </c>
      <c r="AF282" s="231" t="s">
        <v>239</v>
      </c>
      <c r="AG282" s="232">
        <v>539.34126415234266</v>
      </c>
      <c r="AH282" s="231" t="s">
        <v>239</v>
      </c>
      <c r="AI282" s="232">
        <v>532.69657977798579</v>
      </c>
      <c r="AJ282" s="231" t="s">
        <v>239</v>
      </c>
      <c r="AK282" s="232">
        <v>526.13375791512101</v>
      </c>
      <c r="AL282" s="232" t="s">
        <v>239</v>
      </c>
      <c r="AM282" s="232">
        <v>6765.2767842851936</v>
      </c>
    </row>
    <row r="283" spans="1:39" ht="15" customHeight="1" outlineLevel="1">
      <c r="A283" s="411">
        <v>137</v>
      </c>
      <c r="B283" s="10">
        <v>129137</v>
      </c>
      <c r="C283" s="218" t="s">
        <v>1489</v>
      </c>
      <c r="D283" s="218" t="s">
        <v>1490</v>
      </c>
      <c r="E283" s="23" t="s">
        <v>44</v>
      </c>
      <c r="F283" s="17" t="s">
        <v>45</v>
      </c>
      <c r="G283" s="11" t="s">
        <v>1432</v>
      </c>
      <c r="H283" s="12">
        <v>6</v>
      </c>
      <c r="I283" s="11" t="s">
        <v>1433</v>
      </c>
      <c r="J283" s="374" t="s">
        <v>1457</v>
      </c>
      <c r="K283" s="17" t="s">
        <v>233</v>
      </c>
      <c r="L283" s="17" t="s">
        <v>233</v>
      </c>
      <c r="M283" s="231">
        <v>12</v>
      </c>
      <c r="N283" s="232">
        <v>12</v>
      </c>
      <c r="O283" s="231">
        <v>12</v>
      </c>
      <c r="P283" s="231" t="s">
        <v>239</v>
      </c>
      <c r="Q283" s="231">
        <v>12</v>
      </c>
      <c r="R283" s="231" t="s">
        <v>239</v>
      </c>
      <c r="S283" s="231">
        <v>12</v>
      </c>
      <c r="T283" s="231" t="s">
        <v>239</v>
      </c>
      <c r="U283" s="231">
        <v>12</v>
      </c>
      <c r="V283" s="230" t="s">
        <v>239</v>
      </c>
      <c r="W283" s="231">
        <v>12</v>
      </c>
      <c r="X283" s="231" t="s">
        <v>239</v>
      </c>
      <c r="Y283" s="231">
        <v>12</v>
      </c>
      <c r="Z283" s="231" t="s">
        <v>239</v>
      </c>
      <c r="AA283" s="231">
        <v>12</v>
      </c>
      <c r="AB283" s="231" t="s">
        <v>239</v>
      </c>
      <c r="AC283" s="231">
        <v>12</v>
      </c>
      <c r="AD283" s="231" t="s">
        <v>239</v>
      </c>
      <c r="AE283" s="231">
        <v>12</v>
      </c>
      <c r="AF283" s="231" t="s">
        <v>239</v>
      </c>
      <c r="AG283" s="231">
        <v>12</v>
      </c>
      <c r="AH283" s="231" t="s">
        <v>239</v>
      </c>
      <c r="AI283" s="231">
        <v>12</v>
      </c>
      <c r="AJ283" s="231" t="s">
        <v>239</v>
      </c>
      <c r="AK283" s="231">
        <v>12</v>
      </c>
      <c r="AL283" s="232" t="s">
        <v>239</v>
      </c>
      <c r="AM283" s="232">
        <v>0</v>
      </c>
    </row>
    <row r="284" spans="1:39" ht="15" customHeight="1" outlineLevel="1">
      <c r="A284" s="412"/>
      <c r="B284" s="10">
        <v>129137</v>
      </c>
      <c r="C284" s="218" t="s">
        <v>1489</v>
      </c>
      <c r="D284" s="218" t="s">
        <v>1490</v>
      </c>
      <c r="E284" s="23" t="s">
        <v>138</v>
      </c>
      <c r="F284" s="17" t="s">
        <v>45</v>
      </c>
      <c r="G284" s="11" t="s">
        <v>1432</v>
      </c>
      <c r="H284" s="12">
        <v>15</v>
      </c>
      <c r="I284" s="11" t="s">
        <v>1433</v>
      </c>
      <c r="J284" s="375"/>
      <c r="K284" s="17" t="s">
        <v>233</v>
      </c>
      <c r="L284" s="17" t="s">
        <v>233</v>
      </c>
      <c r="M284" s="231">
        <v>3808</v>
      </c>
      <c r="N284" s="232">
        <v>3761.77088</v>
      </c>
      <c r="O284" s="132">
        <v>90</v>
      </c>
      <c r="P284" s="231" t="s">
        <v>239</v>
      </c>
      <c r="Q284" s="232">
        <v>88.891199999999998</v>
      </c>
      <c r="R284" s="231" t="s">
        <v>239</v>
      </c>
      <c r="S284" s="232">
        <v>87.796060416000003</v>
      </c>
      <c r="T284" s="231" t="s">
        <v>239</v>
      </c>
      <c r="U284" s="232">
        <v>86.714412951674888</v>
      </c>
      <c r="V284" s="231" t="s">
        <v>239</v>
      </c>
      <c r="W284" s="232">
        <v>85.64609138411025</v>
      </c>
      <c r="X284" s="231" t="s">
        <v>239</v>
      </c>
      <c r="Y284" s="232">
        <v>84.590931538258005</v>
      </c>
      <c r="Z284" s="231" t="s">
        <v>239</v>
      </c>
      <c r="AA284" s="232">
        <v>83.548771261706662</v>
      </c>
      <c r="AB284" s="231" t="s">
        <v>239</v>
      </c>
      <c r="AC284" s="232">
        <v>82.519450399762434</v>
      </c>
      <c r="AD284" s="231" t="s">
        <v>239</v>
      </c>
      <c r="AE284" s="232">
        <v>81.502810770837357</v>
      </c>
      <c r="AF284" s="231" t="s">
        <v>239</v>
      </c>
      <c r="AG284" s="232">
        <v>80.498696142140645</v>
      </c>
      <c r="AH284" s="231" t="s">
        <v>239</v>
      </c>
      <c r="AI284" s="232">
        <v>79.506952205669478</v>
      </c>
      <c r="AJ284" s="231" t="s">
        <v>239</v>
      </c>
      <c r="AK284" s="232">
        <v>78.527426554495634</v>
      </c>
      <c r="AL284" s="232" t="s">
        <v>239</v>
      </c>
      <c r="AM284" s="232">
        <v>1009.7428036246553</v>
      </c>
    </row>
    <row r="285" spans="1:39" ht="15" customHeight="1" outlineLevel="1">
      <c r="A285" s="411">
        <v>138</v>
      </c>
      <c r="B285" s="10">
        <v>129138</v>
      </c>
      <c r="C285" s="218" t="s">
        <v>1489</v>
      </c>
      <c r="D285" s="218" t="s">
        <v>1490</v>
      </c>
      <c r="E285" s="23" t="s">
        <v>44</v>
      </c>
      <c r="F285" s="17" t="s">
        <v>45</v>
      </c>
      <c r="G285" s="11" t="s">
        <v>1432</v>
      </c>
      <c r="H285" s="12">
        <v>19</v>
      </c>
      <c r="I285" s="11" t="s">
        <v>1433</v>
      </c>
      <c r="J285" s="193" t="s">
        <v>1460</v>
      </c>
      <c r="K285" s="17" t="s">
        <v>233</v>
      </c>
      <c r="L285" s="17" t="s">
        <v>233</v>
      </c>
      <c r="M285" s="231">
        <v>2.1</v>
      </c>
      <c r="N285" s="233">
        <v>2.1</v>
      </c>
      <c r="O285" s="132">
        <v>2.1</v>
      </c>
      <c r="P285" s="231" t="s">
        <v>239</v>
      </c>
      <c r="Q285" s="233">
        <v>2.1</v>
      </c>
      <c r="R285" s="231" t="s">
        <v>239</v>
      </c>
      <c r="S285" s="231">
        <v>2.1</v>
      </c>
      <c r="T285" s="231" t="s">
        <v>239</v>
      </c>
      <c r="U285" s="132">
        <v>2.1</v>
      </c>
      <c r="V285" s="231" t="s">
        <v>239</v>
      </c>
      <c r="W285" s="233">
        <v>2.1</v>
      </c>
      <c r="X285" s="231" t="s">
        <v>239</v>
      </c>
      <c r="Y285" s="231">
        <v>2.1</v>
      </c>
      <c r="Z285" s="231" t="s">
        <v>239</v>
      </c>
      <c r="AA285" s="132">
        <v>2.1</v>
      </c>
      <c r="AB285" s="231" t="s">
        <v>239</v>
      </c>
      <c r="AC285" s="233">
        <v>2.1</v>
      </c>
      <c r="AD285" s="231" t="s">
        <v>239</v>
      </c>
      <c r="AE285" s="231">
        <v>2.1</v>
      </c>
      <c r="AF285" s="231" t="s">
        <v>239</v>
      </c>
      <c r="AG285" s="132">
        <v>2.1</v>
      </c>
      <c r="AH285" s="231" t="s">
        <v>239</v>
      </c>
      <c r="AI285" s="233">
        <v>2.1</v>
      </c>
      <c r="AJ285" s="231" t="s">
        <v>239</v>
      </c>
      <c r="AK285" s="231">
        <v>2.1</v>
      </c>
      <c r="AL285" s="232" t="s">
        <v>239</v>
      </c>
      <c r="AM285" s="232">
        <v>0</v>
      </c>
    </row>
    <row r="286" spans="1:39" ht="15" customHeight="1" outlineLevel="1">
      <c r="A286" s="412"/>
      <c r="B286" s="10">
        <v>129138</v>
      </c>
      <c r="C286" s="218" t="s">
        <v>1489</v>
      </c>
      <c r="D286" s="218" t="s">
        <v>1490</v>
      </c>
      <c r="E286" s="23" t="s">
        <v>44</v>
      </c>
      <c r="F286" s="17" t="s">
        <v>45</v>
      </c>
      <c r="G286" s="11" t="s">
        <v>1432</v>
      </c>
      <c r="H286" s="12">
        <v>22</v>
      </c>
      <c r="I286" s="11" t="s">
        <v>1433</v>
      </c>
      <c r="J286" s="193" t="s">
        <v>1442</v>
      </c>
      <c r="K286" s="17" t="s">
        <v>233</v>
      </c>
      <c r="L286" s="17" t="s">
        <v>233</v>
      </c>
      <c r="M286" s="231">
        <v>4263</v>
      </c>
      <c r="N286" s="232">
        <v>4211.2471799999994</v>
      </c>
      <c r="O286" s="132">
        <v>465</v>
      </c>
      <c r="P286" s="231" t="s">
        <v>239</v>
      </c>
      <c r="Q286" s="232">
        <v>459.27120000000002</v>
      </c>
      <c r="R286" s="231" t="s">
        <v>239</v>
      </c>
      <c r="S286" s="232">
        <v>453.61297881600001</v>
      </c>
      <c r="T286" s="231" t="s">
        <v>239</v>
      </c>
      <c r="U286" s="232">
        <v>448.02446691698691</v>
      </c>
      <c r="V286" s="230" t="s">
        <v>239</v>
      </c>
      <c r="W286" s="232">
        <v>442.50480548456966</v>
      </c>
      <c r="X286" s="231" t="s">
        <v>239</v>
      </c>
      <c r="Y286" s="232">
        <v>437.05314628099978</v>
      </c>
      <c r="Z286" s="231" t="s">
        <v>239</v>
      </c>
      <c r="AA286" s="232">
        <v>431.66865151881785</v>
      </c>
      <c r="AB286" s="231" t="s">
        <v>239</v>
      </c>
      <c r="AC286" s="232">
        <v>426.35049373210603</v>
      </c>
      <c r="AD286" s="231" t="s">
        <v>239</v>
      </c>
      <c r="AE286" s="232">
        <v>421.0978556493265</v>
      </c>
      <c r="AF286" s="231" t="s">
        <v>239</v>
      </c>
      <c r="AG286" s="232">
        <v>415.9099300677268</v>
      </c>
      <c r="AH286" s="231" t="s">
        <v>239</v>
      </c>
      <c r="AI286" s="232">
        <v>410.7859197292924</v>
      </c>
      <c r="AJ286" s="231" t="s">
        <v>239</v>
      </c>
      <c r="AK286" s="232">
        <v>405.72503719822754</v>
      </c>
      <c r="AL286" s="232" t="s">
        <v>239</v>
      </c>
      <c r="AM286" s="232">
        <v>5217.0044853940535</v>
      </c>
    </row>
    <row r="287" spans="1:39" ht="15" customHeight="1" outlineLevel="1">
      <c r="A287" s="411">
        <v>139</v>
      </c>
      <c r="B287" s="10">
        <v>129139</v>
      </c>
      <c r="C287" s="218" t="s">
        <v>1489</v>
      </c>
      <c r="D287" s="218" t="s">
        <v>1490</v>
      </c>
      <c r="E287" s="23" t="s">
        <v>138</v>
      </c>
      <c r="F287" s="17" t="s">
        <v>45</v>
      </c>
      <c r="G287" s="11" t="s">
        <v>1432</v>
      </c>
      <c r="H287" s="12">
        <v>24</v>
      </c>
      <c r="I287" s="11" t="s">
        <v>1433</v>
      </c>
      <c r="J287" s="193" t="s">
        <v>1460</v>
      </c>
      <c r="K287" s="17" t="s">
        <v>233</v>
      </c>
      <c r="L287" s="17" t="s">
        <v>233</v>
      </c>
      <c r="M287" s="231">
        <v>5.5</v>
      </c>
      <c r="N287" s="233">
        <v>5.5</v>
      </c>
      <c r="O287" s="132">
        <v>5.5</v>
      </c>
      <c r="P287" s="231" t="s">
        <v>239</v>
      </c>
      <c r="Q287" s="233">
        <v>5.5</v>
      </c>
      <c r="R287" s="231" t="s">
        <v>239</v>
      </c>
      <c r="S287" s="231">
        <v>5.5</v>
      </c>
      <c r="T287" s="231" t="s">
        <v>239</v>
      </c>
      <c r="U287" s="132">
        <v>5.5</v>
      </c>
      <c r="V287" s="231" t="s">
        <v>239</v>
      </c>
      <c r="W287" s="233">
        <v>5.5</v>
      </c>
      <c r="X287" s="231" t="s">
        <v>239</v>
      </c>
      <c r="Y287" s="231">
        <v>5.5</v>
      </c>
      <c r="Z287" s="231" t="s">
        <v>239</v>
      </c>
      <c r="AA287" s="132">
        <v>5.5</v>
      </c>
      <c r="AB287" s="231" t="s">
        <v>239</v>
      </c>
      <c r="AC287" s="233">
        <v>5.5</v>
      </c>
      <c r="AD287" s="231" t="s">
        <v>239</v>
      </c>
      <c r="AE287" s="231">
        <v>5.5</v>
      </c>
      <c r="AF287" s="231" t="s">
        <v>239</v>
      </c>
      <c r="AG287" s="132">
        <v>5.5</v>
      </c>
      <c r="AH287" s="231" t="s">
        <v>239</v>
      </c>
      <c r="AI287" s="233">
        <v>5.5</v>
      </c>
      <c r="AJ287" s="231" t="s">
        <v>239</v>
      </c>
      <c r="AK287" s="231">
        <v>5.5</v>
      </c>
      <c r="AL287" s="232" t="s">
        <v>239</v>
      </c>
      <c r="AM287" s="232">
        <v>0</v>
      </c>
    </row>
    <row r="288" spans="1:39" ht="15" customHeight="1" outlineLevel="1">
      <c r="A288" s="412"/>
      <c r="B288" s="10">
        <v>129139</v>
      </c>
      <c r="C288" s="218" t="s">
        <v>1489</v>
      </c>
      <c r="D288" s="218" t="s">
        <v>1490</v>
      </c>
      <c r="E288" s="23" t="s">
        <v>44</v>
      </c>
      <c r="F288" s="17" t="s">
        <v>45</v>
      </c>
      <c r="G288" s="11" t="s">
        <v>1432</v>
      </c>
      <c r="H288" s="12">
        <v>16</v>
      </c>
      <c r="I288" s="11" t="s">
        <v>1433</v>
      </c>
      <c r="J288" s="193" t="s">
        <v>1457</v>
      </c>
      <c r="K288" s="17" t="s">
        <v>233</v>
      </c>
      <c r="L288" s="17" t="s">
        <v>233</v>
      </c>
      <c r="M288" s="231">
        <v>8924</v>
      </c>
      <c r="N288" s="232">
        <v>8815.6626400000005</v>
      </c>
      <c r="O288" s="132">
        <v>229</v>
      </c>
      <c r="P288" s="231" t="s">
        <v>239</v>
      </c>
      <c r="Q288" s="232">
        <v>226.17872</v>
      </c>
      <c r="R288" s="231" t="s">
        <v>239</v>
      </c>
      <c r="S288" s="232">
        <v>223.39219816959999</v>
      </c>
      <c r="T288" s="231" t="s">
        <v>239</v>
      </c>
      <c r="U288" s="232">
        <v>220.64000628815052</v>
      </c>
      <c r="V288" s="231" t="s">
        <v>239</v>
      </c>
      <c r="W288" s="232">
        <v>217.9217214106805</v>
      </c>
      <c r="X288" s="231" t="s">
        <v>239</v>
      </c>
      <c r="Y288" s="232">
        <v>215.23692580290091</v>
      </c>
      <c r="Z288" s="231" t="s">
        <v>239</v>
      </c>
      <c r="AA288" s="232">
        <v>212.58520687700917</v>
      </c>
      <c r="AB288" s="231" t="s">
        <v>239</v>
      </c>
      <c r="AC288" s="232">
        <v>209.96615712828441</v>
      </c>
      <c r="AD288" s="231" t="s">
        <v>239</v>
      </c>
      <c r="AE288" s="232">
        <v>207.37937407246395</v>
      </c>
      <c r="AF288" s="231" t="s">
        <v>239</v>
      </c>
      <c r="AG288" s="232">
        <v>204.8244601838912</v>
      </c>
      <c r="AH288" s="231" t="s">
        <v>239</v>
      </c>
      <c r="AI288" s="232">
        <v>202.30102283442565</v>
      </c>
      <c r="AJ288" s="231" t="s">
        <v>239</v>
      </c>
      <c r="AK288" s="232">
        <v>199.80867423310553</v>
      </c>
      <c r="AL288" s="232" t="s">
        <v>239</v>
      </c>
      <c r="AM288" s="232">
        <v>2569.2344670005118</v>
      </c>
    </row>
    <row r="289" spans="1:39" ht="15" customHeight="1" outlineLevel="1">
      <c r="A289" s="411">
        <v>140</v>
      </c>
      <c r="B289" s="10">
        <v>129140</v>
      </c>
      <c r="C289" s="218" t="s">
        <v>1489</v>
      </c>
      <c r="D289" s="218" t="s">
        <v>1490</v>
      </c>
      <c r="E289" s="23" t="s">
        <v>138</v>
      </c>
      <c r="F289" s="17" t="s">
        <v>45</v>
      </c>
      <c r="G289" s="11" t="s">
        <v>1432</v>
      </c>
      <c r="H289" s="12">
        <v>5</v>
      </c>
      <c r="I289" s="11" t="s">
        <v>1433</v>
      </c>
      <c r="J289" s="193" t="s">
        <v>617</v>
      </c>
      <c r="K289" s="17" t="s">
        <v>233</v>
      </c>
      <c r="L289" s="17" t="s">
        <v>233</v>
      </c>
      <c r="M289" s="231">
        <v>2</v>
      </c>
      <c r="N289" s="232">
        <v>2</v>
      </c>
      <c r="O289" s="231">
        <v>2</v>
      </c>
      <c r="P289" s="231" t="s">
        <v>239</v>
      </c>
      <c r="Q289" s="231">
        <v>2</v>
      </c>
      <c r="R289" s="231" t="s">
        <v>239</v>
      </c>
      <c r="S289" s="231">
        <v>2</v>
      </c>
      <c r="T289" s="231" t="s">
        <v>239</v>
      </c>
      <c r="U289" s="231">
        <v>2</v>
      </c>
      <c r="V289" s="230" t="s">
        <v>239</v>
      </c>
      <c r="W289" s="231">
        <v>2</v>
      </c>
      <c r="X289" s="231" t="s">
        <v>239</v>
      </c>
      <c r="Y289" s="231">
        <v>2</v>
      </c>
      <c r="Z289" s="231" t="s">
        <v>239</v>
      </c>
      <c r="AA289" s="231">
        <v>2</v>
      </c>
      <c r="AB289" s="231" t="s">
        <v>239</v>
      </c>
      <c r="AC289" s="231">
        <v>2</v>
      </c>
      <c r="AD289" s="231" t="s">
        <v>239</v>
      </c>
      <c r="AE289" s="231">
        <v>2</v>
      </c>
      <c r="AF289" s="231" t="s">
        <v>239</v>
      </c>
      <c r="AG289" s="231">
        <v>2</v>
      </c>
      <c r="AH289" s="231" t="s">
        <v>239</v>
      </c>
      <c r="AI289" s="231">
        <v>2</v>
      </c>
      <c r="AJ289" s="231" t="s">
        <v>239</v>
      </c>
      <c r="AK289" s="231">
        <v>2</v>
      </c>
      <c r="AL289" s="232" t="s">
        <v>239</v>
      </c>
      <c r="AM289" s="232">
        <v>0</v>
      </c>
    </row>
    <row r="290" spans="1:39" ht="15" customHeight="1" outlineLevel="1">
      <c r="A290" s="412"/>
      <c r="B290" s="10">
        <v>129140</v>
      </c>
      <c r="C290" s="218" t="s">
        <v>1489</v>
      </c>
      <c r="D290" s="218" t="s">
        <v>1490</v>
      </c>
      <c r="E290" s="23" t="s">
        <v>44</v>
      </c>
      <c r="F290" s="17" t="s">
        <v>45</v>
      </c>
      <c r="G290" s="11" t="s">
        <v>1432</v>
      </c>
      <c r="H290" s="12">
        <v>17</v>
      </c>
      <c r="I290" s="11" t="s">
        <v>1433</v>
      </c>
      <c r="J290" s="193" t="s">
        <v>216</v>
      </c>
      <c r="K290" s="17" t="s">
        <v>233</v>
      </c>
      <c r="L290" s="17" t="s">
        <v>233</v>
      </c>
      <c r="M290" s="231">
        <v>7174</v>
      </c>
      <c r="N290" s="232">
        <v>7086.9076399999994</v>
      </c>
      <c r="O290" s="132">
        <v>1507</v>
      </c>
      <c r="P290" s="231" t="s">
        <v>239</v>
      </c>
      <c r="Q290" s="232">
        <v>1488.4337599999999</v>
      </c>
      <c r="R290" s="231" t="s">
        <v>239</v>
      </c>
      <c r="S290" s="232">
        <v>1470.0962560767998</v>
      </c>
      <c r="T290" s="231" t="s">
        <v>239</v>
      </c>
      <c r="U290" s="232">
        <v>1451.9846702019336</v>
      </c>
      <c r="V290" s="231" t="s">
        <v>239</v>
      </c>
      <c r="W290" s="232">
        <v>1434.0962190650457</v>
      </c>
      <c r="X290" s="231" t="s">
        <v>239</v>
      </c>
      <c r="Y290" s="232">
        <v>1416.4281536461644</v>
      </c>
      <c r="Z290" s="231" t="s">
        <v>239</v>
      </c>
      <c r="AA290" s="232">
        <v>1398.9777587932438</v>
      </c>
      <c r="AB290" s="231" t="s">
        <v>239</v>
      </c>
      <c r="AC290" s="232">
        <v>1381.742352804911</v>
      </c>
      <c r="AD290" s="231" t="s">
        <v>239</v>
      </c>
      <c r="AE290" s="232">
        <v>1364.7192870183544</v>
      </c>
      <c r="AF290" s="231" t="s">
        <v>239</v>
      </c>
      <c r="AG290" s="232">
        <v>1347.9059454022884</v>
      </c>
      <c r="AH290" s="231" t="s">
        <v>239</v>
      </c>
      <c r="AI290" s="232">
        <v>1331.2997441549321</v>
      </c>
      <c r="AJ290" s="231" t="s">
        <v>239</v>
      </c>
      <c r="AK290" s="232">
        <v>1314.8981313069432</v>
      </c>
      <c r="AL290" s="232" t="s">
        <v>239</v>
      </c>
      <c r="AM290" s="232">
        <v>16907.582278470614</v>
      </c>
    </row>
    <row r="291" spans="1:39" ht="15" customHeight="1" outlineLevel="1">
      <c r="A291" s="411">
        <v>141</v>
      </c>
      <c r="B291" s="10">
        <v>129141</v>
      </c>
      <c r="C291" s="218" t="s">
        <v>1489</v>
      </c>
      <c r="D291" s="218" t="s">
        <v>1490</v>
      </c>
      <c r="E291" s="23" t="s">
        <v>44</v>
      </c>
      <c r="F291" s="17" t="s">
        <v>45</v>
      </c>
      <c r="G291" s="11" t="s">
        <v>1432</v>
      </c>
      <c r="H291" s="12">
        <v>21</v>
      </c>
      <c r="I291" s="11" t="s">
        <v>1433</v>
      </c>
      <c r="J291" s="191" t="s">
        <v>216</v>
      </c>
      <c r="K291" s="17" t="s">
        <v>233</v>
      </c>
      <c r="L291" s="17" t="s">
        <v>233</v>
      </c>
      <c r="M291" s="231">
        <v>7</v>
      </c>
      <c r="N291" s="232">
        <v>7</v>
      </c>
      <c r="O291" s="231">
        <v>7</v>
      </c>
      <c r="P291" s="231" t="s">
        <v>239</v>
      </c>
      <c r="Q291" s="231">
        <v>7</v>
      </c>
      <c r="R291" s="231" t="s">
        <v>239</v>
      </c>
      <c r="S291" s="231">
        <v>7</v>
      </c>
      <c r="T291" s="231" t="s">
        <v>239</v>
      </c>
      <c r="U291" s="231">
        <v>7</v>
      </c>
      <c r="V291" s="231" t="s">
        <v>239</v>
      </c>
      <c r="W291" s="231">
        <v>7</v>
      </c>
      <c r="X291" s="231" t="s">
        <v>239</v>
      </c>
      <c r="Y291" s="231">
        <v>7</v>
      </c>
      <c r="Z291" s="231" t="s">
        <v>239</v>
      </c>
      <c r="AA291" s="231">
        <v>7</v>
      </c>
      <c r="AB291" s="231" t="s">
        <v>239</v>
      </c>
      <c r="AC291" s="231">
        <v>7</v>
      </c>
      <c r="AD291" s="231" t="s">
        <v>239</v>
      </c>
      <c r="AE291" s="231">
        <v>7</v>
      </c>
      <c r="AF291" s="231" t="s">
        <v>239</v>
      </c>
      <c r="AG291" s="231">
        <v>7</v>
      </c>
      <c r="AH291" s="231" t="s">
        <v>239</v>
      </c>
      <c r="AI291" s="231">
        <v>7</v>
      </c>
      <c r="AJ291" s="231" t="s">
        <v>239</v>
      </c>
      <c r="AK291" s="231">
        <v>7</v>
      </c>
      <c r="AL291" s="232" t="s">
        <v>239</v>
      </c>
      <c r="AM291" s="232">
        <v>0</v>
      </c>
    </row>
    <row r="292" spans="1:39" ht="15" customHeight="1" outlineLevel="1">
      <c r="A292" s="412"/>
      <c r="B292" s="10">
        <v>129141</v>
      </c>
      <c r="C292" s="218" t="s">
        <v>1489</v>
      </c>
      <c r="D292" s="218" t="s">
        <v>1490</v>
      </c>
      <c r="E292" s="23" t="s">
        <v>138</v>
      </c>
      <c r="F292" s="17" t="s">
        <v>45</v>
      </c>
      <c r="G292" s="11" t="s">
        <v>1432</v>
      </c>
      <c r="H292" s="12">
        <v>19</v>
      </c>
      <c r="I292" s="11" t="s">
        <v>1433</v>
      </c>
      <c r="J292" s="192" t="s">
        <v>1434</v>
      </c>
      <c r="K292" s="17" t="s">
        <v>233</v>
      </c>
      <c r="L292" s="17" t="s">
        <v>233</v>
      </c>
      <c r="M292" s="231">
        <v>27130</v>
      </c>
      <c r="N292" s="232">
        <v>26800.641799999998</v>
      </c>
      <c r="O292" s="132">
        <v>879</v>
      </c>
      <c r="P292" s="231" t="s">
        <v>239</v>
      </c>
      <c r="Q292" s="232">
        <v>868.17071999999996</v>
      </c>
      <c r="R292" s="231" t="s">
        <v>239</v>
      </c>
      <c r="S292" s="232">
        <v>857.47485672959999</v>
      </c>
      <c r="T292" s="231" t="s">
        <v>239</v>
      </c>
      <c r="U292" s="232">
        <v>846.9107664946913</v>
      </c>
      <c r="V292" s="230" t="s">
        <v>239</v>
      </c>
      <c r="W292" s="232">
        <v>836.47682585147675</v>
      </c>
      <c r="X292" s="231" t="s">
        <v>239</v>
      </c>
      <c r="Y292" s="232">
        <v>826.17143135698655</v>
      </c>
      <c r="Z292" s="231" t="s">
        <v>239</v>
      </c>
      <c r="AA292" s="232">
        <v>815.99299932266842</v>
      </c>
      <c r="AB292" s="231" t="s">
        <v>239</v>
      </c>
      <c r="AC292" s="232">
        <v>805.9399655710132</v>
      </c>
      <c r="AD292" s="231" t="s">
        <v>239</v>
      </c>
      <c r="AE292" s="232">
        <v>796.0107851951783</v>
      </c>
      <c r="AF292" s="231" t="s">
        <v>239</v>
      </c>
      <c r="AG292" s="232">
        <v>786.20393232157369</v>
      </c>
      <c r="AH292" s="231" t="s">
        <v>239</v>
      </c>
      <c r="AI292" s="232">
        <v>776.51789987537188</v>
      </c>
      <c r="AJ292" s="231" t="s">
        <v>239</v>
      </c>
      <c r="AK292" s="232">
        <v>766.95119934890727</v>
      </c>
      <c r="AL292" s="232" t="s">
        <v>239</v>
      </c>
      <c r="AM292" s="232">
        <v>9861.8213820674682</v>
      </c>
    </row>
    <row r="293" spans="1:39" ht="15" customHeight="1" outlineLevel="1">
      <c r="A293" s="411">
        <v>142</v>
      </c>
      <c r="B293" s="10">
        <v>129142</v>
      </c>
      <c r="C293" s="218" t="s">
        <v>1489</v>
      </c>
      <c r="D293" s="218" t="s">
        <v>1490</v>
      </c>
      <c r="E293" s="23" t="s">
        <v>44</v>
      </c>
      <c r="F293" s="17" t="s">
        <v>45</v>
      </c>
      <c r="G293" s="11" t="s">
        <v>1432</v>
      </c>
      <c r="H293" s="12">
        <v>30</v>
      </c>
      <c r="I293" s="11" t="s">
        <v>1433</v>
      </c>
      <c r="J293" s="192" t="s">
        <v>1480</v>
      </c>
      <c r="K293" s="17" t="s">
        <v>233</v>
      </c>
      <c r="L293" s="17" t="s">
        <v>233</v>
      </c>
      <c r="M293" s="231">
        <v>0.7</v>
      </c>
      <c r="N293" s="233">
        <v>0.7</v>
      </c>
      <c r="O293" s="132">
        <v>0.7</v>
      </c>
      <c r="P293" s="231" t="s">
        <v>239</v>
      </c>
      <c r="Q293" s="233">
        <v>0.7</v>
      </c>
      <c r="R293" s="231" t="s">
        <v>239</v>
      </c>
      <c r="S293" s="231">
        <v>0.7</v>
      </c>
      <c r="T293" s="231" t="s">
        <v>239</v>
      </c>
      <c r="U293" s="132">
        <v>0.7</v>
      </c>
      <c r="V293" s="231" t="s">
        <v>239</v>
      </c>
      <c r="W293" s="233">
        <v>0.7</v>
      </c>
      <c r="X293" s="231" t="s">
        <v>239</v>
      </c>
      <c r="Y293" s="231">
        <v>0.7</v>
      </c>
      <c r="Z293" s="231" t="s">
        <v>239</v>
      </c>
      <c r="AA293" s="132">
        <v>0.7</v>
      </c>
      <c r="AB293" s="231" t="s">
        <v>239</v>
      </c>
      <c r="AC293" s="233">
        <v>0.7</v>
      </c>
      <c r="AD293" s="231" t="s">
        <v>239</v>
      </c>
      <c r="AE293" s="231">
        <v>0.7</v>
      </c>
      <c r="AF293" s="231" t="s">
        <v>239</v>
      </c>
      <c r="AG293" s="132">
        <v>0.7</v>
      </c>
      <c r="AH293" s="231" t="s">
        <v>239</v>
      </c>
      <c r="AI293" s="233">
        <v>0.7</v>
      </c>
      <c r="AJ293" s="231" t="s">
        <v>239</v>
      </c>
      <c r="AK293" s="231">
        <v>0.7</v>
      </c>
      <c r="AL293" s="232" t="s">
        <v>239</v>
      </c>
      <c r="AM293" s="232">
        <v>0</v>
      </c>
    </row>
    <row r="294" spans="1:39" ht="15" customHeight="1" outlineLevel="1">
      <c r="A294" s="412"/>
      <c r="B294" s="10">
        <v>129142</v>
      </c>
      <c r="C294" s="218" t="s">
        <v>1489</v>
      </c>
      <c r="D294" s="218" t="s">
        <v>1490</v>
      </c>
      <c r="E294" s="23" t="s">
        <v>138</v>
      </c>
      <c r="F294" s="17" t="s">
        <v>45</v>
      </c>
      <c r="G294" s="11" t="s">
        <v>1432</v>
      </c>
      <c r="H294" s="12">
        <v>33</v>
      </c>
      <c r="I294" s="11" t="s">
        <v>1433</v>
      </c>
      <c r="J294" s="192" t="s">
        <v>1452</v>
      </c>
      <c r="K294" s="17" t="s">
        <v>233</v>
      </c>
      <c r="L294" s="17" t="s">
        <v>233</v>
      </c>
      <c r="M294" s="231">
        <v>10869</v>
      </c>
      <c r="N294" s="232">
        <v>10737.05034</v>
      </c>
      <c r="O294" s="132">
        <v>776</v>
      </c>
      <c r="P294" s="231" t="s">
        <v>239</v>
      </c>
      <c r="Q294" s="232">
        <v>766.43967999999995</v>
      </c>
      <c r="R294" s="231" t="s">
        <v>239</v>
      </c>
      <c r="S294" s="232">
        <v>756.99714314239998</v>
      </c>
      <c r="T294" s="231" t="s">
        <v>239</v>
      </c>
      <c r="U294" s="232">
        <v>747.67093833888566</v>
      </c>
      <c r="V294" s="231" t="s">
        <v>239</v>
      </c>
      <c r="W294" s="232">
        <v>738.45963237855062</v>
      </c>
      <c r="X294" s="231" t="s">
        <v>239</v>
      </c>
      <c r="Y294" s="232">
        <v>729.3618097076469</v>
      </c>
      <c r="Z294" s="231" t="s">
        <v>239</v>
      </c>
      <c r="AA294" s="232">
        <v>720.37607221204871</v>
      </c>
      <c r="AB294" s="231" t="s">
        <v>239</v>
      </c>
      <c r="AC294" s="232">
        <v>711.50103900239628</v>
      </c>
      <c r="AD294" s="231" t="s">
        <v>239</v>
      </c>
      <c r="AE294" s="232">
        <v>702.73534620188673</v>
      </c>
      <c r="AF294" s="231" t="s">
        <v>239</v>
      </c>
      <c r="AG294" s="232">
        <v>694.07764673667953</v>
      </c>
      <c r="AH294" s="231" t="s">
        <v>239</v>
      </c>
      <c r="AI294" s="232">
        <v>685.52661012888359</v>
      </c>
      <c r="AJ294" s="231" t="s">
        <v>239</v>
      </c>
      <c r="AK294" s="232">
        <v>677.08092229209569</v>
      </c>
      <c r="AL294" s="232" t="s">
        <v>239</v>
      </c>
      <c r="AM294" s="232">
        <v>8706.2268401414731</v>
      </c>
    </row>
    <row r="295" spans="1:39" ht="15" customHeight="1" outlineLevel="1">
      <c r="A295" s="411">
        <v>143</v>
      </c>
      <c r="B295" s="10">
        <v>129143</v>
      </c>
      <c r="C295" s="218" t="s">
        <v>1489</v>
      </c>
      <c r="D295" s="218" t="s">
        <v>1490</v>
      </c>
      <c r="E295" s="23" t="s">
        <v>44</v>
      </c>
      <c r="F295" s="17" t="s">
        <v>45</v>
      </c>
      <c r="G295" s="11" t="s">
        <v>1432</v>
      </c>
      <c r="H295" s="12">
        <v>19</v>
      </c>
      <c r="I295" s="11" t="s">
        <v>1433</v>
      </c>
      <c r="J295" s="374" t="s">
        <v>207</v>
      </c>
      <c r="K295" s="17" t="s">
        <v>233</v>
      </c>
      <c r="L295" s="17" t="s">
        <v>233</v>
      </c>
      <c r="M295" s="231">
        <v>27</v>
      </c>
      <c r="N295" s="232">
        <v>27</v>
      </c>
      <c r="O295" s="231">
        <v>27</v>
      </c>
      <c r="P295" s="231" t="s">
        <v>239</v>
      </c>
      <c r="Q295" s="231">
        <v>27</v>
      </c>
      <c r="R295" s="231" t="s">
        <v>239</v>
      </c>
      <c r="S295" s="231">
        <v>27</v>
      </c>
      <c r="T295" s="231" t="s">
        <v>239</v>
      </c>
      <c r="U295" s="231">
        <v>27</v>
      </c>
      <c r="V295" s="230" t="s">
        <v>239</v>
      </c>
      <c r="W295" s="231">
        <v>27</v>
      </c>
      <c r="X295" s="231" t="s">
        <v>239</v>
      </c>
      <c r="Y295" s="231">
        <v>27</v>
      </c>
      <c r="Z295" s="231" t="s">
        <v>239</v>
      </c>
      <c r="AA295" s="231">
        <v>27</v>
      </c>
      <c r="AB295" s="231" t="s">
        <v>239</v>
      </c>
      <c r="AC295" s="231">
        <v>27</v>
      </c>
      <c r="AD295" s="231" t="s">
        <v>239</v>
      </c>
      <c r="AE295" s="231">
        <v>27</v>
      </c>
      <c r="AF295" s="231" t="s">
        <v>239</v>
      </c>
      <c r="AG295" s="231">
        <v>27</v>
      </c>
      <c r="AH295" s="231" t="s">
        <v>239</v>
      </c>
      <c r="AI295" s="231">
        <v>27</v>
      </c>
      <c r="AJ295" s="231" t="s">
        <v>239</v>
      </c>
      <c r="AK295" s="231">
        <v>27</v>
      </c>
      <c r="AL295" s="232" t="s">
        <v>239</v>
      </c>
      <c r="AM295" s="232">
        <v>0</v>
      </c>
    </row>
    <row r="296" spans="1:39" ht="15" customHeight="1" outlineLevel="1">
      <c r="A296" s="412"/>
      <c r="B296" s="10">
        <v>129143</v>
      </c>
      <c r="C296" s="218" t="s">
        <v>1489</v>
      </c>
      <c r="D296" s="218" t="s">
        <v>1490</v>
      </c>
      <c r="E296" s="23" t="s">
        <v>44</v>
      </c>
      <c r="F296" s="17" t="s">
        <v>45</v>
      </c>
      <c r="G296" s="11" t="s">
        <v>1432</v>
      </c>
      <c r="H296" s="12">
        <v>6</v>
      </c>
      <c r="I296" s="11" t="s">
        <v>1433</v>
      </c>
      <c r="J296" s="375"/>
      <c r="K296" s="17" t="s">
        <v>233</v>
      </c>
      <c r="L296" s="17" t="s">
        <v>233</v>
      </c>
      <c r="M296" s="231">
        <v>8224</v>
      </c>
      <c r="N296" s="232">
        <v>8124.1606400000001</v>
      </c>
      <c r="O296" s="132">
        <v>319</v>
      </c>
      <c r="P296" s="231" t="s">
        <v>239</v>
      </c>
      <c r="Q296" s="232">
        <v>315.06992000000002</v>
      </c>
      <c r="R296" s="231" t="s">
        <v>239</v>
      </c>
      <c r="S296" s="232">
        <v>311.18825858560001</v>
      </c>
      <c r="T296" s="231" t="s">
        <v>239</v>
      </c>
      <c r="U296" s="232">
        <v>307.3544192398254</v>
      </c>
      <c r="V296" s="231" t="s">
        <v>239</v>
      </c>
      <c r="W296" s="232">
        <v>303.56781279479077</v>
      </c>
      <c r="X296" s="231" t="s">
        <v>239</v>
      </c>
      <c r="Y296" s="232">
        <v>299.82785734115896</v>
      </c>
      <c r="Z296" s="231" t="s">
        <v>239</v>
      </c>
      <c r="AA296" s="232">
        <v>296.13397813871586</v>
      </c>
      <c r="AB296" s="231" t="s">
        <v>239</v>
      </c>
      <c r="AC296" s="232">
        <v>292.4856075280469</v>
      </c>
      <c r="AD296" s="231" t="s">
        <v>239</v>
      </c>
      <c r="AE296" s="232">
        <v>288.88218484330139</v>
      </c>
      <c r="AF296" s="231" t="s">
        <v>239</v>
      </c>
      <c r="AG296" s="232">
        <v>285.32315632603189</v>
      </c>
      <c r="AH296" s="231" t="s">
        <v>239</v>
      </c>
      <c r="AI296" s="232">
        <v>281.80797504009519</v>
      </c>
      <c r="AJ296" s="231" t="s">
        <v>239</v>
      </c>
      <c r="AK296" s="232">
        <v>278.3361007876012</v>
      </c>
      <c r="AL296" s="232" t="s">
        <v>239</v>
      </c>
      <c r="AM296" s="232">
        <v>3578.9772706251674</v>
      </c>
    </row>
    <row r="297" spans="1:39" ht="15" customHeight="1" outlineLevel="1">
      <c r="A297" s="411">
        <v>144</v>
      </c>
      <c r="B297" s="10">
        <v>129144</v>
      </c>
      <c r="C297" s="218" t="s">
        <v>1489</v>
      </c>
      <c r="D297" s="218" t="s">
        <v>1490</v>
      </c>
      <c r="E297" s="23" t="s">
        <v>138</v>
      </c>
      <c r="F297" s="17" t="s">
        <v>45</v>
      </c>
      <c r="G297" s="11" t="s">
        <v>1432</v>
      </c>
      <c r="H297" s="12">
        <v>15</v>
      </c>
      <c r="I297" s="11" t="s">
        <v>1433</v>
      </c>
      <c r="J297" s="193" t="s">
        <v>1460</v>
      </c>
      <c r="K297" s="17" t="s">
        <v>233</v>
      </c>
      <c r="L297" s="17" t="s">
        <v>233</v>
      </c>
      <c r="M297" s="231">
        <v>1</v>
      </c>
      <c r="N297" s="232">
        <v>1</v>
      </c>
      <c r="O297" s="231">
        <v>1</v>
      </c>
      <c r="P297" s="231" t="s">
        <v>239</v>
      </c>
      <c r="Q297" s="231">
        <v>1</v>
      </c>
      <c r="R297" s="231" t="s">
        <v>239</v>
      </c>
      <c r="S297" s="231">
        <v>1</v>
      </c>
      <c r="T297" s="231" t="s">
        <v>239</v>
      </c>
      <c r="U297" s="231">
        <v>1</v>
      </c>
      <c r="V297" s="231" t="s">
        <v>239</v>
      </c>
      <c r="W297" s="231">
        <v>1</v>
      </c>
      <c r="X297" s="231" t="s">
        <v>239</v>
      </c>
      <c r="Y297" s="231">
        <v>1</v>
      </c>
      <c r="Z297" s="231" t="s">
        <v>239</v>
      </c>
      <c r="AA297" s="231">
        <v>1</v>
      </c>
      <c r="AB297" s="231" t="s">
        <v>239</v>
      </c>
      <c r="AC297" s="231">
        <v>1</v>
      </c>
      <c r="AD297" s="231" t="s">
        <v>239</v>
      </c>
      <c r="AE297" s="231">
        <v>1</v>
      </c>
      <c r="AF297" s="231" t="s">
        <v>239</v>
      </c>
      <c r="AG297" s="231">
        <v>1</v>
      </c>
      <c r="AH297" s="231" t="s">
        <v>239</v>
      </c>
      <c r="AI297" s="231">
        <v>1</v>
      </c>
      <c r="AJ297" s="231" t="s">
        <v>239</v>
      </c>
      <c r="AK297" s="231">
        <v>1</v>
      </c>
      <c r="AL297" s="232" t="s">
        <v>239</v>
      </c>
      <c r="AM297" s="232">
        <v>0</v>
      </c>
    </row>
    <row r="298" spans="1:39" ht="15" customHeight="1" outlineLevel="1">
      <c r="A298" s="412"/>
      <c r="B298" s="10">
        <v>129144</v>
      </c>
      <c r="C298" s="218" t="s">
        <v>1489</v>
      </c>
      <c r="D298" s="218" t="s">
        <v>1490</v>
      </c>
      <c r="E298" s="23" t="s">
        <v>44</v>
      </c>
      <c r="F298" s="17" t="s">
        <v>45</v>
      </c>
      <c r="G298" s="11" t="s">
        <v>1432</v>
      </c>
      <c r="H298" s="12">
        <v>19</v>
      </c>
      <c r="I298" s="11" t="s">
        <v>1433</v>
      </c>
      <c r="J298" s="193" t="s">
        <v>1442</v>
      </c>
      <c r="K298" s="17" t="s">
        <v>233</v>
      </c>
      <c r="L298" s="17" t="s">
        <v>233</v>
      </c>
      <c r="M298" s="231">
        <v>878</v>
      </c>
      <c r="N298" s="232">
        <v>867.34107999999992</v>
      </c>
      <c r="O298" s="132">
        <v>52</v>
      </c>
      <c r="P298" s="231" t="s">
        <v>239</v>
      </c>
      <c r="Q298" s="232">
        <v>51.359360000000002</v>
      </c>
      <c r="R298" s="231" t="s">
        <v>239</v>
      </c>
      <c r="S298" s="232">
        <v>50.726612684800003</v>
      </c>
      <c r="T298" s="231" t="s">
        <v>239</v>
      </c>
      <c r="U298" s="232">
        <v>50.101660816523264</v>
      </c>
      <c r="V298" s="230" t="s">
        <v>239</v>
      </c>
      <c r="W298" s="232">
        <v>49.484408355263696</v>
      </c>
      <c r="X298" s="231" t="s">
        <v>239</v>
      </c>
      <c r="Y298" s="232">
        <v>48.874760444326846</v>
      </c>
      <c r="Z298" s="231" t="s">
        <v>239</v>
      </c>
      <c r="AA298" s="232">
        <v>48.272623395652737</v>
      </c>
      <c r="AB298" s="231" t="s">
        <v>239</v>
      </c>
      <c r="AC298" s="232">
        <v>47.677904675418297</v>
      </c>
      <c r="AD298" s="231" t="s">
        <v>239</v>
      </c>
      <c r="AE298" s="232">
        <v>47.090512889817141</v>
      </c>
      <c r="AF298" s="231" t="s">
        <v>239</v>
      </c>
      <c r="AG298" s="232">
        <v>46.510357771014597</v>
      </c>
      <c r="AH298" s="231" t="s">
        <v>239</v>
      </c>
      <c r="AI298" s="232">
        <v>45.937350163275696</v>
      </c>
      <c r="AJ298" s="231" t="s">
        <v>239</v>
      </c>
      <c r="AK298" s="232">
        <v>45.371402009264138</v>
      </c>
      <c r="AL298" s="232" t="s">
        <v>239</v>
      </c>
      <c r="AM298" s="232">
        <v>583.40695320535633</v>
      </c>
    </row>
    <row r="299" spans="1:39" ht="15" customHeight="1" outlineLevel="1">
      <c r="A299" s="411">
        <v>145</v>
      </c>
      <c r="B299" s="10">
        <v>129145</v>
      </c>
      <c r="C299" s="218" t="s">
        <v>1489</v>
      </c>
      <c r="D299" s="218" t="s">
        <v>1490</v>
      </c>
      <c r="E299" s="23" t="s">
        <v>138</v>
      </c>
      <c r="F299" s="17" t="s">
        <v>45</v>
      </c>
      <c r="G299" s="11" t="s">
        <v>1432</v>
      </c>
      <c r="H299" s="12">
        <v>22</v>
      </c>
      <c r="I299" s="11" t="s">
        <v>1433</v>
      </c>
      <c r="J299" s="193" t="s">
        <v>1460</v>
      </c>
      <c r="K299" s="17" t="s">
        <v>233</v>
      </c>
      <c r="L299" s="17" t="s">
        <v>233</v>
      </c>
      <c r="M299" s="231">
        <v>15</v>
      </c>
      <c r="N299" s="232">
        <v>15</v>
      </c>
      <c r="O299" s="231">
        <v>15</v>
      </c>
      <c r="P299" s="231" t="s">
        <v>239</v>
      </c>
      <c r="Q299" s="231">
        <v>15</v>
      </c>
      <c r="R299" s="231" t="s">
        <v>239</v>
      </c>
      <c r="S299" s="231">
        <v>15</v>
      </c>
      <c r="T299" s="231" t="s">
        <v>239</v>
      </c>
      <c r="U299" s="231">
        <v>15</v>
      </c>
      <c r="V299" s="231" t="s">
        <v>239</v>
      </c>
      <c r="W299" s="231">
        <v>15</v>
      </c>
      <c r="X299" s="231" t="s">
        <v>239</v>
      </c>
      <c r="Y299" s="231">
        <v>15</v>
      </c>
      <c r="Z299" s="231" t="s">
        <v>239</v>
      </c>
      <c r="AA299" s="231">
        <v>15</v>
      </c>
      <c r="AB299" s="231" t="s">
        <v>239</v>
      </c>
      <c r="AC299" s="231">
        <v>15</v>
      </c>
      <c r="AD299" s="231" t="s">
        <v>239</v>
      </c>
      <c r="AE299" s="231">
        <v>15</v>
      </c>
      <c r="AF299" s="231" t="s">
        <v>239</v>
      </c>
      <c r="AG299" s="231">
        <v>15</v>
      </c>
      <c r="AH299" s="231" t="s">
        <v>239</v>
      </c>
      <c r="AI299" s="231">
        <v>15</v>
      </c>
      <c r="AJ299" s="231" t="s">
        <v>239</v>
      </c>
      <c r="AK299" s="231">
        <v>15</v>
      </c>
      <c r="AL299" s="232" t="s">
        <v>239</v>
      </c>
      <c r="AM299" s="232">
        <v>0</v>
      </c>
    </row>
    <row r="300" spans="1:39" ht="15" customHeight="1" outlineLevel="1">
      <c r="A300" s="412"/>
      <c r="B300" s="10">
        <v>129145</v>
      </c>
      <c r="C300" s="218" t="s">
        <v>1489</v>
      </c>
      <c r="D300" s="218" t="s">
        <v>1490</v>
      </c>
      <c r="E300" s="23" t="s">
        <v>44</v>
      </c>
      <c r="F300" s="17" t="s">
        <v>45</v>
      </c>
      <c r="G300" s="11" t="s">
        <v>1432</v>
      </c>
      <c r="H300" s="12">
        <v>24</v>
      </c>
      <c r="I300" s="11" t="s">
        <v>1433</v>
      </c>
      <c r="J300" s="193" t="s">
        <v>1457</v>
      </c>
      <c r="K300" s="17" t="s">
        <v>233</v>
      </c>
      <c r="L300" s="17" t="s">
        <v>233</v>
      </c>
      <c r="M300" s="231">
        <v>2538</v>
      </c>
      <c r="N300" s="232">
        <v>2507.1886799999997</v>
      </c>
      <c r="O300" s="132">
        <v>394</v>
      </c>
      <c r="P300" s="231" t="s">
        <v>239</v>
      </c>
      <c r="Q300" s="232">
        <v>389.14591999999999</v>
      </c>
      <c r="R300" s="231" t="s">
        <v>239</v>
      </c>
      <c r="S300" s="232">
        <v>384.35164226559999</v>
      </c>
      <c r="T300" s="231" t="s">
        <v>239</v>
      </c>
      <c r="U300" s="232">
        <v>379.61643003288782</v>
      </c>
      <c r="V300" s="231" t="s">
        <v>239</v>
      </c>
      <c r="W300" s="232">
        <v>374.93955561488264</v>
      </c>
      <c r="X300" s="231" t="s">
        <v>239</v>
      </c>
      <c r="Y300" s="232">
        <v>370.32030028970729</v>
      </c>
      <c r="Z300" s="231" t="s">
        <v>239</v>
      </c>
      <c r="AA300" s="232">
        <v>365.75795419013809</v>
      </c>
      <c r="AB300" s="231" t="s">
        <v>239</v>
      </c>
      <c r="AC300" s="232">
        <v>361.25181619451558</v>
      </c>
      <c r="AD300" s="231" t="s">
        <v>239</v>
      </c>
      <c r="AE300" s="232">
        <v>356.80119381899914</v>
      </c>
      <c r="AF300" s="231" t="s">
        <v>239</v>
      </c>
      <c r="AG300" s="232">
        <v>352.40540311114904</v>
      </c>
      <c r="AH300" s="231" t="s">
        <v>239</v>
      </c>
      <c r="AI300" s="232">
        <v>348.06376854481971</v>
      </c>
      <c r="AJ300" s="231" t="s">
        <v>239</v>
      </c>
      <c r="AK300" s="232">
        <v>343.77562291634752</v>
      </c>
      <c r="AL300" s="232" t="s">
        <v>239</v>
      </c>
      <c r="AM300" s="232">
        <v>4420.4296069790471</v>
      </c>
    </row>
    <row r="301" spans="1:39" ht="15" customHeight="1" outlineLevel="1">
      <c r="A301" s="411">
        <v>146</v>
      </c>
      <c r="B301" s="10">
        <v>129146</v>
      </c>
      <c r="C301" s="218" t="s">
        <v>1489</v>
      </c>
      <c r="D301" s="218" t="s">
        <v>1490</v>
      </c>
      <c r="E301" s="23" t="s">
        <v>44</v>
      </c>
      <c r="F301" s="17" t="s">
        <v>45</v>
      </c>
      <c r="G301" s="11" t="s">
        <v>1432</v>
      </c>
      <c r="H301" s="12">
        <v>16</v>
      </c>
      <c r="I301" s="11" t="s">
        <v>1433</v>
      </c>
      <c r="J301" s="193" t="s">
        <v>617</v>
      </c>
      <c r="K301" s="17" t="s">
        <v>233</v>
      </c>
      <c r="L301" s="17" t="s">
        <v>233</v>
      </c>
      <c r="M301" s="231">
        <v>0.5</v>
      </c>
      <c r="N301" s="233">
        <v>0.5</v>
      </c>
      <c r="O301" s="132">
        <v>0.5</v>
      </c>
      <c r="P301" s="231" t="s">
        <v>239</v>
      </c>
      <c r="Q301" s="233">
        <v>0.5</v>
      </c>
      <c r="R301" s="231" t="s">
        <v>239</v>
      </c>
      <c r="S301" s="231">
        <v>0.5</v>
      </c>
      <c r="T301" s="231" t="s">
        <v>239</v>
      </c>
      <c r="U301" s="132">
        <v>0.5</v>
      </c>
      <c r="V301" s="230" t="s">
        <v>239</v>
      </c>
      <c r="W301" s="233">
        <v>0.5</v>
      </c>
      <c r="X301" s="231" t="s">
        <v>239</v>
      </c>
      <c r="Y301" s="231">
        <v>0.5</v>
      </c>
      <c r="Z301" s="231" t="s">
        <v>239</v>
      </c>
      <c r="AA301" s="132">
        <v>0.5</v>
      </c>
      <c r="AB301" s="231" t="s">
        <v>239</v>
      </c>
      <c r="AC301" s="233">
        <v>0.5</v>
      </c>
      <c r="AD301" s="231" t="s">
        <v>239</v>
      </c>
      <c r="AE301" s="231">
        <v>0.5</v>
      </c>
      <c r="AF301" s="231" t="s">
        <v>239</v>
      </c>
      <c r="AG301" s="132">
        <v>0.5</v>
      </c>
      <c r="AH301" s="231" t="s">
        <v>239</v>
      </c>
      <c r="AI301" s="233">
        <v>0.5</v>
      </c>
      <c r="AJ301" s="231" t="s">
        <v>239</v>
      </c>
      <c r="AK301" s="232">
        <v>0</v>
      </c>
      <c r="AL301" s="232" t="s">
        <v>239</v>
      </c>
      <c r="AM301" s="232">
        <v>0</v>
      </c>
    </row>
    <row r="302" spans="1:39" ht="15" customHeight="1" outlineLevel="1">
      <c r="A302" s="412"/>
      <c r="B302" s="10">
        <v>129146</v>
      </c>
      <c r="C302" s="218" t="s">
        <v>1489</v>
      </c>
      <c r="D302" s="218" t="s">
        <v>1490</v>
      </c>
      <c r="E302" s="23" t="s">
        <v>138</v>
      </c>
      <c r="F302" s="17" t="s">
        <v>45</v>
      </c>
      <c r="G302" s="11" t="s">
        <v>1432</v>
      </c>
      <c r="H302" s="12">
        <v>5</v>
      </c>
      <c r="I302" s="11" t="s">
        <v>1433</v>
      </c>
      <c r="J302" s="193" t="s">
        <v>216</v>
      </c>
      <c r="K302" s="17" t="s">
        <v>233</v>
      </c>
      <c r="L302" s="17" t="s">
        <v>233</v>
      </c>
      <c r="M302" s="231">
        <v>4424</v>
      </c>
      <c r="N302" s="232">
        <v>4370.2926399999997</v>
      </c>
      <c r="O302" s="132">
        <v>1150</v>
      </c>
      <c r="P302" s="231" t="s">
        <v>239</v>
      </c>
      <c r="Q302" s="232">
        <v>1135.8320000000001</v>
      </c>
      <c r="R302" s="231" t="s">
        <v>239</v>
      </c>
      <c r="S302" s="232">
        <v>1121.8385497600002</v>
      </c>
      <c r="T302" s="231" t="s">
        <v>239</v>
      </c>
      <c r="U302" s="232">
        <v>1108.0174988269571</v>
      </c>
      <c r="V302" s="231" t="s">
        <v>239</v>
      </c>
      <c r="W302" s="232">
        <v>1094.3667232414089</v>
      </c>
      <c r="X302" s="231" t="s">
        <v>239</v>
      </c>
      <c r="Y302" s="232">
        <v>1080.8841252110747</v>
      </c>
      <c r="Z302" s="231" t="s">
        <v>239</v>
      </c>
      <c r="AA302" s="232">
        <v>1067.5676327884742</v>
      </c>
      <c r="AB302" s="231" t="s">
        <v>239</v>
      </c>
      <c r="AC302" s="232">
        <v>1054.4151995525201</v>
      </c>
      <c r="AD302" s="231" t="s">
        <v>239</v>
      </c>
      <c r="AE302" s="232">
        <v>1041.424804294033</v>
      </c>
      <c r="AF302" s="231" t="s">
        <v>239</v>
      </c>
      <c r="AG302" s="232">
        <v>1028.5944507051306</v>
      </c>
      <c r="AH302" s="231" t="s">
        <v>239</v>
      </c>
      <c r="AI302" s="232">
        <v>1015.9221670724434</v>
      </c>
      <c r="AJ302" s="231" t="s">
        <v>239</v>
      </c>
      <c r="AK302" s="232">
        <v>1003.4060059741108</v>
      </c>
      <c r="AL302" s="232" t="s">
        <v>239</v>
      </c>
      <c r="AM302" s="232">
        <v>12902.269157426153</v>
      </c>
    </row>
    <row r="303" spans="1:39" ht="15" customHeight="1" outlineLevel="1">
      <c r="A303" s="411">
        <v>147</v>
      </c>
      <c r="B303" s="10">
        <v>129147</v>
      </c>
      <c r="C303" s="218" t="s">
        <v>1489</v>
      </c>
      <c r="D303" s="218" t="s">
        <v>1490</v>
      </c>
      <c r="E303" s="23" t="s">
        <v>44</v>
      </c>
      <c r="F303" s="17" t="s">
        <v>45</v>
      </c>
      <c r="G303" s="11" t="s">
        <v>1432</v>
      </c>
      <c r="H303" s="12">
        <v>17</v>
      </c>
      <c r="I303" s="11" t="s">
        <v>1433</v>
      </c>
      <c r="J303" s="192" t="s">
        <v>1446</v>
      </c>
      <c r="K303" s="17" t="s">
        <v>233</v>
      </c>
      <c r="L303" s="17" t="s">
        <v>233</v>
      </c>
      <c r="M303" s="231">
        <v>20</v>
      </c>
      <c r="N303" s="232">
        <v>20</v>
      </c>
      <c r="O303" s="231">
        <v>20</v>
      </c>
      <c r="P303" s="231" t="s">
        <v>239</v>
      </c>
      <c r="Q303" s="231">
        <v>20</v>
      </c>
      <c r="R303" s="231" t="s">
        <v>239</v>
      </c>
      <c r="S303" s="231">
        <v>20</v>
      </c>
      <c r="T303" s="231" t="s">
        <v>239</v>
      </c>
      <c r="U303" s="231">
        <v>20</v>
      </c>
      <c r="V303" s="231" t="s">
        <v>239</v>
      </c>
      <c r="W303" s="231">
        <v>20</v>
      </c>
      <c r="X303" s="231" t="s">
        <v>239</v>
      </c>
      <c r="Y303" s="231">
        <v>20</v>
      </c>
      <c r="Z303" s="231" t="s">
        <v>239</v>
      </c>
      <c r="AA303" s="231">
        <v>20</v>
      </c>
      <c r="AB303" s="231" t="s">
        <v>239</v>
      </c>
      <c r="AC303" s="231">
        <v>20</v>
      </c>
      <c r="AD303" s="231" t="s">
        <v>239</v>
      </c>
      <c r="AE303" s="231">
        <v>20</v>
      </c>
      <c r="AF303" s="231" t="s">
        <v>239</v>
      </c>
      <c r="AG303" s="231">
        <v>20</v>
      </c>
      <c r="AH303" s="231" t="s">
        <v>239</v>
      </c>
      <c r="AI303" s="231">
        <v>20</v>
      </c>
      <c r="AJ303" s="231" t="s">
        <v>239</v>
      </c>
      <c r="AK303" s="231">
        <v>20</v>
      </c>
      <c r="AL303" s="232" t="s">
        <v>239</v>
      </c>
      <c r="AM303" s="232">
        <v>0</v>
      </c>
    </row>
    <row r="304" spans="1:39" ht="15" customHeight="1" outlineLevel="1">
      <c r="A304" s="412"/>
      <c r="B304" s="10">
        <v>129147</v>
      </c>
      <c r="C304" s="218" t="s">
        <v>1489</v>
      </c>
      <c r="D304" s="218" t="s">
        <v>1490</v>
      </c>
      <c r="E304" s="23" t="s">
        <v>138</v>
      </c>
      <c r="F304" s="17" t="s">
        <v>45</v>
      </c>
      <c r="G304" s="11" t="s">
        <v>1432</v>
      </c>
      <c r="H304" s="12">
        <v>19</v>
      </c>
      <c r="I304" s="11" t="s">
        <v>1433</v>
      </c>
      <c r="J304" s="192" t="s">
        <v>1481</v>
      </c>
      <c r="K304" s="17" t="s">
        <v>233</v>
      </c>
      <c r="L304" s="17" t="s">
        <v>233</v>
      </c>
      <c r="M304" s="231">
        <v>10991</v>
      </c>
      <c r="N304" s="232">
        <v>10857.56926</v>
      </c>
      <c r="O304" s="132">
        <v>783</v>
      </c>
      <c r="P304" s="231" t="s">
        <v>239</v>
      </c>
      <c r="Q304" s="232">
        <v>773.35343999999998</v>
      </c>
      <c r="R304" s="231" t="s">
        <v>239</v>
      </c>
      <c r="S304" s="232">
        <v>763.82572561919994</v>
      </c>
      <c r="T304" s="231" t="s">
        <v>239</v>
      </c>
      <c r="U304" s="232">
        <v>754.41539267957137</v>
      </c>
      <c r="V304" s="230" t="s">
        <v>239</v>
      </c>
      <c r="W304" s="232">
        <v>745.1209950417591</v>
      </c>
      <c r="X304" s="231" t="s">
        <v>239</v>
      </c>
      <c r="Y304" s="232">
        <v>735.94110438284463</v>
      </c>
      <c r="Z304" s="231" t="s">
        <v>239</v>
      </c>
      <c r="AA304" s="232">
        <v>726.87430997684794</v>
      </c>
      <c r="AB304" s="231" t="s">
        <v>239</v>
      </c>
      <c r="AC304" s="232">
        <v>717.91921847793321</v>
      </c>
      <c r="AD304" s="231" t="s">
        <v>239</v>
      </c>
      <c r="AE304" s="232">
        <v>709.07445370628511</v>
      </c>
      <c r="AF304" s="231" t="s">
        <v>239</v>
      </c>
      <c r="AG304" s="232">
        <v>700.33865643662364</v>
      </c>
      <c r="AH304" s="231" t="s">
        <v>239</v>
      </c>
      <c r="AI304" s="232">
        <v>691.71048418932446</v>
      </c>
      <c r="AJ304" s="231" t="s">
        <v>239</v>
      </c>
      <c r="AK304" s="232">
        <v>683.18861102411199</v>
      </c>
      <c r="AL304" s="232" t="s">
        <v>239</v>
      </c>
      <c r="AM304" s="232">
        <v>8784.7623915345011</v>
      </c>
    </row>
    <row r="305" spans="1:39" ht="15" customHeight="1" outlineLevel="1">
      <c r="A305" s="411">
        <v>148</v>
      </c>
      <c r="B305" s="10">
        <v>129148</v>
      </c>
      <c r="C305" s="218" t="s">
        <v>1489</v>
      </c>
      <c r="D305" s="218" t="s">
        <v>1490</v>
      </c>
      <c r="E305" s="23" t="s">
        <v>44</v>
      </c>
      <c r="F305" s="17" t="s">
        <v>45</v>
      </c>
      <c r="G305" s="11" t="s">
        <v>1432</v>
      </c>
      <c r="H305" s="12">
        <v>18</v>
      </c>
      <c r="I305" s="11" t="s">
        <v>1433</v>
      </c>
      <c r="J305" s="192" t="s">
        <v>208</v>
      </c>
      <c r="K305" s="17" t="s">
        <v>233</v>
      </c>
      <c r="L305" s="17" t="s">
        <v>233</v>
      </c>
      <c r="M305" s="231">
        <v>1</v>
      </c>
      <c r="N305" s="232">
        <v>1</v>
      </c>
      <c r="O305" s="231">
        <v>1</v>
      </c>
      <c r="P305" s="231" t="s">
        <v>239</v>
      </c>
      <c r="Q305" s="231">
        <v>1</v>
      </c>
      <c r="R305" s="231" t="s">
        <v>239</v>
      </c>
      <c r="S305" s="231">
        <v>1</v>
      </c>
      <c r="T305" s="231" t="s">
        <v>239</v>
      </c>
      <c r="U305" s="231">
        <v>1</v>
      </c>
      <c r="V305" s="231" t="s">
        <v>239</v>
      </c>
      <c r="W305" s="231">
        <v>1</v>
      </c>
      <c r="X305" s="231" t="s">
        <v>239</v>
      </c>
      <c r="Y305" s="231">
        <v>1</v>
      </c>
      <c r="Z305" s="231" t="s">
        <v>239</v>
      </c>
      <c r="AA305" s="231">
        <v>1</v>
      </c>
      <c r="AB305" s="231" t="s">
        <v>239</v>
      </c>
      <c r="AC305" s="231">
        <v>1</v>
      </c>
      <c r="AD305" s="231" t="s">
        <v>239</v>
      </c>
      <c r="AE305" s="231">
        <v>1</v>
      </c>
      <c r="AF305" s="231" t="s">
        <v>239</v>
      </c>
      <c r="AG305" s="231">
        <v>1</v>
      </c>
      <c r="AH305" s="231" t="s">
        <v>239</v>
      </c>
      <c r="AI305" s="231">
        <v>1</v>
      </c>
      <c r="AJ305" s="231" t="s">
        <v>239</v>
      </c>
      <c r="AK305" s="231">
        <v>1</v>
      </c>
      <c r="AL305" s="232" t="s">
        <v>239</v>
      </c>
      <c r="AM305" s="232">
        <v>0</v>
      </c>
    </row>
    <row r="306" spans="1:39" ht="15" customHeight="1" outlineLevel="1">
      <c r="A306" s="412"/>
      <c r="B306" s="10">
        <v>129148</v>
      </c>
      <c r="C306" s="218" t="s">
        <v>1489</v>
      </c>
      <c r="D306" s="218" t="s">
        <v>1490</v>
      </c>
      <c r="E306" s="23" t="s">
        <v>44</v>
      </c>
      <c r="F306" s="17" t="s">
        <v>45</v>
      </c>
      <c r="G306" s="11" t="s">
        <v>1432</v>
      </c>
      <c r="H306" s="12">
        <v>21</v>
      </c>
      <c r="I306" s="11" t="s">
        <v>1433</v>
      </c>
      <c r="J306" s="192" t="s">
        <v>1463</v>
      </c>
      <c r="K306" s="17" t="s">
        <v>233</v>
      </c>
      <c r="L306" s="17" t="s">
        <v>233</v>
      </c>
      <c r="M306" s="231">
        <v>7506</v>
      </c>
      <c r="N306" s="232">
        <v>7414.87716</v>
      </c>
      <c r="O306" s="132">
        <v>183</v>
      </c>
      <c r="P306" s="231" t="s">
        <v>239</v>
      </c>
      <c r="Q306" s="232">
        <v>180.74544</v>
      </c>
      <c r="R306" s="231" t="s">
        <v>239</v>
      </c>
      <c r="S306" s="232">
        <v>178.51865617920001</v>
      </c>
      <c r="T306" s="231" t="s">
        <v>239</v>
      </c>
      <c r="U306" s="232">
        <v>176.31930633507227</v>
      </c>
      <c r="V306" s="231" t="s">
        <v>239</v>
      </c>
      <c r="W306" s="232">
        <v>174.14705248102419</v>
      </c>
      <c r="X306" s="231" t="s">
        <v>239</v>
      </c>
      <c r="Y306" s="232">
        <v>172.00156079445796</v>
      </c>
      <c r="Z306" s="231" t="s">
        <v>239</v>
      </c>
      <c r="AA306" s="232">
        <v>169.88250156547025</v>
      </c>
      <c r="AB306" s="231" t="s">
        <v>239</v>
      </c>
      <c r="AC306" s="232">
        <v>167.78954914618365</v>
      </c>
      <c r="AD306" s="231" t="s">
        <v>239</v>
      </c>
      <c r="AE306" s="232">
        <v>165.72238190070266</v>
      </c>
      <c r="AF306" s="231" t="s">
        <v>239</v>
      </c>
      <c r="AG306" s="232">
        <v>163.68068215568601</v>
      </c>
      <c r="AH306" s="231" t="s">
        <v>239</v>
      </c>
      <c r="AI306" s="232">
        <v>161.66413615152797</v>
      </c>
      <c r="AJ306" s="231" t="s">
        <v>239</v>
      </c>
      <c r="AK306" s="232">
        <v>159.67243399414116</v>
      </c>
      <c r="AL306" s="232" t="s">
        <v>239</v>
      </c>
      <c r="AM306" s="232">
        <v>2053.143700703466</v>
      </c>
    </row>
    <row r="307" spans="1:39" ht="15" customHeight="1" outlineLevel="1">
      <c r="A307" s="411">
        <v>149</v>
      </c>
      <c r="B307" s="10">
        <v>129149</v>
      </c>
      <c r="C307" s="218" t="s">
        <v>1489</v>
      </c>
      <c r="D307" s="218" t="s">
        <v>1490</v>
      </c>
      <c r="E307" s="23" t="s">
        <v>138</v>
      </c>
      <c r="F307" s="17" t="s">
        <v>45</v>
      </c>
      <c r="G307" s="11" t="s">
        <v>1432</v>
      </c>
      <c r="H307" s="12">
        <v>21</v>
      </c>
      <c r="I307" s="11" t="s">
        <v>1433</v>
      </c>
      <c r="J307" s="192" t="s">
        <v>1482</v>
      </c>
      <c r="K307" s="17" t="s">
        <v>233</v>
      </c>
      <c r="L307" s="17" t="s">
        <v>233</v>
      </c>
      <c r="M307" s="231">
        <v>1</v>
      </c>
      <c r="N307" s="232">
        <v>1</v>
      </c>
      <c r="O307" s="231">
        <v>1</v>
      </c>
      <c r="P307" s="231" t="s">
        <v>239</v>
      </c>
      <c r="Q307" s="231">
        <v>1</v>
      </c>
      <c r="R307" s="231" t="s">
        <v>239</v>
      </c>
      <c r="S307" s="231">
        <v>1</v>
      </c>
      <c r="T307" s="231" t="s">
        <v>239</v>
      </c>
      <c r="U307" s="231">
        <v>1</v>
      </c>
      <c r="V307" s="230" t="s">
        <v>239</v>
      </c>
      <c r="W307" s="231">
        <v>1</v>
      </c>
      <c r="X307" s="231" t="s">
        <v>239</v>
      </c>
      <c r="Y307" s="231">
        <v>1</v>
      </c>
      <c r="Z307" s="231" t="s">
        <v>239</v>
      </c>
      <c r="AA307" s="231">
        <v>1</v>
      </c>
      <c r="AB307" s="231" t="s">
        <v>239</v>
      </c>
      <c r="AC307" s="231">
        <v>1</v>
      </c>
      <c r="AD307" s="231" t="s">
        <v>239</v>
      </c>
      <c r="AE307" s="231">
        <v>1</v>
      </c>
      <c r="AF307" s="231" t="s">
        <v>239</v>
      </c>
      <c r="AG307" s="231">
        <v>1</v>
      </c>
      <c r="AH307" s="231" t="s">
        <v>239</v>
      </c>
      <c r="AI307" s="231">
        <v>1</v>
      </c>
      <c r="AJ307" s="231" t="s">
        <v>239</v>
      </c>
      <c r="AK307" s="231">
        <v>1</v>
      </c>
      <c r="AL307" s="232" t="s">
        <v>239</v>
      </c>
      <c r="AM307" s="232">
        <v>0</v>
      </c>
    </row>
    <row r="308" spans="1:39" ht="15" customHeight="1" outlineLevel="1">
      <c r="A308" s="412"/>
      <c r="B308" s="10">
        <v>129149</v>
      </c>
      <c r="C308" s="218" t="s">
        <v>1489</v>
      </c>
      <c r="D308" s="218" t="s">
        <v>1490</v>
      </c>
      <c r="E308" s="23" t="s">
        <v>44</v>
      </c>
      <c r="F308" s="17" t="s">
        <v>45</v>
      </c>
      <c r="G308" s="11" t="s">
        <v>1432</v>
      </c>
      <c r="H308" s="12">
        <v>19</v>
      </c>
      <c r="I308" s="11" t="s">
        <v>1433</v>
      </c>
      <c r="J308" s="192" t="s">
        <v>1462</v>
      </c>
      <c r="K308" s="17" t="s">
        <v>233</v>
      </c>
      <c r="L308" s="17" t="s">
        <v>233</v>
      </c>
      <c r="M308" s="231">
        <v>0</v>
      </c>
      <c r="N308" s="232">
        <v>0</v>
      </c>
      <c r="O308" s="132"/>
      <c r="P308" s="231" t="s">
        <v>239</v>
      </c>
      <c r="Q308" s="232">
        <v>0</v>
      </c>
      <c r="R308" s="231" t="s">
        <v>239</v>
      </c>
      <c r="S308" s="232">
        <v>0</v>
      </c>
      <c r="T308" s="231" t="s">
        <v>239</v>
      </c>
      <c r="U308" s="232">
        <v>0</v>
      </c>
      <c r="V308" s="231" t="s">
        <v>239</v>
      </c>
      <c r="W308" s="232">
        <v>0</v>
      </c>
      <c r="X308" s="231" t="s">
        <v>239</v>
      </c>
      <c r="Y308" s="232">
        <v>0</v>
      </c>
      <c r="Z308" s="231" t="s">
        <v>239</v>
      </c>
      <c r="AA308" s="232">
        <v>0</v>
      </c>
      <c r="AB308" s="231" t="s">
        <v>239</v>
      </c>
      <c r="AC308" s="232">
        <v>0</v>
      </c>
      <c r="AD308" s="231" t="s">
        <v>239</v>
      </c>
      <c r="AE308" s="232">
        <v>0</v>
      </c>
      <c r="AF308" s="231" t="s">
        <v>239</v>
      </c>
      <c r="AG308" s="232">
        <v>0</v>
      </c>
      <c r="AH308" s="231" t="s">
        <v>239</v>
      </c>
      <c r="AI308" s="232">
        <v>0</v>
      </c>
      <c r="AJ308" s="231" t="s">
        <v>239</v>
      </c>
      <c r="AK308" s="232">
        <v>0</v>
      </c>
      <c r="AL308" s="232" t="s">
        <v>239</v>
      </c>
      <c r="AM308" s="232">
        <v>0</v>
      </c>
    </row>
    <row r="309" spans="1:39" ht="15" customHeight="1" outlineLevel="1">
      <c r="A309" s="411">
        <v>150</v>
      </c>
      <c r="B309" s="10">
        <v>129150</v>
      </c>
      <c r="C309" s="218" t="s">
        <v>1489</v>
      </c>
      <c r="D309" s="218" t="s">
        <v>1490</v>
      </c>
      <c r="E309" s="23" t="s">
        <v>138</v>
      </c>
      <c r="F309" s="17" t="s">
        <v>45</v>
      </c>
      <c r="G309" s="11" t="s">
        <v>1432</v>
      </c>
      <c r="H309" s="12">
        <v>30</v>
      </c>
      <c r="I309" s="11" t="s">
        <v>1433</v>
      </c>
      <c r="J309" s="192" t="s">
        <v>1457</v>
      </c>
      <c r="K309" s="17" t="s">
        <v>233</v>
      </c>
      <c r="L309" s="17" t="s">
        <v>233</v>
      </c>
      <c r="M309" s="231">
        <v>4</v>
      </c>
      <c r="N309" s="232">
        <v>4</v>
      </c>
      <c r="O309" s="231">
        <v>4</v>
      </c>
      <c r="P309" s="231" t="s">
        <v>239</v>
      </c>
      <c r="Q309" s="231">
        <v>4</v>
      </c>
      <c r="R309" s="231" t="s">
        <v>239</v>
      </c>
      <c r="S309" s="231">
        <v>4</v>
      </c>
      <c r="T309" s="231" t="s">
        <v>239</v>
      </c>
      <c r="U309" s="231">
        <v>4</v>
      </c>
      <c r="V309" s="231" t="s">
        <v>239</v>
      </c>
      <c r="W309" s="231">
        <v>4</v>
      </c>
      <c r="X309" s="231" t="s">
        <v>239</v>
      </c>
      <c r="Y309" s="231">
        <v>4</v>
      </c>
      <c r="Z309" s="231" t="s">
        <v>239</v>
      </c>
      <c r="AA309" s="231">
        <v>4</v>
      </c>
      <c r="AB309" s="231" t="s">
        <v>239</v>
      </c>
      <c r="AC309" s="231">
        <v>4</v>
      </c>
      <c r="AD309" s="231" t="s">
        <v>239</v>
      </c>
      <c r="AE309" s="231">
        <v>4</v>
      </c>
      <c r="AF309" s="231" t="s">
        <v>239</v>
      </c>
      <c r="AG309" s="231">
        <v>4</v>
      </c>
      <c r="AH309" s="231" t="s">
        <v>239</v>
      </c>
      <c r="AI309" s="231">
        <v>4</v>
      </c>
      <c r="AJ309" s="231" t="s">
        <v>239</v>
      </c>
      <c r="AK309" s="231">
        <v>4</v>
      </c>
      <c r="AL309" s="232" t="s">
        <v>239</v>
      </c>
      <c r="AM309" s="232">
        <v>0</v>
      </c>
    </row>
    <row r="310" spans="1:39" ht="15" customHeight="1" outlineLevel="1">
      <c r="A310" s="412"/>
      <c r="B310" s="10">
        <v>129150</v>
      </c>
      <c r="C310" s="218" t="s">
        <v>1489</v>
      </c>
      <c r="D310" s="218" t="s">
        <v>1490</v>
      </c>
      <c r="E310" s="23" t="s">
        <v>44</v>
      </c>
      <c r="F310" s="17" t="s">
        <v>45</v>
      </c>
      <c r="G310" s="11" t="s">
        <v>1432</v>
      </c>
      <c r="H310" s="12">
        <v>33</v>
      </c>
      <c r="I310" s="11" t="s">
        <v>1433</v>
      </c>
      <c r="J310" s="192" t="s">
        <v>617</v>
      </c>
      <c r="K310" s="17" t="s">
        <v>233</v>
      </c>
      <c r="L310" s="17" t="s">
        <v>233</v>
      </c>
      <c r="M310" s="231">
        <v>0</v>
      </c>
      <c r="N310" s="232">
        <v>0</v>
      </c>
      <c r="O310" s="132">
        <v>183</v>
      </c>
      <c r="P310" s="231" t="s">
        <v>239</v>
      </c>
      <c r="Q310" s="232">
        <v>180.74544</v>
      </c>
      <c r="R310" s="231" t="s">
        <v>239</v>
      </c>
      <c r="S310" s="232">
        <v>178.51865617920001</v>
      </c>
      <c r="T310" s="231" t="s">
        <v>239</v>
      </c>
      <c r="U310" s="232">
        <v>176.31930633507227</v>
      </c>
      <c r="V310" s="230" t="s">
        <v>239</v>
      </c>
      <c r="W310" s="232">
        <v>174.14705248102419</v>
      </c>
      <c r="X310" s="231" t="s">
        <v>239</v>
      </c>
      <c r="Y310" s="232">
        <v>172.00156079445796</v>
      </c>
      <c r="Z310" s="231" t="s">
        <v>239</v>
      </c>
      <c r="AA310" s="232">
        <v>169.88250156547025</v>
      </c>
      <c r="AB310" s="231" t="s">
        <v>239</v>
      </c>
      <c r="AC310" s="232">
        <v>167.78954914618365</v>
      </c>
      <c r="AD310" s="231" t="s">
        <v>239</v>
      </c>
      <c r="AE310" s="232">
        <v>165.72238190070266</v>
      </c>
      <c r="AF310" s="231" t="s">
        <v>239</v>
      </c>
      <c r="AG310" s="232">
        <v>163.68068215568601</v>
      </c>
      <c r="AH310" s="231" t="s">
        <v>239</v>
      </c>
      <c r="AI310" s="232">
        <v>161.66413615152797</v>
      </c>
      <c r="AJ310" s="231" t="s">
        <v>239</v>
      </c>
      <c r="AK310" s="232">
        <v>159.67243399414116</v>
      </c>
      <c r="AL310" s="232" t="s">
        <v>239</v>
      </c>
      <c r="AM310" s="232">
        <v>2053.143700703466</v>
      </c>
    </row>
    <row r="311" spans="1:39" ht="15" customHeight="1" outlineLevel="1">
      <c r="A311" s="411">
        <v>151</v>
      </c>
      <c r="B311" s="10">
        <v>129151</v>
      </c>
      <c r="C311" s="218" t="s">
        <v>1489</v>
      </c>
      <c r="D311" s="218" t="s">
        <v>1490</v>
      </c>
      <c r="E311" s="23" t="s">
        <v>44</v>
      </c>
      <c r="F311" s="17" t="s">
        <v>45</v>
      </c>
      <c r="G311" s="11" t="s">
        <v>1432</v>
      </c>
      <c r="H311" s="12">
        <v>19</v>
      </c>
      <c r="I311" s="11" t="s">
        <v>1433</v>
      </c>
      <c r="J311" s="374" t="s">
        <v>1457</v>
      </c>
      <c r="K311" s="17" t="s">
        <v>233</v>
      </c>
      <c r="L311" s="17" t="s">
        <v>233</v>
      </c>
      <c r="M311" s="231">
        <v>4</v>
      </c>
      <c r="N311" s="232">
        <v>4</v>
      </c>
      <c r="O311" s="231">
        <v>4</v>
      </c>
      <c r="P311" s="231" t="s">
        <v>239</v>
      </c>
      <c r="Q311" s="231">
        <v>4</v>
      </c>
      <c r="R311" s="231" t="s">
        <v>239</v>
      </c>
      <c r="S311" s="231">
        <v>4</v>
      </c>
      <c r="T311" s="231" t="s">
        <v>239</v>
      </c>
      <c r="U311" s="231">
        <v>4</v>
      </c>
      <c r="V311" s="231" t="s">
        <v>239</v>
      </c>
      <c r="W311" s="231">
        <v>4</v>
      </c>
      <c r="X311" s="231" t="s">
        <v>239</v>
      </c>
      <c r="Y311" s="231">
        <v>4</v>
      </c>
      <c r="Z311" s="231" t="s">
        <v>239</v>
      </c>
      <c r="AA311" s="231">
        <v>4</v>
      </c>
      <c r="AB311" s="231" t="s">
        <v>239</v>
      </c>
      <c r="AC311" s="231">
        <v>4</v>
      </c>
      <c r="AD311" s="231" t="s">
        <v>239</v>
      </c>
      <c r="AE311" s="231">
        <v>4</v>
      </c>
      <c r="AF311" s="231" t="s">
        <v>239</v>
      </c>
      <c r="AG311" s="231">
        <v>4</v>
      </c>
      <c r="AH311" s="231" t="s">
        <v>239</v>
      </c>
      <c r="AI311" s="231">
        <v>4</v>
      </c>
      <c r="AJ311" s="231" t="s">
        <v>239</v>
      </c>
      <c r="AK311" s="231">
        <v>4</v>
      </c>
      <c r="AL311" s="232" t="s">
        <v>239</v>
      </c>
      <c r="AM311" s="232">
        <v>0</v>
      </c>
    </row>
    <row r="312" spans="1:39" ht="15" customHeight="1" outlineLevel="1">
      <c r="A312" s="412"/>
      <c r="B312" s="10">
        <v>129151</v>
      </c>
      <c r="C312" s="218" t="s">
        <v>1489</v>
      </c>
      <c r="D312" s="218" t="s">
        <v>1490</v>
      </c>
      <c r="E312" s="23" t="s">
        <v>138</v>
      </c>
      <c r="F312" s="17" t="s">
        <v>45</v>
      </c>
      <c r="G312" s="11" t="s">
        <v>1432</v>
      </c>
      <c r="H312" s="12">
        <v>6</v>
      </c>
      <c r="I312" s="11" t="s">
        <v>1433</v>
      </c>
      <c r="J312" s="375"/>
      <c r="K312" s="17" t="s">
        <v>233</v>
      </c>
      <c r="L312" s="17" t="s">
        <v>233</v>
      </c>
      <c r="M312" s="231">
        <v>0</v>
      </c>
      <c r="N312" s="232">
        <v>0</v>
      </c>
      <c r="O312" s="132"/>
      <c r="P312" s="231" t="s">
        <v>239</v>
      </c>
      <c r="Q312" s="232">
        <v>0</v>
      </c>
      <c r="R312" s="231" t="s">
        <v>239</v>
      </c>
      <c r="S312" s="232">
        <v>0</v>
      </c>
      <c r="T312" s="231" t="s">
        <v>239</v>
      </c>
      <c r="U312" s="232">
        <v>0</v>
      </c>
      <c r="V312" s="231" t="s">
        <v>239</v>
      </c>
      <c r="W312" s="232">
        <v>0</v>
      </c>
      <c r="X312" s="231" t="s">
        <v>239</v>
      </c>
      <c r="Y312" s="232">
        <v>0</v>
      </c>
      <c r="Z312" s="231" t="s">
        <v>239</v>
      </c>
      <c r="AA312" s="232">
        <v>0</v>
      </c>
      <c r="AB312" s="231" t="s">
        <v>239</v>
      </c>
      <c r="AC312" s="232">
        <v>0</v>
      </c>
      <c r="AD312" s="231" t="s">
        <v>239</v>
      </c>
      <c r="AE312" s="232">
        <v>0</v>
      </c>
      <c r="AF312" s="231" t="s">
        <v>239</v>
      </c>
      <c r="AG312" s="232">
        <v>0</v>
      </c>
      <c r="AH312" s="231" t="s">
        <v>239</v>
      </c>
      <c r="AI312" s="232">
        <v>0</v>
      </c>
      <c r="AJ312" s="231" t="s">
        <v>239</v>
      </c>
      <c r="AK312" s="232">
        <v>0</v>
      </c>
      <c r="AL312" s="232" t="s">
        <v>239</v>
      </c>
      <c r="AM312" s="232">
        <v>0</v>
      </c>
    </row>
    <row r="313" spans="1:39" ht="15" customHeight="1" outlineLevel="1">
      <c r="A313" s="411">
        <v>152</v>
      </c>
      <c r="B313" s="10">
        <v>129152</v>
      </c>
      <c r="C313" s="218" t="s">
        <v>1489</v>
      </c>
      <c r="D313" s="218" t="s">
        <v>1490</v>
      </c>
      <c r="E313" s="23" t="s">
        <v>44</v>
      </c>
      <c r="F313" s="17" t="s">
        <v>45</v>
      </c>
      <c r="G313" s="11" t="s">
        <v>1432</v>
      </c>
      <c r="H313" s="12">
        <v>15</v>
      </c>
      <c r="I313" s="11" t="s">
        <v>1433</v>
      </c>
      <c r="J313" s="193" t="s">
        <v>1460</v>
      </c>
      <c r="K313" s="17" t="s">
        <v>233</v>
      </c>
      <c r="L313" s="17" t="s">
        <v>233</v>
      </c>
      <c r="M313" s="231">
        <v>4</v>
      </c>
      <c r="N313" s="232">
        <v>4</v>
      </c>
      <c r="O313" s="231">
        <v>4</v>
      </c>
      <c r="P313" s="231" t="s">
        <v>239</v>
      </c>
      <c r="Q313" s="231">
        <v>4</v>
      </c>
      <c r="R313" s="231" t="s">
        <v>239</v>
      </c>
      <c r="S313" s="231">
        <v>4</v>
      </c>
      <c r="T313" s="231" t="s">
        <v>239</v>
      </c>
      <c r="U313" s="231">
        <v>4</v>
      </c>
      <c r="V313" s="230" t="s">
        <v>239</v>
      </c>
      <c r="W313" s="231">
        <v>4</v>
      </c>
      <c r="X313" s="231" t="s">
        <v>239</v>
      </c>
      <c r="Y313" s="231">
        <v>4</v>
      </c>
      <c r="Z313" s="231" t="s">
        <v>239</v>
      </c>
      <c r="AA313" s="231">
        <v>4</v>
      </c>
      <c r="AB313" s="231" t="s">
        <v>239</v>
      </c>
      <c r="AC313" s="231">
        <v>4</v>
      </c>
      <c r="AD313" s="231" t="s">
        <v>239</v>
      </c>
      <c r="AE313" s="231">
        <v>4</v>
      </c>
      <c r="AF313" s="231" t="s">
        <v>239</v>
      </c>
      <c r="AG313" s="231">
        <v>4</v>
      </c>
      <c r="AH313" s="231" t="s">
        <v>239</v>
      </c>
      <c r="AI313" s="231">
        <v>4</v>
      </c>
      <c r="AJ313" s="231" t="s">
        <v>239</v>
      </c>
      <c r="AK313" s="231">
        <v>4</v>
      </c>
      <c r="AL313" s="232" t="s">
        <v>239</v>
      </c>
      <c r="AM313" s="232">
        <v>0</v>
      </c>
    </row>
    <row r="314" spans="1:39" ht="15" customHeight="1" outlineLevel="1">
      <c r="A314" s="412"/>
      <c r="B314" s="10">
        <v>129152</v>
      </c>
      <c r="C314" s="218" t="s">
        <v>1489</v>
      </c>
      <c r="D314" s="218" t="s">
        <v>1490</v>
      </c>
      <c r="E314" s="23" t="s">
        <v>138</v>
      </c>
      <c r="F314" s="17" t="s">
        <v>45</v>
      </c>
      <c r="G314" s="11" t="s">
        <v>1432</v>
      </c>
      <c r="H314" s="12">
        <v>21</v>
      </c>
      <c r="I314" s="11" t="s">
        <v>1433</v>
      </c>
      <c r="J314" s="193" t="s">
        <v>1442</v>
      </c>
      <c r="K314" s="17" t="s">
        <v>233</v>
      </c>
      <c r="L314" s="17" t="s">
        <v>233</v>
      </c>
      <c r="M314" s="231">
        <v>0</v>
      </c>
      <c r="N314" s="232">
        <v>0</v>
      </c>
      <c r="O314" s="132"/>
      <c r="P314" s="231" t="s">
        <v>239</v>
      </c>
      <c r="Q314" s="232">
        <v>0</v>
      </c>
      <c r="R314" s="231" t="s">
        <v>239</v>
      </c>
      <c r="S314" s="232">
        <v>0</v>
      </c>
      <c r="T314" s="231" t="s">
        <v>239</v>
      </c>
      <c r="U314" s="232">
        <v>0</v>
      </c>
      <c r="V314" s="231" t="s">
        <v>239</v>
      </c>
      <c r="W314" s="232">
        <v>0</v>
      </c>
      <c r="X314" s="231" t="s">
        <v>239</v>
      </c>
      <c r="Y314" s="232">
        <v>0</v>
      </c>
      <c r="Z314" s="231" t="s">
        <v>239</v>
      </c>
      <c r="AA314" s="232">
        <v>0</v>
      </c>
      <c r="AB314" s="231" t="s">
        <v>239</v>
      </c>
      <c r="AC314" s="232">
        <v>0</v>
      </c>
      <c r="AD314" s="231" t="s">
        <v>239</v>
      </c>
      <c r="AE314" s="232">
        <v>0</v>
      </c>
      <c r="AF314" s="231" t="s">
        <v>239</v>
      </c>
      <c r="AG314" s="232">
        <v>0</v>
      </c>
      <c r="AH314" s="231" t="s">
        <v>239</v>
      </c>
      <c r="AI314" s="232">
        <v>0</v>
      </c>
      <c r="AJ314" s="231" t="s">
        <v>239</v>
      </c>
      <c r="AK314" s="232">
        <v>0</v>
      </c>
      <c r="AL314" s="232" t="s">
        <v>239</v>
      </c>
      <c r="AM314" s="232">
        <v>0</v>
      </c>
    </row>
    <row r="315" spans="1:39" ht="15" customHeight="1" outlineLevel="1">
      <c r="A315" s="411">
        <v>153</v>
      </c>
      <c r="B315" s="10">
        <v>129153</v>
      </c>
      <c r="C315" s="218" t="s">
        <v>1489</v>
      </c>
      <c r="D315" s="218" t="s">
        <v>1490</v>
      </c>
      <c r="E315" s="23" t="s">
        <v>44</v>
      </c>
      <c r="F315" s="17" t="s">
        <v>45</v>
      </c>
      <c r="G315" s="11" t="s">
        <v>1432</v>
      </c>
      <c r="H315" s="12">
        <v>19</v>
      </c>
      <c r="I315" s="11" t="s">
        <v>1433</v>
      </c>
      <c r="J315" s="193" t="s">
        <v>1460</v>
      </c>
      <c r="K315" s="17" t="s">
        <v>233</v>
      </c>
      <c r="L315" s="17" t="s">
        <v>233</v>
      </c>
      <c r="M315" s="231">
        <v>1</v>
      </c>
      <c r="N315" s="232">
        <v>1</v>
      </c>
      <c r="O315" s="231">
        <v>1</v>
      </c>
      <c r="P315" s="231" t="s">
        <v>239</v>
      </c>
      <c r="Q315" s="231">
        <v>1</v>
      </c>
      <c r="R315" s="231" t="s">
        <v>239</v>
      </c>
      <c r="S315" s="231">
        <v>1</v>
      </c>
      <c r="T315" s="231" t="s">
        <v>239</v>
      </c>
      <c r="U315" s="231">
        <v>1</v>
      </c>
      <c r="V315" s="231" t="s">
        <v>239</v>
      </c>
      <c r="W315" s="231">
        <v>1</v>
      </c>
      <c r="X315" s="231" t="s">
        <v>239</v>
      </c>
      <c r="Y315" s="231">
        <v>1</v>
      </c>
      <c r="Z315" s="231" t="s">
        <v>239</v>
      </c>
      <c r="AA315" s="231">
        <v>1</v>
      </c>
      <c r="AB315" s="231" t="s">
        <v>239</v>
      </c>
      <c r="AC315" s="231">
        <v>1</v>
      </c>
      <c r="AD315" s="231" t="s">
        <v>239</v>
      </c>
      <c r="AE315" s="231">
        <v>1</v>
      </c>
      <c r="AF315" s="231" t="s">
        <v>239</v>
      </c>
      <c r="AG315" s="231">
        <v>1</v>
      </c>
      <c r="AH315" s="231" t="s">
        <v>239</v>
      </c>
      <c r="AI315" s="231">
        <v>1</v>
      </c>
      <c r="AJ315" s="231" t="s">
        <v>239</v>
      </c>
      <c r="AK315" s="231">
        <v>1</v>
      </c>
      <c r="AL315" s="232" t="s">
        <v>239</v>
      </c>
      <c r="AM315" s="232">
        <v>0</v>
      </c>
    </row>
    <row r="316" spans="1:39" ht="15" customHeight="1" outlineLevel="1">
      <c r="A316" s="412"/>
      <c r="B316" s="10">
        <v>129153</v>
      </c>
      <c r="C316" s="218" t="s">
        <v>1489</v>
      </c>
      <c r="D316" s="218" t="s">
        <v>1490</v>
      </c>
      <c r="E316" s="23" t="s">
        <v>44</v>
      </c>
      <c r="F316" s="17" t="s">
        <v>45</v>
      </c>
      <c r="G316" s="11" t="s">
        <v>1432</v>
      </c>
      <c r="H316" s="12">
        <v>30</v>
      </c>
      <c r="I316" s="11" t="s">
        <v>1433</v>
      </c>
      <c r="J316" s="193" t="s">
        <v>1457</v>
      </c>
      <c r="K316" s="17" t="s">
        <v>233</v>
      </c>
      <c r="L316" s="17" t="s">
        <v>233</v>
      </c>
      <c r="M316" s="231">
        <v>7118</v>
      </c>
      <c r="N316" s="232">
        <v>7031.5874800000001</v>
      </c>
      <c r="O316" s="132">
        <v>586</v>
      </c>
      <c r="P316" s="231" t="s">
        <v>239</v>
      </c>
      <c r="Q316" s="232">
        <v>578.78048000000001</v>
      </c>
      <c r="R316" s="231" t="s">
        <v>239</v>
      </c>
      <c r="S316" s="232">
        <v>571.64990448640003</v>
      </c>
      <c r="T316" s="231" t="s">
        <v>239</v>
      </c>
      <c r="U316" s="232">
        <v>564.60717766312757</v>
      </c>
      <c r="V316" s="230" t="s">
        <v>239</v>
      </c>
      <c r="W316" s="232">
        <v>557.65121723431787</v>
      </c>
      <c r="X316" s="231" t="s">
        <v>239</v>
      </c>
      <c r="Y316" s="232">
        <v>550.78095423799107</v>
      </c>
      <c r="Z316" s="231" t="s">
        <v>239</v>
      </c>
      <c r="AA316" s="232">
        <v>543.99533288177906</v>
      </c>
      <c r="AB316" s="231" t="s">
        <v>239</v>
      </c>
      <c r="AC316" s="232">
        <v>537.29331038067551</v>
      </c>
      <c r="AD316" s="231" t="s">
        <v>239</v>
      </c>
      <c r="AE316" s="232">
        <v>530.67385679678557</v>
      </c>
      <c r="AF316" s="231" t="s">
        <v>239</v>
      </c>
      <c r="AG316" s="232">
        <v>524.1359548810492</v>
      </c>
      <c r="AH316" s="231" t="s">
        <v>239</v>
      </c>
      <c r="AI316" s="232">
        <v>517.67859991691466</v>
      </c>
      <c r="AJ316" s="231" t="s">
        <v>239</v>
      </c>
      <c r="AK316" s="232">
        <v>511.30079956593829</v>
      </c>
      <c r="AL316" s="232" t="s">
        <v>239</v>
      </c>
      <c r="AM316" s="232">
        <v>6574.5475880449785</v>
      </c>
    </row>
    <row r="317" spans="1:39" ht="15" customHeight="1" outlineLevel="1">
      <c r="A317" s="411">
        <v>154</v>
      </c>
      <c r="B317" s="10">
        <v>129154</v>
      </c>
      <c r="C317" s="218" t="s">
        <v>1489</v>
      </c>
      <c r="D317" s="218" t="s">
        <v>1490</v>
      </c>
      <c r="E317" s="23" t="s">
        <v>138</v>
      </c>
      <c r="F317" s="17" t="s">
        <v>45</v>
      </c>
      <c r="G317" s="11" t="s">
        <v>1432</v>
      </c>
      <c r="H317" s="12">
        <v>33</v>
      </c>
      <c r="I317" s="11" t="s">
        <v>1433</v>
      </c>
      <c r="J317" s="193" t="s">
        <v>617</v>
      </c>
      <c r="K317" s="17" t="s">
        <v>233</v>
      </c>
      <c r="L317" s="17" t="s">
        <v>233</v>
      </c>
      <c r="M317" s="231">
        <v>5.7</v>
      </c>
      <c r="N317" s="233">
        <v>5.7</v>
      </c>
      <c r="O317" s="132">
        <v>5.7</v>
      </c>
      <c r="P317" s="231" t="s">
        <v>239</v>
      </c>
      <c r="Q317" s="233">
        <v>5.7</v>
      </c>
      <c r="R317" s="231" t="s">
        <v>239</v>
      </c>
      <c r="S317" s="231">
        <v>5.7</v>
      </c>
      <c r="T317" s="231" t="s">
        <v>239</v>
      </c>
      <c r="U317" s="132">
        <v>5.7</v>
      </c>
      <c r="V317" s="231" t="s">
        <v>239</v>
      </c>
      <c r="W317" s="233">
        <v>5.7</v>
      </c>
      <c r="X317" s="231" t="s">
        <v>239</v>
      </c>
      <c r="Y317" s="231">
        <v>5.7</v>
      </c>
      <c r="Z317" s="231" t="s">
        <v>239</v>
      </c>
      <c r="AA317" s="132">
        <v>5.7</v>
      </c>
      <c r="AB317" s="231" t="s">
        <v>239</v>
      </c>
      <c r="AC317" s="233">
        <v>5.7</v>
      </c>
      <c r="AD317" s="231" t="s">
        <v>239</v>
      </c>
      <c r="AE317" s="231">
        <v>5.7</v>
      </c>
      <c r="AF317" s="231" t="s">
        <v>239</v>
      </c>
      <c r="AG317" s="132">
        <v>5.7</v>
      </c>
      <c r="AH317" s="231" t="s">
        <v>239</v>
      </c>
      <c r="AI317" s="233">
        <v>5.7</v>
      </c>
      <c r="AJ317" s="231" t="s">
        <v>239</v>
      </c>
      <c r="AK317" s="231">
        <v>5.7</v>
      </c>
      <c r="AL317" s="232" t="s">
        <v>239</v>
      </c>
      <c r="AM317" s="232">
        <v>0</v>
      </c>
    </row>
    <row r="318" spans="1:39" ht="15" customHeight="1" outlineLevel="1">
      <c r="A318" s="412"/>
      <c r="B318" s="10">
        <v>129154</v>
      </c>
      <c r="C318" s="218" t="s">
        <v>1489</v>
      </c>
      <c r="D318" s="218" t="s">
        <v>1490</v>
      </c>
      <c r="E318" s="23" t="s">
        <v>44</v>
      </c>
      <c r="F318" s="17" t="s">
        <v>45</v>
      </c>
      <c r="G318" s="11" t="s">
        <v>1432</v>
      </c>
      <c r="H318" s="12">
        <v>19</v>
      </c>
      <c r="I318" s="11" t="s">
        <v>1433</v>
      </c>
      <c r="J318" s="193" t="s">
        <v>216</v>
      </c>
      <c r="K318" s="17" t="s">
        <v>233</v>
      </c>
      <c r="L318" s="17" t="s">
        <v>233</v>
      </c>
      <c r="M318" s="231">
        <v>37230</v>
      </c>
      <c r="N318" s="232">
        <v>36778.027799999996</v>
      </c>
      <c r="O318" s="132">
        <v>682</v>
      </c>
      <c r="P318" s="231" t="s">
        <v>239</v>
      </c>
      <c r="Q318" s="232">
        <v>673.59775999999999</v>
      </c>
      <c r="R318" s="231" t="s">
        <v>239</v>
      </c>
      <c r="S318" s="232">
        <v>665.29903559679997</v>
      </c>
      <c r="T318" s="231" t="s">
        <v>239</v>
      </c>
      <c r="U318" s="232">
        <v>657.10255147824739</v>
      </c>
      <c r="V318" s="231" t="s">
        <v>239</v>
      </c>
      <c r="W318" s="232">
        <v>649.0070480440354</v>
      </c>
      <c r="X318" s="231" t="s">
        <v>239</v>
      </c>
      <c r="Y318" s="232">
        <v>641.01128121213287</v>
      </c>
      <c r="Z318" s="231" t="s">
        <v>239</v>
      </c>
      <c r="AA318" s="232">
        <v>633.11402222759943</v>
      </c>
      <c r="AB318" s="231" t="s">
        <v>239</v>
      </c>
      <c r="AC318" s="232">
        <v>625.31405747375538</v>
      </c>
      <c r="AD318" s="231" t="s">
        <v>239</v>
      </c>
      <c r="AE318" s="232">
        <v>617.61018828567876</v>
      </c>
      <c r="AF318" s="231" t="s">
        <v>239</v>
      </c>
      <c r="AG318" s="232">
        <v>610.00123076599925</v>
      </c>
      <c r="AH318" s="231" t="s">
        <v>239</v>
      </c>
      <c r="AI318" s="232">
        <v>602.4860156029622</v>
      </c>
      <c r="AJ318" s="231" t="s">
        <v>239</v>
      </c>
      <c r="AK318" s="232">
        <v>595.06338789073368</v>
      </c>
      <c r="AL318" s="232" t="s">
        <v>239</v>
      </c>
      <c r="AM318" s="232">
        <v>7651.6065785779429</v>
      </c>
    </row>
    <row r="319" spans="1:39" ht="15" customHeight="1" outlineLevel="1">
      <c r="A319" s="411">
        <v>155</v>
      </c>
      <c r="B319" s="10">
        <v>129155</v>
      </c>
      <c r="C319" s="218" t="s">
        <v>1489</v>
      </c>
      <c r="D319" s="218" t="s">
        <v>1490</v>
      </c>
      <c r="E319" s="23" t="s">
        <v>138</v>
      </c>
      <c r="F319" s="17" t="s">
        <v>45</v>
      </c>
      <c r="G319" s="11" t="s">
        <v>1432</v>
      </c>
      <c r="H319" s="12">
        <v>6</v>
      </c>
      <c r="I319" s="11" t="s">
        <v>1433</v>
      </c>
      <c r="J319" s="191" t="s">
        <v>216</v>
      </c>
      <c r="K319" s="17" t="s">
        <v>233</v>
      </c>
      <c r="L319" s="17" t="s">
        <v>233</v>
      </c>
      <c r="M319" s="231">
        <v>31.8</v>
      </c>
      <c r="N319" s="233">
        <v>31.8</v>
      </c>
      <c r="O319" s="132">
        <v>31.8</v>
      </c>
      <c r="P319" s="231" t="s">
        <v>239</v>
      </c>
      <c r="Q319" s="233">
        <v>31.8</v>
      </c>
      <c r="R319" s="231" t="s">
        <v>239</v>
      </c>
      <c r="S319" s="231">
        <v>31.8</v>
      </c>
      <c r="T319" s="231" t="s">
        <v>239</v>
      </c>
      <c r="U319" s="132">
        <v>31.8</v>
      </c>
      <c r="V319" s="230" t="s">
        <v>239</v>
      </c>
      <c r="W319" s="233">
        <v>31.8</v>
      </c>
      <c r="X319" s="231" t="s">
        <v>239</v>
      </c>
      <c r="Y319" s="231">
        <v>31.8</v>
      </c>
      <c r="Z319" s="231" t="s">
        <v>239</v>
      </c>
      <c r="AA319" s="132">
        <v>31.8</v>
      </c>
      <c r="AB319" s="231" t="s">
        <v>239</v>
      </c>
      <c r="AC319" s="233">
        <v>31.8</v>
      </c>
      <c r="AD319" s="231" t="s">
        <v>239</v>
      </c>
      <c r="AE319" s="231">
        <v>31.8</v>
      </c>
      <c r="AF319" s="231" t="s">
        <v>239</v>
      </c>
      <c r="AG319" s="132">
        <v>31.8</v>
      </c>
      <c r="AH319" s="231" t="s">
        <v>239</v>
      </c>
      <c r="AI319" s="233">
        <v>31.8</v>
      </c>
      <c r="AJ319" s="231" t="s">
        <v>239</v>
      </c>
      <c r="AK319" s="231">
        <v>31.8</v>
      </c>
      <c r="AL319" s="232" t="s">
        <v>239</v>
      </c>
      <c r="AM319" s="232">
        <v>0</v>
      </c>
    </row>
    <row r="320" spans="1:39" ht="15" customHeight="1" outlineLevel="1">
      <c r="A320" s="412"/>
      <c r="B320" s="10">
        <v>129155</v>
      </c>
      <c r="C320" s="218" t="s">
        <v>1489</v>
      </c>
      <c r="D320" s="218" t="s">
        <v>1490</v>
      </c>
      <c r="E320" s="23" t="s">
        <v>44</v>
      </c>
      <c r="F320" s="17" t="s">
        <v>45</v>
      </c>
      <c r="G320" s="11" t="s">
        <v>1432</v>
      </c>
      <c r="H320" s="12">
        <v>15</v>
      </c>
      <c r="I320" s="11" t="s">
        <v>1433</v>
      </c>
      <c r="J320" s="192" t="s">
        <v>1434</v>
      </c>
      <c r="K320" s="17" t="s">
        <v>233</v>
      </c>
      <c r="L320" s="17" t="s">
        <v>233</v>
      </c>
      <c r="M320" s="231">
        <v>5514</v>
      </c>
      <c r="N320" s="232">
        <v>5447.0600399999994</v>
      </c>
      <c r="O320" s="132">
        <v>348</v>
      </c>
      <c r="P320" s="231" t="s">
        <v>239</v>
      </c>
      <c r="Q320" s="232">
        <v>343.71264000000002</v>
      </c>
      <c r="R320" s="231" t="s">
        <v>239</v>
      </c>
      <c r="S320" s="232">
        <v>339.47810027520001</v>
      </c>
      <c r="T320" s="231" t="s">
        <v>239</v>
      </c>
      <c r="U320" s="232">
        <v>335.29573007980952</v>
      </c>
      <c r="V320" s="231" t="s">
        <v>239</v>
      </c>
      <c r="W320" s="232">
        <v>331.16488668522624</v>
      </c>
      <c r="X320" s="231" t="s">
        <v>239</v>
      </c>
      <c r="Y320" s="232">
        <v>327.08493528126422</v>
      </c>
      <c r="Z320" s="231" t="s">
        <v>239</v>
      </c>
      <c r="AA320" s="232">
        <v>323.05524887859906</v>
      </c>
      <c r="AB320" s="231" t="s">
        <v>239</v>
      </c>
      <c r="AC320" s="232">
        <v>319.07520821241474</v>
      </c>
      <c r="AD320" s="231" t="s">
        <v>239</v>
      </c>
      <c r="AE320" s="232">
        <v>315.14420164723776</v>
      </c>
      <c r="AF320" s="231" t="s">
        <v>239</v>
      </c>
      <c r="AG320" s="232">
        <v>311.26162508294379</v>
      </c>
      <c r="AH320" s="231" t="s">
        <v>239</v>
      </c>
      <c r="AI320" s="232">
        <v>307.42688186192191</v>
      </c>
      <c r="AJ320" s="231" t="s">
        <v>239</v>
      </c>
      <c r="AK320" s="232">
        <v>303.63938267738303</v>
      </c>
      <c r="AL320" s="232" t="s">
        <v>239</v>
      </c>
      <c r="AM320" s="232">
        <v>3904.3388406820004</v>
      </c>
    </row>
    <row r="321" spans="1:39" ht="15" customHeight="1" outlineLevel="1">
      <c r="A321" s="411">
        <v>156</v>
      </c>
      <c r="B321" s="10">
        <v>129156</v>
      </c>
      <c r="C321" s="218" t="s">
        <v>1489</v>
      </c>
      <c r="D321" s="218" t="s">
        <v>1490</v>
      </c>
      <c r="E321" s="23" t="s">
        <v>44</v>
      </c>
      <c r="F321" s="17" t="s">
        <v>45</v>
      </c>
      <c r="G321" s="11" t="s">
        <v>1432</v>
      </c>
      <c r="H321" s="12">
        <v>19</v>
      </c>
      <c r="I321" s="11" t="s">
        <v>1433</v>
      </c>
      <c r="J321" s="192" t="s">
        <v>1480</v>
      </c>
      <c r="K321" s="17" t="s">
        <v>233</v>
      </c>
      <c r="L321" s="17" t="s">
        <v>233</v>
      </c>
      <c r="M321" s="231">
        <v>1</v>
      </c>
      <c r="N321" s="232">
        <v>1</v>
      </c>
      <c r="O321" s="231">
        <v>1</v>
      </c>
      <c r="P321" s="231" t="s">
        <v>239</v>
      </c>
      <c r="Q321" s="231">
        <v>1</v>
      </c>
      <c r="R321" s="231" t="s">
        <v>239</v>
      </c>
      <c r="S321" s="231">
        <v>1</v>
      </c>
      <c r="T321" s="231" t="s">
        <v>239</v>
      </c>
      <c r="U321" s="231">
        <v>1</v>
      </c>
      <c r="V321" s="231" t="s">
        <v>239</v>
      </c>
      <c r="W321" s="231">
        <v>1</v>
      </c>
      <c r="X321" s="231" t="s">
        <v>239</v>
      </c>
      <c r="Y321" s="231">
        <v>1</v>
      </c>
      <c r="Z321" s="231" t="s">
        <v>239</v>
      </c>
      <c r="AA321" s="231">
        <v>1</v>
      </c>
      <c r="AB321" s="231" t="s">
        <v>239</v>
      </c>
      <c r="AC321" s="231">
        <v>1</v>
      </c>
      <c r="AD321" s="231" t="s">
        <v>239</v>
      </c>
      <c r="AE321" s="231">
        <v>1</v>
      </c>
      <c r="AF321" s="231" t="s">
        <v>239</v>
      </c>
      <c r="AG321" s="231">
        <v>1</v>
      </c>
      <c r="AH321" s="231" t="s">
        <v>239</v>
      </c>
      <c r="AI321" s="231">
        <v>1</v>
      </c>
      <c r="AJ321" s="231" t="s">
        <v>239</v>
      </c>
      <c r="AK321" s="231">
        <v>1</v>
      </c>
      <c r="AL321" s="232" t="s">
        <v>239</v>
      </c>
      <c r="AM321" s="232">
        <v>0</v>
      </c>
    </row>
    <row r="322" spans="1:39" ht="15" customHeight="1" outlineLevel="1">
      <c r="A322" s="412"/>
      <c r="B322" s="10">
        <v>129156</v>
      </c>
      <c r="C322" s="218" t="s">
        <v>1489</v>
      </c>
      <c r="D322" s="218" t="s">
        <v>1490</v>
      </c>
      <c r="E322" s="23" t="s">
        <v>138</v>
      </c>
      <c r="F322" s="17" t="s">
        <v>45</v>
      </c>
      <c r="G322" s="11" t="s">
        <v>1432</v>
      </c>
      <c r="H322" s="12">
        <v>22</v>
      </c>
      <c r="I322" s="11" t="s">
        <v>1433</v>
      </c>
      <c r="J322" s="192" t="s">
        <v>1452</v>
      </c>
      <c r="K322" s="17" t="s">
        <v>233</v>
      </c>
      <c r="L322" s="17" t="s">
        <v>233</v>
      </c>
      <c r="M322" s="231">
        <v>7290</v>
      </c>
      <c r="N322" s="232">
        <v>7201.4993999999997</v>
      </c>
      <c r="O322" s="132">
        <v>423</v>
      </c>
      <c r="P322" s="231" t="s">
        <v>239</v>
      </c>
      <c r="Q322" s="232">
        <v>417.78863999999999</v>
      </c>
      <c r="R322" s="231" t="s">
        <v>239</v>
      </c>
      <c r="S322" s="232">
        <v>412.64148395519999</v>
      </c>
      <c r="T322" s="231" t="s">
        <v>239</v>
      </c>
      <c r="U322" s="232">
        <v>407.55774087287193</v>
      </c>
      <c r="V322" s="230" t="s">
        <v>239</v>
      </c>
      <c r="W322" s="232">
        <v>402.53662950531816</v>
      </c>
      <c r="X322" s="231" t="s">
        <v>239</v>
      </c>
      <c r="Y322" s="232">
        <v>397.57737822981267</v>
      </c>
      <c r="Z322" s="231" t="s">
        <v>239</v>
      </c>
      <c r="AA322" s="232">
        <v>392.67922493002135</v>
      </c>
      <c r="AB322" s="231" t="s">
        <v>239</v>
      </c>
      <c r="AC322" s="232">
        <v>387.84141687888348</v>
      </c>
      <c r="AD322" s="231" t="s">
        <v>239</v>
      </c>
      <c r="AE322" s="232">
        <v>383.06321062293563</v>
      </c>
      <c r="AF322" s="231" t="s">
        <v>239</v>
      </c>
      <c r="AG322" s="232">
        <v>378.34387186806106</v>
      </c>
      <c r="AH322" s="231" t="s">
        <v>239</v>
      </c>
      <c r="AI322" s="232">
        <v>373.68267536664655</v>
      </c>
      <c r="AJ322" s="231" t="s">
        <v>239</v>
      </c>
      <c r="AK322" s="232">
        <v>369.07890480612946</v>
      </c>
      <c r="AL322" s="232" t="s">
        <v>239</v>
      </c>
      <c r="AM322" s="232">
        <v>4745.7911770358805</v>
      </c>
    </row>
    <row r="323" spans="1:39" ht="15" customHeight="1" outlineLevel="1">
      <c r="A323" s="411">
        <v>157</v>
      </c>
      <c r="B323" s="10">
        <v>129157</v>
      </c>
      <c r="C323" s="218" t="s">
        <v>1489</v>
      </c>
      <c r="D323" s="218" t="s">
        <v>1490</v>
      </c>
      <c r="E323" s="23" t="s">
        <v>44</v>
      </c>
      <c r="F323" s="17" t="s">
        <v>45</v>
      </c>
      <c r="G323" s="11" t="s">
        <v>1432</v>
      </c>
      <c r="H323" s="12">
        <v>24</v>
      </c>
      <c r="I323" s="11" t="s">
        <v>1433</v>
      </c>
      <c r="J323" s="374" t="s">
        <v>207</v>
      </c>
      <c r="K323" s="17" t="s">
        <v>233</v>
      </c>
      <c r="L323" s="17" t="s">
        <v>233</v>
      </c>
      <c r="M323" s="231">
        <v>21.8</v>
      </c>
      <c r="N323" s="233">
        <v>21.8</v>
      </c>
      <c r="O323" s="132">
        <v>21.8</v>
      </c>
      <c r="P323" s="231" t="s">
        <v>239</v>
      </c>
      <c r="Q323" s="233">
        <v>21.8</v>
      </c>
      <c r="R323" s="231" t="s">
        <v>239</v>
      </c>
      <c r="S323" s="231">
        <v>21.8</v>
      </c>
      <c r="T323" s="231" t="s">
        <v>239</v>
      </c>
      <c r="U323" s="132">
        <v>21.8</v>
      </c>
      <c r="V323" s="231" t="s">
        <v>239</v>
      </c>
      <c r="W323" s="233">
        <v>21.8</v>
      </c>
      <c r="X323" s="231" t="s">
        <v>239</v>
      </c>
      <c r="Y323" s="231">
        <v>21.8</v>
      </c>
      <c r="Z323" s="231" t="s">
        <v>239</v>
      </c>
      <c r="AA323" s="132">
        <v>21.8</v>
      </c>
      <c r="AB323" s="231" t="s">
        <v>239</v>
      </c>
      <c r="AC323" s="233">
        <v>21.8</v>
      </c>
      <c r="AD323" s="231" t="s">
        <v>239</v>
      </c>
      <c r="AE323" s="231">
        <v>21.8</v>
      </c>
      <c r="AF323" s="231" t="s">
        <v>239</v>
      </c>
      <c r="AG323" s="132">
        <v>21.8</v>
      </c>
      <c r="AH323" s="231" t="s">
        <v>239</v>
      </c>
      <c r="AI323" s="233">
        <v>21.8</v>
      </c>
      <c r="AJ323" s="231" t="s">
        <v>239</v>
      </c>
      <c r="AK323" s="231">
        <v>21.8</v>
      </c>
      <c r="AL323" s="232" t="s">
        <v>239</v>
      </c>
      <c r="AM323" s="232">
        <v>0</v>
      </c>
    </row>
    <row r="324" spans="1:39" ht="15" customHeight="1" outlineLevel="1">
      <c r="A324" s="412"/>
      <c r="B324" s="10">
        <v>129157</v>
      </c>
      <c r="C324" s="218" t="s">
        <v>1489</v>
      </c>
      <c r="D324" s="218" t="s">
        <v>1490</v>
      </c>
      <c r="E324" s="23" t="s">
        <v>138</v>
      </c>
      <c r="F324" s="17" t="s">
        <v>45</v>
      </c>
      <c r="G324" s="11" t="s">
        <v>1432</v>
      </c>
      <c r="H324" s="12">
        <v>16</v>
      </c>
      <c r="I324" s="11" t="s">
        <v>1433</v>
      </c>
      <c r="J324" s="375"/>
      <c r="K324" s="17" t="s">
        <v>233</v>
      </c>
      <c r="L324" s="17" t="s">
        <v>233</v>
      </c>
      <c r="M324" s="231">
        <v>24301</v>
      </c>
      <c r="N324" s="232">
        <v>24005.985860000001</v>
      </c>
      <c r="O324" s="132">
        <v>929</v>
      </c>
      <c r="P324" s="231" t="s">
        <v>239</v>
      </c>
      <c r="Q324" s="232">
        <v>917.55471999999997</v>
      </c>
      <c r="R324" s="231" t="s">
        <v>239</v>
      </c>
      <c r="S324" s="232">
        <v>906.25044584959994</v>
      </c>
      <c r="T324" s="231" t="s">
        <v>239</v>
      </c>
      <c r="U324" s="232">
        <v>895.08544035673287</v>
      </c>
      <c r="V324" s="231" t="s">
        <v>239</v>
      </c>
      <c r="W324" s="232">
        <v>884.05798773153788</v>
      </c>
      <c r="X324" s="231" t="s">
        <v>239</v>
      </c>
      <c r="Y324" s="232">
        <v>873.16639332268528</v>
      </c>
      <c r="Z324" s="231" t="s">
        <v>239</v>
      </c>
      <c r="AA324" s="232">
        <v>862.40898335694976</v>
      </c>
      <c r="AB324" s="231" t="s">
        <v>239</v>
      </c>
      <c r="AC324" s="232">
        <v>851.78410468199218</v>
      </c>
      <c r="AD324" s="231" t="s">
        <v>239</v>
      </c>
      <c r="AE324" s="232">
        <v>841.29012451231006</v>
      </c>
      <c r="AF324" s="231" t="s">
        <v>239</v>
      </c>
      <c r="AG324" s="232">
        <v>830.92543017831838</v>
      </c>
      <c r="AH324" s="231" t="s">
        <v>239</v>
      </c>
      <c r="AI324" s="232">
        <v>820.68842887852145</v>
      </c>
      <c r="AJ324" s="231" t="s">
        <v>239</v>
      </c>
      <c r="AK324" s="232">
        <v>810.57754743473811</v>
      </c>
      <c r="AL324" s="232" t="s">
        <v>239</v>
      </c>
      <c r="AM324" s="232">
        <v>10422.789606303386</v>
      </c>
    </row>
    <row r="325" spans="1:39" ht="15" customHeight="1" outlineLevel="1">
      <c r="A325" s="411">
        <v>158</v>
      </c>
      <c r="B325" s="10">
        <v>129158</v>
      </c>
      <c r="C325" s="218" t="s">
        <v>1489</v>
      </c>
      <c r="D325" s="218" t="s">
        <v>1490</v>
      </c>
      <c r="E325" s="23" t="s">
        <v>44</v>
      </c>
      <c r="F325" s="17" t="s">
        <v>45</v>
      </c>
      <c r="G325" s="11" t="s">
        <v>1432</v>
      </c>
      <c r="H325" s="12">
        <v>5</v>
      </c>
      <c r="I325" s="11" t="s">
        <v>1433</v>
      </c>
      <c r="J325" s="193" t="s">
        <v>1460</v>
      </c>
      <c r="K325" s="17" t="s">
        <v>233</v>
      </c>
      <c r="L325" s="17" t="s">
        <v>233</v>
      </c>
      <c r="M325" s="231">
        <v>12</v>
      </c>
      <c r="N325" s="232">
        <v>12</v>
      </c>
      <c r="O325" s="132">
        <v>12</v>
      </c>
      <c r="P325" s="231" t="s">
        <v>239</v>
      </c>
      <c r="Q325" s="232">
        <v>12</v>
      </c>
      <c r="R325" s="231" t="s">
        <v>239</v>
      </c>
      <c r="S325" s="231">
        <v>12</v>
      </c>
      <c r="T325" s="231" t="s">
        <v>239</v>
      </c>
      <c r="U325" s="132">
        <v>12</v>
      </c>
      <c r="V325" s="230" t="s">
        <v>239</v>
      </c>
      <c r="W325" s="232">
        <v>12</v>
      </c>
      <c r="X325" s="231" t="s">
        <v>239</v>
      </c>
      <c r="Y325" s="231">
        <v>12</v>
      </c>
      <c r="Z325" s="231" t="s">
        <v>239</v>
      </c>
      <c r="AA325" s="132">
        <v>12</v>
      </c>
      <c r="AB325" s="231" t="s">
        <v>239</v>
      </c>
      <c r="AC325" s="232">
        <v>12</v>
      </c>
      <c r="AD325" s="231" t="s">
        <v>239</v>
      </c>
      <c r="AE325" s="231">
        <v>12</v>
      </c>
      <c r="AF325" s="231" t="s">
        <v>239</v>
      </c>
      <c r="AG325" s="132">
        <v>12</v>
      </c>
      <c r="AH325" s="231" t="s">
        <v>239</v>
      </c>
      <c r="AI325" s="232">
        <v>12</v>
      </c>
      <c r="AJ325" s="231" t="s">
        <v>239</v>
      </c>
      <c r="AK325" s="231">
        <v>12</v>
      </c>
      <c r="AL325" s="232" t="s">
        <v>239</v>
      </c>
      <c r="AM325" s="232">
        <v>0</v>
      </c>
    </row>
    <row r="326" spans="1:39" ht="15" customHeight="1" outlineLevel="1">
      <c r="A326" s="412"/>
      <c r="B326" s="10">
        <v>129158</v>
      </c>
      <c r="C326" s="218" t="s">
        <v>1489</v>
      </c>
      <c r="D326" s="218" t="s">
        <v>1490</v>
      </c>
      <c r="E326" s="23" t="s">
        <v>44</v>
      </c>
      <c r="F326" s="17" t="s">
        <v>45</v>
      </c>
      <c r="G326" s="11" t="s">
        <v>1432</v>
      </c>
      <c r="H326" s="12">
        <v>17</v>
      </c>
      <c r="I326" s="11" t="s">
        <v>1433</v>
      </c>
      <c r="J326" s="193" t="s">
        <v>1442</v>
      </c>
      <c r="K326" s="17" t="s">
        <v>233</v>
      </c>
      <c r="L326" s="17" t="s">
        <v>233</v>
      </c>
      <c r="M326" s="231">
        <v>2188</v>
      </c>
      <c r="N326" s="232">
        <v>2161.43768</v>
      </c>
      <c r="O326" s="132">
        <v>76</v>
      </c>
      <c r="P326" s="231" t="s">
        <v>239</v>
      </c>
      <c r="Q326" s="232">
        <v>75.063680000000005</v>
      </c>
      <c r="R326" s="231" t="s">
        <v>239</v>
      </c>
      <c r="S326" s="232">
        <v>74.138895462400001</v>
      </c>
      <c r="T326" s="231" t="s">
        <v>239</v>
      </c>
      <c r="U326" s="232">
        <v>73.225504270303233</v>
      </c>
      <c r="V326" s="231" t="s">
        <v>239</v>
      </c>
      <c r="W326" s="232">
        <v>72.323366057693093</v>
      </c>
      <c r="X326" s="231" t="s">
        <v>239</v>
      </c>
      <c r="Y326" s="232">
        <v>71.432342187862318</v>
      </c>
      <c r="Z326" s="231" t="s">
        <v>239</v>
      </c>
      <c r="AA326" s="232">
        <v>70.552295732107851</v>
      </c>
      <c r="AB326" s="231" t="s">
        <v>239</v>
      </c>
      <c r="AC326" s="232">
        <v>69.683091448688288</v>
      </c>
      <c r="AD326" s="231" t="s">
        <v>239</v>
      </c>
      <c r="AE326" s="232">
        <v>68.824595762040445</v>
      </c>
      <c r="AF326" s="231" t="s">
        <v>239</v>
      </c>
      <c r="AG326" s="232">
        <v>67.97667674225211</v>
      </c>
      <c r="AH326" s="231" t="s">
        <v>239</v>
      </c>
      <c r="AI326" s="232">
        <v>67.139204084787565</v>
      </c>
      <c r="AJ326" s="231" t="s">
        <v>239</v>
      </c>
      <c r="AK326" s="232">
        <v>66.312049090462978</v>
      </c>
      <c r="AL326" s="232" t="s">
        <v>239</v>
      </c>
      <c r="AM326" s="232">
        <v>852.67170083859799</v>
      </c>
    </row>
    <row r="327" spans="1:39" ht="15" customHeight="1" outlineLevel="1">
      <c r="A327" s="411">
        <v>159</v>
      </c>
      <c r="B327" s="10">
        <v>129159</v>
      </c>
      <c r="C327" s="218" t="s">
        <v>1489</v>
      </c>
      <c r="D327" s="218" t="s">
        <v>1490</v>
      </c>
      <c r="E327" s="23" t="s">
        <v>138</v>
      </c>
      <c r="F327" s="17" t="s">
        <v>45</v>
      </c>
      <c r="G327" s="11" t="s">
        <v>1432</v>
      </c>
      <c r="H327" s="12">
        <v>19</v>
      </c>
      <c r="I327" s="11" t="s">
        <v>1433</v>
      </c>
      <c r="J327" s="193" t="s">
        <v>1460</v>
      </c>
      <c r="K327" s="17" t="s">
        <v>233</v>
      </c>
      <c r="L327" s="17" t="s">
        <v>233</v>
      </c>
      <c r="M327" s="231">
        <v>67</v>
      </c>
      <c r="N327" s="232">
        <v>67</v>
      </c>
      <c r="O327" s="231">
        <v>67</v>
      </c>
      <c r="P327" s="231" t="s">
        <v>239</v>
      </c>
      <c r="Q327" s="231">
        <v>67</v>
      </c>
      <c r="R327" s="231" t="s">
        <v>239</v>
      </c>
      <c r="S327" s="231">
        <v>67</v>
      </c>
      <c r="T327" s="231" t="s">
        <v>239</v>
      </c>
      <c r="U327" s="231">
        <v>67</v>
      </c>
      <c r="V327" s="231" t="s">
        <v>239</v>
      </c>
      <c r="W327" s="231">
        <v>67</v>
      </c>
      <c r="X327" s="231" t="s">
        <v>239</v>
      </c>
      <c r="Y327" s="231">
        <v>67</v>
      </c>
      <c r="Z327" s="231" t="s">
        <v>239</v>
      </c>
      <c r="AA327" s="231">
        <v>67</v>
      </c>
      <c r="AB327" s="231" t="s">
        <v>239</v>
      </c>
      <c r="AC327" s="231">
        <v>67</v>
      </c>
      <c r="AD327" s="231" t="s">
        <v>239</v>
      </c>
      <c r="AE327" s="231">
        <v>67</v>
      </c>
      <c r="AF327" s="231" t="s">
        <v>239</v>
      </c>
      <c r="AG327" s="231">
        <v>67</v>
      </c>
      <c r="AH327" s="231" t="s">
        <v>239</v>
      </c>
      <c r="AI327" s="231">
        <v>67</v>
      </c>
      <c r="AJ327" s="231" t="s">
        <v>239</v>
      </c>
      <c r="AK327" s="231">
        <v>67</v>
      </c>
      <c r="AL327" s="232" t="s">
        <v>239</v>
      </c>
      <c r="AM327" s="232">
        <v>0</v>
      </c>
    </row>
    <row r="328" spans="1:39" ht="15" customHeight="1" outlineLevel="1">
      <c r="A328" s="412"/>
      <c r="B328" s="10">
        <v>129159</v>
      </c>
      <c r="C328" s="218" t="s">
        <v>1489</v>
      </c>
      <c r="D328" s="218" t="s">
        <v>1490</v>
      </c>
      <c r="E328" s="23" t="s">
        <v>44</v>
      </c>
      <c r="F328" s="17" t="s">
        <v>45</v>
      </c>
      <c r="G328" s="11" t="s">
        <v>1432</v>
      </c>
      <c r="H328" s="12">
        <v>21</v>
      </c>
      <c r="I328" s="11" t="s">
        <v>1433</v>
      </c>
      <c r="J328" s="193" t="s">
        <v>1457</v>
      </c>
      <c r="K328" s="17" t="s">
        <v>233</v>
      </c>
      <c r="L328" s="17" t="s">
        <v>233</v>
      </c>
      <c r="M328" s="231">
        <v>24555</v>
      </c>
      <c r="N328" s="232">
        <v>24256.902299999998</v>
      </c>
      <c r="O328" s="132">
        <v>1158</v>
      </c>
      <c r="P328" s="231" t="s">
        <v>239</v>
      </c>
      <c r="Q328" s="232">
        <v>1143.73344</v>
      </c>
      <c r="R328" s="231" t="s">
        <v>239</v>
      </c>
      <c r="S328" s="232">
        <v>1129.6426440191999</v>
      </c>
      <c r="T328" s="231" t="s">
        <v>239</v>
      </c>
      <c r="U328" s="232">
        <v>1115.7254466448833</v>
      </c>
      <c r="V328" s="230" t="s">
        <v>239</v>
      </c>
      <c r="W328" s="232">
        <v>1101.9797091422183</v>
      </c>
      <c r="X328" s="231" t="s">
        <v>239</v>
      </c>
      <c r="Y328" s="232">
        <v>1088.4033191255862</v>
      </c>
      <c r="Z328" s="231" t="s">
        <v>239</v>
      </c>
      <c r="AA328" s="232">
        <v>1074.994190233959</v>
      </c>
      <c r="AB328" s="231" t="s">
        <v>239</v>
      </c>
      <c r="AC328" s="232">
        <v>1061.7502618102767</v>
      </c>
      <c r="AD328" s="231" t="s">
        <v>239</v>
      </c>
      <c r="AE328" s="232">
        <v>1048.6694985847741</v>
      </c>
      <c r="AF328" s="231" t="s">
        <v>239</v>
      </c>
      <c r="AG328" s="232">
        <v>1035.7498903622097</v>
      </c>
      <c r="AH328" s="231" t="s">
        <v>239</v>
      </c>
      <c r="AI328" s="232">
        <v>1022.9894517129474</v>
      </c>
      <c r="AJ328" s="231" t="s">
        <v>239</v>
      </c>
      <c r="AK328" s="232">
        <v>1010.3862216678439</v>
      </c>
      <c r="AL328" s="232" t="s">
        <v>239</v>
      </c>
      <c r="AM328" s="232">
        <v>12992.024073303895</v>
      </c>
    </row>
    <row r="329" spans="1:39" ht="15" customHeight="1" outlineLevel="1">
      <c r="A329" s="411">
        <v>160</v>
      </c>
      <c r="B329" s="10">
        <v>129160</v>
      </c>
      <c r="C329" s="218" t="s">
        <v>1489</v>
      </c>
      <c r="D329" s="218" t="s">
        <v>1490</v>
      </c>
      <c r="E329" s="23" t="s">
        <v>138</v>
      </c>
      <c r="F329" s="17" t="s">
        <v>45</v>
      </c>
      <c r="G329" s="11" t="s">
        <v>1432</v>
      </c>
      <c r="H329" s="12">
        <v>19</v>
      </c>
      <c r="I329" s="11" t="s">
        <v>1433</v>
      </c>
      <c r="J329" s="193" t="s">
        <v>617</v>
      </c>
      <c r="K329" s="17" t="s">
        <v>233</v>
      </c>
      <c r="L329" s="17" t="s">
        <v>233</v>
      </c>
      <c r="M329" s="231">
        <v>67</v>
      </c>
      <c r="N329" s="232">
        <v>67</v>
      </c>
      <c r="O329" s="231">
        <v>67</v>
      </c>
      <c r="P329" s="231" t="s">
        <v>239</v>
      </c>
      <c r="Q329" s="231">
        <v>67</v>
      </c>
      <c r="R329" s="231" t="s">
        <v>239</v>
      </c>
      <c r="S329" s="231">
        <v>67</v>
      </c>
      <c r="T329" s="231" t="s">
        <v>239</v>
      </c>
      <c r="U329" s="231">
        <v>67</v>
      </c>
      <c r="V329" s="231" t="s">
        <v>239</v>
      </c>
      <c r="W329" s="231">
        <v>67</v>
      </c>
      <c r="X329" s="231" t="s">
        <v>239</v>
      </c>
      <c r="Y329" s="231">
        <v>67</v>
      </c>
      <c r="Z329" s="231" t="s">
        <v>239</v>
      </c>
      <c r="AA329" s="231">
        <v>67</v>
      </c>
      <c r="AB329" s="231" t="s">
        <v>239</v>
      </c>
      <c r="AC329" s="231">
        <v>67</v>
      </c>
      <c r="AD329" s="231" t="s">
        <v>239</v>
      </c>
      <c r="AE329" s="231">
        <v>67</v>
      </c>
      <c r="AF329" s="231" t="s">
        <v>239</v>
      </c>
      <c r="AG329" s="231">
        <v>67</v>
      </c>
      <c r="AH329" s="231" t="s">
        <v>239</v>
      </c>
      <c r="AI329" s="231">
        <v>67</v>
      </c>
      <c r="AJ329" s="231" t="s">
        <v>239</v>
      </c>
      <c r="AK329" s="231">
        <v>67</v>
      </c>
      <c r="AL329" s="232" t="s">
        <v>239</v>
      </c>
      <c r="AM329" s="232">
        <v>0</v>
      </c>
    </row>
    <row r="330" spans="1:39" ht="15" customHeight="1" outlineLevel="1">
      <c r="A330" s="412"/>
      <c r="B330" s="10">
        <v>129160</v>
      </c>
      <c r="C330" s="218" t="s">
        <v>1489</v>
      </c>
      <c r="D330" s="218" t="s">
        <v>1490</v>
      </c>
      <c r="E330" s="23" t="s">
        <v>44</v>
      </c>
      <c r="F330" s="17" t="s">
        <v>45</v>
      </c>
      <c r="G330" s="11" t="s">
        <v>1432</v>
      </c>
      <c r="H330" s="12">
        <v>30</v>
      </c>
      <c r="I330" s="11" t="s">
        <v>1433</v>
      </c>
      <c r="J330" s="193" t="s">
        <v>216</v>
      </c>
      <c r="K330" s="17" t="s">
        <v>233</v>
      </c>
      <c r="L330" s="17" t="s">
        <v>233</v>
      </c>
      <c r="M330" s="231">
        <v>0</v>
      </c>
      <c r="N330" s="232">
        <v>0</v>
      </c>
      <c r="O330" s="132"/>
      <c r="P330" s="231" t="s">
        <v>239</v>
      </c>
      <c r="Q330" s="232">
        <v>0</v>
      </c>
      <c r="R330" s="231" t="s">
        <v>239</v>
      </c>
      <c r="S330" s="232">
        <v>0</v>
      </c>
      <c r="T330" s="231" t="s">
        <v>239</v>
      </c>
      <c r="U330" s="232">
        <v>0</v>
      </c>
      <c r="V330" s="231" t="s">
        <v>239</v>
      </c>
      <c r="W330" s="232">
        <v>0</v>
      </c>
      <c r="X330" s="231" t="s">
        <v>239</v>
      </c>
      <c r="Y330" s="232">
        <v>0</v>
      </c>
      <c r="Z330" s="231" t="s">
        <v>239</v>
      </c>
      <c r="AA330" s="232">
        <v>0</v>
      </c>
      <c r="AB330" s="231" t="s">
        <v>239</v>
      </c>
      <c r="AC330" s="232">
        <v>0</v>
      </c>
      <c r="AD330" s="231" t="s">
        <v>239</v>
      </c>
      <c r="AE330" s="232">
        <v>0</v>
      </c>
      <c r="AF330" s="231" t="s">
        <v>239</v>
      </c>
      <c r="AG330" s="232">
        <v>0</v>
      </c>
      <c r="AH330" s="231" t="s">
        <v>239</v>
      </c>
      <c r="AI330" s="232">
        <v>0</v>
      </c>
      <c r="AJ330" s="231" t="s">
        <v>239</v>
      </c>
      <c r="AK330" s="232">
        <v>0</v>
      </c>
      <c r="AL330" s="232" t="s">
        <v>239</v>
      </c>
      <c r="AM330" s="232">
        <v>0</v>
      </c>
    </row>
    <row r="331" spans="1:39" ht="15" customHeight="1" outlineLevel="1">
      <c r="A331" s="411">
        <v>161</v>
      </c>
      <c r="B331" s="10">
        <v>129161</v>
      </c>
      <c r="C331" s="218" t="s">
        <v>1489</v>
      </c>
      <c r="D331" s="218" t="s">
        <v>1490</v>
      </c>
      <c r="E331" s="23" t="s">
        <v>44</v>
      </c>
      <c r="F331" s="17" t="s">
        <v>45</v>
      </c>
      <c r="G331" s="11" t="s">
        <v>1432</v>
      </c>
      <c r="H331" s="12">
        <v>33</v>
      </c>
      <c r="I331" s="11" t="s">
        <v>1433</v>
      </c>
      <c r="J331" s="192" t="s">
        <v>1446</v>
      </c>
      <c r="K331" s="17" t="s">
        <v>233</v>
      </c>
      <c r="L331" s="17" t="s">
        <v>233</v>
      </c>
      <c r="M331" s="231">
        <v>2</v>
      </c>
      <c r="N331" s="232">
        <v>2</v>
      </c>
      <c r="O331" s="231">
        <v>2</v>
      </c>
      <c r="P331" s="231" t="s">
        <v>239</v>
      </c>
      <c r="Q331" s="231">
        <v>2</v>
      </c>
      <c r="R331" s="231" t="s">
        <v>239</v>
      </c>
      <c r="S331" s="231">
        <v>2</v>
      </c>
      <c r="T331" s="231" t="s">
        <v>239</v>
      </c>
      <c r="U331" s="231">
        <v>2</v>
      </c>
      <c r="V331" s="230" t="s">
        <v>239</v>
      </c>
      <c r="W331" s="231">
        <v>2</v>
      </c>
      <c r="X331" s="231" t="s">
        <v>239</v>
      </c>
      <c r="Y331" s="231">
        <v>2</v>
      </c>
      <c r="Z331" s="231" t="s">
        <v>239</v>
      </c>
      <c r="AA331" s="231">
        <v>2</v>
      </c>
      <c r="AB331" s="231" t="s">
        <v>239</v>
      </c>
      <c r="AC331" s="231">
        <v>2</v>
      </c>
      <c r="AD331" s="231" t="s">
        <v>239</v>
      </c>
      <c r="AE331" s="231">
        <v>2</v>
      </c>
      <c r="AF331" s="231" t="s">
        <v>239</v>
      </c>
      <c r="AG331" s="231">
        <v>2</v>
      </c>
      <c r="AH331" s="231" t="s">
        <v>239</v>
      </c>
      <c r="AI331" s="231">
        <v>2</v>
      </c>
      <c r="AJ331" s="231" t="s">
        <v>239</v>
      </c>
      <c r="AK331" s="231">
        <v>2</v>
      </c>
      <c r="AL331" s="232" t="s">
        <v>239</v>
      </c>
      <c r="AM331" s="232">
        <v>0</v>
      </c>
    </row>
    <row r="332" spans="1:39" ht="15" customHeight="1" outlineLevel="1">
      <c r="A332" s="412"/>
      <c r="B332" s="10">
        <v>129161</v>
      </c>
      <c r="C332" s="218" t="s">
        <v>1489</v>
      </c>
      <c r="D332" s="218" t="s">
        <v>1490</v>
      </c>
      <c r="E332" s="23" t="s">
        <v>138</v>
      </c>
      <c r="F332" s="17" t="s">
        <v>45</v>
      </c>
      <c r="G332" s="11" t="s">
        <v>1432</v>
      </c>
      <c r="H332" s="12">
        <v>19</v>
      </c>
      <c r="I332" s="11" t="s">
        <v>1433</v>
      </c>
      <c r="J332" s="192" t="s">
        <v>1481</v>
      </c>
      <c r="K332" s="17" t="s">
        <v>233</v>
      </c>
      <c r="L332" s="17" t="s">
        <v>233</v>
      </c>
      <c r="M332" s="231">
        <v>11725</v>
      </c>
      <c r="N332" s="232">
        <v>11582.6585</v>
      </c>
      <c r="O332" s="132">
        <v>1168</v>
      </c>
      <c r="P332" s="231" t="s">
        <v>239</v>
      </c>
      <c r="Q332" s="232">
        <v>1153.61024</v>
      </c>
      <c r="R332" s="231" t="s">
        <v>239</v>
      </c>
      <c r="S332" s="232">
        <v>1139.3977618432</v>
      </c>
      <c r="T332" s="231" t="s">
        <v>239</v>
      </c>
      <c r="U332" s="232">
        <v>1125.3603814172918</v>
      </c>
      <c r="V332" s="231" t="s">
        <v>239</v>
      </c>
      <c r="W332" s="232">
        <v>1111.4959415182309</v>
      </c>
      <c r="X332" s="231" t="s">
        <v>239</v>
      </c>
      <c r="Y332" s="232">
        <v>1097.8023115187264</v>
      </c>
      <c r="Z332" s="231" t="s">
        <v>239</v>
      </c>
      <c r="AA332" s="232">
        <v>1084.2773870408157</v>
      </c>
      <c r="AB332" s="231" t="s">
        <v>239</v>
      </c>
      <c r="AC332" s="232">
        <v>1070.9190896324728</v>
      </c>
      <c r="AD332" s="231" t="s">
        <v>239</v>
      </c>
      <c r="AE332" s="232">
        <v>1057.7253664482007</v>
      </c>
      <c r="AF332" s="231" t="s">
        <v>239</v>
      </c>
      <c r="AG332" s="232">
        <v>1044.6941899335588</v>
      </c>
      <c r="AH332" s="231" t="s">
        <v>239</v>
      </c>
      <c r="AI332" s="232">
        <v>1031.8235575135775</v>
      </c>
      <c r="AJ332" s="231" t="s">
        <v>239</v>
      </c>
      <c r="AK332" s="232">
        <v>1019.1114912850102</v>
      </c>
      <c r="AL332" s="232" t="s">
        <v>239</v>
      </c>
      <c r="AM332" s="232">
        <v>13104.217718151085</v>
      </c>
    </row>
    <row r="333" spans="1:39" ht="15" customHeight="1" outlineLevel="1">
      <c r="A333" s="411">
        <v>162</v>
      </c>
      <c r="B333" s="10">
        <v>129162</v>
      </c>
      <c r="C333" s="218" t="s">
        <v>1489</v>
      </c>
      <c r="D333" s="218" t="s">
        <v>1490</v>
      </c>
      <c r="E333" s="23" t="s">
        <v>44</v>
      </c>
      <c r="F333" s="17" t="s">
        <v>45</v>
      </c>
      <c r="G333" s="11" t="s">
        <v>1432</v>
      </c>
      <c r="H333" s="12">
        <v>6</v>
      </c>
      <c r="I333" s="11" t="s">
        <v>1433</v>
      </c>
      <c r="J333" s="192" t="s">
        <v>208</v>
      </c>
      <c r="K333" s="17" t="s">
        <v>233</v>
      </c>
      <c r="L333" s="17" t="s">
        <v>233</v>
      </c>
      <c r="M333" s="231">
        <v>2</v>
      </c>
      <c r="N333" s="232">
        <v>2</v>
      </c>
      <c r="O333" s="231">
        <v>2</v>
      </c>
      <c r="P333" s="231" t="s">
        <v>239</v>
      </c>
      <c r="Q333" s="231">
        <v>2</v>
      </c>
      <c r="R333" s="231" t="s">
        <v>239</v>
      </c>
      <c r="S333" s="231">
        <v>2</v>
      </c>
      <c r="T333" s="231" t="s">
        <v>239</v>
      </c>
      <c r="U333" s="231">
        <v>2</v>
      </c>
      <c r="V333" s="231" t="s">
        <v>239</v>
      </c>
      <c r="W333" s="231">
        <v>2</v>
      </c>
      <c r="X333" s="231" t="s">
        <v>239</v>
      </c>
      <c r="Y333" s="231">
        <v>2</v>
      </c>
      <c r="Z333" s="231" t="s">
        <v>239</v>
      </c>
      <c r="AA333" s="231">
        <v>2</v>
      </c>
      <c r="AB333" s="231" t="s">
        <v>239</v>
      </c>
      <c r="AC333" s="231">
        <v>2</v>
      </c>
      <c r="AD333" s="231" t="s">
        <v>239</v>
      </c>
      <c r="AE333" s="231">
        <v>2</v>
      </c>
      <c r="AF333" s="231" t="s">
        <v>239</v>
      </c>
      <c r="AG333" s="231">
        <v>2</v>
      </c>
      <c r="AH333" s="231" t="s">
        <v>239</v>
      </c>
      <c r="AI333" s="231">
        <v>2</v>
      </c>
      <c r="AJ333" s="231" t="s">
        <v>239</v>
      </c>
      <c r="AK333" s="231">
        <v>2</v>
      </c>
      <c r="AL333" s="232" t="s">
        <v>239</v>
      </c>
      <c r="AM333" s="232">
        <v>0</v>
      </c>
    </row>
    <row r="334" spans="1:39" ht="15" customHeight="1" outlineLevel="1">
      <c r="A334" s="412"/>
      <c r="B334" s="10">
        <v>129162</v>
      </c>
      <c r="C334" s="218" t="s">
        <v>1489</v>
      </c>
      <c r="D334" s="218" t="s">
        <v>1490</v>
      </c>
      <c r="E334" s="23" t="s">
        <v>138</v>
      </c>
      <c r="F334" s="17" t="s">
        <v>45</v>
      </c>
      <c r="G334" s="11" t="s">
        <v>1432</v>
      </c>
      <c r="H334" s="12">
        <v>15</v>
      </c>
      <c r="I334" s="11" t="s">
        <v>1433</v>
      </c>
      <c r="J334" s="192" t="s">
        <v>1463</v>
      </c>
      <c r="K334" s="17" t="s">
        <v>233</v>
      </c>
      <c r="L334" s="17" t="s">
        <v>233</v>
      </c>
      <c r="M334" s="231">
        <v>15228</v>
      </c>
      <c r="N334" s="232">
        <v>15043.132079999999</v>
      </c>
      <c r="O334" s="132">
        <v>708</v>
      </c>
      <c r="P334" s="231" t="s">
        <v>239</v>
      </c>
      <c r="Q334" s="232">
        <v>699.27743999999996</v>
      </c>
      <c r="R334" s="231" t="s">
        <v>239</v>
      </c>
      <c r="S334" s="232">
        <v>690.66234193919991</v>
      </c>
      <c r="T334" s="231" t="s">
        <v>239</v>
      </c>
      <c r="U334" s="232">
        <v>682.15338188650901</v>
      </c>
      <c r="V334" s="230" t="s">
        <v>239</v>
      </c>
      <c r="W334" s="232">
        <v>673.74925222166723</v>
      </c>
      <c r="X334" s="231" t="s">
        <v>239</v>
      </c>
      <c r="Y334" s="232">
        <v>665.44866143429624</v>
      </c>
      <c r="Z334" s="231" t="s">
        <v>239</v>
      </c>
      <c r="AA334" s="232">
        <v>657.25033392542571</v>
      </c>
      <c r="AB334" s="231" t="s">
        <v>239</v>
      </c>
      <c r="AC334" s="232">
        <v>649.15300981146447</v>
      </c>
      <c r="AD334" s="231" t="s">
        <v>239</v>
      </c>
      <c r="AE334" s="232">
        <v>641.15544473058719</v>
      </c>
      <c r="AF334" s="231" t="s">
        <v>239</v>
      </c>
      <c r="AG334" s="232">
        <v>633.25640965150637</v>
      </c>
      <c r="AH334" s="231" t="s">
        <v>239</v>
      </c>
      <c r="AI334" s="232">
        <v>625.45469068459977</v>
      </c>
      <c r="AJ334" s="231" t="s">
        <v>239</v>
      </c>
      <c r="AK334" s="232">
        <v>617.7490888953655</v>
      </c>
      <c r="AL334" s="232" t="s">
        <v>239</v>
      </c>
      <c r="AM334" s="232">
        <v>7943.3100551806201</v>
      </c>
    </row>
    <row r="335" spans="1:39" ht="15" customHeight="1" outlineLevel="1">
      <c r="A335" s="411">
        <v>163</v>
      </c>
      <c r="B335" s="10">
        <v>129163</v>
      </c>
      <c r="C335" s="218" t="s">
        <v>1489</v>
      </c>
      <c r="D335" s="218" t="s">
        <v>1490</v>
      </c>
      <c r="E335" s="23" t="s">
        <v>44</v>
      </c>
      <c r="F335" s="17" t="s">
        <v>45</v>
      </c>
      <c r="G335" s="11" t="s">
        <v>1432</v>
      </c>
      <c r="H335" s="12">
        <v>19</v>
      </c>
      <c r="I335" s="11" t="s">
        <v>1433</v>
      </c>
      <c r="J335" s="192" t="s">
        <v>1482</v>
      </c>
      <c r="K335" s="17" t="s">
        <v>233</v>
      </c>
      <c r="L335" s="17" t="s">
        <v>233</v>
      </c>
      <c r="M335" s="231">
        <v>2</v>
      </c>
      <c r="N335" s="232">
        <v>2</v>
      </c>
      <c r="O335" s="231">
        <v>2</v>
      </c>
      <c r="P335" s="231" t="s">
        <v>239</v>
      </c>
      <c r="Q335" s="231">
        <v>2</v>
      </c>
      <c r="R335" s="231" t="s">
        <v>239</v>
      </c>
      <c r="S335" s="231">
        <v>2</v>
      </c>
      <c r="T335" s="231" t="s">
        <v>239</v>
      </c>
      <c r="U335" s="231">
        <v>2</v>
      </c>
      <c r="V335" s="231" t="s">
        <v>239</v>
      </c>
      <c r="W335" s="231">
        <v>2</v>
      </c>
      <c r="X335" s="231" t="s">
        <v>239</v>
      </c>
      <c r="Y335" s="231">
        <v>2</v>
      </c>
      <c r="Z335" s="231" t="s">
        <v>239</v>
      </c>
      <c r="AA335" s="231">
        <v>2</v>
      </c>
      <c r="AB335" s="231" t="s">
        <v>239</v>
      </c>
      <c r="AC335" s="231">
        <v>2</v>
      </c>
      <c r="AD335" s="231" t="s">
        <v>239</v>
      </c>
      <c r="AE335" s="231">
        <v>2</v>
      </c>
      <c r="AF335" s="231" t="s">
        <v>239</v>
      </c>
      <c r="AG335" s="231">
        <v>2</v>
      </c>
      <c r="AH335" s="231" t="s">
        <v>239</v>
      </c>
      <c r="AI335" s="231">
        <v>2</v>
      </c>
      <c r="AJ335" s="231" t="s">
        <v>239</v>
      </c>
      <c r="AK335" s="231">
        <v>2</v>
      </c>
      <c r="AL335" s="232" t="s">
        <v>239</v>
      </c>
      <c r="AM335" s="232">
        <v>0</v>
      </c>
    </row>
    <row r="336" spans="1:39" ht="15" customHeight="1" outlineLevel="1">
      <c r="A336" s="412"/>
      <c r="B336" s="10">
        <v>129163</v>
      </c>
      <c r="C336" s="218" t="s">
        <v>1489</v>
      </c>
      <c r="D336" s="218" t="s">
        <v>1490</v>
      </c>
      <c r="E336" s="23" t="s">
        <v>138</v>
      </c>
      <c r="F336" s="17" t="s">
        <v>45</v>
      </c>
      <c r="G336" s="11" t="s">
        <v>1432</v>
      </c>
      <c r="H336" s="12">
        <v>22</v>
      </c>
      <c r="I336" s="11" t="s">
        <v>1433</v>
      </c>
      <c r="J336" s="192" t="s">
        <v>1462</v>
      </c>
      <c r="K336" s="17" t="s">
        <v>233</v>
      </c>
      <c r="L336" s="17" t="s">
        <v>233</v>
      </c>
      <c r="M336" s="231">
        <v>0</v>
      </c>
      <c r="N336" s="232">
        <v>0</v>
      </c>
      <c r="O336" s="132"/>
      <c r="P336" s="231" t="s">
        <v>239</v>
      </c>
      <c r="Q336" s="232">
        <v>0</v>
      </c>
      <c r="R336" s="231" t="s">
        <v>239</v>
      </c>
      <c r="S336" s="232">
        <v>0</v>
      </c>
      <c r="T336" s="231" t="s">
        <v>239</v>
      </c>
      <c r="U336" s="232">
        <v>0</v>
      </c>
      <c r="V336" s="231" t="s">
        <v>239</v>
      </c>
      <c r="W336" s="232">
        <v>0</v>
      </c>
      <c r="X336" s="231" t="s">
        <v>239</v>
      </c>
      <c r="Y336" s="232">
        <v>0</v>
      </c>
      <c r="Z336" s="231" t="s">
        <v>239</v>
      </c>
      <c r="AA336" s="232">
        <v>0</v>
      </c>
      <c r="AB336" s="231" t="s">
        <v>239</v>
      </c>
      <c r="AC336" s="232">
        <v>0</v>
      </c>
      <c r="AD336" s="231" t="s">
        <v>239</v>
      </c>
      <c r="AE336" s="232">
        <v>0</v>
      </c>
      <c r="AF336" s="231" t="s">
        <v>239</v>
      </c>
      <c r="AG336" s="232">
        <v>0</v>
      </c>
      <c r="AH336" s="231" t="s">
        <v>239</v>
      </c>
      <c r="AI336" s="232">
        <v>0</v>
      </c>
      <c r="AJ336" s="231" t="s">
        <v>239</v>
      </c>
      <c r="AK336" s="232">
        <v>0</v>
      </c>
      <c r="AL336" s="232" t="s">
        <v>239</v>
      </c>
      <c r="AM336" s="232">
        <v>0</v>
      </c>
    </row>
    <row r="337" spans="1:39" ht="15" customHeight="1" outlineLevel="1">
      <c r="A337" s="411">
        <v>164</v>
      </c>
      <c r="B337" s="10">
        <v>129164</v>
      </c>
      <c r="C337" s="218" t="s">
        <v>1489</v>
      </c>
      <c r="D337" s="218" t="s">
        <v>1490</v>
      </c>
      <c r="E337" s="23" t="s">
        <v>44</v>
      </c>
      <c r="F337" s="17" t="s">
        <v>45</v>
      </c>
      <c r="G337" s="11" t="s">
        <v>1432</v>
      </c>
      <c r="H337" s="12">
        <v>24</v>
      </c>
      <c r="I337" s="11" t="s">
        <v>1433</v>
      </c>
      <c r="J337" s="192" t="s">
        <v>1457</v>
      </c>
      <c r="K337" s="17" t="s">
        <v>233</v>
      </c>
      <c r="L337" s="17" t="s">
        <v>233</v>
      </c>
      <c r="M337" s="231">
        <v>12</v>
      </c>
      <c r="N337" s="232">
        <v>12</v>
      </c>
      <c r="O337" s="231">
        <v>12</v>
      </c>
      <c r="P337" s="231" t="s">
        <v>239</v>
      </c>
      <c r="Q337" s="231">
        <v>12</v>
      </c>
      <c r="R337" s="231" t="s">
        <v>239</v>
      </c>
      <c r="S337" s="231">
        <v>12</v>
      </c>
      <c r="T337" s="231" t="s">
        <v>239</v>
      </c>
      <c r="U337" s="231">
        <v>12</v>
      </c>
      <c r="V337" s="230" t="s">
        <v>239</v>
      </c>
      <c r="W337" s="231">
        <v>12</v>
      </c>
      <c r="X337" s="231" t="s">
        <v>239</v>
      </c>
      <c r="Y337" s="231">
        <v>12</v>
      </c>
      <c r="Z337" s="231" t="s">
        <v>239</v>
      </c>
      <c r="AA337" s="231">
        <v>12</v>
      </c>
      <c r="AB337" s="231" t="s">
        <v>239</v>
      </c>
      <c r="AC337" s="231">
        <v>12</v>
      </c>
      <c r="AD337" s="231" t="s">
        <v>239</v>
      </c>
      <c r="AE337" s="231">
        <v>12</v>
      </c>
      <c r="AF337" s="231" t="s">
        <v>239</v>
      </c>
      <c r="AG337" s="231">
        <v>12</v>
      </c>
      <c r="AH337" s="231" t="s">
        <v>239</v>
      </c>
      <c r="AI337" s="231">
        <v>12</v>
      </c>
      <c r="AJ337" s="231" t="s">
        <v>239</v>
      </c>
      <c r="AK337" s="231">
        <v>12</v>
      </c>
      <c r="AL337" s="232" t="s">
        <v>239</v>
      </c>
      <c r="AM337" s="232">
        <v>0</v>
      </c>
    </row>
    <row r="338" spans="1:39" ht="15" customHeight="1" outlineLevel="1">
      <c r="A338" s="412"/>
      <c r="B338" s="10">
        <v>129164</v>
      </c>
      <c r="C338" s="218" t="s">
        <v>1489</v>
      </c>
      <c r="D338" s="218" t="s">
        <v>1490</v>
      </c>
      <c r="E338" s="23" t="s">
        <v>138</v>
      </c>
      <c r="F338" s="17" t="s">
        <v>45</v>
      </c>
      <c r="G338" s="11" t="s">
        <v>1432</v>
      </c>
      <c r="H338" s="12">
        <v>16</v>
      </c>
      <c r="I338" s="11" t="s">
        <v>1433</v>
      </c>
      <c r="J338" s="192" t="s">
        <v>617</v>
      </c>
      <c r="K338" s="17" t="s">
        <v>233</v>
      </c>
      <c r="L338" s="17" t="s">
        <v>233</v>
      </c>
      <c r="M338" s="231">
        <v>3774</v>
      </c>
      <c r="N338" s="232">
        <v>3728.1836399999997</v>
      </c>
      <c r="O338" s="132">
        <v>919</v>
      </c>
      <c r="P338" s="231" t="s">
        <v>239</v>
      </c>
      <c r="Q338" s="232">
        <v>907.67791999999997</v>
      </c>
      <c r="R338" s="231" t="s">
        <v>239</v>
      </c>
      <c r="S338" s="232">
        <v>896.49532802559997</v>
      </c>
      <c r="T338" s="231" t="s">
        <v>239</v>
      </c>
      <c r="U338" s="232">
        <v>885.45050558432456</v>
      </c>
      <c r="V338" s="231" t="s">
        <v>239</v>
      </c>
      <c r="W338" s="232">
        <v>874.54175535552565</v>
      </c>
      <c r="X338" s="231" t="s">
        <v>239</v>
      </c>
      <c r="Y338" s="232">
        <v>863.7674009295456</v>
      </c>
      <c r="Z338" s="231" t="s">
        <v>239</v>
      </c>
      <c r="AA338" s="232">
        <v>853.12578655009361</v>
      </c>
      <c r="AB338" s="231" t="s">
        <v>239</v>
      </c>
      <c r="AC338" s="232">
        <v>842.6152768597965</v>
      </c>
      <c r="AD338" s="231" t="s">
        <v>239</v>
      </c>
      <c r="AE338" s="232">
        <v>832.23425664888384</v>
      </c>
      <c r="AF338" s="231" t="s">
        <v>239</v>
      </c>
      <c r="AG338" s="232">
        <v>821.9811306069696</v>
      </c>
      <c r="AH338" s="231" t="s">
        <v>239</v>
      </c>
      <c r="AI338" s="232">
        <v>811.85432307789176</v>
      </c>
      <c r="AJ338" s="231" t="s">
        <v>239</v>
      </c>
      <c r="AK338" s="232">
        <v>801.85227781757214</v>
      </c>
      <c r="AL338" s="232" t="s">
        <v>239</v>
      </c>
      <c r="AM338" s="232">
        <v>10310.595961456205</v>
      </c>
    </row>
    <row r="339" spans="1:39" ht="15" customHeight="1" outlineLevel="1">
      <c r="A339" s="411">
        <v>165</v>
      </c>
      <c r="B339" s="10">
        <v>129165</v>
      </c>
      <c r="C339" s="218" t="s">
        <v>1489</v>
      </c>
      <c r="D339" s="218" t="s">
        <v>1490</v>
      </c>
      <c r="E339" s="23" t="s">
        <v>44</v>
      </c>
      <c r="F339" s="17" t="s">
        <v>45</v>
      </c>
      <c r="G339" s="11" t="s">
        <v>1432</v>
      </c>
      <c r="H339" s="12">
        <v>5</v>
      </c>
      <c r="I339" s="11" t="s">
        <v>1433</v>
      </c>
      <c r="J339" s="374" t="s">
        <v>1457</v>
      </c>
      <c r="K339" s="17" t="s">
        <v>233</v>
      </c>
      <c r="L339" s="17" t="s">
        <v>233</v>
      </c>
      <c r="M339" s="231">
        <v>44</v>
      </c>
      <c r="N339" s="231">
        <v>44</v>
      </c>
      <c r="O339" s="231">
        <v>44</v>
      </c>
      <c r="P339" s="231" t="s">
        <v>239</v>
      </c>
      <c r="Q339" s="231">
        <v>44</v>
      </c>
      <c r="R339" s="231" t="s">
        <v>239</v>
      </c>
      <c r="S339" s="231">
        <v>44</v>
      </c>
      <c r="T339" s="231" t="s">
        <v>239</v>
      </c>
      <c r="U339" s="231">
        <v>44</v>
      </c>
      <c r="V339" s="231" t="s">
        <v>239</v>
      </c>
      <c r="W339" s="231">
        <v>44</v>
      </c>
      <c r="X339" s="231" t="s">
        <v>239</v>
      </c>
      <c r="Y339" s="231">
        <v>44</v>
      </c>
      <c r="Z339" s="231" t="s">
        <v>239</v>
      </c>
      <c r="AA339" s="231">
        <v>44</v>
      </c>
      <c r="AB339" s="231" t="s">
        <v>239</v>
      </c>
      <c r="AC339" s="231">
        <v>44</v>
      </c>
      <c r="AD339" s="231" t="s">
        <v>239</v>
      </c>
      <c r="AE339" s="231">
        <v>44</v>
      </c>
      <c r="AF339" s="231" t="s">
        <v>239</v>
      </c>
      <c r="AG339" s="231">
        <v>44</v>
      </c>
      <c r="AH339" s="231" t="s">
        <v>239</v>
      </c>
      <c r="AI339" s="231">
        <v>44</v>
      </c>
      <c r="AJ339" s="231" t="s">
        <v>239</v>
      </c>
      <c r="AK339" s="231">
        <v>44</v>
      </c>
      <c r="AL339" s="232" t="s">
        <v>239</v>
      </c>
      <c r="AM339" s="232">
        <v>0</v>
      </c>
    </row>
    <row r="340" spans="1:39" ht="15" customHeight="1" outlineLevel="1">
      <c r="A340" s="412"/>
      <c r="B340" s="10">
        <v>129165</v>
      </c>
      <c r="C340" s="218" t="s">
        <v>1489</v>
      </c>
      <c r="D340" s="218" t="s">
        <v>1490</v>
      </c>
      <c r="E340" s="23" t="s">
        <v>44</v>
      </c>
      <c r="F340" s="17" t="s">
        <v>45</v>
      </c>
      <c r="G340" s="11" t="s">
        <v>1432</v>
      </c>
      <c r="H340" s="12">
        <v>17</v>
      </c>
      <c r="I340" s="11" t="s">
        <v>1433</v>
      </c>
      <c r="J340" s="375"/>
      <c r="K340" s="17" t="s">
        <v>233</v>
      </c>
      <c r="L340" s="17" t="s">
        <v>233</v>
      </c>
      <c r="M340" s="231">
        <v>80036</v>
      </c>
      <c r="N340" s="232">
        <v>79064.362959999999</v>
      </c>
      <c r="O340" s="132">
        <v>3538</v>
      </c>
      <c r="P340" s="231" t="s">
        <v>239</v>
      </c>
      <c r="Q340" s="232">
        <v>3494.4118400000002</v>
      </c>
      <c r="R340" s="231" t="s">
        <v>239</v>
      </c>
      <c r="S340" s="232">
        <v>3451.3606861312001</v>
      </c>
      <c r="T340" s="231" t="s">
        <v>239</v>
      </c>
      <c r="U340" s="232">
        <v>3408.8399224780637</v>
      </c>
      <c r="V340" s="230" t="s">
        <v>239</v>
      </c>
      <c r="W340" s="232">
        <v>3366.8430146331339</v>
      </c>
      <c r="X340" s="231" t="s">
        <v>239</v>
      </c>
      <c r="Y340" s="232">
        <v>3325.3635086928539</v>
      </c>
      <c r="Z340" s="231" t="s">
        <v>239</v>
      </c>
      <c r="AA340" s="232">
        <v>3284.3950302657581</v>
      </c>
      <c r="AB340" s="231" t="s">
        <v>239</v>
      </c>
      <c r="AC340" s="232">
        <v>3243.9312834928842</v>
      </c>
      <c r="AD340" s="231" t="s">
        <v>239</v>
      </c>
      <c r="AE340" s="232">
        <v>3203.966050080252</v>
      </c>
      <c r="AF340" s="231" t="s">
        <v>239</v>
      </c>
      <c r="AG340" s="232">
        <v>3164.4931883432632</v>
      </c>
      <c r="AH340" s="231" t="s">
        <v>239</v>
      </c>
      <c r="AI340" s="232">
        <v>3125.5066322628741</v>
      </c>
      <c r="AJ340" s="231" t="s">
        <v>239</v>
      </c>
      <c r="AK340" s="232">
        <v>3087.0003905533954</v>
      </c>
      <c r="AL340" s="232" t="s">
        <v>239</v>
      </c>
      <c r="AM340" s="232">
        <v>39694.11154693368</v>
      </c>
    </row>
    <row r="341" spans="1:39" ht="15" customHeight="1" outlineLevel="1">
      <c r="A341" s="411">
        <v>166</v>
      </c>
      <c r="B341" s="10">
        <v>129166</v>
      </c>
      <c r="C341" s="218" t="s">
        <v>1489</v>
      </c>
      <c r="D341" s="218" t="s">
        <v>1490</v>
      </c>
      <c r="E341" s="23" t="s">
        <v>138</v>
      </c>
      <c r="F341" s="17" t="s">
        <v>45</v>
      </c>
      <c r="G341" s="11" t="s">
        <v>1432</v>
      </c>
      <c r="H341" s="12">
        <v>19</v>
      </c>
      <c r="I341" s="11" t="s">
        <v>1433</v>
      </c>
      <c r="J341" s="193" t="s">
        <v>1460</v>
      </c>
      <c r="K341" s="17" t="s">
        <v>233</v>
      </c>
      <c r="L341" s="17" t="s">
        <v>233</v>
      </c>
      <c r="M341" s="231">
        <v>44</v>
      </c>
      <c r="N341" s="231">
        <v>44</v>
      </c>
      <c r="O341" s="231">
        <v>44</v>
      </c>
      <c r="P341" s="231" t="s">
        <v>239</v>
      </c>
      <c r="Q341" s="231">
        <v>44</v>
      </c>
      <c r="R341" s="231" t="s">
        <v>239</v>
      </c>
      <c r="S341" s="231">
        <v>44</v>
      </c>
      <c r="T341" s="231" t="s">
        <v>239</v>
      </c>
      <c r="U341" s="231">
        <v>44</v>
      </c>
      <c r="V341" s="231" t="s">
        <v>239</v>
      </c>
      <c r="W341" s="231">
        <v>44</v>
      </c>
      <c r="X341" s="231" t="s">
        <v>239</v>
      </c>
      <c r="Y341" s="231">
        <v>44</v>
      </c>
      <c r="Z341" s="231" t="s">
        <v>239</v>
      </c>
      <c r="AA341" s="231">
        <v>44</v>
      </c>
      <c r="AB341" s="231" t="s">
        <v>239</v>
      </c>
      <c r="AC341" s="231">
        <v>44</v>
      </c>
      <c r="AD341" s="231" t="s">
        <v>239</v>
      </c>
      <c r="AE341" s="231">
        <v>44</v>
      </c>
      <c r="AF341" s="231" t="s">
        <v>239</v>
      </c>
      <c r="AG341" s="231">
        <v>44</v>
      </c>
      <c r="AH341" s="231" t="s">
        <v>239</v>
      </c>
      <c r="AI341" s="231">
        <v>44</v>
      </c>
      <c r="AJ341" s="231" t="s">
        <v>239</v>
      </c>
      <c r="AK341" s="231">
        <v>44</v>
      </c>
      <c r="AL341" s="232" t="s">
        <v>239</v>
      </c>
      <c r="AM341" s="232">
        <v>0</v>
      </c>
    </row>
    <row r="342" spans="1:39" ht="15" customHeight="1" outlineLevel="1">
      <c r="A342" s="412"/>
      <c r="B342" s="10">
        <v>129166</v>
      </c>
      <c r="C342" s="218" t="s">
        <v>1489</v>
      </c>
      <c r="D342" s="218" t="s">
        <v>1490</v>
      </c>
      <c r="E342" s="23" t="s">
        <v>44</v>
      </c>
      <c r="F342" s="17" t="s">
        <v>45</v>
      </c>
      <c r="G342" s="11" t="s">
        <v>1432</v>
      </c>
      <c r="H342" s="12">
        <v>18</v>
      </c>
      <c r="I342" s="11" t="s">
        <v>1433</v>
      </c>
      <c r="J342" s="193" t="s">
        <v>1442</v>
      </c>
      <c r="K342" s="17" t="s">
        <v>233</v>
      </c>
      <c r="L342" s="17" t="s">
        <v>233</v>
      </c>
      <c r="M342" s="231">
        <v>0</v>
      </c>
      <c r="N342" s="232">
        <v>0</v>
      </c>
      <c r="O342" s="132"/>
      <c r="P342" s="231" t="s">
        <v>239</v>
      </c>
      <c r="Q342" s="232">
        <v>0</v>
      </c>
      <c r="R342" s="231" t="s">
        <v>239</v>
      </c>
      <c r="S342" s="232">
        <v>0</v>
      </c>
      <c r="T342" s="231" t="s">
        <v>239</v>
      </c>
      <c r="U342" s="232">
        <v>0</v>
      </c>
      <c r="V342" s="231" t="s">
        <v>239</v>
      </c>
      <c r="W342" s="232">
        <v>0</v>
      </c>
      <c r="X342" s="231" t="s">
        <v>239</v>
      </c>
      <c r="Y342" s="232">
        <v>0</v>
      </c>
      <c r="Z342" s="231" t="s">
        <v>239</v>
      </c>
      <c r="AA342" s="232">
        <v>0</v>
      </c>
      <c r="AB342" s="231" t="s">
        <v>239</v>
      </c>
      <c r="AC342" s="232">
        <v>0</v>
      </c>
      <c r="AD342" s="231" t="s">
        <v>239</v>
      </c>
      <c r="AE342" s="232">
        <v>0</v>
      </c>
      <c r="AF342" s="231" t="s">
        <v>239</v>
      </c>
      <c r="AG342" s="232">
        <v>0</v>
      </c>
      <c r="AH342" s="231" t="s">
        <v>239</v>
      </c>
      <c r="AI342" s="232">
        <v>0</v>
      </c>
      <c r="AJ342" s="231" t="s">
        <v>239</v>
      </c>
      <c r="AK342" s="232">
        <v>0</v>
      </c>
      <c r="AL342" s="232" t="s">
        <v>239</v>
      </c>
      <c r="AM342" s="232">
        <v>0</v>
      </c>
    </row>
    <row r="343" spans="1:39" ht="15" customHeight="1" outlineLevel="1">
      <c r="A343" s="411">
        <v>167</v>
      </c>
      <c r="B343" s="10">
        <v>129167</v>
      </c>
      <c r="C343" s="218" t="s">
        <v>1489</v>
      </c>
      <c r="D343" s="218" t="s">
        <v>1490</v>
      </c>
      <c r="E343" s="23" t="s">
        <v>138</v>
      </c>
      <c r="F343" s="17" t="s">
        <v>45</v>
      </c>
      <c r="G343" s="11" t="s">
        <v>1432</v>
      </c>
      <c r="H343" s="12">
        <v>21</v>
      </c>
      <c r="I343" s="11" t="s">
        <v>1433</v>
      </c>
      <c r="J343" s="193" t="s">
        <v>1460</v>
      </c>
      <c r="K343" s="17" t="s">
        <v>233</v>
      </c>
      <c r="L343" s="17" t="s">
        <v>233</v>
      </c>
      <c r="M343" s="231">
        <v>22.6</v>
      </c>
      <c r="N343" s="231">
        <v>22.6</v>
      </c>
      <c r="O343" s="231">
        <v>22.6</v>
      </c>
      <c r="P343" s="231" t="s">
        <v>239</v>
      </c>
      <c r="Q343" s="231">
        <v>22.6</v>
      </c>
      <c r="R343" s="231" t="s">
        <v>239</v>
      </c>
      <c r="S343" s="231">
        <v>22.6</v>
      </c>
      <c r="T343" s="231" t="s">
        <v>239</v>
      </c>
      <c r="U343" s="231">
        <v>22.6</v>
      </c>
      <c r="V343" s="230" t="s">
        <v>239</v>
      </c>
      <c r="W343" s="231">
        <v>22.6</v>
      </c>
      <c r="X343" s="231" t="s">
        <v>239</v>
      </c>
      <c r="Y343" s="231">
        <v>22.6</v>
      </c>
      <c r="Z343" s="231" t="s">
        <v>239</v>
      </c>
      <c r="AA343" s="231">
        <v>22.6</v>
      </c>
      <c r="AB343" s="231" t="s">
        <v>239</v>
      </c>
      <c r="AC343" s="231">
        <v>22.6</v>
      </c>
      <c r="AD343" s="231" t="s">
        <v>239</v>
      </c>
      <c r="AE343" s="231">
        <v>22.6</v>
      </c>
      <c r="AF343" s="231" t="s">
        <v>239</v>
      </c>
      <c r="AG343" s="231">
        <v>22.6</v>
      </c>
      <c r="AH343" s="231" t="s">
        <v>239</v>
      </c>
      <c r="AI343" s="231">
        <v>22.6</v>
      </c>
      <c r="AJ343" s="231" t="s">
        <v>239</v>
      </c>
      <c r="AK343" s="231">
        <v>22.6</v>
      </c>
      <c r="AL343" s="232" t="s">
        <v>239</v>
      </c>
      <c r="AM343" s="232">
        <v>0</v>
      </c>
    </row>
    <row r="344" spans="1:39" ht="15" customHeight="1" outlineLevel="1">
      <c r="A344" s="412"/>
      <c r="B344" s="10">
        <v>129167</v>
      </c>
      <c r="C344" s="218" t="s">
        <v>1489</v>
      </c>
      <c r="D344" s="218" t="s">
        <v>1490</v>
      </c>
      <c r="E344" s="23" t="s">
        <v>44</v>
      </c>
      <c r="F344" s="17" t="s">
        <v>45</v>
      </c>
      <c r="G344" s="11" t="s">
        <v>1432</v>
      </c>
      <c r="H344" s="12">
        <v>19</v>
      </c>
      <c r="I344" s="11" t="s">
        <v>1433</v>
      </c>
      <c r="J344" s="193" t="s">
        <v>1457</v>
      </c>
      <c r="K344" s="17" t="s">
        <v>233</v>
      </c>
      <c r="L344" s="17" t="s">
        <v>233</v>
      </c>
      <c r="M344" s="231">
        <v>3726</v>
      </c>
      <c r="N344" s="232">
        <v>3680.7663600000001</v>
      </c>
      <c r="O344" s="132">
        <v>438</v>
      </c>
      <c r="P344" s="231" t="s">
        <v>239</v>
      </c>
      <c r="Q344" s="232">
        <v>432.60383999999999</v>
      </c>
      <c r="R344" s="231" t="s">
        <v>239</v>
      </c>
      <c r="S344" s="232">
        <v>427.2741606912</v>
      </c>
      <c r="T344" s="231" t="s">
        <v>239</v>
      </c>
      <c r="U344" s="232">
        <v>422.0101430314844</v>
      </c>
      <c r="V344" s="231" t="s">
        <v>239</v>
      </c>
      <c r="W344" s="232">
        <v>416.8109780693365</v>
      </c>
      <c r="X344" s="231" t="s">
        <v>239</v>
      </c>
      <c r="Y344" s="232">
        <v>411.6758668195223</v>
      </c>
      <c r="Z344" s="231" t="s">
        <v>239</v>
      </c>
      <c r="AA344" s="232">
        <v>406.60402014030581</v>
      </c>
      <c r="AB344" s="231" t="s">
        <v>239</v>
      </c>
      <c r="AC344" s="232">
        <v>401.59465861217723</v>
      </c>
      <c r="AD344" s="231" t="s">
        <v>239</v>
      </c>
      <c r="AE344" s="232">
        <v>396.64701241807518</v>
      </c>
      <c r="AF344" s="231" t="s">
        <v>239</v>
      </c>
      <c r="AG344" s="232">
        <v>391.76032122508451</v>
      </c>
      <c r="AH344" s="231" t="s">
        <v>239</v>
      </c>
      <c r="AI344" s="232">
        <v>386.93383406759148</v>
      </c>
      <c r="AJ344" s="231" t="s">
        <v>239</v>
      </c>
      <c r="AK344" s="232">
        <v>382.16680923187874</v>
      </c>
      <c r="AL344" s="232" t="s">
        <v>239</v>
      </c>
      <c r="AM344" s="232">
        <v>4914.0816443066551</v>
      </c>
    </row>
    <row r="345" spans="1:39" ht="15" customHeight="1" outlineLevel="1">
      <c r="A345" s="411">
        <v>168</v>
      </c>
      <c r="B345" s="10">
        <v>129168</v>
      </c>
      <c r="C345" s="218" t="s">
        <v>1489</v>
      </c>
      <c r="D345" s="218" t="s">
        <v>1490</v>
      </c>
      <c r="E345" s="23" t="s">
        <v>44</v>
      </c>
      <c r="F345" s="17" t="s">
        <v>45</v>
      </c>
      <c r="G345" s="11" t="s">
        <v>1432</v>
      </c>
      <c r="H345" s="12">
        <v>30</v>
      </c>
      <c r="I345" s="11" t="s">
        <v>1433</v>
      </c>
      <c r="J345" s="193" t="s">
        <v>617</v>
      </c>
      <c r="K345" s="17" t="s">
        <v>233</v>
      </c>
      <c r="L345" s="17" t="s">
        <v>233</v>
      </c>
      <c r="M345" s="231">
        <v>22.6</v>
      </c>
      <c r="N345" s="231">
        <v>22.6</v>
      </c>
      <c r="O345" s="231">
        <v>22.6</v>
      </c>
      <c r="P345" s="231" t="s">
        <v>239</v>
      </c>
      <c r="Q345" s="231">
        <v>22.6</v>
      </c>
      <c r="R345" s="231" t="s">
        <v>239</v>
      </c>
      <c r="S345" s="231">
        <v>22.6</v>
      </c>
      <c r="T345" s="231" t="s">
        <v>239</v>
      </c>
      <c r="U345" s="231">
        <v>22.6</v>
      </c>
      <c r="V345" s="231" t="s">
        <v>239</v>
      </c>
      <c r="W345" s="231">
        <v>22.6</v>
      </c>
      <c r="X345" s="231" t="s">
        <v>239</v>
      </c>
      <c r="Y345" s="231">
        <v>22.6</v>
      </c>
      <c r="Z345" s="231" t="s">
        <v>239</v>
      </c>
      <c r="AA345" s="231">
        <v>22.6</v>
      </c>
      <c r="AB345" s="231" t="s">
        <v>239</v>
      </c>
      <c r="AC345" s="231">
        <v>22.6</v>
      </c>
      <c r="AD345" s="231" t="s">
        <v>239</v>
      </c>
      <c r="AE345" s="231">
        <v>22.6</v>
      </c>
      <c r="AF345" s="231" t="s">
        <v>239</v>
      </c>
      <c r="AG345" s="231">
        <v>22.6</v>
      </c>
      <c r="AH345" s="231" t="s">
        <v>239</v>
      </c>
      <c r="AI345" s="231">
        <v>22.6</v>
      </c>
      <c r="AJ345" s="231" t="s">
        <v>239</v>
      </c>
      <c r="AK345" s="231">
        <v>22.6</v>
      </c>
      <c r="AL345" s="232" t="s">
        <v>239</v>
      </c>
      <c r="AM345" s="232">
        <v>0</v>
      </c>
    </row>
    <row r="346" spans="1:39" ht="15" customHeight="1" outlineLevel="1">
      <c r="A346" s="412"/>
      <c r="B346" s="10">
        <v>129168</v>
      </c>
      <c r="C346" s="218" t="s">
        <v>1489</v>
      </c>
      <c r="D346" s="218" t="s">
        <v>1490</v>
      </c>
      <c r="E346" s="23" t="s">
        <v>138</v>
      </c>
      <c r="F346" s="17" t="s">
        <v>45</v>
      </c>
      <c r="G346" s="11" t="s">
        <v>1432</v>
      </c>
      <c r="H346" s="12">
        <v>33</v>
      </c>
      <c r="I346" s="11" t="s">
        <v>1433</v>
      </c>
      <c r="J346" s="193" t="s">
        <v>216</v>
      </c>
      <c r="K346" s="17" t="s">
        <v>233</v>
      </c>
      <c r="L346" s="17" t="s">
        <v>233</v>
      </c>
      <c r="M346" s="231">
        <v>0</v>
      </c>
      <c r="N346" s="232">
        <v>0</v>
      </c>
      <c r="O346" s="132"/>
      <c r="P346" s="231" t="s">
        <v>239</v>
      </c>
      <c r="Q346" s="232">
        <v>0</v>
      </c>
      <c r="R346" s="231" t="s">
        <v>239</v>
      </c>
      <c r="S346" s="232">
        <v>0</v>
      </c>
      <c r="T346" s="231" t="s">
        <v>239</v>
      </c>
      <c r="U346" s="232">
        <v>0</v>
      </c>
      <c r="V346" s="230" t="s">
        <v>239</v>
      </c>
      <c r="W346" s="232">
        <v>0</v>
      </c>
      <c r="X346" s="231" t="s">
        <v>239</v>
      </c>
      <c r="Y346" s="232">
        <v>0</v>
      </c>
      <c r="Z346" s="231" t="s">
        <v>239</v>
      </c>
      <c r="AA346" s="232">
        <v>0</v>
      </c>
      <c r="AB346" s="231" t="s">
        <v>239</v>
      </c>
      <c r="AC346" s="232">
        <v>0</v>
      </c>
      <c r="AD346" s="231" t="s">
        <v>239</v>
      </c>
      <c r="AE346" s="232">
        <v>0</v>
      </c>
      <c r="AF346" s="231" t="s">
        <v>239</v>
      </c>
      <c r="AG346" s="232">
        <v>0</v>
      </c>
      <c r="AH346" s="231" t="s">
        <v>239</v>
      </c>
      <c r="AI346" s="232">
        <v>0</v>
      </c>
      <c r="AJ346" s="231" t="s">
        <v>239</v>
      </c>
      <c r="AK346" s="232">
        <v>0</v>
      </c>
      <c r="AL346" s="232" t="s">
        <v>239</v>
      </c>
      <c r="AM346" s="232">
        <v>0</v>
      </c>
    </row>
    <row r="347" spans="1:39" ht="15" customHeight="1" outlineLevel="1">
      <c r="A347" s="411">
        <v>169</v>
      </c>
      <c r="B347" s="10">
        <v>129169</v>
      </c>
      <c r="C347" s="218" t="s">
        <v>1489</v>
      </c>
      <c r="D347" s="218" t="s">
        <v>1490</v>
      </c>
      <c r="E347" s="23" t="s">
        <v>44</v>
      </c>
      <c r="F347" s="17" t="s">
        <v>45</v>
      </c>
      <c r="G347" s="11" t="s">
        <v>1432</v>
      </c>
      <c r="H347" s="12">
        <v>19</v>
      </c>
      <c r="I347" s="11" t="s">
        <v>1433</v>
      </c>
      <c r="J347" s="191" t="s">
        <v>216</v>
      </c>
      <c r="K347" s="17" t="s">
        <v>233</v>
      </c>
      <c r="L347" s="17" t="s">
        <v>233</v>
      </c>
      <c r="M347" s="231">
        <v>44</v>
      </c>
      <c r="N347" s="231">
        <v>44</v>
      </c>
      <c r="O347" s="231">
        <v>44</v>
      </c>
      <c r="P347" s="231" t="s">
        <v>239</v>
      </c>
      <c r="Q347" s="231">
        <v>44</v>
      </c>
      <c r="R347" s="231" t="s">
        <v>239</v>
      </c>
      <c r="S347" s="231">
        <v>44</v>
      </c>
      <c r="T347" s="231" t="s">
        <v>239</v>
      </c>
      <c r="U347" s="231">
        <v>44</v>
      </c>
      <c r="V347" s="231" t="s">
        <v>239</v>
      </c>
      <c r="W347" s="231">
        <v>44</v>
      </c>
      <c r="X347" s="231" t="s">
        <v>239</v>
      </c>
      <c r="Y347" s="231">
        <v>44</v>
      </c>
      <c r="Z347" s="231" t="s">
        <v>239</v>
      </c>
      <c r="AA347" s="231">
        <v>44</v>
      </c>
      <c r="AB347" s="231" t="s">
        <v>239</v>
      </c>
      <c r="AC347" s="231">
        <v>44</v>
      </c>
      <c r="AD347" s="231" t="s">
        <v>239</v>
      </c>
      <c r="AE347" s="231">
        <v>44</v>
      </c>
      <c r="AF347" s="231" t="s">
        <v>239</v>
      </c>
      <c r="AG347" s="231">
        <v>44</v>
      </c>
      <c r="AH347" s="231" t="s">
        <v>239</v>
      </c>
      <c r="AI347" s="231">
        <v>44</v>
      </c>
      <c r="AJ347" s="231" t="s">
        <v>239</v>
      </c>
      <c r="AK347" s="231">
        <v>44</v>
      </c>
      <c r="AL347" s="232" t="s">
        <v>239</v>
      </c>
      <c r="AM347" s="232">
        <v>0</v>
      </c>
    </row>
    <row r="348" spans="1:39" ht="15" customHeight="1" outlineLevel="1">
      <c r="A348" s="412"/>
      <c r="B348" s="10">
        <v>129169</v>
      </c>
      <c r="C348" s="218" t="s">
        <v>1489</v>
      </c>
      <c r="D348" s="218" t="s">
        <v>1490</v>
      </c>
      <c r="E348" s="23" t="s">
        <v>138</v>
      </c>
      <c r="F348" s="17" t="s">
        <v>45</v>
      </c>
      <c r="G348" s="11" t="s">
        <v>1432</v>
      </c>
      <c r="H348" s="12">
        <v>6</v>
      </c>
      <c r="I348" s="11" t="s">
        <v>1433</v>
      </c>
      <c r="J348" s="192" t="s">
        <v>1434</v>
      </c>
      <c r="K348" s="17" t="s">
        <v>233</v>
      </c>
      <c r="L348" s="17" t="s">
        <v>233</v>
      </c>
      <c r="M348" s="231">
        <v>0</v>
      </c>
      <c r="N348" s="232">
        <v>0</v>
      </c>
      <c r="O348" s="132"/>
      <c r="P348" s="231" t="s">
        <v>239</v>
      </c>
      <c r="Q348" s="232">
        <v>0</v>
      </c>
      <c r="R348" s="231" t="s">
        <v>239</v>
      </c>
      <c r="S348" s="232">
        <v>0</v>
      </c>
      <c r="T348" s="231" t="s">
        <v>239</v>
      </c>
      <c r="U348" s="232">
        <v>0</v>
      </c>
      <c r="V348" s="231" t="s">
        <v>239</v>
      </c>
      <c r="W348" s="232">
        <v>0</v>
      </c>
      <c r="X348" s="231" t="s">
        <v>239</v>
      </c>
      <c r="Y348" s="232">
        <v>0</v>
      </c>
      <c r="Z348" s="231" t="s">
        <v>239</v>
      </c>
      <c r="AA348" s="232">
        <v>0</v>
      </c>
      <c r="AB348" s="231" t="s">
        <v>239</v>
      </c>
      <c r="AC348" s="232">
        <v>0</v>
      </c>
      <c r="AD348" s="231" t="s">
        <v>239</v>
      </c>
      <c r="AE348" s="232">
        <v>0</v>
      </c>
      <c r="AF348" s="231" t="s">
        <v>239</v>
      </c>
      <c r="AG348" s="232">
        <v>0</v>
      </c>
      <c r="AH348" s="231" t="s">
        <v>239</v>
      </c>
      <c r="AI348" s="232">
        <v>0</v>
      </c>
      <c r="AJ348" s="231" t="s">
        <v>239</v>
      </c>
      <c r="AK348" s="232">
        <v>0</v>
      </c>
      <c r="AL348" s="232" t="s">
        <v>239</v>
      </c>
      <c r="AM348" s="232">
        <v>0</v>
      </c>
    </row>
    <row r="349" spans="1:39" ht="15" customHeight="1" outlineLevel="1">
      <c r="A349" s="411">
        <v>170</v>
      </c>
      <c r="B349" s="10">
        <v>129170</v>
      </c>
      <c r="C349" s="218" t="s">
        <v>1489</v>
      </c>
      <c r="D349" s="218" t="s">
        <v>1490</v>
      </c>
      <c r="E349" s="23" t="s">
        <v>44</v>
      </c>
      <c r="F349" s="17" t="s">
        <v>45</v>
      </c>
      <c r="G349" s="11" t="s">
        <v>1432</v>
      </c>
      <c r="H349" s="12">
        <v>15</v>
      </c>
      <c r="I349" s="11" t="s">
        <v>1433</v>
      </c>
      <c r="J349" s="192" t="s">
        <v>1480</v>
      </c>
      <c r="K349" s="17" t="s">
        <v>233</v>
      </c>
      <c r="L349" s="17" t="s">
        <v>233</v>
      </c>
      <c r="M349" s="231">
        <v>75</v>
      </c>
      <c r="N349" s="231">
        <v>75</v>
      </c>
      <c r="O349" s="231">
        <v>75</v>
      </c>
      <c r="P349" s="231" t="s">
        <v>239</v>
      </c>
      <c r="Q349" s="231">
        <v>75</v>
      </c>
      <c r="R349" s="231" t="s">
        <v>239</v>
      </c>
      <c r="S349" s="231">
        <v>75</v>
      </c>
      <c r="T349" s="231" t="s">
        <v>239</v>
      </c>
      <c r="U349" s="231">
        <v>75</v>
      </c>
      <c r="V349" s="230" t="s">
        <v>239</v>
      </c>
      <c r="W349" s="231">
        <v>75</v>
      </c>
      <c r="X349" s="231" t="s">
        <v>239</v>
      </c>
      <c r="Y349" s="231">
        <v>75</v>
      </c>
      <c r="Z349" s="231" t="s">
        <v>239</v>
      </c>
      <c r="AA349" s="231">
        <v>75</v>
      </c>
      <c r="AB349" s="231" t="s">
        <v>239</v>
      </c>
      <c r="AC349" s="231">
        <v>75</v>
      </c>
      <c r="AD349" s="231" t="s">
        <v>239</v>
      </c>
      <c r="AE349" s="231">
        <v>75</v>
      </c>
      <c r="AF349" s="231" t="s">
        <v>239</v>
      </c>
      <c r="AG349" s="231">
        <v>75</v>
      </c>
      <c r="AH349" s="231" t="s">
        <v>239</v>
      </c>
      <c r="AI349" s="231">
        <v>75</v>
      </c>
      <c r="AJ349" s="231" t="s">
        <v>239</v>
      </c>
      <c r="AK349" s="231">
        <v>75</v>
      </c>
      <c r="AL349" s="232" t="s">
        <v>239</v>
      </c>
      <c r="AM349" s="232">
        <v>0</v>
      </c>
    </row>
    <row r="350" spans="1:39" ht="15" customHeight="1" outlineLevel="1">
      <c r="A350" s="412"/>
      <c r="B350" s="10">
        <v>129170</v>
      </c>
      <c r="C350" s="218" t="s">
        <v>1489</v>
      </c>
      <c r="D350" s="218" t="s">
        <v>1490</v>
      </c>
      <c r="E350" s="23" t="s">
        <v>44</v>
      </c>
      <c r="F350" s="17" t="s">
        <v>45</v>
      </c>
      <c r="G350" s="11" t="s">
        <v>1432</v>
      </c>
      <c r="H350" s="12">
        <v>19</v>
      </c>
      <c r="I350" s="11" t="s">
        <v>1433</v>
      </c>
      <c r="J350" s="192" t="s">
        <v>1452</v>
      </c>
      <c r="K350" s="17" t="s">
        <v>233</v>
      </c>
      <c r="L350" s="17" t="s">
        <v>233</v>
      </c>
      <c r="M350" s="231">
        <v>23357</v>
      </c>
      <c r="N350" s="232">
        <v>23073.446019999999</v>
      </c>
      <c r="O350" s="132">
        <v>542</v>
      </c>
      <c r="P350" s="231" t="s">
        <v>239</v>
      </c>
      <c r="Q350" s="232">
        <v>535.32255999999995</v>
      </c>
      <c r="R350" s="231" t="s">
        <v>239</v>
      </c>
      <c r="S350" s="232">
        <v>528.72738606079997</v>
      </c>
      <c r="T350" s="231" t="s">
        <v>239</v>
      </c>
      <c r="U350" s="232">
        <v>522.21346466453087</v>
      </c>
      <c r="V350" s="231" t="s">
        <v>239</v>
      </c>
      <c r="W350" s="232">
        <v>515.77979477986389</v>
      </c>
      <c r="X350" s="231" t="s">
        <v>239</v>
      </c>
      <c r="Y350" s="232">
        <v>509.42538770817595</v>
      </c>
      <c r="Z350" s="231" t="s">
        <v>239</v>
      </c>
      <c r="AA350" s="232">
        <v>503.14926693161124</v>
      </c>
      <c r="AB350" s="231" t="s">
        <v>239</v>
      </c>
      <c r="AC350" s="232">
        <v>496.95046796301381</v>
      </c>
      <c r="AD350" s="231" t="s">
        <v>239</v>
      </c>
      <c r="AE350" s="232">
        <v>490.82803819770947</v>
      </c>
      <c r="AF350" s="231" t="s">
        <v>239</v>
      </c>
      <c r="AG350" s="232">
        <v>484.78103676711368</v>
      </c>
      <c r="AH350" s="231" t="s">
        <v>239</v>
      </c>
      <c r="AI350" s="232">
        <v>478.80853439414284</v>
      </c>
      <c r="AJ350" s="231" t="s">
        <v>239</v>
      </c>
      <c r="AK350" s="232">
        <v>472.90961325040701</v>
      </c>
      <c r="AL350" s="232" t="s">
        <v>239</v>
      </c>
      <c r="AM350" s="232">
        <v>6080.8955507173687</v>
      </c>
    </row>
    <row r="351" spans="1:39" ht="15" customHeight="1" outlineLevel="1">
      <c r="A351" s="411">
        <v>171</v>
      </c>
      <c r="B351" s="10">
        <v>129171</v>
      </c>
      <c r="C351" s="218" t="s">
        <v>1489</v>
      </c>
      <c r="D351" s="218" t="s">
        <v>1490</v>
      </c>
      <c r="E351" s="23" t="s">
        <v>138</v>
      </c>
      <c r="F351" s="17" t="s">
        <v>45</v>
      </c>
      <c r="G351" s="11" t="s">
        <v>1432</v>
      </c>
      <c r="H351" s="12">
        <v>22</v>
      </c>
      <c r="I351" s="11" t="s">
        <v>1433</v>
      </c>
      <c r="J351" s="374" t="s">
        <v>207</v>
      </c>
      <c r="K351" s="17" t="s">
        <v>233</v>
      </c>
      <c r="L351" s="17" t="s">
        <v>233</v>
      </c>
      <c r="M351" s="231">
        <v>75</v>
      </c>
      <c r="N351" s="231">
        <v>75</v>
      </c>
      <c r="O351" s="231">
        <v>75</v>
      </c>
      <c r="P351" s="231" t="s">
        <v>239</v>
      </c>
      <c r="Q351" s="231">
        <v>75</v>
      </c>
      <c r="R351" s="231" t="s">
        <v>239</v>
      </c>
      <c r="S351" s="231">
        <v>75</v>
      </c>
      <c r="T351" s="231" t="s">
        <v>239</v>
      </c>
      <c r="U351" s="231">
        <v>75</v>
      </c>
      <c r="V351" s="231" t="s">
        <v>239</v>
      </c>
      <c r="W351" s="231">
        <v>75</v>
      </c>
      <c r="X351" s="231" t="s">
        <v>239</v>
      </c>
      <c r="Y351" s="231">
        <v>75</v>
      </c>
      <c r="Z351" s="231" t="s">
        <v>239</v>
      </c>
      <c r="AA351" s="231">
        <v>75</v>
      </c>
      <c r="AB351" s="231" t="s">
        <v>239</v>
      </c>
      <c r="AC351" s="231">
        <v>75</v>
      </c>
      <c r="AD351" s="231" t="s">
        <v>239</v>
      </c>
      <c r="AE351" s="231">
        <v>75</v>
      </c>
      <c r="AF351" s="231" t="s">
        <v>239</v>
      </c>
      <c r="AG351" s="231">
        <v>75</v>
      </c>
      <c r="AH351" s="231" t="s">
        <v>239</v>
      </c>
      <c r="AI351" s="231">
        <v>75</v>
      </c>
      <c r="AJ351" s="231" t="s">
        <v>239</v>
      </c>
      <c r="AK351" s="231">
        <v>75</v>
      </c>
      <c r="AL351" s="232" t="s">
        <v>239</v>
      </c>
      <c r="AM351" s="232">
        <v>0</v>
      </c>
    </row>
    <row r="352" spans="1:39" ht="15" customHeight="1" outlineLevel="1">
      <c r="A352" s="412"/>
      <c r="B352" s="10">
        <v>129171</v>
      </c>
      <c r="C352" s="218" t="s">
        <v>1489</v>
      </c>
      <c r="D352" s="218" t="s">
        <v>1490</v>
      </c>
      <c r="E352" s="23" t="s">
        <v>44</v>
      </c>
      <c r="F352" s="17" t="s">
        <v>45</v>
      </c>
      <c r="G352" s="11" t="s">
        <v>1432</v>
      </c>
      <c r="H352" s="12">
        <v>24</v>
      </c>
      <c r="I352" s="11" t="s">
        <v>1433</v>
      </c>
      <c r="J352" s="375"/>
      <c r="K352" s="17" t="s">
        <v>233</v>
      </c>
      <c r="L352" s="17" t="s">
        <v>233</v>
      </c>
      <c r="M352" s="231">
        <v>0</v>
      </c>
      <c r="N352" s="232">
        <v>0</v>
      </c>
      <c r="O352" s="132"/>
      <c r="P352" s="231" t="s">
        <v>239</v>
      </c>
      <c r="Q352" s="232">
        <v>0</v>
      </c>
      <c r="R352" s="231" t="s">
        <v>239</v>
      </c>
      <c r="S352" s="232">
        <v>0</v>
      </c>
      <c r="T352" s="231" t="s">
        <v>239</v>
      </c>
      <c r="U352" s="232">
        <v>0</v>
      </c>
      <c r="V352" s="230" t="s">
        <v>239</v>
      </c>
      <c r="W352" s="232">
        <v>0</v>
      </c>
      <c r="X352" s="231" t="s">
        <v>239</v>
      </c>
      <c r="Y352" s="232">
        <v>0</v>
      </c>
      <c r="Z352" s="231" t="s">
        <v>239</v>
      </c>
      <c r="AA352" s="232">
        <v>0</v>
      </c>
      <c r="AB352" s="231" t="s">
        <v>239</v>
      </c>
      <c r="AC352" s="232">
        <v>0</v>
      </c>
      <c r="AD352" s="231" t="s">
        <v>239</v>
      </c>
      <c r="AE352" s="232">
        <v>0</v>
      </c>
      <c r="AF352" s="231" t="s">
        <v>239</v>
      </c>
      <c r="AG352" s="232">
        <v>0</v>
      </c>
      <c r="AH352" s="231" t="s">
        <v>239</v>
      </c>
      <c r="AI352" s="232">
        <v>0</v>
      </c>
      <c r="AJ352" s="231" t="s">
        <v>239</v>
      </c>
      <c r="AK352" s="232">
        <v>0</v>
      </c>
      <c r="AL352" s="232" t="s">
        <v>239</v>
      </c>
      <c r="AM352" s="232">
        <v>0</v>
      </c>
    </row>
    <row r="353" spans="1:39" ht="15" customHeight="1" outlineLevel="1">
      <c r="A353" s="411">
        <v>172</v>
      </c>
      <c r="B353" s="10">
        <v>129172</v>
      </c>
      <c r="C353" s="218" t="s">
        <v>1489</v>
      </c>
      <c r="D353" s="218" t="s">
        <v>1490</v>
      </c>
      <c r="E353" s="23" t="s">
        <v>138</v>
      </c>
      <c r="F353" s="17" t="s">
        <v>45</v>
      </c>
      <c r="G353" s="11" t="s">
        <v>1432</v>
      </c>
      <c r="H353" s="12">
        <v>16</v>
      </c>
      <c r="I353" s="11" t="s">
        <v>1433</v>
      </c>
      <c r="J353" s="193" t="s">
        <v>1460</v>
      </c>
      <c r="K353" s="17" t="s">
        <v>233</v>
      </c>
      <c r="L353" s="17" t="s">
        <v>233</v>
      </c>
      <c r="M353" s="231">
        <v>20</v>
      </c>
      <c r="N353" s="231">
        <v>20</v>
      </c>
      <c r="O353" s="231">
        <v>20</v>
      </c>
      <c r="P353" s="231" t="s">
        <v>239</v>
      </c>
      <c r="Q353" s="231">
        <v>20</v>
      </c>
      <c r="R353" s="231" t="s">
        <v>239</v>
      </c>
      <c r="S353" s="231">
        <v>20</v>
      </c>
      <c r="T353" s="231" t="s">
        <v>239</v>
      </c>
      <c r="U353" s="231">
        <v>20</v>
      </c>
      <c r="V353" s="231" t="s">
        <v>239</v>
      </c>
      <c r="W353" s="231">
        <v>20</v>
      </c>
      <c r="X353" s="231" t="s">
        <v>239</v>
      </c>
      <c r="Y353" s="231">
        <v>20</v>
      </c>
      <c r="Z353" s="231" t="s">
        <v>239</v>
      </c>
      <c r="AA353" s="231">
        <v>20</v>
      </c>
      <c r="AB353" s="231" t="s">
        <v>239</v>
      </c>
      <c r="AC353" s="231">
        <v>20</v>
      </c>
      <c r="AD353" s="231" t="s">
        <v>239</v>
      </c>
      <c r="AE353" s="231">
        <v>20</v>
      </c>
      <c r="AF353" s="231" t="s">
        <v>239</v>
      </c>
      <c r="AG353" s="231">
        <v>20</v>
      </c>
      <c r="AH353" s="231" t="s">
        <v>239</v>
      </c>
      <c r="AI353" s="231">
        <v>20</v>
      </c>
      <c r="AJ353" s="231" t="s">
        <v>239</v>
      </c>
      <c r="AK353" s="231">
        <v>20</v>
      </c>
      <c r="AL353" s="232" t="s">
        <v>239</v>
      </c>
      <c r="AM353" s="232">
        <v>0</v>
      </c>
    </row>
    <row r="354" spans="1:39" ht="15" customHeight="1" outlineLevel="1">
      <c r="A354" s="412"/>
      <c r="B354" s="10">
        <v>129172</v>
      </c>
      <c r="C354" s="218" t="s">
        <v>1489</v>
      </c>
      <c r="D354" s="218" t="s">
        <v>1490</v>
      </c>
      <c r="E354" s="23" t="s">
        <v>44</v>
      </c>
      <c r="F354" s="17" t="s">
        <v>45</v>
      </c>
      <c r="G354" s="11" t="s">
        <v>1432</v>
      </c>
      <c r="H354" s="12">
        <v>5</v>
      </c>
      <c r="I354" s="11" t="s">
        <v>1433</v>
      </c>
      <c r="J354" s="193" t="s">
        <v>1442</v>
      </c>
      <c r="K354" s="17" t="s">
        <v>233</v>
      </c>
      <c r="L354" s="17" t="s">
        <v>233</v>
      </c>
      <c r="M354" s="231">
        <v>0</v>
      </c>
      <c r="N354" s="232">
        <v>0</v>
      </c>
      <c r="O354" s="132">
        <v>599</v>
      </c>
      <c r="P354" s="231" t="s">
        <v>239</v>
      </c>
      <c r="Q354" s="232">
        <v>591.62031999999999</v>
      </c>
      <c r="R354" s="231" t="s">
        <v>239</v>
      </c>
      <c r="S354" s="232">
        <v>584.3315576576</v>
      </c>
      <c r="T354" s="231" t="s">
        <v>239</v>
      </c>
      <c r="U354" s="232">
        <v>577.13259286725838</v>
      </c>
      <c r="V354" s="231" t="s">
        <v>239</v>
      </c>
      <c r="W354" s="232">
        <v>570.02231932313373</v>
      </c>
      <c r="X354" s="231" t="s">
        <v>239</v>
      </c>
      <c r="Y354" s="232">
        <v>562.9996443490727</v>
      </c>
      <c r="Z354" s="231" t="s">
        <v>239</v>
      </c>
      <c r="AA354" s="232">
        <v>556.06348873069214</v>
      </c>
      <c r="AB354" s="231" t="s">
        <v>239</v>
      </c>
      <c r="AC354" s="232">
        <v>549.21278654953005</v>
      </c>
      <c r="AD354" s="231" t="s">
        <v>239</v>
      </c>
      <c r="AE354" s="232">
        <v>542.44648501923984</v>
      </c>
      <c r="AF354" s="231" t="s">
        <v>239</v>
      </c>
      <c r="AG354" s="232">
        <v>535.76354432380276</v>
      </c>
      <c r="AH354" s="231" t="s">
        <v>239</v>
      </c>
      <c r="AI354" s="232">
        <v>529.16293745773351</v>
      </c>
      <c r="AJ354" s="231" t="s">
        <v>239</v>
      </c>
      <c r="AK354" s="232">
        <v>522.64365006825426</v>
      </c>
      <c r="AL354" s="232" t="s">
        <v>239</v>
      </c>
      <c r="AM354" s="232">
        <v>6720.3993263463162</v>
      </c>
    </row>
    <row r="355" spans="1:39" ht="15" customHeight="1" outlineLevel="1">
      <c r="A355" s="411">
        <v>173</v>
      </c>
      <c r="B355" s="10">
        <v>129173</v>
      </c>
      <c r="C355" s="218" t="s">
        <v>1489</v>
      </c>
      <c r="D355" s="218" t="s">
        <v>1490</v>
      </c>
      <c r="E355" s="23" t="s">
        <v>44</v>
      </c>
      <c r="F355" s="17" t="s">
        <v>45</v>
      </c>
      <c r="G355" s="11" t="s">
        <v>1432</v>
      </c>
      <c r="H355" s="12">
        <v>17</v>
      </c>
      <c r="I355" s="11" t="s">
        <v>1433</v>
      </c>
      <c r="J355" s="193" t="s">
        <v>1460</v>
      </c>
      <c r="K355" s="17" t="s">
        <v>233</v>
      </c>
      <c r="L355" s="17" t="s">
        <v>233</v>
      </c>
      <c r="M355" s="231">
        <v>0</v>
      </c>
      <c r="N355" s="232">
        <v>0</v>
      </c>
      <c r="O355" s="132"/>
      <c r="P355" s="231" t="s">
        <v>239</v>
      </c>
      <c r="Q355" s="232">
        <v>0</v>
      </c>
      <c r="R355" s="231" t="s">
        <v>239</v>
      </c>
      <c r="S355" s="232">
        <v>0</v>
      </c>
      <c r="T355" s="231" t="s">
        <v>239</v>
      </c>
      <c r="U355" s="232">
        <v>0</v>
      </c>
      <c r="V355" s="230" t="s">
        <v>239</v>
      </c>
      <c r="W355" s="232">
        <v>0</v>
      </c>
      <c r="X355" s="231" t="s">
        <v>239</v>
      </c>
      <c r="Y355" s="232">
        <v>0</v>
      </c>
      <c r="Z355" s="231" t="s">
        <v>239</v>
      </c>
      <c r="AA355" s="232">
        <v>0</v>
      </c>
      <c r="AB355" s="231" t="s">
        <v>239</v>
      </c>
      <c r="AC355" s="232">
        <v>0</v>
      </c>
      <c r="AD355" s="231" t="s">
        <v>239</v>
      </c>
      <c r="AE355" s="232">
        <v>0</v>
      </c>
      <c r="AF355" s="231" t="s">
        <v>239</v>
      </c>
      <c r="AG355" s="232">
        <v>0</v>
      </c>
      <c r="AH355" s="231" t="s">
        <v>239</v>
      </c>
      <c r="AI355" s="232">
        <v>0</v>
      </c>
      <c r="AJ355" s="231" t="s">
        <v>239</v>
      </c>
      <c r="AK355" s="232">
        <v>0</v>
      </c>
      <c r="AL355" s="232" t="s">
        <v>239</v>
      </c>
      <c r="AM355" s="232">
        <v>0</v>
      </c>
    </row>
    <row r="356" spans="1:39" ht="15" customHeight="1" outlineLevel="1">
      <c r="A356" s="412"/>
      <c r="B356" s="10">
        <v>129173</v>
      </c>
      <c r="C356" s="218" t="s">
        <v>1489</v>
      </c>
      <c r="D356" s="218" t="s">
        <v>1490</v>
      </c>
      <c r="E356" s="23" t="s">
        <v>138</v>
      </c>
      <c r="F356" s="17" t="s">
        <v>45</v>
      </c>
      <c r="G356" s="11" t="s">
        <v>1432</v>
      </c>
      <c r="H356" s="12">
        <v>19</v>
      </c>
      <c r="I356" s="11" t="s">
        <v>1433</v>
      </c>
      <c r="J356" s="193" t="s">
        <v>1457</v>
      </c>
      <c r="K356" s="17" t="s">
        <v>233</v>
      </c>
      <c r="L356" s="17" t="s">
        <v>233</v>
      </c>
      <c r="M356" s="231">
        <v>0</v>
      </c>
      <c r="N356" s="232">
        <v>0</v>
      </c>
      <c r="O356" s="132"/>
      <c r="P356" s="231" t="s">
        <v>239</v>
      </c>
      <c r="Q356" s="232">
        <v>0</v>
      </c>
      <c r="R356" s="231" t="s">
        <v>239</v>
      </c>
      <c r="S356" s="232">
        <v>0</v>
      </c>
      <c r="T356" s="231" t="s">
        <v>239</v>
      </c>
      <c r="U356" s="232">
        <v>0</v>
      </c>
      <c r="V356" s="231" t="s">
        <v>239</v>
      </c>
      <c r="W356" s="232">
        <v>0</v>
      </c>
      <c r="X356" s="231" t="s">
        <v>239</v>
      </c>
      <c r="Y356" s="232">
        <v>0</v>
      </c>
      <c r="Z356" s="231" t="s">
        <v>239</v>
      </c>
      <c r="AA356" s="232">
        <v>0</v>
      </c>
      <c r="AB356" s="231" t="s">
        <v>239</v>
      </c>
      <c r="AC356" s="232">
        <v>0</v>
      </c>
      <c r="AD356" s="231" t="s">
        <v>239</v>
      </c>
      <c r="AE356" s="232">
        <v>0</v>
      </c>
      <c r="AF356" s="231" t="s">
        <v>239</v>
      </c>
      <c r="AG356" s="232">
        <v>0</v>
      </c>
      <c r="AH356" s="231" t="s">
        <v>239</v>
      </c>
      <c r="AI356" s="232">
        <v>0</v>
      </c>
      <c r="AJ356" s="231" t="s">
        <v>239</v>
      </c>
      <c r="AK356" s="232">
        <v>0</v>
      </c>
      <c r="AL356" s="232" t="s">
        <v>239</v>
      </c>
      <c r="AM356" s="232">
        <v>0</v>
      </c>
    </row>
    <row r="357" spans="1:39" ht="15" customHeight="1" outlineLevel="1">
      <c r="A357" s="411">
        <v>174</v>
      </c>
      <c r="B357" s="10">
        <v>129174</v>
      </c>
      <c r="C357" s="218" t="s">
        <v>1489</v>
      </c>
      <c r="D357" s="218" t="s">
        <v>1490</v>
      </c>
      <c r="E357" s="23" t="s">
        <v>44</v>
      </c>
      <c r="F357" s="17" t="s">
        <v>45</v>
      </c>
      <c r="G357" s="11" t="s">
        <v>1432</v>
      </c>
      <c r="H357" s="12">
        <v>18</v>
      </c>
      <c r="I357" s="11" t="s">
        <v>1433</v>
      </c>
      <c r="J357" s="193" t="s">
        <v>617</v>
      </c>
      <c r="K357" s="17" t="s">
        <v>233</v>
      </c>
      <c r="L357" s="17" t="s">
        <v>233</v>
      </c>
      <c r="M357" s="231">
        <v>0</v>
      </c>
      <c r="N357" s="232">
        <v>0</v>
      </c>
      <c r="O357" s="132"/>
      <c r="P357" s="231" t="s">
        <v>239</v>
      </c>
      <c r="Q357" s="232">
        <v>0</v>
      </c>
      <c r="R357" s="231" t="s">
        <v>239</v>
      </c>
      <c r="S357" s="232">
        <v>0</v>
      </c>
      <c r="T357" s="231" t="s">
        <v>239</v>
      </c>
      <c r="U357" s="232">
        <v>0</v>
      </c>
      <c r="V357" s="231" t="s">
        <v>239</v>
      </c>
      <c r="W357" s="232">
        <v>0</v>
      </c>
      <c r="X357" s="231" t="s">
        <v>239</v>
      </c>
      <c r="Y357" s="232">
        <v>0</v>
      </c>
      <c r="Z357" s="231" t="s">
        <v>239</v>
      </c>
      <c r="AA357" s="232">
        <v>0</v>
      </c>
      <c r="AB357" s="231" t="s">
        <v>239</v>
      </c>
      <c r="AC357" s="232">
        <v>0</v>
      </c>
      <c r="AD357" s="231" t="s">
        <v>239</v>
      </c>
      <c r="AE357" s="232">
        <v>0</v>
      </c>
      <c r="AF357" s="231" t="s">
        <v>239</v>
      </c>
      <c r="AG357" s="232">
        <v>0</v>
      </c>
      <c r="AH357" s="231" t="s">
        <v>239</v>
      </c>
      <c r="AI357" s="232">
        <v>0</v>
      </c>
      <c r="AJ357" s="231" t="s">
        <v>239</v>
      </c>
      <c r="AK357" s="232">
        <v>0</v>
      </c>
      <c r="AL357" s="232" t="s">
        <v>239</v>
      </c>
      <c r="AM357" s="232">
        <v>0</v>
      </c>
    </row>
    <row r="358" spans="1:39" ht="15" customHeight="1" outlineLevel="1">
      <c r="A358" s="412"/>
      <c r="B358" s="10">
        <v>129174</v>
      </c>
      <c r="C358" s="218" t="s">
        <v>1489</v>
      </c>
      <c r="D358" s="218" t="s">
        <v>1490</v>
      </c>
      <c r="E358" s="23" t="s">
        <v>138</v>
      </c>
      <c r="F358" s="17" t="s">
        <v>45</v>
      </c>
      <c r="G358" s="11" t="s">
        <v>1432</v>
      </c>
      <c r="H358" s="12">
        <v>21</v>
      </c>
      <c r="I358" s="11" t="s">
        <v>1433</v>
      </c>
      <c r="J358" s="193" t="s">
        <v>216</v>
      </c>
      <c r="K358" s="17" t="s">
        <v>233</v>
      </c>
      <c r="L358" s="17" t="s">
        <v>233</v>
      </c>
      <c r="M358" s="231">
        <v>0</v>
      </c>
      <c r="N358" s="232">
        <v>0</v>
      </c>
      <c r="O358" s="132"/>
      <c r="P358" s="231" t="s">
        <v>239</v>
      </c>
      <c r="Q358" s="232">
        <v>0</v>
      </c>
      <c r="R358" s="231" t="s">
        <v>239</v>
      </c>
      <c r="S358" s="232">
        <v>0</v>
      </c>
      <c r="T358" s="231" t="s">
        <v>239</v>
      </c>
      <c r="U358" s="232">
        <v>0</v>
      </c>
      <c r="V358" s="230" t="s">
        <v>239</v>
      </c>
      <c r="W358" s="232">
        <v>0</v>
      </c>
      <c r="X358" s="231" t="s">
        <v>239</v>
      </c>
      <c r="Y358" s="232">
        <v>0</v>
      </c>
      <c r="Z358" s="231" t="s">
        <v>239</v>
      </c>
      <c r="AA358" s="232">
        <v>0</v>
      </c>
      <c r="AB358" s="231" t="s">
        <v>239</v>
      </c>
      <c r="AC358" s="232">
        <v>0</v>
      </c>
      <c r="AD358" s="231" t="s">
        <v>239</v>
      </c>
      <c r="AE358" s="232">
        <v>0</v>
      </c>
      <c r="AF358" s="231" t="s">
        <v>239</v>
      </c>
      <c r="AG358" s="232">
        <v>0</v>
      </c>
      <c r="AH358" s="231" t="s">
        <v>239</v>
      </c>
      <c r="AI358" s="232">
        <v>0</v>
      </c>
      <c r="AJ358" s="231" t="s">
        <v>239</v>
      </c>
      <c r="AK358" s="232">
        <v>0</v>
      </c>
      <c r="AL358" s="232" t="s">
        <v>239</v>
      </c>
      <c r="AM358" s="232">
        <v>0</v>
      </c>
    </row>
    <row r="359" spans="1:39" ht="15" customHeight="1" outlineLevel="1">
      <c r="A359" s="411">
        <v>175</v>
      </c>
      <c r="B359" s="10">
        <v>129175</v>
      </c>
      <c r="C359" s="218" t="s">
        <v>1489</v>
      </c>
      <c r="D359" s="218" t="s">
        <v>1490</v>
      </c>
      <c r="E359" s="23" t="s">
        <v>44</v>
      </c>
      <c r="F359" s="17" t="s">
        <v>45</v>
      </c>
      <c r="G359" s="11" t="s">
        <v>1432</v>
      </c>
      <c r="H359" s="12">
        <v>19</v>
      </c>
      <c r="I359" s="11" t="s">
        <v>1433</v>
      </c>
      <c r="J359" s="192" t="s">
        <v>1446</v>
      </c>
      <c r="K359" s="17" t="s">
        <v>233</v>
      </c>
      <c r="L359" s="17" t="s">
        <v>233</v>
      </c>
      <c r="M359" s="231">
        <v>17</v>
      </c>
      <c r="N359" s="231">
        <v>17</v>
      </c>
      <c r="O359" s="231">
        <v>17</v>
      </c>
      <c r="P359" s="231" t="s">
        <v>239</v>
      </c>
      <c r="Q359" s="231">
        <v>17</v>
      </c>
      <c r="R359" s="231" t="s">
        <v>239</v>
      </c>
      <c r="S359" s="231">
        <v>17</v>
      </c>
      <c r="T359" s="231" t="s">
        <v>239</v>
      </c>
      <c r="U359" s="231">
        <v>17</v>
      </c>
      <c r="V359" s="231" t="s">
        <v>239</v>
      </c>
      <c r="W359" s="231">
        <v>17</v>
      </c>
      <c r="X359" s="231" t="s">
        <v>239</v>
      </c>
      <c r="Y359" s="231">
        <v>17</v>
      </c>
      <c r="Z359" s="231" t="s">
        <v>239</v>
      </c>
      <c r="AA359" s="231">
        <v>17</v>
      </c>
      <c r="AB359" s="231" t="s">
        <v>239</v>
      </c>
      <c r="AC359" s="231">
        <v>17</v>
      </c>
      <c r="AD359" s="231" t="s">
        <v>239</v>
      </c>
      <c r="AE359" s="231">
        <v>17</v>
      </c>
      <c r="AF359" s="231" t="s">
        <v>239</v>
      </c>
      <c r="AG359" s="231">
        <v>17</v>
      </c>
      <c r="AH359" s="231" t="s">
        <v>239</v>
      </c>
      <c r="AI359" s="231">
        <v>17</v>
      </c>
      <c r="AJ359" s="231" t="s">
        <v>239</v>
      </c>
      <c r="AK359" s="231">
        <v>17</v>
      </c>
      <c r="AL359" s="232" t="s">
        <v>239</v>
      </c>
      <c r="AM359" s="232">
        <v>0</v>
      </c>
    </row>
    <row r="360" spans="1:39" ht="15" customHeight="1" outlineLevel="1">
      <c r="A360" s="412"/>
      <c r="B360" s="10">
        <v>129175</v>
      </c>
      <c r="C360" s="218" t="s">
        <v>1489</v>
      </c>
      <c r="D360" s="218" t="s">
        <v>1490</v>
      </c>
      <c r="E360" s="23" t="s">
        <v>44</v>
      </c>
      <c r="F360" s="17" t="s">
        <v>45</v>
      </c>
      <c r="G360" s="11" t="s">
        <v>1432</v>
      </c>
      <c r="H360" s="12">
        <v>30</v>
      </c>
      <c r="I360" s="11" t="s">
        <v>1433</v>
      </c>
      <c r="J360" s="192" t="s">
        <v>1481</v>
      </c>
      <c r="K360" s="17" t="s">
        <v>233</v>
      </c>
      <c r="L360" s="17" t="s">
        <v>233</v>
      </c>
      <c r="M360" s="231">
        <v>3948</v>
      </c>
      <c r="N360" s="232">
        <v>3900.0712799999997</v>
      </c>
      <c r="O360" s="132">
        <v>142</v>
      </c>
      <c r="P360" s="231" t="s">
        <v>239</v>
      </c>
      <c r="Q360" s="232">
        <v>140.25056000000001</v>
      </c>
      <c r="R360" s="231" t="s">
        <v>239</v>
      </c>
      <c r="S360" s="232">
        <v>138.52267310080001</v>
      </c>
      <c r="T360" s="231" t="s">
        <v>239</v>
      </c>
      <c r="U360" s="232">
        <v>136.81607376819815</v>
      </c>
      <c r="V360" s="231" t="s">
        <v>239</v>
      </c>
      <c r="W360" s="232">
        <v>135.13049973937396</v>
      </c>
      <c r="X360" s="231" t="s">
        <v>239</v>
      </c>
      <c r="Y360" s="232">
        <v>133.46569198258487</v>
      </c>
      <c r="Z360" s="231" t="s">
        <v>239</v>
      </c>
      <c r="AA360" s="232">
        <v>131.82139465735943</v>
      </c>
      <c r="AB360" s="231" t="s">
        <v>239</v>
      </c>
      <c r="AC360" s="232">
        <v>130.19735507518075</v>
      </c>
      <c r="AD360" s="231" t="s">
        <v>239</v>
      </c>
      <c r="AE360" s="232">
        <v>128.59332366065453</v>
      </c>
      <c r="AF360" s="231" t="s">
        <v>239</v>
      </c>
      <c r="AG360" s="232">
        <v>127.00905391315527</v>
      </c>
      <c r="AH360" s="231" t="s">
        <v>239</v>
      </c>
      <c r="AI360" s="232">
        <v>125.4443023689452</v>
      </c>
      <c r="AJ360" s="231" t="s">
        <v>239</v>
      </c>
      <c r="AK360" s="232">
        <v>123.89882856375979</v>
      </c>
      <c r="AL360" s="232" t="s">
        <v>239</v>
      </c>
      <c r="AM360" s="232">
        <v>1593.1497568300117</v>
      </c>
    </row>
    <row r="361" spans="1:39" ht="15" customHeight="1" outlineLevel="1">
      <c r="A361" s="411">
        <v>176</v>
      </c>
      <c r="B361" s="10">
        <v>129176</v>
      </c>
      <c r="C361" s="218" t="s">
        <v>1489</v>
      </c>
      <c r="D361" s="218" t="s">
        <v>1490</v>
      </c>
      <c r="E361" s="23" t="s">
        <v>138</v>
      </c>
      <c r="F361" s="17" t="s">
        <v>45</v>
      </c>
      <c r="G361" s="11" t="s">
        <v>1432</v>
      </c>
      <c r="H361" s="12">
        <v>33</v>
      </c>
      <c r="I361" s="11" t="s">
        <v>1433</v>
      </c>
      <c r="J361" s="192" t="s">
        <v>208</v>
      </c>
      <c r="K361" s="17" t="s">
        <v>233</v>
      </c>
      <c r="L361" s="17" t="s">
        <v>233</v>
      </c>
      <c r="M361" s="231">
        <v>6.5</v>
      </c>
      <c r="N361" s="231">
        <v>6.5</v>
      </c>
      <c r="O361" s="231">
        <v>6.5</v>
      </c>
      <c r="P361" s="231" t="s">
        <v>239</v>
      </c>
      <c r="Q361" s="231">
        <v>6.5</v>
      </c>
      <c r="R361" s="231" t="s">
        <v>239</v>
      </c>
      <c r="S361" s="231">
        <v>6.5</v>
      </c>
      <c r="T361" s="231" t="s">
        <v>239</v>
      </c>
      <c r="U361" s="231">
        <v>6.5</v>
      </c>
      <c r="V361" s="230" t="s">
        <v>239</v>
      </c>
      <c r="W361" s="231">
        <v>6.5</v>
      </c>
      <c r="X361" s="231" t="s">
        <v>239</v>
      </c>
      <c r="Y361" s="231">
        <v>6.5</v>
      </c>
      <c r="Z361" s="231" t="s">
        <v>239</v>
      </c>
      <c r="AA361" s="231">
        <v>6.5</v>
      </c>
      <c r="AB361" s="231" t="s">
        <v>239</v>
      </c>
      <c r="AC361" s="231">
        <v>6.5</v>
      </c>
      <c r="AD361" s="231" t="s">
        <v>239</v>
      </c>
      <c r="AE361" s="231">
        <v>6.5</v>
      </c>
      <c r="AF361" s="231" t="s">
        <v>239</v>
      </c>
      <c r="AG361" s="231">
        <v>6.5</v>
      </c>
      <c r="AH361" s="231" t="s">
        <v>239</v>
      </c>
      <c r="AI361" s="231">
        <v>6.5</v>
      </c>
      <c r="AJ361" s="231" t="s">
        <v>239</v>
      </c>
      <c r="AK361" s="231">
        <v>6.5</v>
      </c>
      <c r="AL361" s="232" t="s">
        <v>239</v>
      </c>
      <c r="AM361" s="232">
        <v>0</v>
      </c>
    </row>
    <row r="362" spans="1:39" ht="15" customHeight="1" outlineLevel="1">
      <c r="A362" s="412"/>
      <c r="B362" s="10">
        <v>129176</v>
      </c>
      <c r="C362" s="218" t="s">
        <v>1489</v>
      </c>
      <c r="D362" s="218" t="s">
        <v>1490</v>
      </c>
      <c r="E362" s="23" t="s">
        <v>44</v>
      </c>
      <c r="F362" s="17" t="s">
        <v>45</v>
      </c>
      <c r="G362" s="11" t="s">
        <v>1432</v>
      </c>
      <c r="H362" s="12">
        <v>19</v>
      </c>
      <c r="I362" s="11" t="s">
        <v>1433</v>
      </c>
      <c r="J362" s="192" t="s">
        <v>1463</v>
      </c>
      <c r="K362" s="17" t="s">
        <v>233</v>
      </c>
      <c r="L362" s="17" t="s">
        <v>233</v>
      </c>
      <c r="M362" s="231">
        <v>22530</v>
      </c>
      <c r="N362" s="232">
        <v>22256.485799999999</v>
      </c>
      <c r="O362" s="132">
        <v>354</v>
      </c>
      <c r="P362" s="231" t="s">
        <v>239</v>
      </c>
      <c r="Q362" s="232">
        <v>349.63871999999998</v>
      </c>
      <c r="R362" s="231" t="s">
        <v>239</v>
      </c>
      <c r="S362" s="232">
        <v>345.33117096959995</v>
      </c>
      <c r="T362" s="231" t="s">
        <v>239</v>
      </c>
      <c r="U362" s="232">
        <v>341.0766909432545</v>
      </c>
      <c r="V362" s="231" t="s">
        <v>239</v>
      </c>
      <c r="W362" s="232">
        <v>336.87462611083362</v>
      </c>
      <c r="X362" s="231" t="s">
        <v>239</v>
      </c>
      <c r="Y362" s="232">
        <v>332.72433071714812</v>
      </c>
      <c r="Z362" s="231" t="s">
        <v>239</v>
      </c>
      <c r="AA362" s="232">
        <v>328.62516696271285</v>
      </c>
      <c r="AB362" s="231" t="s">
        <v>239</v>
      </c>
      <c r="AC362" s="232">
        <v>324.57650490573224</v>
      </c>
      <c r="AD362" s="231" t="s">
        <v>239</v>
      </c>
      <c r="AE362" s="232">
        <v>320.5777223652936</v>
      </c>
      <c r="AF362" s="231" t="s">
        <v>239</v>
      </c>
      <c r="AG362" s="232">
        <v>316.62820482575319</v>
      </c>
      <c r="AH362" s="231" t="s">
        <v>239</v>
      </c>
      <c r="AI362" s="232">
        <v>312.72734534229988</v>
      </c>
      <c r="AJ362" s="231" t="s">
        <v>239</v>
      </c>
      <c r="AK362" s="232">
        <v>308.87454444768275</v>
      </c>
      <c r="AL362" s="232" t="s">
        <v>239</v>
      </c>
      <c r="AM362" s="232">
        <v>3971.6550275903101</v>
      </c>
    </row>
    <row r="363" spans="1:39" ht="15" customHeight="1" outlineLevel="1">
      <c r="A363" s="411">
        <v>177</v>
      </c>
      <c r="B363" s="10">
        <v>129177</v>
      </c>
      <c r="C363" s="218" t="s">
        <v>1489</v>
      </c>
      <c r="D363" s="218" t="s">
        <v>1490</v>
      </c>
      <c r="E363" s="23" t="s">
        <v>138</v>
      </c>
      <c r="F363" s="17" t="s">
        <v>45</v>
      </c>
      <c r="G363" s="11" t="s">
        <v>1432</v>
      </c>
      <c r="H363" s="12">
        <v>6</v>
      </c>
      <c r="I363" s="11" t="s">
        <v>1433</v>
      </c>
      <c r="J363" s="192" t="s">
        <v>1482</v>
      </c>
      <c r="K363" s="17" t="s">
        <v>233</v>
      </c>
      <c r="L363" s="17" t="s">
        <v>233</v>
      </c>
      <c r="M363" s="231">
        <v>48</v>
      </c>
      <c r="N363" s="231">
        <v>48</v>
      </c>
      <c r="O363" s="231">
        <v>48</v>
      </c>
      <c r="P363" s="231" t="s">
        <v>239</v>
      </c>
      <c r="Q363" s="231">
        <v>48</v>
      </c>
      <c r="R363" s="231" t="s">
        <v>239</v>
      </c>
      <c r="S363" s="231">
        <v>48</v>
      </c>
      <c r="T363" s="231" t="s">
        <v>239</v>
      </c>
      <c r="U363" s="231">
        <v>48</v>
      </c>
      <c r="V363" s="231" t="s">
        <v>239</v>
      </c>
      <c r="W363" s="231">
        <v>48</v>
      </c>
      <c r="X363" s="231" t="s">
        <v>239</v>
      </c>
      <c r="Y363" s="231">
        <v>48</v>
      </c>
      <c r="Z363" s="231" t="s">
        <v>239</v>
      </c>
      <c r="AA363" s="231">
        <v>48</v>
      </c>
      <c r="AB363" s="231" t="s">
        <v>239</v>
      </c>
      <c r="AC363" s="231">
        <v>48</v>
      </c>
      <c r="AD363" s="231" t="s">
        <v>239</v>
      </c>
      <c r="AE363" s="231">
        <v>48</v>
      </c>
      <c r="AF363" s="231" t="s">
        <v>239</v>
      </c>
      <c r="AG363" s="231">
        <v>48</v>
      </c>
      <c r="AH363" s="231" t="s">
        <v>239</v>
      </c>
      <c r="AI363" s="231">
        <v>48</v>
      </c>
      <c r="AJ363" s="231" t="s">
        <v>239</v>
      </c>
      <c r="AK363" s="231">
        <v>48</v>
      </c>
      <c r="AL363" s="232" t="s">
        <v>239</v>
      </c>
      <c r="AM363" s="232">
        <v>0</v>
      </c>
    </row>
    <row r="364" spans="1:39" ht="15" customHeight="1" outlineLevel="1">
      <c r="A364" s="412"/>
      <c r="B364" s="10">
        <v>129177</v>
      </c>
      <c r="C364" s="218" t="s">
        <v>1489</v>
      </c>
      <c r="D364" s="218" t="s">
        <v>1490</v>
      </c>
      <c r="E364" s="23" t="s">
        <v>44</v>
      </c>
      <c r="F364" s="17" t="s">
        <v>45</v>
      </c>
      <c r="G364" s="11" t="s">
        <v>1432</v>
      </c>
      <c r="H364" s="12">
        <v>15</v>
      </c>
      <c r="I364" s="11" t="s">
        <v>1433</v>
      </c>
      <c r="J364" s="192" t="s">
        <v>1462</v>
      </c>
      <c r="K364" s="17" t="s">
        <v>233</v>
      </c>
      <c r="L364" s="17" t="s">
        <v>233</v>
      </c>
      <c r="M364" s="231">
        <v>9924</v>
      </c>
      <c r="N364" s="232">
        <v>9803.5226399999992</v>
      </c>
      <c r="O364" s="132">
        <v>450</v>
      </c>
      <c r="P364" s="231" t="s">
        <v>239</v>
      </c>
      <c r="Q364" s="232">
        <v>444.45600000000002</v>
      </c>
      <c r="R364" s="231" t="s">
        <v>239</v>
      </c>
      <c r="S364" s="232">
        <v>438.98030208</v>
      </c>
      <c r="T364" s="231" t="s">
        <v>239</v>
      </c>
      <c r="U364" s="232">
        <v>433.57206475837438</v>
      </c>
      <c r="V364" s="230" t="s">
        <v>239</v>
      </c>
      <c r="W364" s="232">
        <v>428.23045692055121</v>
      </c>
      <c r="X364" s="231" t="s">
        <v>239</v>
      </c>
      <c r="Y364" s="232">
        <v>422.95465769129004</v>
      </c>
      <c r="Z364" s="231" t="s">
        <v>239</v>
      </c>
      <c r="AA364" s="232">
        <v>417.74385630853334</v>
      </c>
      <c r="AB364" s="231" t="s">
        <v>239</v>
      </c>
      <c r="AC364" s="232">
        <v>412.59725199881223</v>
      </c>
      <c r="AD364" s="231" t="s">
        <v>239</v>
      </c>
      <c r="AE364" s="232">
        <v>407.51405385418684</v>
      </c>
      <c r="AF364" s="231" t="s">
        <v>239</v>
      </c>
      <c r="AG364" s="232">
        <v>402.49348071070324</v>
      </c>
      <c r="AH364" s="231" t="s">
        <v>239</v>
      </c>
      <c r="AI364" s="232">
        <v>397.53476102834736</v>
      </c>
      <c r="AJ364" s="231" t="s">
        <v>239</v>
      </c>
      <c r="AK364" s="232">
        <v>392.63713277247814</v>
      </c>
      <c r="AL364" s="232" t="s">
        <v>239</v>
      </c>
      <c r="AM364" s="232">
        <v>5048.7140181232762</v>
      </c>
    </row>
    <row r="365" spans="1:39" ht="15" customHeight="1" outlineLevel="1">
      <c r="A365" s="411">
        <v>178</v>
      </c>
      <c r="B365" s="10">
        <v>129178</v>
      </c>
      <c r="C365" s="218" t="s">
        <v>1489</v>
      </c>
      <c r="D365" s="218" t="s">
        <v>1490</v>
      </c>
      <c r="E365" s="23" t="s">
        <v>44</v>
      </c>
      <c r="F365" s="17" t="s">
        <v>45</v>
      </c>
      <c r="G365" s="11" t="s">
        <v>1432</v>
      </c>
      <c r="H365" s="12">
        <v>19</v>
      </c>
      <c r="I365" s="11" t="s">
        <v>1433</v>
      </c>
      <c r="J365" s="192" t="s">
        <v>1457</v>
      </c>
      <c r="K365" s="17" t="s">
        <v>233</v>
      </c>
      <c r="L365" s="17" t="s">
        <v>233</v>
      </c>
      <c r="M365" s="231">
        <v>0</v>
      </c>
      <c r="N365" s="232">
        <v>0</v>
      </c>
      <c r="O365" s="132"/>
      <c r="P365" s="231" t="s">
        <v>239</v>
      </c>
      <c r="Q365" s="232">
        <v>0</v>
      </c>
      <c r="R365" s="231" t="s">
        <v>239</v>
      </c>
      <c r="S365" s="232">
        <v>0</v>
      </c>
      <c r="T365" s="231" t="s">
        <v>239</v>
      </c>
      <c r="U365" s="232">
        <v>0</v>
      </c>
      <c r="V365" s="231" t="s">
        <v>239</v>
      </c>
      <c r="W365" s="232">
        <v>0</v>
      </c>
      <c r="X365" s="231" t="s">
        <v>239</v>
      </c>
      <c r="Y365" s="232">
        <v>0</v>
      </c>
      <c r="Z365" s="231" t="s">
        <v>239</v>
      </c>
      <c r="AA365" s="232">
        <v>0</v>
      </c>
      <c r="AB365" s="231" t="s">
        <v>239</v>
      </c>
      <c r="AC365" s="232">
        <v>0</v>
      </c>
      <c r="AD365" s="231" t="s">
        <v>239</v>
      </c>
      <c r="AE365" s="232">
        <v>0</v>
      </c>
      <c r="AF365" s="231" t="s">
        <v>239</v>
      </c>
      <c r="AG365" s="232">
        <v>0</v>
      </c>
      <c r="AH365" s="231" t="s">
        <v>239</v>
      </c>
      <c r="AI365" s="232">
        <v>0</v>
      </c>
      <c r="AJ365" s="231" t="s">
        <v>239</v>
      </c>
      <c r="AK365" s="232">
        <v>0</v>
      </c>
      <c r="AL365" s="232" t="s">
        <v>239</v>
      </c>
      <c r="AM365" s="232">
        <v>0</v>
      </c>
    </row>
    <row r="366" spans="1:39" ht="15" customHeight="1" outlineLevel="1">
      <c r="A366" s="412"/>
      <c r="B366" s="10">
        <v>129178</v>
      </c>
      <c r="C366" s="218" t="s">
        <v>1489</v>
      </c>
      <c r="D366" s="218" t="s">
        <v>1490</v>
      </c>
      <c r="E366" s="23" t="s">
        <v>138</v>
      </c>
      <c r="F366" s="17" t="s">
        <v>45</v>
      </c>
      <c r="G366" s="11" t="s">
        <v>1432</v>
      </c>
      <c r="H366" s="12">
        <v>22</v>
      </c>
      <c r="I366" s="11" t="s">
        <v>1433</v>
      </c>
      <c r="J366" s="192" t="s">
        <v>617</v>
      </c>
      <c r="K366" s="17" t="s">
        <v>233</v>
      </c>
      <c r="L366" s="17" t="s">
        <v>233</v>
      </c>
      <c r="M366" s="231">
        <v>0</v>
      </c>
      <c r="N366" s="232">
        <v>0</v>
      </c>
      <c r="O366" s="132">
        <v>0</v>
      </c>
      <c r="P366" s="231" t="s">
        <v>239</v>
      </c>
      <c r="Q366" s="232">
        <v>0</v>
      </c>
      <c r="R366" s="231" t="s">
        <v>239</v>
      </c>
      <c r="S366" s="232">
        <v>0</v>
      </c>
      <c r="T366" s="231" t="s">
        <v>239</v>
      </c>
      <c r="U366" s="232">
        <v>0</v>
      </c>
      <c r="V366" s="231" t="s">
        <v>239</v>
      </c>
      <c r="W366" s="232">
        <v>0</v>
      </c>
      <c r="X366" s="231" t="s">
        <v>239</v>
      </c>
      <c r="Y366" s="232">
        <v>0</v>
      </c>
      <c r="Z366" s="231" t="s">
        <v>239</v>
      </c>
      <c r="AA366" s="232">
        <v>0</v>
      </c>
      <c r="AB366" s="231" t="s">
        <v>239</v>
      </c>
      <c r="AC366" s="232">
        <v>0</v>
      </c>
      <c r="AD366" s="231" t="s">
        <v>239</v>
      </c>
      <c r="AE366" s="232">
        <v>0</v>
      </c>
      <c r="AF366" s="231" t="s">
        <v>239</v>
      </c>
      <c r="AG366" s="232">
        <v>0</v>
      </c>
      <c r="AH366" s="231" t="s">
        <v>239</v>
      </c>
      <c r="AI366" s="232">
        <v>0</v>
      </c>
      <c r="AJ366" s="231" t="s">
        <v>239</v>
      </c>
      <c r="AK366" s="232">
        <v>0</v>
      </c>
      <c r="AL366" s="232" t="s">
        <v>239</v>
      </c>
      <c r="AM366" s="232">
        <v>0</v>
      </c>
    </row>
    <row r="367" spans="1:39" ht="15" customHeight="1" outlineLevel="1">
      <c r="A367" s="411">
        <v>179</v>
      </c>
      <c r="B367" s="10">
        <v>129179</v>
      </c>
      <c r="C367" s="218" t="s">
        <v>1489</v>
      </c>
      <c r="D367" s="218" t="s">
        <v>1490</v>
      </c>
      <c r="E367" s="23" t="s">
        <v>44</v>
      </c>
      <c r="F367" s="17" t="s">
        <v>45</v>
      </c>
      <c r="G367" s="11" t="s">
        <v>1432</v>
      </c>
      <c r="H367" s="12">
        <v>24</v>
      </c>
      <c r="I367" s="11" t="s">
        <v>1433</v>
      </c>
      <c r="J367" s="374" t="s">
        <v>1457</v>
      </c>
      <c r="K367" s="17" t="s">
        <v>233</v>
      </c>
      <c r="L367" s="17" t="s">
        <v>233</v>
      </c>
      <c r="M367" s="231">
        <v>1</v>
      </c>
      <c r="N367" s="231">
        <v>1</v>
      </c>
      <c r="O367" s="231">
        <v>1</v>
      </c>
      <c r="P367" s="231" t="s">
        <v>239</v>
      </c>
      <c r="Q367" s="231">
        <v>1</v>
      </c>
      <c r="R367" s="231" t="s">
        <v>239</v>
      </c>
      <c r="S367" s="231">
        <v>1</v>
      </c>
      <c r="T367" s="231" t="s">
        <v>239</v>
      </c>
      <c r="U367" s="231">
        <v>1</v>
      </c>
      <c r="V367" s="230" t="s">
        <v>239</v>
      </c>
      <c r="W367" s="231">
        <v>1</v>
      </c>
      <c r="X367" s="231" t="s">
        <v>239</v>
      </c>
      <c r="Y367" s="231">
        <v>1</v>
      </c>
      <c r="Z367" s="231" t="s">
        <v>239</v>
      </c>
      <c r="AA367" s="231">
        <v>1</v>
      </c>
      <c r="AB367" s="231" t="s">
        <v>239</v>
      </c>
      <c r="AC367" s="231">
        <v>1</v>
      </c>
      <c r="AD367" s="231" t="s">
        <v>239</v>
      </c>
      <c r="AE367" s="231">
        <v>1</v>
      </c>
      <c r="AF367" s="231" t="s">
        <v>239</v>
      </c>
      <c r="AG367" s="231">
        <v>1</v>
      </c>
      <c r="AH367" s="231" t="s">
        <v>239</v>
      </c>
      <c r="AI367" s="231">
        <v>1</v>
      </c>
      <c r="AJ367" s="231" t="s">
        <v>239</v>
      </c>
      <c r="AK367" s="231">
        <v>1</v>
      </c>
      <c r="AL367" s="232" t="s">
        <v>239</v>
      </c>
      <c r="AM367" s="232">
        <v>0</v>
      </c>
    </row>
    <row r="368" spans="1:39" ht="15" customHeight="1" outlineLevel="1">
      <c r="A368" s="412"/>
      <c r="B368" s="10">
        <v>129179</v>
      </c>
      <c r="C368" s="218" t="s">
        <v>1489</v>
      </c>
      <c r="D368" s="218" t="s">
        <v>1490</v>
      </c>
      <c r="E368" s="23" t="s">
        <v>138</v>
      </c>
      <c r="F368" s="17" t="s">
        <v>45</v>
      </c>
      <c r="G368" s="11" t="s">
        <v>1432</v>
      </c>
      <c r="H368" s="12">
        <v>16</v>
      </c>
      <c r="I368" s="11" t="s">
        <v>1433</v>
      </c>
      <c r="J368" s="375"/>
      <c r="K368" s="17" t="s">
        <v>233</v>
      </c>
      <c r="L368" s="17" t="s">
        <v>233</v>
      </c>
      <c r="M368" s="231"/>
      <c r="N368" s="232">
        <v>4022.56592</v>
      </c>
      <c r="O368" s="132">
        <v>224</v>
      </c>
      <c r="P368" s="231" t="s">
        <v>239</v>
      </c>
      <c r="Q368" s="232">
        <v>221.24032</v>
      </c>
      <c r="R368" s="231" t="s">
        <v>239</v>
      </c>
      <c r="S368" s="232">
        <v>218.51463925760001</v>
      </c>
      <c r="T368" s="231" t="s">
        <v>239</v>
      </c>
      <c r="U368" s="232">
        <v>215.82253890194639</v>
      </c>
      <c r="V368" s="231" t="s">
        <v>239</v>
      </c>
      <c r="W368" s="232">
        <v>213.16360522267442</v>
      </c>
      <c r="X368" s="231" t="s">
        <v>239</v>
      </c>
      <c r="Y368" s="232">
        <v>210.53742960633107</v>
      </c>
      <c r="Z368" s="231" t="s">
        <v>239</v>
      </c>
      <c r="AA368" s="232">
        <v>207.94360847358107</v>
      </c>
      <c r="AB368" s="231" t="s">
        <v>239</v>
      </c>
      <c r="AC368" s="232">
        <v>205.38174321718654</v>
      </c>
      <c r="AD368" s="231" t="s">
        <v>239</v>
      </c>
      <c r="AE368" s="232">
        <v>202.85144014075081</v>
      </c>
      <c r="AF368" s="231" t="s">
        <v>239</v>
      </c>
      <c r="AG368" s="232">
        <v>200.35231039821676</v>
      </c>
      <c r="AH368" s="231" t="s">
        <v>239</v>
      </c>
      <c r="AI368" s="232">
        <v>197.88396993411072</v>
      </c>
      <c r="AJ368" s="231" t="s">
        <v>239</v>
      </c>
      <c r="AK368" s="232">
        <v>195.44603942452247</v>
      </c>
      <c r="AL368" s="232" t="s">
        <v>239</v>
      </c>
      <c r="AM368" s="232">
        <v>2513.1376445769201</v>
      </c>
    </row>
    <row r="369" spans="1:39" ht="15" customHeight="1" outlineLevel="1">
      <c r="A369" s="411">
        <v>180</v>
      </c>
      <c r="B369" s="10">
        <v>129180</v>
      </c>
      <c r="C369" s="218" t="s">
        <v>1489</v>
      </c>
      <c r="D369" s="218" t="s">
        <v>1490</v>
      </c>
      <c r="E369" s="23" t="s">
        <v>44</v>
      </c>
      <c r="F369" s="17" t="s">
        <v>45</v>
      </c>
      <c r="G369" s="11" t="s">
        <v>1432</v>
      </c>
      <c r="H369" s="12">
        <v>21</v>
      </c>
      <c r="I369" s="11" t="s">
        <v>1433</v>
      </c>
      <c r="J369" s="193" t="s">
        <v>1460</v>
      </c>
      <c r="K369" s="17" t="s">
        <v>233</v>
      </c>
      <c r="L369" s="17" t="s">
        <v>233</v>
      </c>
      <c r="M369" s="231">
        <v>16</v>
      </c>
      <c r="N369" s="231">
        <v>16</v>
      </c>
      <c r="O369" s="231">
        <v>16</v>
      </c>
      <c r="P369" s="231" t="s">
        <v>239</v>
      </c>
      <c r="Q369" s="231">
        <v>16</v>
      </c>
      <c r="R369" s="231" t="s">
        <v>239</v>
      </c>
      <c r="S369" s="231">
        <v>16</v>
      </c>
      <c r="T369" s="231" t="s">
        <v>239</v>
      </c>
      <c r="U369" s="231">
        <v>16</v>
      </c>
      <c r="V369" s="231" t="s">
        <v>239</v>
      </c>
      <c r="W369" s="231">
        <v>16</v>
      </c>
      <c r="X369" s="231" t="s">
        <v>239</v>
      </c>
      <c r="Y369" s="231">
        <v>16</v>
      </c>
      <c r="Z369" s="231" t="s">
        <v>239</v>
      </c>
      <c r="AA369" s="231">
        <v>16</v>
      </c>
      <c r="AB369" s="231" t="s">
        <v>239</v>
      </c>
      <c r="AC369" s="231">
        <v>16</v>
      </c>
      <c r="AD369" s="231" t="s">
        <v>239</v>
      </c>
      <c r="AE369" s="231">
        <v>16</v>
      </c>
      <c r="AF369" s="231" t="s">
        <v>239</v>
      </c>
      <c r="AG369" s="231">
        <v>16</v>
      </c>
      <c r="AH369" s="231" t="s">
        <v>239</v>
      </c>
      <c r="AI369" s="231">
        <v>16</v>
      </c>
      <c r="AJ369" s="231" t="s">
        <v>239</v>
      </c>
      <c r="AK369" s="231">
        <v>16</v>
      </c>
      <c r="AL369" s="232" t="s">
        <v>239</v>
      </c>
      <c r="AM369" s="232">
        <v>0</v>
      </c>
    </row>
    <row r="370" spans="1:39" ht="15" customHeight="1" outlineLevel="1">
      <c r="A370" s="412"/>
      <c r="B370" s="10">
        <v>129180</v>
      </c>
      <c r="C370" s="218" t="s">
        <v>1489</v>
      </c>
      <c r="D370" s="218" t="s">
        <v>1490</v>
      </c>
      <c r="E370" s="23" t="s">
        <v>44</v>
      </c>
      <c r="F370" s="17" t="s">
        <v>45</v>
      </c>
      <c r="G370" s="11" t="s">
        <v>1432</v>
      </c>
      <c r="H370" s="12">
        <v>19</v>
      </c>
      <c r="I370" s="11" t="s">
        <v>1433</v>
      </c>
      <c r="J370" s="193" t="s">
        <v>1442</v>
      </c>
      <c r="K370" s="17" t="s">
        <v>233</v>
      </c>
      <c r="L370" s="17" t="s">
        <v>233</v>
      </c>
      <c r="M370" s="231">
        <v>6722</v>
      </c>
      <c r="N370" s="232">
        <v>6640.3949199999997</v>
      </c>
      <c r="O370" s="132">
        <v>478</v>
      </c>
      <c r="P370" s="231" t="s">
        <v>239</v>
      </c>
      <c r="Q370" s="232">
        <v>472.11104</v>
      </c>
      <c r="R370" s="231" t="s">
        <v>239</v>
      </c>
      <c r="S370" s="232">
        <v>466.29463198719998</v>
      </c>
      <c r="T370" s="231" t="s">
        <v>239</v>
      </c>
      <c r="U370" s="232">
        <v>460.54988212111766</v>
      </c>
      <c r="V370" s="230" t="s">
        <v>239</v>
      </c>
      <c r="W370" s="232">
        <v>454.87590757338552</v>
      </c>
      <c r="X370" s="231" t="s">
        <v>239</v>
      </c>
      <c r="Y370" s="232">
        <v>449.27183639208141</v>
      </c>
      <c r="Z370" s="231" t="s">
        <v>239</v>
      </c>
      <c r="AA370" s="232">
        <v>443.73680736773099</v>
      </c>
      <c r="AB370" s="231" t="s">
        <v>239</v>
      </c>
      <c r="AC370" s="232">
        <v>438.26996990096052</v>
      </c>
      <c r="AD370" s="231" t="s">
        <v>239</v>
      </c>
      <c r="AE370" s="232">
        <v>432.87048387178066</v>
      </c>
      <c r="AF370" s="231" t="s">
        <v>239</v>
      </c>
      <c r="AG370" s="232">
        <v>427.53751951048031</v>
      </c>
      <c r="AH370" s="231" t="s">
        <v>239</v>
      </c>
      <c r="AI370" s="232">
        <v>422.27025727011119</v>
      </c>
      <c r="AJ370" s="231" t="s">
        <v>239</v>
      </c>
      <c r="AK370" s="232">
        <v>417.06788770054339</v>
      </c>
      <c r="AL370" s="232" t="s">
        <v>239</v>
      </c>
      <c r="AM370" s="232">
        <v>5362.8562236953912</v>
      </c>
    </row>
    <row r="371" spans="1:39" ht="15" customHeight="1" outlineLevel="1">
      <c r="A371" s="411">
        <v>181</v>
      </c>
      <c r="B371" s="10">
        <v>129181</v>
      </c>
      <c r="C371" s="218" t="s">
        <v>1489</v>
      </c>
      <c r="D371" s="218" t="s">
        <v>1490</v>
      </c>
      <c r="E371" s="23" t="s">
        <v>138</v>
      </c>
      <c r="F371" s="17" t="s">
        <v>45</v>
      </c>
      <c r="G371" s="11" t="s">
        <v>1432</v>
      </c>
      <c r="H371" s="12">
        <v>30</v>
      </c>
      <c r="I371" s="11" t="s">
        <v>1433</v>
      </c>
      <c r="J371" s="193" t="s">
        <v>1460</v>
      </c>
      <c r="K371" s="17" t="s">
        <v>233</v>
      </c>
      <c r="L371" s="17" t="s">
        <v>233</v>
      </c>
      <c r="M371" s="231">
        <v>16</v>
      </c>
      <c r="N371" s="231">
        <v>16</v>
      </c>
      <c r="O371" s="231">
        <v>16</v>
      </c>
      <c r="P371" s="231" t="s">
        <v>239</v>
      </c>
      <c r="Q371" s="231">
        <v>16</v>
      </c>
      <c r="R371" s="231" t="s">
        <v>239</v>
      </c>
      <c r="S371" s="231">
        <v>16</v>
      </c>
      <c r="T371" s="231" t="s">
        <v>239</v>
      </c>
      <c r="U371" s="231">
        <v>16</v>
      </c>
      <c r="V371" s="231" t="s">
        <v>239</v>
      </c>
      <c r="W371" s="231">
        <v>16</v>
      </c>
      <c r="X371" s="231" t="s">
        <v>239</v>
      </c>
      <c r="Y371" s="231">
        <v>16</v>
      </c>
      <c r="Z371" s="231" t="s">
        <v>239</v>
      </c>
      <c r="AA371" s="231">
        <v>16</v>
      </c>
      <c r="AB371" s="231" t="s">
        <v>239</v>
      </c>
      <c r="AC371" s="231">
        <v>16</v>
      </c>
      <c r="AD371" s="231" t="s">
        <v>239</v>
      </c>
      <c r="AE371" s="231">
        <v>16</v>
      </c>
      <c r="AF371" s="231" t="s">
        <v>239</v>
      </c>
      <c r="AG371" s="231">
        <v>16</v>
      </c>
      <c r="AH371" s="231" t="s">
        <v>239</v>
      </c>
      <c r="AI371" s="231">
        <v>16</v>
      </c>
      <c r="AJ371" s="231" t="s">
        <v>239</v>
      </c>
      <c r="AK371" s="231">
        <v>16</v>
      </c>
      <c r="AL371" s="232" t="s">
        <v>239</v>
      </c>
      <c r="AM371" s="232">
        <v>0</v>
      </c>
    </row>
    <row r="372" spans="1:39" ht="15" customHeight="1" outlineLevel="1">
      <c r="A372" s="412"/>
      <c r="B372" s="10">
        <v>129181</v>
      </c>
      <c r="C372" s="218" t="s">
        <v>1489</v>
      </c>
      <c r="D372" s="218" t="s">
        <v>1490</v>
      </c>
      <c r="E372" s="23" t="s">
        <v>44</v>
      </c>
      <c r="F372" s="17" t="s">
        <v>45</v>
      </c>
      <c r="G372" s="11" t="s">
        <v>1432</v>
      </c>
      <c r="H372" s="12">
        <v>33</v>
      </c>
      <c r="I372" s="11" t="s">
        <v>1433</v>
      </c>
      <c r="J372" s="193" t="s">
        <v>1457</v>
      </c>
      <c r="K372" s="17" t="s">
        <v>233</v>
      </c>
      <c r="L372" s="17" t="s">
        <v>233</v>
      </c>
      <c r="M372" s="231">
        <v>0</v>
      </c>
      <c r="N372" s="232">
        <v>0</v>
      </c>
      <c r="O372" s="132"/>
      <c r="P372" s="231" t="s">
        <v>239</v>
      </c>
      <c r="Q372" s="232">
        <v>0</v>
      </c>
      <c r="R372" s="231" t="s">
        <v>239</v>
      </c>
      <c r="S372" s="232">
        <v>0</v>
      </c>
      <c r="T372" s="231" t="s">
        <v>239</v>
      </c>
      <c r="U372" s="232">
        <v>0</v>
      </c>
      <c r="V372" s="231" t="s">
        <v>239</v>
      </c>
      <c r="W372" s="232">
        <v>0</v>
      </c>
      <c r="X372" s="231" t="s">
        <v>239</v>
      </c>
      <c r="Y372" s="232">
        <v>0</v>
      </c>
      <c r="Z372" s="231" t="s">
        <v>239</v>
      </c>
      <c r="AA372" s="232">
        <v>0</v>
      </c>
      <c r="AB372" s="231" t="s">
        <v>239</v>
      </c>
      <c r="AC372" s="232">
        <v>0</v>
      </c>
      <c r="AD372" s="231" t="s">
        <v>239</v>
      </c>
      <c r="AE372" s="232">
        <v>0</v>
      </c>
      <c r="AF372" s="231" t="s">
        <v>239</v>
      </c>
      <c r="AG372" s="232">
        <v>0</v>
      </c>
      <c r="AH372" s="231" t="s">
        <v>239</v>
      </c>
      <c r="AI372" s="232">
        <v>0</v>
      </c>
      <c r="AJ372" s="231" t="s">
        <v>239</v>
      </c>
      <c r="AK372" s="232">
        <v>0</v>
      </c>
      <c r="AL372" s="232" t="s">
        <v>239</v>
      </c>
      <c r="AM372" s="232">
        <v>0</v>
      </c>
    </row>
    <row r="373" spans="1:39" ht="15" customHeight="1" outlineLevel="1">
      <c r="A373" s="411">
        <v>182</v>
      </c>
      <c r="B373" s="10">
        <v>129182</v>
      </c>
      <c r="C373" s="218" t="s">
        <v>1489</v>
      </c>
      <c r="D373" s="218" t="s">
        <v>1490</v>
      </c>
      <c r="E373" s="23" t="s">
        <v>138</v>
      </c>
      <c r="F373" s="17" t="s">
        <v>45</v>
      </c>
      <c r="G373" s="11" t="s">
        <v>1432</v>
      </c>
      <c r="H373" s="12">
        <v>19</v>
      </c>
      <c r="I373" s="11" t="s">
        <v>1433</v>
      </c>
      <c r="J373" s="193" t="s">
        <v>617</v>
      </c>
      <c r="K373" s="17" t="s">
        <v>233</v>
      </c>
      <c r="L373" s="17" t="s">
        <v>233</v>
      </c>
      <c r="M373" s="231">
        <v>1</v>
      </c>
      <c r="N373" s="231">
        <v>1</v>
      </c>
      <c r="O373" s="231">
        <v>1</v>
      </c>
      <c r="P373" s="231" t="s">
        <v>239</v>
      </c>
      <c r="Q373" s="231">
        <v>1</v>
      </c>
      <c r="R373" s="231" t="s">
        <v>239</v>
      </c>
      <c r="S373" s="231">
        <v>1</v>
      </c>
      <c r="T373" s="231" t="s">
        <v>239</v>
      </c>
      <c r="U373" s="231">
        <v>1</v>
      </c>
      <c r="V373" s="230" t="s">
        <v>239</v>
      </c>
      <c r="W373" s="231">
        <v>1</v>
      </c>
      <c r="X373" s="231" t="s">
        <v>239</v>
      </c>
      <c r="Y373" s="231">
        <v>1</v>
      </c>
      <c r="Z373" s="231" t="s">
        <v>239</v>
      </c>
      <c r="AA373" s="231">
        <v>1</v>
      </c>
      <c r="AB373" s="231" t="s">
        <v>239</v>
      </c>
      <c r="AC373" s="231">
        <v>1</v>
      </c>
      <c r="AD373" s="231" t="s">
        <v>239</v>
      </c>
      <c r="AE373" s="231">
        <v>1</v>
      </c>
      <c r="AF373" s="231" t="s">
        <v>239</v>
      </c>
      <c r="AG373" s="231">
        <v>1</v>
      </c>
      <c r="AH373" s="231" t="s">
        <v>239</v>
      </c>
      <c r="AI373" s="231">
        <v>1</v>
      </c>
      <c r="AJ373" s="231" t="s">
        <v>239</v>
      </c>
      <c r="AK373" s="231">
        <v>1</v>
      </c>
      <c r="AL373" s="232" t="s">
        <v>239</v>
      </c>
      <c r="AM373" s="232">
        <v>0</v>
      </c>
    </row>
    <row r="374" spans="1:39" ht="15" customHeight="1" outlineLevel="1">
      <c r="A374" s="412"/>
      <c r="B374" s="10">
        <v>129182</v>
      </c>
      <c r="C374" s="218" t="s">
        <v>1489</v>
      </c>
      <c r="D374" s="218" t="s">
        <v>1490</v>
      </c>
      <c r="E374" s="23" t="s">
        <v>44</v>
      </c>
      <c r="F374" s="17" t="s">
        <v>45</v>
      </c>
      <c r="G374" s="11" t="s">
        <v>1432</v>
      </c>
      <c r="H374" s="12">
        <v>6</v>
      </c>
      <c r="I374" s="11" t="s">
        <v>1433</v>
      </c>
      <c r="J374" s="193" t="s">
        <v>216</v>
      </c>
      <c r="K374" s="17" t="s">
        <v>233</v>
      </c>
      <c r="L374" s="17" t="s">
        <v>233</v>
      </c>
      <c r="M374" s="231">
        <v>8511</v>
      </c>
      <c r="N374" s="232">
        <v>8407.6764599999988</v>
      </c>
      <c r="O374" s="132">
        <v>265</v>
      </c>
      <c r="P374" s="231" t="s">
        <v>239</v>
      </c>
      <c r="Q374" s="232">
        <v>261.73520000000002</v>
      </c>
      <c r="R374" s="231" t="s">
        <v>239</v>
      </c>
      <c r="S374" s="232">
        <v>258.51062233600004</v>
      </c>
      <c r="T374" s="231" t="s">
        <v>239</v>
      </c>
      <c r="U374" s="232">
        <v>255.32577146882053</v>
      </c>
      <c r="V374" s="231" t="s">
        <v>239</v>
      </c>
      <c r="W374" s="232">
        <v>252.18015796432468</v>
      </c>
      <c r="X374" s="231" t="s">
        <v>239</v>
      </c>
      <c r="Y374" s="232">
        <v>249.07329841820419</v>
      </c>
      <c r="Z374" s="231" t="s">
        <v>239</v>
      </c>
      <c r="AA374" s="232">
        <v>246.00471538169191</v>
      </c>
      <c r="AB374" s="231" t="s">
        <v>239</v>
      </c>
      <c r="AC374" s="232">
        <v>242.97393728818946</v>
      </c>
      <c r="AD374" s="231" t="s">
        <v>239</v>
      </c>
      <c r="AE374" s="232">
        <v>239.98049838079896</v>
      </c>
      <c r="AF374" s="231" t="s">
        <v>239</v>
      </c>
      <c r="AG374" s="232">
        <v>237.02393864074753</v>
      </c>
      <c r="AH374" s="231" t="s">
        <v>239</v>
      </c>
      <c r="AI374" s="232">
        <v>234.10380371669353</v>
      </c>
      <c r="AJ374" s="231" t="s">
        <v>239</v>
      </c>
      <c r="AK374" s="232">
        <v>231.21964485490386</v>
      </c>
      <c r="AL374" s="232" t="s">
        <v>239</v>
      </c>
      <c r="AM374" s="232">
        <v>2973.1315884503747</v>
      </c>
    </row>
    <row r="375" spans="1:39" ht="15" customHeight="1" outlineLevel="1">
      <c r="A375" s="411">
        <v>183</v>
      </c>
      <c r="B375" s="10">
        <v>129183</v>
      </c>
      <c r="C375" s="218" t="s">
        <v>1489</v>
      </c>
      <c r="D375" s="218" t="s">
        <v>1490</v>
      </c>
      <c r="E375" s="23" t="s">
        <v>44</v>
      </c>
      <c r="F375" s="17" t="s">
        <v>45</v>
      </c>
      <c r="G375" s="11" t="s">
        <v>1432</v>
      </c>
      <c r="H375" s="12">
        <v>15</v>
      </c>
      <c r="I375" s="11" t="s">
        <v>1433</v>
      </c>
      <c r="J375" s="191" t="s">
        <v>216</v>
      </c>
      <c r="K375" s="17" t="s">
        <v>233</v>
      </c>
      <c r="L375" s="17" t="s">
        <v>233</v>
      </c>
      <c r="M375" s="231">
        <v>1</v>
      </c>
      <c r="N375" s="231">
        <v>1</v>
      </c>
      <c r="O375" s="231">
        <v>1</v>
      </c>
      <c r="P375" s="231" t="s">
        <v>239</v>
      </c>
      <c r="Q375" s="231">
        <v>1</v>
      </c>
      <c r="R375" s="231" t="s">
        <v>239</v>
      </c>
      <c r="S375" s="231">
        <v>1</v>
      </c>
      <c r="T375" s="231" t="s">
        <v>239</v>
      </c>
      <c r="U375" s="231">
        <v>1</v>
      </c>
      <c r="V375" s="231" t="s">
        <v>239</v>
      </c>
      <c r="W375" s="231">
        <v>1</v>
      </c>
      <c r="X375" s="231" t="s">
        <v>239</v>
      </c>
      <c r="Y375" s="231">
        <v>1</v>
      </c>
      <c r="Z375" s="231" t="s">
        <v>239</v>
      </c>
      <c r="AA375" s="231">
        <v>1</v>
      </c>
      <c r="AB375" s="231" t="s">
        <v>239</v>
      </c>
      <c r="AC375" s="231">
        <v>1</v>
      </c>
      <c r="AD375" s="231" t="s">
        <v>239</v>
      </c>
      <c r="AE375" s="231">
        <v>1</v>
      </c>
      <c r="AF375" s="231" t="s">
        <v>239</v>
      </c>
      <c r="AG375" s="231">
        <v>1</v>
      </c>
      <c r="AH375" s="231" t="s">
        <v>239</v>
      </c>
      <c r="AI375" s="231">
        <v>1</v>
      </c>
      <c r="AJ375" s="231" t="s">
        <v>239</v>
      </c>
      <c r="AK375" s="231">
        <v>1</v>
      </c>
      <c r="AL375" s="232" t="s">
        <v>239</v>
      </c>
      <c r="AM375" s="232">
        <v>0</v>
      </c>
    </row>
    <row r="376" spans="1:39" ht="15" customHeight="1" outlineLevel="1">
      <c r="A376" s="412"/>
      <c r="B376" s="10">
        <v>129183</v>
      </c>
      <c r="C376" s="218" t="s">
        <v>1489</v>
      </c>
      <c r="D376" s="218" t="s">
        <v>1490</v>
      </c>
      <c r="E376" s="23" t="s">
        <v>138</v>
      </c>
      <c r="F376" s="17" t="s">
        <v>45</v>
      </c>
      <c r="G376" s="11" t="s">
        <v>1432</v>
      </c>
      <c r="H376" s="12">
        <v>19</v>
      </c>
      <c r="I376" s="11" t="s">
        <v>1433</v>
      </c>
      <c r="J376" s="192" t="s">
        <v>1434</v>
      </c>
      <c r="K376" s="17" t="s">
        <v>233</v>
      </c>
      <c r="L376" s="17" t="s">
        <v>233</v>
      </c>
      <c r="M376" s="231">
        <v>7388</v>
      </c>
      <c r="N376" s="232">
        <v>7298.3096799999994</v>
      </c>
      <c r="O376" s="132">
        <v>258</v>
      </c>
      <c r="P376" s="231" t="s">
        <v>239</v>
      </c>
      <c r="Q376" s="232">
        <v>254.82144</v>
      </c>
      <c r="R376" s="231" t="s">
        <v>239</v>
      </c>
      <c r="S376" s="232">
        <v>251.68203985919999</v>
      </c>
      <c r="T376" s="231" t="s">
        <v>239</v>
      </c>
      <c r="U376" s="232">
        <v>248.58131712813466</v>
      </c>
      <c r="V376" s="230" t="s">
        <v>239</v>
      </c>
      <c r="W376" s="232">
        <v>245.51879530111603</v>
      </c>
      <c r="X376" s="231" t="s">
        <v>239</v>
      </c>
      <c r="Y376" s="232">
        <v>242.49400374300629</v>
      </c>
      <c r="Z376" s="231" t="s">
        <v>239</v>
      </c>
      <c r="AA376" s="232">
        <v>239.50647761689245</v>
      </c>
      <c r="AB376" s="231" t="s">
        <v>239</v>
      </c>
      <c r="AC376" s="232">
        <v>236.55575781265233</v>
      </c>
      <c r="AD376" s="231" t="s">
        <v>239</v>
      </c>
      <c r="AE376" s="232">
        <v>233.64139087640046</v>
      </c>
      <c r="AF376" s="231" t="s">
        <v>239</v>
      </c>
      <c r="AG376" s="232">
        <v>230.76292894080322</v>
      </c>
      <c r="AH376" s="231" t="s">
        <v>239</v>
      </c>
      <c r="AI376" s="232">
        <v>227.91992965625252</v>
      </c>
      <c r="AJ376" s="231" t="s">
        <v>239</v>
      </c>
      <c r="AK376" s="232">
        <v>225.11195612288748</v>
      </c>
      <c r="AL376" s="232" t="s">
        <v>239</v>
      </c>
      <c r="AM376" s="232">
        <v>2894.5960370573453</v>
      </c>
    </row>
    <row r="377" spans="1:39" ht="15" customHeight="1" outlineLevel="1">
      <c r="A377" s="411">
        <v>184</v>
      </c>
      <c r="B377" s="10">
        <v>129184</v>
      </c>
      <c r="C377" s="218" t="s">
        <v>1489</v>
      </c>
      <c r="D377" s="218" t="s">
        <v>1490</v>
      </c>
      <c r="E377" s="23" t="s">
        <v>44</v>
      </c>
      <c r="F377" s="17" t="s">
        <v>45</v>
      </c>
      <c r="G377" s="11" t="s">
        <v>1432</v>
      </c>
      <c r="H377" s="12">
        <v>22</v>
      </c>
      <c r="I377" s="11" t="s">
        <v>1433</v>
      </c>
      <c r="J377" s="192" t="s">
        <v>1480</v>
      </c>
      <c r="K377" s="17" t="s">
        <v>233</v>
      </c>
      <c r="L377" s="17" t="s">
        <v>233</v>
      </c>
      <c r="M377" s="231">
        <v>8.5</v>
      </c>
      <c r="N377" s="231">
        <v>8.5</v>
      </c>
      <c r="O377" s="231">
        <v>8.5</v>
      </c>
      <c r="P377" s="231" t="s">
        <v>239</v>
      </c>
      <c r="Q377" s="231">
        <v>8.5</v>
      </c>
      <c r="R377" s="231" t="s">
        <v>239</v>
      </c>
      <c r="S377" s="231">
        <v>8.5</v>
      </c>
      <c r="T377" s="231" t="s">
        <v>239</v>
      </c>
      <c r="U377" s="231">
        <v>8.5</v>
      </c>
      <c r="V377" s="231" t="s">
        <v>239</v>
      </c>
      <c r="W377" s="231">
        <v>8.5</v>
      </c>
      <c r="X377" s="231" t="s">
        <v>239</v>
      </c>
      <c r="Y377" s="231">
        <v>8.5</v>
      </c>
      <c r="Z377" s="231" t="s">
        <v>239</v>
      </c>
      <c r="AA377" s="231">
        <v>8.5</v>
      </c>
      <c r="AB377" s="231" t="s">
        <v>239</v>
      </c>
      <c r="AC377" s="231">
        <v>8.5</v>
      </c>
      <c r="AD377" s="231" t="s">
        <v>239</v>
      </c>
      <c r="AE377" s="231">
        <v>8.5</v>
      </c>
      <c r="AF377" s="231" t="s">
        <v>239</v>
      </c>
      <c r="AG377" s="231">
        <v>8.5</v>
      </c>
      <c r="AH377" s="231" t="s">
        <v>239</v>
      </c>
      <c r="AI377" s="231">
        <v>8.5</v>
      </c>
      <c r="AJ377" s="231" t="s">
        <v>239</v>
      </c>
      <c r="AK377" s="231">
        <v>8.5</v>
      </c>
      <c r="AL377" s="232" t="s">
        <v>239</v>
      </c>
      <c r="AM377" s="232">
        <v>0</v>
      </c>
    </row>
    <row r="378" spans="1:39" ht="15" customHeight="1" outlineLevel="1">
      <c r="A378" s="412"/>
      <c r="B378" s="10">
        <v>129184</v>
      </c>
      <c r="C378" s="218" t="s">
        <v>1489</v>
      </c>
      <c r="D378" s="218" t="s">
        <v>1490</v>
      </c>
      <c r="E378" s="23" t="s">
        <v>138</v>
      </c>
      <c r="F378" s="17" t="s">
        <v>45</v>
      </c>
      <c r="G378" s="11" t="s">
        <v>1432</v>
      </c>
      <c r="H378" s="12">
        <v>21</v>
      </c>
      <c r="I378" s="11" t="s">
        <v>1433</v>
      </c>
      <c r="J378" s="192" t="s">
        <v>1452</v>
      </c>
      <c r="K378" s="17" t="s">
        <v>233</v>
      </c>
      <c r="L378" s="17" t="s">
        <v>233</v>
      </c>
      <c r="M378" s="231">
        <v>26081</v>
      </c>
      <c r="N378" s="232">
        <v>25764.376659999998</v>
      </c>
      <c r="O378" s="132">
        <v>671</v>
      </c>
      <c r="P378" s="231" t="s">
        <v>239</v>
      </c>
      <c r="Q378" s="232">
        <v>662.73328000000004</v>
      </c>
      <c r="R378" s="231" t="s">
        <v>239</v>
      </c>
      <c r="S378" s="232">
        <v>654.56840599040004</v>
      </c>
      <c r="T378" s="231" t="s">
        <v>239</v>
      </c>
      <c r="U378" s="232">
        <v>646.50412322859836</v>
      </c>
      <c r="V378" s="231" t="s">
        <v>239</v>
      </c>
      <c r="W378" s="232">
        <v>638.53919243042208</v>
      </c>
      <c r="X378" s="231" t="s">
        <v>239</v>
      </c>
      <c r="Y378" s="232">
        <v>630.67238957967925</v>
      </c>
      <c r="Z378" s="231" t="s">
        <v>239</v>
      </c>
      <c r="AA378" s="232">
        <v>622.90250574005756</v>
      </c>
      <c r="AB378" s="231" t="s">
        <v>239</v>
      </c>
      <c r="AC378" s="232">
        <v>615.22834686934004</v>
      </c>
      <c r="AD378" s="231" t="s">
        <v>239</v>
      </c>
      <c r="AE378" s="232">
        <v>607.64873363590982</v>
      </c>
      <c r="AF378" s="231" t="s">
        <v>239</v>
      </c>
      <c r="AG378" s="232">
        <v>600.16250123751536</v>
      </c>
      <c r="AH378" s="231" t="s">
        <v>239</v>
      </c>
      <c r="AI378" s="232">
        <v>592.76849922226916</v>
      </c>
      <c r="AJ378" s="231" t="s">
        <v>239</v>
      </c>
      <c r="AK378" s="232">
        <v>585.46559131185086</v>
      </c>
      <c r="AL378" s="232" t="s">
        <v>239</v>
      </c>
      <c r="AM378" s="232">
        <v>7528.1935692460429</v>
      </c>
    </row>
    <row r="379" spans="1:39" ht="15" customHeight="1" outlineLevel="1">
      <c r="A379" s="411">
        <v>185</v>
      </c>
      <c r="B379" s="10">
        <v>129185</v>
      </c>
      <c r="C379" s="218" t="s">
        <v>1489</v>
      </c>
      <c r="D379" s="218" t="s">
        <v>1490</v>
      </c>
      <c r="E379" s="23" t="s">
        <v>44</v>
      </c>
      <c r="F379" s="17" t="s">
        <v>45</v>
      </c>
      <c r="G379" s="11" t="s">
        <v>1432</v>
      </c>
      <c r="H379" s="12">
        <v>19</v>
      </c>
      <c r="I379" s="11" t="s">
        <v>1433</v>
      </c>
      <c r="J379" s="374" t="s">
        <v>207</v>
      </c>
      <c r="K379" s="17" t="s">
        <v>233</v>
      </c>
      <c r="L379" s="17" t="s">
        <v>233</v>
      </c>
      <c r="M379" s="231">
        <v>8.5</v>
      </c>
      <c r="N379" s="231">
        <v>8.5</v>
      </c>
      <c r="O379" s="231">
        <v>8.5</v>
      </c>
      <c r="P379" s="231" t="s">
        <v>239</v>
      </c>
      <c r="Q379" s="231">
        <v>8.5</v>
      </c>
      <c r="R379" s="231" t="s">
        <v>239</v>
      </c>
      <c r="S379" s="231">
        <v>8.5</v>
      </c>
      <c r="T379" s="231" t="s">
        <v>239</v>
      </c>
      <c r="U379" s="231">
        <v>8.5</v>
      </c>
      <c r="V379" s="230" t="s">
        <v>239</v>
      </c>
      <c r="W379" s="231">
        <v>8.5</v>
      </c>
      <c r="X379" s="231" t="s">
        <v>239</v>
      </c>
      <c r="Y379" s="231">
        <v>8.5</v>
      </c>
      <c r="Z379" s="231" t="s">
        <v>239</v>
      </c>
      <c r="AA379" s="231">
        <v>8.5</v>
      </c>
      <c r="AB379" s="231" t="s">
        <v>239</v>
      </c>
      <c r="AC379" s="231">
        <v>8.5</v>
      </c>
      <c r="AD379" s="231" t="s">
        <v>239</v>
      </c>
      <c r="AE379" s="231">
        <v>8.5</v>
      </c>
      <c r="AF379" s="231" t="s">
        <v>239</v>
      </c>
      <c r="AG379" s="231">
        <v>8.5</v>
      </c>
      <c r="AH379" s="231" t="s">
        <v>239</v>
      </c>
      <c r="AI379" s="231">
        <v>8.5</v>
      </c>
      <c r="AJ379" s="231" t="s">
        <v>239</v>
      </c>
      <c r="AK379" s="231">
        <v>8.5</v>
      </c>
      <c r="AL379" s="232" t="s">
        <v>239</v>
      </c>
      <c r="AM379" s="232">
        <v>0</v>
      </c>
    </row>
    <row r="380" spans="1:39" ht="15" customHeight="1" outlineLevel="1">
      <c r="A380" s="412"/>
      <c r="B380" s="10">
        <v>129185</v>
      </c>
      <c r="C380" s="218" t="s">
        <v>1489</v>
      </c>
      <c r="D380" s="218" t="s">
        <v>1490</v>
      </c>
      <c r="E380" s="23" t="s">
        <v>44</v>
      </c>
      <c r="F380" s="17" t="s">
        <v>45</v>
      </c>
      <c r="G380" s="11" t="s">
        <v>1432</v>
      </c>
      <c r="H380" s="12">
        <v>30</v>
      </c>
      <c r="I380" s="11" t="s">
        <v>1433</v>
      </c>
      <c r="J380" s="375"/>
      <c r="K380" s="17" t="s">
        <v>233</v>
      </c>
      <c r="L380" s="17" t="s">
        <v>233</v>
      </c>
      <c r="M380" s="231">
        <v>0</v>
      </c>
      <c r="N380" s="232">
        <v>0</v>
      </c>
      <c r="O380" s="132"/>
      <c r="P380" s="231" t="s">
        <v>239</v>
      </c>
      <c r="Q380" s="232">
        <v>0</v>
      </c>
      <c r="R380" s="231" t="s">
        <v>239</v>
      </c>
      <c r="S380" s="232">
        <v>0</v>
      </c>
      <c r="T380" s="231" t="s">
        <v>239</v>
      </c>
      <c r="U380" s="232">
        <v>0</v>
      </c>
      <c r="V380" s="231" t="s">
        <v>239</v>
      </c>
      <c r="W380" s="232">
        <v>0</v>
      </c>
      <c r="X380" s="231" t="s">
        <v>239</v>
      </c>
      <c r="Y380" s="232">
        <v>0</v>
      </c>
      <c r="Z380" s="231" t="s">
        <v>239</v>
      </c>
      <c r="AA380" s="232">
        <v>0</v>
      </c>
      <c r="AB380" s="231" t="s">
        <v>239</v>
      </c>
      <c r="AC380" s="232">
        <v>0</v>
      </c>
      <c r="AD380" s="231" t="s">
        <v>239</v>
      </c>
      <c r="AE380" s="232">
        <v>0</v>
      </c>
      <c r="AF380" s="231" t="s">
        <v>239</v>
      </c>
      <c r="AG380" s="232">
        <v>0</v>
      </c>
      <c r="AH380" s="231" t="s">
        <v>239</v>
      </c>
      <c r="AI380" s="232">
        <v>0</v>
      </c>
      <c r="AJ380" s="231" t="s">
        <v>239</v>
      </c>
      <c r="AK380" s="232">
        <v>0</v>
      </c>
      <c r="AL380" s="232" t="s">
        <v>239</v>
      </c>
      <c r="AM380" s="232">
        <v>0</v>
      </c>
    </row>
    <row r="381" spans="1:39" ht="15" customHeight="1" outlineLevel="1">
      <c r="A381" s="411">
        <v>186</v>
      </c>
      <c r="B381" s="10">
        <v>129186</v>
      </c>
      <c r="C381" s="218" t="s">
        <v>1489</v>
      </c>
      <c r="D381" s="218" t="s">
        <v>1490</v>
      </c>
      <c r="E381" s="23" t="s">
        <v>138</v>
      </c>
      <c r="F381" s="17" t="s">
        <v>45</v>
      </c>
      <c r="G381" s="11" t="s">
        <v>1432</v>
      </c>
      <c r="H381" s="12">
        <v>33</v>
      </c>
      <c r="I381" s="11" t="s">
        <v>1433</v>
      </c>
      <c r="J381" s="193" t="s">
        <v>1460</v>
      </c>
      <c r="K381" s="17" t="s">
        <v>233</v>
      </c>
      <c r="L381" s="17" t="s">
        <v>233</v>
      </c>
      <c r="M381" s="231">
        <v>39</v>
      </c>
      <c r="N381" s="231">
        <v>39</v>
      </c>
      <c r="O381" s="231">
        <v>39</v>
      </c>
      <c r="P381" s="231" t="s">
        <v>239</v>
      </c>
      <c r="Q381" s="231">
        <v>39</v>
      </c>
      <c r="R381" s="231" t="s">
        <v>239</v>
      </c>
      <c r="S381" s="231">
        <v>39</v>
      </c>
      <c r="T381" s="231" t="s">
        <v>239</v>
      </c>
      <c r="U381" s="231">
        <v>39</v>
      </c>
      <c r="V381" s="231" t="s">
        <v>239</v>
      </c>
      <c r="W381" s="231">
        <v>39</v>
      </c>
      <c r="X381" s="231" t="s">
        <v>239</v>
      </c>
      <c r="Y381" s="231">
        <v>39</v>
      </c>
      <c r="Z381" s="231" t="s">
        <v>239</v>
      </c>
      <c r="AA381" s="231">
        <v>39</v>
      </c>
      <c r="AB381" s="231" t="s">
        <v>239</v>
      </c>
      <c r="AC381" s="231">
        <v>39</v>
      </c>
      <c r="AD381" s="231" t="s">
        <v>239</v>
      </c>
      <c r="AE381" s="231">
        <v>39</v>
      </c>
      <c r="AF381" s="231" t="s">
        <v>239</v>
      </c>
      <c r="AG381" s="231">
        <v>39</v>
      </c>
      <c r="AH381" s="231" t="s">
        <v>239</v>
      </c>
      <c r="AI381" s="231">
        <v>39</v>
      </c>
      <c r="AJ381" s="231" t="s">
        <v>239</v>
      </c>
      <c r="AK381" s="231">
        <v>39</v>
      </c>
      <c r="AL381" s="232" t="s">
        <v>239</v>
      </c>
      <c r="AM381" s="232">
        <v>0</v>
      </c>
    </row>
    <row r="382" spans="1:39" ht="15" customHeight="1" outlineLevel="1">
      <c r="A382" s="412"/>
      <c r="B382" s="10">
        <v>129186</v>
      </c>
      <c r="C382" s="218" t="s">
        <v>1489</v>
      </c>
      <c r="D382" s="218" t="s">
        <v>1490</v>
      </c>
      <c r="E382" s="23" t="s">
        <v>44</v>
      </c>
      <c r="F382" s="17" t="s">
        <v>45</v>
      </c>
      <c r="G382" s="11" t="s">
        <v>1432</v>
      </c>
      <c r="H382" s="12">
        <v>19</v>
      </c>
      <c r="I382" s="11" t="s">
        <v>1433</v>
      </c>
      <c r="J382" s="193" t="s">
        <v>1442</v>
      </c>
      <c r="K382" s="17" t="s">
        <v>233</v>
      </c>
      <c r="L382" s="17" t="s">
        <v>233</v>
      </c>
      <c r="M382" s="231">
        <v>7896</v>
      </c>
      <c r="N382" s="232">
        <v>7800.1425599999993</v>
      </c>
      <c r="O382" s="132">
        <v>687</v>
      </c>
      <c r="P382" s="231" t="s">
        <v>239</v>
      </c>
      <c r="Q382" s="232">
        <v>678.53616</v>
      </c>
      <c r="R382" s="231" t="s">
        <v>239</v>
      </c>
      <c r="S382" s="232">
        <v>670.17659450880001</v>
      </c>
      <c r="T382" s="231" t="s">
        <v>239</v>
      </c>
      <c r="U382" s="232">
        <v>661.92001886445155</v>
      </c>
      <c r="V382" s="230" t="s">
        <v>239</v>
      </c>
      <c r="W382" s="232">
        <v>653.76516423204146</v>
      </c>
      <c r="X382" s="231" t="s">
        <v>239</v>
      </c>
      <c r="Y382" s="232">
        <v>645.71077740870271</v>
      </c>
      <c r="Z382" s="231" t="s">
        <v>239</v>
      </c>
      <c r="AA382" s="232">
        <v>637.75562063102745</v>
      </c>
      <c r="AB382" s="231" t="s">
        <v>239</v>
      </c>
      <c r="AC382" s="232">
        <v>629.89847138485322</v>
      </c>
      <c r="AD382" s="231" t="s">
        <v>239</v>
      </c>
      <c r="AE382" s="232">
        <v>622.13812221739181</v>
      </c>
      <c r="AF382" s="231" t="s">
        <v>239</v>
      </c>
      <c r="AG382" s="232">
        <v>614.47338055167359</v>
      </c>
      <c r="AH382" s="231" t="s">
        <v>239</v>
      </c>
      <c r="AI382" s="232">
        <v>606.90306850327693</v>
      </c>
      <c r="AJ382" s="231" t="s">
        <v>239</v>
      </c>
      <c r="AK382" s="232">
        <v>599.4260226993166</v>
      </c>
      <c r="AL382" s="232" t="s">
        <v>239</v>
      </c>
      <c r="AM382" s="232">
        <v>7707.7034010015341</v>
      </c>
    </row>
    <row r="383" spans="1:39" ht="15" customHeight="1" outlineLevel="1">
      <c r="A383" s="411">
        <v>187</v>
      </c>
      <c r="B383" s="10">
        <v>129187</v>
      </c>
      <c r="C383" s="218" t="s">
        <v>1489</v>
      </c>
      <c r="D383" s="218" t="s">
        <v>1490</v>
      </c>
      <c r="E383" s="23" t="s">
        <v>138</v>
      </c>
      <c r="F383" s="17" t="s">
        <v>45</v>
      </c>
      <c r="G383" s="11" t="s">
        <v>1432</v>
      </c>
      <c r="H383" s="12">
        <v>6</v>
      </c>
      <c r="I383" s="11" t="s">
        <v>1433</v>
      </c>
      <c r="J383" s="193" t="s">
        <v>1460</v>
      </c>
      <c r="K383" s="17" t="s">
        <v>233</v>
      </c>
      <c r="L383" s="17" t="s">
        <v>233</v>
      </c>
      <c r="M383" s="231">
        <v>39</v>
      </c>
      <c r="N383" s="231">
        <v>39</v>
      </c>
      <c r="O383" s="231">
        <v>39</v>
      </c>
      <c r="P383" s="231" t="s">
        <v>239</v>
      </c>
      <c r="Q383" s="231">
        <v>39</v>
      </c>
      <c r="R383" s="231" t="s">
        <v>239</v>
      </c>
      <c r="S383" s="231">
        <v>39</v>
      </c>
      <c r="T383" s="231" t="s">
        <v>239</v>
      </c>
      <c r="U383" s="231">
        <v>39</v>
      </c>
      <c r="V383" s="231" t="s">
        <v>239</v>
      </c>
      <c r="W383" s="231">
        <v>39</v>
      </c>
      <c r="X383" s="231" t="s">
        <v>239</v>
      </c>
      <c r="Y383" s="231">
        <v>39</v>
      </c>
      <c r="Z383" s="231" t="s">
        <v>239</v>
      </c>
      <c r="AA383" s="231">
        <v>39</v>
      </c>
      <c r="AB383" s="231" t="s">
        <v>239</v>
      </c>
      <c r="AC383" s="231">
        <v>39</v>
      </c>
      <c r="AD383" s="231" t="s">
        <v>239</v>
      </c>
      <c r="AE383" s="231">
        <v>39</v>
      </c>
      <c r="AF383" s="231" t="s">
        <v>239</v>
      </c>
      <c r="AG383" s="231">
        <v>39</v>
      </c>
      <c r="AH383" s="231" t="s">
        <v>239</v>
      </c>
      <c r="AI383" s="231">
        <v>39</v>
      </c>
      <c r="AJ383" s="231" t="s">
        <v>239</v>
      </c>
      <c r="AK383" s="231">
        <v>39</v>
      </c>
      <c r="AL383" s="232" t="s">
        <v>239</v>
      </c>
      <c r="AM383" s="232">
        <v>0</v>
      </c>
    </row>
    <row r="384" spans="1:39" ht="15" customHeight="1" outlineLevel="1">
      <c r="A384" s="412"/>
      <c r="B384" s="10">
        <v>129187</v>
      </c>
      <c r="C384" s="218" t="s">
        <v>1489</v>
      </c>
      <c r="D384" s="218" t="s">
        <v>1490</v>
      </c>
      <c r="E384" s="23" t="s">
        <v>44</v>
      </c>
      <c r="F384" s="17" t="s">
        <v>45</v>
      </c>
      <c r="G384" s="11" t="s">
        <v>1432</v>
      </c>
      <c r="H384" s="12">
        <v>15</v>
      </c>
      <c r="I384" s="11" t="s">
        <v>1433</v>
      </c>
      <c r="J384" s="193" t="s">
        <v>1457</v>
      </c>
      <c r="K384" s="17" t="s">
        <v>233</v>
      </c>
      <c r="L384" s="17" t="s">
        <v>233</v>
      </c>
      <c r="M384" s="231">
        <v>0</v>
      </c>
      <c r="N384" s="232">
        <v>0</v>
      </c>
      <c r="O384" s="132"/>
      <c r="P384" s="231" t="s">
        <v>239</v>
      </c>
      <c r="Q384" s="232">
        <v>0</v>
      </c>
      <c r="R384" s="231" t="s">
        <v>239</v>
      </c>
      <c r="S384" s="232">
        <v>0</v>
      </c>
      <c r="T384" s="231" t="s">
        <v>239</v>
      </c>
      <c r="U384" s="232">
        <v>0</v>
      </c>
      <c r="V384" s="231" t="s">
        <v>239</v>
      </c>
      <c r="W384" s="232">
        <v>0</v>
      </c>
      <c r="X384" s="231" t="s">
        <v>239</v>
      </c>
      <c r="Y384" s="232">
        <v>0</v>
      </c>
      <c r="Z384" s="231" t="s">
        <v>239</v>
      </c>
      <c r="AA384" s="232">
        <v>0</v>
      </c>
      <c r="AB384" s="231" t="s">
        <v>239</v>
      </c>
      <c r="AC384" s="232">
        <v>0</v>
      </c>
      <c r="AD384" s="231" t="s">
        <v>239</v>
      </c>
      <c r="AE384" s="232">
        <v>0</v>
      </c>
      <c r="AF384" s="231" t="s">
        <v>239</v>
      </c>
      <c r="AG384" s="232">
        <v>0</v>
      </c>
      <c r="AH384" s="231" t="s">
        <v>239</v>
      </c>
      <c r="AI384" s="232">
        <v>0</v>
      </c>
      <c r="AJ384" s="231" t="s">
        <v>239</v>
      </c>
      <c r="AK384" s="232">
        <v>0</v>
      </c>
      <c r="AL384" s="232" t="s">
        <v>239</v>
      </c>
      <c r="AM384" s="232">
        <v>0</v>
      </c>
    </row>
    <row r="385" spans="1:39" ht="15" customHeight="1" outlineLevel="1">
      <c r="A385" s="411">
        <v>188</v>
      </c>
      <c r="B385" s="10">
        <v>129188</v>
      </c>
      <c r="C385" s="218" t="s">
        <v>1489</v>
      </c>
      <c r="D385" s="218" t="s">
        <v>1490</v>
      </c>
      <c r="E385" s="23" t="s">
        <v>44</v>
      </c>
      <c r="F385" s="17" t="s">
        <v>45</v>
      </c>
      <c r="G385" s="11" t="s">
        <v>1432</v>
      </c>
      <c r="H385" s="12">
        <v>19</v>
      </c>
      <c r="I385" s="11" t="s">
        <v>1433</v>
      </c>
      <c r="J385" s="193" t="s">
        <v>617</v>
      </c>
      <c r="K385" s="17" t="s">
        <v>233</v>
      </c>
      <c r="L385" s="17" t="s">
        <v>233</v>
      </c>
      <c r="M385" s="231">
        <v>49</v>
      </c>
      <c r="N385" s="231">
        <v>49</v>
      </c>
      <c r="O385" s="231">
        <v>49</v>
      </c>
      <c r="P385" s="231" t="s">
        <v>239</v>
      </c>
      <c r="Q385" s="231">
        <v>49</v>
      </c>
      <c r="R385" s="231" t="s">
        <v>239</v>
      </c>
      <c r="S385" s="231">
        <v>49</v>
      </c>
      <c r="T385" s="231" t="s">
        <v>239</v>
      </c>
      <c r="U385" s="231">
        <v>49</v>
      </c>
      <c r="V385" s="230" t="s">
        <v>239</v>
      </c>
      <c r="W385" s="231">
        <v>49</v>
      </c>
      <c r="X385" s="231" t="s">
        <v>239</v>
      </c>
      <c r="Y385" s="231">
        <v>49</v>
      </c>
      <c r="Z385" s="231" t="s">
        <v>239</v>
      </c>
      <c r="AA385" s="231">
        <v>49</v>
      </c>
      <c r="AB385" s="231" t="s">
        <v>239</v>
      </c>
      <c r="AC385" s="231">
        <v>49</v>
      </c>
      <c r="AD385" s="231" t="s">
        <v>239</v>
      </c>
      <c r="AE385" s="231">
        <v>49</v>
      </c>
      <c r="AF385" s="231" t="s">
        <v>239</v>
      </c>
      <c r="AG385" s="231">
        <v>49</v>
      </c>
      <c r="AH385" s="231" t="s">
        <v>239</v>
      </c>
      <c r="AI385" s="231">
        <v>49</v>
      </c>
      <c r="AJ385" s="231" t="s">
        <v>239</v>
      </c>
      <c r="AK385" s="231">
        <v>49</v>
      </c>
      <c r="AL385" s="232" t="s">
        <v>239</v>
      </c>
      <c r="AM385" s="232">
        <v>0</v>
      </c>
    </row>
    <row r="386" spans="1:39" ht="15" customHeight="1" outlineLevel="1">
      <c r="A386" s="412"/>
      <c r="B386" s="10">
        <v>129188</v>
      </c>
      <c r="C386" s="218" t="s">
        <v>1489</v>
      </c>
      <c r="D386" s="218" t="s">
        <v>1490</v>
      </c>
      <c r="E386" s="23" t="s">
        <v>138</v>
      </c>
      <c r="F386" s="17" t="s">
        <v>45</v>
      </c>
      <c r="G386" s="11" t="s">
        <v>1432</v>
      </c>
      <c r="H386" s="12">
        <v>22</v>
      </c>
      <c r="I386" s="11" t="s">
        <v>1433</v>
      </c>
      <c r="J386" s="193" t="s">
        <v>216</v>
      </c>
      <c r="K386" s="17" t="s">
        <v>233</v>
      </c>
      <c r="L386" s="17" t="s">
        <v>233</v>
      </c>
      <c r="M386" s="231">
        <v>10860</v>
      </c>
      <c r="N386" s="232">
        <v>10728.159599999999</v>
      </c>
      <c r="O386" s="132">
        <v>870</v>
      </c>
      <c r="P386" s="231" t="s">
        <v>239</v>
      </c>
      <c r="Q386" s="232">
        <v>859.28160000000003</v>
      </c>
      <c r="R386" s="231" t="s">
        <v>239</v>
      </c>
      <c r="S386" s="232">
        <v>848.69525068799999</v>
      </c>
      <c r="T386" s="231" t="s">
        <v>239</v>
      </c>
      <c r="U386" s="232">
        <v>838.23932519952382</v>
      </c>
      <c r="V386" s="231" t="s">
        <v>239</v>
      </c>
      <c r="W386" s="232">
        <v>827.91221671306573</v>
      </c>
      <c r="X386" s="231" t="s">
        <v>239</v>
      </c>
      <c r="Y386" s="232">
        <v>817.71233820316081</v>
      </c>
      <c r="Z386" s="231" t="s">
        <v>239</v>
      </c>
      <c r="AA386" s="232">
        <v>807.63812219649787</v>
      </c>
      <c r="AB386" s="231" t="s">
        <v>239</v>
      </c>
      <c r="AC386" s="232">
        <v>797.68802053103707</v>
      </c>
      <c r="AD386" s="231" t="s">
        <v>239</v>
      </c>
      <c r="AE386" s="232">
        <v>787.8605041180947</v>
      </c>
      <c r="AF386" s="231" t="s">
        <v>239</v>
      </c>
      <c r="AG386" s="232">
        <v>778.1540627073598</v>
      </c>
      <c r="AH386" s="231" t="s">
        <v>239</v>
      </c>
      <c r="AI386" s="232">
        <v>768.5672046548051</v>
      </c>
      <c r="AJ386" s="231" t="s">
        <v>239</v>
      </c>
      <c r="AK386" s="232">
        <v>759.09845669345793</v>
      </c>
      <c r="AL386" s="232" t="s">
        <v>239</v>
      </c>
      <c r="AM386" s="232">
        <v>9760.8471017050015</v>
      </c>
    </row>
    <row r="387" spans="1:39" ht="15" customHeight="1" outlineLevel="1">
      <c r="A387" s="411">
        <v>189</v>
      </c>
      <c r="B387" s="10">
        <v>129189</v>
      </c>
      <c r="C387" s="218" t="s">
        <v>1489</v>
      </c>
      <c r="D387" s="218" t="s">
        <v>1490</v>
      </c>
      <c r="E387" s="23" t="s">
        <v>44</v>
      </c>
      <c r="F387" s="17" t="s">
        <v>45</v>
      </c>
      <c r="G387" s="11" t="s">
        <v>1432</v>
      </c>
      <c r="H387" s="12">
        <v>24</v>
      </c>
      <c r="I387" s="11" t="s">
        <v>1433</v>
      </c>
      <c r="J387" s="192" t="s">
        <v>1446</v>
      </c>
      <c r="K387" s="17" t="s">
        <v>233</v>
      </c>
      <c r="L387" s="17" t="s">
        <v>233</v>
      </c>
      <c r="M387" s="231">
        <v>0.6</v>
      </c>
      <c r="N387" s="231">
        <v>0.6</v>
      </c>
      <c r="O387" s="231">
        <v>0.6</v>
      </c>
      <c r="P387" s="231" t="s">
        <v>239</v>
      </c>
      <c r="Q387" s="231">
        <v>0.6</v>
      </c>
      <c r="R387" s="231" t="s">
        <v>239</v>
      </c>
      <c r="S387" s="231">
        <v>0.6</v>
      </c>
      <c r="T387" s="231" t="s">
        <v>239</v>
      </c>
      <c r="U387" s="231">
        <v>0.6</v>
      </c>
      <c r="V387" s="231" t="s">
        <v>239</v>
      </c>
      <c r="W387" s="231">
        <v>0.6</v>
      </c>
      <c r="X387" s="231" t="s">
        <v>239</v>
      </c>
      <c r="Y387" s="231">
        <v>0.6</v>
      </c>
      <c r="Z387" s="231" t="s">
        <v>239</v>
      </c>
      <c r="AA387" s="231">
        <v>0.6</v>
      </c>
      <c r="AB387" s="231" t="s">
        <v>239</v>
      </c>
      <c r="AC387" s="231">
        <v>0.6</v>
      </c>
      <c r="AD387" s="231" t="s">
        <v>239</v>
      </c>
      <c r="AE387" s="231">
        <v>0.6</v>
      </c>
      <c r="AF387" s="231" t="s">
        <v>239</v>
      </c>
      <c r="AG387" s="231">
        <v>0.6</v>
      </c>
      <c r="AH387" s="231" t="s">
        <v>239</v>
      </c>
      <c r="AI387" s="231">
        <v>0.6</v>
      </c>
      <c r="AJ387" s="231" t="s">
        <v>239</v>
      </c>
      <c r="AK387" s="231">
        <v>0.6</v>
      </c>
      <c r="AL387" s="232" t="s">
        <v>239</v>
      </c>
      <c r="AM387" s="232">
        <v>0</v>
      </c>
    </row>
    <row r="388" spans="1:39" ht="15" customHeight="1" outlineLevel="1">
      <c r="A388" s="412"/>
      <c r="B388" s="10">
        <v>129189</v>
      </c>
      <c r="C388" s="218" t="s">
        <v>1489</v>
      </c>
      <c r="D388" s="218" t="s">
        <v>1490</v>
      </c>
      <c r="E388" s="23" t="s">
        <v>138</v>
      </c>
      <c r="F388" s="17" t="s">
        <v>45</v>
      </c>
      <c r="G388" s="11" t="s">
        <v>1432</v>
      </c>
      <c r="H388" s="12">
        <v>21</v>
      </c>
      <c r="I388" s="11" t="s">
        <v>1433</v>
      </c>
      <c r="J388" s="192" t="s">
        <v>1481</v>
      </c>
      <c r="K388" s="17" t="s">
        <v>233</v>
      </c>
      <c r="L388" s="17" t="s">
        <v>233</v>
      </c>
      <c r="M388" s="231">
        <v>1063</v>
      </c>
      <c r="N388" s="232">
        <v>1050.09518</v>
      </c>
      <c r="O388" s="132">
        <v>210</v>
      </c>
      <c r="P388" s="231" t="s">
        <v>239</v>
      </c>
      <c r="Q388" s="232">
        <v>207.4128</v>
      </c>
      <c r="R388" s="231" t="s">
        <v>239</v>
      </c>
      <c r="S388" s="232">
        <v>204.85747430399999</v>
      </c>
      <c r="T388" s="231" t="s">
        <v>239</v>
      </c>
      <c r="U388" s="232">
        <v>202.33363022057472</v>
      </c>
      <c r="V388" s="230" t="s">
        <v>239</v>
      </c>
      <c r="W388" s="232">
        <v>199.84087989625723</v>
      </c>
      <c r="X388" s="231" t="s">
        <v>239</v>
      </c>
      <c r="Y388" s="232">
        <v>197.37884025593536</v>
      </c>
      <c r="Z388" s="231" t="s">
        <v>239</v>
      </c>
      <c r="AA388" s="232">
        <v>194.94713294398224</v>
      </c>
      <c r="AB388" s="231" t="s">
        <v>239</v>
      </c>
      <c r="AC388" s="232">
        <v>192.54538426611239</v>
      </c>
      <c r="AD388" s="231" t="s">
        <v>239</v>
      </c>
      <c r="AE388" s="232">
        <v>190.1732251319539</v>
      </c>
      <c r="AF388" s="231" t="s">
        <v>239</v>
      </c>
      <c r="AG388" s="232">
        <v>187.83029099832822</v>
      </c>
      <c r="AH388" s="231" t="s">
        <v>239</v>
      </c>
      <c r="AI388" s="232">
        <v>185.51622181322881</v>
      </c>
      <c r="AJ388" s="231" t="s">
        <v>239</v>
      </c>
      <c r="AK388" s="232">
        <v>183.23066196048984</v>
      </c>
      <c r="AL388" s="232" t="s">
        <v>239</v>
      </c>
      <c r="AM388" s="232">
        <v>2356.0665417908622</v>
      </c>
    </row>
    <row r="389" spans="1:39" ht="15" customHeight="1" outlineLevel="1">
      <c r="A389" s="411">
        <v>190</v>
      </c>
      <c r="B389" s="10">
        <v>129190</v>
      </c>
      <c r="C389" s="218" t="s">
        <v>1489</v>
      </c>
      <c r="D389" s="218" t="s">
        <v>1490</v>
      </c>
      <c r="E389" s="23" t="s">
        <v>44</v>
      </c>
      <c r="F389" s="17" t="s">
        <v>45</v>
      </c>
      <c r="G389" s="11" t="s">
        <v>1432</v>
      </c>
      <c r="H389" s="12">
        <v>19</v>
      </c>
      <c r="I389" s="11" t="s">
        <v>1433</v>
      </c>
      <c r="J389" s="192" t="s">
        <v>208</v>
      </c>
      <c r="K389" s="17" t="s">
        <v>233</v>
      </c>
      <c r="L389" s="17" t="s">
        <v>233</v>
      </c>
      <c r="M389" s="231">
        <v>15</v>
      </c>
      <c r="N389" s="231">
        <v>15</v>
      </c>
      <c r="O389" s="231">
        <v>15</v>
      </c>
      <c r="P389" s="231" t="s">
        <v>239</v>
      </c>
      <c r="Q389" s="231">
        <v>15</v>
      </c>
      <c r="R389" s="231" t="s">
        <v>239</v>
      </c>
      <c r="S389" s="231">
        <v>15</v>
      </c>
      <c r="T389" s="231" t="s">
        <v>239</v>
      </c>
      <c r="U389" s="231">
        <v>15</v>
      </c>
      <c r="V389" s="231" t="s">
        <v>239</v>
      </c>
      <c r="W389" s="231">
        <v>15</v>
      </c>
      <c r="X389" s="231" t="s">
        <v>239</v>
      </c>
      <c r="Y389" s="231">
        <v>15</v>
      </c>
      <c r="Z389" s="231" t="s">
        <v>239</v>
      </c>
      <c r="AA389" s="231">
        <v>15</v>
      </c>
      <c r="AB389" s="231" t="s">
        <v>239</v>
      </c>
      <c r="AC389" s="231">
        <v>15</v>
      </c>
      <c r="AD389" s="231" t="s">
        <v>239</v>
      </c>
      <c r="AE389" s="231">
        <v>15</v>
      </c>
      <c r="AF389" s="231" t="s">
        <v>239</v>
      </c>
      <c r="AG389" s="231">
        <v>15</v>
      </c>
      <c r="AH389" s="231" t="s">
        <v>239</v>
      </c>
      <c r="AI389" s="231">
        <v>15</v>
      </c>
      <c r="AJ389" s="231" t="s">
        <v>239</v>
      </c>
      <c r="AK389" s="231">
        <v>15</v>
      </c>
      <c r="AL389" s="232" t="s">
        <v>239</v>
      </c>
      <c r="AM389" s="232">
        <v>0</v>
      </c>
    </row>
    <row r="390" spans="1:39" ht="15" customHeight="1" outlineLevel="1">
      <c r="A390" s="412"/>
      <c r="B390" s="10">
        <v>129190</v>
      </c>
      <c r="C390" s="218" t="s">
        <v>1489</v>
      </c>
      <c r="D390" s="218" t="s">
        <v>1490</v>
      </c>
      <c r="E390" s="23" t="s">
        <v>44</v>
      </c>
      <c r="F390" s="17" t="s">
        <v>45</v>
      </c>
      <c r="G390" s="11" t="s">
        <v>1432</v>
      </c>
      <c r="H390" s="12">
        <v>30</v>
      </c>
      <c r="I390" s="11" t="s">
        <v>1433</v>
      </c>
      <c r="J390" s="192" t="s">
        <v>1463</v>
      </c>
      <c r="K390" s="17" t="s">
        <v>233</v>
      </c>
      <c r="L390" s="17" t="s">
        <v>233</v>
      </c>
      <c r="M390" s="231">
        <v>5491</v>
      </c>
      <c r="N390" s="232">
        <v>5424.3392599999997</v>
      </c>
      <c r="O390" s="132">
        <v>400</v>
      </c>
      <c r="P390" s="231" t="s">
        <v>239</v>
      </c>
      <c r="Q390" s="232">
        <v>395.072</v>
      </c>
      <c r="R390" s="231" t="s">
        <v>239</v>
      </c>
      <c r="S390" s="232">
        <v>390.20471295999999</v>
      </c>
      <c r="T390" s="231" t="s">
        <v>239</v>
      </c>
      <c r="U390" s="232">
        <v>385.39739089633281</v>
      </c>
      <c r="V390" s="231" t="s">
        <v>239</v>
      </c>
      <c r="W390" s="232">
        <v>380.64929504049002</v>
      </c>
      <c r="X390" s="231" t="s">
        <v>239</v>
      </c>
      <c r="Y390" s="232">
        <v>375.95969572559119</v>
      </c>
      <c r="Z390" s="231" t="s">
        <v>239</v>
      </c>
      <c r="AA390" s="232">
        <v>371.32787227425189</v>
      </c>
      <c r="AB390" s="231" t="s">
        <v>239</v>
      </c>
      <c r="AC390" s="232">
        <v>366.75311288783308</v>
      </c>
      <c r="AD390" s="231" t="s">
        <v>239</v>
      </c>
      <c r="AE390" s="232">
        <v>362.23471453705497</v>
      </c>
      <c r="AF390" s="231" t="s">
        <v>239</v>
      </c>
      <c r="AG390" s="232">
        <v>357.77198285395843</v>
      </c>
      <c r="AH390" s="231" t="s">
        <v>239</v>
      </c>
      <c r="AI390" s="232">
        <v>353.36423202519768</v>
      </c>
      <c r="AJ390" s="231" t="s">
        <v>239</v>
      </c>
      <c r="AK390" s="232">
        <v>349.01078468664724</v>
      </c>
      <c r="AL390" s="232" t="s">
        <v>239</v>
      </c>
      <c r="AM390" s="232">
        <v>4487.7457938873576</v>
      </c>
    </row>
    <row r="391" spans="1:39" ht="15" customHeight="1" outlineLevel="1">
      <c r="A391" s="411">
        <v>191</v>
      </c>
      <c r="B391" s="10">
        <v>129191</v>
      </c>
      <c r="C391" s="218" t="s">
        <v>1489</v>
      </c>
      <c r="D391" s="218" t="s">
        <v>1490</v>
      </c>
      <c r="E391" s="23" t="s">
        <v>138</v>
      </c>
      <c r="F391" s="17" t="s">
        <v>45</v>
      </c>
      <c r="G391" s="11" t="s">
        <v>1432</v>
      </c>
      <c r="H391" s="12">
        <v>33</v>
      </c>
      <c r="I391" s="11" t="s">
        <v>1433</v>
      </c>
      <c r="J391" s="192" t="s">
        <v>1482</v>
      </c>
      <c r="K391" s="17" t="s">
        <v>233</v>
      </c>
      <c r="L391" s="17" t="s">
        <v>233</v>
      </c>
      <c r="M391" s="231">
        <v>15</v>
      </c>
      <c r="N391" s="231">
        <v>15</v>
      </c>
      <c r="O391" s="231">
        <v>15</v>
      </c>
      <c r="P391" s="231" t="s">
        <v>239</v>
      </c>
      <c r="Q391" s="231">
        <v>15</v>
      </c>
      <c r="R391" s="231" t="s">
        <v>239</v>
      </c>
      <c r="S391" s="231">
        <v>15</v>
      </c>
      <c r="T391" s="231" t="s">
        <v>239</v>
      </c>
      <c r="U391" s="231">
        <v>15</v>
      </c>
      <c r="V391" s="230" t="s">
        <v>239</v>
      </c>
      <c r="W391" s="231">
        <v>15</v>
      </c>
      <c r="X391" s="231" t="s">
        <v>239</v>
      </c>
      <c r="Y391" s="231">
        <v>15</v>
      </c>
      <c r="Z391" s="231" t="s">
        <v>239</v>
      </c>
      <c r="AA391" s="231">
        <v>15</v>
      </c>
      <c r="AB391" s="231" t="s">
        <v>239</v>
      </c>
      <c r="AC391" s="231">
        <v>15</v>
      </c>
      <c r="AD391" s="231" t="s">
        <v>239</v>
      </c>
      <c r="AE391" s="231">
        <v>15</v>
      </c>
      <c r="AF391" s="231" t="s">
        <v>239</v>
      </c>
      <c r="AG391" s="231">
        <v>15</v>
      </c>
      <c r="AH391" s="231" t="s">
        <v>239</v>
      </c>
      <c r="AI391" s="231">
        <v>15</v>
      </c>
      <c r="AJ391" s="231" t="s">
        <v>239</v>
      </c>
      <c r="AK391" s="231">
        <v>15</v>
      </c>
      <c r="AL391" s="232" t="s">
        <v>239</v>
      </c>
      <c r="AM391" s="232">
        <v>0</v>
      </c>
    </row>
    <row r="392" spans="1:39" ht="15" customHeight="1" outlineLevel="1">
      <c r="A392" s="412"/>
      <c r="B392" s="10">
        <v>129191</v>
      </c>
      <c r="C392" s="218" t="s">
        <v>1489</v>
      </c>
      <c r="D392" s="218" t="s">
        <v>1490</v>
      </c>
      <c r="E392" s="23" t="s">
        <v>44</v>
      </c>
      <c r="F392" s="17" t="s">
        <v>45</v>
      </c>
      <c r="G392" s="11" t="s">
        <v>1432</v>
      </c>
      <c r="H392" s="12">
        <v>19</v>
      </c>
      <c r="I392" s="11" t="s">
        <v>1433</v>
      </c>
      <c r="J392" s="192" t="s">
        <v>1462</v>
      </c>
      <c r="K392" s="17" t="s">
        <v>233</v>
      </c>
      <c r="L392" s="17" t="s">
        <v>233</v>
      </c>
      <c r="M392" s="231">
        <v>0</v>
      </c>
      <c r="N392" s="232">
        <v>0</v>
      </c>
      <c r="O392" s="132"/>
      <c r="P392" s="231" t="s">
        <v>239</v>
      </c>
      <c r="Q392" s="232">
        <v>0</v>
      </c>
      <c r="R392" s="231" t="s">
        <v>239</v>
      </c>
      <c r="S392" s="232">
        <v>0</v>
      </c>
      <c r="T392" s="231" t="s">
        <v>239</v>
      </c>
      <c r="U392" s="232">
        <v>0</v>
      </c>
      <c r="V392" s="231" t="s">
        <v>239</v>
      </c>
      <c r="W392" s="232">
        <v>0</v>
      </c>
      <c r="X392" s="231" t="s">
        <v>239</v>
      </c>
      <c r="Y392" s="232">
        <v>0</v>
      </c>
      <c r="Z392" s="231" t="s">
        <v>239</v>
      </c>
      <c r="AA392" s="232">
        <v>0</v>
      </c>
      <c r="AB392" s="231" t="s">
        <v>239</v>
      </c>
      <c r="AC392" s="232">
        <v>0</v>
      </c>
      <c r="AD392" s="231" t="s">
        <v>239</v>
      </c>
      <c r="AE392" s="232">
        <v>0</v>
      </c>
      <c r="AF392" s="231" t="s">
        <v>239</v>
      </c>
      <c r="AG392" s="232">
        <v>0</v>
      </c>
      <c r="AH392" s="231" t="s">
        <v>239</v>
      </c>
      <c r="AI392" s="232">
        <v>0</v>
      </c>
      <c r="AJ392" s="231" t="s">
        <v>239</v>
      </c>
      <c r="AK392" s="232">
        <v>0</v>
      </c>
      <c r="AL392" s="232" t="s">
        <v>239</v>
      </c>
      <c r="AM392" s="232">
        <v>0</v>
      </c>
    </row>
    <row r="393" spans="1:39" ht="15" customHeight="1" outlineLevel="1">
      <c r="A393" s="411">
        <v>192</v>
      </c>
      <c r="B393" s="10">
        <v>129192</v>
      </c>
      <c r="C393" s="218" t="s">
        <v>1489</v>
      </c>
      <c r="D393" s="218" t="s">
        <v>1490</v>
      </c>
      <c r="E393" s="23" t="s">
        <v>138</v>
      </c>
      <c r="F393" s="17" t="s">
        <v>45</v>
      </c>
      <c r="G393" s="11" t="s">
        <v>1432</v>
      </c>
      <c r="H393" s="12">
        <v>6</v>
      </c>
      <c r="I393" s="11" t="s">
        <v>1433</v>
      </c>
      <c r="J393" s="192" t="s">
        <v>1457</v>
      </c>
      <c r="K393" s="17" t="s">
        <v>233</v>
      </c>
      <c r="L393" s="17" t="s">
        <v>233</v>
      </c>
      <c r="M393" s="231">
        <v>20</v>
      </c>
      <c r="N393" s="231">
        <v>20</v>
      </c>
      <c r="O393" s="231">
        <v>20</v>
      </c>
      <c r="P393" s="231" t="s">
        <v>239</v>
      </c>
      <c r="Q393" s="231">
        <v>20</v>
      </c>
      <c r="R393" s="231" t="s">
        <v>239</v>
      </c>
      <c r="S393" s="231">
        <v>20</v>
      </c>
      <c r="T393" s="231" t="s">
        <v>239</v>
      </c>
      <c r="U393" s="231">
        <v>20</v>
      </c>
      <c r="V393" s="231" t="s">
        <v>239</v>
      </c>
      <c r="W393" s="231">
        <v>20</v>
      </c>
      <c r="X393" s="231" t="s">
        <v>239</v>
      </c>
      <c r="Y393" s="231">
        <v>20</v>
      </c>
      <c r="Z393" s="231" t="s">
        <v>239</v>
      </c>
      <c r="AA393" s="231">
        <v>20</v>
      </c>
      <c r="AB393" s="231" t="s">
        <v>239</v>
      </c>
      <c r="AC393" s="231">
        <v>20</v>
      </c>
      <c r="AD393" s="231" t="s">
        <v>239</v>
      </c>
      <c r="AE393" s="231">
        <v>20</v>
      </c>
      <c r="AF393" s="231" t="s">
        <v>239</v>
      </c>
      <c r="AG393" s="231">
        <v>20</v>
      </c>
      <c r="AH393" s="231" t="s">
        <v>239</v>
      </c>
      <c r="AI393" s="231">
        <v>20</v>
      </c>
      <c r="AJ393" s="231" t="s">
        <v>239</v>
      </c>
      <c r="AK393" s="231">
        <v>20</v>
      </c>
      <c r="AL393" s="232" t="s">
        <v>239</v>
      </c>
      <c r="AM393" s="232">
        <v>0</v>
      </c>
    </row>
    <row r="394" spans="1:39" ht="15" customHeight="1" outlineLevel="1">
      <c r="A394" s="412"/>
      <c r="B394" s="10">
        <v>129192</v>
      </c>
      <c r="C394" s="218" t="s">
        <v>1489</v>
      </c>
      <c r="D394" s="218" t="s">
        <v>1490</v>
      </c>
      <c r="E394" s="23" t="s">
        <v>44</v>
      </c>
      <c r="F394" s="17" t="s">
        <v>45</v>
      </c>
      <c r="G394" s="11" t="s">
        <v>1432</v>
      </c>
      <c r="H394" s="12">
        <v>15</v>
      </c>
      <c r="I394" s="11" t="s">
        <v>1433</v>
      </c>
      <c r="J394" s="192" t="s">
        <v>617</v>
      </c>
      <c r="K394" s="17" t="s">
        <v>233</v>
      </c>
      <c r="L394" s="17" t="s">
        <v>233</v>
      </c>
      <c r="M394" s="231">
        <v>3426</v>
      </c>
      <c r="N394" s="232">
        <v>3384.4083599999999</v>
      </c>
      <c r="O394" s="132">
        <v>342</v>
      </c>
      <c r="P394" s="231" t="s">
        <v>239</v>
      </c>
      <c r="Q394" s="232">
        <v>337.78656000000001</v>
      </c>
      <c r="R394" s="231" t="s">
        <v>239</v>
      </c>
      <c r="S394" s="232">
        <v>333.6250295808</v>
      </c>
      <c r="T394" s="231" t="s">
        <v>239</v>
      </c>
      <c r="U394" s="232">
        <v>329.51476921636453</v>
      </c>
      <c r="V394" s="230" t="s">
        <v>239</v>
      </c>
      <c r="W394" s="232">
        <v>325.45514725961891</v>
      </c>
      <c r="X394" s="231" t="s">
        <v>239</v>
      </c>
      <c r="Y394" s="232">
        <v>321.44553984538038</v>
      </c>
      <c r="Z394" s="231" t="s">
        <v>239</v>
      </c>
      <c r="AA394" s="232">
        <v>317.48533079448532</v>
      </c>
      <c r="AB394" s="231" t="s">
        <v>239</v>
      </c>
      <c r="AC394" s="232">
        <v>313.57391151909724</v>
      </c>
      <c r="AD394" s="231" t="s">
        <v>239</v>
      </c>
      <c r="AE394" s="232">
        <v>309.71068092918193</v>
      </c>
      <c r="AF394" s="231" t="s">
        <v>239</v>
      </c>
      <c r="AG394" s="232">
        <v>305.8950453401344</v>
      </c>
      <c r="AH394" s="231" t="s">
        <v>239</v>
      </c>
      <c r="AI394" s="232">
        <v>302.12641838154394</v>
      </c>
      <c r="AJ394" s="231" t="s">
        <v>239</v>
      </c>
      <c r="AK394" s="232">
        <v>298.4042209070833</v>
      </c>
      <c r="AL394" s="232" t="s">
        <v>239</v>
      </c>
      <c r="AM394" s="232">
        <v>3837.0226537736899</v>
      </c>
    </row>
    <row r="395" spans="1:39" ht="15" customHeight="1" outlineLevel="1">
      <c r="A395" s="411">
        <v>193</v>
      </c>
      <c r="B395" s="10">
        <v>129193</v>
      </c>
      <c r="C395" s="218" t="s">
        <v>1489</v>
      </c>
      <c r="D395" s="218" t="s">
        <v>1490</v>
      </c>
      <c r="E395" s="23" t="s">
        <v>44</v>
      </c>
      <c r="F395" s="17" t="s">
        <v>45</v>
      </c>
      <c r="G395" s="11" t="s">
        <v>1432</v>
      </c>
      <c r="H395" s="12">
        <v>21</v>
      </c>
      <c r="I395" s="11" t="s">
        <v>1433</v>
      </c>
      <c r="J395" s="374" t="s">
        <v>1457</v>
      </c>
      <c r="K395" s="17" t="s">
        <v>233</v>
      </c>
      <c r="L395" s="17" t="s">
        <v>233</v>
      </c>
      <c r="M395" s="231">
        <v>20</v>
      </c>
      <c r="N395" s="231">
        <v>20</v>
      </c>
      <c r="O395" s="231">
        <v>20</v>
      </c>
      <c r="P395" s="231" t="s">
        <v>239</v>
      </c>
      <c r="Q395" s="231">
        <v>20</v>
      </c>
      <c r="R395" s="231" t="s">
        <v>239</v>
      </c>
      <c r="S395" s="231">
        <v>20</v>
      </c>
      <c r="T395" s="231" t="s">
        <v>239</v>
      </c>
      <c r="U395" s="231">
        <v>20</v>
      </c>
      <c r="V395" s="231" t="s">
        <v>239</v>
      </c>
      <c r="W395" s="231">
        <v>20</v>
      </c>
      <c r="X395" s="231" t="s">
        <v>239</v>
      </c>
      <c r="Y395" s="231">
        <v>20</v>
      </c>
      <c r="Z395" s="231" t="s">
        <v>239</v>
      </c>
      <c r="AA395" s="231">
        <v>20</v>
      </c>
      <c r="AB395" s="231" t="s">
        <v>239</v>
      </c>
      <c r="AC395" s="231">
        <v>20</v>
      </c>
      <c r="AD395" s="231" t="s">
        <v>239</v>
      </c>
      <c r="AE395" s="231">
        <v>20</v>
      </c>
      <c r="AF395" s="231" t="s">
        <v>239</v>
      </c>
      <c r="AG395" s="231">
        <v>20</v>
      </c>
      <c r="AH395" s="231" t="s">
        <v>239</v>
      </c>
      <c r="AI395" s="231">
        <v>20</v>
      </c>
      <c r="AJ395" s="231" t="s">
        <v>239</v>
      </c>
      <c r="AK395" s="231">
        <v>20</v>
      </c>
      <c r="AL395" s="232" t="s">
        <v>239</v>
      </c>
      <c r="AM395" s="232">
        <v>0</v>
      </c>
    </row>
    <row r="396" spans="1:39" ht="15" customHeight="1" outlineLevel="1">
      <c r="A396" s="412"/>
      <c r="B396" s="10">
        <v>129193</v>
      </c>
      <c r="C396" s="218" t="s">
        <v>1489</v>
      </c>
      <c r="D396" s="218" t="s">
        <v>1490</v>
      </c>
      <c r="E396" s="23" t="s">
        <v>138</v>
      </c>
      <c r="F396" s="17" t="s">
        <v>45</v>
      </c>
      <c r="G396" s="11" t="s">
        <v>1432</v>
      </c>
      <c r="H396" s="12">
        <v>19</v>
      </c>
      <c r="I396" s="11" t="s">
        <v>1433</v>
      </c>
      <c r="J396" s="375"/>
      <c r="K396" s="17" t="s">
        <v>233</v>
      </c>
      <c r="L396" s="17" t="s">
        <v>233</v>
      </c>
      <c r="M396" s="231">
        <v>0</v>
      </c>
      <c r="N396" s="232">
        <v>0</v>
      </c>
      <c r="O396" s="132"/>
      <c r="P396" s="231" t="s">
        <v>239</v>
      </c>
      <c r="Q396" s="232">
        <v>0</v>
      </c>
      <c r="R396" s="231" t="s">
        <v>239</v>
      </c>
      <c r="S396" s="232">
        <v>0</v>
      </c>
      <c r="T396" s="231" t="s">
        <v>239</v>
      </c>
      <c r="U396" s="232">
        <v>0</v>
      </c>
      <c r="V396" s="231" t="s">
        <v>239</v>
      </c>
      <c r="W396" s="232">
        <v>0</v>
      </c>
      <c r="X396" s="231" t="s">
        <v>239</v>
      </c>
      <c r="Y396" s="232">
        <v>0</v>
      </c>
      <c r="Z396" s="231" t="s">
        <v>239</v>
      </c>
      <c r="AA396" s="232">
        <v>0</v>
      </c>
      <c r="AB396" s="231" t="s">
        <v>239</v>
      </c>
      <c r="AC396" s="232">
        <v>0</v>
      </c>
      <c r="AD396" s="231" t="s">
        <v>239</v>
      </c>
      <c r="AE396" s="232">
        <v>0</v>
      </c>
      <c r="AF396" s="231" t="s">
        <v>239</v>
      </c>
      <c r="AG396" s="232">
        <v>0</v>
      </c>
      <c r="AH396" s="231" t="s">
        <v>239</v>
      </c>
      <c r="AI396" s="232">
        <v>0</v>
      </c>
      <c r="AJ396" s="231" t="s">
        <v>239</v>
      </c>
      <c r="AK396" s="232">
        <v>0</v>
      </c>
      <c r="AL396" s="232" t="s">
        <v>239</v>
      </c>
      <c r="AM396" s="232">
        <v>0</v>
      </c>
    </row>
    <row r="397" spans="1:39" ht="15" customHeight="1" outlineLevel="1">
      <c r="A397" s="411">
        <v>194</v>
      </c>
      <c r="B397" s="10">
        <v>129194</v>
      </c>
      <c r="C397" s="218" t="s">
        <v>1489</v>
      </c>
      <c r="D397" s="218" t="s">
        <v>1490</v>
      </c>
      <c r="E397" s="23" t="s">
        <v>44</v>
      </c>
      <c r="F397" s="17" t="s">
        <v>45</v>
      </c>
      <c r="G397" s="11" t="s">
        <v>1432</v>
      </c>
      <c r="H397" s="12">
        <v>30</v>
      </c>
      <c r="I397" s="11" t="s">
        <v>1433</v>
      </c>
      <c r="J397" s="193" t="s">
        <v>1460</v>
      </c>
      <c r="K397" s="17" t="s">
        <v>233</v>
      </c>
      <c r="L397" s="17" t="s">
        <v>233</v>
      </c>
      <c r="M397" s="231">
        <v>6.5</v>
      </c>
      <c r="N397" s="231">
        <v>6.5</v>
      </c>
      <c r="O397" s="231">
        <v>6.5</v>
      </c>
      <c r="P397" s="231" t="s">
        <v>239</v>
      </c>
      <c r="Q397" s="231">
        <v>6.5</v>
      </c>
      <c r="R397" s="231" t="s">
        <v>239</v>
      </c>
      <c r="S397" s="231">
        <v>6.5</v>
      </c>
      <c r="T397" s="231" t="s">
        <v>239</v>
      </c>
      <c r="U397" s="231">
        <v>6.5</v>
      </c>
      <c r="V397" s="230" t="s">
        <v>239</v>
      </c>
      <c r="W397" s="231">
        <v>6.5</v>
      </c>
      <c r="X397" s="231" t="s">
        <v>239</v>
      </c>
      <c r="Y397" s="231">
        <v>6.5</v>
      </c>
      <c r="Z397" s="231" t="s">
        <v>239</v>
      </c>
      <c r="AA397" s="231">
        <v>6.5</v>
      </c>
      <c r="AB397" s="231" t="s">
        <v>239</v>
      </c>
      <c r="AC397" s="231">
        <v>6.5</v>
      </c>
      <c r="AD397" s="231" t="s">
        <v>239</v>
      </c>
      <c r="AE397" s="231">
        <v>6.5</v>
      </c>
      <c r="AF397" s="231" t="s">
        <v>239</v>
      </c>
      <c r="AG397" s="231">
        <v>6.5</v>
      </c>
      <c r="AH397" s="231" t="s">
        <v>239</v>
      </c>
      <c r="AI397" s="231">
        <v>6.5</v>
      </c>
      <c r="AJ397" s="231" t="s">
        <v>239</v>
      </c>
      <c r="AK397" s="231">
        <v>6.5</v>
      </c>
      <c r="AL397" s="232" t="s">
        <v>239</v>
      </c>
      <c r="AM397" s="232">
        <v>0</v>
      </c>
    </row>
    <row r="398" spans="1:39" ht="15" customHeight="1" outlineLevel="1">
      <c r="A398" s="412"/>
      <c r="B398" s="10">
        <v>129194</v>
      </c>
      <c r="C398" s="218" t="s">
        <v>1489</v>
      </c>
      <c r="D398" s="218" t="s">
        <v>1490</v>
      </c>
      <c r="E398" s="23" t="s">
        <v>138</v>
      </c>
      <c r="F398" s="17" t="s">
        <v>45</v>
      </c>
      <c r="G398" s="11" t="s">
        <v>1432</v>
      </c>
      <c r="H398" s="12">
        <v>33</v>
      </c>
      <c r="I398" s="11" t="s">
        <v>1433</v>
      </c>
      <c r="J398" s="193" t="s">
        <v>1442</v>
      </c>
      <c r="K398" s="17" t="s">
        <v>233</v>
      </c>
      <c r="L398" s="17" t="s">
        <v>233</v>
      </c>
      <c r="M398" s="231">
        <v>6537</v>
      </c>
      <c r="N398" s="232">
        <v>6457.6408199999996</v>
      </c>
      <c r="O398" s="132">
        <v>916</v>
      </c>
      <c r="P398" s="231" t="s">
        <v>239</v>
      </c>
      <c r="Q398" s="232">
        <v>904.71487999999999</v>
      </c>
      <c r="R398" s="231" t="s">
        <v>239</v>
      </c>
      <c r="S398" s="232">
        <v>893.56879267839997</v>
      </c>
      <c r="T398" s="231" t="s">
        <v>239</v>
      </c>
      <c r="U398" s="232">
        <v>882.56002515260207</v>
      </c>
      <c r="V398" s="231" t="s">
        <v>239</v>
      </c>
      <c r="W398" s="232">
        <v>871.68688564272202</v>
      </c>
      <c r="X398" s="231" t="s">
        <v>239</v>
      </c>
      <c r="Y398" s="232">
        <v>860.94770321160365</v>
      </c>
      <c r="Z398" s="231" t="s">
        <v>239</v>
      </c>
      <c r="AA398" s="232">
        <v>850.34082750803668</v>
      </c>
      <c r="AB398" s="231" t="s">
        <v>239</v>
      </c>
      <c r="AC398" s="232">
        <v>839.86462851313763</v>
      </c>
      <c r="AD398" s="231" t="s">
        <v>239</v>
      </c>
      <c r="AE398" s="232">
        <v>829.51749628985579</v>
      </c>
      <c r="AF398" s="231" t="s">
        <v>239</v>
      </c>
      <c r="AG398" s="232">
        <v>819.29784073556482</v>
      </c>
      <c r="AH398" s="231" t="s">
        <v>239</v>
      </c>
      <c r="AI398" s="232">
        <v>809.20409133770261</v>
      </c>
      <c r="AJ398" s="231" t="s">
        <v>239</v>
      </c>
      <c r="AK398" s="232">
        <v>799.23469693242214</v>
      </c>
      <c r="AL398" s="232" t="s">
        <v>239</v>
      </c>
      <c r="AM398" s="232">
        <v>10276.937868002047</v>
      </c>
    </row>
    <row r="399" spans="1:39" ht="15" customHeight="1" outlineLevel="1">
      <c r="A399" s="411">
        <v>195</v>
      </c>
      <c r="B399" s="10">
        <v>129195</v>
      </c>
      <c r="C399" s="218" t="s">
        <v>1489</v>
      </c>
      <c r="D399" s="218" t="s">
        <v>1490</v>
      </c>
      <c r="E399" s="23" t="s">
        <v>44</v>
      </c>
      <c r="F399" s="17" t="s">
        <v>45</v>
      </c>
      <c r="G399" s="11" t="s">
        <v>1432</v>
      </c>
      <c r="H399" s="12">
        <v>19</v>
      </c>
      <c r="I399" s="11" t="s">
        <v>1433</v>
      </c>
      <c r="J399" s="193" t="s">
        <v>1460</v>
      </c>
      <c r="K399" s="17" t="s">
        <v>233</v>
      </c>
      <c r="L399" s="17" t="s">
        <v>233</v>
      </c>
      <c r="M399" s="231">
        <v>14</v>
      </c>
      <c r="N399" s="231">
        <v>14</v>
      </c>
      <c r="O399" s="231">
        <v>14</v>
      </c>
      <c r="P399" s="231" t="s">
        <v>239</v>
      </c>
      <c r="Q399" s="231">
        <v>14</v>
      </c>
      <c r="R399" s="231" t="s">
        <v>239</v>
      </c>
      <c r="S399" s="231">
        <v>14</v>
      </c>
      <c r="T399" s="231" t="s">
        <v>239</v>
      </c>
      <c r="U399" s="231">
        <v>14</v>
      </c>
      <c r="V399" s="231" t="s">
        <v>239</v>
      </c>
      <c r="W399" s="231">
        <v>14</v>
      </c>
      <c r="X399" s="231" t="s">
        <v>239</v>
      </c>
      <c r="Y399" s="231">
        <v>14</v>
      </c>
      <c r="Z399" s="231" t="s">
        <v>239</v>
      </c>
      <c r="AA399" s="231">
        <v>14</v>
      </c>
      <c r="AB399" s="231" t="s">
        <v>239</v>
      </c>
      <c r="AC399" s="231">
        <v>14</v>
      </c>
      <c r="AD399" s="231" t="s">
        <v>239</v>
      </c>
      <c r="AE399" s="231">
        <v>14</v>
      </c>
      <c r="AF399" s="231" t="s">
        <v>239</v>
      </c>
      <c r="AG399" s="231">
        <v>14</v>
      </c>
      <c r="AH399" s="231" t="s">
        <v>239</v>
      </c>
      <c r="AI399" s="231">
        <v>14</v>
      </c>
      <c r="AJ399" s="231" t="s">
        <v>239</v>
      </c>
      <c r="AK399" s="231">
        <v>14</v>
      </c>
      <c r="AL399" s="232" t="s">
        <v>239</v>
      </c>
      <c r="AM399" s="232">
        <v>0</v>
      </c>
    </row>
    <row r="400" spans="1:39" ht="15" customHeight="1" outlineLevel="1">
      <c r="A400" s="412"/>
      <c r="B400" s="10">
        <v>129195</v>
      </c>
      <c r="C400" s="218" t="s">
        <v>1489</v>
      </c>
      <c r="D400" s="218" t="s">
        <v>1490</v>
      </c>
      <c r="E400" s="23" t="s">
        <v>44</v>
      </c>
      <c r="F400" s="17" t="s">
        <v>45</v>
      </c>
      <c r="G400" s="11" t="s">
        <v>1432</v>
      </c>
      <c r="H400" s="12">
        <v>6</v>
      </c>
      <c r="I400" s="11" t="s">
        <v>1433</v>
      </c>
      <c r="J400" s="193" t="s">
        <v>1457</v>
      </c>
      <c r="K400" s="17" t="s">
        <v>233</v>
      </c>
      <c r="L400" s="17" t="s">
        <v>233</v>
      </c>
      <c r="M400" s="231">
        <v>2808</v>
      </c>
      <c r="N400" s="232">
        <v>2773.9108799999999</v>
      </c>
      <c r="O400" s="132">
        <v>180</v>
      </c>
      <c r="P400" s="231" t="s">
        <v>239</v>
      </c>
      <c r="Q400" s="232">
        <v>177.7824</v>
      </c>
      <c r="R400" s="231" t="s">
        <v>239</v>
      </c>
      <c r="S400" s="232">
        <v>175.59212083200001</v>
      </c>
      <c r="T400" s="231" t="s">
        <v>239</v>
      </c>
      <c r="U400" s="232">
        <v>173.42882590334978</v>
      </c>
      <c r="V400" s="230" t="s">
        <v>239</v>
      </c>
      <c r="W400" s="232">
        <v>171.2921827682205</v>
      </c>
      <c r="X400" s="231" t="s">
        <v>239</v>
      </c>
      <c r="Y400" s="232">
        <v>169.18186307651601</v>
      </c>
      <c r="Z400" s="231" t="s">
        <v>239</v>
      </c>
      <c r="AA400" s="232">
        <v>167.09754252341332</v>
      </c>
      <c r="AB400" s="231" t="s">
        <v>239</v>
      </c>
      <c r="AC400" s="232">
        <v>165.03890079952487</v>
      </c>
      <c r="AD400" s="231" t="s">
        <v>239</v>
      </c>
      <c r="AE400" s="232">
        <v>163.00562154167471</v>
      </c>
      <c r="AF400" s="231" t="s">
        <v>239</v>
      </c>
      <c r="AG400" s="232">
        <v>160.99739228428129</v>
      </c>
      <c r="AH400" s="231" t="s">
        <v>239</v>
      </c>
      <c r="AI400" s="232">
        <v>159.01390441133896</v>
      </c>
      <c r="AJ400" s="231" t="s">
        <v>239</v>
      </c>
      <c r="AK400" s="232">
        <v>157.05485310899127</v>
      </c>
      <c r="AL400" s="232" t="s">
        <v>239</v>
      </c>
      <c r="AM400" s="232">
        <v>2019.4856072493105</v>
      </c>
    </row>
    <row r="401" spans="1:39" ht="15" customHeight="1" outlineLevel="1">
      <c r="A401" s="411">
        <v>196</v>
      </c>
      <c r="B401" s="10">
        <v>129196</v>
      </c>
      <c r="C401" s="218" t="s">
        <v>1489</v>
      </c>
      <c r="D401" s="218" t="s">
        <v>1490</v>
      </c>
      <c r="E401" s="23" t="s">
        <v>138</v>
      </c>
      <c r="F401" s="17" t="s">
        <v>45</v>
      </c>
      <c r="G401" s="11" t="s">
        <v>1432</v>
      </c>
      <c r="H401" s="12">
        <v>15</v>
      </c>
      <c r="I401" s="11" t="s">
        <v>1433</v>
      </c>
      <c r="J401" s="193" t="s">
        <v>617</v>
      </c>
      <c r="K401" s="17" t="s">
        <v>233</v>
      </c>
      <c r="L401" s="17" t="s">
        <v>233</v>
      </c>
      <c r="M401" s="231">
        <v>20</v>
      </c>
      <c r="N401" s="231">
        <v>20</v>
      </c>
      <c r="O401" s="231">
        <v>20</v>
      </c>
      <c r="P401" s="231" t="s">
        <v>239</v>
      </c>
      <c r="Q401" s="231">
        <v>20</v>
      </c>
      <c r="R401" s="231" t="s">
        <v>239</v>
      </c>
      <c r="S401" s="231">
        <v>20</v>
      </c>
      <c r="T401" s="231" t="s">
        <v>239</v>
      </c>
      <c r="U401" s="231">
        <v>20</v>
      </c>
      <c r="V401" s="231" t="s">
        <v>239</v>
      </c>
      <c r="W401" s="231">
        <v>20</v>
      </c>
      <c r="X401" s="231" t="s">
        <v>239</v>
      </c>
      <c r="Y401" s="231">
        <v>20</v>
      </c>
      <c r="Z401" s="231" t="s">
        <v>239</v>
      </c>
      <c r="AA401" s="231">
        <v>20</v>
      </c>
      <c r="AB401" s="231" t="s">
        <v>239</v>
      </c>
      <c r="AC401" s="231">
        <v>20</v>
      </c>
      <c r="AD401" s="231" t="s">
        <v>239</v>
      </c>
      <c r="AE401" s="231">
        <v>20</v>
      </c>
      <c r="AF401" s="231" t="s">
        <v>239</v>
      </c>
      <c r="AG401" s="231">
        <v>20</v>
      </c>
      <c r="AH401" s="231" t="s">
        <v>239</v>
      </c>
      <c r="AI401" s="231">
        <v>20</v>
      </c>
      <c r="AJ401" s="231" t="s">
        <v>239</v>
      </c>
      <c r="AK401" s="231">
        <v>20</v>
      </c>
      <c r="AL401" s="232" t="s">
        <v>239</v>
      </c>
      <c r="AM401" s="232">
        <v>0</v>
      </c>
    </row>
    <row r="402" spans="1:39" ht="15" customHeight="1" outlineLevel="1">
      <c r="A402" s="412"/>
      <c r="B402" s="10">
        <v>129196</v>
      </c>
      <c r="C402" s="218" t="s">
        <v>1489</v>
      </c>
      <c r="D402" s="218" t="s">
        <v>1490</v>
      </c>
      <c r="E402" s="23" t="s">
        <v>44</v>
      </c>
      <c r="F402" s="17" t="s">
        <v>45</v>
      </c>
      <c r="G402" s="11" t="s">
        <v>1432</v>
      </c>
      <c r="H402" s="12">
        <v>19</v>
      </c>
      <c r="I402" s="11" t="s">
        <v>1433</v>
      </c>
      <c r="J402" s="193" t="s">
        <v>216</v>
      </c>
      <c r="K402" s="17" t="s">
        <v>233</v>
      </c>
      <c r="L402" s="17" t="s">
        <v>233</v>
      </c>
      <c r="M402" s="231">
        <v>7256</v>
      </c>
      <c r="N402" s="232">
        <v>7167.9121599999999</v>
      </c>
      <c r="O402" s="132">
        <v>169</v>
      </c>
      <c r="P402" s="231" t="s">
        <v>239</v>
      </c>
      <c r="Q402" s="232">
        <v>166.91792000000001</v>
      </c>
      <c r="R402" s="231" t="s">
        <v>239</v>
      </c>
      <c r="S402" s="232">
        <v>164.86149122560002</v>
      </c>
      <c r="T402" s="231" t="s">
        <v>239</v>
      </c>
      <c r="U402" s="232">
        <v>162.83039765370063</v>
      </c>
      <c r="V402" s="231" t="s">
        <v>239</v>
      </c>
      <c r="W402" s="232">
        <v>160.82432715460703</v>
      </c>
      <c r="X402" s="231" t="s">
        <v>239</v>
      </c>
      <c r="Y402" s="232">
        <v>158.84297144406227</v>
      </c>
      <c r="Z402" s="231" t="s">
        <v>239</v>
      </c>
      <c r="AA402" s="232">
        <v>156.88602603587142</v>
      </c>
      <c r="AB402" s="231" t="s">
        <v>239</v>
      </c>
      <c r="AC402" s="232">
        <v>154.9531901951095</v>
      </c>
      <c r="AD402" s="231" t="s">
        <v>239</v>
      </c>
      <c r="AE402" s="232">
        <v>153.04416689190575</v>
      </c>
      <c r="AF402" s="231" t="s">
        <v>239</v>
      </c>
      <c r="AG402" s="232">
        <v>151.15866275579748</v>
      </c>
      <c r="AH402" s="231" t="s">
        <v>239</v>
      </c>
      <c r="AI402" s="232">
        <v>149.29638803064606</v>
      </c>
      <c r="AJ402" s="231" t="s">
        <v>239</v>
      </c>
      <c r="AK402" s="232">
        <v>147.4570565301085</v>
      </c>
      <c r="AL402" s="232" t="s">
        <v>239</v>
      </c>
      <c r="AM402" s="232">
        <v>1896.0725979174085</v>
      </c>
    </row>
    <row r="403" spans="1:39" ht="15" customHeight="1" outlineLevel="1">
      <c r="A403" s="411">
        <v>197</v>
      </c>
      <c r="B403" s="10">
        <v>129197</v>
      </c>
      <c r="C403" s="218" t="s">
        <v>1489</v>
      </c>
      <c r="D403" s="218" t="s">
        <v>1490</v>
      </c>
      <c r="E403" s="23" t="s">
        <v>138</v>
      </c>
      <c r="F403" s="17" t="s">
        <v>45</v>
      </c>
      <c r="G403" s="11" t="s">
        <v>1432</v>
      </c>
      <c r="H403" s="12">
        <v>22</v>
      </c>
      <c r="I403" s="11" t="s">
        <v>1433</v>
      </c>
      <c r="J403" s="191" t="s">
        <v>216</v>
      </c>
      <c r="K403" s="17" t="s">
        <v>233</v>
      </c>
      <c r="L403" s="17" t="s">
        <v>233</v>
      </c>
      <c r="M403" s="231">
        <v>20</v>
      </c>
      <c r="N403" s="231">
        <v>20</v>
      </c>
      <c r="O403" s="231">
        <v>20</v>
      </c>
      <c r="P403" s="231" t="s">
        <v>239</v>
      </c>
      <c r="Q403" s="231">
        <v>20</v>
      </c>
      <c r="R403" s="231" t="s">
        <v>239</v>
      </c>
      <c r="S403" s="231">
        <v>20</v>
      </c>
      <c r="T403" s="231" t="s">
        <v>239</v>
      </c>
      <c r="U403" s="231">
        <v>20</v>
      </c>
      <c r="V403" s="230" t="s">
        <v>239</v>
      </c>
      <c r="W403" s="231">
        <v>20</v>
      </c>
      <c r="X403" s="231" t="s">
        <v>239</v>
      </c>
      <c r="Y403" s="231">
        <v>20</v>
      </c>
      <c r="Z403" s="231" t="s">
        <v>239</v>
      </c>
      <c r="AA403" s="231">
        <v>20</v>
      </c>
      <c r="AB403" s="231" t="s">
        <v>239</v>
      </c>
      <c r="AC403" s="231">
        <v>20</v>
      </c>
      <c r="AD403" s="231" t="s">
        <v>239</v>
      </c>
      <c r="AE403" s="231">
        <v>20</v>
      </c>
      <c r="AF403" s="231" t="s">
        <v>239</v>
      </c>
      <c r="AG403" s="231">
        <v>20</v>
      </c>
      <c r="AH403" s="231" t="s">
        <v>239</v>
      </c>
      <c r="AI403" s="231">
        <v>20</v>
      </c>
      <c r="AJ403" s="231" t="s">
        <v>239</v>
      </c>
      <c r="AK403" s="231">
        <v>20</v>
      </c>
      <c r="AL403" s="232" t="s">
        <v>239</v>
      </c>
      <c r="AM403" s="232">
        <v>0</v>
      </c>
    </row>
    <row r="404" spans="1:39" ht="15" customHeight="1" outlineLevel="1">
      <c r="A404" s="412"/>
      <c r="B404" s="10">
        <v>129197</v>
      </c>
      <c r="C404" s="218" t="s">
        <v>1489</v>
      </c>
      <c r="D404" s="218" t="s">
        <v>1490</v>
      </c>
      <c r="E404" s="23" t="s">
        <v>44</v>
      </c>
      <c r="F404" s="17" t="s">
        <v>45</v>
      </c>
      <c r="G404" s="11" t="s">
        <v>1432</v>
      </c>
      <c r="H404" s="12">
        <v>24</v>
      </c>
      <c r="I404" s="11" t="s">
        <v>1433</v>
      </c>
      <c r="J404" s="192" t="s">
        <v>1434</v>
      </c>
      <c r="K404" s="17" t="s">
        <v>233</v>
      </c>
      <c r="L404" s="17" t="s">
        <v>233</v>
      </c>
      <c r="M404" s="231">
        <v>0</v>
      </c>
      <c r="N404" s="232">
        <v>0</v>
      </c>
      <c r="O404" s="132"/>
      <c r="P404" s="231" t="s">
        <v>239</v>
      </c>
      <c r="Q404" s="232">
        <v>0</v>
      </c>
      <c r="R404" s="231" t="s">
        <v>239</v>
      </c>
      <c r="S404" s="232">
        <v>0</v>
      </c>
      <c r="T404" s="231" t="s">
        <v>239</v>
      </c>
      <c r="U404" s="232">
        <v>0</v>
      </c>
      <c r="V404" s="231" t="s">
        <v>239</v>
      </c>
      <c r="W404" s="232">
        <v>0</v>
      </c>
      <c r="X404" s="231" t="s">
        <v>239</v>
      </c>
      <c r="Y404" s="232">
        <v>0</v>
      </c>
      <c r="Z404" s="231" t="s">
        <v>239</v>
      </c>
      <c r="AA404" s="232">
        <v>0</v>
      </c>
      <c r="AB404" s="231" t="s">
        <v>239</v>
      </c>
      <c r="AC404" s="232">
        <v>0</v>
      </c>
      <c r="AD404" s="231" t="s">
        <v>239</v>
      </c>
      <c r="AE404" s="232">
        <v>0</v>
      </c>
      <c r="AF404" s="231" t="s">
        <v>239</v>
      </c>
      <c r="AG404" s="232">
        <v>0</v>
      </c>
      <c r="AH404" s="231" t="s">
        <v>239</v>
      </c>
      <c r="AI404" s="232">
        <v>0</v>
      </c>
      <c r="AJ404" s="231" t="s">
        <v>239</v>
      </c>
      <c r="AK404" s="232">
        <v>0</v>
      </c>
      <c r="AL404" s="232" t="s">
        <v>239</v>
      </c>
      <c r="AM404" s="232">
        <v>0</v>
      </c>
    </row>
    <row r="405" spans="1:39" ht="15" customHeight="1" outlineLevel="1">
      <c r="A405" s="411">
        <v>198</v>
      </c>
      <c r="B405" s="10">
        <v>129198</v>
      </c>
      <c r="C405" s="218" t="s">
        <v>1489</v>
      </c>
      <c r="D405" s="218" t="s">
        <v>1490</v>
      </c>
      <c r="E405" s="23" t="s">
        <v>44</v>
      </c>
      <c r="F405" s="17" t="s">
        <v>45</v>
      </c>
      <c r="G405" s="11" t="s">
        <v>1432</v>
      </c>
      <c r="H405" s="12">
        <v>16</v>
      </c>
      <c r="I405" s="11" t="s">
        <v>1433</v>
      </c>
      <c r="J405" s="192" t="s">
        <v>1480</v>
      </c>
      <c r="K405" s="17" t="s">
        <v>233</v>
      </c>
      <c r="L405" s="17" t="s">
        <v>233</v>
      </c>
      <c r="M405" s="231">
        <v>20</v>
      </c>
      <c r="N405" s="231">
        <v>20</v>
      </c>
      <c r="O405" s="231">
        <v>20</v>
      </c>
      <c r="P405" s="231" t="s">
        <v>239</v>
      </c>
      <c r="Q405" s="231">
        <v>20</v>
      </c>
      <c r="R405" s="231" t="s">
        <v>239</v>
      </c>
      <c r="S405" s="231">
        <v>20</v>
      </c>
      <c r="T405" s="231" t="s">
        <v>239</v>
      </c>
      <c r="U405" s="231">
        <v>20</v>
      </c>
      <c r="V405" s="231" t="s">
        <v>239</v>
      </c>
      <c r="W405" s="231">
        <v>20</v>
      </c>
      <c r="X405" s="231" t="s">
        <v>239</v>
      </c>
      <c r="Y405" s="231">
        <v>20</v>
      </c>
      <c r="Z405" s="231" t="s">
        <v>239</v>
      </c>
      <c r="AA405" s="231">
        <v>20</v>
      </c>
      <c r="AB405" s="231" t="s">
        <v>239</v>
      </c>
      <c r="AC405" s="231">
        <v>20</v>
      </c>
      <c r="AD405" s="231" t="s">
        <v>239</v>
      </c>
      <c r="AE405" s="231">
        <v>20</v>
      </c>
      <c r="AF405" s="231" t="s">
        <v>239</v>
      </c>
      <c r="AG405" s="231">
        <v>20</v>
      </c>
      <c r="AH405" s="231" t="s">
        <v>239</v>
      </c>
      <c r="AI405" s="231">
        <v>20</v>
      </c>
      <c r="AJ405" s="231" t="s">
        <v>239</v>
      </c>
      <c r="AK405" s="231">
        <v>20</v>
      </c>
      <c r="AL405" s="232" t="s">
        <v>239</v>
      </c>
      <c r="AM405" s="232">
        <v>0</v>
      </c>
    </row>
    <row r="406" spans="1:39" ht="15" customHeight="1" outlineLevel="1">
      <c r="A406" s="412"/>
      <c r="B406" s="10">
        <v>129198</v>
      </c>
      <c r="C406" s="218" t="s">
        <v>1489</v>
      </c>
      <c r="D406" s="218" t="s">
        <v>1490</v>
      </c>
      <c r="E406" s="23" t="s">
        <v>138</v>
      </c>
      <c r="F406" s="17" t="s">
        <v>45</v>
      </c>
      <c r="G406" s="11" t="s">
        <v>1432</v>
      </c>
      <c r="H406" s="12">
        <v>5</v>
      </c>
      <c r="I406" s="11" t="s">
        <v>1433</v>
      </c>
      <c r="J406" s="192" t="s">
        <v>1452</v>
      </c>
      <c r="K406" s="17" t="s">
        <v>233</v>
      </c>
      <c r="L406" s="17" t="s">
        <v>233</v>
      </c>
      <c r="M406" s="231">
        <v>0</v>
      </c>
      <c r="N406" s="232">
        <v>0</v>
      </c>
      <c r="O406" s="132"/>
      <c r="P406" s="231" t="s">
        <v>239</v>
      </c>
      <c r="Q406" s="232">
        <v>0</v>
      </c>
      <c r="R406" s="231" t="s">
        <v>239</v>
      </c>
      <c r="S406" s="232">
        <v>0</v>
      </c>
      <c r="T406" s="231" t="s">
        <v>239</v>
      </c>
      <c r="U406" s="232">
        <v>0</v>
      </c>
      <c r="V406" s="230" t="s">
        <v>239</v>
      </c>
      <c r="W406" s="232">
        <v>0</v>
      </c>
      <c r="X406" s="231" t="s">
        <v>239</v>
      </c>
      <c r="Y406" s="232">
        <v>0</v>
      </c>
      <c r="Z406" s="231" t="s">
        <v>239</v>
      </c>
      <c r="AA406" s="232">
        <v>0</v>
      </c>
      <c r="AB406" s="231" t="s">
        <v>239</v>
      </c>
      <c r="AC406" s="232">
        <v>0</v>
      </c>
      <c r="AD406" s="231" t="s">
        <v>239</v>
      </c>
      <c r="AE406" s="232">
        <v>0</v>
      </c>
      <c r="AF406" s="231" t="s">
        <v>239</v>
      </c>
      <c r="AG406" s="232">
        <v>0</v>
      </c>
      <c r="AH406" s="231" t="s">
        <v>239</v>
      </c>
      <c r="AI406" s="232">
        <v>0</v>
      </c>
      <c r="AJ406" s="231" t="s">
        <v>239</v>
      </c>
      <c r="AK406" s="232">
        <v>0</v>
      </c>
      <c r="AL406" s="232" t="s">
        <v>239</v>
      </c>
      <c r="AM406" s="232">
        <v>0</v>
      </c>
    </row>
    <row r="407" spans="1:39" ht="15" customHeight="1" outlineLevel="1">
      <c r="A407" s="411">
        <v>199</v>
      </c>
      <c r="B407" s="10">
        <v>129199</v>
      </c>
      <c r="C407" s="218" t="s">
        <v>1489</v>
      </c>
      <c r="D407" s="218" t="s">
        <v>1490</v>
      </c>
      <c r="E407" s="23" t="s">
        <v>44</v>
      </c>
      <c r="F407" s="17" t="s">
        <v>45</v>
      </c>
      <c r="G407" s="11" t="s">
        <v>1432</v>
      </c>
      <c r="H407" s="12">
        <v>17</v>
      </c>
      <c r="I407" s="11" t="s">
        <v>1433</v>
      </c>
      <c r="J407" s="374" t="s">
        <v>207</v>
      </c>
      <c r="K407" s="17" t="s">
        <v>233</v>
      </c>
      <c r="L407" s="17" t="s">
        <v>233</v>
      </c>
      <c r="M407" s="231">
        <v>1</v>
      </c>
      <c r="N407" s="231">
        <v>1</v>
      </c>
      <c r="O407" s="231">
        <v>1</v>
      </c>
      <c r="P407" s="231" t="s">
        <v>239</v>
      </c>
      <c r="Q407" s="231">
        <v>1</v>
      </c>
      <c r="R407" s="231" t="s">
        <v>239</v>
      </c>
      <c r="S407" s="231">
        <v>1</v>
      </c>
      <c r="T407" s="231" t="s">
        <v>239</v>
      </c>
      <c r="U407" s="231">
        <v>1</v>
      </c>
      <c r="V407" s="231" t="s">
        <v>239</v>
      </c>
      <c r="W407" s="231">
        <v>1</v>
      </c>
      <c r="X407" s="231" t="s">
        <v>239</v>
      </c>
      <c r="Y407" s="231">
        <v>1</v>
      </c>
      <c r="Z407" s="231" t="s">
        <v>239</v>
      </c>
      <c r="AA407" s="231">
        <v>1</v>
      </c>
      <c r="AB407" s="231" t="s">
        <v>239</v>
      </c>
      <c r="AC407" s="231">
        <v>1</v>
      </c>
      <c r="AD407" s="231" t="s">
        <v>239</v>
      </c>
      <c r="AE407" s="231">
        <v>1</v>
      </c>
      <c r="AF407" s="231" t="s">
        <v>239</v>
      </c>
      <c r="AG407" s="231">
        <v>1</v>
      </c>
      <c r="AH407" s="231" t="s">
        <v>239</v>
      </c>
      <c r="AI407" s="231">
        <v>1</v>
      </c>
      <c r="AJ407" s="231" t="s">
        <v>239</v>
      </c>
      <c r="AK407" s="231">
        <v>1</v>
      </c>
      <c r="AL407" s="232" t="s">
        <v>239</v>
      </c>
      <c r="AM407" s="232">
        <v>0</v>
      </c>
    </row>
    <row r="408" spans="1:39" ht="15" customHeight="1" outlineLevel="1">
      <c r="A408" s="412"/>
      <c r="B408" s="10">
        <v>129199</v>
      </c>
      <c r="C408" s="218" t="s">
        <v>1489</v>
      </c>
      <c r="D408" s="218" t="s">
        <v>1490</v>
      </c>
      <c r="E408" s="23" t="s">
        <v>138</v>
      </c>
      <c r="F408" s="17" t="s">
        <v>45</v>
      </c>
      <c r="G408" s="11" t="s">
        <v>1432</v>
      </c>
      <c r="H408" s="12">
        <v>21</v>
      </c>
      <c r="I408" s="11" t="s">
        <v>1433</v>
      </c>
      <c r="J408" s="375"/>
      <c r="K408" s="17" t="s">
        <v>233</v>
      </c>
      <c r="L408" s="17" t="s">
        <v>233</v>
      </c>
      <c r="M408" s="231">
        <v>5196</v>
      </c>
      <c r="N408" s="232">
        <v>5132.9205599999996</v>
      </c>
      <c r="O408" s="132">
        <v>100</v>
      </c>
      <c r="P408" s="231" t="s">
        <v>239</v>
      </c>
      <c r="Q408" s="232">
        <v>98.768000000000001</v>
      </c>
      <c r="R408" s="231" t="s">
        <v>239</v>
      </c>
      <c r="S408" s="232">
        <v>97.551178239999999</v>
      </c>
      <c r="T408" s="231" t="s">
        <v>239</v>
      </c>
      <c r="U408" s="232">
        <v>96.349347724083202</v>
      </c>
      <c r="V408" s="231" t="s">
        <v>239</v>
      </c>
      <c r="W408" s="232">
        <v>95.162323760122504</v>
      </c>
      <c r="X408" s="231" t="s">
        <v>239</v>
      </c>
      <c r="Y408" s="232">
        <v>93.989923931397797</v>
      </c>
      <c r="Z408" s="231" t="s">
        <v>239</v>
      </c>
      <c r="AA408" s="232">
        <v>92.831968068562972</v>
      </c>
      <c r="AB408" s="231" t="s">
        <v>239</v>
      </c>
      <c r="AC408" s="232">
        <v>91.688278221958271</v>
      </c>
      <c r="AD408" s="231" t="s">
        <v>239</v>
      </c>
      <c r="AE408" s="232">
        <v>90.558678634263742</v>
      </c>
      <c r="AF408" s="231" t="s">
        <v>239</v>
      </c>
      <c r="AG408" s="232">
        <v>89.442995713489609</v>
      </c>
      <c r="AH408" s="231" t="s">
        <v>239</v>
      </c>
      <c r="AI408" s="232">
        <v>88.34105800629942</v>
      </c>
      <c r="AJ408" s="231" t="s">
        <v>239</v>
      </c>
      <c r="AK408" s="232">
        <v>87.25269617166181</v>
      </c>
      <c r="AL408" s="232" t="s">
        <v>239</v>
      </c>
      <c r="AM408" s="232">
        <v>1121.9364484718394</v>
      </c>
    </row>
    <row r="409" spans="1:39" ht="15" customHeight="1" outlineLevel="1">
      <c r="A409" s="411">
        <v>200</v>
      </c>
      <c r="B409" s="10">
        <v>129200</v>
      </c>
      <c r="C409" s="218" t="s">
        <v>1489</v>
      </c>
      <c r="D409" s="218" t="s">
        <v>1490</v>
      </c>
      <c r="E409" s="23" t="s">
        <v>44</v>
      </c>
      <c r="F409" s="17" t="s">
        <v>45</v>
      </c>
      <c r="G409" s="11" t="s">
        <v>1432</v>
      </c>
      <c r="H409" s="12">
        <v>19</v>
      </c>
      <c r="I409" s="11" t="s">
        <v>1433</v>
      </c>
      <c r="J409" s="193" t="s">
        <v>1460</v>
      </c>
      <c r="K409" s="17" t="s">
        <v>233</v>
      </c>
      <c r="L409" s="17" t="s">
        <v>233</v>
      </c>
      <c r="M409" s="231">
        <v>1.5</v>
      </c>
      <c r="N409" s="231">
        <v>1.5</v>
      </c>
      <c r="O409" s="231">
        <v>1.5</v>
      </c>
      <c r="P409" s="231" t="s">
        <v>239</v>
      </c>
      <c r="Q409" s="231">
        <v>1.5</v>
      </c>
      <c r="R409" s="231" t="s">
        <v>239</v>
      </c>
      <c r="S409" s="231">
        <v>1.5</v>
      </c>
      <c r="T409" s="231" t="s">
        <v>239</v>
      </c>
      <c r="U409" s="231">
        <v>1.5</v>
      </c>
      <c r="V409" s="230" t="s">
        <v>239</v>
      </c>
      <c r="W409" s="231">
        <v>1.5</v>
      </c>
      <c r="X409" s="231" t="s">
        <v>239</v>
      </c>
      <c r="Y409" s="231">
        <v>1.5</v>
      </c>
      <c r="Z409" s="231" t="s">
        <v>239</v>
      </c>
      <c r="AA409" s="231">
        <v>1.5</v>
      </c>
      <c r="AB409" s="231" t="s">
        <v>239</v>
      </c>
      <c r="AC409" s="231">
        <v>1.5</v>
      </c>
      <c r="AD409" s="231" t="s">
        <v>239</v>
      </c>
      <c r="AE409" s="231">
        <v>1.5</v>
      </c>
      <c r="AF409" s="231" t="s">
        <v>239</v>
      </c>
      <c r="AG409" s="231">
        <v>1.5</v>
      </c>
      <c r="AH409" s="231" t="s">
        <v>239</v>
      </c>
      <c r="AI409" s="231">
        <v>1.5</v>
      </c>
      <c r="AJ409" s="231" t="s">
        <v>239</v>
      </c>
      <c r="AK409" s="231">
        <v>1.5</v>
      </c>
      <c r="AL409" s="232" t="s">
        <v>239</v>
      </c>
      <c r="AM409" s="232">
        <v>0</v>
      </c>
    </row>
    <row r="410" spans="1:39" ht="15" customHeight="1" outlineLevel="1">
      <c r="A410" s="412"/>
      <c r="B410" s="10">
        <v>129200</v>
      </c>
      <c r="C410" s="218" t="s">
        <v>1489</v>
      </c>
      <c r="D410" s="218" t="s">
        <v>1490</v>
      </c>
      <c r="E410" s="23" t="s">
        <v>44</v>
      </c>
      <c r="F410" s="17" t="s">
        <v>45</v>
      </c>
      <c r="G410" s="11" t="s">
        <v>1432</v>
      </c>
      <c r="H410" s="12">
        <v>30</v>
      </c>
      <c r="I410" s="11" t="s">
        <v>1433</v>
      </c>
      <c r="J410" s="193" t="s">
        <v>1442</v>
      </c>
      <c r="K410" s="17" t="s">
        <v>233</v>
      </c>
      <c r="L410" s="17" t="s">
        <v>233</v>
      </c>
      <c r="M410" s="231">
        <v>8000</v>
      </c>
      <c r="N410" s="232">
        <v>7902.88</v>
      </c>
      <c r="O410" s="132">
        <v>793</v>
      </c>
      <c r="P410" s="231" t="s">
        <v>239</v>
      </c>
      <c r="Q410" s="232">
        <v>783.23023999999998</v>
      </c>
      <c r="R410" s="231" t="s">
        <v>239</v>
      </c>
      <c r="S410" s="232">
        <v>773.58084344320002</v>
      </c>
      <c r="T410" s="231" t="s">
        <v>239</v>
      </c>
      <c r="U410" s="232">
        <v>764.0503274519798</v>
      </c>
      <c r="V410" s="231" t="s">
        <v>239</v>
      </c>
      <c r="W410" s="232">
        <v>754.63722741777144</v>
      </c>
      <c r="X410" s="231" t="s">
        <v>239</v>
      </c>
      <c r="Y410" s="232">
        <v>745.34009677598453</v>
      </c>
      <c r="Z410" s="231" t="s">
        <v>239</v>
      </c>
      <c r="AA410" s="232">
        <v>736.15750678370443</v>
      </c>
      <c r="AB410" s="231" t="s">
        <v>239</v>
      </c>
      <c r="AC410" s="232">
        <v>727.08804630012924</v>
      </c>
      <c r="AD410" s="231" t="s">
        <v>239</v>
      </c>
      <c r="AE410" s="232">
        <v>718.13032156971167</v>
      </c>
      <c r="AF410" s="231" t="s">
        <v>239</v>
      </c>
      <c r="AG410" s="232">
        <v>709.28295600797287</v>
      </c>
      <c r="AH410" s="231" t="s">
        <v>239</v>
      </c>
      <c r="AI410" s="232">
        <v>700.5445899899546</v>
      </c>
      <c r="AJ410" s="231" t="s">
        <v>239</v>
      </c>
      <c r="AK410" s="232">
        <v>691.91388064127841</v>
      </c>
      <c r="AL410" s="232" t="s">
        <v>239</v>
      </c>
      <c r="AM410" s="232">
        <v>8896.956036381689</v>
      </c>
    </row>
    <row r="411" spans="1:39" ht="15" customHeight="1" outlineLevel="1">
      <c r="A411" s="411">
        <v>201</v>
      </c>
      <c r="B411" s="10">
        <v>129201</v>
      </c>
      <c r="C411" s="218" t="s">
        <v>1489</v>
      </c>
      <c r="D411" s="218" t="s">
        <v>1490</v>
      </c>
      <c r="E411" s="23" t="s">
        <v>138</v>
      </c>
      <c r="F411" s="17" t="s">
        <v>45</v>
      </c>
      <c r="G411" s="11" t="s">
        <v>1432</v>
      </c>
      <c r="H411" s="12">
        <v>33</v>
      </c>
      <c r="I411" s="11" t="s">
        <v>1433</v>
      </c>
      <c r="J411" s="193" t="s">
        <v>1460</v>
      </c>
      <c r="K411" s="17" t="s">
        <v>233</v>
      </c>
      <c r="L411" s="17" t="s">
        <v>233</v>
      </c>
      <c r="M411" s="231">
        <v>38</v>
      </c>
      <c r="N411" s="231">
        <v>38</v>
      </c>
      <c r="O411" s="231">
        <v>38</v>
      </c>
      <c r="P411" s="231" t="s">
        <v>239</v>
      </c>
      <c r="Q411" s="231">
        <v>38</v>
      </c>
      <c r="R411" s="231" t="s">
        <v>239</v>
      </c>
      <c r="S411" s="231">
        <v>38</v>
      </c>
      <c r="T411" s="231" t="s">
        <v>239</v>
      </c>
      <c r="U411" s="231">
        <v>38</v>
      </c>
      <c r="V411" s="231" t="s">
        <v>239</v>
      </c>
      <c r="W411" s="231">
        <v>38</v>
      </c>
      <c r="X411" s="231" t="s">
        <v>239</v>
      </c>
      <c r="Y411" s="231">
        <v>38</v>
      </c>
      <c r="Z411" s="231" t="s">
        <v>239</v>
      </c>
      <c r="AA411" s="231">
        <v>38</v>
      </c>
      <c r="AB411" s="231" t="s">
        <v>239</v>
      </c>
      <c r="AC411" s="231">
        <v>38</v>
      </c>
      <c r="AD411" s="231" t="s">
        <v>239</v>
      </c>
      <c r="AE411" s="231">
        <v>38</v>
      </c>
      <c r="AF411" s="231" t="s">
        <v>239</v>
      </c>
      <c r="AG411" s="231">
        <v>38</v>
      </c>
      <c r="AH411" s="231" t="s">
        <v>239</v>
      </c>
      <c r="AI411" s="231">
        <v>38</v>
      </c>
      <c r="AJ411" s="231" t="s">
        <v>239</v>
      </c>
      <c r="AK411" s="231">
        <v>38</v>
      </c>
      <c r="AL411" s="232" t="s">
        <v>239</v>
      </c>
      <c r="AM411" s="232">
        <v>0</v>
      </c>
    </row>
    <row r="412" spans="1:39" ht="15" customHeight="1" outlineLevel="1">
      <c r="A412" s="412"/>
      <c r="B412" s="10">
        <v>129201</v>
      </c>
      <c r="C412" s="218" t="s">
        <v>1489</v>
      </c>
      <c r="D412" s="218" t="s">
        <v>1490</v>
      </c>
      <c r="E412" s="23" t="s">
        <v>44</v>
      </c>
      <c r="F412" s="17" t="s">
        <v>45</v>
      </c>
      <c r="G412" s="11" t="s">
        <v>1432</v>
      </c>
      <c r="H412" s="12">
        <v>19</v>
      </c>
      <c r="I412" s="11" t="s">
        <v>1433</v>
      </c>
      <c r="J412" s="193" t="s">
        <v>1457</v>
      </c>
      <c r="K412" s="17" t="s">
        <v>233</v>
      </c>
      <c r="L412" s="17" t="s">
        <v>233</v>
      </c>
      <c r="M412" s="231">
        <v>41724</v>
      </c>
      <c r="N412" s="232">
        <v>41217.47064</v>
      </c>
      <c r="O412" s="132">
        <v>804</v>
      </c>
      <c r="P412" s="231" t="s">
        <v>239</v>
      </c>
      <c r="Q412" s="232">
        <v>794.09472000000005</v>
      </c>
      <c r="R412" s="231" t="s">
        <v>239</v>
      </c>
      <c r="S412" s="232">
        <v>784.31147304960007</v>
      </c>
      <c r="T412" s="231" t="s">
        <v>239</v>
      </c>
      <c r="U412" s="232">
        <v>774.64875570162894</v>
      </c>
      <c r="V412" s="230" t="s">
        <v>239</v>
      </c>
      <c r="W412" s="232">
        <v>765.10508303138488</v>
      </c>
      <c r="X412" s="231" t="s">
        <v>239</v>
      </c>
      <c r="Y412" s="232">
        <v>755.67898840843827</v>
      </c>
      <c r="Z412" s="231" t="s">
        <v>239</v>
      </c>
      <c r="AA412" s="232">
        <v>746.36902327124631</v>
      </c>
      <c r="AB412" s="231" t="s">
        <v>239</v>
      </c>
      <c r="AC412" s="232">
        <v>737.17375690454458</v>
      </c>
      <c r="AD412" s="231" t="s">
        <v>239</v>
      </c>
      <c r="AE412" s="232">
        <v>728.09177621948061</v>
      </c>
      <c r="AF412" s="231" t="s">
        <v>239</v>
      </c>
      <c r="AG412" s="232">
        <v>719.12168553645665</v>
      </c>
      <c r="AH412" s="231" t="s">
        <v>239</v>
      </c>
      <c r="AI412" s="232">
        <v>710.26210637064753</v>
      </c>
      <c r="AJ412" s="231" t="s">
        <v>239</v>
      </c>
      <c r="AK412" s="232">
        <v>701.51167722016112</v>
      </c>
      <c r="AL412" s="232" t="s">
        <v>239</v>
      </c>
      <c r="AM412" s="232">
        <v>9020.369045713589</v>
      </c>
    </row>
    <row r="413" spans="1:39" ht="15" customHeight="1" outlineLevel="1">
      <c r="A413" s="411">
        <v>202</v>
      </c>
      <c r="B413" s="10">
        <v>129202</v>
      </c>
      <c r="C413" s="218" t="s">
        <v>1489</v>
      </c>
      <c r="D413" s="218" t="s">
        <v>1490</v>
      </c>
      <c r="E413" s="23" t="s">
        <v>138</v>
      </c>
      <c r="F413" s="17" t="s">
        <v>45</v>
      </c>
      <c r="G413" s="11" t="s">
        <v>1432</v>
      </c>
      <c r="H413" s="12">
        <v>6</v>
      </c>
      <c r="I413" s="11" t="s">
        <v>1433</v>
      </c>
      <c r="J413" s="193" t="s">
        <v>617</v>
      </c>
      <c r="K413" s="17" t="s">
        <v>233</v>
      </c>
      <c r="L413" s="17" t="s">
        <v>233</v>
      </c>
      <c r="M413" s="231">
        <v>0</v>
      </c>
      <c r="N413" s="232">
        <v>0</v>
      </c>
      <c r="O413" s="132"/>
      <c r="P413" s="231" t="s">
        <v>239</v>
      </c>
      <c r="Q413" s="232">
        <v>0</v>
      </c>
      <c r="R413" s="231" t="s">
        <v>239</v>
      </c>
      <c r="S413" s="232">
        <v>0</v>
      </c>
      <c r="T413" s="231" t="s">
        <v>239</v>
      </c>
      <c r="U413" s="232">
        <v>0</v>
      </c>
      <c r="V413" s="231" t="s">
        <v>239</v>
      </c>
      <c r="W413" s="232">
        <v>0</v>
      </c>
      <c r="X413" s="231" t="s">
        <v>239</v>
      </c>
      <c r="Y413" s="232">
        <v>0</v>
      </c>
      <c r="Z413" s="231" t="s">
        <v>239</v>
      </c>
      <c r="AA413" s="232">
        <v>0</v>
      </c>
      <c r="AB413" s="231" t="s">
        <v>239</v>
      </c>
      <c r="AC413" s="232">
        <v>0</v>
      </c>
      <c r="AD413" s="231" t="s">
        <v>239</v>
      </c>
      <c r="AE413" s="232">
        <v>0</v>
      </c>
      <c r="AF413" s="231" t="s">
        <v>239</v>
      </c>
      <c r="AG413" s="232">
        <v>0</v>
      </c>
      <c r="AH413" s="231" t="s">
        <v>239</v>
      </c>
      <c r="AI413" s="232">
        <v>0</v>
      </c>
      <c r="AJ413" s="231" t="s">
        <v>239</v>
      </c>
      <c r="AK413" s="232">
        <v>0</v>
      </c>
      <c r="AL413" s="232" t="s">
        <v>239</v>
      </c>
      <c r="AM413" s="232">
        <v>0</v>
      </c>
    </row>
    <row r="414" spans="1:39" ht="15" customHeight="1" outlineLevel="1">
      <c r="A414" s="412"/>
      <c r="B414" s="10">
        <v>129202</v>
      </c>
      <c r="C414" s="218" t="s">
        <v>1489</v>
      </c>
      <c r="D414" s="218" t="s">
        <v>1490</v>
      </c>
      <c r="E414" s="23" t="s">
        <v>44</v>
      </c>
      <c r="F414" s="17" t="s">
        <v>45</v>
      </c>
      <c r="G414" s="11" t="s">
        <v>1432</v>
      </c>
      <c r="H414" s="12">
        <v>15</v>
      </c>
      <c r="I414" s="11" t="s">
        <v>1433</v>
      </c>
      <c r="J414" s="193" t="s">
        <v>216</v>
      </c>
      <c r="K414" s="17" t="s">
        <v>233</v>
      </c>
      <c r="L414" s="17" t="s">
        <v>233</v>
      </c>
      <c r="M414" s="231">
        <v>74204</v>
      </c>
      <c r="N414" s="232">
        <v>73303.163440000004</v>
      </c>
      <c r="O414" s="132">
        <v>1098</v>
      </c>
      <c r="P414" s="231" t="s">
        <v>239</v>
      </c>
      <c r="Q414" s="232">
        <v>1084.47264</v>
      </c>
      <c r="R414" s="231" t="s">
        <v>239</v>
      </c>
      <c r="S414" s="232">
        <v>1071.1119370751999</v>
      </c>
      <c r="T414" s="231" t="s">
        <v>239</v>
      </c>
      <c r="U414" s="232">
        <v>1057.9158380104334</v>
      </c>
      <c r="V414" s="231" t="s">
        <v>239</v>
      </c>
      <c r="W414" s="232">
        <v>1044.8823148861447</v>
      </c>
      <c r="X414" s="231" t="s">
        <v>239</v>
      </c>
      <c r="Y414" s="232">
        <v>1032.0093647667475</v>
      </c>
      <c r="Z414" s="231" t="s">
        <v>239</v>
      </c>
      <c r="AA414" s="232">
        <v>1019.2950093928212</v>
      </c>
      <c r="AB414" s="231" t="s">
        <v>239</v>
      </c>
      <c r="AC414" s="232">
        <v>1006.7372948771016</v>
      </c>
      <c r="AD414" s="231" t="s">
        <v>239</v>
      </c>
      <c r="AE414" s="232">
        <v>994.33429140421572</v>
      </c>
      <c r="AF414" s="231" t="s">
        <v>239</v>
      </c>
      <c r="AG414" s="232">
        <v>982.0840929341158</v>
      </c>
      <c r="AH414" s="231" t="s">
        <v>239</v>
      </c>
      <c r="AI414" s="232">
        <v>969.98481690916753</v>
      </c>
      <c r="AJ414" s="231" t="s">
        <v>239</v>
      </c>
      <c r="AK414" s="232">
        <v>958.03460396484661</v>
      </c>
      <c r="AL414" s="232" t="s">
        <v>239</v>
      </c>
      <c r="AM414" s="232">
        <v>12318.862204220792</v>
      </c>
    </row>
    <row r="415" spans="1:39" ht="15" customHeight="1" outlineLevel="1">
      <c r="A415" s="411">
        <v>203</v>
      </c>
      <c r="B415" s="10">
        <v>129203</v>
      </c>
      <c r="C415" s="218" t="s">
        <v>1489</v>
      </c>
      <c r="D415" s="218" t="s">
        <v>1490</v>
      </c>
      <c r="E415" s="23" t="s">
        <v>44</v>
      </c>
      <c r="F415" s="17" t="s">
        <v>45</v>
      </c>
      <c r="G415" s="11" t="s">
        <v>1432</v>
      </c>
      <c r="H415" s="12">
        <v>19</v>
      </c>
      <c r="I415" s="11" t="s">
        <v>1433</v>
      </c>
      <c r="J415" s="192" t="s">
        <v>1446</v>
      </c>
      <c r="K415" s="17" t="s">
        <v>233</v>
      </c>
      <c r="L415" s="17" t="s">
        <v>233</v>
      </c>
      <c r="M415" s="231">
        <v>14</v>
      </c>
      <c r="N415" s="231">
        <v>14</v>
      </c>
      <c r="O415" s="231">
        <v>14</v>
      </c>
      <c r="P415" s="231" t="s">
        <v>239</v>
      </c>
      <c r="Q415" s="231">
        <v>14</v>
      </c>
      <c r="R415" s="231" t="s">
        <v>239</v>
      </c>
      <c r="S415" s="231">
        <v>14</v>
      </c>
      <c r="T415" s="231" t="s">
        <v>239</v>
      </c>
      <c r="U415" s="231">
        <v>14</v>
      </c>
      <c r="V415" s="230" t="s">
        <v>239</v>
      </c>
      <c r="W415" s="231">
        <v>14</v>
      </c>
      <c r="X415" s="231" t="s">
        <v>239</v>
      </c>
      <c r="Y415" s="231">
        <v>14</v>
      </c>
      <c r="Z415" s="231" t="s">
        <v>239</v>
      </c>
      <c r="AA415" s="231">
        <v>14</v>
      </c>
      <c r="AB415" s="231" t="s">
        <v>239</v>
      </c>
      <c r="AC415" s="231">
        <v>14</v>
      </c>
      <c r="AD415" s="231" t="s">
        <v>239</v>
      </c>
      <c r="AE415" s="231">
        <v>14</v>
      </c>
      <c r="AF415" s="231" t="s">
        <v>239</v>
      </c>
      <c r="AG415" s="231">
        <v>14</v>
      </c>
      <c r="AH415" s="231" t="s">
        <v>239</v>
      </c>
      <c r="AI415" s="231">
        <v>14</v>
      </c>
      <c r="AJ415" s="231" t="s">
        <v>239</v>
      </c>
      <c r="AK415" s="231">
        <v>14</v>
      </c>
      <c r="AL415" s="232" t="s">
        <v>239</v>
      </c>
      <c r="AM415" s="232">
        <v>0</v>
      </c>
    </row>
    <row r="416" spans="1:39" ht="15" customHeight="1" outlineLevel="1">
      <c r="A416" s="412"/>
      <c r="B416" s="10">
        <v>129203</v>
      </c>
      <c r="C416" s="218" t="s">
        <v>1489</v>
      </c>
      <c r="D416" s="218" t="s">
        <v>1490</v>
      </c>
      <c r="E416" s="23" t="s">
        <v>138</v>
      </c>
      <c r="F416" s="17" t="s">
        <v>45</v>
      </c>
      <c r="G416" s="11" t="s">
        <v>1432</v>
      </c>
      <c r="H416" s="12">
        <v>22</v>
      </c>
      <c r="I416" s="11" t="s">
        <v>1433</v>
      </c>
      <c r="J416" s="192" t="s">
        <v>1481</v>
      </c>
      <c r="K416" s="17" t="s">
        <v>233</v>
      </c>
      <c r="L416" s="17" t="s">
        <v>233</v>
      </c>
      <c r="M416" s="231">
        <v>58832</v>
      </c>
      <c r="N416" s="232">
        <v>58117.779519999996</v>
      </c>
      <c r="O416" s="132">
        <v>1144</v>
      </c>
      <c r="P416" s="231" t="s">
        <v>239</v>
      </c>
      <c r="Q416" s="232">
        <v>1129.9059199999999</v>
      </c>
      <c r="R416" s="231" t="s">
        <v>239</v>
      </c>
      <c r="S416" s="232">
        <v>1115.9854790656</v>
      </c>
      <c r="T416" s="231" t="s">
        <v>239</v>
      </c>
      <c r="U416" s="232">
        <v>1102.2365379635119</v>
      </c>
      <c r="V416" s="231" t="s">
        <v>239</v>
      </c>
      <c r="W416" s="232">
        <v>1088.6569838158014</v>
      </c>
      <c r="X416" s="231" t="s">
        <v>239</v>
      </c>
      <c r="Y416" s="232">
        <v>1075.2447297751908</v>
      </c>
      <c r="Z416" s="231" t="s">
        <v>239</v>
      </c>
      <c r="AA416" s="232">
        <v>1061.9977147043603</v>
      </c>
      <c r="AB416" s="231" t="s">
        <v>239</v>
      </c>
      <c r="AC416" s="232">
        <v>1048.9139028592026</v>
      </c>
      <c r="AD416" s="231" t="s">
        <v>239</v>
      </c>
      <c r="AE416" s="232">
        <v>1035.9912835759771</v>
      </c>
      <c r="AF416" s="231" t="s">
        <v>239</v>
      </c>
      <c r="AG416" s="232">
        <v>1023.2278709623212</v>
      </c>
      <c r="AH416" s="231" t="s">
        <v>239</v>
      </c>
      <c r="AI416" s="232">
        <v>1010.6217035920654</v>
      </c>
      <c r="AJ416" s="231" t="s">
        <v>239</v>
      </c>
      <c r="AK416" s="232">
        <v>998.17084420381116</v>
      </c>
      <c r="AL416" s="232" t="s">
        <v>239</v>
      </c>
      <c r="AM416" s="232">
        <v>12834.952970517839</v>
      </c>
    </row>
    <row r="417" spans="1:39" ht="15" customHeight="1" outlineLevel="1">
      <c r="A417" s="411">
        <v>204</v>
      </c>
      <c r="B417" s="10">
        <v>129204</v>
      </c>
      <c r="C417" s="218" t="s">
        <v>1489</v>
      </c>
      <c r="D417" s="218" t="s">
        <v>1490</v>
      </c>
      <c r="E417" s="23" t="s">
        <v>44</v>
      </c>
      <c r="F417" s="17" t="s">
        <v>45</v>
      </c>
      <c r="G417" s="11" t="s">
        <v>1432</v>
      </c>
      <c r="H417" s="12">
        <v>24</v>
      </c>
      <c r="I417" s="11" t="s">
        <v>1433</v>
      </c>
      <c r="J417" s="192" t="s">
        <v>208</v>
      </c>
      <c r="K417" s="17" t="s">
        <v>233</v>
      </c>
      <c r="L417" s="17" t="s">
        <v>233</v>
      </c>
      <c r="M417" s="231">
        <v>14</v>
      </c>
      <c r="N417" s="231">
        <v>14</v>
      </c>
      <c r="O417" s="231">
        <v>14</v>
      </c>
      <c r="P417" s="231" t="s">
        <v>239</v>
      </c>
      <c r="Q417" s="231">
        <v>14</v>
      </c>
      <c r="R417" s="231" t="s">
        <v>239</v>
      </c>
      <c r="S417" s="231">
        <v>14</v>
      </c>
      <c r="T417" s="231" t="s">
        <v>239</v>
      </c>
      <c r="U417" s="231">
        <v>14</v>
      </c>
      <c r="V417" s="231" t="s">
        <v>239</v>
      </c>
      <c r="W417" s="231">
        <v>14</v>
      </c>
      <c r="X417" s="231" t="s">
        <v>239</v>
      </c>
      <c r="Y417" s="231">
        <v>14</v>
      </c>
      <c r="Z417" s="231" t="s">
        <v>239</v>
      </c>
      <c r="AA417" s="231">
        <v>14</v>
      </c>
      <c r="AB417" s="231" t="s">
        <v>239</v>
      </c>
      <c r="AC417" s="231">
        <v>14</v>
      </c>
      <c r="AD417" s="231" t="s">
        <v>239</v>
      </c>
      <c r="AE417" s="231">
        <v>14</v>
      </c>
      <c r="AF417" s="231" t="s">
        <v>239</v>
      </c>
      <c r="AG417" s="231">
        <v>14</v>
      </c>
      <c r="AH417" s="231" t="s">
        <v>239</v>
      </c>
      <c r="AI417" s="231">
        <v>14</v>
      </c>
      <c r="AJ417" s="231" t="s">
        <v>239</v>
      </c>
      <c r="AK417" s="231">
        <v>14</v>
      </c>
      <c r="AL417" s="232" t="s">
        <v>239</v>
      </c>
      <c r="AM417" s="232">
        <v>0</v>
      </c>
    </row>
    <row r="418" spans="1:39" ht="15" customHeight="1" outlineLevel="1">
      <c r="A418" s="412"/>
      <c r="B418" s="10">
        <v>129204</v>
      </c>
      <c r="C418" s="218" t="s">
        <v>1489</v>
      </c>
      <c r="D418" s="218" t="s">
        <v>1490</v>
      </c>
      <c r="E418" s="23" t="s">
        <v>138</v>
      </c>
      <c r="F418" s="17" t="s">
        <v>45</v>
      </c>
      <c r="G418" s="11" t="s">
        <v>1432</v>
      </c>
      <c r="H418" s="12">
        <v>16</v>
      </c>
      <c r="I418" s="11" t="s">
        <v>1433</v>
      </c>
      <c r="J418" s="192" t="s">
        <v>1463</v>
      </c>
      <c r="K418" s="17" t="s">
        <v>233</v>
      </c>
      <c r="L418" s="17" t="s">
        <v>233</v>
      </c>
      <c r="M418" s="231">
        <v>29324</v>
      </c>
      <c r="N418" s="232">
        <v>28968.00664</v>
      </c>
      <c r="O418" s="132">
        <v>1716</v>
      </c>
      <c r="P418" s="231" t="s">
        <v>239</v>
      </c>
      <c r="Q418" s="232">
        <v>1694.85888</v>
      </c>
      <c r="R418" s="231" t="s">
        <v>239</v>
      </c>
      <c r="S418" s="232">
        <v>1673.9782185984</v>
      </c>
      <c r="T418" s="231" t="s">
        <v>239</v>
      </c>
      <c r="U418" s="232">
        <v>1653.3548069452677</v>
      </c>
      <c r="V418" s="230" t="s">
        <v>239</v>
      </c>
      <c r="W418" s="232">
        <v>1632.9854757237019</v>
      </c>
      <c r="X418" s="231" t="s">
        <v>239</v>
      </c>
      <c r="Y418" s="232">
        <v>1612.867094662786</v>
      </c>
      <c r="Z418" s="231" t="s">
        <v>239</v>
      </c>
      <c r="AA418" s="232">
        <v>1592.9965720565406</v>
      </c>
      <c r="AB418" s="231" t="s">
        <v>239</v>
      </c>
      <c r="AC418" s="232">
        <v>1573.3708542888039</v>
      </c>
      <c r="AD418" s="231" t="s">
        <v>239</v>
      </c>
      <c r="AE418" s="232">
        <v>1553.9869253639658</v>
      </c>
      <c r="AF418" s="231" t="s">
        <v>239</v>
      </c>
      <c r="AG418" s="232">
        <v>1534.8418064434818</v>
      </c>
      <c r="AH418" s="231" t="s">
        <v>239</v>
      </c>
      <c r="AI418" s="232">
        <v>1515.9325553880981</v>
      </c>
      <c r="AJ418" s="231" t="s">
        <v>239</v>
      </c>
      <c r="AK418" s="232">
        <v>1497.2562663057167</v>
      </c>
      <c r="AL418" s="232" t="s">
        <v>239</v>
      </c>
      <c r="AM418" s="232">
        <v>19252.429455776768</v>
      </c>
    </row>
    <row r="419" spans="1:39" ht="15" customHeight="1" outlineLevel="1">
      <c r="A419" s="411">
        <v>205</v>
      </c>
      <c r="B419" s="10">
        <v>129205</v>
      </c>
      <c r="C419" s="218" t="s">
        <v>1489</v>
      </c>
      <c r="D419" s="218" t="s">
        <v>1490</v>
      </c>
      <c r="E419" s="23" t="s">
        <v>44</v>
      </c>
      <c r="F419" s="17" t="s">
        <v>45</v>
      </c>
      <c r="G419" s="11" t="s">
        <v>1432</v>
      </c>
      <c r="H419" s="12">
        <v>5</v>
      </c>
      <c r="I419" s="11" t="s">
        <v>1433</v>
      </c>
      <c r="J419" s="192" t="s">
        <v>1482</v>
      </c>
      <c r="K419" s="17" t="s">
        <v>233</v>
      </c>
      <c r="L419" s="17" t="s">
        <v>233</v>
      </c>
      <c r="M419" s="231">
        <v>0</v>
      </c>
      <c r="N419" s="232">
        <v>0</v>
      </c>
      <c r="O419" s="132"/>
      <c r="P419" s="231" t="s">
        <v>239</v>
      </c>
      <c r="Q419" s="232">
        <v>0</v>
      </c>
      <c r="R419" s="231" t="s">
        <v>239</v>
      </c>
      <c r="S419" s="232">
        <v>0</v>
      </c>
      <c r="T419" s="231" t="s">
        <v>239</v>
      </c>
      <c r="U419" s="232">
        <v>0</v>
      </c>
      <c r="V419" s="231" t="s">
        <v>239</v>
      </c>
      <c r="W419" s="232">
        <v>0</v>
      </c>
      <c r="X419" s="231" t="s">
        <v>239</v>
      </c>
      <c r="Y419" s="232">
        <v>0</v>
      </c>
      <c r="Z419" s="231" t="s">
        <v>239</v>
      </c>
      <c r="AA419" s="232">
        <v>0</v>
      </c>
      <c r="AB419" s="231" t="s">
        <v>239</v>
      </c>
      <c r="AC419" s="232">
        <v>0</v>
      </c>
      <c r="AD419" s="231" t="s">
        <v>239</v>
      </c>
      <c r="AE419" s="232">
        <v>0</v>
      </c>
      <c r="AF419" s="231" t="s">
        <v>239</v>
      </c>
      <c r="AG419" s="232">
        <v>0</v>
      </c>
      <c r="AH419" s="231" t="s">
        <v>239</v>
      </c>
      <c r="AI419" s="232">
        <v>0</v>
      </c>
      <c r="AJ419" s="231" t="s">
        <v>239</v>
      </c>
      <c r="AK419" s="232">
        <v>0</v>
      </c>
      <c r="AL419" s="232" t="s">
        <v>239</v>
      </c>
      <c r="AM419" s="232">
        <v>0</v>
      </c>
    </row>
    <row r="420" spans="1:39" ht="15" customHeight="1" outlineLevel="1">
      <c r="A420" s="412"/>
      <c r="B420" s="10">
        <v>129205</v>
      </c>
      <c r="C420" s="218" t="s">
        <v>1489</v>
      </c>
      <c r="D420" s="218" t="s">
        <v>1490</v>
      </c>
      <c r="E420" s="23" t="s">
        <v>44</v>
      </c>
      <c r="F420" s="17" t="s">
        <v>45</v>
      </c>
      <c r="G420" s="11" t="s">
        <v>1432</v>
      </c>
      <c r="H420" s="12">
        <v>17</v>
      </c>
      <c r="I420" s="11" t="s">
        <v>1433</v>
      </c>
      <c r="J420" s="192" t="s">
        <v>1462</v>
      </c>
      <c r="K420" s="17" t="s">
        <v>233</v>
      </c>
      <c r="L420" s="17" t="s">
        <v>233</v>
      </c>
      <c r="M420" s="231">
        <v>0</v>
      </c>
      <c r="N420" s="232">
        <v>0</v>
      </c>
      <c r="O420" s="132">
        <v>0</v>
      </c>
      <c r="P420" s="231" t="s">
        <v>239</v>
      </c>
      <c r="Q420" s="232">
        <v>0</v>
      </c>
      <c r="R420" s="231" t="s">
        <v>239</v>
      </c>
      <c r="S420" s="232">
        <v>0</v>
      </c>
      <c r="T420" s="231" t="s">
        <v>239</v>
      </c>
      <c r="U420" s="232">
        <v>0</v>
      </c>
      <c r="V420" s="231" t="s">
        <v>239</v>
      </c>
      <c r="W420" s="232">
        <v>0</v>
      </c>
      <c r="X420" s="231" t="s">
        <v>239</v>
      </c>
      <c r="Y420" s="232">
        <v>0</v>
      </c>
      <c r="Z420" s="231" t="s">
        <v>239</v>
      </c>
      <c r="AA420" s="232">
        <v>0</v>
      </c>
      <c r="AB420" s="231" t="s">
        <v>239</v>
      </c>
      <c r="AC420" s="232">
        <v>0</v>
      </c>
      <c r="AD420" s="231" t="s">
        <v>239</v>
      </c>
      <c r="AE420" s="232">
        <v>0</v>
      </c>
      <c r="AF420" s="231" t="s">
        <v>239</v>
      </c>
      <c r="AG420" s="232">
        <v>0</v>
      </c>
      <c r="AH420" s="231" t="s">
        <v>239</v>
      </c>
      <c r="AI420" s="232">
        <v>0</v>
      </c>
      <c r="AJ420" s="231" t="s">
        <v>239</v>
      </c>
      <c r="AK420" s="232">
        <v>0</v>
      </c>
      <c r="AL420" s="232" t="s">
        <v>239</v>
      </c>
      <c r="AM420" s="232">
        <v>0</v>
      </c>
    </row>
    <row r="421" spans="1:39" ht="15" customHeight="1" outlineLevel="1">
      <c r="A421" s="411">
        <v>206</v>
      </c>
      <c r="B421" s="10">
        <v>129206</v>
      </c>
      <c r="C421" s="218" t="s">
        <v>1489</v>
      </c>
      <c r="D421" s="218" t="s">
        <v>1490</v>
      </c>
      <c r="E421" s="23" t="s">
        <v>138</v>
      </c>
      <c r="F421" s="17" t="s">
        <v>45</v>
      </c>
      <c r="G421" s="11" t="s">
        <v>1432</v>
      </c>
      <c r="H421" s="12">
        <v>19</v>
      </c>
      <c r="I421" s="11" t="s">
        <v>1433</v>
      </c>
      <c r="J421" s="192" t="s">
        <v>1457</v>
      </c>
      <c r="K421" s="17" t="s">
        <v>233</v>
      </c>
      <c r="L421" s="17" t="s">
        <v>233</v>
      </c>
      <c r="M421" s="231">
        <v>12</v>
      </c>
      <c r="N421" s="231">
        <v>12</v>
      </c>
      <c r="O421" s="231">
        <v>12</v>
      </c>
      <c r="P421" s="231" t="s">
        <v>239</v>
      </c>
      <c r="Q421" s="231">
        <v>12</v>
      </c>
      <c r="R421" s="231" t="s">
        <v>239</v>
      </c>
      <c r="S421" s="231">
        <v>12</v>
      </c>
      <c r="T421" s="231" t="s">
        <v>239</v>
      </c>
      <c r="U421" s="231">
        <v>12</v>
      </c>
      <c r="V421" s="230" t="s">
        <v>239</v>
      </c>
      <c r="W421" s="231">
        <v>12</v>
      </c>
      <c r="X421" s="231" t="s">
        <v>239</v>
      </c>
      <c r="Y421" s="231">
        <v>12</v>
      </c>
      <c r="Z421" s="231" t="s">
        <v>239</v>
      </c>
      <c r="AA421" s="231">
        <v>12</v>
      </c>
      <c r="AB421" s="231" t="s">
        <v>239</v>
      </c>
      <c r="AC421" s="231">
        <v>12</v>
      </c>
      <c r="AD421" s="231" t="s">
        <v>239</v>
      </c>
      <c r="AE421" s="231">
        <v>12</v>
      </c>
      <c r="AF421" s="231" t="s">
        <v>239</v>
      </c>
      <c r="AG421" s="231">
        <v>12</v>
      </c>
      <c r="AH421" s="231" t="s">
        <v>239</v>
      </c>
      <c r="AI421" s="231">
        <v>12</v>
      </c>
      <c r="AJ421" s="231" t="s">
        <v>239</v>
      </c>
      <c r="AK421" s="231">
        <v>12</v>
      </c>
      <c r="AL421" s="232" t="s">
        <v>239</v>
      </c>
      <c r="AM421" s="232">
        <v>0</v>
      </c>
    </row>
    <row r="422" spans="1:39" ht="15" customHeight="1" outlineLevel="1">
      <c r="A422" s="412"/>
      <c r="B422" s="10">
        <v>129206</v>
      </c>
      <c r="C422" s="218" t="s">
        <v>1489</v>
      </c>
      <c r="D422" s="218" t="s">
        <v>1490</v>
      </c>
      <c r="E422" s="23" t="s">
        <v>44</v>
      </c>
      <c r="F422" s="17" t="s">
        <v>45</v>
      </c>
      <c r="G422" s="11" t="s">
        <v>1432</v>
      </c>
      <c r="H422" s="12">
        <v>21</v>
      </c>
      <c r="I422" s="11" t="s">
        <v>1433</v>
      </c>
      <c r="J422" s="192" t="s">
        <v>617</v>
      </c>
      <c r="K422" s="17" t="s">
        <v>233</v>
      </c>
      <c r="L422" s="17" t="s">
        <v>233</v>
      </c>
      <c r="M422" s="231">
        <v>7760</v>
      </c>
      <c r="N422" s="232">
        <v>7665.7936</v>
      </c>
      <c r="O422" s="132">
        <v>339</v>
      </c>
      <c r="P422" s="231" t="s">
        <v>239</v>
      </c>
      <c r="Q422" s="232">
        <v>334.82351999999997</v>
      </c>
      <c r="R422" s="231" t="s">
        <v>239</v>
      </c>
      <c r="S422" s="232">
        <v>330.6984942336</v>
      </c>
      <c r="T422" s="231" t="s">
        <v>239</v>
      </c>
      <c r="U422" s="232">
        <v>326.62428878464203</v>
      </c>
      <c r="V422" s="231" t="s">
        <v>239</v>
      </c>
      <c r="W422" s="232">
        <v>322.60027754681522</v>
      </c>
      <c r="X422" s="231" t="s">
        <v>239</v>
      </c>
      <c r="Y422" s="232">
        <v>318.62584212743843</v>
      </c>
      <c r="Z422" s="231" t="s">
        <v>239</v>
      </c>
      <c r="AA422" s="232">
        <v>314.7003717524284</v>
      </c>
      <c r="AB422" s="231" t="s">
        <v>239</v>
      </c>
      <c r="AC422" s="232">
        <v>310.82326317243849</v>
      </c>
      <c r="AD422" s="231" t="s">
        <v>239</v>
      </c>
      <c r="AE422" s="232">
        <v>306.99392057015405</v>
      </c>
      <c r="AF422" s="231" t="s">
        <v>239</v>
      </c>
      <c r="AG422" s="232">
        <v>303.21175546872973</v>
      </c>
      <c r="AH422" s="231" t="s">
        <v>239</v>
      </c>
      <c r="AI422" s="232">
        <v>299.47618664135496</v>
      </c>
      <c r="AJ422" s="231" t="s">
        <v>239</v>
      </c>
      <c r="AK422" s="232">
        <v>295.78664002193347</v>
      </c>
      <c r="AL422" s="232" t="s">
        <v>239</v>
      </c>
      <c r="AM422" s="232">
        <v>3803.364560319535</v>
      </c>
    </row>
    <row r="423" spans="1:39" ht="15" customHeight="1" outlineLevel="1">
      <c r="A423" s="411">
        <v>207</v>
      </c>
      <c r="B423" s="10">
        <v>129207</v>
      </c>
      <c r="C423" s="218" t="s">
        <v>1489</v>
      </c>
      <c r="D423" s="218" t="s">
        <v>1490</v>
      </c>
      <c r="E423" s="23" t="s">
        <v>138</v>
      </c>
      <c r="F423" s="17" t="s">
        <v>45</v>
      </c>
      <c r="G423" s="11" t="s">
        <v>1432</v>
      </c>
      <c r="H423" s="12">
        <v>19</v>
      </c>
      <c r="I423" s="11" t="s">
        <v>1433</v>
      </c>
      <c r="J423" s="374" t="s">
        <v>1457</v>
      </c>
      <c r="K423" s="17" t="s">
        <v>233</v>
      </c>
      <c r="L423" s="17" t="s">
        <v>233</v>
      </c>
      <c r="M423" s="231">
        <v>19.5</v>
      </c>
      <c r="N423" s="232">
        <v>0</v>
      </c>
      <c r="O423" s="132"/>
      <c r="P423" s="231" t="s">
        <v>239</v>
      </c>
      <c r="Q423" s="232">
        <v>0</v>
      </c>
      <c r="R423" s="231" t="s">
        <v>239</v>
      </c>
      <c r="S423" s="232">
        <v>0</v>
      </c>
      <c r="T423" s="231" t="s">
        <v>239</v>
      </c>
      <c r="U423" s="232">
        <v>0</v>
      </c>
      <c r="V423" s="231" t="s">
        <v>239</v>
      </c>
      <c r="W423" s="232">
        <v>0</v>
      </c>
      <c r="X423" s="231" t="s">
        <v>239</v>
      </c>
      <c r="Y423" s="232">
        <v>0</v>
      </c>
      <c r="Z423" s="231" t="s">
        <v>239</v>
      </c>
      <c r="AA423" s="232">
        <v>0</v>
      </c>
      <c r="AB423" s="231" t="s">
        <v>239</v>
      </c>
      <c r="AC423" s="232">
        <v>0</v>
      </c>
      <c r="AD423" s="231" t="s">
        <v>239</v>
      </c>
      <c r="AE423" s="232">
        <v>0</v>
      </c>
      <c r="AF423" s="231" t="s">
        <v>239</v>
      </c>
      <c r="AG423" s="232">
        <v>0</v>
      </c>
      <c r="AH423" s="231" t="s">
        <v>239</v>
      </c>
      <c r="AI423" s="232">
        <v>0</v>
      </c>
      <c r="AJ423" s="231" t="s">
        <v>239</v>
      </c>
      <c r="AK423" s="232">
        <v>0</v>
      </c>
      <c r="AL423" s="232" t="s">
        <v>239</v>
      </c>
      <c r="AM423" s="232">
        <v>0</v>
      </c>
    </row>
    <row r="424" spans="1:39" ht="15" customHeight="1" outlineLevel="1">
      <c r="A424" s="412"/>
      <c r="B424" s="10">
        <v>129207</v>
      </c>
      <c r="C424" s="218" t="s">
        <v>1489</v>
      </c>
      <c r="D424" s="218" t="s">
        <v>1490</v>
      </c>
      <c r="E424" s="23" t="s">
        <v>44</v>
      </c>
      <c r="F424" s="17" t="s">
        <v>45</v>
      </c>
      <c r="G424" s="11" t="s">
        <v>1432</v>
      </c>
      <c r="H424" s="12">
        <v>30</v>
      </c>
      <c r="I424" s="11" t="s">
        <v>1433</v>
      </c>
      <c r="J424" s="375"/>
      <c r="K424" s="17" t="s">
        <v>233</v>
      </c>
      <c r="L424" s="17" t="s">
        <v>233</v>
      </c>
      <c r="M424" s="231">
        <v>44928</v>
      </c>
      <c r="N424" s="232">
        <v>44382.574079999999</v>
      </c>
      <c r="O424" s="132">
        <v>500</v>
      </c>
      <c r="P424" s="231" t="s">
        <v>239</v>
      </c>
      <c r="Q424" s="232">
        <v>493.84</v>
      </c>
      <c r="R424" s="231" t="s">
        <v>239</v>
      </c>
      <c r="S424" s="232">
        <v>487.75589119999995</v>
      </c>
      <c r="T424" s="231" t="s">
        <v>239</v>
      </c>
      <c r="U424" s="232">
        <v>481.74673862041595</v>
      </c>
      <c r="V424" s="230" t="s">
        <v>239</v>
      </c>
      <c r="W424" s="232">
        <v>475.81161880061245</v>
      </c>
      <c r="X424" s="231" t="s">
        <v>239</v>
      </c>
      <c r="Y424" s="232">
        <v>469.94961965698889</v>
      </c>
      <c r="Z424" s="231" t="s">
        <v>239</v>
      </c>
      <c r="AA424" s="232">
        <v>464.15984034281479</v>
      </c>
      <c r="AB424" s="231" t="s">
        <v>239</v>
      </c>
      <c r="AC424" s="232">
        <v>458.44139110979131</v>
      </c>
      <c r="AD424" s="231" t="s">
        <v>239</v>
      </c>
      <c r="AE424" s="232">
        <v>452.79339317131866</v>
      </c>
      <c r="AF424" s="231" t="s">
        <v>239</v>
      </c>
      <c r="AG424" s="232">
        <v>447.21497856744799</v>
      </c>
      <c r="AH424" s="231" t="s">
        <v>239</v>
      </c>
      <c r="AI424" s="232">
        <v>441.70529003149704</v>
      </c>
      <c r="AJ424" s="231" t="s">
        <v>239</v>
      </c>
      <c r="AK424" s="232">
        <v>436.26348085830898</v>
      </c>
      <c r="AL424" s="232" t="s">
        <v>239</v>
      </c>
      <c r="AM424" s="232">
        <v>5609.6822423591957</v>
      </c>
    </row>
    <row r="425" spans="1:39" ht="15" customHeight="1" outlineLevel="1">
      <c r="A425" s="411">
        <v>208</v>
      </c>
      <c r="B425" s="10">
        <v>129208</v>
      </c>
      <c r="C425" s="218" t="s">
        <v>1489</v>
      </c>
      <c r="D425" s="218" t="s">
        <v>1490</v>
      </c>
      <c r="E425" s="23" t="s">
        <v>44</v>
      </c>
      <c r="F425" s="17" t="s">
        <v>45</v>
      </c>
      <c r="G425" s="11" t="s">
        <v>1432</v>
      </c>
      <c r="H425" s="12">
        <v>33</v>
      </c>
      <c r="I425" s="11" t="s">
        <v>1433</v>
      </c>
      <c r="J425" s="193" t="s">
        <v>1460</v>
      </c>
      <c r="K425" s="17" t="s">
        <v>233</v>
      </c>
      <c r="L425" s="17" t="s">
        <v>233</v>
      </c>
      <c r="M425" s="231">
        <v>8.5</v>
      </c>
      <c r="N425" s="231">
        <v>8.5</v>
      </c>
      <c r="O425" s="231">
        <v>8.5</v>
      </c>
      <c r="P425" s="231" t="s">
        <v>239</v>
      </c>
      <c r="Q425" s="231">
        <v>8.5</v>
      </c>
      <c r="R425" s="231" t="s">
        <v>239</v>
      </c>
      <c r="S425" s="231">
        <v>8.5</v>
      </c>
      <c r="T425" s="231" t="s">
        <v>239</v>
      </c>
      <c r="U425" s="231">
        <v>8.5</v>
      </c>
      <c r="V425" s="231" t="s">
        <v>239</v>
      </c>
      <c r="W425" s="231">
        <v>8.5</v>
      </c>
      <c r="X425" s="231" t="s">
        <v>239</v>
      </c>
      <c r="Y425" s="231">
        <v>8.5</v>
      </c>
      <c r="Z425" s="231" t="s">
        <v>239</v>
      </c>
      <c r="AA425" s="231">
        <v>8.5</v>
      </c>
      <c r="AB425" s="231" t="s">
        <v>239</v>
      </c>
      <c r="AC425" s="231">
        <v>8.5</v>
      </c>
      <c r="AD425" s="231" t="s">
        <v>239</v>
      </c>
      <c r="AE425" s="231">
        <v>8.5</v>
      </c>
      <c r="AF425" s="231" t="s">
        <v>239</v>
      </c>
      <c r="AG425" s="231">
        <v>8.5</v>
      </c>
      <c r="AH425" s="231" t="s">
        <v>239</v>
      </c>
      <c r="AI425" s="231">
        <v>8.5</v>
      </c>
      <c r="AJ425" s="231" t="s">
        <v>239</v>
      </c>
      <c r="AK425" s="231">
        <v>8.5</v>
      </c>
      <c r="AL425" s="232" t="s">
        <v>239</v>
      </c>
      <c r="AM425" s="232">
        <v>0</v>
      </c>
    </row>
    <row r="426" spans="1:39" ht="15" customHeight="1" outlineLevel="1">
      <c r="A426" s="412"/>
      <c r="B426" s="10">
        <v>129208</v>
      </c>
      <c r="C426" s="218" t="s">
        <v>1489</v>
      </c>
      <c r="D426" s="218" t="s">
        <v>1490</v>
      </c>
      <c r="E426" s="23" t="s">
        <v>138</v>
      </c>
      <c r="F426" s="17" t="s">
        <v>45</v>
      </c>
      <c r="G426" s="11" t="s">
        <v>1432</v>
      </c>
      <c r="H426" s="12">
        <v>19</v>
      </c>
      <c r="I426" s="11" t="s">
        <v>1433</v>
      </c>
      <c r="J426" s="193" t="s">
        <v>1442</v>
      </c>
      <c r="K426" s="17" t="s">
        <v>233</v>
      </c>
      <c r="L426" s="17" t="s">
        <v>233</v>
      </c>
      <c r="M426" s="231">
        <v>2190</v>
      </c>
      <c r="N426" s="232">
        <v>2163.4133999999999</v>
      </c>
      <c r="O426" s="132">
        <v>186</v>
      </c>
      <c r="P426" s="231" t="s">
        <v>239</v>
      </c>
      <c r="Q426" s="232">
        <v>183.70848000000001</v>
      </c>
      <c r="R426" s="231" t="s">
        <v>239</v>
      </c>
      <c r="S426" s="232">
        <v>181.44519152640001</v>
      </c>
      <c r="T426" s="231" t="s">
        <v>239</v>
      </c>
      <c r="U426" s="232">
        <v>179.20978676679476</v>
      </c>
      <c r="V426" s="231" t="s">
        <v>239</v>
      </c>
      <c r="W426" s="232">
        <v>177.00192219382785</v>
      </c>
      <c r="X426" s="231" t="s">
        <v>239</v>
      </c>
      <c r="Y426" s="232">
        <v>174.82125851239988</v>
      </c>
      <c r="Z426" s="231" t="s">
        <v>239</v>
      </c>
      <c r="AA426" s="232">
        <v>172.66746060752712</v>
      </c>
      <c r="AB426" s="231" t="s">
        <v>239</v>
      </c>
      <c r="AC426" s="232">
        <v>170.5401974928424</v>
      </c>
      <c r="AD426" s="231" t="s">
        <v>239</v>
      </c>
      <c r="AE426" s="232">
        <v>168.43914225973057</v>
      </c>
      <c r="AF426" s="231" t="s">
        <v>239</v>
      </c>
      <c r="AG426" s="232">
        <v>166.36397202709068</v>
      </c>
      <c r="AH426" s="231" t="s">
        <v>239</v>
      </c>
      <c r="AI426" s="232">
        <v>164.31436789171693</v>
      </c>
      <c r="AJ426" s="231" t="s">
        <v>239</v>
      </c>
      <c r="AK426" s="232">
        <v>162.29001487929096</v>
      </c>
      <c r="AL426" s="232" t="s">
        <v>239</v>
      </c>
      <c r="AM426" s="232">
        <v>2086.8017941576213</v>
      </c>
    </row>
    <row r="427" spans="1:39" ht="15" customHeight="1" outlineLevel="1">
      <c r="A427" s="411">
        <v>209</v>
      </c>
      <c r="B427" s="10">
        <v>129209</v>
      </c>
      <c r="C427" s="218" t="s">
        <v>1489</v>
      </c>
      <c r="D427" s="218" t="s">
        <v>1490</v>
      </c>
      <c r="E427" s="23" t="s">
        <v>44</v>
      </c>
      <c r="F427" s="17" t="s">
        <v>45</v>
      </c>
      <c r="G427" s="11" t="s">
        <v>1432</v>
      </c>
      <c r="H427" s="12">
        <v>6</v>
      </c>
      <c r="I427" s="11" t="s">
        <v>1433</v>
      </c>
      <c r="J427" s="193" t="s">
        <v>1460</v>
      </c>
      <c r="K427" s="17" t="s">
        <v>233</v>
      </c>
      <c r="L427" s="17" t="s">
        <v>233</v>
      </c>
      <c r="M427" s="231">
        <v>1.5</v>
      </c>
      <c r="N427" s="231">
        <v>1.5</v>
      </c>
      <c r="O427" s="231">
        <v>1.5</v>
      </c>
      <c r="P427" s="231" t="s">
        <v>239</v>
      </c>
      <c r="Q427" s="231">
        <v>1.5</v>
      </c>
      <c r="R427" s="231" t="s">
        <v>239</v>
      </c>
      <c r="S427" s="231">
        <v>1.5</v>
      </c>
      <c r="T427" s="231" t="s">
        <v>239</v>
      </c>
      <c r="U427" s="231">
        <v>1.5</v>
      </c>
      <c r="V427" s="230" t="s">
        <v>239</v>
      </c>
      <c r="W427" s="231">
        <v>1.5</v>
      </c>
      <c r="X427" s="231" t="s">
        <v>239</v>
      </c>
      <c r="Y427" s="231">
        <v>1.5</v>
      </c>
      <c r="Z427" s="231" t="s">
        <v>239</v>
      </c>
      <c r="AA427" s="231">
        <v>1.5</v>
      </c>
      <c r="AB427" s="231" t="s">
        <v>239</v>
      </c>
      <c r="AC427" s="231">
        <v>1.5</v>
      </c>
      <c r="AD427" s="231" t="s">
        <v>239</v>
      </c>
      <c r="AE427" s="231">
        <v>1.5</v>
      </c>
      <c r="AF427" s="231" t="s">
        <v>239</v>
      </c>
      <c r="AG427" s="231">
        <v>1.5</v>
      </c>
      <c r="AH427" s="231" t="s">
        <v>239</v>
      </c>
      <c r="AI427" s="231">
        <v>1.5</v>
      </c>
      <c r="AJ427" s="231" t="s">
        <v>239</v>
      </c>
      <c r="AK427" s="231">
        <v>1.5</v>
      </c>
      <c r="AL427" s="232" t="s">
        <v>239</v>
      </c>
      <c r="AM427" s="232">
        <v>0</v>
      </c>
    </row>
    <row r="428" spans="1:39" ht="15" customHeight="1" outlineLevel="1">
      <c r="A428" s="412"/>
      <c r="B428" s="10">
        <v>129209</v>
      </c>
      <c r="C428" s="218" t="s">
        <v>1489</v>
      </c>
      <c r="D428" s="218" t="s">
        <v>1490</v>
      </c>
      <c r="E428" s="23" t="s">
        <v>138</v>
      </c>
      <c r="F428" s="17" t="s">
        <v>45</v>
      </c>
      <c r="G428" s="11" t="s">
        <v>1432</v>
      </c>
      <c r="H428" s="12">
        <v>15</v>
      </c>
      <c r="I428" s="11" t="s">
        <v>1433</v>
      </c>
      <c r="J428" s="193" t="s">
        <v>1457</v>
      </c>
      <c r="K428" s="17" t="s">
        <v>233</v>
      </c>
      <c r="L428" s="17" t="s">
        <v>233</v>
      </c>
      <c r="M428" s="231">
        <v>3519</v>
      </c>
      <c r="N428" s="232">
        <v>3476.27934</v>
      </c>
      <c r="O428" s="132">
        <v>233</v>
      </c>
      <c r="P428" s="231" t="s">
        <v>239</v>
      </c>
      <c r="Q428" s="232">
        <v>230.12943999999999</v>
      </c>
      <c r="R428" s="231" t="s">
        <v>239</v>
      </c>
      <c r="S428" s="232">
        <v>227.29424529919999</v>
      </c>
      <c r="T428" s="231" t="s">
        <v>239</v>
      </c>
      <c r="U428" s="232">
        <v>224.49398019711384</v>
      </c>
      <c r="V428" s="231" t="s">
        <v>239</v>
      </c>
      <c r="W428" s="232">
        <v>221.72821436108541</v>
      </c>
      <c r="X428" s="231" t="s">
        <v>239</v>
      </c>
      <c r="Y428" s="232">
        <v>218.99652276015684</v>
      </c>
      <c r="Z428" s="231" t="s">
        <v>239</v>
      </c>
      <c r="AA428" s="232">
        <v>216.2984855997517</v>
      </c>
      <c r="AB428" s="231" t="s">
        <v>239</v>
      </c>
      <c r="AC428" s="232">
        <v>213.63368825716276</v>
      </c>
      <c r="AD428" s="231" t="s">
        <v>239</v>
      </c>
      <c r="AE428" s="232">
        <v>211.00172121783453</v>
      </c>
      <c r="AF428" s="231" t="s">
        <v>239</v>
      </c>
      <c r="AG428" s="232">
        <v>208.40218001243082</v>
      </c>
      <c r="AH428" s="231" t="s">
        <v>239</v>
      </c>
      <c r="AI428" s="232">
        <v>205.83466515467768</v>
      </c>
      <c r="AJ428" s="231" t="s">
        <v>239</v>
      </c>
      <c r="AK428" s="232">
        <v>203.29878207997206</v>
      </c>
      <c r="AL428" s="232" t="s">
        <v>239</v>
      </c>
      <c r="AM428" s="232">
        <v>2614.1119249393855</v>
      </c>
    </row>
    <row r="429" spans="1:39" ht="15" customHeight="1" outlineLevel="1">
      <c r="A429" s="411">
        <v>210</v>
      </c>
      <c r="B429" s="10">
        <v>129210</v>
      </c>
      <c r="C429" s="218" t="s">
        <v>1489</v>
      </c>
      <c r="D429" s="218" t="s">
        <v>1490</v>
      </c>
      <c r="E429" s="23" t="s">
        <v>44</v>
      </c>
      <c r="F429" s="17" t="s">
        <v>45</v>
      </c>
      <c r="G429" s="11" t="s">
        <v>1432</v>
      </c>
      <c r="H429" s="12">
        <v>19</v>
      </c>
      <c r="I429" s="11" t="s">
        <v>1433</v>
      </c>
      <c r="J429" s="191" t="s">
        <v>216</v>
      </c>
      <c r="K429" s="17" t="s">
        <v>233</v>
      </c>
      <c r="L429" s="17" t="s">
        <v>233</v>
      </c>
      <c r="M429" s="231">
        <v>0</v>
      </c>
      <c r="N429" s="232">
        <v>0</v>
      </c>
      <c r="O429" s="132">
        <v>0</v>
      </c>
      <c r="P429" s="231" t="s">
        <v>239</v>
      </c>
      <c r="Q429" s="232">
        <v>0</v>
      </c>
      <c r="R429" s="231" t="s">
        <v>239</v>
      </c>
      <c r="S429" s="232">
        <v>0</v>
      </c>
      <c r="T429" s="231" t="s">
        <v>239</v>
      </c>
      <c r="U429" s="232">
        <v>0</v>
      </c>
      <c r="V429" s="231" t="s">
        <v>239</v>
      </c>
      <c r="W429" s="232">
        <v>0</v>
      </c>
      <c r="X429" s="231" t="s">
        <v>239</v>
      </c>
      <c r="Y429" s="232">
        <v>0</v>
      </c>
      <c r="Z429" s="231" t="s">
        <v>239</v>
      </c>
      <c r="AA429" s="232">
        <v>0</v>
      </c>
      <c r="AB429" s="231" t="s">
        <v>239</v>
      </c>
      <c r="AC429" s="232">
        <v>0</v>
      </c>
      <c r="AD429" s="231" t="s">
        <v>239</v>
      </c>
      <c r="AE429" s="232">
        <v>0</v>
      </c>
      <c r="AF429" s="231" t="s">
        <v>239</v>
      </c>
      <c r="AG429" s="232">
        <v>0</v>
      </c>
      <c r="AH429" s="231" t="s">
        <v>239</v>
      </c>
      <c r="AI429" s="232">
        <v>0</v>
      </c>
      <c r="AJ429" s="231" t="s">
        <v>239</v>
      </c>
      <c r="AK429" s="232">
        <v>0</v>
      </c>
      <c r="AL429" s="232" t="s">
        <v>239</v>
      </c>
      <c r="AM429" s="232">
        <v>0</v>
      </c>
    </row>
    <row r="430" spans="1:39" ht="15" customHeight="1" outlineLevel="1">
      <c r="A430" s="412"/>
      <c r="B430" s="10">
        <v>129210</v>
      </c>
      <c r="C430" s="218" t="s">
        <v>1489</v>
      </c>
      <c r="D430" s="218" t="s">
        <v>1490</v>
      </c>
      <c r="E430" s="23" t="s">
        <v>44</v>
      </c>
      <c r="F430" s="17" t="s">
        <v>45</v>
      </c>
      <c r="G430" s="11" t="s">
        <v>1432</v>
      </c>
      <c r="H430" s="12">
        <v>22</v>
      </c>
      <c r="I430" s="11" t="s">
        <v>1433</v>
      </c>
      <c r="J430" s="192" t="s">
        <v>1434</v>
      </c>
      <c r="K430" s="17" t="s">
        <v>233</v>
      </c>
      <c r="L430" s="17" t="s">
        <v>233</v>
      </c>
      <c r="M430" s="231">
        <v>0</v>
      </c>
      <c r="N430" s="232">
        <v>0</v>
      </c>
      <c r="O430" s="132">
        <v>0</v>
      </c>
      <c r="P430" s="231" t="s">
        <v>239</v>
      </c>
      <c r="Q430" s="232">
        <v>0</v>
      </c>
      <c r="R430" s="231" t="s">
        <v>239</v>
      </c>
      <c r="S430" s="232">
        <v>0</v>
      </c>
      <c r="T430" s="231" t="s">
        <v>239</v>
      </c>
      <c r="U430" s="232">
        <v>0</v>
      </c>
      <c r="V430" s="230" t="s">
        <v>239</v>
      </c>
      <c r="W430" s="232">
        <v>0</v>
      </c>
      <c r="X430" s="231" t="s">
        <v>239</v>
      </c>
      <c r="Y430" s="232">
        <v>0</v>
      </c>
      <c r="Z430" s="231" t="s">
        <v>239</v>
      </c>
      <c r="AA430" s="232">
        <v>0</v>
      </c>
      <c r="AB430" s="231" t="s">
        <v>239</v>
      </c>
      <c r="AC430" s="232">
        <v>0</v>
      </c>
      <c r="AD430" s="231" t="s">
        <v>239</v>
      </c>
      <c r="AE430" s="232">
        <v>0</v>
      </c>
      <c r="AF430" s="231" t="s">
        <v>239</v>
      </c>
      <c r="AG430" s="232">
        <v>0</v>
      </c>
      <c r="AH430" s="231" t="s">
        <v>239</v>
      </c>
      <c r="AI430" s="232">
        <v>0</v>
      </c>
      <c r="AJ430" s="231" t="s">
        <v>239</v>
      </c>
      <c r="AK430" s="232">
        <v>0</v>
      </c>
      <c r="AL430" s="232" t="s">
        <v>239</v>
      </c>
      <c r="AM430" s="232">
        <v>0</v>
      </c>
    </row>
    <row r="431" spans="1:39" ht="15" customHeight="1" outlineLevel="1">
      <c r="A431" s="411">
        <v>211</v>
      </c>
      <c r="B431" s="10">
        <v>129211</v>
      </c>
      <c r="C431" s="218" t="s">
        <v>1489</v>
      </c>
      <c r="D431" s="218" t="s">
        <v>1490</v>
      </c>
      <c r="E431" s="23" t="s">
        <v>138</v>
      </c>
      <c r="F431" s="17" t="s">
        <v>45</v>
      </c>
      <c r="G431" s="11" t="s">
        <v>1432</v>
      </c>
      <c r="H431" s="12">
        <v>24</v>
      </c>
      <c r="I431" s="11" t="s">
        <v>1433</v>
      </c>
      <c r="J431" s="192" t="s">
        <v>1480</v>
      </c>
      <c r="K431" s="17" t="s">
        <v>233</v>
      </c>
      <c r="L431" s="17" t="s">
        <v>233</v>
      </c>
      <c r="M431" s="231">
        <v>0</v>
      </c>
      <c r="N431" s="232">
        <v>0</v>
      </c>
      <c r="O431" s="132">
        <v>0</v>
      </c>
      <c r="P431" s="231" t="s">
        <v>239</v>
      </c>
      <c r="Q431" s="232">
        <v>0</v>
      </c>
      <c r="R431" s="231" t="s">
        <v>239</v>
      </c>
      <c r="S431" s="232">
        <v>0</v>
      </c>
      <c r="T431" s="231" t="s">
        <v>239</v>
      </c>
      <c r="U431" s="232">
        <v>0</v>
      </c>
      <c r="V431" s="231" t="s">
        <v>239</v>
      </c>
      <c r="W431" s="232">
        <v>0</v>
      </c>
      <c r="X431" s="231" t="s">
        <v>239</v>
      </c>
      <c r="Y431" s="232">
        <v>0</v>
      </c>
      <c r="Z431" s="231" t="s">
        <v>239</v>
      </c>
      <c r="AA431" s="232">
        <v>0</v>
      </c>
      <c r="AB431" s="231" t="s">
        <v>239</v>
      </c>
      <c r="AC431" s="232">
        <v>0</v>
      </c>
      <c r="AD431" s="231" t="s">
        <v>239</v>
      </c>
      <c r="AE431" s="232">
        <v>0</v>
      </c>
      <c r="AF431" s="231" t="s">
        <v>239</v>
      </c>
      <c r="AG431" s="232">
        <v>0</v>
      </c>
      <c r="AH431" s="231" t="s">
        <v>239</v>
      </c>
      <c r="AI431" s="232">
        <v>0</v>
      </c>
      <c r="AJ431" s="231" t="s">
        <v>239</v>
      </c>
      <c r="AK431" s="232">
        <v>0</v>
      </c>
      <c r="AL431" s="232" t="s">
        <v>239</v>
      </c>
      <c r="AM431" s="232">
        <v>0</v>
      </c>
    </row>
    <row r="432" spans="1:39" ht="15" customHeight="1" outlineLevel="1">
      <c r="A432" s="412"/>
      <c r="B432" s="10">
        <v>129211</v>
      </c>
      <c r="C432" s="218" t="s">
        <v>1489</v>
      </c>
      <c r="D432" s="218" t="s">
        <v>1490</v>
      </c>
      <c r="E432" s="23" t="s">
        <v>44</v>
      </c>
      <c r="F432" s="17" t="s">
        <v>45</v>
      </c>
      <c r="G432" s="11" t="s">
        <v>1432</v>
      </c>
      <c r="H432" s="12">
        <v>21</v>
      </c>
      <c r="I432" s="11" t="s">
        <v>1433</v>
      </c>
      <c r="J432" s="192" t="s">
        <v>1452</v>
      </c>
      <c r="K432" s="17" t="s">
        <v>233</v>
      </c>
      <c r="L432" s="17" t="s">
        <v>233</v>
      </c>
      <c r="M432" s="231">
        <v>0</v>
      </c>
      <c r="N432" s="232">
        <v>0</v>
      </c>
      <c r="O432" s="132">
        <v>0</v>
      </c>
      <c r="P432" s="231" t="s">
        <v>239</v>
      </c>
      <c r="Q432" s="232">
        <v>0</v>
      </c>
      <c r="R432" s="231" t="s">
        <v>239</v>
      </c>
      <c r="S432" s="232">
        <v>0</v>
      </c>
      <c r="T432" s="231" t="s">
        <v>239</v>
      </c>
      <c r="U432" s="232">
        <v>0</v>
      </c>
      <c r="V432" s="231" t="s">
        <v>239</v>
      </c>
      <c r="W432" s="232">
        <v>0</v>
      </c>
      <c r="X432" s="231" t="s">
        <v>239</v>
      </c>
      <c r="Y432" s="232">
        <v>0</v>
      </c>
      <c r="Z432" s="231" t="s">
        <v>239</v>
      </c>
      <c r="AA432" s="232">
        <v>0</v>
      </c>
      <c r="AB432" s="231" t="s">
        <v>239</v>
      </c>
      <c r="AC432" s="232">
        <v>0</v>
      </c>
      <c r="AD432" s="231" t="s">
        <v>239</v>
      </c>
      <c r="AE432" s="232">
        <v>0</v>
      </c>
      <c r="AF432" s="231" t="s">
        <v>239</v>
      </c>
      <c r="AG432" s="232">
        <v>0</v>
      </c>
      <c r="AH432" s="231" t="s">
        <v>239</v>
      </c>
      <c r="AI432" s="232">
        <v>0</v>
      </c>
      <c r="AJ432" s="231" t="s">
        <v>239</v>
      </c>
      <c r="AK432" s="232">
        <v>0</v>
      </c>
      <c r="AL432" s="232" t="s">
        <v>239</v>
      </c>
      <c r="AM432" s="232">
        <v>0</v>
      </c>
    </row>
    <row r="433" spans="1:39" ht="15" customHeight="1" outlineLevel="1">
      <c r="A433" s="411">
        <v>212</v>
      </c>
      <c r="B433" s="10">
        <v>129212</v>
      </c>
      <c r="C433" s="218" t="s">
        <v>1489</v>
      </c>
      <c r="D433" s="218" t="s">
        <v>1490</v>
      </c>
      <c r="E433" s="23" t="s">
        <v>138</v>
      </c>
      <c r="F433" s="17" t="s">
        <v>45</v>
      </c>
      <c r="G433" s="11" t="s">
        <v>1432</v>
      </c>
      <c r="H433" s="12">
        <v>19</v>
      </c>
      <c r="I433" s="11" t="s">
        <v>1433</v>
      </c>
      <c r="J433" s="374" t="s">
        <v>207</v>
      </c>
      <c r="K433" s="17" t="s">
        <v>233</v>
      </c>
      <c r="L433" s="17" t="s">
        <v>233</v>
      </c>
      <c r="M433" s="231">
        <v>1.5</v>
      </c>
      <c r="N433" s="231">
        <v>1.5</v>
      </c>
      <c r="O433" s="231">
        <v>1.5</v>
      </c>
      <c r="P433" s="231" t="s">
        <v>239</v>
      </c>
      <c r="Q433" s="231">
        <v>1.5</v>
      </c>
      <c r="R433" s="231" t="s">
        <v>239</v>
      </c>
      <c r="S433" s="231">
        <v>1.5</v>
      </c>
      <c r="T433" s="231" t="s">
        <v>239</v>
      </c>
      <c r="U433" s="231">
        <v>1.5</v>
      </c>
      <c r="V433" s="230" t="s">
        <v>239</v>
      </c>
      <c r="W433" s="231">
        <v>1.5</v>
      </c>
      <c r="X433" s="231" t="s">
        <v>239</v>
      </c>
      <c r="Y433" s="231">
        <v>1.5</v>
      </c>
      <c r="Z433" s="231" t="s">
        <v>239</v>
      </c>
      <c r="AA433" s="231">
        <v>1.5</v>
      </c>
      <c r="AB433" s="231" t="s">
        <v>239</v>
      </c>
      <c r="AC433" s="231">
        <v>1.5</v>
      </c>
      <c r="AD433" s="231" t="s">
        <v>239</v>
      </c>
      <c r="AE433" s="231">
        <v>1.5</v>
      </c>
      <c r="AF433" s="231" t="s">
        <v>239</v>
      </c>
      <c r="AG433" s="231">
        <v>1.5</v>
      </c>
      <c r="AH433" s="231" t="s">
        <v>239</v>
      </c>
      <c r="AI433" s="231">
        <v>1.5</v>
      </c>
      <c r="AJ433" s="231" t="s">
        <v>239</v>
      </c>
      <c r="AK433" s="231">
        <v>1.5</v>
      </c>
      <c r="AL433" s="232" t="s">
        <v>239</v>
      </c>
      <c r="AM433" s="232">
        <v>0</v>
      </c>
    </row>
    <row r="434" spans="1:39" ht="15" customHeight="1" outlineLevel="1">
      <c r="A434" s="412"/>
      <c r="B434" s="10">
        <v>129212</v>
      </c>
      <c r="C434" s="218" t="s">
        <v>1489</v>
      </c>
      <c r="D434" s="218" t="s">
        <v>1490</v>
      </c>
      <c r="E434" s="23" t="s">
        <v>44</v>
      </c>
      <c r="F434" s="17" t="s">
        <v>45</v>
      </c>
      <c r="G434" s="11" t="s">
        <v>1432</v>
      </c>
      <c r="H434" s="12">
        <v>30</v>
      </c>
      <c r="I434" s="11" t="s">
        <v>1433</v>
      </c>
      <c r="J434" s="375"/>
      <c r="K434" s="17" t="s">
        <v>233</v>
      </c>
      <c r="L434" s="17" t="s">
        <v>233</v>
      </c>
      <c r="M434" s="231">
        <v>6030</v>
      </c>
      <c r="N434" s="232">
        <v>5956.7957999999999</v>
      </c>
      <c r="O434" s="132">
        <v>63</v>
      </c>
      <c r="P434" s="231" t="s">
        <v>239</v>
      </c>
      <c r="Q434" s="232">
        <v>62.223840000000003</v>
      </c>
      <c r="R434" s="231" t="s">
        <v>239</v>
      </c>
      <c r="S434" s="232">
        <v>61.457242291200004</v>
      </c>
      <c r="T434" s="231" t="s">
        <v>239</v>
      </c>
      <c r="U434" s="232">
        <v>60.700089066172417</v>
      </c>
      <c r="V434" s="231" t="s">
        <v>239</v>
      </c>
      <c r="W434" s="232">
        <v>59.952263968877176</v>
      </c>
      <c r="X434" s="231" t="s">
        <v>239</v>
      </c>
      <c r="Y434" s="232">
        <v>59.213652076780612</v>
      </c>
      <c r="Z434" s="231" t="s">
        <v>239</v>
      </c>
      <c r="AA434" s="232">
        <v>58.484139883194672</v>
      </c>
      <c r="AB434" s="231" t="s">
        <v>239</v>
      </c>
      <c r="AC434" s="232">
        <v>57.763615279833715</v>
      </c>
      <c r="AD434" s="231" t="s">
        <v>239</v>
      </c>
      <c r="AE434" s="232">
        <v>57.051967539586165</v>
      </c>
      <c r="AF434" s="231" t="s">
        <v>239</v>
      </c>
      <c r="AG434" s="232">
        <v>56.349087299498464</v>
      </c>
      <c r="AH434" s="231" t="s">
        <v>239</v>
      </c>
      <c r="AI434" s="232">
        <v>55.654866543968645</v>
      </c>
      <c r="AJ434" s="231" t="s">
        <v>239</v>
      </c>
      <c r="AK434" s="232">
        <v>54.969198588146952</v>
      </c>
      <c r="AL434" s="232" t="s">
        <v>239</v>
      </c>
      <c r="AM434" s="232">
        <v>706.81996253725879</v>
      </c>
    </row>
    <row r="435" spans="1:39" ht="15" customHeight="1" outlineLevel="1">
      <c r="A435" s="411">
        <v>213</v>
      </c>
      <c r="B435" s="10">
        <v>129213</v>
      </c>
      <c r="C435" s="218" t="s">
        <v>1489</v>
      </c>
      <c r="D435" s="218" t="s">
        <v>1490</v>
      </c>
      <c r="E435" s="23" t="s">
        <v>138</v>
      </c>
      <c r="F435" s="17" t="s">
        <v>45</v>
      </c>
      <c r="G435" s="11" t="s">
        <v>1432</v>
      </c>
      <c r="H435" s="12">
        <v>33</v>
      </c>
      <c r="I435" s="11" t="s">
        <v>1433</v>
      </c>
      <c r="J435" s="193" t="s">
        <v>1460</v>
      </c>
      <c r="K435" s="17" t="s">
        <v>233</v>
      </c>
      <c r="L435" s="17" t="s">
        <v>233</v>
      </c>
      <c r="M435" s="231">
        <v>10</v>
      </c>
      <c r="N435" s="231">
        <v>10</v>
      </c>
      <c r="O435" s="231">
        <v>10</v>
      </c>
      <c r="P435" s="231" t="s">
        <v>239</v>
      </c>
      <c r="Q435" s="231">
        <v>10</v>
      </c>
      <c r="R435" s="231" t="s">
        <v>239</v>
      </c>
      <c r="S435" s="231">
        <v>10</v>
      </c>
      <c r="T435" s="231" t="s">
        <v>239</v>
      </c>
      <c r="U435" s="231">
        <v>10</v>
      </c>
      <c r="V435" s="231" t="s">
        <v>239</v>
      </c>
      <c r="W435" s="231">
        <v>10</v>
      </c>
      <c r="X435" s="231" t="s">
        <v>239</v>
      </c>
      <c r="Y435" s="231">
        <v>10</v>
      </c>
      <c r="Z435" s="231" t="s">
        <v>239</v>
      </c>
      <c r="AA435" s="231">
        <v>10</v>
      </c>
      <c r="AB435" s="231" t="s">
        <v>239</v>
      </c>
      <c r="AC435" s="231">
        <v>10</v>
      </c>
      <c r="AD435" s="231" t="s">
        <v>239</v>
      </c>
      <c r="AE435" s="231">
        <v>10</v>
      </c>
      <c r="AF435" s="231" t="s">
        <v>239</v>
      </c>
      <c r="AG435" s="231">
        <v>10</v>
      </c>
      <c r="AH435" s="231" t="s">
        <v>239</v>
      </c>
      <c r="AI435" s="231">
        <v>10</v>
      </c>
      <c r="AJ435" s="231" t="s">
        <v>239</v>
      </c>
      <c r="AK435" s="231">
        <v>10</v>
      </c>
      <c r="AL435" s="232" t="s">
        <v>239</v>
      </c>
      <c r="AM435" s="232">
        <v>0</v>
      </c>
    </row>
    <row r="436" spans="1:39" ht="15" customHeight="1" outlineLevel="1">
      <c r="A436" s="412"/>
      <c r="B436" s="10">
        <v>129213</v>
      </c>
      <c r="C436" s="218" t="s">
        <v>1489</v>
      </c>
      <c r="D436" s="218" t="s">
        <v>1490</v>
      </c>
      <c r="E436" s="23" t="s">
        <v>44</v>
      </c>
      <c r="F436" s="17" t="s">
        <v>45</v>
      </c>
      <c r="G436" s="11" t="s">
        <v>1432</v>
      </c>
      <c r="H436" s="12">
        <v>19</v>
      </c>
      <c r="I436" s="11" t="s">
        <v>1433</v>
      </c>
      <c r="J436" s="193" t="s">
        <v>1442</v>
      </c>
      <c r="K436" s="17" t="s">
        <v>233</v>
      </c>
      <c r="L436" s="17" t="s">
        <v>233</v>
      </c>
      <c r="M436" s="231">
        <v>4815</v>
      </c>
      <c r="N436" s="232">
        <v>4756.5459000000001</v>
      </c>
      <c r="O436" s="132">
        <v>378</v>
      </c>
      <c r="P436" s="231" t="s">
        <v>239</v>
      </c>
      <c r="Q436" s="232">
        <v>373.34303999999997</v>
      </c>
      <c r="R436" s="231" t="s">
        <v>239</v>
      </c>
      <c r="S436" s="232">
        <v>368.74345374719996</v>
      </c>
      <c r="T436" s="231" t="s">
        <v>239</v>
      </c>
      <c r="U436" s="232">
        <v>364.20053439703446</v>
      </c>
      <c r="V436" s="230" t="s">
        <v>239</v>
      </c>
      <c r="W436" s="232">
        <v>359.71358381326297</v>
      </c>
      <c r="X436" s="231" t="s">
        <v>239</v>
      </c>
      <c r="Y436" s="232">
        <v>355.2819124606836</v>
      </c>
      <c r="Z436" s="231" t="s">
        <v>239</v>
      </c>
      <c r="AA436" s="232">
        <v>350.90483929916797</v>
      </c>
      <c r="AB436" s="231" t="s">
        <v>239</v>
      </c>
      <c r="AC436" s="232">
        <v>346.58169167900223</v>
      </c>
      <c r="AD436" s="231" t="s">
        <v>239</v>
      </c>
      <c r="AE436" s="232">
        <v>342.31180523751692</v>
      </c>
      <c r="AF436" s="231" t="s">
        <v>239</v>
      </c>
      <c r="AG436" s="232">
        <v>338.0945237969907</v>
      </c>
      <c r="AH436" s="231" t="s">
        <v>239</v>
      </c>
      <c r="AI436" s="232">
        <v>333.92919926381177</v>
      </c>
      <c r="AJ436" s="231" t="s">
        <v>239</v>
      </c>
      <c r="AK436" s="232">
        <v>329.8151915288816</v>
      </c>
      <c r="AL436" s="232" t="s">
        <v>239</v>
      </c>
      <c r="AM436" s="232">
        <v>4240.9197752235523</v>
      </c>
    </row>
    <row r="437" spans="1:39" ht="15" customHeight="1" outlineLevel="1">
      <c r="A437" s="411">
        <v>214</v>
      </c>
      <c r="B437" s="10">
        <v>129214</v>
      </c>
      <c r="C437" s="218" t="s">
        <v>1489</v>
      </c>
      <c r="D437" s="218" t="s">
        <v>1490</v>
      </c>
      <c r="E437" s="23" t="s">
        <v>138</v>
      </c>
      <c r="F437" s="17" t="s">
        <v>45</v>
      </c>
      <c r="G437" s="11" t="s">
        <v>1432</v>
      </c>
      <c r="H437" s="12">
        <v>6</v>
      </c>
      <c r="I437" s="11" t="s">
        <v>1433</v>
      </c>
      <c r="J437" s="193" t="s">
        <v>1460</v>
      </c>
      <c r="K437" s="17" t="s">
        <v>233</v>
      </c>
      <c r="L437" s="17" t="s">
        <v>233</v>
      </c>
      <c r="M437" s="231">
        <v>1</v>
      </c>
      <c r="N437" s="231">
        <v>1</v>
      </c>
      <c r="O437" s="231">
        <v>1</v>
      </c>
      <c r="P437" s="231" t="s">
        <v>239</v>
      </c>
      <c r="Q437" s="231">
        <v>1</v>
      </c>
      <c r="R437" s="231" t="s">
        <v>239</v>
      </c>
      <c r="S437" s="231">
        <v>1</v>
      </c>
      <c r="T437" s="231" t="s">
        <v>239</v>
      </c>
      <c r="U437" s="231">
        <v>1</v>
      </c>
      <c r="V437" s="231" t="s">
        <v>239</v>
      </c>
      <c r="W437" s="231">
        <v>1</v>
      </c>
      <c r="X437" s="231" t="s">
        <v>239</v>
      </c>
      <c r="Y437" s="231">
        <v>1</v>
      </c>
      <c r="Z437" s="231" t="s">
        <v>239</v>
      </c>
      <c r="AA437" s="231">
        <v>1</v>
      </c>
      <c r="AB437" s="231" t="s">
        <v>239</v>
      </c>
      <c r="AC437" s="231">
        <v>1</v>
      </c>
      <c r="AD437" s="231" t="s">
        <v>239</v>
      </c>
      <c r="AE437" s="231">
        <v>1</v>
      </c>
      <c r="AF437" s="231" t="s">
        <v>239</v>
      </c>
      <c r="AG437" s="231">
        <v>1</v>
      </c>
      <c r="AH437" s="231" t="s">
        <v>239</v>
      </c>
      <c r="AI437" s="231">
        <v>1</v>
      </c>
      <c r="AJ437" s="231" t="s">
        <v>239</v>
      </c>
      <c r="AK437" s="231">
        <v>1</v>
      </c>
      <c r="AL437" s="232" t="s">
        <v>239</v>
      </c>
      <c r="AM437" s="232">
        <v>0</v>
      </c>
    </row>
    <row r="438" spans="1:39" ht="15" customHeight="1" outlineLevel="1">
      <c r="A438" s="412"/>
      <c r="B438" s="10">
        <v>129214</v>
      </c>
      <c r="C438" s="218" t="s">
        <v>1489</v>
      </c>
      <c r="D438" s="218" t="s">
        <v>1490</v>
      </c>
      <c r="E438" s="23" t="s">
        <v>44</v>
      </c>
      <c r="F438" s="17" t="s">
        <v>45</v>
      </c>
      <c r="G438" s="11" t="s">
        <v>1432</v>
      </c>
      <c r="H438" s="12">
        <v>15</v>
      </c>
      <c r="I438" s="11" t="s">
        <v>1433</v>
      </c>
      <c r="J438" s="193" t="s">
        <v>1457</v>
      </c>
      <c r="K438" s="17" t="s">
        <v>233</v>
      </c>
      <c r="L438" s="17" t="s">
        <v>233</v>
      </c>
      <c r="M438" s="231">
        <v>2352</v>
      </c>
      <c r="N438" s="232">
        <v>2323.4467199999999</v>
      </c>
      <c r="O438" s="132">
        <v>264</v>
      </c>
      <c r="P438" s="231" t="s">
        <v>239</v>
      </c>
      <c r="Q438" s="232">
        <v>260.74752000000001</v>
      </c>
      <c r="R438" s="231" t="s">
        <v>239</v>
      </c>
      <c r="S438" s="232">
        <v>257.53511055360002</v>
      </c>
      <c r="T438" s="231" t="s">
        <v>239</v>
      </c>
      <c r="U438" s="232">
        <v>254.36227799157967</v>
      </c>
      <c r="V438" s="231" t="s">
        <v>239</v>
      </c>
      <c r="W438" s="232">
        <v>251.22853472672341</v>
      </c>
      <c r="X438" s="231" t="s">
        <v>239</v>
      </c>
      <c r="Y438" s="232">
        <v>248.13339917889019</v>
      </c>
      <c r="Z438" s="231" t="s">
        <v>239</v>
      </c>
      <c r="AA438" s="232">
        <v>245.07639570100625</v>
      </c>
      <c r="AB438" s="231" t="s">
        <v>239</v>
      </c>
      <c r="AC438" s="232">
        <v>242.05705450596986</v>
      </c>
      <c r="AD438" s="231" t="s">
        <v>239</v>
      </c>
      <c r="AE438" s="232">
        <v>239.07491159445632</v>
      </c>
      <c r="AF438" s="231" t="s">
        <v>239</v>
      </c>
      <c r="AG438" s="232">
        <v>236.12950868361261</v>
      </c>
      <c r="AH438" s="231" t="s">
        <v>239</v>
      </c>
      <c r="AI438" s="232">
        <v>233.22039313663052</v>
      </c>
      <c r="AJ438" s="231" t="s">
        <v>239</v>
      </c>
      <c r="AK438" s="232">
        <v>230.34711789318723</v>
      </c>
      <c r="AL438" s="232" t="s">
        <v>239</v>
      </c>
      <c r="AM438" s="232">
        <v>2961.9122239656563</v>
      </c>
    </row>
    <row r="439" spans="1:39" ht="15" customHeight="1" outlineLevel="1">
      <c r="A439" s="411">
        <v>215</v>
      </c>
      <c r="B439" s="10">
        <v>129215</v>
      </c>
      <c r="C439" s="218" t="s">
        <v>1489</v>
      </c>
      <c r="D439" s="218" t="s">
        <v>1490</v>
      </c>
      <c r="E439" s="23" t="s">
        <v>44</v>
      </c>
      <c r="F439" s="17" t="s">
        <v>45</v>
      </c>
      <c r="G439" s="11" t="s">
        <v>1432</v>
      </c>
      <c r="H439" s="12">
        <v>19</v>
      </c>
      <c r="I439" s="11" t="s">
        <v>1433</v>
      </c>
      <c r="J439" s="193" t="s">
        <v>617</v>
      </c>
      <c r="K439" s="17" t="s">
        <v>233</v>
      </c>
      <c r="L439" s="17" t="s">
        <v>233</v>
      </c>
      <c r="M439" s="231">
        <v>1</v>
      </c>
      <c r="N439" s="231">
        <v>1</v>
      </c>
      <c r="O439" s="231">
        <v>1</v>
      </c>
      <c r="P439" s="231" t="s">
        <v>239</v>
      </c>
      <c r="Q439" s="231">
        <v>1</v>
      </c>
      <c r="R439" s="231" t="s">
        <v>239</v>
      </c>
      <c r="S439" s="231">
        <v>1</v>
      </c>
      <c r="T439" s="231" t="s">
        <v>239</v>
      </c>
      <c r="U439" s="231">
        <v>1</v>
      </c>
      <c r="V439" s="230" t="s">
        <v>239</v>
      </c>
      <c r="W439" s="231">
        <v>1</v>
      </c>
      <c r="X439" s="231" t="s">
        <v>239</v>
      </c>
      <c r="Y439" s="231">
        <v>1</v>
      </c>
      <c r="Z439" s="231" t="s">
        <v>239</v>
      </c>
      <c r="AA439" s="231">
        <v>1</v>
      </c>
      <c r="AB439" s="231" t="s">
        <v>239</v>
      </c>
      <c r="AC439" s="231">
        <v>1</v>
      </c>
      <c r="AD439" s="231" t="s">
        <v>239</v>
      </c>
      <c r="AE439" s="231">
        <v>1</v>
      </c>
      <c r="AF439" s="231" t="s">
        <v>239</v>
      </c>
      <c r="AG439" s="231">
        <v>1</v>
      </c>
      <c r="AH439" s="231" t="s">
        <v>239</v>
      </c>
      <c r="AI439" s="231">
        <v>1</v>
      </c>
      <c r="AJ439" s="231" t="s">
        <v>239</v>
      </c>
      <c r="AK439" s="231">
        <v>1</v>
      </c>
      <c r="AL439" s="232" t="s">
        <v>239</v>
      </c>
      <c r="AM439" s="232">
        <v>0</v>
      </c>
    </row>
    <row r="440" spans="1:39" ht="15" customHeight="1" outlineLevel="1">
      <c r="A440" s="412"/>
      <c r="B440" s="10">
        <v>129215</v>
      </c>
      <c r="C440" s="218" t="s">
        <v>1489</v>
      </c>
      <c r="D440" s="218" t="s">
        <v>1490</v>
      </c>
      <c r="E440" s="23" t="s">
        <v>138</v>
      </c>
      <c r="F440" s="17" t="s">
        <v>45</v>
      </c>
      <c r="G440" s="11" t="s">
        <v>1432</v>
      </c>
      <c r="H440" s="12">
        <v>22</v>
      </c>
      <c r="I440" s="11" t="s">
        <v>1433</v>
      </c>
      <c r="J440" s="193" t="s">
        <v>216</v>
      </c>
      <c r="K440" s="17" t="s">
        <v>233</v>
      </c>
      <c r="L440" s="17" t="s">
        <v>233</v>
      </c>
      <c r="M440" s="231">
        <v>0</v>
      </c>
      <c r="N440" s="232">
        <v>0</v>
      </c>
      <c r="O440" s="132"/>
      <c r="P440" s="231" t="s">
        <v>239</v>
      </c>
      <c r="Q440" s="232">
        <v>0</v>
      </c>
      <c r="R440" s="231" t="s">
        <v>239</v>
      </c>
      <c r="S440" s="232">
        <v>0</v>
      </c>
      <c r="T440" s="231" t="s">
        <v>239</v>
      </c>
      <c r="U440" s="232">
        <v>0</v>
      </c>
      <c r="V440" s="231" t="s">
        <v>239</v>
      </c>
      <c r="W440" s="232">
        <v>0</v>
      </c>
      <c r="X440" s="231" t="s">
        <v>239</v>
      </c>
      <c r="Y440" s="232">
        <v>0</v>
      </c>
      <c r="Z440" s="231" t="s">
        <v>239</v>
      </c>
      <c r="AA440" s="232">
        <v>0</v>
      </c>
      <c r="AB440" s="231" t="s">
        <v>239</v>
      </c>
      <c r="AC440" s="232">
        <v>0</v>
      </c>
      <c r="AD440" s="231" t="s">
        <v>239</v>
      </c>
      <c r="AE440" s="232">
        <v>0</v>
      </c>
      <c r="AF440" s="231" t="s">
        <v>239</v>
      </c>
      <c r="AG440" s="232">
        <v>0</v>
      </c>
      <c r="AH440" s="231" t="s">
        <v>239</v>
      </c>
      <c r="AI440" s="232">
        <v>0</v>
      </c>
      <c r="AJ440" s="231" t="s">
        <v>239</v>
      </c>
      <c r="AK440" s="232">
        <v>0</v>
      </c>
      <c r="AL440" s="232" t="s">
        <v>239</v>
      </c>
      <c r="AM440" s="232">
        <v>0</v>
      </c>
    </row>
    <row r="441" spans="1:39" ht="15" customHeight="1" outlineLevel="1">
      <c r="A441" s="411">
        <v>216</v>
      </c>
      <c r="B441" s="10">
        <v>129216</v>
      </c>
      <c r="C441" s="218" t="s">
        <v>1489</v>
      </c>
      <c r="D441" s="218" t="s">
        <v>1490</v>
      </c>
      <c r="E441" s="23" t="s">
        <v>44</v>
      </c>
      <c r="F441" s="17" t="s">
        <v>45</v>
      </c>
      <c r="G441" s="11" t="s">
        <v>1432</v>
      </c>
      <c r="H441" s="12">
        <v>24</v>
      </c>
      <c r="I441" s="11" t="s">
        <v>1433</v>
      </c>
      <c r="J441" s="192" t="s">
        <v>1446</v>
      </c>
      <c r="K441" s="17" t="s">
        <v>233</v>
      </c>
      <c r="L441" s="17" t="s">
        <v>233</v>
      </c>
      <c r="M441" s="231">
        <v>1</v>
      </c>
      <c r="N441" s="231">
        <v>1</v>
      </c>
      <c r="O441" s="231">
        <v>1</v>
      </c>
      <c r="P441" s="231" t="s">
        <v>239</v>
      </c>
      <c r="Q441" s="231">
        <v>1</v>
      </c>
      <c r="R441" s="231" t="s">
        <v>239</v>
      </c>
      <c r="S441" s="231">
        <v>1</v>
      </c>
      <c r="T441" s="231" t="s">
        <v>239</v>
      </c>
      <c r="U441" s="231">
        <v>1</v>
      </c>
      <c r="V441" s="231" t="s">
        <v>239</v>
      </c>
      <c r="W441" s="231">
        <v>1</v>
      </c>
      <c r="X441" s="231" t="s">
        <v>239</v>
      </c>
      <c r="Y441" s="231">
        <v>1</v>
      </c>
      <c r="Z441" s="231" t="s">
        <v>239</v>
      </c>
      <c r="AA441" s="231">
        <v>1</v>
      </c>
      <c r="AB441" s="231" t="s">
        <v>239</v>
      </c>
      <c r="AC441" s="231">
        <v>1</v>
      </c>
      <c r="AD441" s="231" t="s">
        <v>239</v>
      </c>
      <c r="AE441" s="231">
        <v>1</v>
      </c>
      <c r="AF441" s="231" t="s">
        <v>239</v>
      </c>
      <c r="AG441" s="231">
        <v>1</v>
      </c>
      <c r="AH441" s="231" t="s">
        <v>239</v>
      </c>
      <c r="AI441" s="231">
        <v>1</v>
      </c>
      <c r="AJ441" s="231" t="s">
        <v>239</v>
      </c>
      <c r="AK441" s="231">
        <v>1</v>
      </c>
      <c r="AL441" s="232" t="s">
        <v>239</v>
      </c>
      <c r="AM441" s="232">
        <v>0</v>
      </c>
    </row>
    <row r="442" spans="1:39" ht="15" customHeight="1" outlineLevel="1">
      <c r="A442" s="412"/>
      <c r="B442" s="10">
        <v>129216</v>
      </c>
      <c r="C442" s="218" t="s">
        <v>1489</v>
      </c>
      <c r="D442" s="218" t="s">
        <v>1490</v>
      </c>
      <c r="E442" s="23" t="s">
        <v>138</v>
      </c>
      <c r="F442" s="17" t="s">
        <v>45</v>
      </c>
      <c r="G442" s="11" t="s">
        <v>1432</v>
      </c>
      <c r="H442" s="12">
        <v>16</v>
      </c>
      <c r="I442" s="11" t="s">
        <v>1433</v>
      </c>
      <c r="J442" s="192" t="s">
        <v>1481</v>
      </c>
      <c r="K442" s="17" t="s">
        <v>233</v>
      </c>
      <c r="L442" s="17" t="s">
        <v>233</v>
      </c>
      <c r="M442" s="231">
        <v>2012</v>
      </c>
      <c r="N442" s="232">
        <v>1987.5743199999999</v>
      </c>
      <c r="O442" s="132">
        <v>463</v>
      </c>
      <c r="P442" s="231" t="s">
        <v>239</v>
      </c>
      <c r="Q442" s="232">
        <v>457.29584</v>
      </c>
      <c r="R442" s="231" t="s">
        <v>239</v>
      </c>
      <c r="S442" s="232">
        <v>451.66195525120003</v>
      </c>
      <c r="T442" s="231" t="s">
        <v>239</v>
      </c>
      <c r="U442" s="232">
        <v>446.09747996250525</v>
      </c>
      <c r="V442" s="230" t="s">
        <v>239</v>
      </c>
      <c r="W442" s="232">
        <v>440.60155900936718</v>
      </c>
      <c r="X442" s="231" t="s">
        <v>239</v>
      </c>
      <c r="Y442" s="232">
        <v>435.17334780237178</v>
      </c>
      <c r="Z442" s="231" t="s">
        <v>239</v>
      </c>
      <c r="AA442" s="232">
        <v>429.81201215744659</v>
      </c>
      <c r="AB442" s="231" t="s">
        <v>239</v>
      </c>
      <c r="AC442" s="232">
        <v>424.51672816766683</v>
      </c>
      <c r="AD442" s="231" t="s">
        <v>239</v>
      </c>
      <c r="AE442" s="232">
        <v>419.28668207664117</v>
      </c>
      <c r="AF442" s="231" t="s">
        <v>239</v>
      </c>
      <c r="AG442" s="232">
        <v>414.12107015345697</v>
      </c>
      <c r="AH442" s="231" t="s">
        <v>239</v>
      </c>
      <c r="AI442" s="232">
        <v>409.01909856916637</v>
      </c>
      <c r="AJ442" s="231" t="s">
        <v>239</v>
      </c>
      <c r="AK442" s="232">
        <v>403.97998327479422</v>
      </c>
      <c r="AL442" s="232" t="s">
        <v>239</v>
      </c>
      <c r="AM442" s="232">
        <v>5194.5657564246158</v>
      </c>
    </row>
    <row r="443" spans="1:39" ht="15" customHeight="1" outlineLevel="1">
      <c r="A443" s="411">
        <v>217</v>
      </c>
      <c r="B443" s="10">
        <v>129217</v>
      </c>
      <c r="C443" s="218" t="s">
        <v>1489</v>
      </c>
      <c r="D443" s="218" t="s">
        <v>1490</v>
      </c>
      <c r="E443" s="23" t="s">
        <v>44</v>
      </c>
      <c r="F443" s="17" t="s">
        <v>45</v>
      </c>
      <c r="G443" s="11" t="s">
        <v>1432</v>
      </c>
      <c r="H443" s="12">
        <v>5</v>
      </c>
      <c r="I443" s="11" t="s">
        <v>1433</v>
      </c>
      <c r="J443" s="192" t="s">
        <v>208</v>
      </c>
      <c r="K443" s="17" t="s">
        <v>233</v>
      </c>
      <c r="L443" s="17" t="s">
        <v>233</v>
      </c>
      <c r="M443" s="231">
        <v>121</v>
      </c>
      <c r="N443" s="231">
        <v>121</v>
      </c>
      <c r="O443" s="231">
        <v>121</v>
      </c>
      <c r="P443" s="231" t="s">
        <v>239</v>
      </c>
      <c r="Q443" s="231">
        <v>121</v>
      </c>
      <c r="R443" s="231" t="s">
        <v>239</v>
      </c>
      <c r="S443" s="231">
        <v>121</v>
      </c>
      <c r="T443" s="231" t="s">
        <v>239</v>
      </c>
      <c r="U443" s="231">
        <v>121</v>
      </c>
      <c r="V443" s="231" t="s">
        <v>239</v>
      </c>
      <c r="W443" s="231">
        <v>121</v>
      </c>
      <c r="X443" s="231" t="s">
        <v>239</v>
      </c>
      <c r="Y443" s="231">
        <v>121</v>
      </c>
      <c r="Z443" s="231" t="s">
        <v>239</v>
      </c>
      <c r="AA443" s="231">
        <v>121</v>
      </c>
      <c r="AB443" s="231" t="s">
        <v>239</v>
      </c>
      <c r="AC443" s="231">
        <v>121</v>
      </c>
      <c r="AD443" s="231" t="s">
        <v>239</v>
      </c>
      <c r="AE443" s="231">
        <v>121</v>
      </c>
      <c r="AF443" s="231" t="s">
        <v>239</v>
      </c>
      <c r="AG443" s="231">
        <v>121</v>
      </c>
      <c r="AH443" s="231" t="s">
        <v>239</v>
      </c>
      <c r="AI443" s="231">
        <v>121</v>
      </c>
      <c r="AJ443" s="231" t="s">
        <v>239</v>
      </c>
      <c r="AK443" s="231">
        <v>121</v>
      </c>
      <c r="AL443" s="232" t="s">
        <v>239</v>
      </c>
      <c r="AM443" s="232">
        <v>0</v>
      </c>
    </row>
    <row r="444" spans="1:39" ht="15" customHeight="1" outlineLevel="1">
      <c r="A444" s="412"/>
      <c r="B444" s="10">
        <v>129217</v>
      </c>
      <c r="C444" s="218" t="s">
        <v>1489</v>
      </c>
      <c r="D444" s="218" t="s">
        <v>1490</v>
      </c>
      <c r="E444" s="23" t="s">
        <v>138</v>
      </c>
      <c r="F444" s="17" t="s">
        <v>45</v>
      </c>
      <c r="G444" s="11" t="s">
        <v>1432</v>
      </c>
      <c r="H444" s="12">
        <v>17</v>
      </c>
      <c r="I444" s="11" t="s">
        <v>1433</v>
      </c>
      <c r="J444" s="192" t="s">
        <v>1463</v>
      </c>
      <c r="K444" s="17" t="s">
        <v>233</v>
      </c>
      <c r="L444" s="17" t="s">
        <v>233</v>
      </c>
      <c r="M444" s="231">
        <v>24286</v>
      </c>
      <c r="N444" s="232">
        <v>23991.167959999999</v>
      </c>
      <c r="O444" s="132">
        <v>4623</v>
      </c>
      <c r="P444" s="231" t="s">
        <v>239</v>
      </c>
      <c r="Q444" s="232">
        <v>4566.0446400000001</v>
      </c>
      <c r="R444" s="231" t="s">
        <v>239</v>
      </c>
      <c r="S444" s="232">
        <v>4509.7909700352002</v>
      </c>
      <c r="T444" s="231" t="s">
        <v>239</v>
      </c>
      <c r="U444" s="232">
        <v>4454.2303452843662</v>
      </c>
      <c r="V444" s="231" t="s">
        <v>239</v>
      </c>
      <c r="W444" s="232">
        <v>4399.3542274304627</v>
      </c>
      <c r="X444" s="231" t="s">
        <v>239</v>
      </c>
      <c r="Y444" s="232">
        <v>4345.1541833485198</v>
      </c>
      <c r="Z444" s="231" t="s">
        <v>239</v>
      </c>
      <c r="AA444" s="232">
        <v>4291.6218838096656</v>
      </c>
      <c r="AB444" s="231" t="s">
        <v>239</v>
      </c>
      <c r="AC444" s="232">
        <v>4238.7491022011309</v>
      </c>
      <c r="AD444" s="231" t="s">
        <v>239</v>
      </c>
      <c r="AE444" s="232">
        <v>4186.5277132620131</v>
      </c>
      <c r="AF444" s="231" t="s">
        <v>239</v>
      </c>
      <c r="AG444" s="232">
        <v>4134.9496918346249</v>
      </c>
      <c r="AH444" s="231" t="s">
        <v>239</v>
      </c>
      <c r="AI444" s="232">
        <v>4084.0071116312224</v>
      </c>
      <c r="AJ444" s="231" t="s">
        <v>239</v>
      </c>
      <c r="AK444" s="232">
        <v>4033.6921440159258</v>
      </c>
      <c r="AL444" s="232" t="s">
        <v>239</v>
      </c>
      <c r="AM444" s="232">
        <v>51867.122012853135</v>
      </c>
    </row>
    <row r="445" spans="1:39" ht="15" customHeight="1" outlineLevel="1">
      <c r="A445" s="411">
        <v>218</v>
      </c>
      <c r="B445" s="10">
        <v>129218</v>
      </c>
      <c r="C445" s="218" t="s">
        <v>1489</v>
      </c>
      <c r="D445" s="218" t="s">
        <v>1490</v>
      </c>
      <c r="E445" s="23" t="s">
        <v>44</v>
      </c>
      <c r="F445" s="17" t="s">
        <v>45</v>
      </c>
      <c r="G445" s="11" t="s">
        <v>1432</v>
      </c>
      <c r="H445" s="12">
        <v>19</v>
      </c>
      <c r="I445" s="11" t="s">
        <v>1433</v>
      </c>
      <c r="J445" s="192" t="s">
        <v>1482</v>
      </c>
      <c r="K445" s="17" t="s">
        <v>233</v>
      </c>
      <c r="L445" s="17" t="s">
        <v>233</v>
      </c>
      <c r="M445" s="231">
        <v>121</v>
      </c>
      <c r="N445" s="231">
        <v>121</v>
      </c>
      <c r="O445" s="231">
        <v>121</v>
      </c>
      <c r="P445" s="231" t="s">
        <v>239</v>
      </c>
      <c r="Q445" s="231">
        <v>121</v>
      </c>
      <c r="R445" s="231" t="s">
        <v>239</v>
      </c>
      <c r="S445" s="231">
        <v>121</v>
      </c>
      <c r="T445" s="231" t="s">
        <v>239</v>
      </c>
      <c r="U445" s="231">
        <v>121</v>
      </c>
      <c r="V445" s="230" t="s">
        <v>239</v>
      </c>
      <c r="W445" s="231">
        <v>121</v>
      </c>
      <c r="X445" s="231" t="s">
        <v>239</v>
      </c>
      <c r="Y445" s="231">
        <v>121</v>
      </c>
      <c r="Z445" s="231" t="s">
        <v>239</v>
      </c>
      <c r="AA445" s="231">
        <v>121</v>
      </c>
      <c r="AB445" s="231" t="s">
        <v>239</v>
      </c>
      <c r="AC445" s="231">
        <v>121</v>
      </c>
      <c r="AD445" s="231" t="s">
        <v>239</v>
      </c>
      <c r="AE445" s="231">
        <v>121</v>
      </c>
      <c r="AF445" s="231" t="s">
        <v>239</v>
      </c>
      <c r="AG445" s="231">
        <v>121</v>
      </c>
      <c r="AH445" s="231" t="s">
        <v>239</v>
      </c>
      <c r="AI445" s="231">
        <v>121</v>
      </c>
      <c r="AJ445" s="231" t="s">
        <v>239</v>
      </c>
      <c r="AK445" s="231">
        <v>121</v>
      </c>
      <c r="AL445" s="232" t="s">
        <v>239</v>
      </c>
      <c r="AM445" s="232">
        <v>0</v>
      </c>
    </row>
    <row r="446" spans="1:39" ht="15" customHeight="1" outlineLevel="1">
      <c r="A446" s="412"/>
      <c r="B446" s="10">
        <v>129218</v>
      </c>
      <c r="C446" s="218" t="s">
        <v>1489</v>
      </c>
      <c r="D446" s="218" t="s">
        <v>1490</v>
      </c>
      <c r="E446" s="23" t="s">
        <v>138</v>
      </c>
      <c r="F446" s="17" t="s">
        <v>45</v>
      </c>
      <c r="G446" s="11" t="s">
        <v>1432</v>
      </c>
      <c r="H446" s="12">
        <v>18</v>
      </c>
      <c r="I446" s="11" t="s">
        <v>1433</v>
      </c>
      <c r="J446" s="192" t="s">
        <v>1462</v>
      </c>
      <c r="K446" s="17" t="s">
        <v>233</v>
      </c>
      <c r="L446" s="17" t="s">
        <v>233</v>
      </c>
      <c r="M446" s="231">
        <v>0</v>
      </c>
      <c r="N446" s="232">
        <v>0</v>
      </c>
      <c r="O446" s="132"/>
      <c r="P446" s="231" t="s">
        <v>239</v>
      </c>
      <c r="Q446" s="232">
        <v>0</v>
      </c>
      <c r="R446" s="231" t="s">
        <v>239</v>
      </c>
      <c r="S446" s="232">
        <v>0</v>
      </c>
      <c r="T446" s="231" t="s">
        <v>239</v>
      </c>
      <c r="U446" s="232">
        <v>0</v>
      </c>
      <c r="V446" s="231" t="s">
        <v>239</v>
      </c>
      <c r="W446" s="232">
        <v>0</v>
      </c>
      <c r="X446" s="231" t="s">
        <v>239</v>
      </c>
      <c r="Y446" s="232">
        <v>0</v>
      </c>
      <c r="Z446" s="231" t="s">
        <v>239</v>
      </c>
      <c r="AA446" s="232">
        <v>0</v>
      </c>
      <c r="AB446" s="231" t="s">
        <v>239</v>
      </c>
      <c r="AC446" s="232">
        <v>0</v>
      </c>
      <c r="AD446" s="231" t="s">
        <v>239</v>
      </c>
      <c r="AE446" s="232">
        <v>0</v>
      </c>
      <c r="AF446" s="231" t="s">
        <v>239</v>
      </c>
      <c r="AG446" s="232">
        <v>0</v>
      </c>
      <c r="AH446" s="231" t="s">
        <v>239</v>
      </c>
      <c r="AI446" s="232">
        <v>0</v>
      </c>
      <c r="AJ446" s="231" t="s">
        <v>239</v>
      </c>
      <c r="AK446" s="232">
        <v>0</v>
      </c>
      <c r="AL446" s="232" t="s">
        <v>239</v>
      </c>
      <c r="AM446" s="232">
        <v>0</v>
      </c>
    </row>
    <row r="447" spans="1:39" ht="15" customHeight="1" outlineLevel="1">
      <c r="A447" s="411">
        <v>219</v>
      </c>
      <c r="B447" s="10">
        <v>129219</v>
      </c>
      <c r="C447" s="218" t="s">
        <v>1489</v>
      </c>
      <c r="D447" s="218" t="s">
        <v>1490</v>
      </c>
      <c r="E447" s="23" t="s">
        <v>44</v>
      </c>
      <c r="F447" s="17" t="s">
        <v>45</v>
      </c>
      <c r="G447" s="11" t="s">
        <v>1432</v>
      </c>
      <c r="H447" s="12">
        <v>21</v>
      </c>
      <c r="I447" s="11" t="s">
        <v>1433</v>
      </c>
      <c r="J447" s="192" t="s">
        <v>1457</v>
      </c>
      <c r="K447" s="17" t="s">
        <v>233</v>
      </c>
      <c r="L447" s="17" t="s">
        <v>233</v>
      </c>
      <c r="M447" s="231">
        <v>121</v>
      </c>
      <c r="N447" s="231">
        <v>121</v>
      </c>
      <c r="O447" s="231">
        <v>121</v>
      </c>
      <c r="P447" s="231" t="s">
        <v>239</v>
      </c>
      <c r="Q447" s="231">
        <v>121</v>
      </c>
      <c r="R447" s="231" t="s">
        <v>239</v>
      </c>
      <c r="S447" s="231">
        <v>121</v>
      </c>
      <c r="T447" s="231" t="s">
        <v>239</v>
      </c>
      <c r="U447" s="231">
        <v>121</v>
      </c>
      <c r="V447" s="231" t="s">
        <v>239</v>
      </c>
      <c r="W447" s="231">
        <v>121</v>
      </c>
      <c r="X447" s="231" t="s">
        <v>239</v>
      </c>
      <c r="Y447" s="231">
        <v>121</v>
      </c>
      <c r="Z447" s="231" t="s">
        <v>239</v>
      </c>
      <c r="AA447" s="231">
        <v>121</v>
      </c>
      <c r="AB447" s="231" t="s">
        <v>239</v>
      </c>
      <c r="AC447" s="231">
        <v>121</v>
      </c>
      <c r="AD447" s="231" t="s">
        <v>239</v>
      </c>
      <c r="AE447" s="231">
        <v>121</v>
      </c>
      <c r="AF447" s="231" t="s">
        <v>239</v>
      </c>
      <c r="AG447" s="231">
        <v>121</v>
      </c>
      <c r="AH447" s="231" t="s">
        <v>239</v>
      </c>
      <c r="AI447" s="231">
        <v>121</v>
      </c>
      <c r="AJ447" s="231" t="s">
        <v>239</v>
      </c>
      <c r="AK447" s="231">
        <v>121</v>
      </c>
      <c r="AL447" s="232" t="s">
        <v>239</v>
      </c>
      <c r="AM447" s="232">
        <v>0</v>
      </c>
    </row>
    <row r="448" spans="1:39" ht="15" customHeight="1" outlineLevel="1">
      <c r="A448" s="412"/>
      <c r="B448" s="10">
        <v>129219</v>
      </c>
      <c r="C448" s="218" t="s">
        <v>1489</v>
      </c>
      <c r="D448" s="218" t="s">
        <v>1490</v>
      </c>
      <c r="E448" s="23" t="s">
        <v>44</v>
      </c>
      <c r="F448" s="17" t="s">
        <v>45</v>
      </c>
      <c r="G448" s="11" t="s">
        <v>1432</v>
      </c>
      <c r="H448" s="12">
        <v>19</v>
      </c>
      <c r="I448" s="11" t="s">
        <v>1433</v>
      </c>
      <c r="J448" s="192" t="s">
        <v>617</v>
      </c>
      <c r="K448" s="17" t="s">
        <v>233</v>
      </c>
      <c r="L448" s="17" t="s">
        <v>233</v>
      </c>
      <c r="M448" s="231">
        <v>0</v>
      </c>
      <c r="N448" s="232">
        <v>0</v>
      </c>
      <c r="O448" s="132"/>
      <c r="P448" s="231" t="s">
        <v>239</v>
      </c>
      <c r="Q448" s="232">
        <v>0</v>
      </c>
      <c r="R448" s="231" t="s">
        <v>239</v>
      </c>
      <c r="S448" s="232">
        <v>0</v>
      </c>
      <c r="T448" s="231" t="s">
        <v>239</v>
      </c>
      <c r="U448" s="232">
        <v>0</v>
      </c>
      <c r="V448" s="230" t="s">
        <v>239</v>
      </c>
      <c r="W448" s="232">
        <v>0</v>
      </c>
      <c r="X448" s="231" t="s">
        <v>239</v>
      </c>
      <c r="Y448" s="232">
        <v>0</v>
      </c>
      <c r="Z448" s="231" t="s">
        <v>239</v>
      </c>
      <c r="AA448" s="232">
        <v>0</v>
      </c>
      <c r="AB448" s="231" t="s">
        <v>239</v>
      </c>
      <c r="AC448" s="232">
        <v>0</v>
      </c>
      <c r="AD448" s="231" t="s">
        <v>239</v>
      </c>
      <c r="AE448" s="232">
        <v>0</v>
      </c>
      <c r="AF448" s="231" t="s">
        <v>239</v>
      </c>
      <c r="AG448" s="232">
        <v>0</v>
      </c>
      <c r="AH448" s="231" t="s">
        <v>239</v>
      </c>
      <c r="AI448" s="232">
        <v>0</v>
      </c>
      <c r="AJ448" s="231" t="s">
        <v>239</v>
      </c>
      <c r="AK448" s="232">
        <v>0</v>
      </c>
      <c r="AL448" s="232" t="s">
        <v>239</v>
      </c>
      <c r="AM448" s="232">
        <v>0</v>
      </c>
    </row>
    <row r="449" spans="1:39" ht="15" customHeight="1" outlineLevel="1">
      <c r="A449" s="411">
        <v>220</v>
      </c>
      <c r="B449" s="10">
        <v>129220</v>
      </c>
      <c r="C449" s="218" t="s">
        <v>1489</v>
      </c>
      <c r="D449" s="218" t="s">
        <v>1490</v>
      </c>
      <c r="E449" s="23" t="s">
        <v>138</v>
      </c>
      <c r="F449" s="17" t="s">
        <v>45</v>
      </c>
      <c r="G449" s="11" t="s">
        <v>1432</v>
      </c>
      <c r="H449" s="12">
        <v>30</v>
      </c>
      <c r="I449" s="11" t="s">
        <v>1433</v>
      </c>
      <c r="J449" s="374" t="s">
        <v>1457</v>
      </c>
      <c r="K449" s="17" t="s">
        <v>233</v>
      </c>
      <c r="L449" s="17" t="s">
        <v>233</v>
      </c>
      <c r="M449" s="231">
        <v>121</v>
      </c>
      <c r="N449" s="231">
        <v>121</v>
      </c>
      <c r="O449" s="231">
        <v>121</v>
      </c>
      <c r="P449" s="231" t="s">
        <v>239</v>
      </c>
      <c r="Q449" s="231">
        <v>121</v>
      </c>
      <c r="R449" s="231" t="s">
        <v>239</v>
      </c>
      <c r="S449" s="231">
        <v>121</v>
      </c>
      <c r="T449" s="231" t="s">
        <v>239</v>
      </c>
      <c r="U449" s="231">
        <v>121</v>
      </c>
      <c r="V449" s="231" t="s">
        <v>239</v>
      </c>
      <c r="W449" s="231">
        <v>121</v>
      </c>
      <c r="X449" s="231" t="s">
        <v>239</v>
      </c>
      <c r="Y449" s="231">
        <v>121</v>
      </c>
      <c r="Z449" s="231" t="s">
        <v>239</v>
      </c>
      <c r="AA449" s="231">
        <v>121</v>
      </c>
      <c r="AB449" s="231" t="s">
        <v>239</v>
      </c>
      <c r="AC449" s="231">
        <v>121</v>
      </c>
      <c r="AD449" s="231" t="s">
        <v>239</v>
      </c>
      <c r="AE449" s="231">
        <v>121</v>
      </c>
      <c r="AF449" s="231" t="s">
        <v>239</v>
      </c>
      <c r="AG449" s="231">
        <v>121</v>
      </c>
      <c r="AH449" s="231" t="s">
        <v>239</v>
      </c>
      <c r="AI449" s="231">
        <v>121</v>
      </c>
      <c r="AJ449" s="231" t="s">
        <v>239</v>
      </c>
      <c r="AK449" s="231">
        <v>121</v>
      </c>
      <c r="AL449" s="232" t="s">
        <v>239</v>
      </c>
      <c r="AM449" s="232">
        <v>0</v>
      </c>
    </row>
    <row r="450" spans="1:39" ht="15" customHeight="1" outlineLevel="1">
      <c r="A450" s="412"/>
      <c r="B450" s="10">
        <v>129220</v>
      </c>
      <c r="C450" s="218" t="s">
        <v>1489</v>
      </c>
      <c r="D450" s="218" t="s">
        <v>1490</v>
      </c>
      <c r="E450" s="23" t="s">
        <v>44</v>
      </c>
      <c r="F450" s="17" t="s">
        <v>45</v>
      </c>
      <c r="G450" s="11" t="s">
        <v>1432</v>
      </c>
      <c r="H450" s="12">
        <v>33</v>
      </c>
      <c r="I450" s="11" t="s">
        <v>1433</v>
      </c>
      <c r="J450" s="375"/>
      <c r="K450" s="17" t="s">
        <v>233</v>
      </c>
      <c r="L450" s="17" t="s">
        <v>233</v>
      </c>
      <c r="M450" s="231">
        <v>0</v>
      </c>
      <c r="N450" s="232">
        <v>0</v>
      </c>
      <c r="O450" s="132"/>
      <c r="P450" s="231" t="s">
        <v>239</v>
      </c>
      <c r="Q450" s="232">
        <v>0</v>
      </c>
      <c r="R450" s="231" t="s">
        <v>239</v>
      </c>
      <c r="S450" s="232">
        <v>0</v>
      </c>
      <c r="T450" s="231" t="s">
        <v>239</v>
      </c>
      <c r="U450" s="232">
        <v>0</v>
      </c>
      <c r="V450" s="231" t="s">
        <v>239</v>
      </c>
      <c r="W450" s="232">
        <v>0</v>
      </c>
      <c r="X450" s="231" t="s">
        <v>239</v>
      </c>
      <c r="Y450" s="232">
        <v>0</v>
      </c>
      <c r="Z450" s="231" t="s">
        <v>239</v>
      </c>
      <c r="AA450" s="232">
        <v>0</v>
      </c>
      <c r="AB450" s="231" t="s">
        <v>239</v>
      </c>
      <c r="AC450" s="232">
        <v>0</v>
      </c>
      <c r="AD450" s="231" t="s">
        <v>239</v>
      </c>
      <c r="AE450" s="232">
        <v>0</v>
      </c>
      <c r="AF450" s="231" t="s">
        <v>239</v>
      </c>
      <c r="AG450" s="232">
        <v>0</v>
      </c>
      <c r="AH450" s="231" t="s">
        <v>239</v>
      </c>
      <c r="AI450" s="232">
        <v>0</v>
      </c>
      <c r="AJ450" s="231" t="s">
        <v>239</v>
      </c>
      <c r="AK450" s="232">
        <v>0</v>
      </c>
      <c r="AL450" s="232" t="s">
        <v>239</v>
      </c>
      <c r="AM450" s="232">
        <v>0</v>
      </c>
    </row>
    <row r="451" spans="1:39" ht="15" customHeight="1" outlineLevel="1">
      <c r="A451" s="411">
        <v>221</v>
      </c>
      <c r="B451" s="10">
        <v>129221</v>
      </c>
      <c r="C451" s="218" t="s">
        <v>1489</v>
      </c>
      <c r="D451" s="218" t="s">
        <v>1490</v>
      </c>
      <c r="E451" s="23" t="s">
        <v>138</v>
      </c>
      <c r="F451" s="17" t="s">
        <v>45</v>
      </c>
      <c r="G451" s="11" t="s">
        <v>1432</v>
      </c>
      <c r="H451" s="12">
        <v>19</v>
      </c>
      <c r="I451" s="11" t="s">
        <v>1433</v>
      </c>
      <c r="J451" s="193" t="s">
        <v>1460</v>
      </c>
      <c r="K451" s="17" t="s">
        <v>233</v>
      </c>
      <c r="L451" s="17" t="s">
        <v>233</v>
      </c>
      <c r="M451" s="231">
        <v>121</v>
      </c>
      <c r="N451" s="231">
        <v>121</v>
      </c>
      <c r="O451" s="231">
        <v>121</v>
      </c>
      <c r="P451" s="231" t="s">
        <v>239</v>
      </c>
      <c r="Q451" s="231">
        <v>121</v>
      </c>
      <c r="R451" s="231" t="s">
        <v>239</v>
      </c>
      <c r="S451" s="231">
        <v>121</v>
      </c>
      <c r="T451" s="231" t="s">
        <v>239</v>
      </c>
      <c r="U451" s="231">
        <v>121</v>
      </c>
      <c r="V451" s="230" t="s">
        <v>239</v>
      </c>
      <c r="W451" s="231">
        <v>121</v>
      </c>
      <c r="X451" s="231" t="s">
        <v>239</v>
      </c>
      <c r="Y451" s="231">
        <v>121</v>
      </c>
      <c r="Z451" s="231" t="s">
        <v>239</v>
      </c>
      <c r="AA451" s="231">
        <v>121</v>
      </c>
      <c r="AB451" s="231" t="s">
        <v>239</v>
      </c>
      <c r="AC451" s="231">
        <v>121</v>
      </c>
      <c r="AD451" s="231" t="s">
        <v>239</v>
      </c>
      <c r="AE451" s="231">
        <v>121</v>
      </c>
      <c r="AF451" s="231" t="s">
        <v>239</v>
      </c>
      <c r="AG451" s="231">
        <v>121</v>
      </c>
      <c r="AH451" s="231" t="s">
        <v>239</v>
      </c>
      <c r="AI451" s="231">
        <v>121</v>
      </c>
      <c r="AJ451" s="231" t="s">
        <v>239</v>
      </c>
      <c r="AK451" s="231">
        <v>121</v>
      </c>
      <c r="AL451" s="232" t="s">
        <v>239</v>
      </c>
      <c r="AM451" s="232">
        <v>0</v>
      </c>
    </row>
    <row r="452" spans="1:39" ht="15" customHeight="1" outlineLevel="1">
      <c r="A452" s="412"/>
      <c r="B452" s="10">
        <v>129221</v>
      </c>
      <c r="C452" s="218" t="s">
        <v>1489</v>
      </c>
      <c r="D452" s="218" t="s">
        <v>1490</v>
      </c>
      <c r="E452" s="23" t="s">
        <v>44</v>
      </c>
      <c r="F452" s="17" t="s">
        <v>45</v>
      </c>
      <c r="G452" s="11" t="s">
        <v>1432</v>
      </c>
      <c r="H452" s="12">
        <v>6</v>
      </c>
      <c r="I452" s="11" t="s">
        <v>1433</v>
      </c>
      <c r="J452" s="193" t="s">
        <v>1442</v>
      </c>
      <c r="K452" s="17" t="s">
        <v>233</v>
      </c>
      <c r="L452" s="17" t="s">
        <v>233</v>
      </c>
      <c r="M452" s="231">
        <v>0</v>
      </c>
      <c r="N452" s="232">
        <v>0</v>
      </c>
      <c r="O452" s="132"/>
      <c r="P452" s="231" t="s">
        <v>239</v>
      </c>
      <c r="Q452" s="232">
        <v>0</v>
      </c>
      <c r="R452" s="231" t="s">
        <v>239</v>
      </c>
      <c r="S452" s="232">
        <v>0</v>
      </c>
      <c r="T452" s="231" t="s">
        <v>239</v>
      </c>
      <c r="U452" s="232">
        <v>0</v>
      </c>
      <c r="V452" s="231" t="s">
        <v>239</v>
      </c>
      <c r="W452" s="232">
        <v>0</v>
      </c>
      <c r="X452" s="231" t="s">
        <v>239</v>
      </c>
      <c r="Y452" s="232">
        <v>0</v>
      </c>
      <c r="Z452" s="231" t="s">
        <v>239</v>
      </c>
      <c r="AA452" s="232">
        <v>0</v>
      </c>
      <c r="AB452" s="231" t="s">
        <v>239</v>
      </c>
      <c r="AC452" s="232">
        <v>0</v>
      </c>
      <c r="AD452" s="231" t="s">
        <v>239</v>
      </c>
      <c r="AE452" s="232">
        <v>0</v>
      </c>
      <c r="AF452" s="231" t="s">
        <v>239</v>
      </c>
      <c r="AG452" s="232">
        <v>0</v>
      </c>
      <c r="AH452" s="231" t="s">
        <v>239</v>
      </c>
      <c r="AI452" s="232">
        <v>0</v>
      </c>
      <c r="AJ452" s="231" t="s">
        <v>239</v>
      </c>
      <c r="AK452" s="232">
        <v>0</v>
      </c>
      <c r="AL452" s="232" t="s">
        <v>239</v>
      </c>
      <c r="AM452" s="232">
        <v>0</v>
      </c>
    </row>
    <row r="453" spans="1:39" ht="15" customHeight="1" outlineLevel="1">
      <c r="A453" s="411">
        <v>222</v>
      </c>
      <c r="B453" s="10">
        <v>129222</v>
      </c>
      <c r="C453" s="218" t="s">
        <v>1489</v>
      </c>
      <c r="D453" s="218" t="s">
        <v>1490</v>
      </c>
      <c r="E453" s="23" t="s">
        <v>44</v>
      </c>
      <c r="F453" s="17" t="s">
        <v>45</v>
      </c>
      <c r="G453" s="11" t="s">
        <v>1432</v>
      </c>
      <c r="H453" s="12">
        <v>15</v>
      </c>
      <c r="I453" s="11" t="s">
        <v>1433</v>
      </c>
      <c r="J453" s="191" t="s">
        <v>216</v>
      </c>
      <c r="K453" s="17" t="s">
        <v>233</v>
      </c>
      <c r="L453" s="17" t="s">
        <v>233</v>
      </c>
      <c r="M453" s="231">
        <v>1</v>
      </c>
      <c r="N453" s="231">
        <v>1</v>
      </c>
      <c r="O453" s="231">
        <v>1</v>
      </c>
      <c r="P453" s="231" t="s">
        <v>239</v>
      </c>
      <c r="Q453" s="231">
        <v>1</v>
      </c>
      <c r="R453" s="231" t="s">
        <v>239</v>
      </c>
      <c r="S453" s="231">
        <v>1</v>
      </c>
      <c r="T453" s="231" t="s">
        <v>239</v>
      </c>
      <c r="U453" s="231">
        <v>1</v>
      </c>
      <c r="V453" s="231" t="s">
        <v>239</v>
      </c>
      <c r="W453" s="231">
        <v>1</v>
      </c>
      <c r="X453" s="231" t="s">
        <v>239</v>
      </c>
      <c r="Y453" s="231">
        <v>1</v>
      </c>
      <c r="Z453" s="231" t="s">
        <v>239</v>
      </c>
      <c r="AA453" s="231">
        <v>1</v>
      </c>
      <c r="AB453" s="231" t="s">
        <v>239</v>
      </c>
      <c r="AC453" s="231">
        <v>1</v>
      </c>
      <c r="AD453" s="231" t="s">
        <v>239</v>
      </c>
      <c r="AE453" s="231">
        <v>1</v>
      </c>
      <c r="AF453" s="231" t="s">
        <v>239</v>
      </c>
      <c r="AG453" s="231">
        <v>1</v>
      </c>
      <c r="AH453" s="231" t="s">
        <v>239</v>
      </c>
      <c r="AI453" s="231">
        <v>1</v>
      </c>
      <c r="AJ453" s="231" t="s">
        <v>239</v>
      </c>
      <c r="AK453" s="231">
        <v>1</v>
      </c>
      <c r="AL453" s="232" t="s">
        <v>239</v>
      </c>
      <c r="AM453" s="232">
        <v>0</v>
      </c>
    </row>
    <row r="454" spans="1:39" ht="15" customHeight="1" outlineLevel="1">
      <c r="A454" s="412"/>
      <c r="B454" s="10">
        <v>129222</v>
      </c>
      <c r="C454" s="218" t="s">
        <v>1489</v>
      </c>
      <c r="D454" s="218" t="s">
        <v>1490</v>
      </c>
      <c r="E454" s="23" t="s">
        <v>138</v>
      </c>
      <c r="F454" s="17" t="s">
        <v>45</v>
      </c>
      <c r="G454" s="11" t="s">
        <v>1432</v>
      </c>
      <c r="H454" s="12">
        <v>19</v>
      </c>
      <c r="I454" s="11" t="s">
        <v>1433</v>
      </c>
      <c r="J454" s="192" t="s">
        <v>1434</v>
      </c>
      <c r="K454" s="17" t="s">
        <v>233</v>
      </c>
      <c r="L454" s="17" t="s">
        <v>233</v>
      </c>
      <c r="M454" s="231">
        <v>1130</v>
      </c>
      <c r="N454" s="232">
        <v>1116.2818</v>
      </c>
      <c r="O454" s="132">
        <v>209</v>
      </c>
      <c r="P454" s="231" t="s">
        <v>239</v>
      </c>
      <c r="Q454" s="232">
        <v>206.42511999999999</v>
      </c>
      <c r="R454" s="231" t="s">
        <v>239</v>
      </c>
      <c r="S454" s="232">
        <v>203.8819625216</v>
      </c>
      <c r="T454" s="231" t="s">
        <v>239</v>
      </c>
      <c r="U454" s="232">
        <v>201.37013674333389</v>
      </c>
      <c r="V454" s="230" t="s">
        <v>239</v>
      </c>
      <c r="W454" s="232">
        <v>198.88925665865602</v>
      </c>
      <c r="X454" s="231" t="s">
        <v>239</v>
      </c>
      <c r="Y454" s="232">
        <v>196.43894101662138</v>
      </c>
      <c r="Z454" s="231" t="s">
        <v>239</v>
      </c>
      <c r="AA454" s="232">
        <v>194.01881326329661</v>
      </c>
      <c r="AB454" s="231" t="s">
        <v>239</v>
      </c>
      <c r="AC454" s="232">
        <v>191.62850148389279</v>
      </c>
      <c r="AD454" s="231" t="s">
        <v>239</v>
      </c>
      <c r="AE454" s="232">
        <v>189.26763834561123</v>
      </c>
      <c r="AF454" s="231" t="s">
        <v>239</v>
      </c>
      <c r="AG454" s="232">
        <v>186.93586104119331</v>
      </c>
      <c r="AH454" s="231" t="s">
        <v>239</v>
      </c>
      <c r="AI454" s="232">
        <v>184.6328112331658</v>
      </c>
      <c r="AJ454" s="231" t="s">
        <v>239</v>
      </c>
      <c r="AK454" s="232">
        <v>182.35813499877318</v>
      </c>
      <c r="AL454" s="232" t="s">
        <v>239</v>
      </c>
      <c r="AM454" s="232">
        <v>2344.8471773061437</v>
      </c>
    </row>
    <row r="455" spans="1:39" ht="15" customHeight="1" outlineLevel="1">
      <c r="A455" s="411">
        <v>223</v>
      </c>
      <c r="B455" s="10">
        <v>129223</v>
      </c>
      <c r="C455" s="218" t="s">
        <v>1489</v>
      </c>
      <c r="D455" s="218" t="s">
        <v>1490</v>
      </c>
      <c r="E455" s="23" t="s">
        <v>44</v>
      </c>
      <c r="F455" s="17" t="s">
        <v>45</v>
      </c>
      <c r="G455" s="11" t="s">
        <v>1432</v>
      </c>
      <c r="H455" s="12">
        <v>22</v>
      </c>
      <c r="I455" s="11" t="s">
        <v>1433</v>
      </c>
      <c r="J455" s="192" t="s">
        <v>1480</v>
      </c>
      <c r="K455" s="17" t="s">
        <v>233</v>
      </c>
      <c r="L455" s="17" t="s">
        <v>233</v>
      </c>
      <c r="M455" s="231">
        <v>13</v>
      </c>
      <c r="N455" s="231">
        <v>13</v>
      </c>
      <c r="O455" s="231">
        <v>13</v>
      </c>
      <c r="P455" s="231" t="s">
        <v>239</v>
      </c>
      <c r="Q455" s="231">
        <v>13</v>
      </c>
      <c r="R455" s="231" t="s">
        <v>239</v>
      </c>
      <c r="S455" s="231">
        <v>13</v>
      </c>
      <c r="T455" s="231" t="s">
        <v>239</v>
      </c>
      <c r="U455" s="231">
        <v>13</v>
      </c>
      <c r="V455" s="231" t="s">
        <v>239</v>
      </c>
      <c r="W455" s="231">
        <v>13</v>
      </c>
      <c r="X455" s="231" t="s">
        <v>239</v>
      </c>
      <c r="Y455" s="231">
        <v>13</v>
      </c>
      <c r="Z455" s="231" t="s">
        <v>239</v>
      </c>
      <c r="AA455" s="231">
        <v>13</v>
      </c>
      <c r="AB455" s="231" t="s">
        <v>239</v>
      </c>
      <c r="AC455" s="231">
        <v>13</v>
      </c>
      <c r="AD455" s="231" t="s">
        <v>239</v>
      </c>
      <c r="AE455" s="231">
        <v>13</v>
      </c>
      <c r="AF455" s="231" t="s">
        <v>239</v>
      </c>
      <c r="AG455" s="231">
        <v>13</v>
      </c>
      <c r="AH455" s="231" t="s">
        <v>239</v>
      </c>
      <c r="AI455" s="231">
        <v>13</v>
      </c>
      <c r="AJ455" s="231" t="s">
        <v>239</v>
      </c>
      <c r="AK455" s="231">
        <v>13</v>
      </c>
      <c r="AL455" s="232" t="s">
        <v>239</v>
      </c>
      <c r="AM455" s="232">
        <v>0</v>
      </c>
    </row>
    <row r="456" spans="1:39" ht="15" customHeight="1" outlineLevel="1">
      <c r="A456" s="412"/>
      <c r="B456" s="10">
        <v>129223</v>
      </c>
      <c r="C456" s="218" t="s">
        <v>1489</v>
      </c>
      <c r="D456" s="218" t="s">
        <v>1490</v>
      </c>
      <c r="E456" s="23" t="s">
        <v>138</v>
      </c>
      <c r="F456" s="17" t="s">
        <v>45</v>
      </c>
      <c r="G456" s="11" t="s">
        <v>1432</v>
      </c>
      <c r="H456" s="12">
        <v>21</v>
      </c>
      <c r="I456" s="11" t="s">
        <v>1433</v>
      </c>
      <c r="J456" s="192" t="s">
        <v>1452</v>
      </c>
      <c r="K456" s="17" t="s">
        <v>233</v>
      </c>
      <c r="L456" s="17" t="s">
        <v>233</v>
      </c>
      <c r="M456" s="231">
        <v>12807</v>
      </c>
      <c r="N456" s="232">
        <v>12651.523019999999</v>
      </c>
      <c r="O456" s="132">
        <v>501</v>
      </c>
      <c r="P456" s="231" t="s">
        <v>239</v>
      </c>
      <c r="Q456" s="232">
        <v>494.82767999999999</v>
      </c>
      <c r="R456" s="231" t="s">
        <v>239</v>
      </c>
      <c r="S456" s="232">
        <v>488.73140298239997</v>
      </c>
      <c r="T456" s="231" t="s">
        <v>239</v>
      </c>
      <c r="U456" s="232">
        <v>482.71023209765679</v>
      </c>
      <c r="V456" s="231" t="s">
        <v>239</v>
      </c>
      <c r="W456" s="232">
        <v>476.76324203821366</v>
      </c>
      <c r="X456" s="231" t="s">
        <v>239</v>
      </c>
      <c r="Y456" s="232">
        <v>470.88951889630289</v>
      </c>
      <c r="Z456" s="231" t="s">
        <v>239</v>
      </c>
      <c r="AA456" s="232">
        <v>465.08816002350045</v>
      </c>
      <c r="AB456" s="231" t="s">
        <v>239</v>
      </c>
      <c r="AC456" s="232">
        <v>459.35827389201091</v>
      </c>
      <c r="AD456" s="231" t="s">
        <v>239</v>
      </c>
      <c r="AE456" s="232">
        <v>453.69897995766132</v>
      </c>
      <c r="AF456" s="231" t="s">
        <v>239</v>
      </c>
      <c r="AG456" s="232">
        <v>448.10940852458293</v>
      </c>
      <c r="AH456" s="231" t="s">
        <v>239</v>
      </c>
      <c r="AI456" s="232">
        <v>442.58870061156006</v>
      </c>
      <c r="AJ456" s="231" t="s">
        <v>239</v>
      </c>
      <c r="AK456" s="232">
        <v>437.13600782002561</v>
      </c>
      <c r="AL456" s="232" t="s">
        <v>239</v>
      </c>
      <c r="AM456" s="232">
        <v>5620.901606843915</v>
      </c>
    </row>
    <row r="457" spans="1:39" ht="15" customHeight="1" outlineLevel="1">
      <c r="A457" s="411">
        <v>224</v>
      </c>
      <c r="B457" s="10">
        <v>129224</v>
      </c>
      <c r="C457" s="218" t="s">
        <v>1489</v>
      </c>
      <c r="D457" s="218" t="s">
        <v>1490</v>
      </c>
      <c r="E457" s="23" t="s">
        <v>44</v>
      </c>
      <c r="F457" s="17" t="s">
        <v>45</v>
      </c>
      <c r="G457" s="11" t="s">
        <v>1432</v>
      </c>
      <c r="H457" s="12">
        <v>19</v>
      </c>
      <c r="I457" s="11" t="s">
        <v>1433</v>
      </c>
      <c r="J457" s="374" t="s">
        <v>207</v>
      </c>
      <c r="K457" s="17" t="s">
        <v>233</v>
      </c>
      <c r="L457" s="17" t="s">
        <v>233</v>
      </c>
      <c r="M457" s="231">
        <v>35</v>
      </c>
      <c r="N457" s="231">
        <v>35</v>
      </c>
      <c r="O457" s="231">
        <v>35</v>
      </c>
      <c r="P457" s="231" t="s">
        <v>239</v>
      </c>
      <c r="Q457" s="231">
        <v>35</v>
      </c>
      <c r="R457" s="231" t="s">
        <v>239</v>
      </c>
      <c r="S457" s="231">
        <v>35</v>
      </c>
      <c r="T457" s="231" t="s">
        <v>239</v>
      </c>
      <c r="U457" s="231">
        <v>35</v>
      </c>
      <c r="V457" s="230" t="s">
        <v>239</v>
      </c>
      <c r="W457" s="231">
        <v>35</v>
      </c>
      <c r="X457" s="231" t="s">
        <v>239</v>
      </c>
      <c r="Y457" s="231">
        <v>35</v>
      </c>
      <c r="Z457" s="231" t="s">
        <v>239</v>
      </c>
      <c r="AA457" s="231">
        <v>35</v>
      </c>
      <c r="AB457" s="231" t="s">
        <v>239</v>
      </c>
      <c r="AC457" s="231">
        <v>35</v>
      </c>
      <c r="AD457" s="231" t="s">
        <v>239</v>
      </c>
      <c r="AE457" s="231">
        <v>35</v>
      </c>
      <c r="AF457" s="231" t="s">
        <v>239</v>
      </c>
      <c r="AG457" s="231">
        <v>35</v>
      </c>
      <c r="AH457" s="231" t="s">
        <v>239</v>
      </c>
      <c r="AI457" s="231">
        <v>35</v>
      </c>
      <c r="AJ457" s="231" t="s">
        <v>239</v>
      </c>
      <c r="AK457" s="231">
        <v>35</v>
      </c>
      <c r="AL457" s="232" t="s">
        <v>239</v>
      </c>
      <c r="AM457" s="232">
        <v>0</v>
      </c>
    </row>
    <row r="458" spans="1:39" ht="15" customHeight="1" outlineLevel="1">
      <c r="A458" s="412"/>
      <c r="B458" s="10">
        <v>129224</v>
      </c>
      <c r="C458" s="218" t="s">
        <v>1489</v>
      </c>
      <c r="D458" s="218" t="s">
        <v>1490</v>
      </c>
      <c r="E458" s="23" t="s">
        <v>44</v>
      </c>
      <c r="F458" s="17" t="s">
        <v>45</v>
      </c>
      <c r="G458" s="11" t="s">
        <v>1432</v>
      </c>
      <c r="H458" s="12">
        <v>30</v>
      </c>
      <c r="I458" s="11" t="s">
        <v>1433</v>
      </c>
      <c r="J458" s="375"/>
      <c r="K458" s="17" t="s">
        <v>233</v>
      </c>
      <c r="L458" s="17" t="s">
        <v>233</v>
      </c>
      <c r="M458" s="231">
        <v>20202</v>
      </c>
      <c r="N458" s="232">
        <v>19956.747719999999</v>
      </c>
      <c r="O458" s="132">
        <v>959</v>
      </c>
      <c r="P458" s="231" t="s">
        <v>239</v>
      </c>
      <c r="Q458" s="232">
        <v>947.18511999999998</v>
      </c>
      <c r="R458" s="231" t="s">
        <v>239</v>
      </c>
      <c r="S458" s="232">
        <v>935.51579932159996</v>
      </c>
      <c r="T458" s="231" t="s">
        <v>239</v>
      </c>
      <c r="U458" s="232">
        <v>923.99024467395782</v>
      </c>
      <c r="V458" s="231" t="s">
        <v>239</v>
      </c>
      <c r="W458" s="232">
        <v>912.60668485957467</v>
      </c>
      <c r="X458" s="231" t="s">
        <v>239</v>
      </c>
      <c r="Y458" s="232">
        <v>901.36337050210466</v>
      </c>
      <c r="Z458" s="231" t="s">
        <v>239</v>
      </c>
      <c r="AA458" s="232">
        <v>890.25857377751868</v>
      </c>
      <c r="AB458" s="231" t="s">
        <v>239</v>
      </c>
      <c r="AC458" s="232">
        <v>879.29058814857967</v>
      </c>
      <c r="AD458" s="231" t="s">
        <v>239</v>
      </c>
      <c r="AE458" s="232">
        <v>868.45772810258916</v>
      </c>
      <c r="AF458" s="231" t="s">
        <v>239</v>
      </c>
      <c r="AG458" s="232">
        <v>857.75832889236528</v>
      </c>
      <c r="AH458" s="231" t="s">
        <v>239</v>
      </c>
      <c r="AI458" s="232">
        <v>847.1907462804113</v>
      </c>
      <c r="AJ458" s="231" t="s">
        <v>239</v>
      </c>
      <c r="AK458" s="232">
        <v>836.75335628623668</v>
      </c>
      <c r="AL458" s="232" t="s">
        <v>239</v>
      </c>
      <c r="AM458" s="232">
        <v>10759.370540844939</v>
      </c>
    </row>
    <row r="459" spans="1:39" ht="15" customHeight="1" outlineLevel="1">
      <c r="A459" s="411">
        <v>225</v>
      </c>
      <c r="B459" s="10">
        <v>129225</v>
      </c>
      <c r="C459" s="218" t="s">
        <v>1489</v>
      </c>
      <c r="D459" s="218" t="s">
        <v>1490</v>
      </c>
      <c r="E459" s="23" t="s">
        <v>138</v>
      </c>
      <c r="F459" s="17" t="s">
        <v>45</v>
      </c>
      <c r="G459" s="11" t="s">
        <v>1432</v>
      </c>
      <c r="H459" s="12">
        <v>33</v>
      </c>
      <c r="I459" s="11" t="s">
        <v>1433</v>
      </c>
      <c r="J459" s="193" t="s">
        <v>1460</v>
      </c>
      <c r="K459" s="17" t="s">
        <v>233</v>
      </c>
      <c r="L459" s="17" t="s">
        <v>233</v>
      </c>
      <c r="M459" s="231">
        <v>35</v>
      </c>
      <c r="N459" s="231">
        <v>35</v>
      </c>
      <c r="O459" s="231">
        <v>35</v>
      </c>
      <c r="P459" s="231" t="s">
        <v>239</v>
      </c>
      <c r="Q459" s="231">
        <v>35</v>
      </c>
      <c r="R459" s="231" t="s">
        <v>239</v>
      </c>
      <c r="S459" s="231">
        <v>35</v>
      </c>
      <c r="T459" s="231" t="s">
        <v>239</v>
      </c>
      <c r="U459" s="231">
        <v>35</v>
      </c>
      <c r="V459" s="231" t="s">
        <v>239</v>
      </c>
      <c r="W459" s="231">
        <v>35</v>
      </c>
      <c r="X459" s="231" t="s">
        <v>239</v>
      </c>
      <c r="Y459" s="231">
        <v>35</v>
      </c>
      <c r="Z459" s="231" t="s">
        <v>239</v>
      </c>
      <c r="AA459" s="231">
        <v>35</v>
      </c>
      <c r="AB459" s="231" t="s">
        <v>239</v>
      </c>
      <c r="AC459" s="231">
        <v>35</v>
      </c>
      <c r="AD459" s="231" t="s">
        <v>239</v>
      </c>
      <c r="AE459" s="231">
        <v>35</v>
      </c>
      <c r="AF459" s="231" t="s">
        <v>239</v>
      </c>
      <c r="AG459" s="231">
        <v>35</v>
      </c>
      <c r="AH459" s="231" t="s">
        <v>239</v>
      </c>
      <c r="AI459" s="231">
        <v>35</v>
      </c>
      <c r="AJ459" s="231" t="s">
        <v>239</v>
      </c>
      <c r="AK459" s="231">
        <v>35</v>
      </c>
      <c r="AL459" s="232" t="s">
        <v>239</v>
      </c>
      <c r="AM459" s="232">
        <v>0</v>
      </c>
    </row>
    <row r="460" spans="1:39" ht="15" customHeight="1" outlineLevel="1">
      <c r="A460" s="412"/>
      <c r="B460" s="10">
        <v>129225</v>
      </c>
      <c r="C460" s="218" t="s">
        <v>1489</v>
      </c>
      <c r="D460" s="218" t="s">
        <v>1490</v>
      </c>
      <c r="E460" s="23" t="s">
        <v>44</v>
      </c>
      <c r="F460" s="17" t="s">
        <v>45</v>
      </c>
      <c r="G460" s="11" t="s">
        <v>1432</v>
      </c>
      <c r="H460" s="12">
        <v>19</v>
      </c>
      <c r="I460" s="11" t="s">
        <v>1433</v>
      </c>
      <c r="J460" s="193" t="s">
        <v>1442</v>
      </c>
      <c r="K460" s="17" t="s">
        <v>233</v>
      </c>
      <c r="L460" s="17" t="s">
        <v>233</v>
      </c>
      <c r="M460" s="231">
        <v>0</v>
      </c>
      <c r="N460" s="232">
        <v>0</v>
      </c>
      <c r="O460" s="132"/>
      <c r="P460" s="231" t="s">
        <v>239</v>
      </c>
      <c r="Q460" s="232">
        <v>0</v>
      </c>
      <c r="R460" s="231" t="s">
        <v>239</v>
      </c>
      <c r="S460" s="232">
        <v>0</v>
      </c>
      <c r="T460" s="231" t="s">
        <v>239</v>
      </c>
      <c r="U460" s="232">
        <v>0</v>
      </c>
      <c r="V460" s="230" t="s">
        <v>239</v>
      </c>
      <c r="W460" s="232">
        <v>0</v>
      </c>
      <c r="X460" s="231" t="s">
        <v>239</v>
      </c>
      <c r="Y460" s="232">
        <v>0</v>
      </c>
      <c r="Z460" s="231" t="s">
        <v>239</v>
      </c>
      <c r="AA460" s="232">
        <v>0</v>
      </c>
      <c r="AB460" s="231" t="s">
        <v>239</v>
      </c>
      <c r="AC460" s="232">
        <v>0</v>
      </c>
      <c r="AD460" s="231" t="s">
        <v>239</v>
      </c>
      <c r="AE460" s="232">
        <v>0</v>
      </c>
      <c r="AF460" s="231" t="s">
        <v>239</v>
      </c>
      <c r="AG460" s="232">
        <v>0</v>
      </c>
      <c r="AH460" s="231" t="s">
        <v>239</v>
      </c>
      <c r="AI460" s="232">
        <v>0</v>
      </c>
      <c r="AJ460" s="231" t="s">
        <v>239</v>
      </c>
      <c r="AK460" s="232">
        <v>0</v>
      </c>
      <c r="AL460" s="232" t="s">
        <v>239</v>
      </c>
      <c r="AM460" s="232">
        <v>0</v>
      </c>
    </row>
    <row r="461" spans="1:39" ht="15" customHeight="1" outlineLevel="1">
      <c r="A461" s="411">
        <v>226</v>
      </c>
      <c r="B461" s="10">
        <v>129226</v>
      </c>
      <c r="C461" s="218" t="s">
        <v>1489</v>
      </c>
      <c r="D461" s="218" t="s">
        <v>1490</v>
      </c>
      <c r="E461" s="23" t="s">
        <v>138</v>
      </c>
      <c r="F461" s="17" t="s">
        <v>45</v>
      </c>
      <c r="G461" s="11" t="s">
        <v>1432</v>
      </c>
      <c r="H461" s="12">
        <v>6</v>
      </c>
      <c r="I461" s="11" t="s">
        <v>1433</v>
      </c>
      <c r="J461" s="193" t="s">
        <v>1460</v>
      </c>
      <c r="K461" s="17" t="s">
        <v>233</v>
      </c>
      <c r="L461" s="17" t="s">
        <v>233</v>
      </c>
      <c r="M461" s="231">
        <v>35</v>
      </c>
      <c r="N461" s="231">
        <v>35</v>
      </c>
      <c r="O461" s="231">
        <v>35</v>
      </c>
      <c r="P461" s="231" t="s">
        <v>239</v>
      </c>
      <c r="Q461" s="231">
        <v>35</v>
      </c>
      <c r="R461" s="231" t="s">
        <v>239</v>
      </c>
      <c r="S461" s="231">
        <v>35</v>
      </c>
      <c r="T461" s="231" t="s">
        <v>239</v>
      </c>
      <c r="U461" s="231">
        <v>35</v>
      </c>
      <c r="V461" s="231" t="s">
        <v>239</v>
      </c>
      <c r="W461" s="231">
        <v>35</v>
      </c>
      <c r="X461" s="231" t="s">
        <v>239</v>
      </c>
      <c r="Y461" s="231">
        <v>35</v>
      </c>
      <c r="Z461" s="231" t="s">
        <v>239</v>
      </c>
      <c r="AA461" s="231">
        <v>35</v>
      </c>
      <c r="AB461" s="231" t="s">
        <v>239</v>
      </c>
      <c r="AC461" s="231">
        <v>35</v>
      </c>
      <c r="AD461" s="231" t="s">
        <v>239</v>
      </c>
      <c r="AE461" s="231">
        <v>35</v>
      </c>
      <c r="AF461" s="231" t="s">
        <v>239</v>
      </c>
      <c r="AG461" s="231">
        <v>35</v>
      </c>
      <c r="AH461" s="231" t="s">
        <v>239</v>
      </c>
      <c r="AI461" s="231">
        <v>35</v>
      </c>
      <c r="AJ461" s="231" t="s">
        <v>239</v>
      </c>
      <c r="AK461" s="231">
        <v>35</v>
      </c>
      <c r="AL461" s="232" t="s">
        <v>239</v>
      </c>
      <c r="AM461" s="232">
        <v>0</v>
      </c>
    </row>
    <row r="462" spans="1:39" ht="15" customHeight="1" outlineLevel="1">
      <c r="A462" s="412"/>
      <c r="B462" s="10">
        <v>129226</v>
      </c>
      <c r="C462" s="218" t="s">
        <v>1489</v>
      </c>
      <c r="D462" s="218" t="s">
        <v>1490</v>
      </c>
      <c r="E462" s="23" t="s">
        <v>44</v>
      </c>
      <c r="F462" s="17" t="s">
        <v>45</v>
      </c>
      <c r="G462" s="11" t="s">
        <v>1432</v>
      </c>
      <c r="H462" s="12">
        <v>15</v>
      </c>
      <c r="I462" s="11" t="s">
        <v>1433</v>
      </c>
      <c r="J462" s="193" t="s">
        <v>1457</v>
      </c>
      <c r="K462" s="17" t="s">
        <v>233</v>
      </c>
      <c r="L462" s="17" t="s">
        <v>233</v>
      </c>
      <c r="M462" s="231">
        <v>0</v>
      </c>
      <c r="N462" s="232">
        <v>0</v>
      </c>
      <c r="O462" s="132"/>
      <c r="P462" s="231" t="s">
        <v>239</v>
      </c>
      <c r="Q462" s="232">
        <v>0</v>
      </c>
      <c r="R462" s="231" t="s">
        <v>239</v>
      </c>
      <c r="S462" s="232">
        <v>0</v>
      </c>
      <c r="T462" s="231" t="s">
        <v>239</v>
      </c>
      <c r="U462" s="232">
        <v>0</v>
      </c>
      <c r="V462" s="231" t="s">
        <v>239</v>
      </c>
      <c r="W462" s="232">
        <v>0</v>
      </c>
      <c r="X462" s="231" t="s">
        <v>239</v>
      </c>
      <c r="Y462" s="232">
        <v>0</v>
      </c>
      <c r="Z462" s="231" t="s">
        <v>239</v>
      </c>
      <c r="AA462" s="232">
        <v>0</v>
      </c>
      <c r="AB462" s="231" t="s">
        <v>239</v>
      </c>
      <c r="AC462" s="232">
        <v>0</v>
      </c>
      <c r="AD462" s="231" t="s">
        <v>239</v>
      </c>
      <c r="AE462" s="232">
        <v>0</v>
      </c>
      <c r="AF462" s="231" t="s">
        <v>239</v>
      </c>
      <c r="AG462" s="232">
        <v>0</v>
      </c>
      <c r="AH462" s="231" t="s">
        <v>239</v>
      </c>
      <c r="AI462" s="232">
        <v>0</v>
      </c>
      <c r="AJ462" s="231" t="s">
        <v>239</v>
      </c>
      <c r="AK462" s="232">
        <v>0</v>
      </c>
      <c r="AL462" s="232" t="s">
        <v>239</v>
      </c>
      <c r="AM462" s="232">
        <v>0</v>
      </c>
    </row>
    <row r="463" spans="1:39" ht="15" customHeight="1" outlineLevel="1">
      <c r="A463" s="411">
        <v>227</v>
      </c>
      <c r="B463" s="10">
        <v>129227</v>
      </c>
      <c r="C463" s="218" t="s">
        <v>1489</v>
      </c>
      <c r="D463" s="218" t="s">
        <v>1490</v>
      </c>
      <c r="E463" s="23" t="s">
        <v>44</v>
      </c>
      <c r="F463" s="17" t="s">
        <v>45</v>
      </c>
      <c r="G463" s="11" t="s">
        <v>1432</v>
      </c>
      <c r="H463" s="12">
        <v>19</v>
      </c>
      <c r="I463" s="11" t="s">
        <v>1433</v>
      </c>
      <c r="J463" s="193" t="s">
        <v>617</v>
      </c>
      <c r="K463" s="17" t="s">
        <v>233</v>
      </c>
      <c r="L463" s="17" t="s">
        <v>233</v>
      </c>
      <c r="M463" s="231">
        <v>3</v>
      </c>
      <c r="N463" s="231">
        <v>3</v>
      </c>
      <c r="O463" s="231">
        <v>3</v>
      </c>
      <c r="P463" s="231" t="s">
        <v>239</v>
      </c>
      <c r="Q463" s="231">
        <v>3</v>
      </c>
      <c r="R463" s="231" t="s">
        <v>239</v>
      </c>
      <c r="S463" s="231">
        <v>3</v>
      </c>
      <c r="T463" s="231" t="s">
        <v>239</v>
      </c>
      <c r="U463" s="231">
        <v>3</v>
      </c>
      <c r="V463" s="230" t="s">
        <v>239</v>
      </c>
      <c r="W463" s="231">
        <v>3</v>
      </c>
      <c r="X463" s="231" t="s">
        <v>239</v>
      </c>
      <c r="Y463" s="231">
        <v>3</v>
      </c>
      <c r="Z463" s="231" t="s">
        <v>239</v>
      </c>
      <c r="AA463" s="231">
        <v>3</v>
      </c>
      <c r="AB463" s="231" t="s">
        <v>239</v>
      </c>
      <c r="AC463" s="231">
        <v>3</v>
      </c>
      <c r="AD463" s="231" t="s">
        <v>239</v>
      </c>
      <c r="AE463" s="231">
        <v>3</v>
      </c>
      <c r="AF463" s="231" t="s">
        <v>239</v>
      </c>
      <c r="AG463" s="231">
        <v>3</v>
      </c>
      <c r="AH463" s="231" t="s">
        <v>239</v>
      </c>
      <c r="AI463" s="231">
        <v>3</v>
      </c>
      <c r="AJ463" s="231" t="s">
        <v>239</v>
      </c>
      <c r="AK463" s="231">
        <v>3</v>
      </c>
      <c r="AL463" s="232" t="s">
        <v>239</v>
      </c>
      <c r="AM463" s="232">
        <v>0</v>
      </c>
    </row>
    <row r="464" spans="1:39" ht="15" customHeight="1" outlineLevel="1">
      <c r="A464" s="412"/>
      <c r="B464" s="10">
        <v>129227</v>
      </c>
      <c r="C464" s="218" t="s">
        <v>1489</v>
      </c>
      <c r="D464" s="218" t="s">
        <v>1490</v>
      </c>
      <c r="E464" s="23" t="s">
        <v>138</v>
      </c>
      <c r="F464" s="17" t="s">
        <v>45</v>
      </c>
      <c r="G464" s="11" t="s">
        <v>1432</v>
      </c>
      <c r="H464" s="12">
        <v>22</v>
      </c>
      <c r="I464" s="11" t="s">
        <v>1433</v>
      </c>
      <c r="J464" s="193" t="s">
        <v>216</v>
      </c>
      <c r="K464" s="17" t="s">
        <v>233</v>
      </c>
      <c r="L464" s="17" t="s">
        <v>233</v>
      </c>
      <c r="M464" s="231">
        <v>6706</v>
      </c>
      <c r="N464" s="232">
        <v>6624.5891599999995</v>
      </c>
      <c r="O464" s="132">
        <v>427</v>
      </c>
      <c r="P464" s="231" t="s">
        <v>239</v>
      </c>
      <c r="Q464" s="232">
        <v>421.73935999999998</v>
      </c>
      <c r="R464" s="231" t="s">
        <v>239</v>
      </c>
      <c r="S464" s="232">
        <v>416.54353108479995</v>
      </c>
      <c r="T464" s="231" t="s">
        <v>239</v>
      </c>
      <c r="U464" s="232">
        <v>411.4117147818352</v>
      </c>
      <c r="V464" s="231" t="s">
        <v>239</v>
      </c>
      <c r="W464" s="232">
        <v>406.34312245572301</v>
      </c>
      <c r="X464" s="231" t="s">
        <v>239</v>
      </c>
      <c r="Y464" s="232">
        <v>401.3369751870685</v>
      </c>
      <c r="Z464" s="231" t="s">
        <v>239</v>
      </c>
      <c r="AA464" s="232">
        <v>396.39250365276382</v>
      </c>
      <c r="AB464" s="231" t="s">
        <v>239</v>
      </c>
      <c r="AC464" s="232">
        <v>391.50894800776177</v>
      </c>
      <c r="AD464" s="231" t="s">
        <v>239</v>
      </c>
      <c r="AE464" s="232">
        <v>386.68555776830613</v>
      </c>
      <c r="AF464" s="231" t="s">
        <v>239</v>
      </c>
      <c r="AG464" s="232">
        <v>381.92159169660061</v>
      </c>
      <c r="AH464" s="231" t="s">
        <v>239</v>
      </c>
      <c r="AI464" s="232">
        <v>377.21631768689849</v>
      </c>
      <c r="AJ464" s="231" t="s">
        <v>239</v>
      </c>
      <c r="AK464" s="232">
        <v>372.56901265299592</v>
      </c>
      <c r="AL464" s="232" t="s">
        <v>239</v>
      </c>
      <c r="AM464" s="232">
        <v>4790.6686349747533</v>
      </c>
    </row>
    <row r="465" spans="1:39" ht="15" customHeight="1" outlineLevel="1">
      <c r="A465" s="411">
        <v>228</v>
      </c>
      <c r="B465" s="10">
        <v>129228</v>
      </c>
      <c r="C465" s="218" t="s">
        <v>1489</v>
      </c>
      <c r="D465" s="218" t="s">
        <v>1490</v>
      </c>
      <c r="E465" s="23" t="s">
        <v>44</v>
      </c>
      <c r="F465" s="17" t="s">
        <v>45</v>
      </c>
      <c r="G465" s="11" t="s">
        <v>1432</v>
      </c>
      <c r="H465" s="12">
        <v>24</v>
      </c>
      <c r="I465" s="11" t="s">
        <v>1433</v>
      </c>
      <c r="J465" s="192" t="s">
        <v>1446</v>
      </c>
      <c r="K465" s="17" t="s">
        <v>233</v>
      </c>
      <c r="L465" s="17" t="s">
        <v>233</v>
      </c>
      <c r="M465" s="231">
        <v>12.1</v>
      </c>
      <c r="N465" s="231">
        <v>12.1</v>
      </c>
      <c r="O465" s="231">
        <v>12.1</v>
      </c>
      <c r="P465" s="231" t="s">
        <v>239</v>
      </c>
      <c r="Q465" s="231">
        <v>12.1</v>
      </c>
      <c r="R465" s="231" t="s">
        <v>239</v>
      </c>
      <c r="S465" s="231">
        <v>12.1</v>
      </c>
      <c r="T465" s="231" t="s">
        <v>239</v>
      </c>
      <c r="U465" s="231">
        <v>12.1</v>
      </c>
      <c r="V465" s="231" t="s">
        <v>239</v>
      </c>
      <c r="W465" s="231">
        <v>12.1</v>
      </c>
      <c r="X465" s="231" t="s">
        <v>239</v>
      </c>
      <c r="Y465" s="231">
        <v>12.1</v>
      </c>
      <c r="Z465" s="231" t="s">
        <v>239</v>
      </c>
      <c r="AA465" s="231">
        <v>12.1</v>
      </c>
      <c r="AB465" s="231" t="s">
        <v>239</v>
      </c>
      <c r="AC465" s="231">
        <v>12.1</v>
      </c>
      <c r="AD465" s="231" t="s">
        <v>239</v>
      </c>
      <c r="AE465" s="231">
        <v>12.1</v>
      </c>
      <c r="AF465" s="231" t="s">
        <v>239</v>
      </c>
      <c r="AG465" s="231">
        <v>12.1</v>
      </c>
      <c r="AH465" s="231" t="s">
        <v>239</v>
      </c>
      <c r="AI465" s="231">
        <v>12.1</v>
      </c>
      <c r="AJ465" s="231" t="s">
        <v>239</v>
      </c>
      <c r="AK465" s="231">
        <v>12.1</v>
      </c>
      <c r="AL465" s="232" t="s">
        <v>239</v>
      </c>
      <c r="AM465" s="232">
        <v>0</v>
      </c>
    </row>
    <row r="466" spans="1:39" ht="15" customHeight="1" outlineLevel="1">
      <c r="A466" s="412"/>
      <c r="B466" s="10">
        <v>129228</v>
      </c>
      <c r="C466" s="218" t="s">
        <v>1489</v>
      </c>
      <c r="D466" s="218" t="s">
        <v>1490</v>
      </c>
      <c r="E466" s="23" t="s">
        <v>138</v>
      </c>
      <c r="F466" s="17" t="s">
        <v>45</v>
      </c>
      <c r="G466" s="11" t="s">
        <v>1432</v>
      </c>
      <c r="H466" s="12">
        <v>16</v>
      </c>
      <c r="I466" s="11" t="s">
        <v>1433</v>
      </c>
      <c r="J466" s="192" t="s">
        <v>1481</v>
      </c>
      <c r="K466" s="17" t="s">
        <v>233</v>
      </c>
      <c r="L466" s="17" t="s">
        <v>233</v>
      </c>
      <c r="M466" s="231">
        <v>20763</v>
      </c>
      <c r="N466" s="232">
        <v>20510.937180000001</v>
      </c>
      <c r="O466" s="132">
        <v>1325</v>
      </c>
      <c r="P466" s="231" t="s">
        <v>239</v>
      </c>
      <c r="Q466" s="232">
        <v>1308.6759999999999</v>
      </c>
      <c r="R466" s="231" t="s">
        <v>239</v>
      </c>
      <c r="S466" s="232">
        <v>1292.55311168</v>
      </c>
      <c r="T466" s="231" t="s">
        <v>239</v>
      </c>
      <c r="U466" s="232">
        <v>1276.6288573441025</v>
      </c>
      <c r="V466" s="230" t="s">
        <v>239</v>
      </c>
      <c r="W466" s="232">
        <v>1260.9007898216232</v>
      </c>
      <c r="X466" s="231" t="s">
        <v>239</v>
      </c>
      <c r="Y466" s="232">
        <v>1245.3664920910207</v>
      </c>
      <c r="Z466" s="231" t="s">
        <v>239</v>
      </c>
      <c r="AA466" s="232">
        <v>1230.0235769084593</v>
      </c>
      <c r="AB466" s="231" t="s">
        <v>239</v>
      </c>
      <c r="AC466" s="232">
        <v>1214.8696864409471</v>
      </c>
      <c r="AD466" s="231" t="s">
        <v>239</v>
      </c>
      <c r="AE466" s="232">
        <v>1199.9024919039946</v>
      </c>
      <c r="AF466" s="231" t="s">
        <v>239</v>
      </c>
      <c r="AG466" s="232">
        <v>1185.1196932037374</v>
      </c>
      <c r="AH466" s="231" t="s">
        <v>239</v>
      </c>
      <c r="AI466" s="232">
        <v>1170.5190185834674</v>
      </c>
      <c r="AJ466" s="231" t="s">
        <v>239</v>
      </c>
      <c r="AK466" s="232">
        <v>1156.098224274519</v>
      </c>
      <c r="AL466" s="232" t="s">
        <v>239</v>
      </c>
      <c r="AM466" s="232">
        <v>14865.657942251872</v>
      </c>
    </row>
    <row r="467" spans="1:39" ht="15" customHeight="1" outlineLevel="1">
      <c r="A467" s="411">
        <v>229</v>
      </c>
      <c r="B467" s="10">
        <v>129229</v>
      </c>
      <c r="C467" s="218" t="s">
        <v>1489</v>
      </c>
      <c r="D467" s="218" t="s">
        <v>1490</v>
      </c>
      <c r="E467" s="23" t="s">
        <v>44</v>
      </c>
      <c r="F467" s="17" t="s">
        <v>45</v>
      </c>
      <c r="G467" s="11" t="s">
        <v>1432</v>
      </c>
      <c r="H467" s="12">
        <v>5</v>
      </c>
      <c r="I467" s="11" t="s">
        <v>1433</v>
      </c>
      <c r="J467" s="192" t="s">
        <v>208</v>
      </c>
      <c r="K467" s="17" t="s">
        <v>233</v>
      </c>
      <c r="L467" s="17" t="s">
        <v>233</v>
      </c>
      <c r="M467" s="231">
        <v>54</v>
      </c>
      <c r="N467" s="231">
        <v>54</v>
      </c>
      <c r="O467" s="231">
        <v>54</v>
      </c>
      <c r="P467" s="231" t="s">
        <v>239</v>
      </c>
      <c r="Q467" s="231">
        <v>54</v>
      </c>
      <c r="R467" s="231" t="s">
        <v>239</v>
      </c>
      <c r="S467" s="231">
        <v>54</v>
      </c>
      <c r="T467" s="231" t="s">
        <v>239</v>
      </c>
      <c r="U467" s="231">
        <v>54</v>
      </c>
      <c r="V467" s="231" t="s">
        <v>239</v>
      </c>
      <c r="W467" s="231">
        <v>54</v>
      </c>
      <c r="X467" s="231" t="s">
        <v>239</v>
      </c>
      <c r="Y467" s="231">
        <v>54</v>
      </c>
      <c r="Z467" s="231" t="s">
        <v>239</v>
      </c>
      <c r="AA467" s="231">
        <v>54</v>
      </c>
      <c r="AB467" s="231" t="s">
        <v>239</v>
      </c>
      <c r="AC467" s="231">
        <v>54</v>
      </c>
      <c r="AD467" s="231" t="s">
        <v>239</v>
      </c>
      <c r="AE467" s="231">
        <v>54</v>
      </c>
      <c r="AF467" s="231" t="s">
        <v>239</v>
      </c>
      <c r="AG467" s="231">
        <v>54</v>
      </c>
      <c r="AH467" s="231" t="s">
        <v>239</v>
      </c>
      <c r="AI467" s="231">
        <v>54</v>
      </c>
      <c r="AJ467" s="231" t="s">
        <v>239</v>
      </c>
      <c r="AK467" s="231">
        <v>54</v>
      </c>
      <c r="AL467" s="232" t="s">
        <v>239</v>
      </c>
      <c r="AM467" s="232">
        <v>0</v>
      </c>
    </row>
    <row r="468" spans="1:39" ht="15" customHeight="1" outlineLevel="1">
      <c r="A468" s="412"/>
      <c r="B468" s="10">
        <v>129229</v>
      </c>
      <c r="C468" s="218" t="s">
        <v>1489</v>
      </c>
      <c r="D468" s="218" t="s">
        <v>1490</v>
      </c>
      <c r="E468" s="23" t="s">
        <v>44</v>
      </c>
      <c r="F468" s="17" t="s">
        <v>45</v>
      </c>
      <c r="G468" s="11" t="s">
        <v>1432</v>
      </c>
      <c r="H468" s="12">
        <v>21</v>
      </c>
      <c r="I468" s="11" t="s">
        <v>1433</v>
      </c>
      <c r="J468" s="192" t="s">
        <v>1463</v>
      </c>
      <c r="K468" s="17" t="s">
        <v>233</v>
      </c>
      <c r="L468" s="17" t="s">
        <v>233</v>
      </c>
      <c r="M468" s="231">
        <v>28032</v>
      </c>
      <c r="N468" s="232">
        <v>27691.69152</v>
      </c>
      <c r="O468" s="132">
        <v>2736</v>
      </c>
      <c r="P468" s="231" t="s">
        <v>239</v>
      </c>
      <c r="Q468" s="232">
        <v>2702.2924800000001</v>
      </c>
      <c r="R468" s="231" t="s">
        <v>239</v>
      </c>
      <c r="S468" s="232">
        <v>2669.0002366464</v>
      </c>
      <c r="T468" s="231" t="s">
        <v>239</v>
      </c>
      <c r="U468" s="232">
        <v>2636.1181537309162</v>
      </c>
      <c r="V468" s="231" t="s">
        <v>239</v>
      </c>
      <c r="W468" s="232">
        <v>2603.6411780769513</v>
      </c>
      <c r="X468" s="231" t="s">
        <v>239</v>
      </c>
      <c r="Y468" s="232">
        <v>2571.564318763043</v>
      </c>
      <c r="Z468" s="231" t="s">
        <v>239</v>
      </c>
      <c r="AA468" s="232">
        <v>2539.8826463558826</v>
      </c>
      <c r="AB468" s="231" t="s">
        <v>239</v>
      </c>
      <c r="AC468" s="232">
        <v>2508.5912921527779</v>
      </c>
      <c r="AD468" s="231" t="s">
        <v>239</v>
      </c>
      <c r="AE468" s="232">
        <v>2477.6854474334555</v>
      </c>
      <c r="AF468" s="231" t="s">
        <v>239</v>
      </c>
      <c r="AG468" s="232">
        <v>2447.1603627210752</v>
      </c>
      <c r="AH468" s="231" t="s">
        <v>239</v>
      </c>
      <c r="AI468" s="232">
        <v>2417.0113470523515</v>
      </c>
      <c r="AJ468" s="231" t="s">
        <v>239</v>
      </c>
      <c r="AK468" s="232">
        <v>2387.2337672566664</v>
      </c>
      <c r="AL468" s="232" t="s">
        <v>239</v>
      </c>
      <c r="AM468" s="232">
        <v>30696.181230189519</v>
      </c>
    </row>
    <row r="469" spans="1:39" ht="15" customHeight="1" outlineLevel="1">
      <c r="A469" s="411">
        <v>230</v>
      </c>
      <c r="B469" s="10">
        <v>129230</v>
      </c>
      <c r="C469" s="218" t="s">
        <v>1489</v>
      </c>
      <c r="D469" s="218" t="s">
        <v>1490</v>
      </c>
      <c r="E469" s="23" t="s">
        <v>138</v>
      </c>
      <c r="F469" s="17" t="s">
        <v>45</v>
      </c>
      <c r="G469" s="11" t="s">
        <v>1432</v>
      </c>
      <c r="H469" s="12">
        <v>19</v>
      </c>
      <c r="I469" s="11" t="s">
        <v>1433</v>
      </c>
      <c r="J469" s="192" t="s">
        <v>1482</v>
      </c>
      <c r="K469" s="17" t="s">
        <v>233</v>
      </c>
      <c r="L469" s="17" t="s">
        <v>233</v>
      </c>
      <c r="M469" s="231">
        <v>54</v>
      </c>
      <c r="N469" s="231">
        <v>54</v>
      </c>
      <c r="O469" s="231">
        <v>54</v>
      </c>
      <c r="P469" s="231" t="s">
        <v>239</v>
      </c>
      <c r="Q469" s="231">
        <v>54</v>
      </c>
      <c r="R469" s="231" t="s">
        <v>239</v>
      </c>
      <c r="S469" s="231">
        <v>54</v>
      </c>
      <c r="T469" s="231" t="s">
        <v>239</v>
      </c>
      <c r="U469" s="231">
        <v>54</v>
      </c>
      <c r="V469" s="230" t="s">
        <v>239</v>
      </c>
      <c r="W469" s="231">
        <v>54</v>
      </c>
      <c r="X469" s="231" t="s">
        <v>239</v>
      </c>
      <c r="Y469" s="231">
        <v>54</v>
      </c>
      <c r="Z469" s="231" t="s">
        <v>239</v>
      </c>
      <c r="AA469" s="231">
        <v>54</v>
      </c>
      <c r="AB469" s="231" t="s">
        <v>239</v>
      </c>
      <c r="AC469" s="231">
        <v>54</v>
      </c>
      <c r="AD469" s="231" t="s">
        <v>239</v>
      </c>
      <c r="AE469" s="231">
        <v>54</v>
      </c>
      <c r="AF469" s="231" t="s">
        <v>239</v>
      </c>
      <c r="AG469" s="231">
        <v>54</v>
      </c>
      <c r="AH469" s="231" t="s">
        <v>239</v>
      </c>
      <c r="AI469" s="231">
        <v>54</v>
      </c>
      <c r="AJ469" s="231" t="s">
        <v>239</v>
      </c>
      <c r="AK469" s="231">
        <v>54</v>
      </c>
      <c r="AL469" s="232" t="s">
        <v>239</v>
      </c>
      <c r="AM469" s="232">
        <v>0</v>
      </c>
    </row>
    <row r="470" spans="1:39" ht="15" customHeight="1" outlineLevel="1">
      <c r="A470" s="412"/>
      <c r="B470" s="10">
        <v>129230</v>
      </c>
      <c r="C470" s="218" t="s">
        <v>1489</v>
      </c>
      <c r="D470" s="218" t="s">
        <v>1490</v>
      </c>
      <c r="E470" s="23" t="s">
        <v>44</v>
      </c>
      <c r="F470" s="17" t="s">
        <v>45</v>
      </c>
      <c r="G470" s="11" t="s">
        <v>1432</v>
      </c>
      <c r="H470" s="12">
        <v>30</v>
      </c>
      <c r="I470" s="11" t="s">
        <v>1433</v>
      </c>
      <c r="J470" s="192" t="s">
        <v>1462</v>
      </c>
      <c r="K470" s="17" t="s">
        <v>233</v>
      </c>
      <c r="L470" s="17" t="s">
        <v>233</v>
      </c>
      <c r="M470" s="231">
        <v>0</v>
      </c>
      <c r="N470" s="232">
        <v>0</v>
      </c>
      <c r="O470" s="132"/>
      <c r="P470" s="231" t="s">
        <v>239</v>
      </c>
      <c r="Q470" s="232">
        <v>0</v>
      </c>
      <c r="R470" s="231" t="s">
        <v>239</v>
      </c>
      <c r="S470" s="232">
        <v>0</v>
      </c>
      <c r="T470" s="231" t="s">
        <v>239</v>
      </c>
      <c r="U470" s="232">
        <v>0</v>
      </c>
      <c r="V470" s="231" t="s">
        <v>239</v>
      </c>
      <c r="W470" s="232">
        <v>0</v>
      </c>
      <c r="X470" s="231" t="s">
        <v>239</v>
      </c>
      <c r="Y470" s="232">
        <v>0</v>
      </c>
      <c r="Z470" s="231" t="s">
        <v>239</v>
      </c>
      <c r="AA470" s="232">
        <v>0</v>
      </c>
      <c r="AB470" s="231" t="s">
        <v>239</v>
      </c>
      <c r="AC470" s="232">
        <v>0</v>
      </c>
      <c r="AD470" s="231" t="s">
        <v>239</v>
      </c>
      <c r="AE470" s="232">
        <v>0</v>
      </c>
      <c r="AF470" s="231" t="s">
        <v>239</v>
      </c>
      <c r="AG470" s="232">
        <v>0</v>
      </c>
      <c r="AH470" s="231" t="s">
        <v>239</v>
      </c>
      <c r="AI470" s="232">
        <v>0</v>
      </c>
      <c r="AJ470" s="231" t="s">
        <v>239</v>
      </c>
      <c r="AK470" s="232">
        <v>0</v>
      </c>
      <c r="AL470" s="232" t="s">
        <v>239</v>
      </c>
      <c r="AM470" s="232">
        <v>0</v>
      </c>
    </row>
    <row r="471" spans="1:39" ht="15" customHeight="1" outlineLevel="1">
      <c r="A471" s="411">
        <v>231</v>
      </c>
      <c r="B471" s="10">
        <v>129231</v>
      </c>
      <c r="C471" s="218" t="s">
        <v>1489</v>
      </c>
      <c r="D471" s="218" t="s">
        <v>1490</v>
      </c>
      <c r="E471" s="23" t="s">
        <v>138</v>
      </c>
      <c r="F471" s="17" t="s">
        <v>45</v>
      </c>
      <c r="G471" s="11" t="s">
        <v>1432</v>
      </c>
      <c r="H471" s="12">
        <v>33</v>
      </c>
      <c r="I471" s="11" t="s">
        <v>1433</v>
      </c>
      <c r="J471" s="192" t="s">
        <v>1457</v>
      </c>
      <c r="K471" s="17" t="s">
        <v>233</v>
      </c>
      <c r="L471" s="17" t="s">
        <v>233</v>
      </c>
      <c r="M471" s="231">
        <v>35</v>
      </c>
      <c r="N471" s="231">
        <v>35</v>
      </c>
      <c r="O471" s="231">
        <v>35</v>
      </c>
      <c r="P471" s="231" t="s">
        <v>239</v>
      </c>
      <c r="Q471" s="231">
        <v>35</v>
      </c>
      <c r="R471" s="231" t="s">
        <v>239</v>
      </c>
      <c r="S471" s="231">
        <v>35</v>
      </c>
      <c r="T471" s="231" t="s">
        <v>239</v>
      </c>
      <c r="U471" s="231">
        <v>35</v>
      </c>
      <c r="V471" s="231" t="s">
        <v>239</v>
      </c>
      <c r="W471" s="231">
        <v>35</v>
      </c>
      <c r="X471" s="231" t="s">
        <v>239</v>
      </c>
      <c r="Y471" s="231">
        <v>35</v>
      </c>
      <c r="Z471" s="231" t="s">
        <v>239</v>
      </c>
      <c r="AA471" s="231">
        <v>35</v>
      </c>
      <c r="AB471" s="231" t="s">
        <v>239</v>
      </c>
      <c r="AC471" s="231">
        <v>35</v>
      </c>
      <c r="AD471" s="231" t="s">
        <v>239</v>
      </c>
      <c r="AE471" s="231">
        <v>35</v>
      </c>
      <c r="AF471" s="231" t="s">
        <v>239</v>
      </c>
      <c r="AG471" s="231">
        <v>35</v>
      </c>
      <c r="AH471" s="231" t="s">
        <v>239</v>
      </c>
      <c r="AI471" s="231">
        <v>35</v>
      </c>
      <c r="AJ471" s="231" t="s">
        <v>239</v>
      </c>
      <c r="AK471" s="231">
        <v>35</v>
      </c>
      <c r="AL471" s="232" t="s">
        <v>239</v>
      </c>
      <c r="AM471" s="232">
        <v>0</v>
      </c>
    </row>
    <row r="472" spans="1:39" ht="15" customHeight="1" outlineLevel="1">
      <c r="A472" s="412"/>
      <c r="B472" s="10">
        <v>129231</v>
      </c>
      <c r="C472" s="218" t="s">
        <v>1489</v>
      </c>
      <c r="D472" s="218" t="s">
        <v>1490</v>
      </c>
      <c r="E472" s="23" t="s">
        <v>44</v>
      </c>
      <c r="F472" s="17" t="s">
        <v>45</v>
      </c>
      <c r="G472" s="11" t="s">
        <v>1432</v>
      </c>
      <c r="H472" s="12">
        <v>19</v>
      </c>
      <c r="I472" s="11" t="s">
        <v>1433</v>
      </c>
      <c r="J472" s="192" t="s">
        <v>617</v>
      </c>
      <c r="K472" s="17" t="s">
        <v>233</v>
      </c>
      <c r="L472" s="17" t="s">
        <v>233</v>
      </c>
      <c r="M472" s="231">
        <v>10981</v>
      </c>
      <c r="N472" s="232">
        <v>10847.69066</v>
      </c>
      <c r="O472" s="132">
        <v>495</v>
      </c>
      <c r="P472" s="231" t="s">
        <v>239</v>
      </c>
      <c r="Q472" s="232">
        <v>488.90159999999997</v>
      </c>
      <c r="R472" s="231" t="s">
        <v>239</v>
      </c>
      <c r="S472" s="232">
        <v>482.87833228799997</v>
      </c>
      <c r="T472" s="231" t="s">
        <v>239</v>
      </c>
      <c r="U472" s="232">
        <v>476.9292712342118</v>
      </c>
      <c r="V472" s="230" t="s">
        <v>239</v>
      </c>
      <c r="W472" s="232">
        <v>471.05350261260628</v>
      </c>
      <c r="X472" s="231" t="s">
        <v>239</v>
      </c>
      <c r="Y472" s="232">
        <v>465.25012346041899</v>
      </c>
      <c r="Z472" s="231" t="s">
        <v>239</v>
      </c>
      <c r="AA472" s="232">
        <v>459.51824193938666</v>
      </c>
      <c r="AB472" s="231" t="s">
        <v>239</v>
      </c>
      <c r="AC472" s="232">
        <v>453.85697719869341</v>
      </c>
      <c r="AD472" s="231" t="s">
        <v>239</v>
      </c>
      <c r="AE472" s="232">
        <v>448.26545923960549</v>
      </c>
      <c r="AF472" s="231" t="s">
        <v>239</v>
      </c>
      <c r="AG472" s="232">
        <v>442.74282878177354</v>
      </c>
      <c r="AH472" s="231" t="s">
        <v>239</v>
      </c>
      <c r="AI472" s="232">
        <v>437.28823713118209</v>
      </c>
      <c r="AJ472" s="231" t="s">
        <v>239</v>
      </c>
      <c r="AK472" s="232">
        <v>431.90084604972594</v>
      </c>
      <c r="AL472" s="232" t="s">
        <v>239</v>
      </c>
      <c r="AM472" s="232">
        <v>5553.5854199356054</v>
      </c>
    </row>
    <row r="473" spans="1:39" ht="15" customHeight="1" outlineLevel="1">
      <c r="A473" s="411">
        <v>232</v>
      </c>
      <c r="B473" s="10">
        <v>129232</v>
      </c>
      <c r="C473" s="218" t="s">
        <v>1489</v>
      </c>
      <c r="D473" s="218" t="s">
        <v>1490</v>
      </c>
      <c r="E473" s="23" t="s">
        <v>44</v>
      </c>
      <c r="F473" s="17" t="s">
        <v>45</v>
      </c>
      <c r="G473" s="11" t="s">
        <v>1432</v>
      </c>
      <c r="H473" s="12">
        <v>6</v>
      </c>
      <c r="I473" s="11" t="s">
        <v>1433</v>
      </c>
      <c r="J473" s="374" t="s">
        <v>1457</v>
      </c>
      <c r="K473" s="17" t="s">
        <v>233</v>
      </c>
      <c r="L473" s="17" t="s">
        <v>233</v>
      </c>
      <c r="M473" s="231">
        <v>29</v>
      </c>
      <c r="N473" s="231">
        <v>29</v>
      </c>
      <c r="O473" s="231">
        <v>29</v>
      </c>
      <c r="P473" s="231" t="s">
        <v>239</v>
      </c>
      <c r="Q473" s="231">
        <v>29</v>
      </c>
      <c r="R473" s="231" t="s">
        <v>239</v>
      </c>
      <c r="S473" s="231">
        <v>29</v>
      </c>
      <c r="T473" s="231" t="s">
        <v>239</v>
      </c>
      <c r="U473" s="231">
        <v>29</v>
      </c>
      <c r="V473" s="231" t="s">
        <v>239</v>
      </c>
      <c r="W473" s="231">
        <v>29</v>
      </c>
      <c r="X473" s="231" t="s">
        <v>239</v>
      </c>
      <c r="Y473" s="231">
        <v>29</v>
      </c>
      <c r="Z473" s="231" t="s">
        <v>239</v>
      </c>
      <c r="AA473" s="231">
        <v>29</v>
      </c>
      <c r="AB473" s="231" t="s">
        <v>239</v>
      </c>
      <c r="AC473" s="231">
        <v>29</v>
      </c>
      <c r="AD473" s="231" t="s">
        <v>239</v>
      </c>
      <c r="AE473" s="231">
        <v>29</v>
      </c>
      <c r="AF473" s="231" t="s">
        <v>239</v>
      </c>
      <c r="AG473" s="231">
        <v>29</v>
      </c>
      <c r="AH473" s="231" t="s">
        <v>239</v>
      </c>
      <c r="AI473" s="231">
        <v>29</v>
      </c>
      <c r="AJ473" s="231" t="s">
        <v>239</v>
      </c>
      <c r="AK473" s="231">
        <v>29</v>
      </c>
      <c r="AL473" s="232" t="s">
        <v>239</v>
      </c>
      <c r="AM473" s="232">
        <v>0</v>
      </c>
    </row>
    <row r="474" spans="1:39" ht="15" customHeight="1" outlineLevel="1">
      <c r="A474" s="412"/>
      <c r="B474" s="10">
        <v>129232</v>
      </c>
      <c r="C474" s="218" t="s">
        <v>1489</v>
      </c>
      <c r="D474" s="218" t="s">
        <v>1490</v>
      </c>
      <c r="E474" s="23" t="s">
        <v>138</v>
      </c>
      <c r="F474" s="17" t="s">
        <v>45</v>
      </c>
      <c r="G474" s="11" t="s">
        <v>1432</v>
      </c>
      <c r="H474" s="12">
        <v>15</v>
      </c>
      <c r="I474" s="11" t="s">
        <v>1433</v>
      </c>
      <c r="J474" s="375"/>
      <c r="K474" s="17" t="s">
        <v>233</v>
      </c>
      <c r="L474" s="17" t="s">
        <v>233</v>
      </c>
      <c r="M474" s="231">
        <v>5434</v>
      </c>
      <c r="N474" s="232">
        <v>5368.0312399999993</v>
      </c>
      <c r="O474" s="132">
        <v>466</v>
      </c>
      <c r="P474" s="231" t="s">
        <v>239</v>
      </c>
      <c r="Q474" s="232">
        <v>460.25887999999998</v>
      </c>
      <c r="R474" s="231" t="s">
        <v>239</v>
      </c>
      <c r="S474" s="232">
        <v>454.58849059839997</v>
      </c>
      <c r="T474" s="231" t="s">
        <v>239</v>
      </c>
      <c r="U474" s="232">
        <v>448.98796039422768</v>
      </c>
      <c r="V474" s="231" t="s">
        <v>239</v>
      </c>
      <c r="W474" s="232">
        <v>443.45642872217081</v>
      </c>
      <c r="X474" s="231" t="s">
        <v>239</v>
      </c>
      <c r="Y474" s="232">
        <v>437.99304552031367</v>
      </c>
      <c r="Z474" s="231" t="s">
        <v>239</v>
      </c>
      <c r="AA474" s="232">
        <v>432.5969711995034</v>
      </c>
      <c r="AB474" s="231" t="s">
        <v>239</v>
      </c>
      <c r="AC474" s="232">
        <v>427.26737651432552</v>
      </c>
      <c r="AD474" s="231" t="s">
        <v>239</v>
      </c>
      <c r="AE474" s="232">
        <v>422.00344243566906</v>
      </c>
      <c r="AF474" s="231" t="s">
        <v>239</v>
      </c>
      <c r="AG474" s="232">
        <v>416.80436002486164</v>
      </c>
      <c r="AH474" s="231" t="s">
        <v>239</v>
      </c>
      <c r="AI474" s="232">
        <v>411.66933030935536</v>
      </c>
      <c r="AJ474" s="231" t="s">
        <v>239</v>
      </c>
      <c r="AK474" s="232">
        <v>406.59756415994411</v>
      </c>
      <c r="AL474" s="232" t="s">
        <v>239</v>
      </c>
      <c r="AM474" s="232">
        <v>5228.223849878771</v>
      </c>
    </row>
    <row r="475" spans="1:39" ht="15" customHeight="1" outlineLevel="1">
      <c r="A475" s="411">
        <v>233</v>
      </c>
      <c r="B475" s="10">
        <v>129233</v>
      </c>
      <c r="C475" s="218" t="s">
        <v>1489</v>
      </c>
      <c r="D475" s="218" t="s">
        <v>1490</v>
      </c>
      <c r="E475" s="23" t="s">
        <v>44</v>
      </c>
      <c r="F475" s="17" t="s">
        <v>45</v>
      </c>
      <c r="G475" s="11" t="s">
        <v>1432</v>
      </c>
      <c r="H475" s="12">
        <v>19</v>
      </c>
      <c r="I475" s="11" t="s">
        <v>1433</v>
      </c>
      <c r="J475" s="193" t="s">
        <v>1460</v>
      </c>
      <c r="K475" s="17" t="s">
        <v>233</v>
      </c>
      <c r="L475" s="17" t="s">
        <v>233</v>
      </c>
      <c r="M475" s="231">
        <v>48</v>
      </c>
      <c r="N475" s="231">
        <v>48</v>
      </c>
      <c r="O475" s="231">
        <v>48</v>
      </c>
      <c r="P475" s="231" t="s">
        <v>239</v>
      </c>
      <c r="Q475" s="231">
        <v>48</v>
      </c>
      <c r="R475" s="231" t="s">
        <v>239</v>
      </c>
      <c r="S475" s="231">
        <v>48</v>
      </c>
      <c r="T475" s="231" t="s">
        <v>239</v>
      </c>
      <c r="U475" s="231">
        <v>48</v>
      </c>
      <c r="V475" s="230" t="s">
        <v>239</v>
      </c>
      <c r="W475" s="231">
        <v>48</v>
      </c>
      <c r="X475" s="231" t="s">
        <v>239</v>
      </c>
      <c r="Y475" s="231">
        <v>48</v>
      </c>
      <c r="Z475" s="231" t="s">
        <v>239</v>
      </c>
      <c r="AA475" s="231">
        <v>48</v>
      </c>
      <c r="AB475" s="231" t="s">
        <v>239</v>
      </c>
      <c r="AC475" s="231">
        <v>48</v>
      </c>
      <c r="AD475" s="231" t="s">
        <v>239</v>
      </c>
      <c r="AE475" s="231">
        <v>48</v>
      </c>
      <c r="AF475" s="231" t="s">
        <v>239</v>
      </c>
      <c r="AG475" s="231">
        <v>48</v>
      </c>
      <c r="AH475" s="231" t="s">
        <v>239</v>
      </c>
      <c r="AI475" s="231">
        <v>48</v>
      </c>
      <c r="AJ475" s="231" t="s">
        <v>239</v>
      </c>
      <c r="AK475" s="231">
        <v>48</v>
      </c>
      <c r="AL475" s="232" t="s">
        <v>239</v>
      </c>
      <c r="AM475" s="232">
        <v>0</v>
      </c>
    </row>
    <row r="476" spans="1:39" ht="15" customHeight="1" outlineLevel="1">
      <c r="A476" s="412"/>
      <c r="B476" s="10">
        <v>129233</v>
      </c>
      <c r="C476" s="218" t="s">
        <v>1489</v>
      </c>
      <c r="D476" s="218" t="s">
        <v>1490</v>
      </c>
      <c r="E476" s="23" t="s">
        <v>138</v>
      </c>
      <c r="F476" s="17" t="s">
        <v>45</v>
      </c>
      <c r="G476" s="11" t="s">
        <v>1432</v>
      </c>
      <c r="H476" s="12">
        <v>22</v>
      </c>
      <c r="I476" s="11" t="s">
        <v>1433</v>
      </c>
      <c r="J476" s="193" t="s">
        <v>1442</v>
      </c>
      <c r="K476" s="17" t="s">
        <v>233</v>
      </c>
      <c r="L476" s="17" t="s">
        <v>233</v>
      </c>
      <c r="M476" s="231">
        <v>184056</v>
      </c>
      <c r="N476" s="232">
        <v>181821.56015999999</v>
      </c>
      <c r="O476" s="132">
        <v>20088</v>
      </c>
      <c r="P476" s="231" t="s">
        <v>239</v>
      </c>
      <c r="Q476" s="232">
        <v>19840.51584</v>
      </c>
      <c r="R476" s="231" t="s">
        <v>239</v>
      </c>
      <c r="S476" s="232">
        <v>19596.0806848512</v>
      </c>
      <c r="T476" s="231" t="s">
        <v>239</v>
      </c>
      <c r="U476" s="232">
        <v>19354.656970813834</v>
      </c>
      <c r="V476" s="231" t="s">
        <v>239</v>
      </c>
      <c r="W476" s="232">
        <v>19116.207596933407</v>
      </c>
      <c r="X476" s="231" t="s">
        <v>239</v>
      </c>
      <c r="Y476" s="232">
        <v>18880.695919339189</v>
      </c>
      <c r="Z476" s="231" t="s">
        <v>239</v>
      </c>
      <c r="AA476" s="232">
        <v>18648.085745612931</v>
      </c>
      <c r="AB476" s="231" t="s">
        <v>239</v>
      </c>
      <c r="AC476" s="232">
        <v>18418.34132922698</v>
      </c>
      <c r="AD476" s="231" t="s">
        <v>239</v>
      </c>
      <c r="AE476" s="232">
        <v>18191.427364050902</v>
      </c>
      <c r="AF476" s="231" t="s">
        <v>239</v>
      </c>
      <c r="AG476" s="232">
        <v>17967.308978925794</v>
      </c>
      <c r="AH476" s="231" t="s">
        <v>239</v>
      </c>
      <c r="AI476" s="232">
        <v>17745.951732305428</v>
      </c>
      <c r="AJ476" s="231" t="s">
        <v>239</v>
      </c>
      <c r="AK476" s="232">
        <v>17527.321606963425</v>
      </c>
      <c r="AL476" s="232" t="s">
        <v>239</v>
      </c>
      <c r="AM476" s="232">
        <v>225374.59376902308</v>
      </c>
    </row>
    <row r="477" spans="1:39" ht="15" customHeight="1" outlineLevel="1">
      <c r="A477" s="411">
        <v>234</v>
      </c>
      <c r="B477" s="10">
        <v>129234</v>
      </c>
      <c r="C477" s="218" t="s">
        <v>1489</v>
      </c>
      <c r="D477" s="218" t="s">
        <v>1490</v>
      </c>
      <c r="E477" s="23" t="s">
        <v>44</v>
      </c>
      <c r="F477" s="17" t="s">
        <v>45</v>
      </c>
      <c r="G477" s="11" t="s">
        <v>1432</v>
      </c>
      <c r="H477" s="12">
        <v>24</v>
      </c>
      <c r="I477" s="11" t="s">
        <v>1433</v>
      </c>
      <c r="J477" s="193" t="s">
        <v>1460</v>
      </c>
      <c r="K477" s="17" t="s">
        <v>233</v>
      </c>
      <c r="L477" s="17" t="s">
        <v>233</v>
      </c>
      <c r="M477" s="231">
        <v>0</v>
      </c>
      <c r="N477" s="232">
        <v>0</v>
      </c>
      <c r="O477" s="132"/>
      <c r="P477" s="231" t="s">
        <v>239</v>
      </c>
      <c r="Q477" s="232">
        <v>0</v>
      </c>
      <c r="R477" s="231" t="s">
        <v>239</v>
      </c>
      <c r="S477" s="232">
        <v>0</v>
      </c>
      <c r="T477" s="231" t="s">
        <v>239</v>
      </c>
      <c r="U477" s="232">
        <v>0</v>
      </c>
      <c r="V477" s="231" t="s">
        <v>239</v>
      </c>
      <c r="W477" s="232">
        <v>0</v>
      </c>
      <c r="X477" s="231" t="s">
        <v>239</v>
      </c>
      <c r="Y477" s="232">
        <v>0</v>
      </c>
      <c r="Z477" s="231" t="s">
        <v>239</v>
      </c>
      <c r="AA477" s="232">
        <v>0</v>
      </c>
      <c r="AB477" s="231" t="s">
        <v>239</v>
      </c>
      <c r="AC477" s="232">
        <v>0</v>
      </c>
      <c r="AD477" s="231" t="s">
        <v>239</v>
      </c>
      <c r="AE477" s="232">
        <v>0</v>
      </c>
      <c r="AF477" s="231" t="s">
        <v>239</v>
      </c>
      <c r="AG477" s="232">
        <v>0</v>
      </c>
      <c r="AH477" s="231" t="s">
        <v>239</v>
      </c>
      <c r="AI477" s="232">
        <v>0</v>
      </c>
      <c r="AJ477" s="231" t="s">
        <v>239</v>
      </c>
      <c r="AK477" s="232">
        <v>0</v>
      </c>
      <c r="AL477" s="232" t="s">
        <v>239</v>
      </c>
      <c r="AM477" s="232">
        <v>0</v>
      </c>
    </row>
    <row r="478" spans="1:39" ht="15" customHeight="1" outlineLevel="1">
      <c r="A478" s="412"/>
      <c r="B478" s="10">
        <v>129234</v>
      </c>
      <c r="C478" s="218" t="s">
        <v>1489</v>
      </c>
      <c r="D478" s="218" t="s">
        <v>1490</v>
      </c>
      <c r="E478" s="23" t="s">
        <v>44</v>
      </c>
      <c r="F478" s="17" t="s">
        <v>45</v>
      </c>
      <c r="G478" s="11" t="s">
        <v>1432</v>
      </c>
      <c r="H478" s="12">
        <v>16</v>
      </c>
      <c r="I478" s="11" t="s">
        <v>1433</v>
      </c>
      <c r="J478" s="193" t="s">
        <v>1457</v>
      </c>
      <c r="K478" s="17" t="s">
        <v>233</v>
      </c>
      <c r="L478" s="17" t="s">
        <v>233</v>
      </c>
      <c r="M478" s="231">
        <v>0</v>
      </c>
      <c r="N478" s="232">
        <v>0</v>
      </c>
      <c r="O478" s="132">
        <v>555</v>
      </c>
      <c r="P478" s="231" t="s">
        <v>239</v>
      </c>
      <c r="Q478" s="232">
        <v>548.16240000000005</v>
      </c>
      <c r="R478" s="231" t="s">
        <v>239</v>
      </c>
      <c r="S478" s="232">
        <v>541.40903923200005</v>
      </c>
      <c r="T478" s="231" t="s">
        <v>239</v>
      </c>
      <c r="U478" s="232">
        <v>534.7388798686618</v>
      </c>
      <c r="V478" s="230" t="s">
        <v>239</v>
      </c>
      <c r="W478" s="232">
        <v>528.15089686867987</v>
      </c>
      <c r="X478" s="231" t="s">
        <v>239</v>
      </c>
      <c r="Y478" s="232">
        <v>521.64407781925775</v>
      </c>
      <c r="Z478" s="231" t="s">
        <v>239</v>
      </c>
      <c r="AA478" s="232">
        <v>515.21742278052454</v>
      </c>
      <c r="AB478" s="231" t="s">
        <v>239</v>
      </c>
      <c r="AC478" s="232">
        <v>508.86994413186846</v>
      </c>
      <c r="AD478" s="231" t="s">
        <v>239</v>
      </c>
      <c r="AE478" s="232">
        <v>502.60066642016386</v>
      </c>
      <c r="AF478" s="231" t="s">
        <v>239</v>
      </c>
      <c r="AG478" s="232">
        <v>496.40862620986746</v>
      </c>
      <c r="AH478" s="231" t="s">
        <v>239</v>
      </c>
      <c r="AI478" s="232">
        <v>490.29287193496191</v>
      </c>
      <c r="AJ478" s="231" t="s">
        <v>239</v>
      </c>
      <c r="AK478" s="232">
        <v>484.2524637527232</v>
      </c>
      <c r="AL478" s="232" t="s">
        <v>239</v>
      </c>
      <c r="AM478" s="232">
        <v>6226.7472890187091</v>
      </c>
    </row>
    <row r="479" spans="1:39" ht="15" customHeight="1" outlineLevel="1">
      <c r="A479" s="411">
        <v>235</v>
      </c>
      <c r="B479" s="10">
        <v>129235</v>
      </c>
      <c r="C479" s="218" t="s">
        <v>1489</v>
      </c>
      <c r="D479" s="218" t="s">
        <v>1490</v>
      </c>
      <c r="E479" s="23" t="s">
        <v>138</v>
      </c>
      <c r="F479" s="17" t="s">
        <v>45</v>
      </c>
      <c r="G479" s="11" t="s">
        <v>1432</v>
      </c>
      <c r="H479" s="12">
        <v>21</v>
      </c>
      <c r="I479" s="11" t="s">
        <v>1433</v>
      </c>
      <c r="J479" s="193" t="s">
        <v>617</v>
      </c>
      <c r="K479" s="17" t="s">
        <v>233</v>
      </c>
      <c r="L479" s="17" t="s">
        <v>233</v>
      </c>
      <c r="M479" s="231">
        <v>0</v>
      </c>
      <c r="N479" s="232">
        <v>0</v>
      </c>
      <c r="O479" s="132"/>
      <c r="P479" s="231" t="s">
        <v>239</v>
      </c>
      <c r="Q479" s="232">
        <v>0</v>
      </c>
      <c r="R479" s="231" t="s">
        <v>239</v>
      </c>
      <c r="S479" s="232">
        <v>0</v>
      </c>
      <c r="T479" s="231" t="s">
        <v>239</v>
      </c>
      <c r="U479" s="232">
        <v>0</v>
      </c>
      <c r="V479" s="231" t="s">
        <v>239</v>
      </c>
      <c r="W479" s="232">
        <v>0</v>
      </c>
      <c r="X479" s="231" t="s">
        <v>239</v>
      </c>
      <c r="Y479" s="232">
        <v>0</v>
      </c>
      <c r="Z479" s="231" t="s">
        <v>239</v>
      </c>
      <c r="AA479" s="232">
        <v>0</v>
      </c>
      <c r="AB479" s="231" t="s">
        <v>239</v>
      </c>
      <c r="AC479" s="232">
        <v>0</v>
      </c>
      <c r="AD479" s="231" t="s">
        <v>239</v>
      </c>
      <c r="AE479" s="232">
        <v>0</v>
      </c>
      <c r="AF479" s="231" t="s">
        <v>239</v>
      </c>
      <c r="AG479" s="232">
        <v>0</v>
      </c>
      <c r="AH479" s="231" t="s">
        <v>239</v>
      </c>
      <c r="AI479" s="232">
        <v>0</v>
      </c>
      <c r="AJ479" s="231" t="s">
        <v>239</v>
      </c>
      <c r="AK479" s="232">
        <v>0</v>
      </c>
      <c r="AL479" s="232" t="s">
        <v>239</v>
      </c>
      <c r="AM479" s="232">
        <v>0</v>
      </c>
    </row>
    <row r="480" spans="1:39" ht="15" customHeight="1" outlineLevel="1">
      <c r="A480" s="412"/>
      <c r="B480" s="10">
        <v>129235</v>
      </c>
      <c r="C480" s="218" t="s">
        <v>1489</v>
      </c>
      <c r="D480" s="218" t="s">
        <v>1490</v>
      </c>
      <c r="E480" s="23" t="s">
        <v>44</v>
      </c>
      <c r="F480" s="17" t="s">
        <v>45</v>
      </c>
      <c r="G480" s="11" t="s">
        <v>1432</v>
      </c>
      <c r="H480" s="12">
        <v>19</v>
      </c>
      <c r="I480" s="11" t="s">
        <v>1433</v>
      </c>
      <c r="J480" s="191" t="s">
        <v>216</v>
      </c>
      <c r="K480" s="17" t="s">
        <v>233</v>
      </c>
      <c r="L480" s="17" t="s">
        <v>233</v>
      </c>
      <c r="M480" s="231">
        <v>0</v>
      </c>
      <c r="N480" s="232">
        <v>0</v>
      </c>
      <c r="O480" s="132"/>
      <c r="P480" s="231" t="s">
        <v>239</v>
      </c>
      <c r="Q480" s="232">
        <v>0</v>
      </c>
      <c r="R480" s="231" t="s">
        <v>239</v>
      </c>
      <c r="S480" s="232">
        <v>0</v>
      </c>
      <c r="T480" s="231" t="s">
        <v>239</v>
      </c>
      <c r="U480" s="232">
        <v>0</v>
      </c>
      <c r="V480" s="231" t="s">
        <v>239</v>
      </c>
      <c r="W480" s="232">
        <v>0</v>
      </c>
      <c r="X480" s="231" t="s">
        <v>239</v>
      </c>
      <c r="Y480" s="232">
        <v>0</v>
      </c>
      <c r="Z480" s="231" t="s">
        <v>239</v>
      </c>
      <c r="AA480" s="232">
        <v>0</v>
      </c>
      <c r="AB480" s="231" t="s">
        <v>239</v>
      </c>
      <c r="AC480" s="232">
        <v>0</v>
      </c>
      <c r="AD480" s="231" t="s">
        <v>239</v>
      </c>
      <c r="AE480" s="232">
        <v>0</v>
      </c>
      <c r="AF480" s="231" t="s">
        <v>239</v>
      </c>
      <c r="AG480" s="232">
        <v>0</v>
      </c>
      <c r="AH480" s="231" t="s">
        <v>239</v>
      </c>
      <c r="AI480" s="232">
        <v>0</v>
      </c>
      <c r="AJ480" s="231" t="s">
        <v>239</v>
      </c>
      <c r="AK480" s="232">
        <v>0</v>
      </c>
      <c r="AL480" s="232" t="s">
        <v>239</v>
      </c>
      <c r="AM480" s="232">
        <v>0</v>
      </c>
    </row>
    <row r="481" spans="1:39" ht="15" customHeight="1" outlineLevel="1">
      <c r="A481" s="411">
        <v>236</v>
      </c>
      <c r="B481" s="10">
        <v>129236</v>
      </c>
      <c r="C481" s="218" t="s">
        <v>1489</v>
      </c>
      <c r="D481" s="218" t="s">
        <v>1490</v>
      </c>
      <c r="E481" s="23" t="s">
        <v>138</v>
      </c>
      <c r="F481" s="17" t="s">
        <v>45</v>
      </c>
      <c r="G481" s="11" t="s">
        <v>1432</v>
      </c>
      <c r="H481" s="12">
        <v>30</v>
      </c>
      <c r="I481" s="11" t="s">
        <v>1433</v>
      </c>
      <c r="J481" s="192" t="s">
        <v>1434</v>
      </c>
      <c r="K481" s="17" t="s">
        <v>233</v>
      </c>
      <c r="L481" s="17" t="s">
        <v>233</v>
      </c>
      <c r="M481" s="231">
        <v>0</v>
      </c>
      <c r="N481" s="232">
        <v>0</v>
      </c>
      <c r="O481" s="132"/>
      <c r="P481" s="231" t="s">
        <v>239</v>
      </c>
      <c r="Q481" s="232">
        <v>0</v>
      </c>
      <c r="R481" s="231" t="s">
        <v>239</v>
      </c>
      <c r="S481" s="232">
        <v>0</v>
      </c>
      <c r="T481" s="231" t="s">
        <v>239</v>
      </c>
      <c r="U481" s="232">
        <v>0</v>
      </c>
      <c r="V481" s="230" t="s">
        <v>239</v>
      </c>
      <c r="W481" s="232">
        <v>0</v>
      </c>
      <c r="X481" s="231" t="s">
        <v>239</v>
      </c>
      <c r="Y481" s="232">
        <v>0</v>
      </c>
      <c r="Z481" s="231" t="s">
        <v>239</v>
      </c>
      <c r="AA481" s="232">
        <v>0</v>
      </c>
      <c r="AB481" s="231" t="s">
        <v>239</v>
      </c>
      <c r="AC481" s="232">
        <v>0</v>
      </c>
      <c r="AD481" s="231" t="s">
        <v>239</v>
      </c>
      <c r="AE481" s="232">
        <v>0</v>
      </c>
      <c r="AF481" s="231" t="s">
        <v>239</v>
      </c>
      <c r="AG481" s="232">
        <v>0</v>
      </c>
      <c r="AH481" s="231" t="s">
        <v>239</v>
      </c>
      <c r="AI481" s="232">
        <v>0</v>
      </c>
      <c r="AJ481" s="231" t="s">
        <v>239</v>
      </c>
      <c r="AK481" s="232">
        <v>0</v>
      </c>
      <c r="AL481" s="232" t="s">
        <v>239</v>
      </c>
      <c r="AM481" s="232">
        <v>0</v>
      </c>
    </row>
    <row r="482" spans="1:39" ht="15" customHeight="1" outlineLevel="1">
      <c r="A482" s="412"/>
      <c r="B482" s="10">
        <v>129236</v>
      </c>
      <c r="C482" s="218" t="s">
        <v>1489</v>
      </c>
      <c r="D482" s="218" t="s">
        <v>1490</v>
      </c>
      <c r="E482" s="23" t="s">
        <v>44</v>
      </c>
      <c r="F482" s="17" t="s">
        <v>45</v>
      </c>
      <c r="G482" s="11" t="s">
        <v>1432</v>
      </c>
      <c r="H482" s="12">
        <v>33</v>
      </c>
      <c r="I482" s="11" t="s">
        <v>1433</v>
      </c>
      <c r="J482" s="192" t="s">
        <v>1480</v>
      </c>
      <c r="K482" s="17" t="s">
        <v>233</v>
      </c>
      <c r="L482" s="17" t="s">
        <v>233</v>
      </c>
      <c r="M482" s="231">
        <v>48423</v>
      </c>
      <c r="N482" s="232">
        <v>47835.144779999995</v>
      </c>
      <c r="O482" s="132">
        <v>1024</v>
      </c>
      <c r="P482" s="231" t="s">
        <v>239</v>
      </c>
      <c r="Q482" s="232">
        <v>1011.38432</v>
      </c>
      <c r="R482" s="231" t="s">
        <v>239</v>
      </c>
      <c r="S482" s="232">
        <v>998.92406517760003</v>
      </c>
      <c r="T482" s="231" t="s">
        <v>239</v>
      </c>
      <c r="U482" s="232">
        <v>986.61732069461198</v>
      </c>
      <c r="V482" s="231" t="s">
        <v>239</v>
      </c>
      <c r="W482" s="232">
        <v>974.46219530365431</v>
      </c>
      <c r="X482" s="231" t="s">
        <v>239</v>
      </c>
      <c r="Y482" s="232">
        <v>962.45682105751325</v>
      </c>
      <c r="Z482" s="231" t="s">
        <v>239</v>
      </c>
      <c r="AA482" s="232">
        <v>950.59935302208464</v>
      </c>
      <c r="AB482" s="231" t="s">
        <v>239</v>
      </c>
      <c r="AC482" s="232">
        <v>938.88796899285251</v>
      </c>
      <c r="AD482" s="231" t="s">
        <v>239</v>
      </c>
      <c r="AE482" s="232">
        <v>927.32086921486052</v>
      </c>
      <c r="AF482" s="231" t="s">
        <v>239</v>
      </c>
      <c r="AG482" s="232">
        <v>915.89627610613343</v>
      </c>
      <c r="AH482" s="231" t="s">
        <v>239</v>
      </c>
      <c r="AI482" s="232">
        <v>904.61243398450586</v>
      </c>
      <c r="AJ482" s="231" t="s">
        <v>239</v>
      </c>
      <c r="AK482" s="232">
        <v>893.46760879781675</v>
      </c>
      <c r="AL482" s="232" t="s">
        <v>239</v>
      </c>
      <c r="AM482" s="232">
        <v>11488.629232351635</v>
      </c>
    </row>
    <row r="483" spans="1:39" ht="15" customHeight="1" outlineLevel="1">
      <c r="A483" s="411">
        <v>237</v>
      </c>
      <c r="B483" s="10">
        <v>129237</v>
      </c>
      <c r="C483" s="218" t="s">
        <v>1489</v>
      </c>
      <c r="D483" s="218" t="s">
        <v>1490</v>
      </c>
      <c r="E483" s="23" t="s">
        <v>44</v>
      </c>
      <c r="F483" s="17" t="s">
        <v>45</v>
      </c>
      <c r="G483" s="11" t="s">
        <v>1432</v>
      </c>
      <c r="H483" s="12">
        <v>19</v>
      </c>
      <c r="I483" s="11" t="s">
        <v>1433</v>
      </c>
      <c r="J483" s="192" t="s">
        <v>1452</v>
      </c>
      <c r="K483" s="17" t="s">
        <v>233</v>
      </c>
      <c r="L483" s="17" t="s">
        <v>233</v>
      </c>
      <c r="M483" s="231">
        <v>0</v>
      </c>
      <c r="N483" s="232">
        <v>0</v>
      </c>
      <c r="O483" s="132"/>
      <c r="P483" s="231" t="s">
        <v>239</v>
      </c>
      <c r="Q483" s="232">
        <v>0</v>
      </c>
      <c r="R483" s="231" t="s">
        <v>239</v>
      </c>
      <c r="S483" s="232">
        <v>0</v>
      </c>
      <c r="T483" s="231" t="s">
        <v>239</v>
      </c>
      <c r="U483" s="232">
        <v>0</v>
      </c>
      <c r="V483" s="231" t="s">
        <v>239</v>
      </c>
      <c r="W483" s="232">
        <v>0</v>
      </c>
      <c r="X483" s="231" t="s">
        <v>239</v>
      </c>
      <c r="Y483" s="232">
        <v>0</v>
      </c>
      <c r="Z483" s="231" t="s">
        <v>239</v>
      </c>
      <c r="AA483" s="232">
        <v>0</v>
      </c>
      <c r="AB483" s="231" t="s">
        <v>239</v>
      </c>
      <c r="AC483" s="232">
        <v>0</v>
      </c>
      <c r="AD483" s="231" t="s">
        <v>239</v>
      </c>
      <c r="AE483" s="232">
        <v>0</v>
      </c>
      <c r="AF483" s="231" t="s">
        <v>239</v>
      </c>
      <c r="AG483" s="232">
        <v>0</v>
      </c>
      <c r="AH483" s="231" t="s">
        <v>239</v>
      </c>
      <c r="AI483" s="232">
        <v>0</v>
      </c>
      <c r="AJ483" s="231" t="s">
        <v>239</v>
      </c>
      <c r="AK483" s="232">
        <v>0</v>
      </c>
      <c r="AL483" s="232" t="s">
        <v>239</v>
      </c>
      <c r="AM483" s="232">
        <v>0</v>
      </c>
    </row>
    <row r="484" spans="1:39" ht="15" customHeight="1" outlineLevel="1">
      <c r="A484" s="412"/>
      <c r="B484" s="10">
        <v>129237</v>
      </c>
      <c r="C484" s="218" t="s">
        <v>1489</v>
      </c>
      <c r="D484" s="218" t="s">
        <v>1490</v>
      </c>
      <c r="E484" s="23" t="s">
        <v>138</v>
      </c>
      <c r="F484" s="17" t="s">
        <v>45</v>
      </c>
      <c r="G484" s="11" t="s">
        <v>1432</v>
      </c>
      <c r="H484" s="12">
        <v>6</v>
      </c>
      <c r="I484" s="11" t="s">
        <v>1433</v>
      </c>
      <c r="J484" s="374" t="s">
        <v>207</v>
      </c>
      <c r="K484" s="17" t="s">
        <v>233</v>
      </c>
      <c r="L484" s="17" t="s">
        <v>233</v>
      </c>
      <c r="M484" s="231">
        <v>4980</v>
      </c>
      <c r="N484" s="232">
        <v>4919.5428000000002</v>
      </c>
      <c r="O484" s="132">
        <v>666</v>
      </c>
      <c r="P484" s="231" t="s">
        <v>239</v>
      </c>
      <c r="Q484" s="232">
        <v>657.79488000000003</v>
      </c>
      <c r="R484" s="231" t="s">
        <v>239</v>
      </c>
      <c r="S484" s="232">
        <v>649.6908470784</v>
      </c>
      <c r="T484" s="231" t="s">
        <v>239</v>
      </c>
      <c r="U484" s="232">
        <v>641.68665584239409</v>
      </c>
      <c r="V484" s="230" t="s">
        <v>239</v>
      </c>
      <c r="W484" s="232">
        <v>633.78107624241579</v>
      </c>
      <c r="X484" s="231" t="s">
        <v>239</v>
      </c>
      <c r="Y484" s="232">
        <v>625.97289338310918</v>
      </c>
      <c r="Z484" s="231" t="s">
        <v>239</v>
      </c>
      <c r="AA484" s="232">
        <v>618.26090733662932</v>
      </c>
      <c r="AB484" s="231" t="s">
        <v>239</v>
      </c>
      <c r="AC484" s="232">
        <v>610.64393295824209</v>
      </c>
      <c r="AD484" s="231" t="s">
        <v>239</v>
      </c>
      <c r="AE484" s="232">
        <v>603.12079970419654</v>
      </c>
      <c r="AF484" s="231" t="s">
        <v>239</v>
      </c>
      <c r="AG484" s="232">
        <v>595.6903514518408</v>
      </c>
      <c r="AH484" s="231" t="s">
        <v>239</v>
      </c>
      <c r="AI484" s="232">
        <v>588.35144632195409</v>
      </c>
      <c r="AJ484" s="231" t="s">
        <v>239</v>
      </c>
      <c r="AK484" s="232">
        <v>581.10295650326759</v>
      </c>
      <c r="AL484" s="232" t="s">
        <v>239</v>
      </c>
      <c r="AM484" s="232">
        <v>7472.0967468224499</v>
      </c>
    </row>
    <row r="485" spans="1:39" ht="15" customHeight="1" outlineLevel="1">
      <c r="A485" s="411">
        <v>238</v>
      </c>
      <c r="B485" s="10">
        <v>129238</v>
      </c>
      <c r="C485" s="218" t="s">
        <v>1489</v>
      </c>
      <c r="D485" s="218" t="s">
        <v>1490</v>
      </c>
      <c r="E485" s="23" t="s">
        <v>44</v>
      </c>
      <c r="F485" s="17" t="s">
        <v>45</v>
      </c>
      <c r="G485" s="11" t="s">
        <v>1432</v>
      </c>
      <c r="H485" s="12">
        <v>15</v>
      </c>
      <c r="I485" s="11" t="s">
        <v>1433</v>
      </c>
      <c r="J485" s="375"/>
      <c r="K485" s="17" t="s">
        <v>233</v>
      </c>
      <c r="L485" s="17" t="s">
        <v>233</v>
      </c>
      <c r="M485" s="231">
        <v>1</v>
      </c>
      <c r="N485" s="231">
        <v>1</v>
      </c>
      <c r="O485" s="231">
        <v>1</v>
      </c>
      <c r="P485" s="231" t="s">
        <v>239</v>
      </c>
      <c r="Q485" s="231">
        <v>1</v>
      </c>
      <c r="R485" s="231" t="s">
        <v>239</v>
      </c>
      <c r="S485" s="231">
        <v>1</v>
      </c>
      <c r="T485" s="231" t="s">
        <v>239</v>
      </c>
      <c r="U485" s="231">
        <v>1</v>
      </c>
      <c r="V485" s="231" t="s">
        <v>239</v>
      </c>
      <c r="W485" s="231">
        <v>1</v>
      </c>
      <c r="X485" s="231" t="s">
        <v>239</v>
      </c>
      <c r="Y485" s="231">
        <v>1</v>
      </c>
      <c r="Z485" s="231" t="s">
        <v>239</v>
      </c>
      <c r="AA485" s="231">
        <v>1</v>
      </c>
      <c r="AB485" s="231" t="s">
        <v>239</v>
      </c>
      <c r="AC485" s="231">
        <v>1</v>
      </c>
      <c r="AD485" s="231" t="s">
        <v>239</v>
      </c>
      <c r="AE485" s="231">
        <v>1</v>
      </c>
      <c r="AF485" s="231" t="s">
        <v>239</v>
      </c>
      <c r="AG485" s="231">
        <v>1</v>
      </c>
      <c r="AH485" s="231" t="s">
        <v>239</v>
      </c>
      <c r="AI485" s="231">
        <v>1</v>
      </c>
      <c r="AJ485" s="231" t="s">
        <v>239</v>
      </c>
      <c r="AK485" s="231">
        <v>1</v>
      </c>
      <c r="AL485" s="232" t="s">
        <v>239</v>
      </c>
      <c r="AM485" s="232">
        <v>0</v>
      </c>
    </row>
    <row r="486" spans="1:39" ht="15" customHeight="1" outlineLevel="1">
      <c r="A486" s="412"/>
      <c r="B486" s="10">
        <v>129238</v>
      </c>
      <c r="C486" s="218" t="s">
        <v>1489</v>
      </c>
      <c r="D486" s="218" t="s">
        <v>1490</v>
      </c>
      <c r="E486" s="23" t="s">
        <v>138</v>
      </c>
      <c r="F486" s="17" t="s">
        <v>45</v>
      </c>
      <c r="G486" s="11" t="s">
        <v>1432</v>
      </c>
      <c r="H486" s="12">
        <v>19</v>
      </c>
      <c r="I486" s="11" t="s">
        <v>1433</v>
      </c>
      <c r="J486" s="193" t="s">
        <v>1460</v>
      </c>
      <c r="K486" s="17" t="s">
        <v>233</v>
      </c>
      <c r="L486" s="17" t="s">
        <v>233</v>
      </c>
      <c r="M486" s="231">
        <v>4126</v>
      </c>
      <c r="N486" s="232">
        <v>4075.9103599999999</v>
      </c>
      <c r="O486" s="132">
        <v>1634</v>
      </c>
      <c r="P486" s="231" t="s">
        <v>239</v>
      </c>
      <c r="Q486" s="232">
        <v>1613.8691200000001</v>
      </c>
      <c r="R486" s="231" t="s">
        <v>239</v>
      </c>
      <c r="S486" s="232">
        <v>1593.9862524416001</v>
      </c>
      <c r="T486" s="231" t="s">
        <v>239</v>
      </c>
      <c r="U486" s="232">
        <v>1574.3483418115195</v>
      </c>
      <c r="V486" s="231" t="s">
        <v>239</v>
      </c>
      <c r="W486" s="232">
        <v>1554.9523702404015</v>
      </c>
      <c r="X486" s="231" t="s">
        <v>239</v>
      </c>
      <c r="Y486" s="232">
        <v>1535.7953570390398</v>
      </c>
      <c r="Z486" s="231" t="s">
        <v>239</v>
      </c>
      <c r="AA486" s="232">
        <v>1516.8743582403188</v>
      </c>
      <c r="AB486" s="231" t="s">
        <v>239</v>
      </c>
      <c r="AC486" s="232">
        <v>1498.186466146798</v>
      </c>
      <c r="AD486" s="231" t="s">
        <v>239</v>
      </c>
      <c r="AE486" s="232">
        <v>1479.7288088838695</v>
      </c>
      <c r="AF486" s="231" t="s">
        <v>239</v>
      </c>
      <c r="AG486" s="232">
        <v>1461.4985499584202</v>
      </c>
      <c r="AH486" s="231" t="s">
        <v>239</v>
      </c>
      <c r="AI486" s="232">
        <v>1443.4928878229325</v>
      </c>
      <c r="AJ486" s="231" t="s">
        <v>239</v>
      </c>
      <c r="AK486" s="232">
        <v>1425.7090554449539</v>
      </c>
      <c r="AL486" s="232" t="s">
        <v>239</v>
      </c>
      <c r="AM486" s="232">
        <v>18332.441568029852</v>
      </c>
    </row>
    <row r="487" spans="1:39" ht="15" customHeight="1" outlineLevel="1">
      <c r="A487" s="411">
        <v>239</v>
      </c>
      <c r="B487" s="10">
        <v>129239</v>
      </c>
      <c r="C487" s="218" t="s">
        <v>1489</v>
      </c>
      <c r="D487" s="218" t="s">
        <v>1490</v>
      </c>
      <c r="E487" s="23" t="s">
        <v>44</v>
      </c>
      <c r="F487" s="17" t="s">
        <v>45</v>
      </c>
      <c r="G487" s="11" t="s">
        <v>1432</v>
      </c>
      <c r="H487" s="12">
        <v>22</v>
      </c>
      <c r="I487" s="11" t="s">
        <v>1433</v>
      </c>
      <c r="J487" s="193" t="s">
        <v>1442</v>
      </c>
      <c r="K487" s="17" t="s">
        <v>233</v>
      </c>
      <c r="L487" s="17" t="s">
        <v>233</v>
      </c>
      <c r="M487" s="231">
        <v>0</v>
      </c>
      <c r="N487" s="232">
        <v>0</v>
      </c>
      <c r="O487" s="132"/>
      <c r="P487" s="231" t="s">
        <v>239</v>
      </c>
      <c r="Q487" s="232">
        <v>0</v>
      </c>
      <c r="R487" s="231" t="s">
        <v>239</v>
      </c>
      <c r="S487" s="232">
        <v>0</v>
      </c>
      <c r="T487" s="231" t="s">
        <v>239</v>
      </c>
      <c r="U487" s="232">
        <v>0</v>
      </c>
      <c r="V487" s="230" t="s">
        <v>239</v>
      </c>
      <c r="W487" s="232">
        <v>0</v>
      </c>
      <c r="X487" s="231" t="s">
        <v>239</v>
      </c>
      <c r="Y487" s="232">
        <v>0</v>
      </c>
      <c r="Z487" s="231" t="s">
        <v>239</v>
      </c>
      <c r="AA487" s="232">
        <v>0</v>
      </c>
      <c r="AB487" s="231" t="s">
        <v>239</v>
      </c>
      <c r="AC487" s="232">
        <v>0</v>
      </c>
      <c r="AD487" s="231" t="s">
        <v>239</v>
      </c>
      <c r="AE487" s="232">
        <v>0</v>
      </c>
      <c r="AF487" s="231" t="s">
        <v>239</v>
      </c>
      <c r="AG487" s="232">
        <v>0</v>
      </c>
      <c r="AH487" s="231" t="s">
        <v>239</v>
      </c>
      <c r="AI487" s="232">
        <v>0</v>
      </c>
      <c r="AJ487" s="231" t="s">
        <v>239</v>
      </c>
      <c r="AK487" s="232">
        <v>0</v>
      </c>
      <c r="AL487" s="232" t="s">
        <v>239</v>
      </c>
      <c r="AM487" s="232">
        <v>0</v>
      </c>
    </row>
    <row r="488" spans="1:39" ht="15" customHeight="1" outlineLevel="1">
      <c r="A488" s="412"/>
      <c r="B488" s="10">
        <v>129239</v>
      </c>
      <c r="C488" s="218" t="s">
        <v>1489</v>
      </c>
      <c r="D488" s="218" t="s">
        <v>1490</v>
      </c>
      <c r="E488" s="23" t="s">
        <v>44</v>
      </c>
      <c r="F488" s="17" t="s">
        <v>45</v>
      </c>
      <c r="G488" s="11" t="s">
        <v>1432</v>
      </c>
      <c r="H488" s="12">
        <v>24</v>
      </c>
      <c r="I488" s="11" t="s">
        <v>1433</v>
      </c>
      <c r="J488" s="193" t="s">
        <v>1460</v>
      </c>
      <c r="K488" s="17" t="s">
        <v>233</v>
      </c>
      <c r="L488" s="17" t="s">
        <v>233</v>
      </c>
      <c r="M488" s="231">
        <v>0</v>
      </c>
      <c r="N488" s="232">
        <v>0</v>
      </c>
      <c r="O488" s="132">
        <v>0</v>
      </c>
      <c r="P488" s="231" t="s">
        <v>239</v>
      </c>
      <c r="Q488" s="232">
        <v>0</v>
      </c>
      <c r="R488" s="231" t="s">
        <v>239</v>
      </c>
      <c r="S488" s="232">
        <v>0</v>
      </c>
      <c r="T488" s="231" t="s">
        <v>239</v>
      </c>
      <c r="U488" s="232">
        <v>0</v>
      </c>
      <c r="V488" s="231" t="s">
        <v>239</v>
      </c>
      <c r="W488" s="232">
        <v>0</v>
      </c>
      <c r="X488" s="231" t="s">
        <v>239</v>
      </c>
      <c r="Y488" s="232">
        <v>0</v>
      </c>
      <c r="Z488" s="231" t="s">
        <v>239</v>
      </c>
      <c r="AA488" s="232">
        <v>0</v>
      </c>
      <c r="AB488" s="231" t="s">
        <v>239</v>
      </c>
      <c r="AC488" s="232">
        <v>0</v>
      </c>
      <c r="AD488" s="231" t="s">
        <v>239</v>
      </c>
      <c r="AE488" s="232">
        <v>0</v>
      </c>
      <c r="AF488" s="231" t="s">
        <v>239</v>
      </c>
      <c r="AG488" s="232">
        <v>0</v>
      </c>
      <c r="AH488" s="231" t="s">
        <v>239</v>
      </c>
      <c r="AI488" s="232">
        <v>0</v>
      </c>
      <c r="AJ488" s="231" t="s">
        <v>239</v>
      </c>
      <c r="AK488" s="232">
        <v>0</v>
      </c>
      <c r="AL488" s="232" t="s">
        <v>239</v>
      </c>
      <c r="AM488" s="232">
        <v>0</v>
      </c>
    </row>
    <row r="489" spans="1:39" ht="15" customHeight="1" outlineLevel="1">
      <c r="A489" s="411">
        <v>240</v>
      </c>
      <c r="B489" s="10">
        <v>129240</v>
      </c>
      <c r="C489" s="218" t="s">
        <v>1489</v>
      </c>
      <c r="D489" s="218" t="s">
        <v>1490</v>
      </c>
      <c r="E489" s="23" t="s">
        <v>138</v>
      </c>
      <c r="F489" s="17" t="s">
        <v>45</v>
      </c>
      <c r="G489" s="11" t="s">
        <v>1432</v>
      </c>
      <c r="H489" s="12">
        <v>16</v>
      </c>
      <c r="I489" s="11" t="s">
        <v>1433</v>
      </c>
      <c r="J489" s="193" t="s">
        <v>1457</v>
      </c>
      <c r="K489" s="17" t="s">
        <v>233</v>
      </c>
      <c r="L489" s="17" t="s">
        <v>233</v>
      </c>
      <c r="M489" s="231">
        <v>0</v>
      </c>
      <c r="N489" s="232">
        <v>0</v>
      </c>
      <c r="O489" s="132"/>
      <c r="P489" s="231" t="s">
        <v>239</v>
      </c>
      <c r="Q489" s="232">
        <v>0</v>
      </c>
      <c r="R489" s="231" t="s">
        <v>239</v>
      </c>
      <c r="S489" s="232">
        <v>0</v>
      </c>
      <c r="T489" s="231" t="s">
        <v>239</v>
      </c>
      <c r="U489" s="232">
        <v>0</v>
      </c>
      <c r="V489" s="231" t="s">
        <v>239</v>
      </c>
      <c r="W489" s="232">
        <v>0</v>
      </c>
      <c r="X489" s="231" t="s">
        <v>239</v>
      </c>
      <c r="Y489" s="232">
        <v>0</v>
      </c>
      <c r="Z489" s="231" t="s">
        <v>239</v>
      </c>
      <c r="AA489" s="232">
        <v>0</v>
      </c>
      <c r="AB489" s="231" t="s">
        <v>239</v>
      </c>
      <c r="AC489" s="232">
        <v>0</v>
      </c>
      <c r="AD489" s="231" t="s">
        <v>239</v>
      </c>
      <c r="AE489" s="232">
        <v>0</v>
      </c>
      <c r="AF489" s="231" t="s">
        <v>239</v>
      </c>
      <c r="AG489" s="232">
        <v>0</v>
      </c>
      <c r="AH489" s="231" t="s">
        <v>239</v>
      </c>
      <c r="AI489" s="232">
        <v>0</v>
      </c>
      <c r="AJ489" s="231" t="s">
        <v>239</v>
      </c>
      <c r="AK489" s="232">
        <v>0</v>
      </c>
      <c r="AL489" s="232" t="s">
        <v>239</v>
      </c>
      <c r="AM489" s="232">
        <v>0</v>
      </c>
    </row>
    <row r="490" spans="1:39" ht="15" customHeight="1" outlineLevel="1">
      <c r="A490" s="412"/>
      <c r="B490" s="10">
        <v>129240</v>
      </c>
      <c r="C490" s="218" t="s">
        <v>1489</v>
      </c>
      <c r="D490" s="218" t="s">
        <v>1490</v>
      </c>
      <c r="E490" s="23" t="s">
        <v>44</v>
      </c>
      <c r="F490" s="17" t="s">
        <v>45</v>
      </c>
      <c r="G490" s="11" t="s">
        <v>1432</v>
      </c>
      <c r="H490" s="12">
        <v>5</v>
      </c>
      <c r="I490" s="11" t="s">
        <v>1433</v>
      </c>
      <c r="J490" s="193" t="s">
        <v>617</v>
      </c>
      <c r="K490" s="17" t="s">
        <v>233</v>
      </c>
      <c r="L490" s="17" t="s">
        <v>233</v>
      </c>
      <c r="M490" s="231">
        <v>0</v>
      </c>
      <c r="N490" s="232">
        <v>0</v>
      </c>
      <c r="O490" s="132">
        <v>0</v>
      </c>
      <c r="P490" s="231" t="s">
        <v>239</v>
      </c>
      <c r="Q490" s="232">
        <v>0</v>
      </c>
      <c r="R490" s="231" t="s">
        <v>239</v>
      </c>
      <c r="S490" s="232">
        <v>0</v>
      </c>
      <c r="T490" s="231" t="s">
        <v>239</v>
      </c>
      <c r="U490" s="232">
        <v>0</v>
      </c>
      <c r="V490" s="230" t="s">
        <v>239</v>
      </c>
      <c r="W490" s="232">
        <v>0</v>
      </c>
      <c r="X490" s="231" t="s">
        <v>239</v>
      </c>
      <c r="Y490" s="232">
        <v>0</v>
      </c>
      <c r="Z490" s="231" t="s">
        <v>239</v>
      </c>
      <c r="AA490" s="232">
        <v>0</v>
      </c>
      <c r="AB490" s="231" t="s">
        <v>239</v>
      </c>
      <c r="AC490" s="232">
        <v>0</v>
      </c>
      <c r="AD490" s="231" t="s">
        <v>239</v>
      </c>
      <c r="AE490" s="232">
        <v>0</v>
      </c>
      <c r="AF490" s="231" t="s">
        <v>239</v>
      </c>
      <c r="AG490" s="232">
        <v>0</v>
      </c>
      <c r="AH490" s="231" t="s">
        <v>239</v>
      </c>
      <c r="AI490" s="232">
        <v>0</v>
      </c>
      <c r="AJ490" s="231" t="s">
        <v>239</v>
      </c>
      <c r="AK490" s="232">
        <v>0</v>
      </c>
      <c r="AL490" s="232" t="s">
        <v>239</v>
      </c>
      <c r="AM490" s="232">
        <v>0</v>
      </c>
    </row>
    <row r="491" spans="1:39" ht="15" customHeight="1" outlineLevel="1">
      <c r="A491" s="411">
        <v>241</v>
      </c>
      <c r="B491" s="10">
        <v>129241</v>
      </c>
      <c r="C491" s="218" t="s">
        <v>1489</v>
      </c>
      <c r="D491" s="218" t="s">
        <v>1490</v>
      </c>
      <c r="E491" s="23" t="s">
        <v>138</v>
      </c>
      <c r="F491" s="17" t="s">
        <v>45</v>
      </c>
      <c r="G491" s="11" t="s">
        <v>1432</v>
      </c>
      <c r="H491" s="12">
        <v>17</v>
      </c>
      <c r="I491" s="11" t="s">
        <v>1433</v>
      </c>
      <c r="J491" s="193" t="s">
        <v>216</v>
      </c>
      <c r="K491" s="17" t="s">
        <v>233</v>
      </c>
      <c r="L491" s="17" t="s">
        <v>233</v>
      </c>
      <c r="M491" s="231">
        <v>40</v>
      </c>
      <c r="N491" s="231">
        <v>40</v>
      </c>
      <c r="O491" s="231">
        <v>40</v>
      </c>
      <c r="P491" s="231" t="s">
        <v>239</v>
      </c>
      <c r="Q491" s="231">
        <v>40</v>
      </c>
      <c r="R491" s="231" t="s">
        <v>239</v>
      </c>
      <c r="S491" s="231">
        <v>40</v>
      </c>
      <c r="T491" s="231" t="s">
        <v>239</v>
      </c>
      <c r="U491" s="231">
        <v>40</v>
      </c>
      <c r="V491" s="231" t="s">
        <v>239</v>
      </c>
      <c r="W491" s="231">
        <v>40</v>
      </c>
      <c r="X491" s="231" t="s">
        <v>239</v>
      </c>
      <c r="Y491" s="231">
        <v>40</v>
      </c>
      <c r="Z491" s="231" t="s">
        <v>239</v>
      </c>
      <c r="AA491" s="231">
        <v>40</v>
      </c>
      <c r="AB491" s="231" t="s">
        <v>239</v>
      </c>
      <c r="AC491" s="231">
        <v>40</v>
      </c>
      <c r="AD491" s="231" t="s">
        <v>239</v>
      </c>
      <c r="AE491" s="231">
        <v>40</v>
      </c>
      <c r="AF491" s="231" t="s">
        <v>239</v>
      </c>
      <c r="AG491" s="231">
        <v>40</v>
      </c>
      <c r="AH491" s="231" t="s">
        <v>239</v>
      </c>
      <c r="AI491" s="231">
        <v>40</v>
      </c>
      <c r="AJ491" s="231" t="s">
        <v>239</v>
      </c>
      <c r="AK491" s="231">
        <v>40</v>
      </c>
      <c r="AL491" s="232" t="s">
        <v>239</v>
      </c>
      <c r="AM491" s="232">
        <v>0</v>
      </c>
    </row>
    <row r="492" spans="1:39" ht="15" customHeight="1" outlineLevel="1">
      <c r="A492" s="412"/>
      <c r="B492" s="10">
        <v>129241</v>
      </c>
      <c r="C492" s="218" t="s">
        <v>1489</v>
      </c>
      <c r="D492" s="218" t="s">
        <v>1490</v>
      </c>
      <c r="E492" s="23" t="s">
        <v>44</v>
      </c>
      <c r="F492" s="17" t="s">
        <v>45</v>
      </c>
      <c r="G492" s="11" t="s">
        <v>1432</v>
      </c>
      <c r="H492" s="12">
        <v>19</v>
      </c>
      <c r="I492" s="11" t="s">
        <v>1433</v>
      </c>
      <c r="J492" s="192" t="s">
        <v>1446</v>
      </c>
      <c r="K492" s="17" t="s">
        <v>233</v>
      </c>
      <c r="L492" s="17" t="s">
        <v>233</v>
      </c>
      <c r="M492" s="231">
        <v>11257</v>
      </c>
      <c r="N492" s="232">
        <v>11120.34002</v>
      </c>
      <c r="O492" s="132">
        <v>540</v>
      </c>
      <c r="P492" s="231" t="s">
        <v>239</v>
      </c>
      <c r="Q492" s="232">
        <v>533.34720000000004</v>
      </c>
      <c r="R492" s="231" t="s">
        <v>239</v>
      </c>
      <c r="S492" s="232">
        <v>526.77636249600005</v>
      </c>
      <c r="T492" s="231" t="s">
        <v>239</v>
      </c>
      <c r="U492" s="232">
        <v>520.28647771004933</v>
      </c>
      <c r="V492" s="231" t="s">
        <v>239</v>
      </c>
      <c r="W492" s="232">
        <v>513.87654830466147</v>
      </c>
      <c r="X492" s="231" t="s">
        <v>239</v>
      </c>
      <c r="Y492" s="232">
        <v>507.54558922954806</v>
      </c>
      <c r="Z492" s="231" t="s">
        <v>239</v>
      </c>
      <c r="AA492" s="232">
        <v>501.29262757024003</v>
      </c>
      <c r="AB492" s="231" t="s">
        <v>239</v>
      </c>
      <c r="AC492" s="232">
        <v>495.11670239857466</v>
      </c>
      <c r="AD492" s="231" t="s">
        <v>239</v>
      </c>
      <c r="AE492" s="232">
        <v>489.0168646250242</v>
      </c>
      <c r="AF492" s="231" t="s">
        <v>239</v>
      </c>
      <c r="AG492" s="232">
        <v>482.9921768528439</v>
      </c>
      <c r="AH492" s="231" t="s">
        <v>239</v>
      </c>
      <c r="AI492" s="232">
        <v>477.04171323401687</v>
      </c>
      <c r="AJ492" s="231" t="s">
        <v>239</v>
      </c>
      <c r="AK492" s="232">
        <v>471.1645593269738</v>
      </c>
      <c r="AL492" s="232" t="s">
        <v>239</v>
      </c>
      <c r="AM492" s="232">
        <v>6058.4568217479327</v>
      </c>
    </row>
    <row r="493" spans="1:39" ht="15" customHeight="1" outlineLevel="1">
      <c r="A493" s="411">
        <v>242</v>
      </c>
      <c r="B493" s="10">
        <v>129242</v>
      </c>
      <c r="C493" s="218" t="s">
        <v>1489</v>
      </c>
      <c r="D493" s="218" t="s">
        <v>1490</v>
      </c>
      <c r="E493" s="23" t="s">
        <v>44</v>
      </c>
      <c r="F493" s="17" t="s">
        <v>45</v>
      </c>
      <c r="G493" s="11" t="s">
        <v>1432</v>
      </c>
      <c r="H493" s="12">
        <v>18</v>
      </c>
      <c r="I493" s="11" t="s">
        <v>1433</v>
      </c>
      <c r="J493" s="192" t="s">
        <v>1481</v>
      </c>
      <c r="K493" s="17" t="s">
        <v>233</v>
      </c>
      <c r="L493" s="17" t="s">
        <v>233</v>
      </c>
      <c r="M493" s="231">
        <v>40</v>
      </c>
      <c r="N493" s="231">
        <v>40</v>
      </c>
      <c r="O493" s="231">
        <v>40</v>
      </c>
      <c r="P493" s="231" t="s">
        <v>239</v>
      </c>
      <c r="Q493" s="231">
        <v>40</v>
      </c>
      <c r="R493" s="231" t="s">
        <v>239</v>
      </c>
      <c r="S493" s="231">
        <v>40</v>
      </c>
      <c r="T493" s="231" t="s">
        <v>239</v>
      </c>
      <c r="U493" s="231">
        <v>40</v>
      </c>
      <c r="V493" s="230" t="s">
        <v>239</v>
      </c>
      <c r="W493" s="231">
        <v>40</v>
      </c>
      <c r="X493" s="231" t="s">
        <v>239</v>
      </c>
      <c r="Y493" s="231">
        <v>40</v>
      </c>
      <c r="Z493" s="231" t="s">
        <v>239</v>
      </c>
      <c r="AA493" s="231">
        <v>40</v>
      </c>
      <c r="AB493" s="231" t="s">
        <v>239</v>
      </c>
      <c r="AC493" s="231">
        <v>40</v>
      </c>
      <c r="AD493" s="231" t="s">
        <v>239</v>
      </c>
      <c r="AE493" s="231">
        <v>40</v>
      </c>
      <c r="AF493" s="231" t="s">
        <v>239</v>
      </c>
      <c r="AG493" s="231">
        <v>40</v>
      </c>
      <c r="AH493" s="231" t="s">
        <v>239</v>
      </c>
      <c r="AI493" s="231">
        <v>40</v>
      </c>
      <c r="AJ493" s="231" t="s">
        <v>239</v>
      </c>
      <c r="AK493" s="231">
        <v>40</v>
      </c>
      <c r="AL493" s="232" t="s">
        <v>239</v>
      </c>
      <c r="AM493" s="232">
        <v>0</v>
      </c>
    </row>
    <row r="494" spans="1:39" ht="15" customHeight="1" outlineLevel="1">
      <c r="A494" s="412"/>
      <c r="B494" s="10">
        <v>129242</v>
      </c>
      <c r="C494" s="218" t="s">
        <v>1489</v>
      </c>
      <c r="D494" s="218" t="s">
        <v>1490</v>
      </c>
      <c r="E494" s="23" t="s">
        <v>138</v>
      </c>
      <c r="F494" s="17" t="s">
        <v>45</v>
      </c>
      <c r="G494" s="11" t="s">
        <v>1432</v>
      </c>
      <c r="H494" s="12">
        <v>21</v>
      </c>
      <c r="I494" s="11" t="s">
        <v>1433</v>
      </c>
      <c r="J494" s="192" t="s">
        <v>208</v>
      </c>
      <c r="K494" s="17" t="s">
        <v>233</v>
      </c>
      <c r="L494" s="17" t="s">
        <v>233</v>
      </c>
      <c r="M494" s="231">
        <v>0</v>
      </c>
      <c r="N494" s="232">
        <v>0</v>
      </c>
      <c r="O494" s="132">
        <v>0</v>
      </c>
      <c r="P494" s="231" t="s">
        <v>239</v>
      </c>
      <c r="Q494" s="232">
        <v>0</v>
      </c>
      <c r="R494" s="231" t="s">
        <v>239</v>
      </c>
      <c r="S494" s="232">
        <v>0</v>
      </c>
      <c r="T494" s="231" t="s">
        <v>239</v>
      </c>
      <c r="U494" s="232">
        <v>0</v>
      </c>
      <c r="V494" s="231" t="s">
        <v>239</v>
      </c>
      <c r="W494" s="232">
        <v>0</v>
      </c>
      <c r="X494" s="231" t="s">
        <v>239</v>
      </c>
      <c r="Y494" s="232">
        <v>0</v>
      </c>
      <c r="Z494" s="231" t="s">
        <v>239</v>
      </c>
      <c r="AA494" s="232">
        <v>0</v>
      </c>
      <c r="AB494" s="231" t="s">
        <v>239</v>
      </c>
      <c r="AC494" s="232">
        <v>0</v>
      </c>
      <c r="AD494" s="231" t="s">
        <v>239</v>
      </c>
      <c r="AE494" s="232">
        <v>0</v>
      </c>
      <c r="AF494" s="231" t="s">
        <v>239</v>
      </c>
      <c r="AG494" s="232">
        <v>0</v>
      </c>
      <c r="AH494" s="231" t="s">
        <v>239</v>
      </c>
      <c r="AI494" s="232">
        <v>0</v>
      </c>
      <c r="AJ494" s="231" t="s">
        <v>239</v>
      </c>
      <c r="AK494" s="232">
        <v>0</v>
      </c>
      <c r="AL494" s="232" t="s">
        <v>239</v>
      </c>
      <c r="AM494" s="232">
        <v>0</v>
      </c>
    </row>
    <row r="495" spans="1:39" ht="15" customHeight="1" outlineLevel="1">
      <c r="A495" s="411">
        <v>243</v>
      </c>
      <c r="B495" s="10">
        <v>129243</v>
      </c>
      <c r="C495" s="218" t="s">
        <v>1489</v>
      </c>
      <c r="D495" s="218" t="s">
        <v>1490</v>
      </c>
      <c r="E495" s="23" t="s">
        <v>44</v>
      </c>
      <c r="F495" s="17" t="s">
        <v>45</v>
      </c>
      <c r="G495" s="11" t="s">
        <v>1432</v>
      </c>
      <c r="H495" s="12">
        <v>19</v>
      </c>
      <c r="I495" s="11" t="s">
        <v>1433</v>
      </c>
      <c r="J495" s="192" t="s">
        <v>1463</v>
      </c>
      <c r="K495" s="17" t="s">
        <v>233</v>
      </c>
      <c r="L495" s="17" t="s">
        <v>233</v>
      </c>
      <c r="M495" s="231">
        <v>1</v>
      </c>
      <c r="N495" s="231">
        <v>1</v>
      </c>
      <c r="O495" s="231">
        <v>1</v>
      </c>
      <c r="P495" s="231" t="s">
        <v>239</v>
      </c>
      <c r="Q495" s="231">
        <v>1</v>
      </c>
      <c r="R495" s="231" t="s">
        <v>239</v>
      </c>
      <c r="S495" s="231">
        <v>1</v>
      </c>
      <c r="T495" s="231" t="s">
        <v>239</v>
      </c>
      <c r="U495" s="231">
        <v>1</v>
      </c>
      <c r="V495" s="231" t="s">
        <v>239</v>
      </c>
      <c r="W495" s="231">
        <v>1</v>
      </c>
      <c r="X495" s="231" t="s">
        <v>239</v>
      </c>
      <c r="Y495" s="231">
        <v>1</v>
      </c>
      <c r="Z495" s="231" t="s">
        <v>239</v>
      </c>
      <c r="AA495" s="231">
        <v>1</v>
      </c>
      <c r="AB495" s="231" t="s">
        <v>239</v>
      </c>
      <c r="AC495" s="231">
        <v>1</v>
      </c>
      <c r="AD495" s="231" t="s">
        <v>239</v>
      </c>
      <c r="AE495" s="231">
        <v>1</v>
      </c>
      <c r="AF495" s="231" t="s">
        <v>239</v>
      </c>
      <c r="AG495" s="231">
        <v>1</v>
      </c>
      <c r="AH495" s="231" t="s">
        <v>239</v>
      </c>
      <c r="AI495" s="231">
        <v>1</v>
      </c>
      <c r="AJ495" s="231" t="s">
        <v>239</v>
      </c>
      <c r="AK495" s="231">
        <v>1</v>
      </c>
      <c r="AL495" s="232" t="s">
        <v>239</v>
      </c>
      <c r="AM495" s="232">
        <v>0</v>
      </c>
    </row>
    <row r="496" spans="1:39" ht="15" customHeight="1" outlineLevel="1">
      <c r="A496" s="412"/>
      <c r="B496" s="10">
        <v>129243</v>
      </c>
      <c r="C496" s="218" t="s">
        <v>1489</v>
      </c>
      <c r="D496" s="218" t="s">
        <v>1490</v>
      </c>
      <c r="E496" s="23" t="s">
        <v>138</v>
      </c>
      <c r="F496" s="17" t="s">
        <v>45</v>
      </c>
      <c r="G496" s="11" t="s">
        <v>1432</v>
      </c>
      <c r="H496" s="12">
        <v>30</v>
      </c>
      <c r="I496" s="11" t="s">
        <v>1433</v>
      </c>
      <c r="J496" s="192" t="s">
        <v>1482</v>
      </c>
      <c r="K496" s="17" t="s">
        <v>233</v>
      </c>
      <c r="L496" s="17" t="s">
        <v>233</v>
      </c>
      <c r="M496" s="231">
        <v>5462</v>
      </c>
      <c r="N496" s="232">
        <v>5395.6913199999999</v>
      </c>
      <c r="O496" s="132">
        <v>109</v>
      </c>
      <c r="P496" s="231" t="s">
        <v>239</v>
      </c>
      <c r="Q496" s="232">
        <v>107.65712000000001</v>
      </c>
      <c r="R496" s="231" t="s">
        <v>239</v>
      </c>
      <c r="S496" s="232">
        <v>106.3307842816</v>
      </c>
      <c r="T496" s="231" t="s">
        <v>239</v>
      </c>
      <c r="U496" s="232">
        <v>105.02078901925069</v>
      </c>
      <c r="V496" s="230" t="s">
        <v>239</v>
      </c>
      <c r="W496" s="232">
        <v>103.72693289853352</v>
      </c>
      <c r="X496" s="231" t="s">
        <v>239</v>
      </c>
      <c r="Y496" s="232">
        <v>102.44901708522359</v>
      </c>
      <c r="Z496" s="231" t="s">
        <v>239</v>
      </c>
      <c r="AA496" s="232">
        <v>101.18684519473364</v>
      </c>
      <c r="AB496" s="231" t="s">
        <v>239</v>
      </c>
      <c r="AC496" s="232">
        <v>99.94022326193452</v>
      </c>
      <c r="AD496" s="231" t="s">
        <v>239</v>
      </c>
      <c r="AE496" s="232">
        <v>98.708959711347489</v>
      </c>
      <c r="AF496" s="231" t="s">
        <v>239</v>
      </c>
      <c r="AG496" s="232">
        <v>97.492865327703683</v>
      </c>
      <c r="AH496" s="231" t="s">
        <v>239</v>
      </c>
      <c r="AI496" s="232">
        <v>96.291753226866376</v>
      </c>
      <c r="AJ496" s="231" t="s">
        <v>239</v>
      </c>
      <c r="AK496" s="232">
        <v>95.105438827111385</v>
      </c>
      <c r="AL496" s="232" t="s">
        <v>239</v>
      </c>
      <c r="AM496" s="232">
        <v>1222.9107288343048</v>
      </c>
    </row>
    <row r="497" spans="1:39" ht="15" customHeight="1" outlineLevel="1">
      <c r="A497" s="411">
        <v>244</v>
      </c>
      <c r="B497" s="10">
        <v>129244</v>
      </c>
      <c r="C497" s="218" t="s">
        <v>1489</v>
      </c>
      <c r="D497" s="218" t="s">
        <v>1490</v>
      </c>
      <c r="E497" s="23" t="s">
        <v>44</v>
      </c>
      <c r="F497" s="17" t="s">
        <v>45</v>
      </c>
      <c r="G497" s="11" t="s">
        <v>1432</v>
      </c>
      <c r="H497" s="12">
        <v>33</v>
      </c>
      <c r="I497" s="11" t="s">
        <v>1433</v>
      </c>
      <c r="J497" s="192" t="s">
        <v>1462</v>
      </c>
      <c r="K497" s="17" t="s">
        <v>233</v>
      </c>
      <c r="L497" s="17" t="s">
        <v>233</v>
      </c>
      <c r="M497" s="231">
        <v>21</v>
      </c>
      <c r="N497" s="231">
        <v>21</v>
      </c>
      <c r="O497" s="231">
        <v>21</v>
      </c>
      <c r="P497" s="231" t="s">
        <v>239</v>
      </c>
      <c r="Q497" s="231">
        <v>21</v>
      </c>
      <c r="R497" s="231" t="s">
        <v>239</v>
      </c>
      <c r="S497" s="231">
        <v>21</v>
      </c>
      <c r="T497" s="231" t="s">
        <v>239</v>
      </c>
      <c r="U497" s="231">
        <v>21</v>
      </c>
      <c r="V497" s="231" t="s">
        <v>239</v>
      </c>
      <c r="W497" s="231">
        <v>21</v>
      </c>
      <c r="X497" s="231" t="s">
        <v>239</v>
      </c>
      <c r="Y497" s="231">
        <v>21</v>
      </c>
      <c r="Z497" s="231" t="s">
        <v>239</v>
      </c>
      <c r="AA497" s="231">
        <v>21</v>
      </c>
      <c r="AB497" s="231" t="s">
        <v>239</v>
      </c>
      <c r="AC497" s="231">
        <v>21</v>
      </c>
      <c r="AD497" s="231" t="s">
        <v>239</v>
      </c>
      <c r="AE497" s="231">
        <v>21</v>
      </c>
      <c r="AF497" s="231" t="s">
        <v>239</v>
      </c>
      <c r="AG497" s="231">
        <v>21</v>
      </c>
      <c r="AH497" s="231" t="s">
        <v>239</v>
      </c>
      <c r="AI497" s="231">
        <v>21</v>
      </c>
      <c r="AJ497" s="231" t="s">
        <v>239</v>
      </c>
      <c r="AK497" s="231">
        <v>21</v>
      </c>
      <c r="AL497" s="232" t="s">
        <v>239</v>
      </c>
      <c r="AM497" s="232">
        <v>0</v>
      </c>
    </row>
    <row r="498" spans="1:39" ht="15" customHeight="1" outlineLevel="1">
      <c r="A498" s="412"/>
      <c r="B498" s="10">
        <v>129244</v>
      </c>
      <c r="C498" s="218" t="s">
        <v>1489</v>
      </c>
      <c r="D498" s="218" t="s">
        <v>1490</v>
      </c>
      <c r="E498" s="23" t="s">
        <v>44</v>
      </c>
      <c r="F498" s="17" t="s">
        <v>45</v>
      </c>
      <c r="G498" s="11" t="s">
        <v>1432</v>
      </c>
      <c r="H498" s="12">
        <v>19</v>
      </c>
      <c r="I498" s="11" t="s">
        <v>1433</v>
      </c>
      <c r="J498" s="192" t="s">
        <v>1457</v>
      </c>
      <c r="K498" s="17" t="s">
        <v>233</v>
      </c>
      <c r="L498" s="17" t="s">
        <v>233</v>
      </c>
      <c r="M498" s="231">
        <v>2700</v>
      </c>
      <c r="N498" s="232">
        <v>2667.2219999999998</v>
      </c>
      <c r="O498" s="132">
        <v>131</v>
      </c>
      <c r="P498" s="231" t="s">
        <v>239</v>
      </c>
      <c r="Q498" s="232">
        <v>129.38607999999999</v>
      </c>
      <c r="R498" s="231" t="s">
        <v>239</v>
      </c>
      <c r="S498" s="232">
        <v>127.79204349439999</v>
      </c>
      <c r="T498" s="231" t="s">
        <v>239</v>
      </c>
      <c r="U498" s="232">
        <v>126.21764551854898</v>
      </c>
      <c r="V498" s="231" t="s">
        <v>239</v>
      </c>
      <c r="W498" s="232">
        <v>124.66264412576045</v>
      </c>
      <c r="X498" s="231" t="s">
        <v>239</v>
      </c>
      <c r="Y498" s="232">
        <v>123.12680035013108</v>
      </c>
      <c r="Z498" s="231" t="s">
        <v>239</v>
      </c>
      <c r="AA498" s="232">
        <v>121.60987816981746</v>
      </c>
      <c r="AB498" s="231" t="s">
        <v>239</v>
      </c>
      <c r="AC498" s="232">
        <v>120.11164447076531</v>
      </c>
      <c r="AD498" s="231" t="s">
        <v>239</v>
      </c>
      <c r="AE498" s="232">
        <v>118.63186901088548</v>
      </c>
      <c r="AF498" s="231" t="s">
        <v>239</v>
      </c>
      <c r="AG498" s="232">
        <v>117.17032438467137</v>
      </c>
      <c r="AH498" s="231" t="s">
        <v>239</v>
      </c>
      <c r="AI498" s="232">
        <v>115.72678598825222</v>
      </c>
      <c r="AJ498" s="231" t="s">
        <v>239</v>
      </c>
      <c r="AK498" s="232">
        <v>114.30103198487696</v>
      </c>
      <c r="AL498" s="232" t="s">
        <v>239</v>
      </c>
      <c r="AM498" s="232">
        <v>1469.7367474981093</v>
      </c>
    </row>
    <row r="499" spans="1:39" ht="15" customHeight="1" outlineLevel="1">
      <c r="A499" s="411">
        <v>245</v>
      </c>
      <c r="B499" s="10">
        <v>129245</v>
      </c>
      <c r="C499" s="218" t="s">
        <v>1489</v>
      </c>
      <c r="D499" s="218" t="s">
        <v>1490</v>
      </c>
      <c r="E499" s="23" t="s">
        <v>44</v>
      </c>
      <c r="F499" s="17" t="s">
        <v>45</v>
      </c>
      <c r="G499" s="11" t="s">
        <v>1432</v>
      </c>
      <c r="H499" s="12">
        <v>6</v>
      </c>
      <c r="I499" s="11" t="s">
        <v>1433</v>
      </c>
      <c r="J499" s="192" t="s">
        <v>617</v>
      </c>
      <c r="K499" s="17" t="s">
        <v>233</v>
      </c>
      <c r="L499" s="17" t="s">
        <v>233</v>
      </c>
      <c r="M499" s="231">
        <v>23</v>
      </c>
      <c r="N499" s="231">
        <v>23</v>
      </c>
      <c r="O499" s="231">
        <v>23</v>
      </c>
      <c r="P499" s="231" t="s">
        <v>239</v>
      </c>
      <c r="Q499" s="231">
        <v>23</v>
      </c>
      <c r="R499" s="231" t="s">
        <v>239</v>
      </c>
      <c r="S499" s="231">
        <v>23</v>
      </c>
      <c r="T499" s="231" t="s">
        <v>239</v>
      </c>
      <c r="U499" s="231">
        <v>23</v>
      </c>
      <c r="V499" s="230" t="s">
        <v>239</v>
      </c>
      <c r="W499" s="231">
        <v>23</v>
      </c>
      <c r="X499" s="231" t="s">
        <v>239</v>
      </c>
      <c r="Y499" s="231">
        <v>23</v>
      </c>
      <c r="Z499" s="231" t="s">
        <v>239</v>
      </c>
      <c r="AA499" s="231">
        <v>23</v>
      </c>
      <c r="AB499" s="231" t="s">
        <v>239</v>
      </c>
      <c r="AC499" s="231">
        <v>23</v>
      </c>
      <c r="AD499" s="231" t="s">
        <v>239</v>
      </c>
      <c r="AE499" s="231">
        <v>23</v>
      </c>
      <c r="AF499" s="231" t="s">
        <v>239</v>
      </c>
      <c r="AG499" s="231">
        <v>23</v>
      </c>
      <c r="AH499" s="231" t="s">
        <v>239</v>
      </c>
      <c r="AI499" s="231">
        <v>23</v>
      </c>
      <c r="AJ499" s="231" t="s">
        <v>239</v>
      </c>
      <c r="AK499" s="231">
        <v>23</v>
      </c>
      <c r="AL499" s="232" t="s">
        <v>239</v>
      </c>
      <c r="AM499" s="232">
        <v>0</v>
      </c>
    </row>
    <row r="500" spans="1:39" ht="15" customHeight="1" outlineLevel="1">
      <c r="A500" s="412"/>
      <c r="B500" s="10">
        <v>129245</v>
      </c>
      <c r="C500" s="218" t="s">
        <v>1489</v>
      </c>
      <c r="D500" s="218" t="s">
        <v>1490</v>
      </c>
      <c r="E500" s="23" t="s">
        <v>138</v>
      </c>
      <c r="F500" s="17" t="s">
        <v>45</v>
      </c>
      <c r="G500" s="11" t="s">
        <v>1432</v>
      </c>
      <c r="H500" s="12">
        <v>15</v>
      </c>
      <c r="I500" s="11" t="s">
        <v>1433</v>
      </c>
      <c r="J500" s="374" t="s">
        <v>1457</v>
      </c>
      <c r="K500" s="17" t="s">
        <v>233</v>
      </c>
      <c r="L500" s="17" t="s">
        <v>233</v>
      </c>
      <c r="M500" s="231">
        <v>6120</v>
      </c>
      <c r="N500" s="232">
        <v>6045.7031999999999</v>
      </c>
      <c r="O500" s="132">
        <v>333</v>
      </c>
      <c r="P500" s="231" t="s">
        <v>239</v>
      </c>
      <c r="Q500" s="232">
        <v>328.89744000000002</v>
      </c>
      <c r="R500" s="231" t="s">
        <v>239</v>
      </c>
      <c r="S500" s="232">
        <v>324.8454235392</v>
      </c>
      <c r="T500" s="231" t="s">
        <v>239</v>
      </c>
      <c r="U500" s="232">
        <v>320.84332792119704</v>
      </c>
      <c r="V500" s="231" t="s">
        <v>239</v>
      </c>
      <c r="W500" s="232">
        <v>316.8905381212079</v>
      </c>
      <c r="X500" s="231" t="s">
        <v>239</v>
      </c>
      <c r="Y500" s="232">
        <v>312.98644669155459</v>
      </c>
      <c r="Z500" s="231" t="s">
        <v>239</v>
      </c>
      <c r="AA500" s="232">
        <v>309.13045366831466</v>
      </c>
      <c r="AB500" s="231" t="s">
        <v>239</v>
      </c>
      <c r="AC500" s="232">
        <v>305.32196647912104</v>
      </c>
      <c r="AD500" s="231" t="s">
        <v>239</v>
      </c>
      <c r="AE500" s="232">
        <v>301.56039985209827</v>
      </c>
      <c r="AF500" s="231" t="s">
        <v>239</v>
      </c>
      <c r="AG500" s="232">
        <v>297.8451757259204</v>
      </c>
      <c r="AH500" s="231" t="s">
        <v>239</v>
      </c>
      <c r="AI500" s="232">
        <v>294.17572316097704</v>
      </c>
      <c r="AJ500" s="231" t="s">
        <v>239</v>
      </c>
      <c r="AK500" s="232">
        <v>290.5514782516338</v>
      </c>
      <c r="AL500" s="232" t="s">
        <v>239</v>
      </c>
      <c r="AM500" s="232">
        <v>3736.0483734112249</v>
      </c>
    </row>
    <row r="501" spans="1:39" ht="15" customHeight="1" outlineLevel="1">
      <c r="A501" s="411">
        <v>246</v>
      </c>
      <c r="B501" s="10">
        <v>129246</v>
      </c>
      <c r="C501" s="218" t="s">
        <v>1489</v>
      </c>
      <c r="D501" s="218" t="s">
        <v>1490</v>
      </c>
      <c r="E501" s="23" t="s">
        <v>44</v>
      </c>
      <c r="F501" s="17" t="s">
        <v>45</v>
      </c>
      <c r="G501" s="11" t="s">
        <v>1432</v>
      </c>
      <c r="H501" s="12">
        <v>19</v>
      </c>
      <c r="I501" s="11" t="s">
        <v>1433</v>
      </c>
      <c r="J501" s="375"/>
      <c r="K501" s="17" t="s">
        <v>233</v>
      </c>
      <c r="L501" s="17" t="s">
        <v>233</v>
      </c>
      <c r="M501" s="231">
        <v>23</v>
      </c>
      <c r="N501" s="231">
        <v>23</v>
      </c>
      <c r="O501" s="231">
        <v>23</v>
      </c>
      <c r="P501" s="231" t="s">
        <v>239</v>
      </c>
      <c r="Q501" s="231">
        <v>23</v>
      </c>
      <c r="R501" s="231" t="s">
        <v>239</v>
      </c>
      <c r="S501" s="231">
        <v>23</v>
      </c>
      <c r="T501" s="231" t="s">
        <v>239</v>
      </c>
      <c r="U501" s="231">
        <v>23</v>
      </c>
      <c r="V501" s="231" t="s">
        <v>239</v>
      </c>
      <c r="W501" s="231">
        <v>23</v>
      </c>
      <c r="X501" s="231" t="s">
        <v>239</v>
      </c>
      <c r="Y501" s="231">
        <v>23</v>
      </c>
      <c r="Z501" s="231" t="s">
        <v>239</v>
      </c>
      <c r="AA501" s="231">
        <v>23</v>
      </c>
      <c r="AB501" s="231" t="s">
        <v>239</v>
      </c>
      <c r="AC501" s="231">
        <v>23</v>
      </c>
      <c r="AD501" s="231" t="s">
        <v>239</v>
      </c>
      <c r="AE501" s="231">
        <v>23</v>
      </c>
      <c r="AF501" s="231" t="s">
        <v>239</v>
      </c>
      <c r="AG501" s="231">
        <v>23</v>
      </c>
      <c r="AH501" s="231" t="s">
        <v>239</v>
      </c>
      <c r="AI501" s="231">
        <v>23</v>
      </c>
      <c r="AJ501" s="231" t="s">
        <v>239</v>
      </c>
      <c r="AK501" s="231">
        <v>23</v>
      </c>
      <c r="AL501" s="232" t="s">
        <v>239</v>
      </c>
      <c r="AM501" s="232">
        <v>0</v>
      </c>
    </row>
    <row r="502" spans="1:39" ht="15" customHeight="1" outlineLevel="1">
      <c r="A502" s="412"/>
      <c r="B502" s="10">
        <v>129246</v>
      </c>
      <c r="C502" s="218" t="s">
        <v>1489</v>
      </c>
      <c r="D502" s="218" t="s">
        <v>1490</v>
      </c>
      <c r="E502" s="23" t="s">
        <v>138</v>
      </c>
      <c r="F502" s="17" t="s">
        <v>45</v>
      </c>
      <c r="G502" s="11" t="s">
        <v>1432</v>
      </c>
      <c r="H502" s="12">
        <v>22</v>
      </c>
      <c r="I502" s="11" t="s">
        <v>1433</v>
      </c>
      <c r="J502" s="191" t="s">
        <v>216</v>
      </c>
      <c r="K502" s="17" t="s">
        <v>233</v>
      </c>
      <c r="L502" s="17" t="s">
        <v>233</v>
      </c>
      <c r="M502" s="231">
        <v>0</v>
      </c>
      <c r="N502" s="232">
        <v>0</v>
      </c>
      <c r="O502" s="132"/>
      <c r="P502" s="231" t="s">
        <v>239</v>
      </c>
      <c r="Q502" s="232">
        <v>0</v>
      </c>
      <c r="R502" s="231" t="s">
        <v>239</v>
      </c>
      <c r="S502" s="232">
        <v>0</v>
      </c>
      <c r="T502" s="231" t="s">
        <v>239</v>
      </c>
      <c r="U502" s="232">
        <v>0</v>
      </c>
      <c r="V502" s="230" t="s">
        <v>239</v>
      </c>
      <c r="W502" s="232">
        <v>0</v>
      </c>
      <c r="X502" s="231" t="s">
        <v>239</v>
      </c>
      <c r="Y502" s="232">
        <v>0</v>
      </c>
      <c r="Z502" s="231" t="s">
        <v>239</v>
      </c>
      <c r="AA502" s="232">
        <v>0</v>
      </c>
      <c r="AB502" s="231" t="s">
        <v>239</v>
      </c>
      <c r="AC502" s="232">
        <v>0</v>
      </c>
      <c r="AD502" s="231" t="s">
        <v>239</v>
      </c>
      <c r="AE502" s="232">
        <v>0</v>
      </c>
      <c r="AF502" s="231" t="s">
        <v>239</v>
      </c>
      <c r="AG502" s="232">
        <v>0</v>
      </c>
      <c r="AH502" s="231" t="s">
        <v>239</v>
      </c>
      <c r="AI502" s="232">
        <v>0</v>
      </c>
      <c r="AJ502" s="231" t="s">
        <v>239</v>
      </c>
      <c r="AK502" s="232">
        <v>0</v>
      </c>
      <c r="AL502" s="232" t="s">
        <v>239</v>
      </c>
      <c r="AM502" s="232">
        <v>0</v>
      </c>
    </row>
    <row r="503" spans="1:39" ht="15" customHeight="1" outlineLevel="1">
      <c r="A503" s="411">
        <v>247</v>
      </c>
      <c r="B503" s="10">
        <v>129247</v>
      </c>
      <c r="C503" s="218" t="s">
        <v>1489</v>
      </c>
      <c r="D503" s="218" t="s">
        <v>1490</v>
      </c>
      <c r="E503" s="23" t="s">
        <v>44</v>
      </c>
      <c r="F503" s="17" t="s">
        <v>45</v>
      </c>
      <c r="G503" s="11" t="s">
        <v>1432</v>
      </c>
      <c r="H503" s="12">
        <v>24</v>
      </c>
      <c r="I503" s="11" t="s">
        <v>1433</v>
      </c>
      <c r="J503" s="192" t="s">
        <v>1434</v>
      </c>
      <c r="K503" s="17" t="s">
        <v>233</v>
      </c>
      <c r="L503" s="17" t="s">
        <v>233</v>
      </c>
      <c r="M503" s="231">
        <v>40</v>
      </c>
      <c r="N503" s="231">
        <v>40</v>
      </c>
      <c r="O503" s="231">
        <v>40</v>
      </c>
      <c r="P503" s="231" t="s">
        <v>239</v>
      </c>
      <c r="Q503" s="231">
        <v>40</v>
      </c>
      <c r="R503" s="231" t="s">
        <v>239</v>
      </c>
      <c r="S503" s="231">
        <v>40</v>
      </c>
      <c r="T503" s="231" t="s">
        <v>239</v>
      </c>
      <c r="U503" s="231">
        <v>40</v>
      </c>
      <c r="V503" s="231" t="s">
        <v>239</v>
      </c>
      <c r="W503" s="231">
        <v>40</v>
      </c>
      <c r="X503" s="231" t="s">
        <v>239</v>
      </c>
      <c r="Y503" s="231">
        <v>40</v>
      </c>
      <c r="Z503" s="231" t="s">
        <v>239</v>
      </c>
      <c r="AA503" s="231">
        <v>40</v>
      </c>
      <c r="AB503" s="231" t="s">
        <v>239</v>
      </c>
      <c r="AC503" s="231">
        <v>40</v>
      </c>
      <c r="AD503" s="231" t="s">
        <v>239</v>
      </c>
      <c r="AE503" s="231">
        <v>40</v>
      </c>
      <c r="AF503" s="231" t="s">
        <v>239</v>
      </c>
      <c r="AG503" s="231">
        <v>40</v>
      </c>
      <c r="AH503" s="231" t="s">
        <v>239</v>
      </c>
      <c r="AI503" s="231">
        <v>40</v>
      </c>
      <c r="AJ503" s="231" t="s">
        <v>239</v>
      </c>
      <c r="AK503" s="231">
        <v>40</v>
      </c>
      <c r="AL503" s="232" t="s">
        <v>239</v>
      </c>
      <c r="AM503" s="232">
        <v>0</v>
      </c>
    </row>
    <row r="504" spans="1:39" ht="15" customHeight="1" outlineLevel="1">
      <c r="A504" s="412"/>
      <c r="B504" s="10">
        <v>129247</v>
      </c>
      <c r="C504" s="218" t="s">
        <v>1489</v>
      </c>
      <c r="D504" s="218" t="s">
        <v>1490</v>
      </c>
      <c r="E504" s="23" t="s">
        <v>44</v>
      </c>
      <c r="F504" s="17" t="s">
        <v>45</v>
      </c>
      <c r="G504" s="11" t="s">
        <v>1432</v>
      </c>
      <c r="H504" s="12">
        <v>16</v>
      </c>
      <c r="I504" s="11" t="s">
        <v>1433</v>
      </c>
      <c r="J504" s="192" t="s">
        <v>1480</v>
      </c>
      <c r="K504" s="17" t="s">
        <v>233</v>
      </c>
      <c r="L504" s="17" t="s">
        <v>233</v>
      </c>
      <c r="M504" s="231">
        <v>7392</v>
      </c>
      <c r="N504" s="232">
        <v>7302.2611200000001</v>
      </c>
      <c r="O504" s="132">
        <v>48</v>
      </c>
      <c r="P504" s="231" t="s">
        <v>239</v>
      </c>
      <c r="Q504" s="232">
        <v>47.408639999999998</v>
      </c>
      <c r="R504" s="231" t="s">
        <v>239</v>
      </c>
      <c r="S504" s="232">
        <v>46.824565555199996</v>
      </c>
      <c r="T504" s="231" t="s">
        <v>239</v>
      </c>
      <c r="U504" s="232">
        <v>46.247686907559931</v>
      </c>
      <c r="V504" s="231" t="s">
        <v>239</v>
      </c>
      <c r="W504" s="232">
        <v>45.677915404858794</v>
      </c>
      <c r="X504" s="231" t="s">
        <v>239</v>
      </c>
      <c r="Y504" s="232">
        <v>45.115163487070937</v>
      </c>
      <c r="Z504" s="231" t="s">
        <v>239</v>
      </c>
      <c r="AA504" s="232">
        <v>44.559344672910221</v>
      </c>
      <c r="AB504" s="231" t="s">
        <v>239</v>
      </c>
      <c r="AC504" s="232">
        <v>44.010373546539967</v>
      </c>
      <c r="AD504" s="231" t="s">
        <v>239</v>
      </c>
      <c r="AE504" s="232">
        <v>43.468165744446594</v>
      </c>
      <c r="AF504" s="231" t="s">
        <v>239</v>
      </c>
      <c r="AG504" s="232">
        <v>42.932637942475012</v>
      </c>
      <c r="AH504" s="231" t="s">
        <v>239</v>
      </c>
      <c r="AI504" s="232">
        <v>42.403707843023717</v>
      </c>
      <c r="AJ504" s="231" t="s">
        <v>239</v>
      </c>
      <c r="AK504" s="232">
        <v>41.881294162397666</v>
      </c>
      <c r="AL504" s="232" t="s">
        <v>239</v>
      </c>
      <c r="AM504" s="232">
        <v>538.52949526648285</v>
      </c>
    </row>
    <row r="505" spans="1:39" ht="15" customHeight="1" outlineLevel="1">
      <c r="A505" s="411">
        <v>248</v>
      </c>
      <c r="B505" s="10">
        <v>129248</v>
      </c>
      <c r="C505" s="218" t="s">
        <v>1489</v>
      </c>
      <c r="D505" s="218" t="s">
        <v>1490</v>
      </c>
      <c r="E505" s="23" t="s">
        <v>138</v>
      </c>
      <c r="F505" s="17" t="s">
        <v>45</v>
      </c>
      <c r="G505" s="11" t="s">
        <v>1432</v>
      </c>
      <c r="H505" s="12">
        <v>5</v>
      </c>
      <c r="I505" s="11" t="s">
        <v>1433</v>
      </c>
      <c r="J505" s="192" t="s">
        <v>1452</v>
      </c>
      <c r="K505" s="17" t="s">
        <v>233</v>
      </c>
      <c r="L505" s="17" t="s">
        <v>233</v>
      </c>
      <c r="M505" s="231">
        <v>40</v>
      </c>
      <c r="N505" s="231">
        <v>40</v>
      </c>
      <c r="O505" s="231">
        <v>40</v>
      </c>
      <c r="P505" s="231" t="s">
        <v>239</v>
      </c>
      <c r="Q505" s="231">
        <v>40</v>
      </c>
      <c r="R505" s="231" t="s">
        <v>239</v>
      </c>
      <c r="S505" s="231">
        <v>40</v>
      </c>
      <c r="T505" s="231" t="s">
        <v>239</v>
      </c>
      <c r="U505" s="231">
        <v>40</v>
      </c>
      <c r="V505" s="230" t="s">
        <v>239</v>
      </c>
      <c r="W505" s="231">
        <v>40</v>
      </c>
      <c r="X505" s="231" t="s">
        <v>239</v>
      </c>
      <c r="Y505" s="231">
        <v>40</v>
      </c>
      <c r="Z505" s="231" t="s">
        <v>239</v>
      </c>
      <c r="AA505" s="231">
        <v>40</v>
      </c>
      <c r="AB505" s="231" t="s">
        <v>239</v>
      </c>
      <c r="AC505" s="231">
        <v>40</v>
      </c>
      <c r="AD505" s="231" t="s">
        <v>239</v>
      </c>
      <c r="AE505" s="231">
        <v>40</v>
      </c>
      <c r="AF505" s="231" t="s">
        <v>239</v>
      </c>
      <c r="AG505" s="231">
        <v>40</v>
      </c>
      <c r="AH505" s="231" t="s">
        <v>239</v>
      </c>
      <c r="AI505" s="231">
        <v>40</v>
      </c>
      <c r="AJ505" s="231" t="s">
        <v>239</v>
      </c>
      <c r="AK505" s="231">
        <v>40</v>
      </c>
      <c r="AL505" s="232" t="s">
        <v>239</v>
      </c>
      <c r="AM505" s="232">
        <v>0</v>
      </c>
    </row>
    <row r="506" spans="1:39" ht="15" customHeight="1" outlineLevel="1">
      <c r="A506" s="412"/>
      <c r="B506" s="10">
        <v>129248</v>
      </c>
      <c r="C506" s="218" t="s">
        <v>1489</v>
      </c>
      <c r="D506" s="218" t="s">
        <v>1490</v>
      </c>
      <c r="E506" s="23" t="s">
        <v>44</v>
      </c>
      <c r="F506" s="17" t="s">
        <v>45</v>
      </c>
      <c r="G506" s="11" t="s">
        <v>1432</v>
      </c>
      <c r="H506" s="12">
        <v>21</v>
      </c>
      <c r="I506" s="11" t="s">
        <v>1433</v>
      </c>
      <c r="J506" s="374" t="s">
        <v>207</v>
      </c>
      <c r="K506" s="17" t="s">
        <v>233</v>
      </c>
      <c r="L506" s="17" t="s">
        <v>233</v>
      </c>
      <c r="M506" s="231">
        <v>0</v>
      </c>
      <c r="N506" s="232">
        <v>0</v>
      </c>
      <c r="O506" s="132"/>
      <c r="P506" s="231" t="s">
        <v>239</v>
      </c>
      <c r="Q506" s="232">
        <v>0</v>
      </c>
      <c r="R506" s="231" t="s">
        <v>239</v>
      </c>
      <c r="S506" s="232">
        <v>0</v>
      </c>
      <c r="T506" s="231" t="s">
        <v>239</v>
      </c>
      <c r="U506" s="232">
        <v>0</v>
      </c>
      <c r="V506" s="231" t="s">
        <v>239</v>
      </c>
      <c r="W506" s="232">
        <v>0</v>
      </c>
      <c r="X506" s="231" t="s">
        <v>239</v>
      </c>
      <c r="Y506" s="232">
        <v>0</v>
      </c>
      <c r="Z506" s="231" t="s">
        <v>239</v>
      </c>
      <c r="AA506" s="232">
        <v>0</v>
      </c>
      <c r="AB506" s="231" t="s">
        <v>239</v>
      </c>
      <c r="AC506" s="232">
        <v>0</v>
      </c>
      <c r="AD506" s="231" t="s">
        <v>239</v>
      </c>
      <c r="AE506" s="232">
        <v>0</v>
      </c>
      <c r="AF506" s="231" t="s">
        <v>239</v>
      </c>
      <c r="AG506" s="232">
        <v>0</v>
      </c>
      <c r="AH506" s="231" t="s">
        <v>239</v>
      </c>
      <c r="AI506" s="232">
        <v>0</v>
      </c>
      <c r="AJ506" s="231" t="s">
        <v>239</v>
      </c>
      <c r="AK506" s="232">
        <v>0</v>
      </c>
      <c r="AL506" s="232" t="s">
        <v>239</v>
      </c>
      <c r="AM506" s="232">
        <v>0</v>
      </c>
    </row>
    <row r="507" spans="1:39" ht="15" customHeight="1" outlineLevel="1">
      <c r="A507" s="411">
        <v>249</v>
      </c>
      <c r="B507" s="10">
        <v>129249</v>
      </c>
      <c r="C507" s="218" t="s">
        <v>1489</v>
      </c>
      <c r="D507" s="218" t="s">
        <v>1490</v>
      </c>
      <c r="E507" s="23" t="s">
        <v>138</v>
      </c>
      <c r="F507" s="17" t="s">
        <v>45</v>
      </c>
      <c r="G507" s="11" t="s">
        <v>1432</v>
      </c>
      <c r="H507" s="12">
        <v>19</v>
      </c>
      <c r="I507" s="11" t="s">
        <v>1433</v>
      </c>
      <c r="J507" s="375"/>
      <c r="K507" s="17" t="s">
        <v>233</v>
      </c>
      <c r="L507" s="17" t="s">
        <v>233</v>
      </c>
      <c r="M507" s="231">
        <v>0</v>
      </c>
      <c r="N507" s="232">
        <v>0</v>
      </c>
      <c r="O507" s="132"/>
      <c r="P507" s="231" t="s">
        <v>239</v>
      </c>
      <c r="Q507" s="232">
        <v>0</v>
      </c>
      <c r="R507" s="231" t="s">
        <v>239</v>
      </c>
      <c r="S507" s="232">
        <v>0</v>
      </c>
      <c r="T507" s="231" t="s">
        <v>239</v>
      </c>
      <c r="U507" s="232">
        <v>0</v>
      </c>
      <c r="V507" s="231" t="s">
        <v>239</v>
      </c>
      <c r="W507" s="232">
        <v>0</v>
      </c>
      <c r="X507" s="231" t="s">
        <v>239</v>
      </c>
      <c r="Y507" s="232">
        <v>0</v>
      </c>
      <c r="Z507" s="231" t="s">
        <v>239</v>
      </c>
      <c r="AA507" s="232">
        <v>0</v>
      </c>
      <c r="AB507" s="231" t="s">
        <v>239</v>
      </c>
      <c r="AC507" s="232">
        <v>0</v>
      </c>
      <c r="AD507" s="231" t="s">
        <v>239</v>
      </c>
      <c r="AE507" s="232">
        <v>0</v>
      </c>
      <c r="AF507" s="231" t="s">
        <v>239</v>
      </c>
      <c r="AG507" s="232">
        <v>0</v>
      </c>
      <c r="AH507" s="231" t="s">
        <v>239</v>
      </c>
      <c r="AI507" s="232">
        <v>0</v>
      </c>
      <c r="AJ507" s="231" t="s">
        <v>239</v>
      </c>
      <c r="AK507" s="232">
        <v>0</v>
      </c>
      <c r="AL507" s="232" t="s">
        <v>239</v>
      </c>
      <c r="AM507" s="232">
        <v>0</v>
      </c>
    </row>
    <row r="508" spans="1:39" ht="15" customHeight="1" outlineLevel="1">
      <c r="A508" s="412"/>
      <c r="B508" s="10">
        <v>129249</v>
      </c>
      <c r="C508" s="218" t="s">
        <v>1489</v>
      </c>
      <c r="D508" s="218" t="s">
        <v>1490</v>
      </c>
      <c r="E508" s="23" t="s">
        <v>44</v>
      </c>
      <c r="F508" s="17" t="s">
        <v>45</v>
      </c>
      <c r="G508" s="11" t="s">
        <v>1432</v>
      </c>
      <c r="H508" s="12">
        <v>30</v>
      </c>
      <c r="I508" s="11" t="s">
        <v>1433</v>
      </c>
      <c r="J508" s="193" t="s">
        <v>1460</v>
      </c>
      <c r="K508" s="17" t="s">
        <v>233</v>
      </c>
      <c r="L508" s="17" t="s">
        <v>233</v>
      </c>
      <c r="M508" s="231">
        <v>0</v>
      </c>
      <c r="N508" s="232">
        <v>0</v>
      </c>
      <c r="O508" s="132"/>
      <c r="P508" s="231" t="s">
        <v>239</v>
      </c>
      <c r="Q508" s="232">
        <v>0</v>
      </c>
      <c r="R508" s="231" t="s">
        <v>239</v>
      </c>
      <c r="S508" s="232">
        <v>0</v>
      </c>
      <c r="T508" s="231" t="s">
        <v>239</v>
      </c>
      <c r="U508" s="232">
        <v>0</v>
      </c>
      <c r="V508" s="230" t="s">
        <v>239</v>
      </c>
      <c r="W508" s="232">
        <v>0</v>
      </c>
      <c r="X508" s="231" t="s">
        <v>239</v>
      </c>
      <c r="Y508" s="232">
        <v>0</v>
      </c>
      <c r="Z508" s="231" t="s">
        <v>239</v>
      </c>
      <c r="AA508" s="232">
        <v>0</v>
      </c>
      <c r="AB508" s="231" t="s">
        <v>239</v>
      </c>
      <c r="AC508" s="232">
        <v>0</v>
      </c>
      <c r="AD508" s="231" t="s">
        <v>239</v>
      </c>
      <c r="AE508" s="232">
        <v>0</v>
      </c>
      <c r="AF508" s="231" t="s">
        <v>239</v>
      </c>
      <c r="AG508" s="232">
        <v>0</v>
      </c>
      <c r="AH508" s="231" t="s">
        <v>239</v>
      </c>
      <c r="AI508" s="232">
        <v>0</v>
      </c>
      <c r="AJ508" s="231" t="s">
        <v>239</v>
      </c>
      <c r="AK508" s="232">
        <v>0</v>
      </c>
      <c r="AL508" s="232" t="s">
        <v>239</v>
      </c>
      <c r="AM508" s="232">
        <v>0</v>
      </c>
    </row>
    <row r="509" spans="1:39" ht="15" customHeight="1" outlineLevel="1">
      <c r="A509" s="411">
        <v>250</v>
      </c>
      <c r="B509" s="10">
        <v>129250</v>
      </c>
      <c r="C509" s="218" t="s">
        <v>1489</v>
      </c>
      <c r="D509" s="218" t="s">
        <v>1490</v>
      </c>
      <c r="E509" s="23" t="s">
        <v>44</v>
      </c>
      <c r="F509" s="17" t="s">
        <v>45</v>
      </c>
      <c r="G509" s="11" t="s">
        <v>1432</v>
      </c>
      <c r="H509" s="12">
        <v>33</v>
      </c>
      <c r="I509" s="11" t="s">
        <v>1433</v>
      </c>
      <c r="J509" s="193" t="s">
        <v>1442</v>
      </c>
      <c r="K509" s="17" t="s">
        <v>233</v>
      </c>
      <c r="L509" s="17" t="s">
        <v>233</v>
      </c>
      <c r="M509" s="231">
        <v>36.200000000000003</v>
      </c>
      <c r="N509" s="231">
        <v>36.200000000000003</v>
      </c>
      <c r="O509" s="231">
        <v>36.200000000000003</v>
      </c>
      <c r="P509" s="231" t="s">
        <v>239</v>
      </c>
      <c r="Q509" s="231">
        <v>36.200000000000003</v>
      </c>
      <c r="R509" s="231" t="s">
        <v>239</v>
      </c>
      <c r="S509" s="231">
        <v>36.200000000000003</v>
      </c>
      <c r="T509" s="231" t="s">
        <v>239</v>
      </c>
      <c r="U509" s="231">
        <v>36.200000000000003</v>
      </c>
      <c r="V509" s="231" t="s">
        <v>239</v>
      </c>
      <c r="W509" s="231">
        <v>36.200000000000003</v>
      </c>
      <c r="X509" s="231" t="s">
        <v>239</v>
      </c>
      <c r="Y509" s="231">
        <v>36.200000000000003</v>
      </c>
      <c r="Z509" s="231" t="s">
        <v>239</v>
      </c>
      <c r="AA509" s="231">
        <v>36.200000000000003</v>
      </c>
      <c r="AB509" s="231" t="s">
        <v>239</v>
      </c>
      <c r="AC509" s="231">
        <v>36.200000000000003</v>
      </c>
      <c r="AD509" s="231" t="s">
        <v>239</v>
      </c>
      <c r="AE509" s="231">
        <v>36.200000000000003</v>
      </c>
      <c r="AF509" s="231" t="s">
        <v>239</v>
      </c>
      <c r="AG509" s="231">
        <v>36.200000000000003</v>
      </c>
      <c r="AH509" s="231" t="s">
        <v>239</v>
      </c>
      <c r="AI509" s="231">
        <v>36.200000000000003</v>
      </c>
      <c r="AJ509" s="231" t="s">
        <v>239</v>
      </c>
      <c r="AK509" s="231">
        <v>36.200000000000003</v>
      </c>
      <c r="AL509" s="232" t="s">
        <v>239</v>
      </c>
      <c r="AM509" s="232">
        <v>0</v>
      </c>
    </row>
    <row r="510" spans="1:39" ht="15" customHeight="1" outlineLevel="1">
      <c r="A510" s="412"/>
      <c r="B510" s="10">
        <v>129250</v>
      </c>
      <c r="C510" s="218" t="s">
        <v>1489</v>
      </c>
      <c r="D510" s="218" t="s">
        <v>1490</v>
      </c>
      <c r="E510" s="23" t="s">
        <v>138</v>
      </c>
      <c r="F510" s="17" t="s">
        <v>45</v>
      </c>
      <c r="G510" s="11" t="s">
        <v>1432</v>
      </c>
      <c r="H510" s="12">
        <v>19</v>
      </c>
      <c r="I510" s="11" t="s">
        <v>1433</v>
      </c>
      <c r="J510" s="193" t="s">
        <v>1460</v>
      </c>
      <c r="K510" s="17" t="s">
        <v>233</v>
      </c>
      <c r="L510" s="17" t="s">
        <v>233</v>
      </c>
      <c r="M510" s="231">
        <v>148164</v>
      </c>
      <c r="N510" s="232">
        <v>146365.28904</v>
      </c>
      <c r="O510" s="132">
        <v>2208</v>
      </c>
      <c r="P510" s="231" t="s">
        <v>239</v>
      </c>
      <c r="Q510" s="232">
        <v>2180.7974399999998</v>
      </c>
      <c r="R510" s="231" t="s">
        <v>239</v>
      </c>
      <c r="S510" s="232">
        <v>2153.9300155391998</v>
      </c>
      <c r="T510" s="231" t="s">
        <v>239</v>
      </c>
      <c r="U510" s="232">
        <v>2127.3935977477568</v>
      </c>
      <c r="V510" s="231" t="s">
        <v>239</v>
      </c>
      <c r="W510" s="232">
        <v>2101.1841086235045</v>
      </c>
      <c r="X510" s="231" t="s">
        <v>239</v>
      </c>
      <c r="Y510" s="232">
        <v>2075.2975204052627</v>
      </c>
      <c r="Z510" s="231" t="s">
        <v>239</v>
      </c>
      <c r="AA510" s="232">
        <v>2049.72985495387</v>
      </c>
      <c r="AB510" s="231" t="s">
        <v>239</v>
      </c>
      <c r="AC510" s="232">
        <v>2024.4771831408384</v>
      </c>
      <c r="AD510" s="231" t="s">
        <v>239</v>
      </c>
      <c r="AE510" s="232">
        <v>1999.5356242445432</v>
      </c>
      <c r="AF510" s="231" t="s">
        <v>239</v>
      </c>
      <c r="AG510" s="232">
        <v>1974.9013453538505</v>
      </c>
      <c r="AH510" s="231" t="s">
        <v>239</v>
      </c>
      <c r="AI510" s="232">
        <v>1950.570560779091</v>
      </c>
      <c r="AJ510" s="231" t="s">
        <v>239</v>
      </c>
      <c r="AK510" s="232">
        <v>1926.5395314702926</v>
      </c>
      <c r="AL510" s="232" t="s">
        <v>239</v>
      </c>
      <c r="AM510" s="232">
        <v>24772.356782258208</v>
      </c>
    </row>
    <row r="511" spans="1:39" ht="15" customHeight="1" outlineLevel="1">
      <c r="A511" s="411">
        <v>251</v>
      </c>
      <c r="B511" s="10">
        <v>129251</v>
      </c>
      <c r="C511" s="218" t="s">
        <v>1489</v>
      </c>
      <c r="D511" s="218" t="s">
        <v>1490</v>
      </c>
      <c r="E511" s="23" t="s">
        <v>44</v>
      </c>
      <c r="F511" s="17" t="s">
        <v>45</v>
      </c>
      <c r="G511" s="11" t="s">
        <v>1432</v>
      </c>
      <c r="H511" s="12">
        <v>6</v>
      </c>
      <c r="I511" s="11" t="s">
        <v>1433</v>
      </c>
      <c r="J511" s="193" t="s">
        <v>1457</v>
      </c>
      <c r="K511" s="17" t="s">
        <v>233</v>
      </c>
      <c r="L511" s="17" t="s">
        <v>233</v>
      </c>
      <c r="M511" s="231">
        <v>1.5</v>
      </c>
      <c r="N511" s="231">
        <v>1.5</v>
      </c>
      <c r="O511" s="231">
        <v>1.5</v>
      </c>
      <c r="P511" s="231" t="s">
        <v>239</v>
      </c>
      <c r="Q511" s="231">
        <v>1.5</v>
      </c>
      <c r="R511" s="231" t="s">
        <v>239</v>
      </c>
      <c r="S511" s="231">
        <v>1.5</v>
      </c>
      <c r="T511" s="231" t="s">
        <v>239</v>
      </c>
      <c r="U511" s="231">
        <v>1.5</v>
      </c>
      <c r="V511" s="230" t="s">
        <v>239</v>
      </c>
      <c r="W511" s="231">
        <v>1.5</v>
      </c>
      <c r="X511" s="231" t="s">
        <v>239</v>
      </c>
      <c r="Y511" s="231">
        <v>1.5</v>
      </c>
      <c r="Z511" s="231" t="s">
        <v>239</v>
      </c>
      <c r="AA511" s="231">
        <v>1.5</v>
      </c>
      <c r="AB511" s="231" t="s">
        <v>239</v>
      </c>
      <c r="AC511" s="231">
        <v>1.5</v>
      </c>
      <c r="AD511" s="231" t="s">
        <v>239</v>
      </c>
      <c r="AE511" s="231">
        <v>1.5</v>
      </c>
      <c r="AF511" s="231" t="s">
        <v>239</v>
      </c>
      <c r="AG511" s="231">
        <v>1.5</v>
      </c>
      <c r="AH511" s="231" t="s">
        <v>239</v>
      </c>
      <c r="AI511" s="231">
        <v>1.5</v>
      </c>
      <c r="AJ511" s="231" t="s">
        <v>239</v>
      </c>
      <c r="AK511" s="231">
        <v>1.5</v>
      </c>
      <c r="AL511" s="232" t="s">
        <v>239</v>
      </c>
      <c r="AM511" s="232">
        <v>0</v>
      </c>
    </row>
    <row r="512" spans="1:39" ht="15" customHeight="1" outlineLevel="1">
      <c r="A512" s="412"/>
      <c r="B512" s="10">
        <v>129251</v>
      </c>
      <c r="C512" s="218" t="s">
        <v>1489</v>
      </c>
      <c r="D512" s="218" t="s">
        <v>1490</v>
      </c>
      <c r="E512" s="23" t="s">
        <v>138</v>
      </c>
      <c r="F512" s="17" t="s">
        <v>45</v>
      </c>
      <c r="G512" s="11" t="s">
        <v>1432</v>
      </c>
      <c r="H512" s="12">
        <v>15</v>
      </c>
      <c r="I512" s="11" t="s">
        <v>1433</v>
      </c>
      <c r="J512" s="193" t="s">
        <v>617</v>
      </c>
      <c r="K512" s="17" t="s">
        <v>233</v>
      </c>
      <c r="L512" s="17" t="s">
        <v>233</v>
      </c>
      <c r="M512" s="231">
        <v>10638</v>
      </c>
      <c r="N512" s="232">
        <v>10508.85468</v>
      </c>
      <c r="O512" s="132">
        <v>925</v>
      </c>
      <c r="P512" s="231" t="s">
        <v>239</v>
      </c>
      <c r="Q512" s="232">
        <v>913.60400000000004</v>
      </c>
      <c r="R512" s="231" t="s">
        <v>239</v>
      </c>
      <c r="S512" s="232">
        <v>902.34839872000009</v>
      </c>
      <c r="T512" s="231" t="s">
        <v>239</v>
      </c>
      <c r="U512" s="232">
        <v>891.23146644776966</v>
      </c>
      <c r="V512" s="231" t="s">
        <v>239</v>
      </c>
      <c r="W512" s="232">
        <v>880.25149478113315</v>
      </c>
      <c r="X512" s="231" t="s">
        <v>239</v>
      </c>
      <c r="Y512" s="232">
        <v>869.40679636542961</v>
      </c>
      <c r="Z512" s="231" t="s">
        <v>239</v>
      </c>
      <c r="AA512" s="232">
        <v>858.69570463420757</v>
      </c>
      <c r="AB512" s="231" t="s">
        <v>239</v>
      </c>
      <c r="AC512" s="232">
        <v>848.11657355311411</v>
      </c>
      <c r="AD512" s="231" t="s">
        <v>239</v>
      </c>
      <c r="AE512" s="232">
        <v>837.66777736693973</v>
      </c>
      <c r="AF512" s="231" t="s">
        <v>239</v>
      </c>
      <c r="AG512" s="232">
        <v>827.34771034977905</v>
      </c>
      <c r="AH512" s="231" t="s">
        <v>239</v>
      </c>
      <c r="AI512" s="232">
        <v>817.15478655826973</v>
      </c>
      <c r="AJ512" s="231" t="s">
        <v>239</v>
      </c>
      <c r="AK512" s="232">
        <v>807.08743958787181</v>
      </c>
      <c r="AL512" s="232" t="s">
        <v>239</v>
      </c>
      <c r="AM512" s="232">
        <v>10377.912148364514</v>
      </c>
    </row>
    <row r="513" spans="1:39" ht="15" customHeight="1" outlineLevel="1">
      <c r="A513" s="411">
        <v>252</v>
      </c>
      <c r="B513" s="10">
        <v>129252</v>
      </c>
      <c r="C513" s="218" t="s">
        <v>1489</v>
      </c>
      <c r="D513" s="218" t="s">
        <v>1490</v>
      </c>
      <c r="E513" s="23" t="s">
        <v>44</v>
      </c>
      <c r="F513" s="17" t="s">
        <v>45</v>
      </c>
      <c r="G513" s="11" t="s">
        <v>1432</v>
      </c>
      <c r="H513" s="12">
        <v>19</v>
      </c>
      <c r="I513" s="11" t="s">
        <v>1433</v>
      </c>
      <c r="J513" s="193" t="s">
        <v>216</v>
      </c>
      <c r="K513" s="17" t="s">
        <v>233</v>
      </c>
      <c r="L513" s="17" t="s">
        <v>233</v>
      </c>
      <c r="M513" s="231">
        <v>34</v>
      </c>
      <c r="N513" s="231">
        <v>34</v>
      </c>
      <c r="O513" s="231">
        <v>34</v>
      </c>
      <c r="P513" s="231" t="s">
        <v>239</v>
      </c>
      <c r="Q513" s="231">
        <v>34</v>
      </c>
      <c r="R513" s="231" t="s">
        <v>239</v>
      </c>
      <c r="S513" s="231">
        <v>34</v>
      </c>
      <c r="T513" s="231" t="s">
        <v>239</v>
      </c>
      <c r="U513" s="231">
        <v>34</v>
      </c>
      <c r="V513" s="231" t="s">
        <v>239</v>
      </c>
      <c r="W513" s="231">
        <v>34</v>
      </c>
      <c r="X513" s="231" t="s">
        <v>239</v>
      </c>
      <c r="Y513" s="231">
        <v>34</v>
      </c>
      <c r="Z513" s="231" t="s">
        <v>239</v>
      </c>
      <c r="AA513" s="231">
        <v>34</v>
      </c>
      <c r="AB513" s="231" t="s">
        <v>239</v>
      </c>
      <c r="AC513" s="231">
        <v>34</v>
      </c>
      <c r="AD513" s="231" t="s">
        <v>239</v>
      </c>
      <c r="AE513" s="231">
        <v>34</v>
      </c>
      <c r="AF513" s="231" t="s">
        <v>239</v>
      </c>
      <c r="AG513" s="231">
        <v>34</v>
      </c>
      <c r="AH513" s="231" t="s">
        <v>239</v>
      </c>
      <c r="AI513" s="231">
        <v>34</v>
      </c>
      <c r="AJ513" s="231" t="s">
        <v>239</v>
      </c>
      <c r="AK513" s="231">
        <v>34</v>
      </c>
      <c r="AL513" s="232" t="s">
        <v>239</v>
      </c>
      <c r="AM513" s="232">
        <v>0</v>
      </c>
    </row>
    <row r="514" spans="1:39" ht="15" customHeight="1" outlineLevel="1">
      <c r="A514" s="412"/>
      <c r="B514" s="10">
        <v>129252</v>
      </c>
      <c r="C514" s="218" t="s">
        <v>1489</v>
      </c>
      <c r="D514" s="218" t="s">
        <v>1490</v>
      </c>
      <c r="E514" s="23" t="s">
        <v>44</v>
      </c>
      <c r="F514" s="17" t="s">
        <v>45</v>
      </c>
      <c r="G514" s="11" t="s">
        <v>1432</v>
      </c>
      <c r="H514" s="12">
        <v>22</v>
      </c>
      <c r="I514" s="11" t="s">
        <v>1433</v>
      </c>
      <c r="J514" s="192" t="s">
        <v>1446</v>
      </c>
      <c r="K514" s="17" t="s">
        <v>233</v>
      </c>
      <c r="L514" s="17" t="s">
        <v>233</v>
      </c>
      <c r="M514" s="231">
        <v>9840</v>
      </c>
      <c r="N514" s="232">
        <v>9720.5424000000003</v>
      </c>
      <c r="O514" s="132">
        <v>845</v>
      </c>
      <c r="P514" s="231" t="s">
        <v>239</v>
      </c>
      <c r="Q514" s="232">
        <v>834.58960000000002</v>
      </c>
      <c r="R514" s="231" t="s">
        <v>239</v>
      </c>
      <c r="S514" s="232">
        <v>824.30745612800001</v>
      </c>
      <c r="T514" s="231" t="s">
        <v>239</v>
      </c>
      <c r="U514" s="232">
        <v>814.15198826850303</v>
      </c>
      <c r="V514" s="230" t="s">
        <v>239</v>
      </c>
      <c r="W514" s="232">
        <v>804.12163577303511</v>
      </c>
      <c r="X514" s="231" t="s">
        <v>239</v>
      </c>
      <c r="Y514" s="232">
        <v>794.21485722031127</v>
      </c>
      <c r="Z514" s="231" t="s">
        <v>239</v>
      </c>
      <c r="AA514" s="232">
        <v>784.43013017935709</v>
      </c>
      <c r="AB514" s="231" t="s">
        <v>239</v>
      </c>
      <c r="AC514" s="232">
        <v>774.76595097554741</v>
      </c>
      <c r="AD514" s="231" t="s">
        <v>239</v>
      </c>
      <c r="AE514" s="232">
        <v>765.22083445952865</v>
      </c>
      <c r="AF514" s="231" t="s">
        <v>239</v>
      </c>
      <c r="AG514" s="232">
        <v>755.79331377898723</v>
      </c>
      <c r="AH514" s="231" t="s">
        <v>239</v>
      </c>
      <c r="AI514" s="232">
        <v>746.48194015323008</v>
      </c>
      <c r="AJ514" s="231" t="s">
        <v>239</v>
      </c>
      <c r="AK514" s="232">
        <v>737.28528265054229</v>
      </c>
      <c r="AL514" s="232" t="s">
        <v>239</v>
      </c>
      <c r="AM514" s="232">
        <v>9480.3629895870417</v>
      </c>
    </row>
    <row r="515" spans="1:39" ht="15" customHeight="1" outlineLevel="1">
      <c r="A515" s="411">
        <v>253</v>
      </c>
      <c r="B515" s="10">
        <v>129253</v>
      </c>
      <c r="C515" s="218" t="s">
        <v>1489</v>
      </c>
      <c r="D515" s="218" t="s">
        <v>1490</v>
      </c>
      <c r="E515" s="23" t="s">
        <v>138</v>
      </c>
      <c r="F515" s="17" t="s">
        <v>45</v>
      </c>
      <c r="G515" s="11" t="s">
        <v>1432</v>
      </c>
      <c r="H515" s="12">
        <v>24</v>
      </c>
      <c r="I515" s="11" t="s">
        <v>1433</v>
      </c>
      <c r="J515" s="192" t="s">
        <v>1481</v>
      </c>
      <c r="K515" s="17" t="s">
        <v>233</v>
      </c>
      <c r="L515" s="17" t="s">
        <v>233</v>
      </c>
      <c r="M515" s="231">
        <v>1.5</v>
      </c>
      <c r="N515" s="231">
        <v>1.5</v>
      </c>
      <c r="O515" s="231">
        <v>1.5</v>
      </c>
      <c r="P515" s="231" t="s">
        <v>239</v>
      </c>
      <c r="Q515" s="231">
        <v>1.5</v>
      </c>
      <c r="R515" s="231" t="s">
        <v>239</v>
      </c>
      <c r="S515" s="231">
        <v>1.5</v>
      </c>
      <c r="T515" s="231" t="s">
        <v>239</v>
      </c>
      <c r="U515" s="231">
        <v>1.5</v>
      </c>
      <c r="V515" s="231" t="s">
        <v>239</v>
      </c>
      <c r="W515" s="231">
        <v>1.5</v>
      </c>
      <c r="X515" s="231" t="s">
        <v>239</v>
      </c>
      <c r="Y515" s="231">
        <v>1.5</v>
      </c>
      <c r="Z515" s="231" t="s">
        <v>239</v>
      </c>
      <c r="AA515" s="231">
        <v>1.5</v>
      </c>
      <c r="AB515" s="231" t="s">
        <v>239</v>
      </c>
      <c r="AC515" s="231">
        <v>1.5</v>
      </c>
      <c r="AD515" s="231" t="s">
        <v>239</v>
      </c>
      <c r="AE515" s="231">
        <v>1.5</v>
      </c>
      <c r="AF515" s="231" t="s">
        <v>239</v>
      </c>
      <c r="AG515" s="231">
        <v>1.5</v>
      </c>
      <c r="AH515" s="231" t="s">
        <v>239</v>
      </c>
      <c r="AI515" s="231">
        <v>1.5</v>
      </c>
      <c r="AJ515" s="231" t="s">
        <v>239</v>
      </c>
      <c r="AK515" s="231">
        <v>1.5</v>
      </c>
      <c r="AL515" s="232" t="s">
        <v>239</v>
      </c>
      <c r="AM515" s="232">
        <v>0</v>
      </c>
    </row>
    <row r="516" spans="1:39" ht="15" customHeight="1" outlineLevel="1">
      <c r="A516" s="412"/>
      <c r="B516" s="10">
        <v>129253</v>
      </c>
      <c r="C516" s="218" t="s">
        <v>1489</v>
      </c>
      <c r="D516" s="218" t="s">
        <v>1490</v>
      </c>
      <c r="E516" s="23" t="s">
        <v>44</v>
      </c>
      <c r="F516" s="17" t="s">
        <v>45</v>
      </c>
      <c r="G516" s="11" t="s">
        <v>1432</v>
      </c>
      <c r="H516" s="12">
        <v>16</v>
      </c>
      <c r="I516" s="11" t="s">
        <v>1433</v>
      </c>
      <c r="J516" s="192" t="s">
        <v>208</v>
      </c>
      <c r="K516" s="17" t="s">
        <v>233</v>
      </c>
      <c r="L516" s="17" t="s">
        <v>233</v>
      </c>
      <c r="M516" s="231">
        <v>6988</v>
      </c>
      <c r="N516" s="232">
        <v>6903.1656800000001</v>
      </c>
      <c r="O516" s="132">
        <v>1124</v>
      </c>
      <c r="P516" s="231" t="s">
        <v>239</v>
      </c>
      <c r="Q516" s="232">
        <v>1110.1523199999999</v>
      </c>
      <c r="R516" s="231" t="s">
        <v>239</v>
      </c>
      <c r="S516" s="232">
        <v>1096.4752434175998</v>
      </c>
      <c r="T516" s="231" t="s">
        <v>239</v>
      </c>
      <c r="U516" s="232">
        <v>1082.966668418695</v>
      </c>
      <c r="V516" s="231" t="s">
        <v>239</v>
      </c>
      <c r="W516" s="232">
        <v>1069.6245190637767</v>
      </c>
      <c r="X516" s="231" t="s">
        <v>239</v>
      </c>
      <c r="Y516" s="232">
        <v>1056.446744988911</v>
      </c>
      <c r="Z516" s="231" t="s">
        <v>239</v>
      </c>
      <c r="AA516" s="232">
        <v>1043.4313210906475</v>
      </c>
      <c r="AB516" s="231" t="s">
        <v>239</v>
      </c>
      <c r="AC516" s="232">
        <v>1030.5762472148108</v>
      </c>
      <c r="AD516" s="231" t="s">
        <v>239</v>
      </c>
      <c r="AE516" s="232">
        <v>1017.8795478491244</v>
      </c>
      <c r="AF516" s="231" t="s">
        <v>239</v>
      </c>
      <c r="AG516" s="232">
        <v>1005.3392718196231</v>
      </c>
      <c r="AH516" s="231" t="s">
        <v>239</v>
      </c>
      <c r="AI516" s="232">
        <v>992.95349199080545</v>
      </c>
      <c r="AJ516" s="231" t="s">
        <v>239</v>
      </c>
      <c r="AK516" s="232">
        <v>980.72030496947878</v>
      </c>
      <c r="AL516" s="232" t="s">
        <v>239</v>
      </c>
      <c r="AM516" s="232">
        <v>12610.565680823473</v>
      </c>
    </row>
    <row r="517" spans="1:39" ht="15" customHeight="1" outlineLevel="1">
      <c r="A517" s="411">
        <v>254</v>
      </c>
      <c r="B517" s="10">
        <v>129254</v>
      </c>
      <c r="C517" s="218" t="s">
        <v>1489</v>
      </c>
      <c r="D517" s="218" t="s">
        <v>1490</v>
      </c>
      <c r="E517" s="23" t="s">
        <v>138</v>
      </c>
      <c r="F517" s="17" t="s">
        <v>45</v>
      </c>
      <c r="G517" s="11" t="s">
        <v>1432</v>
      </c>
      <c r="H517" s="12">
        <v>5</v>
      </c>
      <c r="I517" s="11" t="s">
        <v>1433</v>
      </c>
      <c r="J517" s="192" t="s">
        <v>1463</v>
      </c>
      <c r="K517" s="17" t="s">
        <v>233</v>
      </c>
      <c r="L517" s="17" t="s">
        <v>233</v>
      </c>
      <c r="M517" s="231">
        <v>1</v>
      </c>
      <c r="N517" s="231">
        <v>1</v>
      </c>
      <c r="O517" s="231">
        <v>1</v>
      </c>
      <c r="P517" s="231" t="s">
        <v>239</v>
      </c>
      <c r="Q517" s="231">
        <v>1</v>
      </c>
      <c r="R517" s="231" t="s">
        <v>239</v>
      </c>
      <c r="S517" s="231">
        <v>1</v>
      </c>
      <c r="T517" s="231" t="s">
        <v>239</v>
      </c>
      <c r="U517" s="231">
        <v>1</v>
      </c>
      <c r="V517" s="230" t="s">
        <v>239</v>
      </c>
      <c r="W517" s="231">
        <v>1</v>
      </c>
      <c r="X517" s="231" t="s">
        <v>239</v>
      </c>
      <c r="Y517" s="231">
        <v>1</v>
      </c>
      <c r="Z517" s="231" t="s">
        <v>239</v>
      </c>
      <c r="AA517" s="231">
        <v>1</v>
      </c>
      <c r="AB517" s="231" t="s">
        <v>239</v>
      </c>
      <c r="AC517" s="231">
        <v>1</v>
      </c>
      <c r="AD517" s="231" t="s">
        <v>239</v>
      </c>
      <c r="AE517" s="231">
        <v>1</v>
      </c>
      <c r="AF517" s="231" t="s">
        <v>239</v>
      </c>
      <c r="AG517" s="231">
        <v>1</v>
      </c>
      <c r="AH517" s="231" t="s">
        <v>239</v>
      </c>
      <c r="AI517" s="231">
        <v>1</v>
      </c>
      <c r="AJ517" s="231" t="s">
        <v>239</v>
      </c>
      <c r="AK517" s="231">
        <v>1</v>
      </c>
      <c r="AL517" s="232" t="s">
        <v>239</v>
      </c>
      <c r="AM517" s="232">
        <v>0</v>
      </c>
    </row>
    <row r="518" spans="1:39" ht="15" customHeight="1" outlineLevel="1">
      <c r="A518" s="412"/>
      <c r="B518" s="10">
        <v>129254</v>
      </c>
      <c r="C518" s="218" t="s">
        <v>1489</v>
      </c>
      <c r="D518" s="218" t="s">
        <v>1490</v>
      </c>
      <c r="E518" s="23" t="s">
        <v>44</v>
      </c>
      <c r="F518" s="17" t="s">
        <v>45</v>
      </c>
      <c r="G518" s="11" t="s">
        <v>1432</v>
      </c>
      <c r="H518" s="12">
        <v>17</v>
      </c>
      <c r="I518" s="11" t="s">
        <v>1433</v>
      </c>
      <c r="J518" s="192" t="s">
        <v>1482</v>
      </c>
      <c r="K518" s="17" t="s">
        <v>233</v>
      </c>
      <c r="L518" s="17" t="s">
        <v>233</v>
      </c>
      <c r="M518" s="231">
        <v>3366</v>
      </c>
      <c r="N518" s="232">
        <v>3325.1367599999999</v>
      </c>
      <c r="O518" s="132">
        <v>1203</v>
      </c>
      <c r="P518" s="231" t="s">
        <v>239</v>
      </c>
      <c r="Q518" s="232">
        <v>1188.17904</v>
      </c>
      <c r="R518" s="231" t="s">
        <v>239</v>
      </c>
      <c r="S518" s="232">
        <v>1173.5406742272</v>
      </c>
      <c r="T518" s="231" t="s">
        <v>239</v>
      </c>
      <c r="U518" s="232">
        <v>1159.082653120721</v>
      </c>
      <c r="V518" s="231" t="s">
        <v>239</v>
      </c>
      <c r="W518" s="232">
        <v>1144.8027548342739</v>
      </c>
      <c r="X518" s="231" t="s">
        <v>239</v>
      </c>
      <c r="Y518" s="232">
        <v>1130.6987848947156</v>
      </c>
      <c r="Z518" s="231" t="s">
        <v>239</v>
      </c>
      <c r="AA518" s="232">
        <v>1116.7685758648126</v>
      </c>
      <c r="AB518" s="231" t="s">
        <v>239</v>
      </c>
      <c r="AC518" s="232">
        <v>1103.0099870101581</v>
      </c>
      <c r="AD518" s="231" t="s">
        <v>239</v>
      </c>
      <c r="AE518" s="232">
        <v>1089.420903970193</v>
      </c>
      <c r="AF518" s="231" t="s">
        <v>239</v>
      </c>
      <c r="AG518" s="232">
        <v>1075.9992384332802</v>
      </c>
      <c r="AH518" s="231" t="s">
        <v>239</v>
      </c>
      <c r="AI518" s="232">
        <v>1062.7429278157822</v>
      </c>
      <c r="AJ518" s="231" t="s">
        <v>239</v>
      </c>
      <c r="AK518" s="232">
        <v>1049.6499349450917</v>
      </c>
      <c r="AL518" s="232" t="s">
        <v>239</v>
      </c>
      <c r="AM518" s="232">
        <v>13496.895475116227</v>
      </c>
    </row>
    <row r="519" spans="1:39" ht="15" customHeight="1" outlineLevel="1">
      <c r="A519" s="411">
        <v>255</v>
      </c>
      <c r="B519" s="10">
        <v>129255</v>
      </c>
      <c r="C519" s="218" t="s">
        <v>1489</v>
      </c>
      <c r="D519" s="218" t="s">
        <v>1490</v>
      </c>
      <c r="E519" s="23" t="s">
        <v>44</v>
      </c>
      <c r="F519" s="17" t="s">
        <v>45</v>
      </c>
      <c r="G519" s="11" t="s">
        <v>1432</v>
      </c>
      <c r="H519" s="12">
        <v>19</v>
      </c>
      <c r="I519" s="11" t="s">
        <v>1433</v>
      </c>
      <c r="J519" s="192" t="s">
        <v>1462</v>
      </c>
      <c r="K519" s="17" t="s">
        <v>233</v>
      </c>
      <c r="L519" s="17" t="s">
        <v>233</v>
      </c>
      <c r="M519" s="231">
        <v>33</v>
      </c>
      <c r="N519" s="231">
        <v>33</v>
      </c>
      <c r="O519" s="231">
        <v>33</v>
      </c>
      <c r="P519" s="231" t="s">
        <v>239</v>
      </c>
      <c r="Q519" s="231">
        <v>33</v>
      </c>
      <c r="R519" s="231" t="s">
        <v>239</v>
      </c>
      <c r="S519" s="231">
        <v>33</v>
      </c>
      <c r="T519" s="231" t="s">
        <v>239</v>
      </c>
      <c r="U519" s="231">
        <v>33</v>
      </c>
      <c r="V519" s="231" t="s">
        <v>239</v>
      </c>
      <c r="W519" s="231">
        <v>33</v>
      </c>
      <c r="X519" s="231" t="s">
        <v>239</v>
      </c>
      <c r="Y519" s="231">
        <v>33</v>
      </c>
      <c r="Z519" s="231" t="s">
        <v>239</v>
      </c>
      <c r="AA519" s="231">
        <v>33</v>
      </c>
      <c r="AB519" s="231" t="s">
        <v>239</v>
      </c>
      <c r="AC519" s="231">
        <v>33</v>
      </c>
      <c r="AD519" s="231" t="s">
        <v>239</v>
      </c>
      <c r="AE519" s="231">
        <v>33</v>
      </c>
      <c r="AF519" s="231" t="s">
        <v>239</v>
      </c>
      <c r="AG519" s="231">
        <v>33</v>
      </c>
      <c r="AH519" s="231" t="s">
        <v>239</v>
      </c>
      <c r="AI519" s="231">
        <v>33</v>
      </c>
      <c r="AJ519" s="231" t="s">
        <v>239</v>
      </c>
      <c r="AK519" s="231">
        <v>33</v>
      </c>
      <c r="AL519" s="232" t="s">
        <v>239</v>
      </c>
      <c r="AM519" s="232">
        <v>0</v>
      </c>
    </row>
    <row r="520" spans="1:39" ht="15" customHeight="1" outlineLevel="1">
      <c r="A520" s="412"/>
      <c r="B520" s="10">
        <v>129255</v>
      </c>
      <c r="C520" s="218" t="s">
        <v>1489</v>
      </c>
      <c r="D520" s="218" t="s">
        <v>1490</v>
      </c>
      <c r="E520" s="23" t="s">
        <v>138</v>
      </c>
      <c r="F520" s="17" t="s">
        <v>45</v>
      </c>
      <c r="G520" s="11" t="s">
        <v>1432</v>
      </c>
      <c r="H520" s="12">
        <v>18</v>
      </c>
      <c r="I520" s="11" t="s">
        <v>1433</v>
      </c>
      <c r="J520" s="192" t="s">
        <v>1457</v>
      </c>
      <c r="K520" s="17" t="s">
        <v>233</v>
      </c>
      <c r="L520" s="17" t="s">
        <v>233</v>
      </c>
      <c r="M520" s="231">
        <v>10140</v>
      </c>
      <c r="N520" s="232">
        <v>10016.9004</v>
      </c>
      <c r="O520" s="132">
        <v>1094</v>
      </c>
      <c r="P520" s="231" t="s">
        <v>239</v>
      </c>
      <c r="Q520" s="232">
        <v>1080.5219199999999</v>
      </c>
      <c r="R520" s="231" t="s">
        <v>239</v>
      </c>
      <c r="S520" s="232">
        <v>1067.2098899456</v>
      </c>
      <c r="T520" s="231" t="s">
        <v>239</v>
      </c>
      <c r="U520" s="232">
        <v>1054.0618641014703</v>
      </c>
      <c r="V520" s="230" t="s">
        <v>239</v>
      </c>
      <c r="W520" s="232">
        <v>1041.0758219357401</v>
      </c>
      <c r="X520" s="231" t="s">
        <v>239</v>
      </c>
      <c r="Y520" s="232">
        <v>1028.2497678094919</v>
      </c>
      <c r="Z520" s="231" t="s">
        <v>239</v>
      </c>
      <c r="AA520" s="232">
        <v>1015.581730670079</v>
      </c>
      <c r="AB520" s="231" t="s">
        <v>239</v>
      </c>
      <c r="AC520" s="232">
        <v>1003.0697637482236</v>
      </c>
      <c r="AD520" s="231" t="s">
        <v>239</v>
      </c>
      <c r="AE520" s="232">
        <v>990.71194425884551</v>
      </c>
      <c r="AF520" s="231" t="s">
        <v>239</v>
      </c>
      <c r="AG520" s="232">
        <v>978.50637310557659</v>
      </c>
      <c r="AH520" s="231" t="s">
        <v>239</v>
      </c>
      <c r="AI520" s="232">
        <v>966.45117458891593</v>
      </c>
      <c r="AJ520" s="231" t="s">
        <v>239</v>
      </c>
      <c r="AK520" s="232">
        <v>954.54449611798054</v>
      </c>
      <c r="AL520" s="232" t="s">
        <v>239</v>
      </c>
      <c r="AM520" s="232">
        <v>12273.984746281925</v>
      </c>
    </row>
    <row r="521" spans="1:39" ht="15" customHeight="1" outlineLevel="1">
      <c r="A521" s="411">
        <v>256</v>
      </c>
      <c r="B521" s="10">
        <v>129256</v>
      </c>
      <c r="C521" s="218" t="s">
        <v>1489</v>
      </c>
      <c r="D521" s="218" t="s">
        <v>1490</v>
      </c>
      <c r="E521" s="23" t="s">
        <v>44</v>
      </c>
      <c r="F521" s="17" t="s">
        <v>45</v>
      </c>
      <c r="G521" s="11" t="s">
        <v>1432</v>
      </c>
      <c r="H521" s="12">
        <v>21</v>
      </c>
      <c r="I521" s="11" t="s">
        <v>1433</v>
      </c>
      <c r="J521" s="192" t="s">
        <v>617</v>
      </c>
      <c r="K521" s="17" t="s">
        <v>233</v>
      </c>
      <c r="L521" s="17" t="s">
        <v>233</v>
      </c>
      <c r="M521" s="231">
        <v>0</v>
      </c>
      <c r="N521" s="232">
        <v>0</v>
      </c>
      <c r="O521" s="132"/>
      <c r="P521" s="231" t="s">
        <v>239</v>
      </c>
      <c r="Q521" s="232">
        <v>0</v>
      </c>
      <c r="R521" s="231" t="s">
        <v>239</v>
      </c>
      <c r="S521" s="232">
        <v>0</v>
      </c>
      <c r="T521" s="231" t="s">
        <v>239</v>
      </c>
      <c r="U521" s="232">
        <v>0</v>
      </c>
      <c r="V521" s="231" t="s">
        <v>239</v>
      </c>
      <c r="W521" s="232">
        <v>0</v>
      </c>
      <c r="X521" s="231" t="s">
        <v>239</v>
      </c>
      <c r="Y521" s="232">
        <v>0</v>
      </c>
      <c r="Z521" s="231" t="s">
        <v>239</v>
      </c>
      <c r="AA521" s="232">
        <v>0</v>
      </c>
      <c r="AB521" s="231" t="s">
        <v>239</v>
      </c>
      <c r="AC521" s="232">
        <v>0</v>
      </c>
      <c r="AD521" s="231" t="s">
        <v>239</v>
      </c>
      <c r="AE521" s="232">
        <v>0</v>
      </c>
      <c r="AF521" s="231" t="s">
        <v>239</v>
      </c>
      <c r="AG521" s="232">
        <v>0</v>
      </c>
      <c r="AH521" s="231" t="s">
        <v>239</v>
      </c>
      <c r="AI521" s="232">
        <v>0</v>
      </c>
      <c r="AJ521" s="231" t="s">
        <v>239</v>
      </c>
      <c r="AK521" s="232">
        <v>0</v>
      </c>
      <c r="AL521" s="232" t="s">
        <v>239</v>
      </c>
      <c r="AM521" s="232">
        <v>0</v>
      </c>
    </row>
    <row r="522" spans="1:39" ht="15" customHeight="1" outlineLevel="1">
      <c r="A522" s="412"/>
      <c r="B522" s="10">
        <v>129256</v>
      </c>
      <c r="C522" s="218" t="s">
        <v>1489</v>
      </c>
      <c r="D522" s="218" t="s">
        <v>1490</v>
      </c>
      <c r="E522" s="23" t="s">
        <v>138</v>
      </c>
      <c r="F522" s="17" t="s">
        <v>45</v>
      </c>
      <c r="G522" s="11" t="s">
        <v>1432</v>
      </c>
      <c r="H522" s="12">
        <v>19</v>
      </c>
      <c r="I522" s="11" t="s">
        <v>1433</v>
      </c>
      <c r="J522" s="374" t="s">
        <v>1457</v>
      </c>
      <c r="K522" s="17" t="s">
        <v>233</v>
      </c>
      <c r="L522" s="17" t="s">
        <v>233</v>
      </c>
      <c r="M522" s="231">
        <v>0</v>
      </c>
      <c r="N522" s="232">
        <v>0</v>
      </c>
      <c r="O522" s="132"/>
      <c r="P522" s="231" t="s">
        <v>239</v>
      </c>
      <c r="Q522" s="232">
        <v>0</v>
      </c>
      <c r="R522" s="231" t="s">
        <v>239</v>
      </c>
      <c r="S522" s="232">
        <v>0</v>
      </c>
      <c r="T522" s="231" t="s">
        <v>239</v>
      </c>
      <c r="U522" s="232">
        <v>0</v>
      </c>
      <c r="V522" s="231" t="s">
        <v>239</v>
      </c>
      <c r="W522" s="232">
        <v>0</v>
      </c>
      <c r="X522" s="231" t="s">
        <v>239</v>
      </c>
      <c r="Y522" s="232">
        <v>0</v>
      </c>
      <c r="Z522" s="231" t="s">
        <v>239</v>
      </c>
      <c r="AA522" s="232">
        <v>0</v>
      </c>
      <c r="AB522" s="231" t="s">
        <v>239</v>
      </c>
      <c r="AC522" s="232">
        <v>0</v>
      </c>
      <c r="AD522" s="231" t="s">
        <v>239</v>
      </c>
      <c r="AE522" s="232">
        <v>0</v>
      </c>
      <c r="AF522" s="231" t="s">
        <v>239</v>
      </c>
      <c r="AG522" s="232">
        <v>0</v>
      </c>
      <c r="AH522" s="231" t="s">
        <v>239</v>
      </c>
      <c r="AI522" s="232">
        <v>0</v>
      </c>
      <c r="AJ522" s="231" t="s">
        <v>239</v>
      </c>
      <c r="AK522" s="232">
        <v>0</v>
      </c>
      <c r="AL522" s="232" t="s">
        <v>239</v>
      </c>
      <c r="AM522" s="232">
        <v>0</v>
      </c>
    </row>
    <row r="523" spans="1:39" ht="15" customHeight="1" outlineLevel="1">
      <c r="A523" s="411">
        <v>257</v>
      </c>
      <c r="B523" s="10">
        <v>129257</v>
      </c>
      <c r="C523" s="218" t="s">
        <v>1489</v>
      </c>
      <c r="D523" s="218" t="s">
        <v>1490</v>
      </c>
      <c r="E523" s="23" t="s">
        <v>44</v>
      </c>
      <c r="F523" s="17" t="s">
        <v>45</v>
      </c>
      <c r="G523" s="11" t="s">
        <v>1432</v>
      </c>
      <c r="H523" s="12">
        <v>30</v>
      </c>
      <c r="I523" s="11" t="s">
        <v>1433</v>
      </c>
      <c r="J523" s="375"/>
      <c r="K523" s="17" t="s">
        <v>233</v>
      </c>
      <c r="L523" s="17" t="s">
        <v>233</v>
      </c>
      <c r="M523" s="231">
        <v>1</v>
      </c>
      <c r="N523" s="231">
        <v>1</v>
      </c>
      <c r="O523" s="231">
        <v>1</v>
      </c>
      <c r="P523" s="231" t="s">
        <v>239</v>
      </c>
      <c r="Q523" s="231">
        <v>1</v>
      </c>
      <c r="R523" s="231" t="s">
        <v>239</v>
      </c>
      <c r="S523" s="231">
        <v>1</v>
      </c>
      <c r="T523" s="231" t="s">
        <v>239</v>
      </c>
      <c r="U523" s="231">
        <v>1</v>
      </c>
      <c r="V523" s="230" t="s">
        <v>239</v>
      </c>
      <c r="W523" s="231">
        <v>1</v>
      </c>
      <c r="X523" s="231" t="s">
        <v>239</v>
      </c>
      <c r="Y523" s="231">
        <v>1</v>
      </c>
      <c r="Z523" s="231" t="s">
        <v>239</v>
      </c>
      <c r="AA523" s="231">
        <v>1</v>
      </c>
      <c r="AB523" s="231" t="s">
        <v>239</v>
      </c>
      <c r="AC523" s="231">
        <v>1</v>
      </c>
      <c r="AD523" s="231" t="s">
        <v>239</v>
      </c>
      <c r="AE523" s="231">
        <v>1</v>
      </c>
      <c r="AF523" s="231" t="s">
        <v>239</v>
      </c>
      <c r="AG523" s="231">
        <v>1</v>
      </c>
      <c r="AH523" s="231" t="s">
        <v>239</v>
      </c>
      <c r="AI523" s="231">
        <v>1</v>
      </c>
      <c r="AJ523" s="231" t="s">
        <v>239</v>
      </c>
      <c r="AK523" s="231">
        <v>1</v>
      </c>
      <c r="AL523" s="232" t="s">
        <v>239</v>
      </c>
      <c r="AM523" s="232">
        <v>0</v>
      </c>
    </row>
    <row r="524" spans="1:39" ht="15" customHeight="1" outlineLevel="1">
      <c r="A524" s="412"/>
      <c r="B524" s="10">
        <v>129257</v>
      </c>
      <c r="C524" s="218" t="s">
        <v>1489</v>
      </c>
      <c r="D524" s="218" t="s">
        <v>1490</v>
      </c>
      <c r="E524" s="23" t="s">
        <v>44</v>
      </c>
      <c r="F524" s="17" t="s">
        <v>45</v>
      </c>
      <c r="G524" s="11" t="s">
        <v>1432</v>
      </c>
      <c r="H524" s="12">
        <v>33</v>
      </c>
      <c r="I524" s="11" t="s">
        <v>1433</v>
      </c>
      <c r="J524" s="193" t="s">
        <v>1460</v>
      </c>
      <c r="K524" s="17" t="s">
        <v>233</v>
      </c>
      <c r="L524" s="17" t="s">
        <v>233</v>
      </c>
      <c r="M524" s="231">
        <v>8765</v>
      </c>
      <c r="N524" s="232">
        <v>8658.5928999999996</v>
      </c>
      <c r="O524" s="132">
        <v>771</v>
      </c>
      <c r="P524" s="231" t="s">
        <v>239</v>
      </c>
      <c r="Q524" s="232">
        <v>761.50127999999995</v>
      </c>
      <c r="R524" s="231" t="s">
        <v>239</v>
      </c>
      <c r="S524" s="232">
        <v>752.11958423039994</v>
      </c>
      <c r="T524" s="231" t="s">
        <v>239</v>
      </c>
      <c r="U524" s="232">
        <v>742.85347095268139</v>
      </c>
      <c r="V524" s="231" t="s">
        <v>239</v>
      </c>
      <c r="W524" s="232">
        <v>733.70151619054434</v>
      </c>
      <c r="X524" s="231" t="s">
        <v>239</v>
      </c>
      <c r="Y524" s="232">
        <v>724.66231351107683</v>
      </c>
      <c r="Z524" s="231" t="s">
        <v>239</v>
      </c>
      <c r="AA524" s="232">
        <v>715.73447380862035</v>
      </c>
      <c r="AB524" s="231" t="s">
        <v>239</v>
      </c>
      <c r="AC524" s="232">
        <v>706.9166250912981</v>
      </c>
      <c r="AD524" s="231" t="s">
        <v>239</v>
      </c>
      <c r="AE524" s="232">
        <v>698.20741227017334</v>
      </c>
      <c r="AF524" s="231" t="s">
        <v>239</v>
      </c>
      <c r="AG524" s="232">
        <v>689.60549695100485</v>
      </c>
      <c r="AH524" s="231" t="s">
        <v>239</v>
      </c>
      <c r="AI524" s="232">
        <v>681.10955722856852</v>
      </c>
      <c r="AJ524" s="231" t="s">
        <v>239</v>
      </c>
      <c r="AK524" s="232">
        <v>672.71828748351254</v>
      </c>
      <c r="AL524" s="232" t="s">
        <v>239</v>
      </c>
      <c r="AM524" s="232">
        <v>8650.13001771788</v>
      </c>
    </row>
    <row r="525" spans="1:39" ht="15" customHeight="1" outlineLevel="1">
      <c r="A525" s="411">
        <v>258</v>
      </c>
      <c r="B525" s="10">
        <v>129258</v>
      </c>
      <c r="C525" s="218" t="s">
        <v>1489</v>
      </c>
      <c r="D525" s="218" t="s">
        <v>1490</v>
      </c>
      <c r="E525" s="23" t="s">
        <v>138</v>
      </c>
      <c r="F525" s="17" t="s">
        <v>45</v>
      </c>
      <c r="G525" s="11" t="s">
        <v>1432</v>
      </c>
      <c r="H525" s="12">
        <v>19</v>
      </c>
      <c r="I525" s="11" t="s">
        <v>1433</v>
      </c>
      <c r="J525" s="193" t="s">
        <v>1442</v>
      </c>
      <c r="K525" s="17" t="s">
        <v>233</v>
      </c>
      <c r="L525" s="17" t="s">
        <v>233</v>
      </c>
      <c r="M525" s="231">
        <v>1</v>
      </c>
      <c r="N525" s="231">
        <v>1</v>
      </c>
      <c r="O525" s="231">
        <v>1</v>
      </c>
      <c r="P525" s="231" t="s">
        <v>239</v>
      </c>
      <c r="Q525" s="231">
        <v>1</v>
      </c>
      <c r="R525" s="231" t="s">
        <v>239</v>
      </c>
      <c r="S525" s="231">
        <v>1</v>
      </c>
      <c r="T525" s="231" t="s">
        <v>239</v>
      </c>
      <c r="U525" s="231">
        <v>1</v>
      </c>
      <c r="V525" s="231" t="s">
        <v>239</v>
      </c>
      <c r="W525" s="231">
        <v>1</v>
      </c>
      <c r="X525" s="231" t="s">
        <v>239</v>
      </c>
      <c r="Y525" s="231">
        <v>1</v>
      </c>
      <c r="Z525" s="231" t="s">
        <v>239</v>
      </c>
      <c r="AA525" s="231">
        <v>1</v>
      </c>
      <c r="AB525" s="231" t="s">
        <v>239</v>
      </c>
      <c r="AC525" s="231">
        <v>1</v>
      </c>
      <c r="AD525" s="231" t="s">
        <v>239</v>
      </c>
      <c r="AE525" s="231">
        <v>1</v>
      </c>
      <c r="AF525" s="231" t="s">
        <v>239</v>
      </c>
      <c r="AG525" s="231">
        <v>1</v>
      </c>
      <c r="AH525" s="231" t="s">
        <v>239</v>
      </c>
      <c r="AI525" s="231">
        <v>1</v>
      </c>
      <c r="AJ525" s="231" t="s">
        <v>239</v>
      </c>
      <c r="AK525" s="231">
        <v>1</v>
      </c>
      <c r="AL525" s="232" t="s">
        <v>239</v>
      </c>
      <c r="AM525" s="232">
        <v>0</v>
      </c>
    </row>
    <row r="526" spans="1:39" ht="15" customHeight="1" outlineLevel="1">
      <c r="A526" s="412"/>
      <c r="B526" s="10">
        <v>129258</v>
      </c>
      <c r="C526" s="218" t="s">
        <v>1489</v>
      </c>
      <c r="D526" s="218" t="s">
        <v>1490</v>
      </c>
      <c r="E526" s="23" t="s">
        <v>44</v>
      </c>
      <c r="F526" s="17" t="s">
        <v>45</v>
      </c>
      <c r="G526" s="11" t="s">
        <v>1432</v>
      </c>
      <c r="H526" s="12">
        <v>6</v>
      </c>
      <c r="I526" s="11" t="s">
        <v>1433</v>
      </c>
      <c r="J526" s="193" t="s">
        <v>1460</v>
      </c>
      <c r="K526" s="17" t="s">
        <v>233</v>
      </c>
      <c r="L526" s="17" t="s">
        <v>233</v>
      </c>
      <c r="M526" s="231">
        <v>0</v>
      </c>
      <c r="N526" s="232">
        <v>0</v>
      </c>
      <c r="O526" s="132"/>
      <c r="P526" s="231" t="s">
        <v>239</v>
      </c>
      <c r="Q526" s="232">
        <v>0</v>
      </c>
      <c r="R526" s="231" t="s">
        <v>239</v>
      </c>
      <c r="S526" s="232">
        <v>0</v>
      </c>
      <c r="T526" s="231" t="s">
        <v>239</v>
      </c>
      <c r="U526" s="232">
        <v>0</v>
      </c>
      <c r="V526" s="230" t="s">
        <v>239</v>
      </c>
      <c r="W526" s="232">
        <v>0</v>
      </c>
      <c r="X526" s="231" t="s">
        <v>239</v>
      </c>
      <c r="Y526" s="232">
        <v>0</v>
      </c>
      <c r="Z526" s="231" t="s">
        <v>239</v>
      </c>
      <c r="AA526" s="232">
        <v>0</v>
      </c>
      <c r="AB526" s="231" t="s">
        <v>239</v>
      </c>
      <c r="AC526" s="232">
        <v>0</v>
      </c>
      <c r="AD526" s="231" t="s">
        <v>239</v>
      </c>
      <c r="AE526" s="232">
        <v>0</v>
      </c>
      <c r="AF526" s="231" t="s">
        <v>239</v>
      </c>
      <c r="AG526" s="232">
        <v>0</v>
      </c>
      <c r="AH526" s="231" t="s">
        <v>239</v>
      </c>
      <c r="AI526" s="232">
        <v>0</v>
      </c>
      <c r="AJ526" s="231" t="s">
        <v>239</v>
      </c>
      <c r="AK526" s="232">
        <v>0</v>
      </c>
      <c r="AL526" s="232" t="s">
        <v>239</v>
      </c>
      <c r="AM526" s="232">
        <v>0</v>
      </c>
    </row>
    <row r="527" spans="1:39" ht="15" customHeight="1" outlineLevel="1">
      <c r="A527" s="411">
        <v>259</v>
      </c>
      <c r="B527" s="10">
        <v>129259</v>
      </c>
      <c r="C527" s="218" t="s">
        <v>1489</v>
      </c>
      <c r="D527" s="218" t="s">
        <v>1490</v>
      </c>
      <c r="E527" s="23" t="s">
        <v>138</v>
      </c>
      <c r="F527" s="17" t="s">
        <v>45</v>
      </c>
      <c r="G527" s="11" t="s">
        <v>1432</v>
      </c>
      <c r="H527" s="12">
        <v>15</v>
      </c>
      <c r="I527" s="11" t="s">
        <v>1433</v>
      </c>
      <c r="J527" s="191" t="s">
        <v>216</v>
      </c>
      <c r="K527" s="17" t="s">
        <v>233</v>
      </c>
      <c r="L527" s="17" t="s">
        <v>233</v>
      </c>
      <c r="M527" s="231">
        <v>2</v>
      </c>
      <c r="N527" s="231">
        <v>2</v>
      </c>
      <c r="O527" s="231">
        <v>2</v>
      </c>
      <c r="P527" s="231" t="s">
        <v>239</v>
      </c>
      <c r="Q527" s="231">
        <v>2</v>
      </c>
      <c r="R527" s="231" t="s">
        <v>239</v>
      </c>
      <c r="S527" s="231">
        <v>2</v>
      </c>
      <c r="T527" s="231" t="s">
        <v>239</v>
      </c>
      <c r="U527" s="231">
        <v>2</v>
      </c>
      <c r="V527" s="231" t="s">
        <v>239</v>
      </c>
      <c r="W527" s="231">
        <v>2</v>
      </c>
      <c r="X527" s="231" t="s">
        <v>239</v>
      </c>
      <c r="Y527" s="231">
        <v>2</v>
      </c>
      <c r="Z527" s="231" t="s">
        <v>239</v>
      </c>
      <c r="AA527" s="231">
        <v>2</v>
      </c>
      <c r="AB527" s="231" t="s">
        <v>239</v>
      </c>
      <c r="AC527" s="231">
        <v>2</v>
      </c>
      <c r="AD527" s="231" t="s">
        <v>239</v>
      </c>
      <c r="AE527" s="231">
        <v>2</v>
      </c>
      <c r="AF527" s="231" t="s">
        <v>239</v>
      </c>
      <c r="AG527" s="231">
        <v>2</v>
      </c>
      <c r="AH527" s="231" t="s">
        <v>239</v>
      </c>
      <c r="AI527" s="231">
        <v>2</v>
      </c>
      <c r="AJ527" s="231" t="s">
        <v>239</v>
      </c>
      <c r="AK527" s="231">
        <v>2</v>
      </c>
      <c r="AL527" s="232" t="s">
        <v>239</v>
      </c>
      <c r="AM527" s="232">
        <v>0</v>
      </c>
    </row>
    <row r="528" spans="1:39" ht="15" customHeight="1" outlineLevel="1">
      <c r="A528" s="412"/>
      <c r="B528" s="10">
        <v>129259</v>
      </c>
      <c r="C528" s="218" t="s">
        <v>1489</v>
      </c>
      <c r="D528" s="218" t="s">
        <v>1490</v>
      </c>
      <c r="E528" s="23" t="s">
        <v>44</v>
      </c>
      <c r="F528" s="17" t="s">
        <v>45</v>
      </c>
      <c r="G528" s="11" t="s">
        <v>1432</v>
      </c>
      <c r="H528" s="12">
        <v>19</v>
      </c>
      <c r="I528" s="11" t="s">
        <v>1433</v>
      </c>
      <c r="J528" s="192" t="s">
        <v>1434</v>
      </c>
      <c r="K528" s="17" t="s">
        <v>233</v>
      </c>
      <c r="L528" s="17" t="s">
        <v>233</v>
      </c>
      <c r="M528" s="231">
        <v>7332</v>
      </c>
      <c r="N528" s="232">
        <v>7242.9895200000001</v>
      </c>
      <c r="O528" s="132">
        <v>768</v>
      </c>
      <c r="P528" s="231" t="s">
        <v>239</v>
      </c>
      <c r="Q528" s="232">
        <v>758.53823999999997</v>
      </c>
      <c r="R528" s="231" t="s">
        <v>239</v>
      </c>
      <c r="S528" s="232">
        <v>749.19304888319994</v>
      </c>
      <c r="T528" s="231" t="s">
        <v>239</v>
      </c>
      <c r="U528" s="232">
        <v>739.9629905209589</v>
      </c>
      <c r="V528" s="231" t="s">
        <v>239</v>
      </c>
      <c r="W528" s="232">
        <v>730.84664647774071</v>
      </c>
      <c r="X528" s="231" t="s">
        <v>239</v>
      </c>
      <c r="Y528" s="232">
        <v>721.842615793135</v>
      </c>
      <c r="Z528" s="231" t="s">
        <v>239</v>
      </c>
      <c r="AA528" s="232">
        <v>712.94951476656354</v>
      </c>
      <c r="AB528" s="231" t="s">
        <v>239</v>
      </c>
      <c r="AC528" s="232">
        <v>704.16597674463947</v>
      </c>
      <c r="AD528" s="231" t="s">
        <v>239</v>
      </c>
      <c r="AE528" s="232">
        <v>695.49065191114551</v>
      </c>
      <c r="AF528" s="231" t="s">
        <v>239</v>
      </c>
      <c r="AG528" s="232">
        <v>686.92220707960018</v>
      </c>
      <c r="AH528" s="231" t="s">
        <v>239</v>
      </c>
      <c r="AI528" s="232">
        <v>678.45932548837948</v>
      </c>
      <c r="AJ528" s="231" t="s">
        <v>239</v>
      </c>
      <c r="AK528" s="232">
        <v>670.10070659836265</v>
      </c>
      <c r="AL528" s="232" t="s">
        <v>239</v>
      </c>
      <c r="AM528" s="232">
        <v>8616.4719242637257</v>
      </c>
    </row>
    <row r="529" spans="1:39" ht="15" customHeight="1" outlineLevel="1">
      <c r="A529" s="411">
        <v>260</v>
      </c>
      <c r="B529" s="10">
        <v>129260</v>
      </c>
      <c r="C529" s="218" t="s">
        <v>1489</v>
      </c>
      <c r="D529" s="218" t="s">
        <v>1490</v>
      </c>
      <c r="E529" s="23" t="s">
        <v>44</v>
      </c>
      <c r="F529" s="17" t="s">
        <v>45</v>
      </c>
      <c r="G529" s="11" t="s">
        <v>1432</v>
      </c>
      <c r="H529" s="12">
        <v>22</v>
      </c>
      <c r="I529" s="11" t="s">
        <v>1433</v>
      </c>
      <c r="J529" s="192" t="s">
        <v>1480</v>
      </c>
      <c r="K529" s="17" t="s">
        <v>233</v>
      </c>
      <c r="L529" s="17" t="s">
        <v>233</v>
      </c>
      <c r="M529" s="231">
        <v>1.5</v>
      </c>
      <c r="N529" s="231">
        <v>1.5</v>
      </c>
      <c r="O529" s="231">
        <v>1.5</v>
      </c>
      <c r="P529" s="231" t="s">
        <v>239</v>
      </c>
      <c r="Q529" s="231">
        <v>1.5</v>
      </c>
      <c r="R529" s="231" t="s">
        <v>239</v>
      </c>
      <c r="S529" s="231">
        <v>1.5</v>
      </c>
      <c r="T529" s="231" t="s">
        <v>239</v>
      </c>
      <c r="U529" s="231">
        <v>1.5</v>
      </c>
      <c r="V529" s="230" t="s">
        <v>239</v>
      </c>
      <c r="W529" s="231">
        <v>1.5</v>
      </c>
      <c r="X529" s="231" t="s">
        <v>239</v>
      </c>
      <c r="Y529" s="231">
        <v>1.5</v>
      </c>
      <c r="Z529" s="231" t="s">
        <v>239</v>
      </c>
      <c r="AA529" s="231">
        <v>1.5</v>
      </c>
      <c r="AB529" s="231" t="s">
        <v>239</v>
      </c>
      <c r="AC529" s="231">
        <v>1.5</v>
      </c>
      <c r="AD529" s="231" t="s">
        <v>239</v>
      </c>
      <c r="AE529" s="231">
        <v>1.5</v>
      </c>
      <c r="AF529" s="231" t="s">
        <v>239</v>
      </c>
      <c r="AG529" s="231">
        <v>1.5</v>
      </c>
      <c r="AH529" s="231" t="s">
        <v>239</v>
      </c>
      <c r="AI529" s="231">
        <v>1.5</v>
      </c>
      <c r="AJ529" s="231" t="s">
        <v>239</v>
      </c>
      <c r="AK529" s="231">
        <v>1.5</v>
      </c>
      <c r="AL529" s="232" t="s">
        <v>239</v>
      </c>
      <c r="AM529" s="232">
        <v>0</v>
      </c>
    </row>
    <row r="530" spans="1:39" ht="15" customHeight="1" outlineLevel="1">
      <c r="A530" s="412"/>
      <c r="B530" s="10">
        <v>129260</v>
      </c>
      <c r="C530" s="218" t="s">
        <v>1489</v>
      </c>
      <c r="D530" s="218" t="s">
        <v>1490</v>
      </c>
      <c r="E530" s="23" t="s">
        <v>138</v>
      </c>
      <c r="F530" s="17" t="s">
        <v>45</v>
      </c>
      <c r="G530" s="11" t="s">
        <v>1432</v>
      </c>
      <c r="H530" s="12">
        <v>24</v>
      </c>
      <c r="I530" s="11" t="s">
        <v>1433</v>
      </c>
      <c r="J530" s="192" t="s">
        <v>1452</v>
      </c>
      <c r="K530" s="17" t="s">
        <v>233</v>
      </c>
      <c r="L530" s="17" t="s">
        <v>233</v>
      </c>
      <c r="M530" s="231">
        <v>8053</v>
      </c>
      <c r="N530" s="232">
        <v>7955.2365799999998</v>
      </c>
      <c r="O530" s="132">
        <v>801</v>
      </c>
      <c r="P530" s="231" t="s">
        <v>239</v>
      </c>
      <c r="Q530" s="232">
        <v>791.13167999999996</v>
      </c>
      <c r="R530" s="231" t="s">
        <v>239</v>
      </c>
      <c r="S530" s="232">
        <v>781.38493770239995</v>
      </c>
      <c r="T530" s="231" t="s">
        <v>239</v>
      </c>
      <c r="U530" s="232">
        <v>771.75827526990633</v>
      </c>
      <c r="V530" s="231" t="s">
        <v>239</v>
      </c>
      <c r="W530" s="232">
        <v>762.25021331858113</v>
      </c>
      <c r="X530" s="231" t="s">
        <v>239</v>
      </c>
      <c r="Y530" s="232">
        <v>752.85929069049621</v>
      </c>
      <c r="Z530" s="231" t="s">
        <v>239</v>
      </c>
      <c r="AA530" s="232">
        <v>743.58406422918927</v>
      </c>
      <c r="AB530" s="231" t="s">
        <v>239</v>
      </c>
      <c r="AC530" s="232">
        <v>734.42310855788571</v>
      </c>
      <c r="AD530" s="231" t="s">
        <v>239</v>
      </c>
      <c r="AE530" s="232">
        <v>725.37501586045255</v>
      </c>
      <c r="AF530" s="231" t="s">
        <v>239</v>
      </c>
      <c r="AG530" s="232">
        <v>716.43839566505176</v>
      </c>
      <c r="AH530" s="231" t="s">
        <v>239</v>
      </c>
      <c r="AI530" s="232">
        <v>707.61187463045837</v>
      </c>
      <c r="AJ530" s="231" t="s">
        <v>239</v>
      </c>
      <c r="AK530" s="232">
        <v>698.89409633501111</v>
      </c>
      <c r="AL530" s="232" t="s">
        <v>239</v>
      </c>
      <c r="AM530" s="232">
        <v>8986.7109522594328</v>
      </c>
    </row>
    <row r="531" spans="1:39" ht="15" customHeight="1" outlineLevel="1">
      <c r="A531" s="411">
        <v>261</v>
      </c>
      <c r="B531" s="10">
        <v>129261</v>
      </c>
      <c r="C531" s="218" t="s">
        <v>1489</v>
      </c>
      <c r="D531" s="218" t="s">
        <v>1490</v>
      </c>
      <c r="E531" s="23" t="s">
        <v>44</v>
      </c>
      <c r="F531" s="17" t="s">
        <v>45</v>
      </c>
      <c r="G531" s="11" t="s">
        <v>1432</v>
      </c>
      <c r="H531" s="12">
        <v>16</v>
      </c>
      <c r="I531" s="11" t="s">
        <v>1433</v>
      </c>
      <c r="J531" s="374" t="s">
        <v>207</v>
      </c>
      <c r="K531" s="17" t="s">
        <v>233</v>
      </c>
      <c r="L531" s="17" t="s">
        <v>233</v>
      </c>
      <c r="M531" s="231">
        <v>12</v>
      </c>
      <c r="N531" s="231">
        <v>12</v>
      </c>
      <c r="O531" s="231">
        <v>12</v>
      </c>
      <c r="P531" s="231" t="s">
        <v>239</v>
      </c>
      <c r="Q531" s="231">
        <v>12</v>
      </c>
      <c r="R531" s="231" t="s">
        <v>239</v>
      </c>
      <c r="S531" s="231">
        <v>12</v>
      </c>
      <c r="T531" s="231" t="s">
        <v>239</v>
      </c>
      <c r="U531" s="231">
        <v>12</v>
      </c>
      <c r="V531" s="231" t="s">
        <v>239</v>
      </c>
      <c r="W531" s="231">
        <v>12</v>
      </c>
      <c r="X531" s="231" t="s">
        <v>239</v>
      </c>
      <c r="Y531" s="231">
        <v>12</v>
      </c>
      <c r="Z531" s="231" t="s">
        <v>239</v>
      </c>
      <c r="AA531" s="231">
        <v>12</v>
      </c>
      <c r="AB531" s="231" t="s">
        <v>239</v>
      </c>
      <c r="AC531" s="231">
        <v>12</v>
      </c>
      <c r="AD531" s="231" t="s">
        <v>239</v>
      </c>
      <c r="AE531" s="231">
        <v>12</v>
      </c>
      <c r="AF531" s="231" t="s">
        <v>239</v>
      </c>
      <c r="AG531" s="231">
        <v>12</v>
      </c>
      <c r="AH531" s="231" t="s">
        <v>239</v>
      </c>
      <c r="AI531" s="231">
        <v>12</v>
      </c>
      <c r="AJ531" s="231" t="s">
        <v>239</v>
      </c>
      <c r="AK531" s="231">
        <v>12</v>
      </c>
      <c r="AL531" s="232" t="s">
        <v>239</v>
      </c>
      <c r="AM531" s="232">
        <v>0</v>
      </c>
    </row>
    <row r="532" spans="1:39" ht="15" customHeight="1" outlineLevel="1">
      <c r="A532" s="412"/>
      <c r="B532" s="10">
        <v>129261</v>
      </c>
      <c r="C532" s="218" t="s">
        <v>1489</v>
      </c>
      <c r="D532" s="218" t="s">
        <v>1490</v>
      </c>
      <c r="E532" s="23" t="s">
        <v>138</v>
      </c>
      <c r="F532" s="17" t="s">
        <v>45</v>
      </c>
      <c r="G532" s="11" t="s">
        <v>1432</v>
      </c>
      <c r="H532" s="12">
        <v>5</v>
      </c>
      <c r="I532" s="11" t="s">
        <v>1433</v>
      </c>
      <c r="J532" s="375"/>
      <c r="K532" s="17" t="s">
        <v>233</v>
      </c>
      <c r="L532" s="17" t="s">
        <v>233</v>
      </c>
      <c r="M532" s="231">
        <v>2281</v>
      </c>
      <c r="N532" s="232">
        <v>2253.3086599999997</v>
      </c>
      <c r="O532" s="132">
        <v>529</v>
      </c>
      <c r="P532" s="231" t="s">
        <v>239</v>
      </c>
      <c r="Q532" s="232">
        <v>522.48271999999997</v>
      </c>
      <c r="R532" s="231" t="s">
        <v>239</v>
      </c>
      <c r="S532" s="232">
        <v>516.0457328896</v>
      </c>
      <c r="T532" s="231" t="s">
        <v>239</v>
      </c>
      <c r="U532" s="232">
        <v>509.68804946040012</v>
      </c>
      <c r="V532" s="230" t="s">
        <v>239</v>
      </c>
      <c r="W532" s="232">
        <v>503.40869269104797</v>
      </c>
      <c r="X532" s="231" t="s">
        <v>239</v>
      </c>
      <c r="Y532" s="232">
        <v>497.20669759709426</v>
      </c>
      <c r="Z532" s="231" t="s">
        <v>239</v>
      </c>
      <c r="AA532" s="232">
        <v>491.08111108269804</v>
      </c>
      <c r="AB532" s="231" t="s">
        <v>239</v>
      </c>
      <c r="AC532" s="232">
        <v>485.03099179415921</v>
      </c>
      <c r="AD532" s="231" t="s">
        <v>239</v>
      </c>
      <c r="AE532" s="232">
        <v>479.05540997525515</v>
      </c>
      <c r="AF532" s="231" t="s">
        <v>239</v>
      </c>
      <c r="AG532" s="232">
        <v>473.15344732436</v>
      </c>
      <c r="AH532" s="231" t="s">
        <v>239</v>
      </c>
      <c r="AI532" s="232">
        <v>467.32419685332388</v>
      </c>
      <c r="AJ532" s="231" t="s">
        <v>239</v>
      </c>
      <c r="AK532" s="232">
        <v>461.56676274809092</v>
      </c>
      <c r="AL532" s="232" t="s">
        <v>239</v>
      </c>
      <c r="AM532" s="232">
        <v>5935.0438124160291</v>
      </c>
    </row>
    <row r="533" spans="1:39" ht="15" customHeight="1" outlineLevel="1">
      <c r="A533" s="411">
        <v>262</v>
      </c>
      <c r="B533" s="10">
        <v>129262</v>
      </c>
      <c r="C533" s="218" t="s">
        <v>1489</v>
      </c>
      <c r="D533" s="218" t="s">
        <v>1490</v>
      </c>
      <c r="E533" s="23" t="s">
        <v>44</v>
      </c>
      <c r="F533" s="17" t="s">
        <v>45</v>
      </c>
      <c r="G533" s="11" t="s">
        <v>1432</v>
      </c>
      <c r="H533" s="12">
        <v>17</v>
      </c>
      <c r="I533" s="11" t="s">
        <v>1433</v>
      </c>
      <c r="J533" s="193" t="s">
        <v>1460</v>
      </c>
      <c r="K533" s="17" t="s">
        <v>233</v>
      </c>
      <c r="L533" s="17" t="s">
        <v>233</v>
      </c>
      <c r="M533" s="231">
        <v>1</v>
      </c>
      <c r="N533" s="231">
        <v>1</v>
      </c>
      <c r="O533" s="231">
        <v>1</v>
      </c>
      <c r="P533" s="231" t="s">
        <v>239</v>
      </c>
      <c r="Q533" s="231">
        <v>1</v>
      </c>
      <c r="R533" s="231" t="s">
        <v>239</v>
      </c>
      <c r="S533" s="231">
        <v>1</v>
      </c>
      <c r="T533" s="231" t="s">
        <v>239</v>
      </c>
      <c r="U533" s="231">
        <v>1</v>
      </c>
      <c r="V533" s="231" t="s">
        <v>239</v>
      </c>
      <c r="W533" s="231">
        <v>1</v>
      </c>
      <c r="X533" s="231" t="s">
        <v>239</v>
      </c>
      <c r="Y533" s="231">
        <v>1</v>
      </c>
      <c r="Z533" s="231" t="s">
        <v>239</v>
      </c>
      <c r="AA533" s="231">
        <v>1</v>
      </c>
      <c r="AB533" s="231" t="s">
        <v>239</v>
      </c>
      <c r="AC533" s="231">
        <v>1</v>
      </c>
      <c r="AD533" s="231" t="s">
        <v>239</v>
      </c>
      <c r="AE533" s="231">
        <v>1</v>
      </c>
      <c r="AF533" s="231" t="s">
        <v>239</v>
      </c>
      <c r="AG533" s="231">
        <v>1</v>
      </c>
      <c r="AH533" s="231" t="s">
        <v>239</v>
      </c>
      <c r="AI533" s="231">
        <v>1</v>
      </c>
      <c r="AJ533" s="231" t="s">
        <v>239</v>
      </c>
      <c r="AK533" s="231">
        <v>1</v>
      </c>
      <c r="AL533" s="232" t="s">
        <v>239</v>
      </c>
      <c r="AM533" s="232">
        <v>0</v>
      </c>
    </row>
    <row r="534" spans="1:39" ht="15" customHeight="1" outlineLevel="1">
      <c r="A534" s="412"/>
      <c r="B534" s="10">
        <v>129262</v>
      </c>
      <c r="C534" s="218" t="s">
        <v>1489</v>
      </c>
      <c r="D534" s="218" t="s">
        <v>1490</v>
      </c>
      <c r="E534" s="23" t="s">
        <v>44</v>
      </c>
      <c r="F534" s="17" t="s">
        <v>45</v>
      </c>
      <c r="G534" s="11" t="s">
        <v>1432</v>
      </c>
      <c r="H534" s="12">
        <v>19</v>
      </c>
      <c r="I534" s="11" t="s">
        <v>1433</v>
      </c>
      <c r="J534" s="193" t="s">
        <v>1442</v>
      </c>
      <c r="K534" s="17" t="s">
        <v>233</v>
      </c>
      <c r="L534" s="17" t="s">
        <v>233</v>
      </c>
      <c r="M534" s="231">
        <v>3740</v>
      </c>
      <c r="N534" s="232">
        <v>3694.5963999999999</v>
      </c>
      <c r="O534" s="132">
        <v>747</v>
      </c>
      <c r="P534" s="231" t="s">
        <v>239</v>
      </c>
      <c r="Q534" s="232">
        <v>737.79696000000001</v>
      </c>
      <c r="R534" s="231" t="s">
        <v>239</v>
      </c>
      <c r="S534" s="232">
        <v>728.70730145280004</v>
      </c>
      <c r="T534" s="231" t="s">
        <v>239</v>
      </c>
      <c r="U534" s="232">
        <v>719.72962749890155</v>
      </c>
      <c r="V534" s="231" t="s">
        <v>239</v>
      </c>
      <c r="W534" s="232">
        <v>710.86255848811504</v>
      </c>
      <c r="X534" s="231" t="s">
        <v>239</v>
      </c>
      <c r="Y534" s="232">
        <v>702.10473176754147</v>
      </c>
      <c r="Z534" s="231" t="s">
        <v>239</v>
      </c>
      <c r="AA534" s="232">
        <v>693.4548014721654</v>
      </c>
      <c r="AB534" s="231" t="s">
        <v>239</v>
      </c>
      <c r="AC534" s="232">
        <v>684.91143831802833</v>
      </c>
      <c r="AD534" s="231" t="s">
        <v>239</v>
      </c>
      <c r="AE534" s="232">
        <v>676.47332939795024</v>
      </c>
      <c r="AF534" s="231" t="s">
        <v>239</v>
      </c>
      <c r="AG534" s="232">
        <v>668.13917797976751</v>
      </c>
      <c r="AH534" s="231" t="s">
        <v>239</v>
      </c>
      <c r="AI534" s="232">
        <v>659.90770330705675</v>
      </c>
      <c r="AJ534" s="231" t="s">
        <v>239</v>
      </c>
      <c r="AK534" s="232">
        <v>651.77764040231386</v>
      </c>
      <c r="AL534" s="232" t="s">
        <v>239</v>
      </c>
      <c r="AM534" s="232">
        <v>8380.8652700846415</v>
      </c>
    </row>
    <row r="535" spans="1:39" ht="15" customHeight="1" outlineLevel="1">
      <c r="A535" s="411">
        <v>263</v>
      </c>
      <c r="B535" s="10">
        <v>129263</v>
      </c>
      <c r="C535" s="218" t="s">
        <v>1489</v>
      </c>
      <c r="D535" s="218" t="s">
        <v>1490</v>
      </c>
      <c r="E535" s="23" t="s">
        <v>138</v>
      </c>
      <c r="F535" s="17" t="s">
        <v>45</v>
      </c>
      <c r="G535" s="11" t="s">
        <v>1432</v>
      </c>
      <c r="H535" s="12">
        <v>21</v>
      </c>
      <c r="I535" s="11" t="s">
        <v>1433</v>
      </c>
      <c r="J535" s="193" t="s">
        <v>1460</v>
      </c>
      <c r="K535" s="17" t="s">
        <v>233</v>
      </c>
      <c r="L535" s="17" t="s">
        <v>233</v>
      </c>
      <c r="M535" s="231">
        <v>1</v>
      </c>
      <c r="N535" s="231">
        <v>1</v>
      </c>
      <c r="O535" s="231">
        <v>1</v>
      </c>
      <c r="P535" s="231" t="s">
        <v>239</v>
      </c>
      <c r="Q535" s="231">
        <v>1</v>
      </c>
      <c r="R535" s="231" t="s">
        <v>239</v>
      </c>
      <c r="S535" s="231">
        <v>1</v>
      </c>
      <c r="T535" s="231" t="s">
        <v>239</v>
      </c>
      <c r="U535" s="231">
        <v>1</v>
      </c>
      <c r="V535" s="230" t="s">
        <v>239</v>
      </c>
      <c r="W535" s="231">
        <v>1</v>
      </c>
      <c r="X535" s="231" t="s">
        <v>239</v>
      </c>
      <c r="Y535" s="231">
        <v>1</v>
      </c>
      <c r="Z535" s="231" t="s">
        <v>239</v>
      </c>
      <c r="AA535" s="231">
        <v>1</v>
      </c>
      <c r="AB535" s="231" t="s">
        <v>239</v>
      </c>
      <c r="AC535" s="231">
        <v>1</v>
      </c>
      <c r="AD535" s="231" t="s">
        <v>239</v>
      </c>
      <c r="AE535" s="231">
        <v>1</v>
      </c>
      <c r="AF535" s="231" t="s">
        <v>239</v>
      </c>
      <c r="AG535" s="231">
        <v>1</v>
      </c>
      <c r="AH535" s="231" t="s">
        <v>239</v>
      </c>
      <c r="AI535" s="231">
        <v>1</v>
      </c>
      <c r="AJ535" s="231" t="s">
        <v>239</v>
      </c>
      <c r="AK535" s="231">
        <v>1</v>
      </c>
      <c r="AL535" s="232" t="s">
        <v>239</v>
      </c>
      <c r="AM535" s="232">
        <v>0</v>
      </c>
    </row>
    <row r="536" spans="1:39" ht="15" customHeight="1" outlineLevel="1">
      <c r="A536" s="412"/>
      <c r="B536" s="10">
        <v>129263</v>
      </c>
      <c r="C536" s="218" t="s">
        <v>1489</v>
      </c>
      <c r="D536" s="218" t="s">
        <v>1490</v>
      </c>
      <c r="E536" s="23" t="s">
        <v>44</v>
      </c>
      <c r="F536" s="17" t="s">
        <v>45</v>
      </c>
      <c r="G536" s="11" t="s">
        <v>1432</v>
      </c>
      <c r="H536" s="12">
        <v>19</v>
      </c>
      <c r="I536" s="11" t="s">
        <v>1433</v>
      </c>
      <c r="J536" s="193" t="s">
        <v>1457</v>
      </c>
      <c r="K536" s="17" t="s">
        <v>233</v>
      </c>
      <c r="L536" s="17" t="s">
        <v>233</v>
      </c>
      <c r="M536" s="231">
        <v>0</v>
      </c>
      <c r="N536" s="232">
        <v>0</v>
      </c>
      <c r="O536" s="132"/>
      <c r="P536" s="231" t="s">
        <v>239</v>
      </c>
      <c r="Q536" s="232">
        <v>0</v>
      </c>
      <c r="R536" s="231" t="s">
        <v>239</v>
      </c>
      <c r="S536" s="232">
        <v>0</v>
      </c>
      <c r="T536" s="231" t="s">
        <v>239</v>
      </c>
      <c r="U536" s="232">
        <v>0</v>
      </c>
      <c r="V536" s="231" t="s">
        <v>239</v>
      </c>
      <c r="W536" s="232">
        <v>0</v>
      </c>
      <c r="X536" s="231" t="s">
        <v>239</v>
      </c>
      <c r="Y536" s="232">
        <v>0</v>
      </c>
      <c r="Z536" s="231" t="s">
        <v>239</v>
      </c>
      <c r="AA536" s="232">
        <v>0</v>
      </c>
      <c r="AB536" s="231" t="s">
        <v>239</v>
      </c>
      <c r="AC536" s="232">
        <v>0</v>
      </c>
      <c r="AD536" s="231" t="s">
        <v>239</v>
      </c>
      <c r="AE536" s="232">
        <v>0</v>
      </c>
      <c r="AF536" s="231" t="s">
        <v>239</v>
      </c>
      <c r="AG536" s="232">
        <v>0</v>
      </c>
      <c r="AH536" s="231" t="s">
        <v>239</v>
      </c>
      <c r="AI536" s="232">
        <v>0</v>
      </c>
      <c r="AJ536" s="231" t="s">
        <v>239</v>
      </c>
      <c r="AK536" s="232">
        <v>0</v>
      </c>
      <c r="AL536" s="232" t="s">
        <v>239</v>
      </c>
      <c r="AM536" s="232">
        <v>0</v>
      </c>
    </row>
    <row r="537" spans="1:39" ht="15" customHeight="1" outlineLevel="1">
      <c r="A537" s="411">
        <v>264</v>
      </c>
      <c r="B537" s="10">
        <v>129264</v>
      </c>
      <c r="C537" s="218" t="s">
        <v>1489</v>
      </c>
      <c r="D537" s="218" t="s">
        <v>1490</v>
      </c>
      <c r="E537" s="23" t="s">
        <v>138</v>
      </c>
      <c r="F537" s="17" t="s">
        <v>45</v>
      </c>
      <c r="G537" s="11" t="s">
        <v>1432</v>
      </c>
      <c r="H537" s="12">
        <v>30</v>
      </c>
      <c r="I537" s="11" t="s">
        <v>1433</v>
      </c>
      <c r="J537" s="193" t="s">
        <v>617</v>
      </c>
      <c r="K537" s="17" t="s">
        <v>233</v>
      </c>
      <c r="L537" s="17" t="s">
        <v>233</v>
      </c>
      <c r="M537" s="231">
        <v>1.3</v>
      </c>
      <c r="N537" s="231">
        <v>1.3</v>
      </c>
      <c r="O537" s="231">
        <v>1.3</v>
      </c>
      <c r="P537" s="231" t="s">
        <v>239</v>
      </c>
      <c r="Q537" s="231">
        <v>1.3</v>
      </c>
      <c r="R537" s="231" t="s">
        <v>239</v>
      </c>
      <c r="S537" s="231">
        <v>1.3</v>
      </c>
      <c r="T537" s="231" t="s">
        <v>239</v>
      </c>
      <c r="U537" s="231">
        <v>1.3</v>
      </c>
      <c r="V537" s="231" t="s">
        <v>239</v>
      </c>
      <c r="W537" s="231">
        <v>1.3</v>
      </c>
      <c r="X537" s="231" t="s">
        <v>239</v>
      </c>
      <c r="Y537" s="231">
        <v>1.3</v>
      </c>
      <c r="Z537" s="231" t="s">
        <v>239</v>
      </c>
      <c r="AA537" s="231">
        <v>1.3</v>
      </c>
      <c r="AB537" s="231" t="s">
        <v>239</v>
      </c>
      <c r="AC537" s="231">
        <v>1.3</v>
      </c>
      <c r="AD537" s="231" t="s">
        <v>239</v>
      </c>
      <c r="AE537" s="231">
        <v>1.3</v>
      </c>
      <c r="AF537" s="231" t="s">
        <v>239</v>
      </c>
      <c r="AG537" s="231">
        <v>1.3</v>
      </c>
      <c r="AH537" s="231" t="s">
        <v>239</v>
      </c>
      <c r="AI537" s="231">
        <v>1.3</v>
      </c>
      <c r="AJ537" s="231" t="s">
        <v>239</v>
      </c>
      <c r="AK537" s="231">
        <v>1.3</v>
      </c>
      <c r="AL537" s="232" t="s">
        <v>239</v>
      </c>
      <c r="AM537" s="232">
        <v>0</v>
      </c>
    </row>
    <row r="538" spans="1:39" ht="15" customHeight="1" outlineLevel="1">
      <c r="A538" s="412"/>
      <c r="B538" s="10">
        <v>129264</v>
      </c>
      <c r="C538" s="218" t="s">
        <v>1489</v>
      </c>
      <c r="D538" s="218" t="s">
        <v>1490</v>
      </c>
      <c r="E538" s="23" t="s">
        <v>44</v>
      </c>
      <c r="F538" s="17" t="s">
        <v>45</v>
      </c>
      <c r="G538" s="11" t="s">
        <v>1432</v>
      </c>
      <c r="H538" s="12">
        <v>33</v>
      </c>
      <c r="I538" s="11" t="s">
        <v>1433</v>
      </c>
      <c r="J538" s="193" t="s">
        <v>216</v>
      </c>
      <c r="K538" s="17" t="s">
        <v>233</v>
      </c>
      <c r="L538" s="17" t="s">
        <v>233</v>
      </c>
      <c r="M538" s="231">
        <v>10196</v>
      </c>
      <c r="N538" s="232">
        <v>10072.22056</v>
      </c>
      <c r="O538" s="132">
        <v>1263</v>
      </c>
      <c r="P538" s="231" t="s">
        <v>239</v>
      </c>
      <c r="Q538" s="232">
        <v>1247.43984</v>
      </c>
      <c r="R538" s="231" t="s">
        <v>239</v>
      </c>
      <c r="S538" s="232">
        <v>1232.0713811712001</v>
      </c>
      <c r="T538" s="231" t="s">
        <v>239</v>
      </c>
      <c r="U538" s="232">
        <v>1216.8922617551709</v>
      </c>
      <c r="V538" s="230" t="s">
        <v>239</v>
      </c>
      <c r="W538" s="232">
        <v>1201.9001490903472</v>
      </c>
      <c r="X538" s="231" t="s">
        <v>239</v>
      </c>
      <c r="Y538" s="232">
        <v>1187.0927392535541</v>
      </c>
      <c r="Z538" s="231" t="s">
        <v>239</v>
      </c>
      <c r="AA538" s="232">
        <v>1172.4677567059503</v>
      </c>
      <c r="AB538" s="231" t="s">
        <v>239</v>
      </c>
      <c r="AC538" s="232">
        <v>1158.0229539433331</v>
      </c>
      <c r="AD538" s="231" t="s">
        <v>239</v>
      </c>
      <c r="AE538" s="232">
        <v>1143.7561111507512</v>
      </c>
      <c r="AF538" s="231" t="s">
        <v>239</v>
      </c>
      <c r="AG538" s="232">
        <v>1129.665035861374</v>
      </c>
      <c r="AH538" s="231" t="s">
        <v>239</v>
      </c>
      <c r="AI538" s="232">
        <v>1115.7475626195619</v>
      </c>
      <c r="AJ538" s="231" t="s">
        <v>239</v>
      </c>
      <c r="AK538" s="232">
        <v>1102.0015526480888</v>
      </c>
      <c r="AL538" s="232" t="s">
        <v>239</v>
      </c>
      <c r="AM538" s="232">
        <v>14170.057344199333</v>
      </c>
    </row>
    <row r="539" spans="1:39" ht="15" customHeight="1" outlineLevel="1">
      <c r="A539" s="411">
        <v>265</v>
      </c>
      <c r="B539" s="10">
        <v>129265</v>
      </c>
      <c r="C539" s="218" t="s">
        <v>1489</v>
      </c>
      <c r="D539" s="218" t="s">
        <v>1490</v>
      </c>
      <c r="E539" s="23" t="s">
        <v>44</v>
      </c>
      <c r="F539" s="17" t="s">
        <v>45</v>
      </c>
      <c r="G539" s="11" t="s">
        <v>1432</v>
      </c>
      <c r="H539" s="12">
        <v>19</v>
      </c>
      <c r="I539" s="11" t="s">
        <v>1433</v>
      </c>
      <c r="J539" s="192" t="s">
        <v>1446</v>
      </c>
      <c r="K539" s="17" t="s">
        <v>233</v>
      </c>
      <c r="L539" s="17" t="s">
        <v>233</v>
      </c>
      <c r="M539" s="231">
        <v>12</v>
      </c>
      <c r="N539" s="231">
        <v>12</v>
      </c>
      <c r="O539" s="231">
        <v>12</v>
      </c>
      <c r="P539" s="231" t="s">
        <v>239</v>
      </c>
      <c r="Q539" s="231">
        <v>12</v>
      </c>
      <c r="R539" s="231" t="s">
        <v>239</v>
      </c>
      <c r="S539" s="231">
        <v>12</v>
      </c>
      <c r="T539" s="231" t="s">
        <v>239</v>
      </c>
      <c r="U539" s="231">
        <v>12</v>
      </c>
      <c r="V539" s="231" t="s">
        <v>239</v>
      </c>
      <c r="W539" s="231">
        <v>12</v>
      </c>
      <c r="X539" s="231" t="s">
        <v>239</v>
      </c>
      <c r="Y539" s="231">
        <v>12</v>
      </c>
      <c r="Z539" s="231" t="s">
        <v>239</v>
      </c>
      <c r="AA539" s="231">
        <v>12</v>
      </c>
      <c r="AB539" s="231" t="s">
        <v>239</v>
      </c>
      <c r="AC539" s="231">
        <v>12</v>
      </c>
      <c r="AD539" s="231" t="s">
        <v>239</v>
      </c>
      <c r="AE539" s="231">
        <v>12</v>
      </c>
      <c r="AF539" s="231" t="s">
        <v>239</v>
      </c>
      <c r="AG539" s="231">
        <v>12</v>
      </c>
      <c r="AH539" s="231" t="s">
        <v>239</v>
      </c>
      <c r="AI539" s="231">
        <v>12</v>
      </c>
      <c r="AJ539" s="231" t="s">
        <v>239</v>
      </c>
      <c r="AK539" s="231">
        <v>12</v>
      </c>
      <c r="AL539" s="232" t="s">
        <v>239</v>
      </c>
      <c r="AM539" s="232">
        <v>0</v>
      </c>
    </row>
    <row r="540" spans="1:39" ht="15" customHeight="1" outlineLevel="1">
      <c r="A540" s="412"/>
      <c r="B540" s="10">
        <v>129265</v>
      </c>
      <c r="C540" s="218" t="s">
        <v>1489</v>
      </c>
      <c r="D540" s="218" t="s">
        <v>1490</v>
      </c>
      <c r="E540" s="23" t="s">
        <v>138</v>
      </c>
      <c r="F540" s="17" t="s">
        <v>45</v>
      </c>
      <c r="G540" s="11" t="s">
        <v>1432</v>
      </c>
      <c r="H540" s="12">
        <v>6</v>
      </c>
      <c r="I540" s="11" t="s">
        <v>1433</v>
      </c>
      <c r="J540" s="192" t="s">
        <v>1481</v>
      </c>
      <c r="K540" s="17" t="s">
        <v>233</v>
      </c>
      <c r="L540" s="17" t="s">
        <v>233</v>
      </c>
      <c r="M540" s="231">
        <v>3593</v>
      </c>
      <c r="N540" s="232">
        <v>3549.3809799999999</v>
      </c>
      <c r="O540" s="132">
        <v>371</v>
      </c>
      <c r="P540" s="231" t="s">
        <v>239</v>
      </c>
      <c r="Q540" s="232">
        <v>366.42928000000001</v>
      </c>
      <c r="R540" s="231" t="s">
        <v>239</v>
      </c>
      <c r="S540" s="232">
        <v>361.9148712704</v>
      </c>
      <c r="T540" s="231" t="s">
        <v>239</v>
      </c>
      <c r="U540" s="232">
        <v>357.4560800563487</v>
      </c>
      <c r="V540" s="231" t="s">
        <v>239</v>
      </c>
      <c r="W540" s="232">
        <v>353.05222115005449</v>
      </c>
      <c r="X540" s="231" t="s">
        <v>239</v>
      </c>
      <c r="Y540" s="232">
        <v>348.70261778548581</v>
      </c>
      <c r="Z540" s="231" t="s">
        <v>239</v>
      </c>
      <c r="AA540" s="232">
        <v>344.40660153436863</v>
      </c>
      <c r="AB540" s="231" t="s">
        <v>239</v>
      </c>
      <c r="AC540" s="232">
        <v>340.16351220346519</v>
      </c>
      <c r="AD540" s="231" t="s">
        <v>239</v>
      </c>
      <c r="AE540" s="232">
        <v>335.97269773311848</v>
      </c>
      <c r="AF540" s="231" t="s">
        <v>239</v>
      </c>
      <c r="AG540" s="232">
        <v>331.83351409704647</v>
      </c>
      <c r="AH540" s="231" t="s">
        <v>239</v>
      </c>
      <c r="AI540" s="232">
        <v>327.74532520337084</v>
      </c>
      <c r="AJ540" s="231" t="s">
        <v>239</v>
      </c>
      <c r="AK540" s="232">
        <v>323.7075027968653</v>
      </c>
      <c r="AL540" s="232" t="s">
        <v>239</v>
      </c>
      <c r="AM540" s="232">
        <v>4162.3842238305242</v>
      </c>
    </row>
    <row r="541" spans="1:39" ht="15" customHeight="1" outlineLevel="1">
      <c r="A541" s="411">
        <v>266</v>
      </c>
      <c r="B541" s="10">
        <v>129266</v>
      </c>
      <c r="C541" s="218" t="s">
        <v>1489</v>
      </c>
      <c r="D541" s="218" t="s">
        <v>1490</v>
      </c>
      <c r="E541" s="23" t="s">
        <v>44</v>
      </c>
      <c r="F541" s="17" t="s">
        <v>45</v>
      </c>
      <c r="G541" s="11" t="s">
        <v>1432</v>
      </c>
      <c r="H541" s="12">
        <v>15</v>
      </c>
      <c r="I541" s="11" t="s">
        <v>1433</v>
      </c>
      <c r="J541" s="192" t="s">
        <v>208</v>
      </c>
      <c r="K541" s="17" t="s">
        <v>233</v>
      </c>
      <c r="L541" s="17" t="s">
        <v>233</v>
      </c>
      <c r="M541" s="231">
        <v>12</v>
      </c>
      <c r="N541" s="231">
        <v>12</v>
      </c>
      <c r="O541" s="231">
        <v>12</v>
      </c>
      <c r="P541" s="231" t="s">
        <v>239</v>
      </c>
      <c r="Q541" s="231">
        <v>12</v>
      </c>
      <c r="R541" s="231" t="s">
        <v>239</v>
      </c>
      <c r="S541" s="231">
        <v>12</v>
      </c>
      <c r="T541" s="231" t="s">
        <v>239</v>
      </c>
      <c r="U541" s="231">
        <v>12</v>
      </c>
      <c r="V541" s="230" t="s">
        <v>239</v>
      </c>
      <c r="W541" s="231">
        <v>12</v>
      </c>
      <c r="X541" s="231" t="s">
        <v>239</v>
      </c>
      <c r="Y541" s="231">
        <v>12</v>
      </c>
      <c r="Z541" s="231" t="s">
        <v>239</v>
      </c>
      <c r="AA541" s="231">
        <v>12</v>
      </c>
      <c r="AB541" s="231" t="s">
        <v>239</v>
      </c>
      <c r="AC541" s="231">
        <v>12</v>
      </c>
      <c r="AD541" s="231" t="s">
        <v>239</v>
      </c>
      <c r="AE541" s="231">
        <v>12</v>
      </c>
      <c r="AF541" s="231" t="s">
        <v>239</v>
      </c>
      <c r="AG541" s="231">
        <v>12</v>
      </c>
      <c r="AH541" s="231" t="s">
        <v>239</v>
      </c>
      <c r="AI541" s="231">
        <v>12</v>
      </c>
      <c r="AJ541" s="231" t="s">
        <v>239</v>
      </c>
      <c r="AK541" s="231">
        <v>12</v>
      </c>
      <c r="AL541" s="232" t="s">
        <v>239</v>
      </c>
      <c r="AM541" s="232">
        <v>0</v>
      </c>
    </row>
    <row r="542" spans="1:39" ht="15" customHeight="1" outlineLevel="1">
      <c r="A542" s="412"/>
      <c r="B542" s="10">
        <v>129266</v>
      </c>
      <c r="C542" s="218" t="s">
        <v>1489</v>
      </c>
      <c r="D542" s="218" t="s">
        <v>1490</v>
      </c>
      <c r="E542" s="23" t="s">
        <v>138</v>
      </c>
      <c r="F542" s="17" t="s">
        <v>45</v>
      </c>
      <c r="G542" s="11" t="s">
        <v>1432</v>
      </c>
      <c r="H542" s="12">
        <v>19</v>
      </c>
      <c r="I542" s="11" t="s">
        <v>1433</v>
      </c>
      <c r="J542" s="192" t="s">
        <v>1463</v>
      </c>
      <c r="K542" s="17" t="s">
        <v>233</v>
      </c>
      <c r="L542" s="17" t="s">
        <v>233</v>
      </c>
      <c r="M542" s="231">
        <v>0</v>
      </c>
      <c r="N542" s="232">
        <v>0</v>
      </c>
      <c r="O542" s="132"/>
      <c r="P542" s="231" t="s">
        <v>239</v>
      </c>
      <c r="Q542" s="232">
        <v>0</v>
      </c>
      <c r="R542" s="231" t="s">
        <v>239</v>
      </c>
      <c r="S542" s="232">
        <v>0</v>
      </c>
      <c r="T542" s="231" t="s">
        <v>239</v>
      </c>
      <c r="U542" s="232">
        <v>0</v>
      </c>
      <c r="V542" s="231" t="s">
        <v>239</v>
      </c>
      <c r="W542" s="232">
        <v>0</v>
      </c>
      <c r="X542" s="231" t="s">
        <v>239</v>
      </c>
      <c r="Y542" s="232">
        <v>0</v>
      </c>
      <c r="Z542" s="231" t="s">
        <v>239</v>
      </c>
      <c r="AA542" s="232">
        <v>0</v>
      </c>
      <c r="AB542" s="231" t="s">
        <v>239</v>
      </c>
      <c r="AC542" s="232">
        <v>0</v>
      </c>
      <c r="AD542" s="231" t="s">
        <v>239</v>
      </c>
      <c r="AE542" s="232">
        <v>0</v>
      </c>
      <c r="AF542" s="231" t="s">
        <v>239</v>
      </c>
      <c r="AG542" s="232">
        <v>0</v>
      </c>
      <c r="AH542" s="231" t="s">
        <v>239</v>
      </c>
      <c r="AI542" s="232">
        <v>0</v>
      </c>
      <c r="AJ542" s="231" t="s">
        <v>239</v>
      </c>
      <c r="AK542" s="232">
        <v>0</v>
      </c>
      <c r="AL542" s="232" t="s">
        <v>239</v>
      </c>
      <c r="AM542" s="232">
        <v>0</v>
      </c>
    </row>
    <row r="543" spans="1:39" ht="15" customHeight="1" outlineLevel="1">
      <c r="A543" s="411">
        <v>267</v>
      </c>
      <c r="B543" s="10">
        <v>129267</v>
      </c>
      <c r="C543" s="218" t="s">
        <v>1489</v>
      </c>
      <c r="D543" s="218" t="s">
        <v>1490</v>
      </c>
      <c r="E543" s="23" t="s">
        <v>44</v>
      </c>
      <c r="F543" s="17" t="s">
        <v>45</v>
      </c>
      <c r="G543" s="11" t="s">
        <v>1432</v>
      </c>
      <c r="H543" s="12">
        <v>22</v>
      </c>
      <c r="I543" s="11" t="s">
        <v>1433</v>
      </c>
      <c r="J543" s="192" t="s">
        <v>1482</v>
      </c>
      <c r="K543" s="17" t="s">
        <v>233</v>
      </c>
      <c r="L543" s="17" t="s">
        <v>233</v>
      </c>
      <c r="M543" s="231">
        <v>1</v>
      </c>
      <c r="N543" s="231">
        <v>1</v>
      </c>
      <c r="O543" s="231">
        <v>1</v>
      </c>
      <c r="P543" s="231" t="s">
        <v>239</v>
      </c>
      <c r="Q543" s="231">
        <v>1</v>
      </c>
      <c r="R543" s="231" t="s">
        <v>239</v>
      </c>
      <c r="S543" s="231">
        <v>1</v>
      </c>
      <c r="T543" s="231" t="s">
        <v>239</v>
      </c>
      <c r="U543" s="231">
        <v>1</v>
      </c>
      <c r="V543" s="231" t="s">
        <v>239</v>
      </c>
      <c r="W543" s="231">
        <v>1</v>
      </c>
      <c r="X543" s="231" t="s">
        <v>239</v>
      </c>
      <c r="Y543" s="231">
        <v>1</v>
      </c>
      <c r="Z543" s="231" t="s">
        <v>239</v>
      </c>
      <c r="AA543" s="231">
        <v>1</v>
      </c>
      <c r="AB543" s="231" t="s">
        <v>239</v>
      </c>
      <c r="AC543" s="231">
        <v>1</v>
      </c>
      <c r="AD543" s="231" t="s">
        <v>239</v>
      </c>
      <c r="AE543" s="231">
        <v>1</v>
      </c>
      <c r="AF543" s="231" t="s">
        <v>239</v>
      </c>
      <c r="AG543" s="231">
        <v>1</v>
      </c>
      <c r="AH543" s="231" t="s">
        <v>239</v>
      </c>
      <c r="AI543" s="231">
        <v>1</v>
      </c>
      <c r="AJ543" s="231" t="s">
        <v>239</v>
      </c>
      <c r="AK543" s="231">
        <v>1</v>
      </c>
      <c r="AL543" s="232" t="s">
        <v>239</v>
      </c>
      <c r="AM543" s="232">
        <v>0</v>
      </c>
    </row>
    <row r="544" spans="1:39" ht="15" customHeight="1" outlineLevel="1">
      <c r="A544" s="412"/>
      <c r="B544" s="10">
        <v>129267</v>
      </c>
      <c r="C544" s="218" t="s">
        <v>1489</v>
      </c>
      <c r="D544" s="218" t="s">
        <v>1490</v>
      </c>
      <c r="E544" s="23" t="s">
        <v>44</v>
      </c>
      <c r="F544" s="17" t="s">
        <v>45</v>
      </c>
      <c r="G544" s="11" t="s">
        <v>1432</v>
      </c>
      <c r="H544" s="12">
        <v>24</v>
      </c>
      <c r="I544" s="11" t="s">
        <v>1433</v>
      </c>
      <c r="J544" s="192" t="s">
        <v>1462</v>
      </c>
      <c r="K544" s="17" t="s">
        <v>233</v>
      </c>
      <c r="L544" s="17" t="s">
        <v>233</v>
      </c>
      <c r="M544" s="231">
        <v>3000</v>
      </c>
      <c r="N544" s="232">
        <v>2963.58</v>
      </c>
      <c r="O544" s="132">
        <v>464</v>
      </c>
      <c r="P544" s="231" t="s">
        <v>239</v>
      </c>
      <c r="Q544" s="232">
        <v>458.28352000000001</v>
      </c>
      <c r="R544" s="231" t="s">
        <v>239</v>
      </c>
      <c r="S544" s="232">
        <v>452.63746703359999</v>
      </c>
      <c r="T544" s="231" t="s">
        <v>239</v>
      </c>
      <c r="U544" s="232">
        <v>447.06097343974602</v>
      </c>
      <c r="V544" s="230" t="s">
        <v>239</v>
      </c>
      <c r="W544" s="232">
        <v>441.55318224696833</v>
      </c>
      <c r="X544" s="231" t="s">
        <v>239</v>
      </c>
      <c r="Y544" s="232">
        <v>436.11324704168567</v>
      </c>
      <c r="Z544" s="231" t="s">
        <v>239</v>
      </c>
      <c r="AA544" s="232">
        <v>430.74033183813208</v>
      </c>
      <c r="AB544" s="231" t="s">
        <v>239</v>
      </c>
      <c r="AC544" s="232">
        <v>425.43361094988632</v>
      </c>
      <c r="AD544" s="231" t="s">
        <v>239</v>
      </c>
      <c r="AE544" s="232">
        <v>420.19226886298372</v>
      </c>
      <c r="AF544" s="231" t="s">
        <v>239</v>
      </c>
      <c r="AG544" s="232">
        <v>415.01550011059174</v>
      </c>
      <c r="AH544" s="231" t="s">
        <v>239</v>
      </c>
      <c r="AI544" s="232">
        <v>409.90250914922927</v>
      </c>
      <c r="AJ544" s="231" t="s">
        <v>239</v>
      </c>
      <c r="AK544" s="232">
        <v>404.8525102365108</v>
      </c>
      <c r="AL544" s="232" t="s">
        <v>239</v>
      </c>
      <c r="AM544" s="232">
        <v>5205.7851209093342</v>
      </c>
    </row>
    <row r="545" spans="1:39" ht="15" customHeight="1" outlineLevel="1">
      <c r="A545" s="411">
        <v>268</v>
      </c>
      <c r="B545" s="10">
        <v>129268</v>
      </c>
      <c r="C545" s="218" t="s">
        <v>1489</v>
      </c>
      <c r="D545" s="218" t="s">
        <v>1490</v>
      </c>
      <c r="E545" s="23" t="s">
        <v>138</v>
      </c>
      <c r="F545" s="17" t="s">
        <v>45</v>
      </c>
      <c r="G545" s="11" t="s">
        <v>1432</v>
      </c>
      <c r="H545" s="12">
        <v>16</v>
      </c>
      <c r="I545" s="11" t="s">
        <v>1433</v>
      </c>
      <c r="J545" s="192" t="s">
        <v>1457</v>
      </c>
      <c r="K545" s="17" t="s">
        <v>233</v>
      </c>
      <c r="L545" s="17" t="s">
        <v>233</v>
      </c>
      <c r="M545" s="231">
        <v>1.6</v>
      </c>
      <c r="N545" s="231">
        <v>1.6</v>
      </c>
      <c r="O545" s="231">
        <v>1.6</v>
      </c>
      <c r="P545" s="231" t="s">
        <v>239</v>
      </c>
      <c r="Q545" s="231">
        <v>1.6</v>
      </c>
      <c r="R545" s="231" t="s">
        <v>239</v>
      </c>
      <c r="S545" s="231">
        <v>1.6</v>
      </c>
      <c r="T545" s="231" t="s">
        <v>239</v>
      </c>
      <c r="U545" s="231">
        <v>1.6</v>
      </c>
      <c r="V545" s="231" t="s">
        <v>239</v>
      </c>
      <c r="W545" s="231">
        <v>1.6</v>
      </c>
      <c r="X545" s="231" t="s">
        <v>239</v>
      </c>
      <c r="Y545" s="231">
        <v>1.6</v>
      </c>
      <c r="Z545" s="231" t="s">
        <v>239</v>
      </c>
      <c r="AA545" s="231">
        <v>1.6</v>
      </c>
      <c r="AB545" s="231" t="s">
        <v>239</v>
      </c>
      <c r="AC545" s="231">
        <v>1.6</v>
      </c>
      <c r="AD545" s="231" t="s">
        <v>239</v>
      </c>
      <c r="AE545" s="231">
        <v>1.6</v>
      </c>
      <c r="AF545" s="231" t="s">
        <v>239</v>
      </c>
      <c r="AG545" s="231">
        <v>1.6</v>
      </c>
      <c r="AH545" s="231" t="s">
        <v>239</v>
      </c>
      <c r="AI545" s="231">
        <v>1.6</v>
      </c>
      <c r="AJ545" s="231" t="s">
        <v>239</v>
      </c>
      <c r="AK545" s="231">
        <v>1.6</v>
      </c>
      <c r="AL545" s="232" t="s">
        <v>239</v>
      </c>
      <c r="AM545" s="232">
        <v>0</v>
      </c>
    </row>
    <row r="546" spans="1:39" ht="15" customHeight="1" outlineLevel="1">
      <c r="A546" s="412"/>
      <c r="B546" s="10">
        <v>129268</v>
      </c>
      <c r="C546" s="218" t="s">
        <v>1489</v>
      </c>
      <c r="D546" s="218" t="s">
        <v>1490</v>
      </c>
      <c r="E546" s="23" t="s">
        <v>44</v>
      </c>
      <c r="F546" s="17" t="s">
        <v>45</v>
      </c>
      <c r="G546" s="11" t="s">
        <v>1432</v>
      </c>
      <c r="H546" s="12">
        <v>5</v>
      </c>
      <c r="I546" s="11" t="s">
        <v>1433</v>
      </c>
      <c r="J546" s="192" t="s">
        <v>617</v>
      </c>
      <c r="K546" s="17" t="s">
        <v>233</v>
      </c>
      <c r="L546" s="17" t="s">
        <v>233</v>
      </c>
      <c r="M546" s="231">
        <v>6567</v>
      </c>
      <c r="N546" s="232">
        <v>6487.2766199999996</v>
      </c>
      <c r="O546" s="132">
        <v>938</v>
      </c>
      <c r="P546" s="231" t="s">
        <v>239</v>
      </c>
      <c r="Q546" s="232">
        <v>926.44384000000002</v>
      </c>
      <c r="R546" s="231" t="s">
        <v>239</v>
      </c>
      <c r="S546" s="232">
        <v>915.03005189120006</v>
      </c>
      <c r="T546" s="231" t="s">
        <v>239</v>
      </c>
      <c r="U546" s="232">
        <v>903.75688165190047</v>
      </c>
      <c r="V546" s="231" t="s">
        <v>239</v>
      </c>
      <c r="W546" s="232">
        <v>892.62259686994901</v>
      </c>
      <c r="X546" s="231" t="s">
        <v>239</v>
      </c>
      <c r="Y546" s="232">
        <v>881.62548647651124</v>
      </c>
      <c r="Z546" s="231" t="s">
        <v>239</v>
      </c>
      <c r="AA546" s="232">
        <v>870.76386048312065</v>
      </c>
      <c r="AB546" s="231" t="s">
        <v>239</v>
      </c>
      <c r="AC546" s="232">
        <v>860.03604972196865</v>
      </c>
      <c r="AD546" s="231" t="s">
        <v>239</v>
      </c>
      <c r="AE546" s="232">
        <v>849.440405589394</v>
      </c>
      <c r="AF546" s="231" t="s">
        <v>239</v>
      </c>
      <c r="AG546" s="232">
        <v>838.97529979253272</v>
      </c>
      <c r="AH546" s="231" t="s">
        <v>239</v>
      </c>
      <c r="AI546" s="232">
        <v>828.63912409908869</v>
      </c>
      <c r="AJ546" s="231" t="s">
        <v>239</v>
      </c>
      <c r="AK546" s="232">
        <v>818.4302900901879</v>
      </c>
      <c r="AL546" s="232" t="s">
        <v>239</v>
      </c>
      <c r="AM546" s="232">
        <v>10523.763886665854</v>
      </c>
    </row>
    <row r="547" spans="1:39" ht="15" customHeight="1" outlineLevel="1">
      <c r="A547" s="411">
        <v>269</v>
      </c>
      <c r="B547" s="10">
        <v>129269</v>
      </c>
      <c r="C547" s="218" t="s">
        <v>1489</v>
      </c>
      <c r="D547" s="218" t="s">
        <v>1490</v>
      </c>
      <c r="E547" s="23" t="s">
        <v>138</v>
      </c>
      <c r="F547" s="17" t="s">
        <v>45</v>
      </c>
      <c r="G547" s="11" t="s">
        <v>1432</v>
      </c>
      <c r="H547" s="12">
        <v>17</v>
      </c>
      <c r="I547" s="11" t="s">
        <v>1433</v>
      </c>
      <c r="J547" s="374" t="s">
        <v>1457</v>
      </c>
      <c r="K547" s="17" t="s">
        <v>233</v>
      </c>
      <c r="L547" s="17" t="s">
        <v>233</v>
      </c>
      <c r="M547" s="231">
        <v>1.8</v>
      </c>
      <c r="N547" s="231">
        <v>1.8</v>
      </c>
      <c r="O547" s="231">
        <v>1.8</v>
      </c>
      <c r="P547" s="231" t="s">
        <v>239</v>
      </c>
      <c r="Q547" s="231">
        <v>1.8</v>
      </c>
      <c r="R547" s="231" t="s">
        <v>239</v>
      </c>
      <c r="S547" s="231">
        <v>1.8</v>
      </c>
      <c r="T547" s="231" t="s">
        <v>239</v>
      </c>
      <c r="U547" s="231">
        <v>1.8</v>
      </c>
      <c r="V547" s="230" t="s">
        <v>239</v>
      </c>
      <c r="W547" s="231">
        <v>1.8</v>
      </c>
      <c r="X547" s="231" t="s">
        <v>239</v>
      </c>
      <c r="Y547" s="231">
        <v>1.8</v>
      </c>
      <c r="Z547" s="231" t="s">
        <v>239</v>
      </c>
      <c r="AA547" s="231">
        <v>1.8</v>
      </c>
      <c r="AB547" s="231" t="s">
        <v>239</v>
      </c>
      <c r="AC547" s="231">
        <v>1.8</v>
      </c>
      <c r="AD547" s="231" t="s">
        <v>239</v>
      </c>
      <c r="AE547" s="231">
        <v>1.8</v>
      </c>
      <c r="AF547" s="231" t="s">
        <v>239</v>
      </c>
      <c r="AG547" s="231">
        <v>1.8</v>
      </c>
      <c r="AH547" s="231" t="s">
        <v>239</v>
      </c>
      <c r="AI547" s="231">
        <v>1.8</v>
      </c>
      <c r="AJ547" s="231" t="s">
        <v>239</v>
      </c>
      <c r="AK547" s="231">
        <v>1.8</v>
      </c>
      <c r="AL547" s="232" t="s">
        <v>239</v>
      </c>
      <c r="AM547" s="232">
        <v>0</v>
      </c>
    </row>
    <row r="548" spans="1:39" ht="15" customHeight="1" outlineLevel="1">
      <c r="A548" s="412"/>
      <c r="B548" s="10">
        <v>129269</v>
      </c>
      <c r="C548" s="218" t="s">
        <v>1489</v>
      </c>
      <c r="D548" s="218" t="s">
        <v>1490</v>
      </c>
      <c r="E548" s="23" t="s">
        <v>44</v>
      </c>
      <c r="F548" s="17" t="s">
        <v>45</v>
      </c>
      <c r="G548" s="11" t="s">
        <v>1432</v>
      </c>
      <c r="H548" s="12">
        <v>19</v>
      </c>
      <c r="I548" s="11" t="s">
        <v>1433</v>
      </c>
      <c r="J548" s="375"/>
      <c r="K548" s="17" t="s">
        <v>233</v>
      </c>
      <c r="L548" s="17" t="s">
        <v>233</v>
      </c>
      <c r="M548" s="231">
        <v>3864</v>
      </c>
      <c r="N548" s="232">
        <v>3817.0910399999998</v>
      </c>
      <c r="O548" s="132">
        <v>506</v>
      </c>
      <c r="P548" s="231" t="s">
        <v>239</v>
      </c>
      <c r="Q548" s="232">
        <v>499.76607999999999</v>
      </c>
      <c r="R548" s="231" t="s">
        <v>239</v>
      </c>
      <c r="S548" s="232">
        <v>493.60896189440001</v>
      </c>
      <c r="T548" s="231" t="s">
        <v>239</v>
      </c>
      <c r="U548" s="232">
        <v>487.527699483861</v>
      </c>
      <c r="V548" s="231" t="s">
        <v>239</v>
      </c>
      <c r="W548" s="232">
        <v>481.52135822621983</v>
      </c>
      <c r="X548" s="231" t="s">
        <v>239</v>
      </c>
      <c r="Y548" s="232">
        <v>475.58901509287278</v>
      </c>
      <c r="Z548" s="231" t="s">
        <v>239</v>
      </c>
      <c r="AA548" s="232">
        <v>469.72975842692858</v>
      </c>
      <c r="AB548" s="231" t="s">
        <v>239</v>
      </c>
      <c r="AC548" s="232">
        <v>463.94268780310881</v>
      </c>
      <c r="AD548" s="231" t="s">
        <v>239</v>
      </c>
      <c r="AE548" s="232">
        <v>458.22691388937449</v>
      </c>
      <c r="AF548" s="231" t="s">
        <v>239</v>
      </c>
      <c r="AG548" s="232">
        <v>452.58155831025738</v>
      </c>
      <c r="AH548" s="231" t="s">
        <v>239</v>
      </c>
      <c r="AI548" s="232">
        <v>447.00575351187501</v>
      </c>
      <c r="AJ548" s="231" t="s">
        <v>239</v>
      </c>
      <c r="AK548" s="232">
        <v>441.49864262860871</v>
      </c>
      <c r="AL548" s="232" t="s">
        <v>239</v>
      </c>
      <c r="AM548" s="232">
        <v>5676.9984292675063</v>
      </c>
    </row>
    <row r="549" spans="1:39" ht="15" customHeight="1" outlineLevel="1">
      <c r="A549" s="411">
        <v>270</v>
      </c>
      <c r="B549" s="10">
        <v>129270</v>
      </c>
      <c r="C549" s="218" t="s">
        <v>1489</v>
      </c>
      <c r="D549" s="218" t="s">
        <v>1490</v>
      </c>
      <c r="E549" s="23" t="s">
        <v>44</v>
      </c>
      <c r="F549" s="17" t="s">
        <v>45</v>
      </c>
      <c r="G549" s="11" t="s">
        <v>1432</v>
      </c>
      <c r="H549" s="12">
        <v>21</v>
      </c>
      <c r="I549" s="11" t="s">
        <v>1433</v>
      </c>
      <c r="J549" s="193" t="s">
        <v>1460</v>
      </c>
      <c r="K549" s="17" t="s">
        <v>233</v>
      </c>
      <c r="L549" s="17" t="s">
        <v>233</v>
      </c>
      <c r="M549" s="231">
        <v>1.8</v>
      </c>
      <c r="N549" s="231">
        <v>1.8</v>
      </c>
      <c r="O549" s="231">
        <v>1.8</v>
      </c>
      <c r="P549" s="231" t="s">
        <v>239</v>
      </c>
      <c r="Q549" s="231">
        <v>1.8</v>
      </c>
      <c r="R549" s="231" t="s">
        <v>239</v>
      </c>
      <c r="S549" s="231">
        <v>1.8</v>
      </c>
      <c r="T549" s="231" t="s">
        <v>239</v>
      </c>
      <c r="U549" s="231">
        <v>1.8</v>
      </c>
      <c r="V549" s="231" t="s">
        <v>239</v>
      </c>
      <c r="W549" s="231">
        <v>1.8</v>
      </c>
      <c r="X549" s="231" t="s">
        <v>239</v>
      </c>
      <c r="Y549" s="231">
        <v>1.8</v>
      </c>
      <c r="Z549" s="231" t="s">
        <v>239</v>
      </c>
      <c r="AA549" s="231">
        <v>1.8</v>
      </c>
      <c r="AB549" s="231" t="s">
        <v>239</v>
      </c>
      <c r="AC549" s="231">
        <v>1.8</v>
      </c>
      <c r="AD549" s="231" t="s">
        <v>239</v>
      </c>
      <c r="AE549" s="231">
        <v>1.8</v>
      </c>
      <c r="AF549" s="231" t="s">
        <v>239</v>
      </c>
      <c r="AG549" s="231">
        <v>1.8</v>
      </c>
      <c r="AH549" s="231" t="s">
        <v>239</v>
      </c>
      <c r="AI549" s="231">
        <v>1.8</v>
      </c>
      <c r="AJ549" s="231" t="s">
        <v>239</v>
      </c>
      <c r="AK549" s="231">
        <v>1.8</v>
      </c>
      <c r="AL549" s="232" t="s">
        <v>239</v>
      </c>
      <c r="AM549" s="232">
        <v>0</v>
      </c>
    </row>
    <row r="550" spans="1:39" ht="15" customHeight="1" outlineLevel="1">
      <c r="A550" s="412"/>
      <c r="B550" s="10">
        <v>129270</v>
      </c>
      <c r="C550" s="218" t="s">
        <v>1489</v>
      </c>
      <c r="D550" s="218" t="s">
        <v>1490</v>
      </c>
      <c r="E550" s="23" t="s">
        <v>138</v>
      </c>
      <c r="F550" s="17" t="s">
        <v>45</v>
      </c>
      <c r="G550" s="11" t="s">
        <v>1432</v>
      </c>
      <c r="H550" s="12">
        <v>19</v>
      </c>
      <c r="I550" s="11" t="s">
        <v>1433</v>
      </c>
      <c r="J550" s="193" t="s">
        <v>1442</v>
      </c>
      <c r="K550" s="17" t="s">
        <v>233</v>
      </c>
      <c r="L550" s="17" t="s">
        <v>233</v>
      </c>
      <c r="M550" s="231">
        <v>0</v>
      </c>
      <c r="N550" s="232">
        <v>0</v>
      </c>
      <c r="O550" s="132"/>
      <c r="P550" s="231" t="s">
        <v>239</v>
      </c>
      <c r="Q550" s="232">
        <v>0</v>
      </c>
      <c r="R550" s="231" t="s">
        <v>239</v>
      </c>
      <c r="S550" s="232">
        <v>0</v>
      </c>
      <c r="T550" s="231" t="s">
        <v>239</v>
      </c>
      <c r="U550" s="232">
        <v>0</v>
      </c>
      <c r="V550" s="230" t="s">
        <v>239</v>
      </c>
      <c r="W550" s="232">
        <v>0</v>
      </c>
      <c r="X550" s="231" t="s">
        <v>239</v>
      </c>
      <c r="Y550" s="232">
        <v>0</v>
      </c>
      <c r="Z550" s="231" t="s">
        <v>239</v>
      </c>
      <c r="AA550" s="232">
        <v>0</v>
      </c>
      <c r="AB550" s="231" t="s">
        <v>239</v>
      </c>
      <c r="AC550" s="232">
        <v>0</v>
      </c>
      <c r="AD550" s="231" t="s">
        <v>239</v>
      </c>
      <c r="AE550" s="232">
        <v>0</v>
      </c>
      <c r="AF550" s="231" t="s">
        <v>239</v>
      </c>
      <c r="AG550" s="232">
        <v>0</v>
      </c>
      <c r="AH550" s="231" t="s">
        <v>239</v>
      </c>
      <c r="AI550" s="232">
        <v>0</v>
      </c>
      <c r="AJ550" s="231" t="s">
        <v>239</v>
      </c>
      <c r="AK550" s="232">
        <v>0</v>
      </c>
      <c r="AL550" s="232" t="s">
        <v>239</v>
      </c>
      <c r="AM550" s="232">
        <v>0</v>
      </c>
    </row>
    <row r="551" spans="1:39" ht="15" customHeight="1" outlineLevel="1">
      <c r="A551" s="411">
        <v>271</v>
      </c>
      <c r="B551" s="10">
        <v>129271</v>
      </c>
      <c r="C551" s="218" t="s">
        <v>1489</v>
      </c>
      <c r="D551" s="218" t="s">
        <v>1490</v>
      </c>
      <c r="E551" s="23" t="s">
        <v>44</v>
      </c>
      <c r="F551" s="17" t="s">
        <v>45</v>
      </c>
      <c r="G551" s="11" t="s">
        <v>1432</v>
      </c>
      <c r="H551" s="12">
        <v>30</v>
      </c>
      <c r="I551" s="11" t="s">
        <v>1433</v>
      </c>
      <c r="J551" s="193" t="s">
        <v>1460</v>
      </c>
      <c r="K551" s="17" t="s">
        <v>233</v>
      </c>
      <c r="L551" s="17" t="s">
        <v>233</v>
      </c>
      <c r="M551" s="231">
        <v>9.1999999999999993</v>
      </c>
      <c r="N551" s="231">
        <v>9.1999999999999993</v>
      </c>
      <c r="O551" s="231">
        <v>9.1999999999999993</v>
      </c>
      <c r="P551" s="231" t="s">
        <v>239</v>
      </c>
      <c r="Q551" s="231">
        <v>9.1999999999999993</v>
      </c>
      <c r="R551" s="231" t="s">
        <v>239</v>
      </c>
      <c r="S551" s="231">
        <v>9.1999999999999993</v>
      </c>
      <c r="T551" s="231" t="s">
        <v>239</v>
      </c>
      <c r="U551" s="231">
        <v>9.1999999999999993</v>
      </c>
      <c r="V551" s="231" t="s">
        <v>239</v>
      </c>
      <c r="W551" s="231">
        <v>9.1999999999999993</v>
      </c>
      <c r="X551" s="231" t="s">
        <v>239</v>
      </c>
      <c r="Y551" s="231">
        <v>9.1999999999999993</v>
      </c>
      <c r="Z551" s="231" t="s">
        <v>239</v>
      </c>
      <c r="AA551" s="231">
        <v>9.1999999999999993</v>
      </c>
      <c r="AB551" s="231" t="s">
        <v>239</v>
      </c>
      <c r="AC551" s="231">
        <v>9.1999999999999993</v>
      </c>
      <c r="AD551" s="231" t="s">
        <v>239</v>
      </c>
      <c r="AE551" s="231">
        <v>9.1999999999999993</v>
      </c>
      <c r="AF551" s="231" t="s">
        <v>239</v>
      </c>
      <c r="AG551" s="231">
        <v>9.1999999999999993</v>
      </c>
      <c r="AH551" s="231" t="s">
        <v>239</v>
      </c>
      <c r="AI551" s="231">
        <v>9.1999999999999993</v>
      </c>
      <c r="AJ551" s="231" t="s">
        <v>239</v>
      </c>
      <c r="AK551" s="231">
        <v>9.1999999999999993</v>
      </c>
      <c r="AL551" s="232" t="s">
        <v>239</v>
      </c>
      <c r="AM551" s="232">
        <v>0</v>
      </c>
    </row>
    <row r="552" spans="1:39" ht="15" customHeight="1" outlineLevel="1">
      <c r="A552" s="412"/>
      <c r="B552" s="10">
        <v>129271</v>
      </c>
      <c r="C552" s="218" t="s">
        <v>1489</v>
      </c>
      <c r="D552" s="218" t="s">
        <v>1490</v>
      </c>
      <c r="E552" s="23" t="s">
        <v>138</v>
      </c>
      <c r="F552" s="17" t="s">
        <v>45</v>
      </c>
      <c r="G552" s="11" t="s">
        <v>1432</v>
      </c>
      <c r="H552" s="12">
        <v>33</v>
      </c>
      <c r="I552" s="11" t="s">
        <v>1433</v>
      </c>
      <c r="J552" s="193" t="s">
        <v>1457</v>
      </c>
      <c r="K552" s="17" t="s">
        <v>233</v>
      </c>
      <c r="L552" s="17" t="s">
        <v>233</v>
      </c>
      <c r="M552" s="231">
        <v>5910</v>
      </c>
      <c r="N552" s="232">
        <v>5838.2525999999998</v>
      </c>
      <c r="O552" s="132">
        <v>781</v>
      </c>
      <c r="P552" s="231" t="s">
        <v>239</v>
      </c>
      <c r="Q552" s="232">
        <v>771.37807999999995</v>
      </c>
      <c r="R552" s="231" t="s">
        <v>239</v>
      </c>
      <c r="S552" s="232">
        <v>761.8747020543999</v>
      </c>
      <c r="T552" s="231" t="s">
        <v>239</v>
      </c>
      <c r="U552" s="232">
        <v>752.48840572508971</v>
      </c>
      <c r="V552" s="231" t="s">
        <v>239</v>
      </c>
      <c r="W552" s="232">
        <v>743.21774856655657</v>
      </c>
      <c r="X552" s="231" t="s">
        <v>239</v>
      </c>
      <c r="Y552" s="232">
        <v>734.06130590421662</v>
      </c>
      <c r="Z552" s="231" t="s">
        <v>239</v>
      </c>
      <c r="AA552" s="232">
        <v>725.01767061547673</v>
      </c>
      <c r="AB552" s="231" t="s">
        <v>239</v>
      </c>
      <c r="AC552" s="232">
        <v>716.08545291349401</v>
      </c>
      <c r="AD552" s="231" t="s">
        <v>239</v>
      </c>
      <c r="AE552" s="232">
        <v>707.26328013359978</v>
      </c>
      <c r="AF552" s="231" t="s">
        <v>239</v>
      </c>
      <c r="AG552" s="232">
        <v>698.54979652235386</v>
      </c>
      <c r="AH552" s="231" t="s">
        <v>239</v>
      </c>
      <c r="AI552" s="232">
        <v>689.94366302919843</v>
      </c>
      <c r="AJ552" s="231" t="s">
        <v>239</v>
      </c>
      <c r="AK552" s="232">
        <v>681.44355710067873</v>
      </c>
      <c r="AL552" s="232" t="s">
        <v>239</v>
      </c>
      <c r="AM552" s="232">
        <v>8762.3236625650643</v>
      </c>
    </row>
    <row r="553" spans="1:39" ht="15" customHeight="1" outlineLevel="1">
      <c r="A553" s="411">
        <v>272</v>
      </c>
      <c r="B553" s="10">
        <v>129272</v>
      </c>
      <c r="C553" s="218" t="s">
        <v>1489</v>
      </c>
      <c r="D553" s="218" t="s">
        <v>1490</v>
      </c>
      <c r="E553" s="23" t="s">
        <v>44</v>
      </c>
      <c r="F553" s="17" t="s">
        <v>45</v>
      </c>
      <c r="G553" s="11" t="s">
        <v>1432</v>
      </c>
      <c r="H553" s="12">
        <v>19</v>
      </c>
      <c r="I553" s="11" t="s">
        <v>1433</v>
      </c>
      <c r="J553" s="193" t="s">
        <v>617</v>
      </c>
      <c r="K553" s="17" t="s">
        <v>233</v>
      </c>
      <c r="L553" s="17" t="s">
        <v>233</v>
      </c>
      <c r="M553" s="231">
        <v>26</v>
      </c>
      <c r="N553" s="231">
        <v>26</v>
      </c>
      <c r="O553" s="231">
        <v>26</v>
      </c>
      <c r="P553" s="231" t="s">
        <v>239</v>
      </c>
      <c r="Q553" s="231">
        <v>26</v>
      </c>
      <c r="R553" s="231" t="s">
        <v>239</v>
      </c>
      <c r="S553" s="231">
        <v>26</v>
      </c>
      <c r="T553" s="231" t="s">
        <v>239</v>
      </c>
      <c r="U553" s="231">
        <v>26</v>
      </c>
      <c r="V553" s="230" t="s">
        <v>239</v>
      </c>
      <c r="W553" s="231">
        <v>26</v>
      </c>
      <c r="X553" s="231" t="s">
        <v>239</v>
      </c>
      <c r="Y553" s="231">
        <v>26</v>
      </c>
      <c r="Z553" s="231" t="s">
        <v>239</v>
      </c>
      <c r="AA553" s="231">
        <v>26</v>
      </c>
      <c r="AB553" s="231" t="s">
        <v>239</v>
      </c>
      <c r="AC553" s="231">
        <v>26</v>
      </c>
      <c r="AD553" s="231" t="s">
        <v>239</v>
      </c>
      <c r="AE553" s="231">
        <v>26</v>
      </c>
      <c r="AF553" s="231" t="s">
        <v>239</v>
      </c>
      <c r="AG553" s="231">
        <v>26</v>
      </c>
      <c r="AH553" s="231" t="s">
        <v>239</v>
      </c>
      <c r="AI553" s="231">
        <v>26</v>
      </c>
      <c r="AJ553" s="231" t="s">
        <v>239</v>
      </c>
      <c r="AK553" s="231">
        <v>26</v>
      </c>
      <c r="AL553" s="232" t="s">
        <v>239</v>
      </c>
      <c r="AM553" s="232">
        <v>0</v>
      </c>
    </row>
    <row r="554" spans="1:39" ht="15" customHeight="1" outlineLevel="1">
      <c r="A554" s="412"/>
      <c r="B554" s="10">
        <v>129272</v>
      </c>
      <c r="C554" s="218" t="s">
        <v>1489</v>
      </c>
      <c r="D554" s="218" t="s">
        <v>1490</v>
      </c>
      <c r="E554" s="23" t="s">
        <v>44</v>
      </c>
      <c r="F554" s="17" t="s">
        <v>45</v>
      </c>
      <c r="G554" s="11" t="s">
        <v>1432</v>
      </c>
      <c r="H554" s="12">
        <v>6</v>
      </c>
      <c r="I554" s="11" t="s">
        <v>1433</v>
      </c>
      <c r="J554" s="193" t="s">
        <v>216</v>
      </c>
      <c r="K554" s="17" t="s">
        <v>233</v>
      </c>
      <c r="L554" s="17" t="s">
        <v>233</v>
      </c>
      <c r="M554" s="231">
        <v>12816</v>
      </c>
      <c r="N554" s="232">
        <v>12660.413759999999</v>
      </c>
      <c r="O554" s="132">
        <v>631</v>
      </c>
      <c r="P554" s="231" t="s">
        <v>239</v>
      </c>
      <c r="Q554" s="232">
        <v>623.22608000000002</v>
      </c>
      <c r="R554" s="231" t="s">
        <v>239</v>
      </c>
      <c r="S554" s="232">
        <v>615.54793469440006</v>
      </c>
      <c r="T554" s="231" t="s">
        <v>239</v>
      </c>
      <c r="U554" s="232">
        <v>607.9643841389651</v>
      </c>
      <c r="V554" s="231" t="s">
        <v>239</v>
      </c>
      <c r="W554" s="232">
        <v>600.47426292637306</v>
      </c>
      <c r="X554" s="231" t="s">
        <v>239</v>
      </c>
      <c r="Y554" s="232">
        <v>593.07642000712019</v>
      </c>
      <c r="Z554" s="231" t="s">
        <v>239</v>
      </c>
      <c r="AA554" s="232">
        <v>585.76971851263249</v>
      </c>
      <c r="AB554" s="231" t="s">
        <v>239</v>
      </c>
      <c r="AC554" s="232">
        <v>578.55303558055687</v>
      </c>
      <c r="AD554" s="231" t="s">
        <v>239</v>
      </c>
      <c r="AE554" s="232">
        <v>571.42526218220439</v>
      </c>
      <c r="AF554" s="231" t="s">
        <v>239</v>
      </c>
      <c r="AG554" s="232">
        <v>564.38530295211967</v>
      </c>
      <c r="AH554" s="231" t="s">
        <v>239</v>
      </c>
      <c r="AI554" s="232">
        <v>557.43207601974962</v>
      </c>
      <c r="AJ554" s="231" t="s">
        <v>239</v>
      </c>
      <c r="AK554" s="232">
        <v>550.56451284318632</v>
      </c>
      <c r="AL554" s="232" t="s">
        <v>239</v>
      </c>
      <c r="AM554" s="232">
        <v>7079.4189898573068</v>
      </c>
    </row>
    <row r="555" spans="1:39" ht="15" customHeight="1" outlineLevel="1">
      <c r="A555" s="411">
        <v>273</v>
      </c>
      <c r="B555" s="10">
        <v>129273</v>
      </c>
      <c r="C555" s="218" t="s">
        <v>1489</v>
      </c>
      <c r="D555" s="218" t="s">
        <v>1490</v>
      </c>
      <c r="E555" s="23" t="s">
        <v>138</v>
      </c>
      <c r="F555" s="17" t="s">
        <v>45</v>
      </c>
      <c r="G555" s="11" t="s">
        <v>1432</v>
      </c>
      <c r="H555" s="12">
        <v>15</v>
      </c>
      <c r="I555" s="11" t="s">
        <v>1433</v>
      </c>
      <c r="J555" s="193" t="s">
        <v>208</v>
      </c>
      <c r="K555" s="17" t="s">
        <v>233</v>
      </c>
      <c r="L555" s="17" t="s">
        <v>233</v>
      </c>
      <c r="M555" s="231">
        <v>26</v>
      </c>
      <c r="N555" s="231">
        <v>26</v>
      </c>
      <c r="O555" s="231">
        <v>26</v>
      </c>
      <c r="P555" s="231" t="s">
        <v>239</v>
      </c>
      <c r="Q555" s="231">
        <v>26</v>
      </c>
      <c r="R555" s="231" t="s">
        <v>239</v>
      </c>
      <c r="S555" s="231">
        <v>26</v>
      </c>
      <c r="T555" s="231" t="s">
        <v>239</v>
      </c>
      <c r="U555" s="231">
        <v>26</v>
      </c>
      <c r="V555" s="231" t="s">
        <v>239</v>
      </c>
      <c r="W555" s="231">
        <v>26</v>
      </c>
      <c r="X555" s="231" t="s">
        <v>239</v>
      </c>
      <c r="Y555" s="231">
        <v>26</v>
      </c>
      <c r="Z555" s="231" t="s">
        <v>239</v>
      </c>
      <c r="AA555" s="231">
        <v>26</v>
      </c>
      <c r="AB555" s="231" t="s">
        <v>239</v>
      </c>
      <c r="AC555" s="231">
        <v>26</v>
      </c>
      <c r="AD555" s="231" t="s">
        <v>239</v>
      </c>
      <c r="AE555" s="231">
        <v>26</v>
      </c>
      <c r="AF555" s="231" t="s">
        <v>239</v>
      </c>
      <c r="AG555" s="231">
        <v>26</v>
      </c>
      <c r="AH555" s="231" t="s">
        <v>239</v>
      </c>
      <c r="AI555" s="231">
        <v>26</v>
      </c>
      <c r="AJ555" s="231" t="s">
        <v>239</v>
      </c>
      <c r="AK555" s="231">
        <v>26</v>
      </c>
      <c r="AL555" s="232" t="s">
        <v>239</v>
      </c>
      <c r="AM555" s="232">
        <v>0</v>
      </c>
    </row>
    <row r="556" spans="1:39" ht="15" customHeight="1" outlineLevel="1">
      <c r="A556" s="412"/>
      <c r="B556" s="10">
        <v>129273</v>
      </c>
      <c r="C556" s="218" t="s">
        <v>1489</v>
      </c>
      <c r="D556" s="218" t="s">
        <v>1490</v>
      </c>
      <c r="E556" s="23" t="s">
        <v>44</v>
      </c>
      <c r="F556" s="17" t="s">
        <v>45</v>
      </c>
      <c r="G556" s="11" t="s">
        <v>1432</v>
      </c>
      <c r="H556" s="12">
        <v>19</v>
      </c>
      <c r="I556" s="11" t="s">
        <v>1433</v>
      </c>
      <c r="J556" s="191" t="s">
        <v>216</v>
      </c>
      <c r="K556" s="17" t="s">
        <v>233</v>
      </c>
      <c r="L556" s="17" t="s">
        <v>233</v>
      </c>
      <c r="M556" s="231">
        <v>0</v>
      </c>
      <c r="N556" s="232">
        <v>0</v>
      </c>
      <c r="O556" s="132"/>
      <c r="P556" s="231" t="s">
        <v>239</v>
      </c>
      <c r="Q556" s="232">
        <v>0</v>
      </c>
      <c r="R556" s="231" t="s">
        <v>239</v>
      </c>
      <c r="S556" s="232">
        <v>0</v>
      </c>
      <c r="T556" s="231" t="s">
        <v>239</v>
      </c>
      <c r="U556" s="232">
        <v>0</v>
      </c>
      <c r="V556" s="230" t="s">
        <v>239</v>
      </c>
      <c r="W556" s="232">
        <v>0</v>
      </c>
      <c r="X556" s="231" t="s">
        <v>239</v>
      </c>
      <c r="Y556" s="232">
        <v>0</v>
      </c>
      <c r="Z556" s="231" t="s">
        <v>239</v>
      </c>
      <c r="AA556" s="232">
        <v>0</v>
      </c>
      <c r="AB556" s="231" t="s">
        <v>239</v>
      </c>
      <c r="AC556" s="232">
        <v>0</v>
      </c>
      <c r="AD556" s="231" t="s">
        <v>239</v>
      </c>
      <c r="AE556" s="232">
        <v>0</v>
      </c>
      <c r="AF556" s="231" t="s">
        <v>239</v>
      </c>
      <c r="AG556" s="232">
        <v>0</v>
      </c>
      <c r="AH556" s="231" t="s">
        <v>239</v>
      </c>
      <c r="AI556" s="232">
        <v>0</v>
      </c>
      <c r="AJ556" s="231" t="s">
        <v>239</v>
      </c>
      <c r="AK556" s="232">
        <v>0</v>
      </c>
      <c r="AL556" s="232" t="s">
        <v>239</v>
      </c>
      <c r="AM556" s="232">
        <v>0</v>
      </c>
    </row>
    <row r="557" spans="1:39" ht="15" customHeight="1" outlineLevel="1">
      <c r="A557" s="411">
        <v>274</v>
      </c>
      <c r="B557" s="10">
        <v>129274</v>
      </c>
      <c r="C557" s="218" t="s">
        <v>1489</v>
      </c>
      <c r="D557" s="218" t="s">
        <v>1490</v>
      </c>
      <c r="E557" s="23" t="s">
        <v>138</v>
      </c>
      <c r="F557" s="17" t="s">
        <v>45</v>
      </c>
      <c r="G557" s="11" t="s">
        <v>1432</v>
      </c>
      <c r="H557" s="12">
        <v>22</v>
      </c>
      <c r="I557" s="11" t="s">
        <v>1433</v>
      </c>
      <c r="J557" s="192" t="s">
        <v>1434</v>
      </c>
      <c r="K557" s="17" t="s">
        <v>233</v>
      </c>
      <c r="L557" s="17" t="s">
        <v>233</v>
      </c>
      <c r="M557" s="231">
        <v>5</v>
      </c>
      <c r="N557" s="231">
        <v>5</v>
      </c>
      <c r="O557" s="231">
        <v>5</v>
      </c>
      <c r="P557" s="231" t="s">
        <v>239</v>
      </c>
      <c r="Q557" s="231">
        <v>5</v>
      </c>
      <c r="R557" s="231" t="s">
        <v>239</v>
      </c>
      <c r="S557" s="231">
        <v>5</v>
      </c>
      <c r="T557" s="231" t="s">
        <v>239</v>
      </c>
      <c r="U557" s="231">
        <v>5</v>
      </c>
      <c r="V557" s="231" t="s">
        <v>239</v>
      </c>
      <c r="W557" s="231">
        <v>5</v>
      </c>
      <c r="X557" s="231" t="s">
        <v>239</v>
      </c>
      <c r="Y557" s="231">
        <v>5</v>
      </c>
      <c r="Z557" s="231" t="s">
        <v>239</v>
      </c>
      <c r="AA557" s="231">
        <v>5</v>
      </c>
      <c r="AB557" s="231" t="s">
        <v>239</v>
      </c>
      <c r="AC557" s="231">
        <v>5</v>
      </c>
      <c r="AD557" s="231" t="s">
        <v>239</v>
      </c>
      <c r="AE557" s="231">
        <v>5</v>
      </c>
      <c r="AF557" s="231" t="s">
        <v>239</v>
      </c>
      <c r="AG557" s="231">
        <v>5</v>
      </c>
      <c r="AH557" s="231" t="s">
        <v>239</v>
      </c>
      <c r="AI557" s="231">
        <v>5</v>
      </c>
      <c r="AJ557" s="231" t="s">
        <v>239</v>
      </c>
      <c r="AK557" s="231">
        <v>5</v>
      </c>
      <c r="AL557" s="232" t="s">
        <v>239</v>
      </c>
      <c r="AM557" s="232">
        <v>0</v>
      </c>
    </row>
    <row r="558" spans="1:39" ht="15" customHeight="1" outlineLevel="1">
      <c r="A558" s="412"/>
      <c r="B558" s="10">
        <v>129274</v>
      </c>
      <c r="C558" s="218" t="s">
        <v>1489</v>
      </c>
      <c r="D558" s="218" t="s">
        <v>1490</v>
      </c>
      <c r="E558" s="23" t="s">
        <v>44</v>
      </c>
      <c r="F558" s="17" t="s">
        <v>45</v>
      </c>
      <c r="G558" s="11" t="s">
        <v>1432</v>
      </c>
      <c r="H558" s="12">
        <v>24</v>
      </c>
      <c r="I558" s="11" t="s">
        <v>1433</v>
      </c>
      <c r="J558" s="192" t="s">
        <v>1480</v>
      </c>
      <c r="K558" s="17" t="s">
        <v>233</v>
      </c>
      <c r="L558" s="17" t="s">
        <v>233</v>
      </c>
      <c r="M558" s="231">
        <v>11760</v>
      </c>
      <c r="N558" s="232">
        <v>11617.2336</v>
      </c>
      <c r="O558" s="132">
        <v>49</v>
      </c>
      <c r="P558" s="231" t="s">
        <v>239</v>
      </c>
      <c r="Q558" s="232">
        <v>48.396320000000003</v>
      </c>
      <c r="R558" s="231" t="s">
        <v>239</v>
      </c>
      <c r="S558" s="232">
        <v>47.800077337600001</v>
      </c>
      <c r="T558" s="231" t="s">
        <v>239</v>
      </c>
      <c r="U558" s="232">
        <v>47.21118038480077</v>
      </c>
      <c r="V558" s="231" t="s">
        <v>239</v>
      </c>
      <c r="W558" s="232">
        <v>46.629538642460027</v>
      </c>
      <c r="X558" s="231" t="s">
        <v>239</v>
      </c>
      <c r="Y558" s="232">
        <v>46.055062726384918</v>
      </c>
      <c r="Z558" s="231" t="s">
        <v>239</v>
      </c>
      <c r="AA558" s="232">
        <v>45.487664353595854</v>
      </c>
      <c r="AB558" s="231" t="s">
        <v>239</v>
      </c>
      <c r="AC558" s="232">
        <v>44.927256328759555</v>
      </c>
      <c r="AD558" s="231" t="s">
        <v>239</v>
      </c>
      <c r="AE558" s="232">
        <v>44.37375253078924</v>
      </c>
      <c r="AF558" s="231" t="s">
        <v>239</v>
      </c>
      <c r="AG558" s="232">
        <v>43.827067899609915</v>
      </c>
      <c r="AH558" s="231" t="s">
        <v>239</v>
      </c>
      <c r="AI558" s="232">
        <v>43.287118423086724</v>
      </c>
      <c r="AJ558" s="231" t="s">
        <v>239</v>
      </c>
      <c r="AK558" s="232">
        <v>42.753821124114296</v>
      </c>
      <c r="AL558" s="232" t="s">
        <v>239</v>
      </c>
      <c r="AM558" s="232">
        <v>549.74885975120128</v>
      </c>
    </row>
    <row r="559" spans="1:39" ht="15" customHeight="1" outlineLevel="1">
      <c r="A559" s="411">
        <v>275</v>
      </c>
      <c r="B559" s="10">
        <v>129275</v>
      </c>
      <c r="C559" s="218" t="s">
        <v>1489</v>
      </c>
      <c r="D559" s="218" t="s">
        <v>1490</v>
      </c>
      <c r="E559" s="23" t="s">
        <v>44</v>
      </c>
      <c r="F559" s="17" t="s">
        <v>45</v>
      </c>
      <c r="G559" s="11" t="s">
        <v>1432</v>
      </c>
      <c r="H559" s="12">
        <v>16</v>
      </c>
      <c r="I559" s="11" t="s">
        <v>1433</v>
      </c>
      <c r="J559" s="192" t="s">
        <v>1452</v>
      </c>
      <c r="K559" s="17" t="s">
        <v>233</v>
      </c>
      <c r="L559" s="17" t="s">
        <v>233</v>
      </c>
      <c r="M559" s="231">
        <v>5</v>
      </c>
      <c r="N559" s="231">
        <v>5</v>
      </c>
      <c r="O559" s="231">
        <v>5</v>
      </c>
      <c r="P559" s="231" t="s">
        <v>239</v>
      </c>
      <c r="Q559" s="231">
        <v>5</v>
      </c>
      <c r="R559" s="231" t="s">
        <v>239</v>
      </c>
      <c r="S559" s="231">
        <v>5</v>
      </c>
      <c r="T559" s="231" t="s">
        <v>239</v>
      </c>
      <c r="U559" s="231">
        <v>5</v>
      </c>
      <c r="V559" s="230" t="s">
        <v>239</v>
      </c>
      <c r="W559" s="231">
        <v>5</v>
      </c>
      <c r="X559" s="231" t="s">
        <v>239</v>
      </c>
      <c r="Y559" s="231">
        <v>5</v>
      </c>
      <c r="Z559" s="231" t="s">
        <v>239</v>
      </c>
      <c r="AA559" s="231">
        <v>5</v>
      </c>
      <c r="AB559" s="231" t="s">
        <v>239</v>
      </c>
      <c r="AC559" s="231">
        <v>5</v>
      </c>
      <c r="AD559" s="231" t="s">
        <v>239</v>
      </c>
      <c r="AE559" s="231">
        <v>5</v>
      </c>
      <c r="AF559" s="231" t="s">
        <v>239</v>
      </c>
      <c r="AG559" s="231">
        <v>5</v>
      </c>
      <c r="AH559" s="231" t="s">
        <v>239</v>
      </c>
      <c r="AI559" s="231">
        <v>5</v>
      </c>
      <c r="AJ559" s="231" t="s">
        <v>239</v>
      </c>
      <c r="AK559" s="231">
        <v>5</v>
      </c>
      <c r="AL559" s="232" t="s">
        <v>239</v>
      </c>
      <c r="AM559" s="232">
        <v>0</v>
      </c>
    </row>
    <row r="560" spans="1:39" ht="15" customHeight="1" outlineLevel="1">
      <c r="A560" s="412"/>
      <c r="B560" s="10">
        <v>129275</v>
      </c>
      <c r="C560" s="218" t="s">
        <v>1489</v>
      </c>
      <c r="D560" s="218" t="s">
        <v>1490</v>
      </c>
      <c r="E560" s="23" t="s">
        <v>138</v>
      </c>
      <c r="F560" s="17" t="s">
        <v>45</v>
      </c>
      <c r="G560" s="11" t="s">
        <v>1432</v>
      </c>
      <c r="H560" s="12">
        <v>5</v>
      </c>
      <c r="I560" s="11" t="s">
        <v>1433</v>
      </c>
      <c r="J560" s="374" t="s">
        <v>207</v>
      </c>
      <c r="K560" s="17" t="s">
        <v>233</v>
      </c>
      <c r="L560" s="17" t="s">
        <v>233</v>
      </c>
      <c r="M560" s="231">
        <v>0</v>
      </c>
      <c r="N560" s="232">
        <v>0</v>
      </c>
      <c r="O560" s="132">
        <v>0</v>
      </c>
      <c r="P560" s="231" t="s">
        <v>239</v>
      </c>
      <c r="Q560" s="232">
        <v>0</v>
      </c>
      <c r="R560" s="231" t="s">
        <v>239</v>
      </c>
      <c r="S560" s="232">
        <v>0</v>
      </c>
      <c r="T560" s="231" t="s">
        <v>239</v>
      </c>
      <c r="U560" s="232">
        <v>0</v>
      </c>
      <c r="V560" s="231" t="s">
        <v>239</v>
      </c>
      <c r="W560" s="232">
        <v>0</v>
      </c>
      <c r="X560" s="231" t="s">
        <v>239</v>
      </c>
      <c r="Y560" s="232">
        <v>0</v>
      </c>
      <c r="Z560" s="231" t="s">
        <v>239</v>
      </c>
      <c r="AA560" s="232">
        <v>0</v>
      </c>
      <c r="AB560" s="231" t="s">
        <v>239</v>
      </c>
      <c r="AC560" s="232">
        <v>0</v>
      </c>
      <c r="AD560" s="231" t="s">
        <v>239</v>
      </c>
      <c r="AE560" s="232">
        <v>0</v>
      </c>
      <c r="AF560" s="231" t="s">
        <v>239</v>
      </c>
      <c r="AG560" s="232">
        <v>0</v>
      </c>
      <c r="AH560" s="231" t="s">
        <v>239</v>
      </c>
      <c r="AI560" s="232">
        <v>0</v>
      </c>
      <c r="AJ560" s="231" t="s">
        <v>239</v>
      </c>
      <c r="AK560" s="232">
        <v>0</v>
      </c>
      <c r="AL560" s="232" t="s">
        <v>239</v>
      </c>
      <c r="AM560" s="232">
        <v>0</v>
      </c>
    </row>
    <row r="561" spans="1:39" ht="15" customHeight="1" outlineLevel="1">
      <c r="A561" s="411">
        <v>276</v>
      </c>
      <c r="B561" s="10">
        <v>129276</v>
      </c>
      <c r="C561" s="218" t="s">
        <v>1489</v>
      </c>
      <c r="D561" s="218" t="s">
        <v>1490</v>
      </c>
      <c r="E561" s="23" t="s">
        <v>44</v>
      </c>
      <c r="F561" s="17" t="s">
        <v>45</v>
      </c>
      <c r="G561" s="11" t="s">
        <v>1432</v>
      </c>
      <c r="H561" s="12">
        <v>17</v>
      </c>
      <c r="I561" s="11" t="s">
        <v>1433</v>
      </c>
      <c r="J561" s="375"/>
      <c r="K561" s="17" t="s">
        <v>233</v>
      </c>
      <c r="L561" s="17" t="s">
        <v>233</v>
      </c>
      <c r="M561" s="231">
        <v>0.7</v>
      </c>
      <c r="N561" s="231">
        <v>0.7</v>
      </c>
      <c r="O561" s="231">
        <v>0.7</v>
      </c>
      <c r="P561" s="231" t="s">
        <v>239</v>
      </c>
      <c r="Q561" s="231">
        <v>0.7</v>
      </c>
      <c r="R561" s="231" t="s">
        <v>239</v>
      </c>
      <c r="S561" s="231">
        <v>0.7</v>
      </c>
      <c r="T561" s="231" t="s">
        <v>239</v>
      </c>
      <c r="U561" s="231">
        <v>0.7</v>
      </c>
      <c r="V561" s="231" t="s">
        <v>239</v>
      </c>
      <c r="W561" s="231">
        <v>0.7</v>
      </c>
      <c r="X561" s="231" t="s">
        <v>239</v>
      </c>
      <c r="Y561" s="231">
        <v>0.7</v>
      </c>
      <c r="Z561" s="231" t="s">
        <v>239</v>
      </c>
      <c r="AA561" s="231">
        <v>0.7</v>
      </c>
      <c r="AB561" s="231" t="s">
        <v>239</v>
      </c>
      <c r="AC561" s="231">
        <v>0.7</v>
      </c>
      <c r="AD561" s="231" t="s">
        <v>239</v>
      </c>
      <c r="AE561" s="231">
        <v>0.7</v>
      </c>
      <c r="AF561" s="231" t="s">
        <v>239</v>
      </c>
      <c r="AG561" s="231">
        <v>0.7</v>
      </c>
      <c r="AH561" s="231" t="s">
        <v>239</v>
      </c>
      <c r="AI561" s="231">
        <v>0.7</v>
      </c>
      <c r="AJ561" s="231" t="s">
        <v>239</v>
      </c>
      <c r="AK561" s="231">
        <v>0.7</v>
      </c>
      <c r="AL561" s="232" t="s">
        <v>239</v>
      </c>
      <c r="AM561" s="232">
        <v>0</v>
      </c>
    </row>
    <row r="562" spans="1:39" ht="15" customHeight="1" outlineLevel="1">
      <c r="A562" s="412"/>
      <c r="B562" s="10">
        <v>129276</v>
      </c>
      <c r="C562" s="218" t="s">
        <v>1489</v>
      </c>
      <c r="D562" s="218" t="s">
        <v>1490</v>
      </c>
      <c r="E562" s="23" t="s">
        <v>138</v>
      </c>
      <c r="F562" s="17" t="s">
        <v>45</v>
      </c>
      <c r="G562" s="11" t="s">
        <v>1432</v>
      </c>
      <c r="H562" s="12">
        <v>19</v>
      </c>
      <c r="I562" s="11" t="s">
        <v>1433</v>
      </c>
      <c r="J562" s="193" t="s">
        <v>1460</v>
      </c>
      <c r="K562" s="17" t="s">
        <v>233</v>
      </c>
      <c r="L562" s="17" t="s">
        <v>233</v>
      </c>
      <c r="M562" s="231">
        <v>6301</v>
      </c>
      <c r="N562" s="232">
        <v>6224.5058599999993</v>
      </c>
      <c r="O562" s="132">
        <v>1148</v>
      </c>
      <c r="P562" s="231" t="s">
        <v>239</v>
      </c>
      <c r="Q562" s="232">
        <v>1133.85664</v>
      </c>
      <c r="R562" s="231" t="s">
        <v>239</v>
      </c>
      <c r="S562" s="232">
        <v>1119.8875261952001</v>
      </c>
      <c r="T562" s="231" t="s">
        <v>239</v>
      </c>
      <c r="U562" s="232">
        <v>1106.0905118724752</v>
      </c>
      <c r="V562" s="230" t="s">
        <v>239</v>
      </c>
      <c r="W562" s="232">
        <v>1092.4634767662062</v>
      </c>
      <c r="X562" s="231" t="s">
        <v>239</v>
      </c>
      <c r="Y562" s="232">
        <v>1079.0043267324465</v>
      </c>
      <c r="Z562" s="231" t="s">
        <v>239</v>
      </c>
      <c r="AA562" s="232">
        <v>1065.7109934271027</v>
      </c>
      <c r="AB562" s="231" t="s">
        <v>239</v>
      </c>
      <c r="AC562" s="232">
        <v>1052.5814339880808</v>
      </c>
      <c r="AD562" s="231" t="s">
        <v>239</v>
      </c>
      <c r="AE562" s="232">
        <v>1039.6136307213476</v>
      </c>
      <c r="AF562" s="231" t="s">
        <v>239</v>
      </c>
      <c r="AG562" s="232">
        <v>1026.8055907908606</v>
      </c>
      <c r="AH562" s="231" t="s">
        <v>239</v>
      </c>
      <c r="AI562" s="232">
        <v>1014.1553459123172</v>
      </c>
      <c r="AJ562" s="231" t="s">
        <v>239</v>
      </c>
      <c r="AK562" s="232">
        <v>1001.6609520506775</v>
      </c>
      <c r="AL562" s="232" t="s">
        <v>239</v>
      </c>
      <c r="AM562" s="232">
        <v>12879.830428456713</v>
      </c>
    </row>
    <row r="563" spans="1:39" ht="15" customHeight="1" outlineLevel="1">
      <c r="A563" s="411">
        <v>277</v>
      </c>
      <c r="B563" s="10">
        <v>129277</v>
      </c>
      <c r="C563" s="218" t="s">
        <v>1489</v>
      </c>
      <c r="D563" s="218" t="s">
        <v>1490</v>
      </c>
      <c r="E563" s="23" t="s">
        <v>44</v>
      </c>
      <c r="F563" s="17" t="s">
        <v>45</v>
      </c>
      <c r="G563" s="11" t="s">
        <v>1432</v>
      </c>
      <c r="H563" s="12">
        <v>18</v>
      </c>
      <c r="I563" s="11" t="s">
        <v>1433</v>
      </c>
      <c r="J563" s="193" t="s">
        <v>1442</v>
      </c>
      <c r="K563" s="17" t="s">
        <v>233</v>
      </c>
      <c r="L563" s="17" t="s">
        <v>233</v>
      </c>
      <c r="M563" s="231">
        <v>1.9</v>
      </c>
      <c r="N563" s="231">
        <v>1.9</v>
      </c>
      <c r="O563" s="231">
        <v>1.9</v>
      </c>
      <c r="P563" s="231" t="s">
        <v>239</v>
      </c>
      <c r="Q563" s="231">
        <v>1.9</v>
      </c>
      <c r="R563" s="231" t="s">
        <v>239</v>
      </c>
      <c r="S563" s="231">
        <v>1.9</v>
      </c>
      <c r="T563" s="231" t="s">
        <v>239</v>
      </c>
      <c r="U563" s="231">
        <v>1.9</v>
      </c>
      <c r="V563" s="231" t="s">
        <v>239</v>
      </c>
      <c r="W563" s="231">
        <v>1.9</v>
      </c>
      <c r="X563" s="231" t="s">
        <v>239</v>
      </c>
      <c r="Y563" s="231">
        <v>1.9</v>
      </c>
      <c r="Z563" s="231" t="s">
        <v>239</v>
      </c>
      <c r="AA563" s="231">
        <v>1.9</v>
      </c>
      <c r="AB563" s="231" t="s">
        <v>239</v>
      </c>
      <c r="AC563" s="231">
        <v>1.9</v>
      </c>
      <c r="AD563" s="231" t="s">
        <v>239</v>
      </c>
      <c r="AE563" s="231">
        <v>1.9</v>
      </c>
      <c r="AF563" s="231" t="s">
        <v>239</v>
      </c>
      <c r="AG563" s="231">
        <v>1.9</v>
      </c>
      <c r="AH563" s="231" t="s">
        <v>239</v>
      </c>
      <c r="AI563" s="231">
        <v>1.9</v>
      </c>
      <c r="AJ563" s="231" t="s">
        <v>239</v>
      </c>
      <c r="AK563" s="231">
        <v>1.9</v>
      </c>
      <c r="AL563" s="232" t="s">
        <v>239</v>
      </c>
      <c r="AM563" s="232">
        <v>0</v>
      </c>
    </row>
    <row r="564" spans="1:39" ht="15" customHeight="1" outlineLevel="1">
      <c r="A564" s="412"/>
      <c r="B564" s="10">
        <v>129277</v>
      </c>
      <c r="C564" s="218" t="s">
        <v>1489</v>
      </c>
      <c r="D564" s="218" t="s">
        <v>1490</v>
      </c>
      <c r="E564" s="23" t="s">
        <v>138</v>
      </c>
      <c r="F564" s="17" t="s">
        <v>45</v>
      </c>
      <c r="G564" s="11" t="s">
        <v>1432</v>
      </c>
      <c r="H564" s="12">
        <v>21</v>
      </c>
      <c r="I564" s="11" t="s">
        <v>1433</v>
      </c>
      <c r="J564" s="193" t="s">
        <v>1460</v>
      </c>
      <c r="K564" s="17" t="s">
        <v>233</v>
      </c>
      <c r="L564" s="17" t="s">
        <v>233</v>
      </c>
      <c r="M564" s="231">
        <v>8580</v>
      </c>
      <c r="N564" s="232">
        <v>8475.8387999999995</v>
      </c>
      <c r="O564" s="132">
        <v>960</v>
      </c>
      <c r="P564" s="231" t="s">
        <v>239</v>
      </c>
      <c r="Q564" s="232">
        <v>948.17280000000005</v>
      </c>
      <c r="R564" s="231" t="s">
        <v>239</v>
      </c>
      <c r="S564" s="232">
        <v>936.49131110400003</v>
      </c>
      <c r="T564" s="231" t="s">
        <v>239</v>
      </c>
      <c r="U564" s="232">
        <v>924.95373815119876</v>
      </c>
      <c r="V564" s="231" t="s">
        <v>239</v>
      </c>
      <c r="W564" s="232">
        <v>913.558308097176</v>
      </c>
      <c r="X564" s="231" t="s">
        <v>239</v>
      </c>
      <c r="Y564" s="232">
        <v>902.30326974141883</v>
      </c>
      <c r="Z564" s="231" t="s">
        <v>239</v>
      </c>
      <c r="AA564" s="232">
        <v>891.18689345820451</v>
      </c>
      <c r="AB564" s="231" t="s">
        <v>239</v>
      </c>
      <c r="AC564" s="232">
        <v>880.20747093079945</v>
      </c>
      <c r="AD564" s="231" t="s">
        <v>239</v>
      </c>
      <c r="AE564" s="232">
        <v>869.363314888932</v>
      </c>
      <c r="AF564" s="231" t="s">
        <v>239</v>
      </c>
      <c r="AG564" s="232">
        <v>858.6527588495004</v>
      </c>
      <c r="AH564" s="231" t="s">
        <v>239</v>
      </c>
      <c r="AI564" s="232">
        <v>848.07415686047455</v>
      </c>
      <c r="AJ564" s="231" t="s">
        <v>239</v>
      </c>
      <c r="AK564" s="232">
        <v>837.62588324795354</v>
      </c>
      <c r="AL564" s="232" t="s">
        <v>239</v>
      </c>
      <c r="AM564" s="232">
        <v>10770.58990532966</v>
      </c>
    </row>
    <row r="565" spans="1:39" ht="15" customHeight="1" outlineLevel="1">
      <c r="A565" s="411">
        <v>278</v>
      </c>
      <c r="B565" s="10">
        <v>129278</v>
      </c>
      <c r="C565" s="218" t="s">
        <v>1489</v>
      </c>
      <c r="D565" s="218" t="s">
        <v>1490</v>
      </c>
      <c r="E565" s="23" t="s">
        <v>44</v>
      </c>
      <c r="F565" s="17" t="s">
        <v>45</v>
      </c>
      <c r="G565" s="11" t="s">
        <v>1432</v>
      </c>
      <c r="H565" s="12">
        <v>19</v>
      </c>
      <c r="I565" s="11" t="s">
        <v>1433</v>
      </c>
      <c r="J565" s="193" t="s">
        <v>1457</v>
      </c>
      <c r="K565" s="17" t="s">
        <v>233</v>
      </c>
      <c r="L565" s="17" t="s">
        <v>233</v>
      </c>
      <c r="M565" s="231">
        <v>1</v>
      </c>
      <c r="N565" s="231">
        <v>1</v>
      </c>
      <c r="O565" s="231">
        <v>1</v>
      </c>
      <c r="P565" s="231" t="s">
        <v>239</v>
      </c>
      <c r="Q565" s="231">
        <v>1</v>
      </c>
      <c r="R565" s="231" t="s">
        <v>239</v>
      </c>
      <c r="S565" s="231">
        <v>1</v>
      </c>
      <c r="T565" s="231" t="s">
        <v>239</v>
      </c>
      <c r="U565" s="231">
        <v>1</v>
      </c>
      <c r="V565" s="230" t="s">
        <v>239</v>
      </c>
      <c r="W565" s="231">
        <v>1</v>
      </c>
      <c r="X565" s="231" t="s">
        <v>239</v>
      </c>
      <c r="Y565" s="231">
        <v>1</v>
      </c>
      <c r="Z565" s="231" t="s">
        <v>239</v>
      </c>
      <c r="AA565" s="231">
        <v>1</v>
      </c>
      <c r="AB565" s="231" t="s">
        <v>239</v>
      </c>
      <c r="AC565" s="231">
        <v>1</v>
      </c>
      <c r="AD565" s="231" t="s">
        <v>239</v>
      </c>
      <c r="AE565" s="231">
        <v>1</v>
      </c>
      <c r="AF565" s="231" t="s">
        <v>239</v>
      </c>
      <c r="AG565" s="231">
        <v>1</v>
      </c>
      <c r="AH565" s="231" t="s">
        <v>239</v>
      </c>
      <c r="AI565" s="231">
        <v>1</v>
      </c>
      <c r="AJ565" s="231" t="s">
        <v>239</v>
      </c>
      <c r="AK565" s="231">
        <v>1</v>
      </c>
      <c r="AL565" s="232" t="s">
        <v>239</v>
      </c>
      <c r="AM565" s="232">
        <v>0</v>
      </c>
    </row>
    <row r="566" spans="1:39" ht="15" customHeight="1" outlineLevel="1">
      <c r="A566" s="412"/>
      <c r="B566" s="10">
        <v>129278</v>
      </c>
      <c r="C566" s="218" t="s">
        <v>1489</v>
      </c>
      <c r="D566" s="218" t="s">
        <v>1490</v>
      </c>
      <c r="E566" s="23" t="s">
        <v>138</v>
      </c>
      <c r="F566" s="17" t="s">
        <v>45</v>
      </c>
      <c r="G566" s="11" t="s">
        <v>1432</v>
      </c>
      <c r="H566" s="12">
        <v>30</v>
      </c>
      <c r="I566" s="11" t="s">
        <v>1433</v>
      </c>
      <c r="J566" s="193" t="s">
        <v>617</v>
      </c>
      <c r="K566" s="17" t="s">
        <v>233</v>
      </c>
      <c r="L566" s="17" t="s">
        <v>233</v>
      </c>
      <c r="M566" s="231">
        <v>4184</v>
      </c>
      <c r="N566" s="232">
        <v>4133.2062399999995</v>
      </c>
      <c r="O566" s="132">
        <v>333</v>
      </c>
      <c r="P566" s="231" t="s">
        <v>239</v>
      </c>
      <c r="Q566" s="232">
        <v>328.89744000000002</v>
      </c>
      <c r="R566" s="231" t="s">
        <v>239</v>
      </c>
      <c r="S566" s="232">
        <v>324.8454235392</v>
      </c>
      <c r="T566" s="231" t="s">
        <v>239</v>
      </c>
      <c r="U566" s="232">
        <v>320.84332792119704</v>
      </c>
      <c r="V566" s="231" t="s">
        <v>239</v>
      </c>
      <c r="W566" s="232">
        <v>316.8905381212079</v>
      </c>
      <c r="X566" s="231" t="s">
        <v>239</v>
      </c>
      <c r="Y566" s="232">
        <v>312.98644669155459</v>
      </c>
      <c r="Z566" s="231" t="s">
        <v>239</v>
      </c>
      <c r="AA566" s="232">
        <v>309.13045366831466</v>
      </c>
      <c r="AB566" s="231" t="s">
        <v>239</v>
      </c>
      <c r="AC566" s="232">
        <v>305.32196647912104</v>
      </c>
      <c r="AD566" s="231" t="s">
        <v>239</v>
      </c>
      <c r="AE566" s="232">
        <v>301.56039985209827</v>
      </c>
      <c r="AF566" s="231" t="s">
        <v>239</v>
      </c>
      <c r="AG566" s="232">
        <v>297.8451757259204</v>
      </c>
      <c r="AH566" s="231" t="s">
        <v>239</v>
      </c>
      <c r="AI566" s="232">
        <v>294.17572316097704</v>
      </c>
      <c r="AJ566" s="231" t="s">
        <v>239</v>
      </c>
      <c r="AK566" s="232">
        <v>290.5514782516338</v>
      </c>
      <c r="AL566" s="232" t="s">
        <v>239</v>
      </c>
      <c r="AM566" s="232">
        <v>3736.0483734112249</v>
      </c>
    </row>
    <row r="567" spans="1:39" ht="15" customHeight="1" outlineLevel="1">
      <c r="A567" s="411">
        <v>279</v>
      </c>
      <c r="B567" s="10">
        <v>129279</v>
      </c>
      <c r="C567" s="218" t="s">
        <v>1489</v>
      </c>
      <c r="D567" s="218" t="s">
        <v>1490</v>
      </c>
      <c r="E567" s="23" t="s">
        <v>44</v>
      </c>
      <c r="F567" s="17" t="s">
        <v>45</v>
      </c>
      <c r="G567" s="11" t="s">
        <v>1432</v>
      </c>
      <c r="H567" s="12">
        <v>33</v>
      </c>
      <c r="I567" s="11" t="s">
        <v>1433</v>
      </c>
      <c r="J567" s="193" t="s">
        <v>216</v>
      </c>
      <c r="K567" s="17" t="s">
        <v>233</v>
      </c>
      <c r="L567" s="17" t="s">
        <v>233</v>
      </c>
      <c r="M567" s="231">
        <v>0.75</v>
      </c>
      <c r="N567" s="231">
        <v>0.75</v>
      </c>
      <c r="O567" s="231">
        <v>0.75</v>
      </c>
      <c r="P567" s="231" t="s">
        <v>239</v>
      </c>
      <c r="Q567" s="231">
        <v>0.75</v>
      </c>
      <c r="R567" s="231" t="s">
        <v>239</v>
      </c>
      <c r="S567" s="231">
        <v>0.75</v>
      </c>
      <c r="T567" s="231" t="s">
        <v>239</v>
      </c>
      <c r="U567" s="231">
        <v>0.75</v>
      </c>
      <c r="V567" s="231" t="s">
        <v>239</v>
      </c>
      <c r="W567" s="231">
        <v>0.75</v>
      </c>
      <c r="X567" s="231" t="s">
        <v>239</v>
      </c>
      <c r="Y567" s="231">
        <v>0.75</v>
      </c>
      <c r="Z567" s="231" t="s">
        <v>239</v>
      </c>
      <c r="AA567" s="231">
        <v>0.75</v>
      </c>
      <c r="AB567" s="231" t="s">
        <v>239</v>
      </c>
      <c r="AC567" s="231">
        <v>0.75</v>
      </c>
      <c r="AD567" s="231" t="s">
        <v>239</v>
      </c>
      <c r="AE567" s="231">
        <v>0.75</v>
      </c>
      <c r="AF567" s="231" t="s">
        <v>239</v>
      </c>
      <c r="AG567" s="231">
        <v>0.75</v>
      </c>
      <c r="AH567" s="231" t="s">
        <v>239</v>
      </c>
      <c r="AI567" s="231">
        <v>0.75</v>
      </c>
      <c r="AJ567" s="231" t="s">
        <v>239</v>
      </c>
      <c r="AK567" s="231">
        <v>0.75</v>
      </c>
      <c r="AL567" s="232" t="s">
        <v>239</v>
      </c>
      <c r="AM567" s="232">
        <v>0</v>
      </c>
    </row>
    <row r="568" spans="1:39" ht="15" customHeight="1" outlineLevel="1">
      <c r="A568" s="412"/>
      <c r="B568" s="10">
        <v>129279</v>
      </c>
      <c r="C568" s="218" t="s">
        <v>1489</v>
      </c>
      <c r="D568" s="218" t="s">
        <v>1490</v>
      </c>
      <c r="E568" s="23" t="s">
        <v>44</v>
      </c>
      <c r="F568" s="17" t="s">
        <v>45</v>
      </c>
      <c r="G568" s="11" t="s">
        <v>1432</v>
      </c>
      <c r="H568" s="12">
        <v>19</v>
      </c>
      <c r="I568" s="11" t="s">
        <v>1433</v>
      </c>
      <c r="J568" s="192" t="s">
        <v>1446</v>
      </c>
      <c r="K568" s="17" t="s">
        <v>233</v>
      </c>
      <c r="L568" s="17" t="s">
        <v>233</v>
      </c>
      <c r="M568" s="231">
        <v>3984</v>
      </c>
      <c r="N568" s="232">
        <v>3935.6342399999999</v>
      </c>
      <c r="O568" s="132">
        <v>640</v>
      </c>
      <c r="P568" s="231" t="s">
        <v>239</v>
      </c>
      <c r="Q568" s="232">
        <v>632.11519999999996</v>
      </c>
      <c r="R568" s="231" t="s">
        <v>239</v>
      </c>
      <c r="S568" s="232">
        <v>624.32754073599995</v>
      </c>
      <c r="T568" s="231" t="s">
        <v>239</v>
      </c>
      <c r="U568" s="232">
        <v>616.63582543413247</v>
      </c>
      <c r="V568" s="230" t="s">
        <v>239</v>
      </c>
      <c r="W568" s="232">
        <v>609.03887206478396</v>
      </c>
      <c r="X568" s="231" t="s">
        <v>239</v>
      </c>
      <c r="Y568" s="232">
        <v>601.53551316094581</v>
      </c>
      <c r="Z568" s="231" t="s">
        <v>239</v>
      </c>
      <c r="AA568" s="232">
        <v>594.12459563880293</v>
      </c>
      <c r="AB568" s="231" t="s">
        <v>239</v>
      </c>
      <c r="AC568" s="232">
        <v>586.80498062053289</v>
      </c>
      <c r="AD568" s="231" t="s">
        <v>239</v>
      </c>
      <c r="AE568" s="232">
        <v>579.57554325928788</v>
      </c>
      <c r="AF568" s="231" t="s">
        <v>239</v>
      </c>
      <c r="AG568" s="232">
        <v>572.43517256633345</v>
      </c>
      <c r="AH568" s="231" t="s">
        <v>239</v>
      </c>
      <c r="AI568" s="232">
        <v>565.38277124031617</v>
      </c>
      <c r="AJ568" s="231" t="s">
        <v>239</v>
      </c>
      <c r="AK568" s="232">
        <v>558.41725549863543</v>
      </c>
      <c r="AL568" s="232" t="s">
        <v>239</v>
      </c>
      <c r="AM568" s="232">
        <v>7180.3932702197708</v>
      </c>
    </row>
    <row r="569" spans="1:39" ht="15" customHeight="1" outlineLevel="1">
      <c r="A569" s="411">
        <v>280</v>
      </c>
      <c r="B569" s="10">
        <v>129280</v>
      </c>
      <c r="C569" s="218" t="s">
        <v>1489</v>
      </c>
      <c r="D569" s="218" t="s">
        <v>1490</v>
      </c>
      <c r="E569" s="23" t="s">
        <v>138</v>
      </c>
      <c r="F569" s="17" t="s">
        <v>45</v>
      </c>
      <c r="G569" s="11" t="s">
        <v>1432</v>
      </c>
      <c r="H569" s="12">
        <v>6</v>
      </c>
      <c r="I569" s="11" t="s">
        <v>1433</v>
      </c>
      <c r="J569" s="192" t="s">
        <v>1481</v>
      </c>
      <c r="K569" s="17" t="s">
        <v>233</v>
      </c>
      <c r="L569" s="17" t="s">
        <v>233</v>
      </c>
      <c r="M569" s="231">
        <v>1</v>
      </c>
      <c r="N569" s="231">
        <v>1</v>
      </c>
      <c r="O569" s="231">
        <v>1</v>
      </c>
      <c r="P569" s="231" t="s">
        <v>239</v>
      </c>
      <c r="Q569" s="231">
        <v>1</v>
      </c>
      <c r="R569" s="231" t="s">
        <v>239</v>
      </c>
      <c r="S569" s="231">
        <v>1</v>
      </c>
      <c r="T569" s="231" t="s">
        <v>239</v>
      </c>
      <c r="U569" s="231">
        <v>1</v>
      </c>
      <c r="V569" s="231" t="s">
        <v>239</v>
      </c>
      <c r="W569" s="231">
        <v>1</v>
      </c>
      <c r="X569" s="231" t="s">
        <v>239</v>
      </c>
      <c r="Y569" s="231">
        <v>1</v>
      </c>
      <c r="Z569" s="231" t="s">
        <v>239</v>
      </c>
      <c r="AA569" s="231">
        <v>1</v>
      </c>
      <c r="AB569" s="231" t="s">
        <v>239</v>
      </c>
      <c r="AC569" s="231">
        <v>1</v>
      </c>
      <c r="AD569" s="231" t="s">
        <v>239</v>
      </c>
      <c r="AE569" s="231">
        <v>1</v>
      </c>
      <c r="AF569" s="231" t="s">
        <v>239</v>
      </c>
      <c r="AG569" s="231">
        <v>1</v>
      </c>
      <c r="AH569" s="231" t="s">
        <v>239</v>
      </c>
      <c r="AI569" s="231">
        <v>1</v>
      </c>
      <c r="AJ569" s="231" t="s">
        <v>239</v>
      </c>
      <c r="AK569" s="231">
        <v>1</v>
      </c>
      <c r="AL569" s="232" t="s">
        <v>239</v>
      </c>
      <c r="AM569" s="232">
        <v>0</v>
      </c>
    </row>
    <row r="570" spans="1:39" ht="15" customHeight="1" outlineLevel="1">
      <c r="A570" s="412"/>
      <c r="B570" s="10">
        <v>129280</v>
      </c>
      <c r="C570" s="218" t="s">
        <v>1489</v>
      </c>
      <c r="D570" s="218" t="s">
        <v>1490</v>
      </c>
      <c r="E570" s="23" t="s">
        <v>44</v>
      </c>
      <c r="F570" s="17" t="s">
        <v>45</v>
      </c>
      <c r="G570" s="11" t="s">
        <v>1432</v>
      </c>
      <c r="H570" s="12">
        <v>15</v>
      </c>
      <c r="I570" s="11" t="s">
        <v>1433</v>
      </c>
      <c r="J570" s="192" t="s">
        <v>208</v>
      </c>
      <c r="K570" s="17" t="s">
        <v>233</v>
      </c>
      <c r="L570" s="17" t="s">
        <v>233</v>
      </c>
      <c r="M570" s="231">
        <v>19176</v>
      </c>
      <c r="N570" s="232">
        <v>18943.20336</v>
      </c>
      <c r="O570" s="132">
        <v>468</v>
      </c>
      <c r="P570" s="231" t="s">
        <v>239</v>
      </c>
      <c r="Q570" s="232">
        <v>462.23424</v>
      </c>
      <c r="R570" s="231" t="s">
        <v>239</v>
      </c>
      <c r="S570" s="232">
        <v>456.53951416320001</v>
      </c>
      <c r="T570" s="231" t="s">
        <v>239</v>
      </c>
      <c r="U570" s="232">
        <v>450.9149473487094</v>
      </c>
      <c r="V570" s="231" t="s">
        <v>239</v>
      </c>
      <c r="W570" s="232">
        <v>445.35967519737329</v>
      </c>
      <c r="X570" s="231" t="s">
        <v>239</v>
      </c>
      <c r="Y570" s="232">
        <v>439.87284399894168</v>
      </c>
      <c r="Z570" s="231" t="s">
        <v>239</v>
      </c>
      <c r="AA570" s="232">
        <v>434.45361056087472</v>
      </c>
      <c r="AB570" s="231" t="s">
        <v>239</v>
      </c>
      <c r="AC570" s="232">
        <v>429.10114207876472</v>
      </c>
      <c r="AD570" s="231" t="s">
        <v>239</v>
      </c>
      <c r="AE570" s="232">
        <v>423.81461600835434</v>
      </c>
      <c r="AF570" s="231" t="s">
        <v>239</v>
      </c>
      <c r="AG570" s="232">
        <v>418.59321993913142</v>
      </c>
      <c r="AH570" s="231" t="s">
        <v>239</v>
      </c>
      <c r="AI570" s="232">
        <v>413.43615146948133</v>
      </c>
      <c r="AJ570" s="231" t="s">
        <v>239</v>
      </c>
      <c r="AK570" s="232">
        <v>408.34261808337732</v>
      </c>
      <c r="AL570" s="232" t="s">
        <v>239</v>
      </c>
      <c r="AM570" s="232">
        <v>5250.6625788482088</v>
      </c>
    </row>
    <row r="571" spans="1:39" ht="15" customHeight="1" outlineLevel="1">
      <c r="A571" s="411">
        <v>281</v>
      </c>
      <c r="B571" s="10">
        <v>129281</v>
      </c>
      <c r="C571" s="218" t="s">
        <v>1489</v>
      </c>
      <c r="D571" s="218" t="s">
        <v>1490</v>
      </c>
      <c r="E571" s="23" t="s">
        <v>138</v>
      </c>
      <c r="F571" s="17" t="s">
        <v>45</v>
      </c>
      <c r="G571" s="11" t="s">
        <v>1432</v>
      </c>
      <c r="H571" s="12">
        <v>19</v>
      </c>
      <c r="I571" s="11" t="s">
        <v>1433</v>
      </c>
      <c r="J571" s="192" t="s">
        <v>1463</v>
      </c>
      <c r="K571" s="17" t="s">
        <v>233</v>
      </c>
      <c r="L571" s="17" t="s">
        <v>233</v>
      </c>
      <c r="M571" s="231">
        <v>2</v>
      </c>
      <c r="N571" s="231">
        <v>2</v>
      </c>
      <c r="O571" s="231">
        <v>2</v>
      </c>
      <c r="P571" s="231" t="s">
        <v>239</v>
      </c>
      <c r="Q571" s="231">
        <v>2</v>
      </c>
      <c r="R571" s="231" t="s">
        <v>239</v>
      </c>
      <c r="S571" s="231">
        <v>2</v>
      </c>
      <c r="T571" s="231" t="s">
        <v>239</v>
      </c>
      <c r="U571" s="231">
        <v>2</v>
      </c>
      <c r="V571" s="230" t="s">
        <v>239</v>
      </c>
      <c r="W571" s="231">
        <v>2</v>
      </c>
      <c r="X571" s="231" t="s">
        <v>239</v>
      </c>
      <c r="Y571" s="231">
        <v>2</v>
      </c>
      <c r="Z571" s="231" t="s">
        <v>239</v>
      </c>
      <c r="AA571" s="231">
        <v>2</v>
      </c>
      <c r="AB571" s="231" t="s">
        <v>239</v>
      </c>
      <c r="AC571" s="231">
        <v>2</v>
      </c>
      <c r="AD571" s="231" t="s">
        <v>239</v>
      </c>
      <c r="AE571" s="231">
        <v>2</v>
      </c>
      <c r="AF571" s="231" t="s">
        <v>239</v>
      </c>
      <c r="AG571" s="231">
        <v>2</v>
      </c>
      <c r="AH571" s="231" t="s">
        <v>239</v>
      </c>
      <c r="AI571" s="231">
        <v>2</v>
      </c>
      <c r="AJ571" s="231" t="s">
        <v>239</v>
      </c>
      <c r="AK571" s="231">
        <v>2</v>
      </c>
      <c r="AL571" s="232" t="s">
        <v>239</v>
      </c>
      <c r="AM571" s="232">
        <v>0</v>
      </c>
    </row>
    <row r="572" spans="1:39" ht="15" customHeight="1" outlineLevel="1">
      <c r="A572" s="412"/>
      <c r="B572" s="10">
        <v>129281</v>
      </c>
      <c r="C572" s="218" t="s">
        <v>1489</v>
      </c>
      <c r="D572" s="218" t="s">
        <v>1490</v>
      </c>
      <c r="E572" s="23" t="s">
        <v>44</v>
      </c>
      <c r="F572" s="17" t="s">
        <v>45</v>
      </c>
      <c r="G572" s="11" t="s">
        <v>1432</v>
      </c>
      <c r="H572" s="12">
        <v>22</v>
      </c>
      <c r="I572" s="11" t="s">
        <v>1433</v>
      </c>
      <c r="J572" s="192" t="s">
        <v>1482</v>
      </c>
      <c r="K572" s="17" t="s">
        <v>233</v>
      </c>
      <c r="L572" s="17" t="s">
        <v>233</v>
      </c>
      <c r="M572" s="231">
        <v>8136</v>
      </c>
      <c r="N572" s="232">
        <v>8037.2289599999995</v>
      </c>
      <c r="O572" s="132">
        <v>285</v>
      </c>
      <c r="P572" s="231" t="s">
        <v>239</v>
      </c>
      <c r="Q572" s="232">
        <v>281.48880000000003</v>
      </c>
      <c r="R572" s="231" t="s">
        <v>239</v>
      </c>
      <c r="S572" s="232">
        <v>278.02085798400003</v>
      </c>
      <c r="T572" s="231" t="s">
        <v>239</v>
      </c>
      <c r="U572" s="232">
        <v>274.59564101363713</v>
      </c>
      <c r="V572" s="231" t="s">
        <v>239</v>
      </c>
      <c r="W572" s="232">
        <v>271.21262271634913</v>
      </c>
      <c r="X572" s="231" t="s">
        <v>239</v>
      </c>
      <c r="Y572" s="232">
        <v>267.87128320448369</v>
      </c>
      <c r="Z572" s="231" t="s">
        <v>239</v>
      </c>
      <c r="AA572" s="232">
        <v>264.57110899540447</v>
      </c>
      <c r="AB572" s="231" t="s">
        <v>239</v>
      </c>
      <c r="AC572" s="232">
        <v>261.31159293258111</v>
      </c>
      <c r="AD572" s="231" t="s">
        <v>239</v>
      </c>
      <c r="AE572" s="232">
        <v>258.09223410765173</v>
      </c>
      <c r="AF572" s="231" t="s">
        <v>239</v>
      </c>
      <c r="AG572" s="232">
        <v>254.91253778344546</v>
      </c>
      <c r="AH572" s="231" t="s">
        <v>239</v>
      </c>
      <c r="AI572" s="232">
        <v>251.77201531795342</v>
      </c>
      <c r="AJ572" s="231" t="s">
        <v>239</v>
      </c>
      <c r="AK572" s="232">
        <v>248.67018408923624</v>
      </c>
      <c r="AL572" s="232" t="s">
        <v>239</v>
      </c>
      <c r="AM572" s="232">
        <v>3197.5188781447423</v>
      </c>
    </row>
    <row r="573" spans="1:39" ht="15" customHeight="1" outlineLevel="1">
      <c r="A573" s="411">
        <v>282</v>
      </c>
      <c r="B573" s="10">
        <v>129282</v>
      </c>
      <c r="C573" s="218" t="s">
        <v>1489</v>
      </c>
      <c r="D573" s="218" t="s">
        <v>1490</v>
      </c>
      <c r="E573" s="23" t="s">
        <v>44</v>
      </c>
      <c r="F573" s="17" t="s">
        <v>45</v>
      </c>
      <c r="G573" s="11" t="s">
        <v>1432</v>
      </c>
      <c r="H573" s="12">
        <v>24</v>
      </c>
      <c r="I573" s="11" t="s">
        <v>1433</v>
      </c>
      <c r="J573" s="192" t="s">
        <v>1462</v>
      </c>
      <c r="K573" s="17" t="s">
        <v>233</v>
      </c>
      <c r="L573" s="17" t="s">
        <v>233</v>
      </c>
      <c r="M573" s="231">
        <v>8</v>
      </c>
      <c r="N573" s="231">
        <v>8</v>
      </c>
      <c r="O573" s="231">
        <v>8</v>
      </c>
      <c r="P573" s="231" t="s">
        <v>239</v>
      </c>
      <c r="Q573" s="231">
        <v>8</v>
      </c>
      <c r="R573" s="231" t="s">
        <v>239</v>
      </c>
      <c r="S573" s="231">
        <v>8</v>
      </c>
      <c r="T573" s="231" t="s">
        <v>239</v>
      </c>
      <c r="U573" s="231">
        <v>8</v>
      </c>
      <c r="V573" s="231" t="s">
        <v>239</v>
      </c>
      <c r="W573" s="231">
        <v>8</v>
      </c>
      <c r="X573" s="231" t="s">
        <v>239</v>
      </c>
      <c r="Y573" s="231">
        <v>8</v>
      </c>
      <c r="Z573" s="231" t="s">
        <v>239</v>
      </c>
      <c r="AA573" s="231">
        <v>8</v>
      </c>
      <c r="AB573" s="231" t="s">
        <v>239</v>
      </c>
      <c r="AC573" s="231">
        <v>8</v>
      </c>
      <c r="AD573" s="231" t="s">
        <v>239</v>
      </c>
      <c r="AE573" s="231">
        <v>8</v>
      </c>
      <c r="AF573" s="231" t="s">
        <v>239</v>
      </c>
      <c r="AG573" s="231">
        <v>8</v>
      </c>
      <c r="AH573" s="231" t="s">
        <v>239</v>
      </c>
      <c r="AI573" s="231">
        <v>8</v>
      </c>
      <c r="AJ573" s="231" t="s">
        <v>239</v>
      </c>
      <c r="AK573" s="231">
        <v>8</v>
      </c>
      <c r="AL573" s="232" t="s">
        <v>239</v>
      </c>
      <c r="AM573" s="232">
        <v>0</v>
      </c>
    </row>
    <row r="574" spans="1:39" ht="15" customHeight="1" outlineLevel="1">
      <c r="A574" s="412"/>
      <c r="B574" s="10">
        <v>129282</v>
      </c>
      <c r="C574" s="218" t="s">
        <v>1489</v>
      </c>
      <c r="D574" s="218" t="s">
        <v>1490</v>
      </c>
      <c r="E574" s="23" t="s">
        <v>138</v>
      </c>
      <c r="F574" s="17" t="s">
        <v>45</v>
      </c>
      <c r="G574" s="11" t="s">
        <v>1432</v>
      </c>
      <c r="H574" s="12">
        <v>16</v>
      </c>
      <c r="I574" s="11" t="s">
        <v>1433</v>
      </c>
      <c r="J574" s="192" t="s">
        <v>1457</v>
      </c>
      <c r="K574" s="17" t="s">
        <v>233</v>
      </c>
      <c r="L574" s="17" t="s">
        <v>233</v>
      </c>
      <c r="M574" s="231">
        <v>2456</v>
      </c>
      <c r="N574" s="232">
        <v>2426.1841599999998</v>
      </c>
      <c r="O574" s="132">
        <v>293</v>
      </c>
      <c r="P574" s="231" t="s">
        <v>239</v>
      </c>
      <c r="Q574" s="232">
        <v>289.39024000000001</v>
      </c>
      <c r="R574" s="231" t="s">
        <v>239</v>
      </c>
      <c r="S574" s="232">
        <v>285.82495224320002</v>
      </c>
      <c r="T574" s="231" t="s">
        <v>239</v>
      </c>
      <c r="U574" s="232">
        <v>282.30358883156379</v>
      </c>
      <c r="V574" s="230" t="s">
        <v>239</v>
      </c>
      <c r="W574" s="232">
        <v>278.82560861715893</v>
      </c>
      <c r="X574" s="231" t="s">
        <v>239</v>
      </c>
      <c r="Y574" s="232">
        <v>275.39047711899553</v>
      </c>
      <c r="Z574" s="231" t="s">
        <v>239</v>
      </c>
      <c r="AA574" s="232">
        <v>271.99766644088953</v>
      </c>
      <c r="AB574" s="231" t="s">
        <v>239</v>
      </c>
      <c r="AC574" s="232">
        <v>268.64665519033775</v>
      </c>
      <c r="AD574" s="231" t="s">
        <v>239</v>
      </c>
      <c r="AE574" s="232">
        <v>265.33692839839279</v>
      </c>
      <c r="AF574" s="231" t="s">
        <v>239</v>
      </c>
      <c r="AG574" s="232">
        <v>262.0679774405246</v>
      </c>
      <c r="AH574" s="231" t="s">
        <v>239</v>
      </c>
      <c r="AI574" s="232">
        <v>258.83929995845733</v>
      </c>
      <c r="AJ574" s="231" t="s">
        <v>239</v>
      </c>
      <c r="AK574" s="232">
        <v>255.65039978296915</v>
      </c>
      <c r="AL574" s="232" t="s">
        <v>239</v>
      </c>
      <c r="AM574" s="232">
        <v>3287.2737940224893</v>
      </c>
    </row>
    <row r="575" spans="1:39" ht="15" customHeight="1" outlineLevel="1">
      <c r="A575" s="411">
        <v>283</v>
      </c>
      <c r="B575" s="10">
        <v>129283</v>
      </c>
      <c r="C575" s="218" t="s">
        <v>1489</v>
      </c>
      <c r="D575" s="218" t="s">
        <v>1490</v>
      </c>
      <c r="E575" s="23" t="s">
        <v>44</v>
      </c>
      <c r="F575" s="17" t="s">
        <v>45</v>
      </c>
      <c r="G575" s="11" t="s">
        <v>1432</v>
      </c>
      <c r="H575" s="12">
        <v>5</v>
      </c>
      <c r="I575" s="11" t="s">
        <v>1433</v>
      </c>
      <c r="J575" s="192" t="s">
        <v>617</v>
      </c>
      <c r="K575" s="17" t="s">
        <v>233</v>
      </c>
      <c r="L575" s="17" t="s">
        <v>233</v>
      </c>
      <c r="M575" s="231">
        <v>5</v>
      </c>
      <c r="N575" s="231">
        <v>5</v>
      </c>
      <c r="O575" s="231">
        <v>5</v>
      </c>
      <c r="P575" s="231" t="s">
        <v>239</v>
      </c>
      <c r="Q575" s="231">
        <v>5</v>
      </c>
      <c r="R575" s="231" t="s">
        <v>239</v>
      </c>
      <c r="S575" s="231">
        <v>5</v>
      </c>
      <c r="T575" s="231" t="s">
        <v>239</v>
      </c>
      <c r="U575" s="231">
        <v>5</v>
      </c>
      <c r="V575" s="231" t="s">
        <v>239</v>
      </c>
      <c r="W575" s="231">
        <v>5</v>
      </c>
      <c r="X575" s="231" t="s">
        <v>239</v>
      </c>
      <c r="Y575" s="231">
        <v>5</v>
      </c>
      <c r="Z575" s="231" t="s">
        <v>239</v>
      </c>
      <c r="AA575" s="231">
        <v>5</v>
      </c>
      <c r="AB575" s="231" t="s">
        <v>239</v>
      </c>
      <c r="AC575" s="231">
        <v>5</v>
      </c>
      <c r="AD575" s="231" t="s">
        <v>239</v>
      </c>
      <c r="AE575" s="231">
        <v>5</v>
      </c>
      <c r="AF575" s="231" t="s">
        <v>239</v>
      </c>
      <c r="AG575" s="231">
        <v>5</v>
      </c>
      <c r="AH575" s="231" t="s">
        <v>239</v>
      </c>
      <c r="AI575" s="231">
        <v>5</v>
      </c>
      <c r="AJ575" s="231" t="s">
        <v>239</v>
      </c>
      <c r="AK575" s="231">
        <v>5</v>
      </c>
      <c r="AL575" s="232" t="s">
        <v>239</v>
      </c>
      <c r="AM575" s="232">
        <v>0</v>
      </c>
    </row>
    <row r="576" spans="1:39" ht="15" customHeight="1" outlineLevel="1">
      <c r="A576" s="412"/>
      <c r="B576" s="10">
        <v>129283</v>
      </c>
      <c r="C576" s="218" t="s">
        <v>1489</v>
      </c>
      <c r="D576" s="218" t="s">
        <v>1490</v>
      </c>
      <c r="E576" s="23" t="s">
        <v>138</v>
      </c>
      <c r="F576" s="17" t="s">
        <v>45</v>
      </c>
      <c r="G576" s="11" t="s">
        <v>1432</v>
      </c>
      <c r="H576" s="12">
        <v>17</v>
      </c>
      <c r="I576" s="11" t="s">
        <v>1433</v>
      </c>
      <c r="J576" s="374" t="s">
        <v>1457</v>
      </c>
      <c r="K576" s="17" t="s">
        <v>233</v>
      </c>
      <c r="L576" s="17" t="s">
        <v>233</v>
      </c>
      <c r="M576" s="231">
        <v>34542</v>
      </c>
      <c r="N576" s="232">
        <v>34122.66012</v>
      </c>
      <c r="O576" s="132">
        <v>498</v>
      </c>
      <c r="P576" s="231" t="s">
        <v>239</v>
      </c>
      <c r="Q576" s="232">
        <v>491.86464000000001</v>
      </c>
      <c r="R576" s="231" t="s">
        <v>239</v>
      </c>
      <c r="S576" s="232">
        <v>485.80486763520003</v>
      </c>
      <c r="T576" s="231" t="s">
        <v>239</v>
      </c>
      <c r="U576" s="232">
        <v>479.81975166593435</v>
      </c>
      <c r="V576" s="231" t="s">
        <v>239</v>
      </c>
      <c r="W576" s="232">
        <v>473.90837232541003</v>
      </c>
      <c r="X576" s="231" t="s">
        <v>239</v>
      </c>
      <c r="Y576" s="232">
        <v>468.069821178361</v>
      </c>
      <c r="Z576" s="231" t="s">
        <v>239</v>
      </c>
      <c r="AA576" s="232">
        <v>462.30320098144358</v>
      </c>
      <c r="AB576" s="231" t="s">
        <v>239</v>
      </c>
      <c r="AC576" s="232">
        <v>456.60762554535222</v>
      </c>
      <c r="AD576" s="231" t="s">
        <v>239</v>
      </c>
      <c r="AE576" s="232">
        <v>450.98221959863349</v>
      </c>
      <c r="AF576" s="231" t="s">
        <v>239</v>
      </c>
      <c r="AG576" s="232">
        <v>445.42611865317832</v>
      </c>
      <c r="AH576" s="231" t="s">
        <v>239</v>
      </c>
      <c r="AI576" s="232">
        <v>439.93846887137119</v>
      </c>
      <c r="AJ576" s="231" t="s">
        <v>239</v>
      </c>
      <c r="AK576" s="232">
        <v>434.51842693487589</v>
      </c>
      <c r="AL576" s="232" t="s">
        <v>239</v>
      </c>
      <c r="AM576" s="232">
        <v>5587.2435133897598</v>
      </c>
    </row>
    <row r="577" spans="1:39" ht="15" customHeight="1" outlineLevel="1">
      <c r="A577" s="411">
        <v>284</v>
      </c>
      <c r="B577" s="10">
        <v>129284</v>
      </c>
      <c r="C577" s="218" t="s">
        <v>1489</v>
      </c>
      <c r="D577" s="218" t="s">
        <v>1490</v>
      </c>
      <c r="E577" s="23" t="s">
        <v>44</v>
      </c>
      <c r="F577" s="17" t="s">
        <v>45</v>
      </c>
      <c r="G577" s="11" t="s">
        <v>1432</v>
      </c>
      <c r="H577" s="12">
        <v>19</v>
      </c>
      <c r="I577" s="11" t="s">
        <v>1433</v>
      </c>
      <c r="J577" s="375"/>
      <c r="K577" s="17" t="s">
        <v>233</v>
      </c>
      <c r="L577" s="17" t="s">
        <v>233</v>
      </c>
      <c r="M577" s="231">
        <v>7</v>
      </c>
      <c r="N577" s="231">
        <v>7</v>
      </c>
      <c r="O577" s="231">
        <v>7</v>
      </c>
      <c r="P577" s="231" t="s">
        <v>239</v>
      </c>
      <c r="Q577" s="231">
        <v>7</v>
      </c>
      <c r="R577" s="231" t="s">
        <v>239</v>
      </c>
      <c r="S577" s="231">
        <v>7</v>
      </c>
      <c r="T577" s="231" t="s">
        <v>239</v>
      </c>
      <c r="U577" s="231">
        <v>7</v>
      </c>
      <c r="V577" s="230" t="s">
        <v>239</v>
      </c>
      <c r="W577" s="231">
        <v>7</v>
      </c>
      <c r="X577" s="231" t="s">
        <v>239</v>
      </c>
      <c r="Y577" s="231">
        <v>7</v>
      </c>
      <c r="Z577" s="231" t="s">
        <v>239</v>
      </c>
      <c r="AA577" s="231">
        <v>7</v>
      </c>
      <c r="AB577" s="231" t="s">
        <v>239</v>
      </c>
      <c r="AC577" s="231">
        <v>7</v>
      </c>
      <c r="AD577" s="231" t="s">
        <v>239</v>
      </c>
      <c r="AE577" s="231">
        <v>7</v>
      </c>
      <c r="AF577" s="231" t="s">
        <v>239</v>
      </c>
      <c r="AG577" s="231">
        <v>7</v>
      </c>
      <c r="AH577" s="231" t="s">
        <v>239</v>
      </c>
      <c r="AI577" s="231">
        <v>7</v>
      </c>
      <c r="AJ577" s="231" t="s">
        <v>239</v>
      </c>
      <c r="AK577" s="231">
        <v>7</v>
      </c>
      <c r="AL577" s="232" t="s">
        <v>239</v>
      </c>
      <c r="AM577" s="232">
        <v>0</v>
      </c>
    </row>
    <row r="578" spans="1:39" ht="15" customHeight="1" outlineLevel="1">
      <c r="A578" s="412"/>
      <c r="B578" s="10">
        <v>129284</v>
      </c>
      <c r="C578" s="218" t="s">
        <v>1489</v>
      </c>
      <c r="D578" s="218" t="s">
        <v>1490</v>
      </c>
      <c r="E578" s="23" t="s">
        <v>44</v>
      </c>
      <c r="F578" s="17" t="s">
        <v>45</v>
      </c>
      <c r="G578" s="11" t="s">
        <v>1432</v>
      </c>
      <c r="H578" s="12">
        <v>21</v>
      </c>
      <c r="I578" s="11" t="s">
        <v>1433</v>
      </c>
      <c r="J578" s="193" t="s">
        <v>1460</v>
      </c>
      <c r="K578" s="17" t="s">
        <v>233</v>
      </c>
      <c r="L578" s="17" t="s">
        <v>233</v>
      </c>
      <c r="M578" s="231">
        <v>45087</v>
      </c>
      <c r="N578" s="232">
        <v>44539.643819999998</v>
      </c>
      <c r="O578" s="132">
        <v>460</v>
      </c>
      <c r="P578" s="231" t="s">
        <v>239</v>
      </c>
      <c r="Q578" s="232">
        <v>454.33280000000002</v>
      </c>
      <c r="R578" s="231" t="s">
        <v>239</v>
      </c>
      <c r="S578" s="232">
        <v>448.73541990400003</v>
      </c>
      <c r="T578" s="231" t="s">
        <v>239</v>
      </c>
      <c r="U578" s="232">
        <v>443.20699953078275</v>
      </c>
      <c r="V578" s="231" t="s">
        <v>239</v>
      </c>
      <c r="W578" s="232">
        <v>437.74668929656349</v>
      </c>
      <c r="X578" s="231" t="s">
        <v>239</v>
      </c>
      <c r="Y578" s="232">
        <v>432.35365008442983</v>
      </c>
      <c r="Z578" s="231" t="s">
        <v>239</v>
      </c>
      <c r="AA578" s="232">
        <v>427.02705311538966</v>
      </c>
      <c r="AB578" s="231" t="s">
        <v>239</v>
      </c>
      <c r="AC578" s="232">
        <v>421.76607982100808</v>
      </c>
      <c r="AD578" s="231" t="s">
        <v>239</v>
      </c>
      <c r="AE578" s="232">
        <v>416.56992171761328</v>
      </c>
      <c r="AF578" s="231" t="s">
        <v>239</v>
      </c>
      <c r="AG578" s="232">
        <v>411.4377802820523</v>
      </c>
      <c r="AH578" s="231" t="s">
        <v>239</v>
      </c>
      <c r="AI578" s="232">
        <v>406.36886682897745</v>
      </c>
      <c r="AJ578" s="231" t="s">
        <v>239</v>
      </c>
      <c r="AK578" s="232">
        <v>401.36240238964444</v>
      </c>
      <c r="AL578" s="232" t="s">
        <v>239</v>
      </c>
      <c r="AM578" s="232">
        <v>5160.9076629704623</v>
      </c>
    </row>
    <row r="579" spans="1:39" ht="15" customHeight="1" outlineLevel="1">
      <c r="A579" s="411">
        <v>285</v>
      </c>
      <c r="B579" s="10">
        <v>129285</v>
      </c>
      <c r="C579" s="218" t="s">
        <v>1489</v>
      </c>
      <c r="D579" s="218" t="s">
        <v>1490</v>
      </c>
      <c r="E579" s="23" t="s">
        <v>138</v>
      </c>
      <c r="F579" s="17" t="s">
        <v>45</v>
      </c>
      <c r="G579" s="11" t="s">
        <v>1432</v>
      </c>
      <c r="H579" s="12">
        <v>19</v>
      </c>
      <c r="I579" s="11" t="s">
        <v>1433</v>
      </c>
      <c r="J579" s="191" t="s">
        <v>216</v>
      </c>
      <c r="K579" s="17" t="s">
        <v>233</v>
      </c>
      <c r="L579" s="17" t="s">
        <v>233</v>
      </c>
      <c r="M579" s="231">
        <v>43</v>
      </c>
      <c r="N579" s="231">
        <v>43</v>
      </c>
      <c r="O579" s="231">
        <v>43</v>
      </c>
      <c r="P579" s="231" t="s">
        <v>239</v>
      </c>
      <c r="Q579" s="231">
        <v>43</v>
      </c>
      <c r="R579" s="231" t="s">
        <v>239</v>
      </c>
      <c r="S579" s="231">
        <v>43</v>
      </c>
      <c r="T579" s="231" t="s">
        <v>239</v>
      </c>
      <c r="U579" s="231">
        <v>43</v>
      </c>
      <c r="V579" s="231" t="s">
        <v>239</v>
      </c>
      <c r="W579" s="231">
        <v>43</v>
      </c>
      <c r="X579" s="231" t="s">
        <v>239</v>
      </c>
      <c r="Y579" s="231">
        <v>43</v>
      </c>
      <c r="Z579" s="231" t="s">
        <v>239</v>
      </c>
      <c r="AA579" s="231">
        <v>43</v>
      </c>
      <c r="AB579" s="231" t="s">
        <v>239</v>
      </c>
      <c r="AC579" s="231">
        <v>43</v>
      </c>
      <c r="AD579" s="231" t="s">
        <v>239</v>
      </c>
      <c r="AE579" s="231">
        <v>43</v>
      </c>
      <c r="AF579" s="231" t="s">
        <v>239</v>
      </c>
      <c r="AG579" s="231">
        <v>43</v>
      </c>
      <c r="AH579" s="231" t="s">
        <v>239</v>
      </c>
      <c r="AI579" s="231">
        <v>43</v>
      </c>
      <c r="AJ579" s="231" t="s">
        <v>239</v>
      </c>
      <c r="AK579" s="231">
        <v>43</v>
      </c>
      <c r="AL579" s="232" t="s">
        <v>239</v>
      </c>
      <c r="AM579" s="232">
        <v>0</v>
      </c>
    </row>
    <row r="580" spans="1:39" ht="15" customHeight="1" outlineLevel="1">
      <c r="A580" s="412"/>
      <c r="B580" s="10">
        <v>129285</v>
      </c>
      <c r="C580" s="218" t="s">
        <v>1489</v>
      </c>
      <c r="D580" s="218" t="s">
        <v>1490</v>
      </c>
      <c r="E580" s="23" t="s">
        <v>44</v>
      </c>
      <c r="F580" s="17" t="s">
        <v>45</v>
      </c>
      <c r="G580" s="11" t="s">
        <v>1432</v>
      </c>
      <c r="H580" s="12">
        <v>30</v>
      </c>
      <c r="I580" s="11" t="s">
        <v>1433</v>
      </c>
      <c r="J580" s="192" t="s">
        <v>1434</v>
      </c>
      <c r="K580" s="17" t="s">
        <v>233</v>
      </c>
      <c r="L580" s="17" t="s">
        <v>233</v>
      </c>
      <c r="M580" s="231">
        <v>23796</v>
      </c>
      <c r="N580" s="232">
        <v>23507.116559999999</v>
      </c>
      <c r="O580" s="132">
        <v>460</v>
      </c>
      <c r="P580" s="231" t="s">
        <v>239</v>
      </c>
      <c r="Q580" s="232">
        <v>454.33280000000002</v>
      </c>
      <c r="R580" s="231" t="s">
        <v>239</v>
      </c>
      <c r="S580" s="232">
        <v>448.73541990400003</v>
      </c>
      <c r="T580" s="231" t="s">
        <v>239</v>
      </c>
      <c r="U580" s="232">
        <v>443.20699953078275</v>
      </c>
      <c r="V580" s="230" t="s">
        <v>239</v>
      </c>
      <c r="W580" s="232">
        <v>437.74668929656349</v>
      </c>
      <c r="X580" s="231" t="s">
        <v>239</v>
      </c>
      <c r="Y580" s="232">
        <v>432.35365008442983</v>
      </c>
      <c r="Z580" s="231" t="s">
        <v>239</v>
      </c>
      <c r="AA580" s="232">
        <v>427.02705311538966</v>
      </c>
      <c r="AB580" s="231" t="s">
        <v>239</v>
      </c>
      <c r="AC580" s="232">
        <v>421.76607982100808</v>
      </c>
      <c r="AD580" s="231" t="s">
        <v>239</v>
      </c>
      <c r="AE580" s="232">
        <v>416.56992171761328</v>
      </c>
      <c r="AF580" s="231" t="s">
        <v>239</v>
      </c>
      <c r="AG580" s="232">
        <v>411.4377802820523</v>
      </c>
      <c r="AH580" s="231" t="s">
        <v>239</v>
      </c>
      <c r="AI580" s="232">
        <v>406.36886682897745</v>
      </c>
      <c r="AJ580" s="231" t="s">
        <v>239</v>
      </c>
      <c r="AK580" s="232">
        <v>401.36240238964444</v>
      </c>
      <c r="AL580" s="232" t="s">
        <v>239</v>
      </c>
      <c r="AM580" s="232">
        <v>5160.9076629704623</v>
      </c>
    </row>
    <row r="581" spans="1:39" ht="15" customHeight="1" outlineLevel="1">
      <c r="A581" s="411">
        <v>286</v>
      </c>
      <c r="B581" s="10">
        <v>129286</v>
      </c>
      <c r="C581" s="218" t="s">
        <v>1489</v>
      </c>
      <c r="D581" s="218" t="s">
        <v>1490</v>
      </c>
      <c r="E581" s="23" t="s">
        <v>138</v>
      </c>
      <c r="F581" s="17" t="s">
        <v>45</v>
      </c>
      <c r="G581" s="11" t="s">
        <v>1432</v>
      </c>
      <c r="H581" s="12">
        <v>33</v>
      </c>
      <c r="I581" s="11" t="s">
        <v>1433</v>
      </c>
      <c r="J581" s="192" t="s">
        <v>1480</v>
      </c>
      <c r="K581" s="17" t="s">
        <v>233</v>
      </c>
      <c r="L581" s="17" t="s">
        <v>233</v>
      </c>
      <c r="M581" s="231">
        <v>36</v>
      </c>
      <c r="N581" s="231">
        <v>36</v>
      </c>
      <c r="O581" s="231">
        <v>36</v>
      </c>
      <c r="P581" s="231" t="s">
        <v>239</v>
      </c>
      <c r="Q581" s="231">
        <v>36</v>
      </c>
      <c r="R581" s="231" t="s">
        <v>239</v>
      </c>
      <c r="S581" s="231">
        <v>36</v>
      </c>
      <c r="T581" s="231" t="s">
        <v>239</v>
      </c>
      <c r="U581" s="231">
        <v>36</v>
      </c>
      <c r="V581" s="231" t="s">
        <v>239</v>
      </c>
      <c r="W581" s="231">
        <v>36</v>
      </c>
      <c r="X581" s="231" t="s">
        <v>239</v>
      </c>
      <c r="Y581" s="231">
        <v>36</v>
      </c>
      <c r="Z581" s="231" t="s">
        <v>239</v>
      </c>
      <c r="AA581" s="231">
        <v>36</v>
      </c>
      <c r="AB581" s="231" t="s">
        <v>239</v>
      </c>
      <c r="AC581" s="231">
        <v>36</v>
      </c>
      <c r="AD581" s="231" t="s">
        <v>239</v>
      </c>
      <c r="AE581" s="231">
        <v>36</v>
      </c>
      <c r="AF581" s="231" t="s">
        <v>239</v>
      </c>
      <c r="AG581" s="231">
        <v>36</v>
      </c>
      <c r="AH581" s="231" t="s">
        <v>239</v>
      </c>
      <c r="AI581" s="231">
        <v>36</v>
      </c>
      <c r="AJ581" s="231" t="s">
        <v>239</v>
      </c>
      <c r="AK581" s="231">
        <v>36</v>
      </c>
      <c r="AL581" s="232" t="s">
        <v>239</v>
      </c>
      <c r="AM581" s="232">
        <v>0</v>
      </c>
    </row>
    <row r="582" spans="1:39" ht="15" customHeight="1" outlineLevel="1">
      <c r="A582" s="412"/>
      <c r="B582" s="10">
        <v>129286</v>
      </c>
      <c r="C582" s="218" t="s">
        <v>1489</v>
      </c>
      <c r="D582" s="218" t="s">
        <v>1490</v>
      </c>
      <c r="E582" s="23" t="s">
        <v>44</v>
      </c>
      <c r="F582" s="17" t="s">
        <v>45</v>
      </c>
      <c r="G582" s="11" t="s">
        <v>1432</v>
      </c>
      <c r="H582" s="12">
        <v>19</v>
      </c>
      <c r="I582" s="11" t="s">
        <v>1433</v>
      </c>
      <c r="J582" s="192" t="s">
        <v>1452</v>
      </c>
      <c r="K582" s="17" t="s">
        <v>233</v>
      </c>
      <c r="L582" s="17" t="s">
        <v>233</v>
      </c>
      <c r="M582" s="231">
        <v>22248</v>
      </c>
      <c r="N582" s="232">
        <v>21977.90928</v>
      </c>
      <c r="O582" s="132">
        <v>294</v>
      </c>
      <c r="P582" s="231" t="s">
        <v>239</v>
      </c>
      <c r="Q582" s="232">
        <v>290.37792000000002</v>
      </c>
      <c r="R582" s="231" t="s">
        <v>239</v>
      </c>
      <c r="S582" s="232">
        <v>286.80046402560004</v>
      </c>
      <c r="T582" s="231" t="s">
        <v>239</v>
      </c>
      <c r="U582" s="232">
        <v>283.26708230880462</v>
      </c>
      <c r="V582" s="231" t="s">
        <v>239</v>
      </c>
      <c r="W582" s="232">
        <v>279.77723185476015</v>
      </c>
      <c r="X582" s="231" t="s">
        <v>239</v>
      </c>
      <c r="Y582" s="232">
        <v>276.33037635830948</v>
      </c>
      <c r="Z582" s="231" t="s">
        <v>239</v>
      </c>
      <c r="AA582" s="232">
        <v>272.92598612157508</v>
      </c>
      <c r="AB582" s="231" t="s">
        <v>239</v>
      </c>
      <c r="AC582" s="232">
        <v>269.5635379725573</v>
      </c>
      <c r="AD582" s="231" t="s">
        <v>239</v>
      </c>
      <c r="AE582" s="232">
        <v>266.2425151847354</v>
      </c>
      <c r="AF582" s="231" t="s">
        <v>239</v>
      </c>
      <c r="AG582" s="232">
        <v>262.96240739765943</v>
      </c>
      <c r="AH582" s="231" t="s">
        <v>239</v>
      </c>
      <c r="AI582" s="232">
        <v>259.72271053852029</v>
      </c>
      <c r="AJ582" s="231" t="s">
        <v>239</v>
      </c>
      <c r="AK582" s="232">
        <v>256.52292674468572</v>
      </c>
      <c r="AL582" s="232" t="s">
        <v>239</v>
      </c>
      <c r="AM582" s="232">
        <v>3298.4931585072077</v>
      </c>
    </row>
    <row r="583" spans="1:39" ht="15" customHeight="1" outlineLevel="1">
      <c r="A583" s="411">
        <v>287</v>
      </c>
      <c r="B583" s="10">
        <v>129287</v>
      </c>
      <c r="C583" s="218" t="s">
        <v>1489</v>
      </c>
      <c r="D583" s="218" t="s">
        <v>1490</v>
      </c>
      <c r="E583" s="23" t="s">
        <v>44</v>
      </c>
      <c r="F583" s="17" t="s">
        <v>45</v>
      </c>
      <c r="G583" s="11" t="s">
        <v>1432</v>
      </c>
      <c r="H583" s="12">
        <v>6</v>
      </c>
      <c r="I583" s="11" t="s">
        <v>1433</v>
      </c>
      <c r="J583" s="374" t="s">
        <v>207</v>
      </c>
      <c r="K583" s="17" t="s">
        <v>233</v>
      </c>
      <c r="L583" s="17" t="s">
        <v>233</v>
      </c>
      <c r="M583" s="231">
        <v>36</v>
      </c>
      <c r="N583" s="231">
        <v>36</v>
      </c>
      <c r="O583" s="231">
        <v>36</v>
      </c>
      <c r="P583" s="231" t="s">
        <v>239</v>
      </c>
      <c r="Q583" s="231">
        <v>36</v>
      </c>
      <c r="R583" s="231" t="s">
        <v>239</v>
      </c>
      <c r="S583" s="231">
        <v>36</v>
      </c>
      <c r="T583" s="231" t="s">
        <v>239</v>
      </c>
      <c r="U583" s="231">
        <v>36</v>
      </c>
      <c r="V583" s="230" t="s">
        <v>239</v>
      </c>
      <c r="W583" s="231">
        <v>36</v>
      </c>
      <c r="X583" s="231" t="s">
        <v>239</v>
      </c>
      <c r="Y583" s="231">
        <v>36</v>
      </c>
      <c r="Z583" s="231" t="s">
        <v>239</v>
      </c>
      <c r="AA583" s="231">
        <v>36</v>
      </c>
      <c r="AB583" s="231" t="s">
        <v>239</v>
      </c>
      <c r="AC583" s="231">
        <v>36</v>
      </c>
      <c r="AD583" s="231" t="s">
        <v>239</v>
      </c>
      <c r="AE583" s="231">
        <v>36</v>
      </c>
      <c r="AF583" s="231" t="s">
        <v>239</v>
      </c>
      <c r="AG583" s="231">
        <v>36</v>
      </c>
      <c r="AH583" s="231" t="s">
        <v>239</v>
      </c>
      <c r="AI583" s="231">
        <v>36</v>
      </c>
      <c r="AJ583" s="231" t="s">
        <v>239</v>
      </c>
      <c r="AK583" s="231">
        <v>36</v>
      </c>
      <c r="AL583" s="232" t="s">
        <v>239</v>
      </c>
      <c r="AM583" s="232">
        <v>0</v>
      </c>
    </row>
    <row r="584" spans="1:39" ht="15" customHeight="1" outlineLevel="1">
      <c r="A584" s="412"/>
      <c r="B584" s="10">
        <v>129287</v>
      </c>
      <c r="C584" s="218" t="s">
        <v>1489</v>
      </c>
      <c r="D584" s="218" t="s">
        <v>1490</v>
      </c>
      <c r="E584" s="23" t="s">
        <v>138</v>
      </c>
      <c r="F584" s="17" t="s">
        <v>45</v>
      </c>
      <c r="G584" s="11" t="s">
        <v>1432</v>
      </c>
      <c r="H584" s="12">
        <v>15</v>
      </c>
      <c r="I584" s="11" t="s">
        <v>1433</v>
      </c>
      <c r="J584" s="375"/>
      <c r="K584" s="17" t="s">
        <v>233</v>
      </c>
      <c r="L584" s="17" t="s">
        <v>233</v>
      </c>
      <c r="M584" s="231">
        <v>0</v>
      </c>
      <c r="N584" s="232">
        <v>0</v>
      </c>
      <c r="O584" s="132"/>
      <c r="P584" s="231" t="s">
        <v>239</v>
      </c>
      <c r="Q584" s="232">
        <v>0</v>
      </c>
      <c r="R584" s="231" t="s">
        <v>239</v>
      </c>
      <c r="S584" s="232">
        <v>0</v>
      </c>
      <c r="T584" s="231" t="s">
        <v>239</v>
      </c>
      <c r="U584" s="232">
        <v>0</v>
      </c>
      <c r="V584" s="231" t="s">
        <v>239</v>
      </c>
      <c r="W584" s="232">
        <v>0</v>
      </c>
      <c r="X584" s="231" t="s">
        <v>239</v>
      </c>
      <c r="Y584" s="232">
        <v>0</v>
      </c>
      <c r="Z584" s="231" t="s">
        <v>239</v>
      </c>
      <c r="AA584" s="232">
        <v>0</v>
      </c>
      <c r="AB584" s="231" t="s">
        <v>239</v>
      </c>
      <c r="AC584" s="232">
        <v>0</v>
      </c>
      <c r="AD584" s="231" t="s">
        <v>239</v>
      </c>
      <c r="AE584" s="232">
        <v>0</v>
      </c>
      <c r="AF584" s="231" t="s">
        <v>239</v>
      </c>
      <c r="AG584" s="232">
        <v>0</v>
      </c>
      <c r="AH584" s="231" t="s">
        <v>239</v>
      </c>
      <c r="AI584" s="232">
        <v>0</v>
      </c>
      <c r="AJ584" s="231" t="s">
        <v>239</v>
      </c>
      <c r="AK584" s="232">
        <v>0</v>
      </c>
      <c r="AL584" s="232" t="s">
        <v>239</v>
      </c>
      <c r="AM584" s="232">
        <v>0</v>
      </c>
    </row>
    <row r="585" spans="1:39" ht="15" customHeight="1" outlineLevel="1">
      <c r="A585" s="411">
        <v>288</v>
      </c>
      <c r="B585" s="10">
        <v>129288</v>
      </c>
      <c r="C585" s="218" t="s">
        <v>1489</v>
      </c>
      <c r="D585" s="218" t="s">
        <v>1490</v>
      </c>
      <c r="E585" s="23" t="s">
        <v>44</v>
      </c>
      <c r="F585" s="17" t="s">
        <v>45</v>
      </c>
      <c r="G585" s="11" t="s">
        <v>1432</v>
      </c>
      <c r="H585" s="12">
        <v>19</v>
      </c>
      <c r="I585" s="11" t="s">
        <v>1433</v>
      </c>
      <c r="J585" s="193" t="s">
        <v>1460</v>
      </c>
      <c r="K585" s="17" t="s">
        <v>233</v>
      </c>
      <c r="L585" s="17" t="s">
        <v>233</v>
      </c>
      <c r="M585" s="231">
        <v>36</v>
      </c>
      <c r="N585" s="231">
        <v>36</v>
      </c>
      <c r="O585" s="231">
        <v>36</v>
      </c>
      <c r="P585" s="231" t="s">
        <v>239</v>
      </c>
      <c r="Q585" s="231">
        <v>36</v>
      </c>
      <c r="R585" s="231" t="s">
        <v>239</v>
      </c>
      <c r="S585" s="231">
        <v>36</v>
      </c>
      <c r="T585" s="231" t="s">
        <v>239</v>
      </c>
      <c r="U585" s="231">
        <v>36</v>
      </c>
      <c r="V585" s="231" t="s">
        <v>239</v>
      </c>
      <c r="W585" s="231">
        <v>36</v>
      </c>
      <c r="X585" s="231" t="s">
        <v>239</v>
      </c>
      <c r="Y585" s="231">
        <v>36</v>
      </c>
      <c r="Z585" s="231" t="s">
        <v>239</v>
      </c>
      <c r="AA585" s="231">
        <v>36</v>
      </c>
      <c r="AB585" s="231" t="s">
        <v>239</v>
      </c>
      <c r="AC585" s="231">
        <v>36</v>
      </c>
      <c r="AD585" s="231" t="s">
        <v>239</v>
      </c>
      <c r="AE585" s="231">
        <v>36</v>
      </c>
      <c r="AF585" s="231" t="s">
        <v>239</v>
      </c>
      <c r="AG585" s="231">
        <v>36</v>
      </c>
      <c r="AH585" s="231" t="s">
        <v>239</v>
      </c>
      <c r="AI585" s="231">
        <v>36</v>
      </c>
      <c r="AJ585" s="231" t="s">
        <v>239</v>
      </c>
      <c r="AK585" s="231">
        <v>36</v>
      </c>
      <c r="AL585" s="232" t="s">
        <v>239</v>
      </c>
      <c r="AM585" s="232">
        <v>0</v>
      </c>
    </row>
    <row r="586" spans="1:39" ht="15" customHeight="1" outlineLevel="1">
      <c r="A586" s="412"/>
      <c r="B586" s="10">
        <v>129288</v>
      </c>
      <c r="C586" s="218" t="s">
        <v>1489</v>
      </c>
      <c r="D586" s="218" t="s">
        <v>1490</v>
      </c>
      <c r="E586" s="23" t="s">
        <v>138</v>
      </c>
      <c r="F586" s="17" t="s">
        <v>45</v>
      </c>
      <c r="G586" s="11" t="s">
        <v>1432</v>
      </c>
      <c r="H586" s="12">
        <v>22</v>
      </c>
      <c r="I586" s="11" t="s">
        <v>1433</v>
      </c>
      <c r="J586" s="193" t="s">
        <v>1442</v>
      </c>
      <c r="K586" s="17" t="s">
        <v>233</v>
      </c>
      <c r="L586" s="17" t="s">
        <v>233</v>
      </c>
      <c r="M586" s="231">
        <v>0</v>
      </c>
      <c r="N586" s="232">
        <v>0</v>
      </c>
      <c r="O586" s="132"/>
      <c r="P586" s="231" t="s">
        <v>239</v>
      </c>
      <c r="Q586" s="232">
        <v>0</v>
      </c>
      <c r="R586" s="231" t="s">
        <v>239</v>
      </c>
      <c r="S586" s="232">
        <v>0</v>
      </c>
      <c r="T586" s="231" t="s">
        <v>239</v>
      </c>
      <c r="U586" s="232">
        <v>0</v>
      </c>
      <c r="V586" s="230" t="s">
        <v>239</v>
      </c>
      <c r="W586" s="232">
        <v>0</v>
      </c>
      <c r="X586" s="231" t="s">
        <v>239</v>
      </c>
      <c r="Y586" s="232">
        <v>0</v>
      </c>
      <c r="Z586" s="231" t="s">
        <v>239</v>
      </c>
      <c r="AA586" s="232">
        <v>0</v>
      </c>
      <c r="AB586" s="231" t="s">
        <v>239</v>
      </c>
      <c r="AC586" s="232">
        <v>0</v>
      </c>
      <c r="AD586" s="231" t="s">
        <v>239</v>
      </c>
      <c r="AE586" s="232">
        <v>0</v>
      </c>
      <c r="AF586" s="231" t="s">
        <v>239</v>
      </c>
      <c r="AG586" s="232">
        <v>0</v>
      </c>
      <c r="AH586" s="231" t="s">
        <v>239</v>
      </c>
      <c r="AI586" s="232">
        <v>0</v>
      </c>
      <c r="AJ586" s="231" t="s">
        <v>239</v>
      </c>
      <c r="AK586" s="232">
        <v>0</v>
      </c>
      <c r="AL586" s="232" t="s">
        <v>239</v>
      </c>
      <c r="AM586" s="232">
        <v>0</v>
      </c>
    </row>
    <row r="587" spans="1:39" ht="15" customHeight="1" outlineLevel="1">
      <c r="A587" s="411">
        <v>289</v>
      </c>
      <c r="B587" s="10">
        <v>129289</v>
      </c>
      <c r="C587" s="218" t="s">
        <v>1489</v>
      </c>
      <c r="D587" s="218" t="s">
        <v>1490</v>
      </c>
      <c r="E587" s="23" t="s">
        <v>44</v>
      </c>
      <c r="F587" s="17" t="s">
        <v>45</v>
      </c>
      <c r="G587" s="11" t="s">
        <v>1432</v>
      </c>
      <c r="H587" s="12">
        <v>24</v>
      </c>
      <c r="I587" s="11" t="s">
        <v>1433</v>
      </c>
      <c r="J587" s="193" t="s">
        <v>1460</v>
      </c>
      <c r="K587" s="17" t="s">
        <v>233</v>
      </c>
      <c r="L587" s="17" t="s">
        <v>233</v>
      </c>
      <c r="M587" s="231">
        <v>24.5</v>
      </c>
      <c r="N587" s="231">
        <v>24.5</v>
      </c>
      <c r="O587" s="231">
        <v>24.5</v>
      </c>
      <c r="P587" s="231" t="s">
        <v>239</v>
      </c>
      <c r="Q587" s="231">
        <v>24.5</v>
      </c>
      <c r="R587" s="231" t="s">
        <v>239</v>
      </c>
      <c r="S587" s="231">
        <v>24.5</v>
      </c>
      <c r="T587" s="231" t="s">
        <v>239</v>
      </c>
      <c r="U587" s="231">
        <v>24.5</v>
      </c>
      <c r="V587" s="231" t="s">
        <v>239</v>
      </c>
      <c r="W587" s="231">
        <v>24.5</v>
      </c>
      <c r="X587" s="231" t="s">
        <v>239</v>
      </c>
      <c r="Y587" s="231">
        <v>24.5</v>
      </c>
      <c r="Z587" s="231" t="s">
        <v>239</v>
      </c>
      <c r="AA587" s="231">
        <v>24.5</v>
      </c>
      <c r="AB587" s="231" t="s">
        <v>239</v>
      </c>
      <c r="AC587" s="231">
        <v>24.5</v>
      </c>
      <c r="AD587" s="231" t="s">
        <v>239</v>
      </c>
      <c r="AE587" s="231">
        <v>24.5</v>
      </c>
      <c r="AF587" s="231" t="s">
        <v>239</v>
      </c>
      <c r="AG587" s="231">
        <v>24.5</v>
      </c>
      <c r="AH587" s="231" t="s">
        <v>239</v>
      </c>
      <c r="AI587" s="231">
        <v>24.5</v>
      </c>
      <c r="AJ587" s="231" t="s">
        <v>239</v>
      </c>
      <c r="AK587" s="231">
        <v>24.5</v>
      </c>
      <c r="AL587" s="232" t="s">
        <v>239</v>
      </c>
      <c r="AM587" s="232">
        <v>0</v>
      </c>
    </row>
    <row r="588" spans="1:39" ht="15" customHeight="1" outlineLevel="1">
      <c r="A588" s="412"/>
      <c r="B588" s="10">
        <v>129289</v>
      </c>
      <c r="C588" s="218" t="s">
        <v>1489</v>
      </c>
      <c r="D588" s="218" t="s">
        <v>1490</v>
      </c>
      <c r="E588" s="23" t="s">
        <v>44</v>
      </c>
      <c r="F588" s="17" t="s">
        <v>45</v>
      </c>
      <c r="G588" s="11" t="s">
        <v>1432</v>
      </c>
      <c r="H588" s="12">
        <v>16</v>
      </c>
      <c r="I588" s="11" t="s">
        <v>1433</v>
      </c>
      <c r="J588" s="193" t="s">
        <v>1457</v>
      </c>
      <c r="K588" s="17" t="s">
        <v>233</v>
      </c>
      <c r="L588" s="17" t="s">
        <v>233</v>
      </c>
      <c r="M588" s="231">
        <v>7265</v>
      </c>
      <c r="N588" s="232">
        <v>7176.8028999999997</v>
      </c>
      <c r="O588" s="132">
        <v>969</v>
      </c>
      <c r="P588" s="231" t="s">
        <v>239</v>
      </c>
      <c r="Q588" s="232">
        <v>957.06191999999999</v>
      </c>
      <c r="R588" s="231" t="s">
        <v>239</v>
      </c>
      <c r="S588" s="232">
        <v>945.27091714560004</v>
      </c>
      <c r="T588" s="231" t="s">
        <v>239</v>
      </c>
      <c r="U588" s="232">
        <v>933.62517944636625</v>
      </c>
      <c r="V588" s="231" t="s">
        <v>239</v>
      </c>
      <c r="W588" s="232">
        <v>922.12291723558701</v>
      </c>
      <c r="X588" s="231" t="s">
        <v>239</v>
      </c>
      <c r="Y588" s="232">
        <v>910.76236289524456</v>
      </c>
      <c r="Z588" s="231" t="s">
        <v>239</v>
      </c>
      <c r="AA588" s="232">
        <v>899.54177058437517</v>
      </c>
      <c r="AB588" s="231" t="s">
        <v>239</v>
      </c>
      <c r="AC588" s="232">
        <v>888.45941597077569</v>
      </c>
      <c r="AD588" s="231" t="s">
        <v>239</v>
      </c>
      <c r="AE588" s="232">
        <v>877.51359596601571</v>
      </c>
      <c r="AF588" s="231" t="s">
        <v>239</v>
      </c>
      <c r="AG588" s="232">
        <v>866.7026284637144</v>
      </c>
      <c r="AH588" s="231" t="s">
        <v>239</v>
      </c>
      <c r="AI588" s="232">
        <v>856.02485208104144</v>
      </c>
      <c r="AJ588" s="231" t="s">
        <v>239</v>
      </c>
      <c r="AK588" s="232">
        <v>845.47862590340299</v>
      </c>
      <c r="AL588" s="232" t="s">
        <v>239</v>
      </c>
      <c r="AM588" s="232">
        <v>10871.564185692123</v>
      </c>
    </row>
    <row r="589" spans="1:39" ht="15" customHeight="1" outlineLevel="1">
      <c r="A589" s="411">
        <v>290</v>
      </c>
      <c r="B589" s="10">
        <v>129290</v>
      </c>
      <c r="C589" s="218" t="s">
        <v>1489</v>
      </c>
      <c r="D589" s="218" t="s">
        <v>1490</v>
      </c>
      <c r="E589" s="23" t="s">
        <v>138</v>
      </c>
      <c r="F589" s="17" t="s">
        <v>45</v>
      </c>
      <c r="G589" s="11" t="s">
        <v>1432</v>
      </c>
      <c r="H589" s="12">
        <v>5</v>
      </c>
      <c r="I589" s="11" t="s">
        <v>1433</v>
      </c>
      <c r="J589" s="193" t="s">
        <v>617</v>
      </c>
      <c r="K589" s="17" t="s">
        <v>233</v>
      </c>
      <c r="L589" s="17" t="s">
        <v>233</v>
      </c>
      <c r="M589" s="231">
        <v>31.5</v>
      </c>
      <c r="N589" s="231">
        <v>31.5</v>
      </c>
      <c r="O589" s="231">
        <v>31.5</v>
      </c>
      <c r="P589" s="231" t="s">
        <v>239</v>
      </c>
      <c r="Q589" s="231">
        <v>31.5</v>
      </c>
      <c r="R589" s="231" t="s">
        <v>239</v>
      </c>
      <c r="S589" s="231">
        <v>31.5</v>
      </c>
      <c r="T589" s="231" t="s">
        <v>239</v>
      </c>
      <c r="U589" s="231">
        <v>31.5</v>
      </c>
      <c r="V589" s="230" t="s">
        <v>239</v>
      </c>
      <c r="W589" s="231">
        <v>31.5</v>
      </c>
      <c r="X589" s="231" t="s">
        <v>239</v>
      </c>
      <c r="Y589" s="231">
        <v>31.5</v>
      </c>
      <c r="Z589" s="231" t="s">
        <v>239</v>
      </c>
      <c r="AA589" s="231">
        <v>31.5</v>
      </c>
      <c r="AB589" s="231" t="s">
        <v>239</v>
      </c>
      <c r="AC589" s="231">
        <v>31.5</v>
      </c>
      <c r="AD589" s="231" t="s">
        <v>239</v>
      </c>
      <c r="AE589" s="231">
        <v>31.5</v>
      </c>
      <c r="AF589" s="231" t="s">
        <v>239</v>
      </c>
      <c r="AG589" s="231">
        <v>31.5</v>
      </c>
      <c r="AH589" s="231" t="s">
        <v>239</v>
      </c>
      <c r="AI589" s="231">
        <v>31.5</v>
      </c>
      <c r="AJ589" s="231" t="s">
        <v>239</v>
      </c>
      <c r="AK589" s="231">
        <v>31.5</v>
      </c>
      <c r="AL589" s="232" t="s">
        <v>239</v>
      </c>
      <c r="AM589" s="232">
        <v>0</v>
      </c>
    </row>
    <row r="590" spans="1:39" ht="15" customHeight="1" outlineLevel="1">
      <c r="A590" s="412"/>
      <c r="B590" s="10">
        <v>129290</v>
      </c>
      <c r="C590" s="218" t="s">
        <v>1489</v>
      </c>
      <c r="D590" s="218" t="s">
        <v>1490</v>
      </c>
      <c r="E590" s="23" t="s">
        <v>44</v>
      </c>
      <c r="F590" s="17" t="s">
        <v>45</v>
      </c>
      <c r="G590" s="11" t="s">
        <v>1432</v>
      </c>
      <c r="H590" s="12">
        <v>17</v>
      </c>
      <c r="I590" s="11" t="s">
        <v>1433</v>
      </c>
      <c r="J590" s="193" t="s">
        <v>216</v>
      </c>
      <c r="K590" s="17" t="s">
        <v>233</v>
      </c>
      <c r="L590" s="17" t="s">
        <v>233</v>
      </c>
      <c r="M590" s="231">
        <v>17492</v>
      </c>
      <c r="N590" s="232">
        <v>17279.647119999998</v>
      </c>
      <c r="O590" s="132">
        <v>186</v>
      </c>
      <c r="P590" s="231" t="s">
        <v>239</v>
      </c>
      <c r="Q590" s="232">
        <v>183.70848000000001</v>
      </c>
      <c r="R590" s="231" t="s">
        <v>239</v>
      </c>
      <c r="S590" s="232">
        <v>181.44519152640001</v>
      </c>
      <c r="T590" s="231" t="s">
        <v>239</v>
      </c>
      <c r="U590" s="232">
        <v>179.20978676679476</v>
      </c>
      <c r="V590" s="231" t="s">
        <v>239</v>
      </c>
      <c r="W590" s="232">
        <v>177.00192219382785</v>
      </c>
      <c r="X590" s="231" t="s">
        <v>239</v>
      </c>
      <c r="Y590" s="232">
        <v>174.82125851239988</v>
      </c>
      <c r="Z590" s="231" t="s">
        <v>239</v>
      </c>
      <c r="AA590" s="232">
        <v>172.66746060752712</v>
      </c>
      <c r="AB590" s="231" t="s">
        <v>239</v>
      </c>
      <c r="AC590" s="232">
        <v>170.5401974928424</v>
      </c>
      <c r="AD590" s="231" t="s">
        <v>239</v>
      </c>
      <c r="AE590" s="232">
        <v>168.43914225973057</v>
      </c>
      <c r="AF590" s="231" t="s">
        <v>239</v>
      </c>
      <c r="AG590" s="232">
        <v>166.36397202709068</v>
      </c>
      <c r="AH590" s="231" t="s">
        <v>239</v>
      </c>
      <c r="AI590" s="232">
        <v>164.31436789171693</v>
      </c>
      <c r="AJ590" s="231" t="s">
        <v>239</v>
      </c>
      <c r="AK590" s="232">
        <v>162.29001487929096</v>
      </c>
      <c r="AL590" s="232" t="s">
        <v>239</v>
      </c>
      <c r="AM590" s="232">
        <v>2086.8017941576213</v>
      </c>
    </row>
    <row r="591" spans="1:39" ht="15" customHeight="1" outlineLevel="1">
      <c r="A591" s="411">
        <v>291</v>
      </c>
      <c r="B591" s="10">
        <v>129291</v>
      </c>
      <c r="C591" s="218" t="s">
        <v>1489</v>
      </c>
      <c r="D591" s="218" t="s">
        <v>1490</v>
      </c>
      <c r="E591" s="23" t="s">
        <v>138</v>
      </c>
      <c r="F591" s="17" t="s">
        <v>45</v>
      </c>
      <c r="G591" s="11" t="s">
        <v>1432</v>
      </c>
      <c r="H591" s="12">
        <v>19</v>
      </c>
      <c r="I591" s="11" t="s">
        <v>1433</v>
      </c>
      <c r="J591" s="192" t="s">
        <v>1446</v>
      </c>
      <c r="K591" s="17" t="s">
        <v>233</v>
      </c>
      <c r="L591" s="17" t="s">
        <v>233</v>
      </c>
      <c r="M591" s="231">
        <v>21</v>
      </c>
      <c r="N591" s="231">
        <v>21</v>
      </c>
      <c r="O591" s="231">
        <v>21</v>
      </c>
      <c r="P591" s="231" t="s">
        <v>239</v>
      </c>
      <c r="Q591" s="231">
        <v>21</v>
      </c>
      <c r="R591" s="231" t="s">
        <v>239</v>
      </c>
      <c r="S591" s="231">
        <v>21</v>
      </c>
      <c r="T591" s="231" t="s">
        <v>239</v>
      </c>
      <c r="U591" s="231">
        <v>21</v>
      </c>
      <c r="V591" s="231" t="s">
        <v>239</v>
      </c>
      <c r="W591" s="231">
        <v>21</v>
      </c>
      <c r="X591" s="231" t="s">
        <v>239</v>
      </c>
      <c r="Y591" s="231">
        <v>21</v>
      </c>
      <c r="Z591" s="231" t="s">
        <v>239</v>
      </c>
      <c r="AA591" s="231">
        <v>21</v>
      </c>
      <c r="AB591" s="231" t="s">
        <v>239</v>
      </c>
      <c r="AC591" s="231">
        <v>21</v>
      </c>
      <c r="AD591" s="231" t="s">
        <v>239</v>
      </c>
      <c r="AE591" s="231">
        <v>21</v>
      </c>
      <c r="AF591" s="231" t="s">
        <v>239</v>
      </c>
      <c r="AG591" s="231">
        <v>21</v>
      </c>
      <c r="AH591" s="231" t="s">
        <v>239</v>
      </c>
      <c r="AI591" s="231">
        <v>21</v>
      </c>
      <c r="AJ591" s="231" t="s">
        <v>239</v>
      </c>
      <c r="AK591" s="231">
        <v>21</v>
      </c>
      <c r="AL591" s="232" t="s">
        <v>239</v>
      </c>
      <c r="AM591" s="232">
        <v>0</v>
      </c>
    </row>
    <row r="592" spans="1:39" ht="15" customHeight="1" outlineLevel="1">
      <c r="A592" s="412"/>
      <c r="B592" s="10">
        <v>129291</v>
      </c>
      <c r="C592" s="218" t="s">
        <v>1489</v>
      </c>
      <c r="D592" s="218" t="s">
        <v>1490</v>
      </c>
      <c r="E592" s="23" t="s">
        <v>44</v>
      </c>
      <c r="F592" s="17" t="s">
        <v>45</v>
      </c>
      <c r="G592" s="11" t="s">
        <v>1432</v>
      </c>
      <c r="H592" s="12">
        <v>18</v>
      </c>
      <c r="I592" s="11" t="s">
        <v>1433</v>
      </c>
      <c r="J592" s="192" t="s">
        <v>1481</v>
      </c>
      <c r="K592" s="17" t="s">
        <v>233</v>
      </c>
      <c r="L592" s="17" t="s">
        <v>233</v>
      </c>
      <c r="M592" s="231">
        <v>7896</v>
      </c>
      <c r="N592" s="232">
        <v>7800.1425599999993</v>
      </c>
      <c r="O592" s="132">
        <v>813</v>
      </c>
      <c r="P592" s="231" t="s">
        <v>239</v>
      </c>
      <c r="Q592" s="232">
        <v>802.98383999999999</v>
      </c>
      <c r="R592" s="231" t="s">
        <v>239</v>
      </c>
      <c r="S592" s="232">
        <v>793.09107909119996</v>
      </c>
      <c r="T592" s="231" t="s">
        <v>239</v>
      </c>
      <c r="U592" s="232">
        <v>783.32019699679643</v>
      </c>
      <c r="V592" s="230" t="s">
        <v>239</v>
      </c>
      <c r="W592" s="232">
        <v>773.66969216979589</v>
      </c>
      <c r="X592" s="231" t="s">
        <v>239</v>
      </c>
      <c r="Y592" s="232">
        <v>764.13808156226401</v>
      </c>
      <c r="Z592" s="231" t="s">
        <v>239</v>
      </c>
      <c r="AA592" s="232">
        <v>754.72390039741697</v>
      </c>
      <c r="AB592" s="231" t="s">
        <v>239</v>
      </c>
      <c r="AC592" s="232">
        <v>745.42570194452082</v>
      </c>
      <c r="AD592" s="231" t="s">
        <v>239</v>
      </c>
      <c r="AE592" s="232">
        <v>736.24205729656433</v>
      </c>
      <c r="AF592" s="231" t="s">
        <v>239</v>
      </c>
      <c r="AG592" s="232">
        <v>727.17155515067066</v>
      </c>
      <c r="AH592" s="231" t="s">
        <v>239</v>
      </c>
      <c r="AI592" s="232">
        <v>718.21280159121443</v>
      </c>
      <c r="AJ592" s="231" t="s">
        <v>239</v>
      </c>
      <c r="AK592" s="232">
        <v>709.36441987561068</v>
      </c>
      <c r="AL592" s="232" t="s">
        <v>239</v>
      </c>
      <c r="AM592" s="232">
        <v>9121.3433260760521</v>
      </c>
    </row>
    <row r="593" spans="1:39" ht="15" customHeight="1" outlineLevel="1">
      <c r="A593" s="411">
        <v>292</v>
      </c>
      <c r="B593" s="10">
        <v>129292</v>
      </c>
      <c r="C593" s="218" t="s">
        <v>1489</v>
      </c>
      <c r="D593" s="218" t="s">
        <v>1490</v>
      </c>
      <c r="E593" s="23" t="s">
        <v>44</v>
      </c>
      <c r="F593" s="17" t="s">
        <v>45</v>
      </c>
      <c r="G593" s="11" t="s">
        <v>1432</v>
      </c>
      <c r="H593" s="12">
        <v>13</v>
      </c>
      <c r="I593" s="11" t="s">
        <v>1433</v>
      </c>
      <c r="J593" s="192" t="s">
        <v>208</v>
      </c>
      <c r="K593" s="17" t="s">
        <v>233</v>
      </c>
      <c r="L593" s="17" t="s">
        <v>233</v>
      </c>
      <c r="M593" s="231">
        <v>21</v>
      </c>
      <c r="N593" s="231">
        <v>21</v>
      </c>
      <c r="O593" s="231">
        <v>21</v>
      </c>
      <c r="P593" s="231" t="s">
        <v>239</v>
      </c>
      <c r="Q593" s="231">
        <v>21</v>
      </c>
      <c r="R593" s="231" t="s">
        <v>239</v>
      </c>
      <c r="S593" s="231">
        <v>21</v>
      </c>
      <c r="T593" s="231" t="s">
        <v>239</v>
      </c>
      <c r="U593" s="231">
        <v>21</v>
      </c>
      <c r="V593" s="231" t="s">
        <v>239</v>
      </c>
      <c r="W593" s="231">
        <v>21</v>
      </c>
      <c r="X593" s="231" t="s">
        <v>239</v>
      </c>
      <c r="Y593" s="231">
        <v>21</v>
      </c>
      <c r="Z593" s="231" t="s">
        <v>239</v>
      </c>
      <c r="AA593" s="231">
        <v>21</v>
      </c>
      <c r="AB593" s="231" t="s">
        <v>239</v>
      </c>
      <c r="AC593" s="231">
        <v>21</v>
      </c>
      <c r="AD593" s="231" t="s">
        <v>239</v>
      </c>
      <c r="AE593" s="231">
        <v>21</v>
      </c>
      <c r="AF593" s="231" t="s">
        <v>239</v>
      </c>
      <c r="AG593" s="231">
        <v>21</v>
      </c>
      <c r="AH593" s="231" t="s">
        <v>239</v>
      </c>
      <c r="AI593" s="231">
        <v>21</v>
      </c>
      <c r="AJ593" s="231" t="s">
        <v>239</v>
      </c>
      <c r="AK593" s="231">
        <v>21</v>
      </c>
      <c r="AL593" s="232" t="s">
        <v>239</v>
      </c>
      <c r="AM593" s="232">
        <v>0</v>
      </c>
    </row>
    <row r="594" spans="1:39" ht="15" customHeight="1" outlineLevel="1">
      <c r="A594" s="412"/>
      <c r="B594" s="10">
        <v>129292</v>
      </c>
      <c r="C594" s="218" t="s">
        <v>1489</v>
      </c>
      <c r="D594" s="218" t="s">
        <v>1490</v>
      </c>
      <c r="E594" s="23" t="s">
        <v>138</v>
      </c>
      <c r="F594" s="17" t="s">
        <v>45</v>
      </c>
      <c r="G594" s="11" t="s">
        <v>1432</v>
      </c>
      <c r="H594" s="12">
        <v>44</v>
      </c>
      <c r="I594" s="11" t="s">
        <v>1433</v>
      </c>
      <c r="J594" s="192" t="s">
        <v>1463</v>
      </c>
      <c r="K594" s="17" t="s">
        <v>233</v>
      </c>
      <c r="L594" s="17" t="s">
        <v>233</v>
      </c>
      <c r="M594" s="231">
        <v>0</v>
      </c>
      <c r="N594" s="232">
        <v>0</v>
      </c>
      <c r="O594" s="132"/>
      <c r="P594" s="231" t="s">
        <v>239</v>
      </c>
      <c r="Q594" s="232">
        <v>0</v>
      </c>
      <c r="R594" s="231" t="s">
        <v>239</v>
      </c>
      <c r="S594" s="232">
        <v>0</v>
      </c>
      <c r="T594" s="231" t="s">
        <v>239</v>
      </c>
      <c r="U594" s="232">
        <v>0</v>
      </c>
      <c r="V594" s="231" t="s">
        <v>239</v>
      </c>
      <c r="W594" s="232">
        <v>0</v>
      </c>
      <c r="X594" s="231" t="s">
        <v>239</v>
      </c>
      <c r="Y594" s="232">
        <v>0</v>
      </c>
      <c r="Z594" s="231" t="s">
        <v>239</v>
      </c>
      <c r="AA594" s="232">
        <v>0</v>
      </c>
      <c r="AB594" s="231" t="s">
        <v>239</v>
      </c>
      <c r="AC594" s="232">
        <v>0</v>
      </c>
      <c r="AD594" s="231" t="s">
        <v>239</v>
      </c>
      <c r="AE594" s="232">
        <v>0</v>
      </c>
      <c r="AF594" s="231" t="s">
        <v>239</v>
      </c>
      <c r="AG594" s="232">
        <v>0</v>
      </c>
      <c r="AH594" s="231" t="s">
        <v>239</v>
      </c>
      <c r="AI594" s="232">
        <v>0</v>
      </c>
      <c r="AJ594" s="231" t="s">
        <v>239</v>
      </c>
      <c r="AK594" s="232">
        <v>0</v>
      </c>
      <c r="AL594" s="232" t="s">
        <v>239</v>
      </c>
      <c r="AM594" s="232">
        <v>0</v>
      </c>
    </row>
    <row r="595" spans="1:39" ht="15" customHeight="1" outlineLevel="1">
      <c r="A595" s="411">
        <v>293</v>
      </c>
      <c r="B595" s="10">
        <v>129293</v>
      </c>
      <c r="C595" s="218" t="s">
        <v>1489</v>
      </c>
      <c r="D595" s="218" t="s">
        <v>1490</v>
      </c>
      <c r="E595" s="23" t="s">
        <v>44</v>
      </c>
      <c r="F595" s="17" t="s">
        <v>45</v>
      </c>
      <c r="G595" s="11" t="s">
        <v>1432</v>
      </c>
      <c r="H595" s="12">
        <v>21</v>
      </c>
      <c r="I595" s="11" t="s">
        <v>1433</v>
      </c>
      <c r="J595" s="192" t="s">
        <v>1482</v>
      </c>
      <c r="K595" s="17" t="s">
        <v>233</v>
      </c>
      <c r="L595" s="17" t="s">
        <v>233</v>
      </c>
      <c r="M595" s="231">
        <v>0.55000000000000004</v>
      </c>
      <c r="N595" s="231">
        <v>0.55000000000000004</v>
      </c>
      <c r="O595" s="231">
        <v>0.55000000000000004</v>
      </c>
      <c r="P595" s="231" t="s">
        <v>239</v>
      </c>
      <c r="Q595" s="231">
        <v>0.55000000000000004</v>
      </c>
      <c r="R595" s="231" t="s">
        <v>239</v>
      </c>
      <c r="S595" s="231">
        <v>0.55000000000000004</v>
      </c>
      <c r="T595" s="231" t="s">
        <v>239</v>
      </c>
      <c r="U595" s="231">
        <v>0.55000000000000004</v>
      </c>
      <c r="V595" s="230" t="s">
        <v>239</v>
      </c>
      <c r="W595" s="231">
        <v>0.55000000000000004</v>
      </c>
      <c r="X595" s="231" t="s">
        <v>239</v>
      </c>
      <c r="Y595" s="231">
        <v>0.55000000000000004</v>
      </c>
      <c r="Z595" s="231" t="s">
        <v>239</v>
      </c>
      <c r="AA595" s="231">
        <v>0.55000000000000004</v>
      </c>
      <c r="AB595" s="231" t="s">
        <v>239</v>
      </c>
      <c r="AC595" s="231">
        <v>0.55000000000000004</v>
      </c>
      <c r="AD595" s="231" t="s">
        <v>239</v>
      </c>
      <c r="AE595" s="231">
        <v>0.55000000000000004</v>
      </c>
      <c r="AF595" s="231" t="s">
        <v>239</v>
      </c>
      <c r="AG595" s="231">
        <v>0.55000000000000004</v>
      </c>
      <c r="AH595" s="231" t="s">
        <v>239</v>
      </c>
      <c r="AI595" s="231">
        <v>0.55000000000000004</v>
      </c>
      <c r="AJ595" s="231" t="s">
        <v>239</v>
      </c>
      <c r="AK595" s="231">
        <v>0.55000000000000004</v>
      </c>
      <c r="AL595" s="232" t="s">
        <v>239</v>
      </c>
      <c r="AM595" s="232">
        <v>0</v>
      </c>
    </row>
    <row r="596" spans="1:39" ht="15" customHeight="1" outlineLevel="1">
      <c r="A596" s="412"/>
      <c r="B596" s="10">
        <v>129293</v>
      </c>
      <c r="C596" s="218" t="s">
        <v>1489</v>
      </c>
      <c r="D596" s="218" t="s">
        <v>1490</v>
      </c>
      <c r="E596" s="23" t="s">
        <v>138</v>
      </c>
      <c r="F596" s="17" t="s">
        <v>45</v>
      </c>
      <c r="G596" s="11" t="s">
        <v>1432</v>
      </c>
      <c r="H596" s="12">
        <v>19</v>
      </c>
      <c r="I596" s="11" t="s">
        <v>1433</v>
      </c>
      <c r="J596" s="192" t="s">
        <v>1462</v>
      </c>
      <c r="K596" s="17" t="s">
        <v>233</v>
      </c>
      <c r="L596" s="17" t="s">
        <v>233</v>
      </c>
      <c r="M596" s="231">
        <v>3981</v>
      </c>
      <c r="N596" s="232">
        <v>3932.6706599999998</v>
      </c>
      <c r="O596" s="132">
        <v>345</v>
      </c>
      <c r="P596" s="231" t="s">
        <v>239</v>
      </c>
      <c r="Q596" s="232">
        <v>340.74959999999999</v>
      </c>
      <c r="R596" s="231" t="s">
        <v>239</v>
      </c>
      <c r="S596" s="232">
        <v>336.551564928</v>
      </c>
      <c r="T596" s="231" t="s">
        <v>239</v>
      </c>
      <c r="U596" s="232">
        <v>332.40524964808702</v>
      </c>
      <c r="V596" s="231" t="s">
        <v>239</v>
      </c>
      <c r="W596" s="232">
        <v>328.3100169724226</v>
      </c>
      <c r="X596" s="231" t="s">
        <v>239</v>
      </c>
      <c r="Y596" s="232">
        <v>324.26523756332233</v>
      </c>
      <c r="Z596" s="231" t="s">
        <v>239</v>
      </c>
      <c r="AA596" s="232">
        <v>320.27028983654219</v>
      </c>
      <c r="AB596" s="231" t="s">
        <v>239</v>
      </c>
      <c r="AC596" s="232">
        <v>316.32455986575599</v>
      </c>
      <c r="AD596" s="231" t="s">
        <v>239</v>
      </c>
      <c r="AE596" s="232">
        <v>312.42744128820988</v>
      </c>
      <c r="AF596" s="231" t="s">
        <v>239</v>
      </c>
      <c r="AG596" s="232">
        <v>308.57833521153913</v>
      </c>
      <c r="AH596" s="231" t="s">
        <v>239</v>
      </c>
      <c r="AI596" s="232">
        <v>304.77665012173298</v>
      </c>
      <c r="AJ596" s="231" t="s">
        <v>239</v>
      </c>
      <c r="AK596" s="232">
        <v>301.02180179223325</v>
      </c>
      <c r="AL596" s="232" t="s">
        <v>239</v>
      </c>
      <c r="AM596" s="232">
        <v>3870.6807472278456</v>
      </c>
    </row>
    <row r="597" spans="1:39" ht="15" customHeight="1" outlineLevel="1">
      <c r="A597" s="411">
        <v>294</v>
      </c>
      <c r="B597" s="10">
        <v>129294</v>
      </c>
      <c r="C597" s="218" t="s">
        <v>1489</v>
      </c>
      <c r="D597" s="218" t="s">
        <v>1490</v>
      </c>
      <c r="E597" s="23" t="s">
        <v>44</v>
      </c>
      <c r="F597" s="17" t="s">
        <v>45</v>
      </c>
      <c r="G597" s="11" t="s">
        <v>1432</v>
      </c>
      <c r="H597" s="12">
        <v>30</v>
      </c>
      <c r="I597" s="11" t="s">
        <v>1433</v>
      </c>
      <c r="J597" s="192" t="s">
        <v>1457</v>
      </c>
      <c r="K597" s="17" t="s">
        <v>233</v>
      </c>
      <c r="L597" s="17" t="s">
        <v>233</v>
      </c>
      <c r="M597" s="231">
        <v>0</v>
      </c>
      <c r="N597" s="232">
        <v>0</v>
      </c>
      <c r="O597" s="132"/>
      <c r="P597" s="231" t="s">
        <v>239</v>
      </c>
      <c r="Q597" s="232">
        <v>0</v>
      </c>
      <c r="R597" s="231" t="s">
        <v>239</v>
      </c>
      <c r="S597" s="232">
        <v>0</v>
      </c>
      <c r="T597" s="231" t="s">
        <v>239</v>
      </c>
      <c r="U597" s="232">
        <v>0</v>
      </c>
      <c r="V597" s="231" t="s">
        <v>239</v>
      </c>
      <c r="W597" s="232">
        <v>0</v>
      </c>
      <c r="X597" s="231" t="s">
        <v>239</v>
      </c>
      <c r="Y597" s="232">
        <v>0</v>
      </c>
      <c r="Z597" s="231" t="s">
        <v>239</v>
      </c>
      <c r="AA597" s="232">
        <v>0</v>
      </c>
      <c r="AB597" s="231" t="s">
        <v>239</v>
      </c>
      <c r="AC597" s="232">
        <v>0</v>
      </c>
      <c r="AD597" s="231" t="s">
        <v>239</v>
      </c>
      <c r="AE597" s="232">
        <v>0</v>
      </c>
      <c r="AF597" s="231" t="s">
        <v>239</v>
      </c>
      <c r="AG597" s="232">
        <v>0</v>
      </c>
      <c r="AH597" s="231" t="s">
        <v>239</v>
      </c>
      <c r="AI597" s="232">
        <v>0</v>
      </c>
      <c r="AJ597" s="231" t="s">
        <v>239</v>
      </c>
      <c r="AK597" s="232">
        <v>0</v>
      </c>
      <c r="AL597" s="232" t="s">
        <v>239</v>
      </c>
      <c r="AM597" s="232">
        <v>0</v>
      </c>
    </row>
    <row r="598" spans="1:39" ht="15" customHeight="1" outlineLevel="1">
      <c r="A598" s="412"/>
      <c r="B598" s="10">
        <v>129294</v>
      </c>
      <c r="C598" s="218" t="s">
        <v>1489</v>
      </c>
      <c r="D598" s="218" t="s">
        <v>1490</v>
      </c>
      <c r="E598" s="23" t="s">
        <v>44</v>
      </c>
      <c r="F598" s="17" t="s">
        <v>45</v>
      </c>
      <c r="G598" s="11" t="s">
        <v>1432</v>
      </c>
      <c r="H598" s="12">
        <v>33</v>
      </c>
      <c r="I598" s="11" t="s">
        <v>1433</v>
      </c>
      <c r="J598" s="192" t="s">
        <v>617</v>
      </c>
      <c r="K598" s="17" t="s">
        <v>233</v>
      </c>
      <c r="L598" s="17" t="s">
        <v>233</v>
      </c>
      <c r="M598" s="231">
        <v>9501</v>
      </c>
      <c r="N598" s="232">
        <v>9385.6578599999993</v>
      </c>
      <c r="O598" s="132">
        <v>6262</v>
      </c>
      <c r="P598" s="231" t="s">
        <v>239</v>
      </c>
      <c r="Q598" s="232">
        <v>6184.8521600000004</v>
      </c>
      <c r="R598" s="231" t="s">
        <v>239</v>
      </c>
      <c r="S598" s="232">
        <v>6108.6547813888001</v>
      </c>
      <c r="T598" s="231" t="s">
        <v>239</v>
      </c>
      <c r="U598" s="232">
        <v>6033.3961544820904</v>
      </c>
      <c r="V598" s="230" t="s">
        <v>239</v>
      </c>
      <c r="W598" s="232">
        <v>5959.0647138588711</v>
      </c>
      <c r="X598" s="231" t="s">
        <v>239</v>
      </c>
      <c r="Y598" s="232">
        <v>5885.64903658413</v>
      </c>
      <c r="Z598" s="231" t="s">
        <v>239</v>
      </c>
      <c r="AA598" s="232">
        <v>5813.1378404534134</v>
      </c>
      <c r="AB598" s="231" t="s">
        <v>239</v>
      </c>
      <c r="AC598" s="232">
        <v>5741.5199822590275</v>
      </c>
      <c r="AD598" s="231" t="s">
        <v>239</v>
      </c>
      <c r="AE598" s="232">
        <v>5670.7844560775966</v>
      </c>
      <c r="AF598" s="231" t="s">
        <v>239</v>
      </c>
      <c r="AG598" s="232">
        <v>5600.9203915787202</v>
      </c>
      <c r="AH598" s="231" t="s">
        <v>239</v>
      </c>
      <c r="AI598" s="232">
        <v>5531.9170523544708</v>
      </c>
      <c r="AJ598" s="231" t="s">
        <v>239</v>
      </c>
      <c r="AK598" s="232">
        <v>5463.7638342694636</v>
      </c>
      <c r="AL598" s="232" t="s">
        <v>239</v>
      </c>
      <c r="AM598" s="232">
        <v>70255.660403306596</v>
      </c>
    </row>
    <row r="599" spans="1:39" ht="15" customHeight="1" outlineLevel="1">
      <c r="A599" s="411">
        <v>295</v>
      </c>
      <c r="B599" s="10">
        <v>129295</v>
      </c>
      <c r="C599" s="218" t="s">
        <v>1489</v>
      </c>
      <c r="D599" s="218" t="s">
        <v>1490</v>
      </c>
      <c r="E599" s="23" t="s">
        <v>138</v>
      </c>
      <c r="F599" s="17" t="s">
        <v>45</v>
      </c>
      <c r="G599" s="11" t="s">
        <v>1432</v>
      </c>
      <c r="H599" s="12">
        <v>19</v>
      </c>
      <c r="I599" s="11" t="s">
        <v>1433</v>
      </c>
      <c r="J599" s="374" t="s">
        <v>1457</v>
      </c>
      <c r="K599" s="17" t="s">
        <v>233</v>
      </c>
      <c r="L599" s="17" t="s">
        <v>233</v>
      </c>
      <c r="M599" s="231">
        <v>80</v>
      </c>
      <c r="N599" s="231">
        <v>80</v>
      </c>
      <c r="O599" s="231">
        <v>80</v>
      </c>
      <c r="P599" s="231" t="s">
        <v>239</v>
      </c>
      <c r="Q599" s="231">
        <v>80</v>
      </c>
      <c r="R599" s="231" t="s">
        <v>239</v>
      </c>
      <c r="S599" s="231">
        <v>80</v>
      </c>
      <c r="T599" s="231" t="s">
        <v>239</v>
      </c>
      <c r="U599" s="231">
        <v>80</v>
      </c>
      <c r="V599" s="231" t="s">
        <v>239</v>
      </c>
      <c r="W599" s="231">
        <v>80</v>
      </c>
      <c r="X599" s="231" t="s">
        <v>239</v>
      </c>
      <c r="Y599" s="231">
        <v>80</v>
      </c>
      <c r="Z599" s="231" t="s">
        <v>239</v>
      </c>
      <c r="AA599" s="231">
        <v>80</v>
      </c>
      <c r="AB599" s="231" t="s">
        <v>239</v>
      </c>
      <c r="AC599" s="231">
        <v>80</v>
      </c>
      <c r="AD599" s="231" t="s">
        <v>239</v>
      </c>
      <c r="AE599" s="231">
        <v>80</v>
      </c>
      <c r="AF599" s="231" t="s">
        <v>239</v>
      </c>
      <c r="AG599" s="231">
        <v>80</v>
      </c>
      <c r="AH599" s="231" t="s">
        <v>239</v>
      </c>
      <c r="AI599" s="231">
        <v>80</v>
      </c>
      <c r="AJ599" s="231" t="s">
        <v>239</v>
      </c>
      <c r="AK599" s="231">
        <v>80</v>
      </c>
      <c r="AL599" s="232" t="s">
        <v>239</v>
      </c>
      <c r="AM599" s="232">
        <v>0</v>
      </c>
    </row>
    <row r="600" spans="1:39" ht="15" customHeight="1" outlineLevel="1">
      <c r="A600" s="412"/>
      <c r="B600" s="10">
        <v>129295</v>
      </c>
      <c r="C600" s="218" t="s">
        <v>1489</v>
      </c>
      <c r="D600" s="218" t="s">
        <v>1490</v>
      </c>
      <c r="E600" s="23" t="s">
        <v>44</v>
      </c>
      <c r="F600" s="17" t="s">
        <v>45</v>
      </c>
      <c r="G600" s="11" t="s">
        <v>1432</v>
      </c>
      <c r="H600" s="12">
        <v>6</v>
      </c>
      <c r="I600" s="11" t="s">
        <v>1433</v>
      </c>
      <c r="J600" s="375"/>
      <c r="K600" s="17" t="s">
        <v>233</v>
      </c>
      <c r="L600" s="17" t="s">
        <v>233</v>
      </c>
      <c r="M600" s="231">
        <v>11874</v>
      </c>
      <c r="N600" s="232">
        <v>11729.84964</v>
      </c>
      <c r="O600" s="132">
        <v>1574</v>
      </c>
      <c r="P600" s="231" t="s">
        <v>239</v>
      </c>
      <c r="Q600" s="232">
        <v>1554.60832</v>
      </c>
      <c r="R600" s="231" t="s">
        <v>239</v>
      </c>
      <c r="S600" s="232">
        <v>1535.4555454976</v>
      </c>
      <c r="T600" s="231" t="s">
        <v>239</v>
      </c>
      <c r="U600" s="232">
        <v>1516.5387331770696</v>
      </c>
      <c r="V600" s="231" t="s">
        <v>239</v>
      </c>
      <c r="W600" s="232">
        <v>1497.8549759843281</v>
      </c>
      <c r="X600" s="231" t="s">
        <v>239</v>
      </c>
      <c r="Y600" s="232">
        <v>1479.4014026802013</v>
      </c>
      <c r="Z600" s="231" t="s">
        <v>239</v>
      </c>
      <c r="AA600" s="232">
        <v>1461.1751773991812</v>
      </c>
      <c r="AB600" s="231" t="s">
        <v>239</v>
      </c>
      <c r="AC600" s="232">
        <v>1443.1734992136232</v>
      </c>
      <c r="AD600" s="231" t="s">
        <v>239</v>
      </c>
      <c r="AE600" s="232">
        <v>1425.3936017033113</v>
      </c>
      <c r="AF600" s="231" t="s">
        <v>239</v>
      </c>
      <c r="AG600" s="232">
        <v>1407.8327525303266</v>
      </c>
      <c r="AH600" s="231" t="s">
        <v>239</v>
      </c>
      <c r="AI600" s="232">
        <v>1390.488253019153</v>
      </c>
      <c r="AJ600" s="231" t="s">
        <v>239</v>
      </c>
      <c r="AK600" s="232">
        <v>1373.357437741957</v>
      </c>
      <c r="AL600" s="232" t="s">
        <v>239</v>
      </c>
      <c r="AM600" s="232">
        <v>17659.279698946753</v>
      </c>
    </row>
    <row r="601" spans="1:39" ht="15" customHeight="1" outlineLevel="1">
      <c r="A601" s="411">
        <v>296</v>
      </c>
      <c r="B601" s="10">
        <v>129296</v>
      </c>
      <c r="C601" s="218" t="s">
        <v>1489</v>
      </c>
      <c r="D601" s="218" t="s">
        <v>1490</v>
      </c>
      <c r="E601" s="23" t="s">
        <v>138</v>
      </c>
      <c r="F601" s="17" t="s">
        <v>45</v>
      </c>
      <c r="G601" s="11" t="s">
        <v>1432</v>
      </c>
      <c r="H601" s="12">
        <v>15</v>
      </c>
      <c r="I601" s="11" t="s">
        <v>1433</v>
      </c>
      <c r="J601" s="191" t="s">
        <v>216</v>
      </c>
      <c r="K601" s="17" t="s">
        <v>233</v>
      </c>
      <c r="L601" s="17" t="s">
        <v>233</v>
      </c>
      <c r="M601" s="231">
        <v>3</v>
      </c>
      <c r="N601" s="231">
        <v>3</v>
      </c>
      <c r="O601" s="231">
        <v>3</v>
      </c>
      <c r="P601" s="231" t="s">
        <v>239</v>
      </c>
      <c r="Q601" s="231">
        <v>3</v>
      </c>
      <c r="R601" s="231" t="s">
        <v>239</v>
      </c>
      <c r="S601" s="231">
        <v>3</v>
      </c>
      <c r="T601" s="231" t="s">
        <v>239</v>
      </c>
      <c r="U601" s="231">
        <v>3</v>
      </c>
      <c r="V601" s="230" t="s">
        <v>239</v>
      </c>
      <c r="W601" s="231">
        <v>3</v>
      </c>
      <c r="X601" s="231" t="s">
        <v>239</v>
      </c>
      <c r="Y601" s="231">
        <v>3</v>
      </c>
      <c r="Z601" s="231" t="s">
        <v>239</v>
      </c>
      <c r="AA601" s="231">
        <v>3</v>
      </c>
      <c r="AB601" s="231" t="s">
        <v>239</v>
      </c>
      <c r="AC601" s="231">
        <v>3</v>
      </c>
      <c r="AD601" s="231" t="s">
        <v>239</v>
      </c>
      <c r="AE601" s="231">
        <v>3</v>
      </c>
      <c r="AF601" s="231" t="s">
        <v>239</v>
      </c>
      <c r="AG601" s="231">
        <v>3</v>
      </c>
      <c r="AH601" s="231" t="s">
        <v>239</v>
      </c>
      <c r="AI601" s="231">
        <v>3</v>
      </c>
      <c r="AJ601" s="231" t="s">
        <v>239</v>
      </c>
      <c r="AK601" s="231">
        <v>3</v>
      </c>
      <c r="AL601" s="232" t="s">
        <v>239</v>
      </c>
      <c r="AM601" s="232">
        <v>0</v>
      </c>
    </row>
    <row r="602" spans="1:39" ht="15" customHeight="1" outlineLevel="1">
      <c r="A602" s="412"/>
      <c r="B602" s="10">
        <v>129296</v>
      </c>
      <c r="C602" s="218" t="s">
        <v>1489</v>
      </c>
      <c r="D602" s="218" t="s">
        <v>1490</v>
      </c>
      <c r="E602" s="23" t="s">
        <v>44</v>
      </c>
      <c r="F602" s="17" t="s">
        <v>45</v>
      </c>
      <c r="G602" s="11" t="s">
        <v>1432</v>
      </c>
      <c r="H602" s="12">
        <v>19</v>
      </c>
      <c r="I602" s="11" t="s">
        <v>1433</v>
      </c>
      <c r="J602" s="192" t="s">
        <v>1434</v>
      </c>
      <c r="K602" s="17" t="s">
        <v>233</v>
      </c>
      <c r="L602" s="17" t="s">
        <v>233</v>
      </c>
      <c r="M602" s="231">
        <v>8880</v>
      </c>
      <c r="N602" s="232">
        <v>8772.1967999999997</v>
      </c>
      <c r="O602" s="132">
        <v>737</v>
      </c>
      <c r="P602" s="231" t="s">
        <v>239</v>
      </c>
      <c r="Q602" s="232">
        <v>727.92016000000001</v>
      </c>
      <c r="R602" s="231" t="s">
        <v>239</v>
      </c>
      <c r="S602" s="232">
        <v>718.95218362879996</v>
      </c>
      <c r="T602" s="231" t="s">
        <v>239</v>
      </c>
      <c r="U602" s="232">
        <v>710.09469272649312</v>
      </c>
      <c r="V602" s="231" t="s">
        <v>239</v>
      </c>
      <c r="W602" s="232">
        <v>701.3463261121027</v>
      </c>
      <c r="X602" s="231" t="s">
        <v>239</v>
      </c>
      <c r="Y602" s="232">
        <v>692.70573937440156</v>
      </c>
      <c r="Z602" s="231" t="s">
        <v>239</v>
      </c>
      <c r="AA602" s="232">
        <v>684.17160466530891</v>
      </c>
      <c r="AB602" s="231" t="s">
        <v>239</v>
      </c>
      <c r="AC602" s="232">
        <v>675.74261049583231</v>
      </c>
      <c r="AD602" s="231" t="s">
        <v>239</v>
      </c>
      <c r="AE602" s="232">
        <v>667.41746153452368</v>
      </c>
      <c r="AF602" s="231" t="s">
        <v>239</v>
      </c>
      <c r="AG602" s="232">
        <v>659.19487840841839</v>
      </c>
      <c r="AH602" s="231" t="s">
        <v>239</v>
      </c>
      <c r="AI602" s="232">
        <v>651.07359750642672</v>
      </c>
      <c r="AJ602" s="231" t="s">
        <v>239</v>
      </c>
      <c r="AK602" s="232">
        <v>643.05237078514756</v>
      </c>
      <c r="AL602" s="232" t="s">
        <v>239</v>
      </c>
      <c r="AM602" s="232">
        <v>8268.6716252374554</v>
      </c>
    </row>
    <row r="603" spans="1:39" ht="15" customHeight="1" outlineLevel="1">
      <c r="A603" s="411">
        <v>297</v>
      </c>
      <c r="B603" s="10">
        <v>129297</v>
      </c>
      <c r="C603" s="218" t="s">
        <v>1489</v>
      </c>
      <c r="D603" s="218" t="s">
        <v>1490</v>
      </c>
      <c r="E603" s="23" t="s">
        <v>44</v>
      </c>
      <c r="F603" s="17" t="s">
        <v>45</v>
      </c>
      <c r="G603" s="11" t="s">
        <v>1432</v>
      </c>
      <c r="H603" s="12">
        <v>22</v>
      </c>
      <c r="I603" s="11" t="s">
        <v>1433</v>
      </c>
      <c r="J603" s="192" t="s">
        <v>1480</v>
      </c>
      <c r="K603" s="17" t="s">
        <v>233</v>
      </c>
      <c r="L603" s="17" t="s">
        <v>233</v>
      </c>
      <c r="M603" s="231">
        <v>3</v>
      </c>
      <c r="N603" s="231">
        <v>3</v>
      </c>
      <c r="O603" s="231">
        <v>3</v>
      </c>
      <c r="P603" s="231" t="s">
        <v>239</v>
      </c>
      <c r="Q603" s="231">
        <v>3</v>
      </c>
      <c r="R603" s="231" t="s">
        <v>239</v>
      </c>
      <c r="S603" s="231">
        <v>3</v>
      </c>
      <c r="T603" s="231" t="s">
        <v>239</v>
      </c>
      <c r="U603" s="231">
        <v>3</v>
      </c>
      <c r="V603" s="231" t="s">
        <v>239</v>
      </c>
      <c r="W603" s="231">
        <v>3</v>
      </c>
      <c r="X603" s="231" t="s">
        <v>239</v>
      </c>
      <c r="Y603" s="231">
        <v>3</v>
      </c>
      <c r="Z603" s="231" t="s">
        <v>239</v>
      </c>
      <c r="AA603" s="231">
        <v>3</v>
      </c>
      <c r="AB603" s="231" t="s">
        <v>239</v>
      </c>
      <c r="AC603" s="231">
        <v>3</v>
      </c>
      <c r="AD603" s="231" t="s">
        <v>239</v>
      </c>
      <c r="AE603" s="231">
        <v>3</v>
      </c>
      <c r="AF603" s="231" t="s">
        <v>239</v>
      </c>
      <c r="AG603" s="231">
        <v>3</v>
      </c>
      <c r="AH603" s="231" t="s">
        <v>239</v>
      </c>
      <c r="AI603" s="231">
        <v>3</v>
      </c>
      <c r="AJ603" s="231" t="s">
        <v>239</v>
      </c>
      <c r="AK603" s="231">
        <v>3</v>
      </c>
      <c r="AL603" s="232" t="s">
        <v>239</v>
      </c>
      <c r="AM603" s="232">
        <v>0</v>
      </c>
    </row>
    <row r="604" spans="1:39" ht="15" customHeight="1" outlineLevel="1">
      <c r="A604" s="412"/>
      <c r="B604" s="10">
        <v>129297</v>
      </c>
      <c r="C604" s="218" t="s">
        <v>1489</v>
      </c>
      <c r="D604" s="218" t="s">
        <v>1490</v>
      </c>
      <c r="E604" s="23" t="s">
        <v>138</v>
      </c>
      <c r="F604" s="17" t="s">
        <v>45</v>
      </c>
      <c r="G604" s="11" t="s">
        <v>1432</v>
      </c>
      <c r="H604" s="12">
        <v>24</v>
      </c>
      <c r="I604" s="11" t="s">
        <v>1433</v>
      </c>
      <c r="J604" s="192" t="s">
        <v>1452</v>
      </c>
      <c r="K604" s="17" t="s">
        <v>233</v>
      </c>
      <c r="L604" s="17" t="s">
        <v>233</v>
      </c>
      <c r="M604" s="231">
        <v>0</v>
      </c>
      <c r="N604" s="232">
        <v>0</v>
      </c>
      <c r="O604" s="132"/>
      <c r="P604" s="231" t="s">
        <v>239</v>
      </c>
      <c r="Q604" s="232">
        <v>0</v>
      </c>
      <c r="R604" s="231" t="s">
        <v>239</v>
      </c>
      <c r="S604" s="232">
        <v>0</v>
      </c>
      <c r="T604" s="231" t="s">
        <v>239</v>
      </c>
      <c r="U604" s="232">
        <v>0</v>
      </c>
      <c r="V604" s="230" t="s">
        <v>239</v>
      </c>
      <c r="W604" s="232">
        <v>0</v>
      </c>
      <c r="X604" s="231" t="s">
        <v>239</v>
      </c>
      <c r="Y604" s="232">
        <v>0</v>
      </c>
      <c r="Z604" s="231" t="s">
        <v>239</v>
      </c>
      <c r="AA604" s="232">
        <v>0</v>
      </c>
      <c r="AB604" s="231" t="s">
        <v>239</v>
      </c>
      <c r="AC604" s="232">
        <v>0</v>
      </c>
      <c r="AD604" s="231" t="s">
        <v>239</v>
      </c>
      <c r="AE604" s="232">
        <v>0</v>
      </c>
      <c r="AF604" s="231" t="s">
        <v>239</v>
      </c>
      <c r="AG604" s="232">
        <v>0</v>
      </c>
      <c r="AH604" s="231" t="s">
        <v>239</v>
      </c>
      <c r="AI604" s="232">
        <v>0</v>
      </c>
      <c r="AJ604" s="231" t="s">
        <v>239</v>
      </c>
      <c r="AK604" s="232">
        <v>0</v>
      </c>
      <c r="AL604" s="232" t="s">
        <v>239</v>
      </c>
      <c r="AM604" s="232">
        <v>0</v>
      </c>
    </row>
    <row r="605" spans="1:39" ht="15" customHeight="1" outlineLevel="1">
      <c r="A605" s="411">
        <v>298</v>
      </c>
      <c r="B605" s="10">
        <v>129298</v>
      </c>
      <c r="C605" s="218" t="s">
        <v>1489</v>
      </c>
      <c r="D605" s="218" t="s">
        <v>1490</v>
      </c>
      <c r="E605" s="23" t="s">
        <v>44</v>
      </c>
      <c r="F605" s="17" t="s">
        <v>45</v>
      </c>
      <c r="G605" s="11" t="s">
        <v>1432</v>
      </c>
      <c r="H605" s="12">
        <v>16</v>
      </c>
      <c r="I605" s="11" t="s">
        <v>1433</v>
      </c>
      <c r="J605" s="374" t="s">
        <v>207</v>
      </c>
      <c r="K605" s="17" t="s">
        <v>233</v>
      </c>
      <c r="L605" s="17" t="s">
        <v>233</v>
      </c>
      <c r="M605" s="231">
        <v>34</v>
      </c>
      <c r="N605" s="231">
        <v>34</v>
      </c>
      <c r="O605" s="231">
        <v>34</v>
      </c>
      <c r="P605" s="231" t="s">
        <v>239</v>
      </c>
      <c r="Q605" s="231">
        <v>34</v>
      </c>
      <c r="R605" s="231" t="s">
        <v>239</v>
      </c>
      <c r="S605" s="231">
        <v>34</v>
      </c>
      <c r="T605" s="231" t="s">
        <v>239</v>
      </c>
      <c r="U605" s="231">
        <v>34</v>
      </c>
      <c r="V605" s="231" t="s">
        <v>239</v>
      </c>
      <c r="W605" s="231">
        <v>34</v>
      </c>
      <c r="X605" s="231" t="s">
        <v>239</v>
      </c>
      <c r="Y605" s="231">
        <v>34</v>
      </c>
      <c r="Z605" s="231" t="s">
        <v>239</v>
      </c>
      <c r="AA605" s="231">
        <v>34</v>
      </c>
      <c r="AB605" s="231" t="s">
        <v>239</v>
      </c>
      <c r="AC605" s="231">
        <v>34</v>
      </c>
      <c r="AD605" s="231" t="s">
        <v>239</v>
      </c>
      <c r="AE605" s="231">
        <v>34</v>
      </c>
      <c r="AF605" s="231" t="s">
        <v>239</v>
      </c>
      <c r="AG605" s="231">
        <v>34</v>
      </c>
      <c r="AH605" s="231" t="s">
        <v>239</v>
      </c>
      <c r="AI605" s="231">
        <v>34</v>
      </c>
      <c r="AJ605" s="231" t="s">
        <v>239</v>
      </c>
      <c r="AK605" s="231">
        <v>34</v>
      </c>
      <c r="AL605" s="232" t="s">
        <v>239</v>
      </c>
      <c r="AM605" s="232">
        <v>0</v>
      </c>
    </row>
    <row r="606" spans="1:39" ht="15" customHeight="1" outlineLevel="1">
      <c r="A606" s="412"/>
      <c r="B606" s="10">
        <v>129298</v>
      </c>
      <c r="C606" s="218" t="s">
        <v>1489</v>
      </c>
      <c r="D606" s="218" t="s">
        <v>1490</v>
      </c>
      <c r="E606" s="23" t="s">
        <v>138</v>
      </c>
      <c r="F606" s="17" t="s">
        <v>45</v>
      </c>
      <c r="G606" s="11" t="s">
        <v>1432</v>
      </c>
      <c r="H606" s="12">
        <v>5</v>
      </c>
      <c r="I606" s="11" t="s">
        <v>1433</v>
      </c>
      <c r="J606" s="375"/>
      <c r="K606" s="17" t="s">
        <v>233</v>
      </c>
      <c r="L606" s="17" t="s">
        <v>233</v>
      </c>
      <c r="M606" s="231">
        <v>15320</v>
      </c>
      <c r="N606" s="232">
        <v>15134.0152</v>
      </c>
      <c r="O606" s="132">
        <v>1274</v>
      </c>
      <c r="P606" s="231" t="s">
        <v>239</v>
      </c>
      <c r="Q606" s="232">
        <v>1258.30432</v>
      </c>
      <c r="R606" s="231" t="s">
        <v>239</v>
      </c>
      <c r="S606" s="232">
        <v>1242.8020107775999</v>
      </c>
      <c r="T606" s="231" t="s">
        <v>239</v>
      </c>
      <c r="U606" s="232">
        <v>1227.49069000482</v>
      </c>
      <c r="V606" s="231" t="s">
        <v>239</v>
      </c>
      <c r="W606" s="232">
        <v>1212.3680047039607</v>
      </c>
      <c r="X606" s="231" t="s">
        <v>239</v>
      </c>
      <c r="Y606" s="232">
        <v>1197.431630886008</v>
      </c>
      <c r="Z606" s="231" t="s">
        <v>239</v>
      </c>
      <c r="AA606" s="232">
        <v>1182.6792731934922</v>
      </c>
      <c r="AB606" s="231" t="s">
        <v>239</v>
      </c>
      <c r="AC606" s="232">
        <v>1168.1086645477485</v>
      </c>
      <c r="AD606" s="231" t="s">
        <v>239</v>
      </c>
      <c r="AE606" s="232">
        <v>1153.7175658005203</v>
      </c>
      <c r="AF606" s="231" t="s">
        <v>239</v>
      </c>
      <c r="AG606" s="232">
        <v>1139.503765389858</v>
      </c>
      <c r="AH606" s="231" t="s">
        <v>239</v>
      </c>
      <c r="AI606" s="232">
        <v>1125.4650790002549</v>
      </c>
      <c r="AJ606" s="231" t="s">
        <v>239</v>
      </c>
      <c r="AK606" s="232">
        <v>1111.5993492269718</v>
      </c>
      <c r="AL606" s="232" t="s">
        <v>239</v>
      </c>
      <c r="AM606" s="232">
        <v>14293.470353531233</v>
      </c>
    </row>
    <row r="607" spans="1:39" ht="15" customHeight="1" outlineLevel="1">
      <c r="A607" s="411">
        <v>299</v>
      </c>
      <c r="B607" s="10">
        <v>129299</v>
      </c>
      <c r="C607" s="218" t="s">
        <v>1489</v>
      </c>
      <c r="D607" s="218" t="s">
        <v>1490</v>
      </c>
      <c r="E607" s="23" t="s">
        <v>44</v>
      </c>
      <c r="F607" s="17" t="s">
        <v>45</v>
      </c>
      <c r="G607" s="11" t="s">
        <v>1432</v>
      </c>
      <c r="H607" s="12">
        <v>17</v>
      </c>
      <c r="I607" s="11" t="s">
        <v>1433</v>
      </c>
      <c r="J607" s="193" t="s">
        <v>1460</v>
      </c>
      <c r="K607" s="17" t="s">
        <v>233</v>
      </c>
      <c r="L607" s="17" t="s">
        <v>233</v>
      </c>
      <c r="M607" s="231">
        <v>34</v>
      </c>
      <c r="N607" s="231">
        <v>34</v>
      </c>
      <c r="O607" s="231">
        <v>34</v>
      </c>
      <c r="P607" s="231" t="s">
        <v>239</v>
      </c>
      <c r="Q607" s="231">
        <v>34</v>
      </c>
      <c r="R607" s="231" t="s">
        <v>239</v>
      </c>
      <c r="S607" s="231">
        <v>34</v>
      </c>
      <c r="T607" s="231" t="s">
        <v>239</v>
      </c>
      <c r="U607" s="231">
        <v>34</v>
      </c>
      <c r="V607" s="230" t="s">
        <v>239</v>
      </c>
      <c r="W607" s="231">
        <v>34</v>
      </c>
      <c r="X607" s="231" t="s">
        <v>239</v>
      </c>
      <c r="Y607" s="231">
        <v>34</v>
      </c>
      <c r="Z607" s="231" t="s">
        <v>239</v>
      </c>
      <c r="AA607" s="231">
        <v>34</v>
      </c>
      <c r="AB607" s="231" t="s">
        <v>239</v>
      </c>
      <c r="AC607" s="231">
        <v>34</v>
      </c>
      <c r="AD607" s="231" t="s">
        <v>239</v>
      </c>
      <c r="AE607" s="231">
        <v>34</v>
      </c>
      <c r="AF607" s="231" t="s">
        <v>239</v>
      </c>
      <c r="AG607" s="231">
        <v>34</v>
      </c>
      <c r="AH607" s="231" t="s">
        <v>239</v>
      </c>
      <c r="AI607" s="231">
        <v>34</v>
      </c>
      <c r="AJ607" s="231" t="s">
        <v>239</v>
      </c>
      <c r="AK607" s="231">
        <v>34</v>
      </c>
      <c r="AL607" s="232" t="s">
        <v>239</v>
      </c>
      <c r="AM607" s="232">
        <v>0</v>
      </c>
    </row>
    <row r="608" spans="1:39" ht="15" customHeight="1" outlineLevel="1">
      <c r="A608" s="412"/>
      <c r="B608" s="10">
        <v>129299</v>
      </c>
      <c r="C608" s="218" t="s">
        <v>1489</v>
      </c>
      <c r="D608" s="218" t="s">
        <v>1490</v>
      </c>
      <c r="E608" s="23" t="s">
        <v>44</v>
      </c>
      <c r="F608" s="17" t="s">
        <v>45</v>
      </c>
      <c r="G608" s="11" t="s">
        <v>1432</v>
      </c>
      <c r="H608" s="12">
        <v>19</v>
      </c>
      <c r="I608" s="11" t="s">
        <v>1433</v>
      </c>
      <c r="J608" s="193" t="s">
        <v>1442</v>
      </c>
      <c r="K608" s="17" t="s">
        <v>233</v>
      </c>
      <c r="L608" s="17" t="s">
        <v>233</v>
      </c>
      <c r="M608" s="231">
        <v>0</v>
      </c>
      <c r="N608" s="232">
        <v>0</v>
      </c>
      <c r="O608" s="132"/>
      <c r="P608" s="231" t="s">
        <v>239</v>
      </c>
      <c r="Q608" s="232">
        <v>0</v>
      </c>
      <c r="R608" s="231" t="s">
        <v>239</v>
      </c>
      <c r="S608" s="232">
        <v>0</v>
      </c>
      <c r="T608" s="231" t="s">
        <v>239</v>
      </c>
      <c r="U608" s="232">
        <v>0</v>
      </c>
      <c r="V608" s="231" t="s">
        <v>239</v>
      </c>
      <c r="W608" s="232">
        <v>0</v>
      </c>
      <c r="X608" s="231" t="s">
        <v>239</v>
      </c>
      <c r="Y608" s="232">
        <v>0</v>
      </c>
      <c r="Z608" s="231" t="s">
        <v>239</v>
      </c>
      <c r="AA608" s="232">
        <v>0</v>
      </c>
      <c r="AB608" s="231" t="s">
        <v>239</v>
      </c>
      <c r="AC608" s="232">
        <v>0</v>
      </c>
      <c r="AD608" s="231" t="s">
        <v>239</v>
      </c>
      <c r="AE608" s="232">
        <v>0</v>
      </c>
      <c r="AF608" s="231" t="s">
        <v>239</v>
      </c>
      <c r="AG608" s="232">
        <v>0</v>
      </c>
      <c r="AH608" s="231" t="s">
        <v>239</v>
      </c>
      <c r="AI608" s="232">
        <v>0</v>
      </c>
      <c r="AJ608" s="231" t="s">
        <v>239</v>
      </c>
      <c r="AK608" s="232">
        <v>0</v>
      </c>
      <c r="AL608" s="232" t="s">
        <v>239</v>
      </c>
      <c r="AM608" s="232">
        <v>0</v>
      </c>
    </row>
    <row r="609" spans="1:39" ht="15" customHeight="1" outlineLevel="1">
      <c r="A609" s="411">
        <v>300</v>
      </c>
      <c r="B609" s="10">
        <v>129300</v>
      </c>
      <c r="C609" s="218" t="s">
        <v>1489</v>
      </c>
      <c r="D609" s="218" t="s">
        <v>1490</v>
      </c>
      <c r="E609" s="23" t="s">
        <v>138</v>
      </c>
      <c r="F609" s="17" t="s">
        <v>45</v>
      </c>
      <c r="G609" s="11" t="s">
        <v>1432</v>
      </c>
      <c r="H609" s="12">
        <v>18</v>
      </c>
      <c r="I609" s="11" t="s">
        <v>1433</v>
      </c>
      <c r="J609" s="193" t="s">
        <v>1460</v>
      </c>
      <c r="K609" s="17" t="s">
        <v>233</v>
      </c>
      <c r="L609" s="17" t="s">
        <v>233</v>
      </c>
      <c r="M609" s="231">
        <v>0.5</v>
      </c>
      <c r="N609" s="231">
        <v>0.5</v>
      </c>
      <c r="O609" s="231">
        <v>0.5</v>
      </c>
      <c r="P609" s="231" t="s">
        <v>239</v>
      </c>
      <c r="Q609" s="231">
        <v>0.5</v>
      </c>
      <c r="R609" s="231" t="s">
        <v>239</v>
      </c>
      <c r="S609" s="231">
        <v>0.5</v>
      </c>
      <c r="T609" s="231" t="s">
        <v>239</v>
      </c>
      <c r="U609" s="231">
        <v>0.5</v>
      </c>
      <c r="V609" s="231" t="s">
        <v>239</v>
      </c>
      <c r="W609" s="231">
        <v>0.5</v>
      </c>
      <c r="X609" s="231" t="s">
        <v>239</v>
      </c>
      <c r="Y609" s="231">
        <v>0.5</v>
      </c>
      <c r="Z609" s="231" t="s">
        <v>239</v>
      </c>
      <c r="AA609" s="231">
        <v>0.5</v>
      </c>
      <c r="AB609" s="231" t="s">
        <v>239</v>
      </c>
      <c r="AC609" s="231">
        <v>0.5</v>
      </c>
      <c r="AD609" s="231" t="s">
        <v>239</v>
      </c>
      <c r="AE609" s="231">
        <v>0.5</v>
      </c>
      <c r="AF609" s="231" t="s">
        <v>239</v>
      </c>
      <c r="AG609" s="231">
        <v>0.5</v>
      </c>
      <c r="AH609" s="231" t="s">
        <v>239</v>
      </c>
      <c r="AI609" s="231">
        <v>0.5</v>
      </c>
      <c r="AJ609" s="231" t="s">
        <v>239</v>
      </c>
      <c r="AK609" s="231">
        <v>0.5</v>
      </c>
      <c r="AL609" s="232" t="s">
        <v>239</v>
      </c>
      <c r="AM609" s="232">
        <v>0</v>
      </c>
    </row>
    <row r="610" spans="1:39" ht="15" customHeight="1" outlineLevel="1">
      <c r="A610" s="412"/>
      <c r="B610" s="10">
        <v>129300</v>
      </c>
      <c r="C610" s="218" t="s">
        <v>1489</v>
      </c>
      <c r="D610" s="218" t="s">
        <v>1490</v>
      </c>
      <c r="E610" s="23" t="s">
        <v>44</v>
      </c>
      <c r="F610" s="17" t="s">
        <v>45</v>
      </c>
      <c r="G610" s="11" t="s">
        <v>1432</v>
      </c>
      <c r="H610" s="12">
        <v>13</v>
      </c>
      <c r="I610" s="11" t="s">
        <v>1433</v>
      </c>
      <c r="J610" s="193" t="s">
        <v>1457</v>
      </c>
      <c r="K610" s="17" t="s">
        <v>233</v>
      </c>
      <c r="L610" s="17" t="s">
        <v>233</v>
      </c>
      <c r="M610" s="231">
        <v>4534</v>
      </c>
      <c r="N610" s="232">
        <v>4478.9572399999997</v>
      </c>
      <c r="O610" s="132">
        <v>444</v>
      </c>
      <c r="P610" s="231" t="s">
        <v>239</v>
      </c>
      <c r="Q610" s="232">
        <v>438.52992</v>
      </c>
      <c r="R610" s="231" t="s">
        <v>239</v>
      </c>
      <c r="S610" s="232">
        <v>433.1272313856</v>
      </c>
      <c r="T610" s="231" t="s">
        <v>239</v>
      </c>
      <c r="U610" s="232">
        <v>427.79110389492939</v>
      </c>
      <c r="V610" s="230" t="s">
        <v>239</v>
      </c>
      <c r="W610" s="232">
        <v>422.52071749494388</v>
      </c>
      <c r="X610" s="231" t="s">
        <v>239</v>
      </c>
      <c r="Y610" s="232">
        <v>417.3152622554062</v>
      </c>
      <c r="Z610" s="231" t="s">
        <v>239</v>
      </c>
      <c r="AA610" s="232">
        <v>412.1739382244196</v>
      </c>
      <c r="AB610" s="231" t="s">
        <v>239</v>
      </c>
      <c r="AC610" s="232">
        <v>407.09595530549473</v>
      </c>
      <c r="AD610" s="231" t="s">
        <v>239</v>
      </c>
      <c r="AE610" s="232">
        <v>402.08053313613101</v>
      </c>
      <c r="AF610" s="231" t="s">
        <v>239</v>
      </c>
      <c r="AG610" s="232">
        <v>397.1269009678939</v>
      </c>
      <c r="AH610" s="231" t="s">
        <v>239</v>
      </c>
      <c r="AI610" s="232">
        <v>392.23429754796945</v>
      </c>
      <c r="AJ610" s="231" t="s">
        <v>239</v>
      </c>
      <c r="AK610" s="232">
        <v>387.40197100217847</v>
      </c>
      <c r="AL610" s="232" t="s">
        <v>239</v>
      </c>
      <c r="AM610" s="232">
        <v>4981.3978312149666</v>
      </c>
    </row>
    <row r="611" spans="1:39" ht="15" customHeight="1" outlineLevel="1">
      <c r="A611" s="411">
        <v>301</v>
      </c>
      <c r="B611" s="10">
        <v>129301</v>
      </c>
      <c r="C611" s="218" t="s">
        <v>1489</v>
      </c>
      <c r="D611" s="218" t="s">
        <v>1490</v>
      </c>
      <c r="E611" s="23" t="s">
        <v>138</v>
      </c>
      <c r="F611" s="17" t="s">
        <v>45</v>
      </c>
      <c r="G611" s="11" t="s">
        <v>1432</v>
      </c>
      <c r="H611" s="12">
        <v>25</v>
      </c>
      <c r="I611" s="11" t="s">
        <v>1433</v>
      </c>
      <c r="J611" s="193" t="s">
        <v>617</v>
      </c>
      <c r="K611" s="17" t="s">
        <v>233</v>
      </c>
      <c r="L611" s="17" t="s">
        <v>233</v>
      </c>
      <c r="M611" s="231">
        <v>10</v>
      </c>
      <c r="N611" s="231">
        <v>10</v>
      </c>
      <c r="O611" s="231">
        <v>10</v>
      </c>
      <c r="P611" s="231" t="s">
        <v>239</v>
      </c>
      <c r="Q611" s="231">
        <v>10</v>
      </c>
      <c r="R611" s="231" t="s">
        <v>239</v>
      </c>
      <c r="S611" s="231">
        <v>10</v>
      </c>
      <c r="T611" s="231" t="s">
        <v>239</v>
      </c>
      <c r="U611" s="231">
        <v>10</v>
      </c>
      <c r="V611" s="231" t="s">
        <v>239</v>
      </c>
      <c r="W611" s="231">
        <v>10</v>
      </c>
      <c r="X611" s="231" t="s">
        <v>239</v>
      </c>
      <c r="Y611" s="231">
        <v>10</v>
      </c>
      <c r="Z611" s="231" t="s">
        <v>239</v>
      </c>
      <c r="AA611" s="231">
        <v>10</v>
      </c>
      <c r="AB611" s="231" t="s">
        <v>239</v>
      </c>
      <c r="AC611" s="231">
        <v>10</v>
      </c>
      <c r="AD611" s="231" t="s">
        <v>239</v>
      </c>
      <c r="AE611" s="231">
        <v>10</v>
      </c>
      <c r="AF611" s="231" t="s">
        <v>239</v>
      </c>
      <c r="AG611" s="231">
        <v>10</v>
      </c>
      <c r="AH611" s="231" t="s">
        <v>239</v>
      </c>
      <c r="AI611" s="231">
        <v>10</v>
      </c>
      <c r="AJ611" s="231" t="s">
        <v>239</v>
      </c>
      <c r="AK611" s="231">
        <v>10</v>
      </c>
      <c r="AL611" s="232" t="s">
        <v>239</v>
      </c>
      <c r="AM611" s="232">
        <v>0</v>
      </c>
    </row>
    <row r="612" spans="1:39" ht="15" customHeight="1" outlineLevel="1">
      <c r="A612" s="412"/>
      <c r="B612" s="10">
        <v>129301</v>
      </c>
      <c r="C612" s="218" t="s">
        <v>1489</v>
      </c>
      <c r="D612" s="218" t="s">
        <v>1490</v>
      </c>
      <c r="E612" s="23" t="s">
        <v>44</v>
      </c>
      <c r="F612" s="17" t="s">
        <v>45</v>
      </c>
      <c r="G612" s="11" t="s">
        <v>1432</v>
      </c>
      <c r="H612" s="12">
        <v>16</v>
      </c>
      <c r="I612" s="11" t="s">
        <v>1433</v>
      </c>
      <c r="J612" s="193" t="s">
        <v>216</v>
      </c>
      <c r="K612" s="17" t="s">
        <v>233</v>
      </c>
      <c r="L612" s="17" t="s">
        <v>233</v>
      </c>
      <c r="M612" s="231">
        <v>11508</v>
      </c>
      <c r="N612" s="232">
        <v>11368.292879999999</v>
      </c>
      <c r="O612" s="132">
        <v>389</v>
      </c>
      <c r="P612" s="231" t="s">
        <v>239</v>
      </c>
      <c r="Q612" s="232">
        <v>384.20751999999999</v>
      </c>
      <c r="R612" s="231" t="s">
        <v>239</v>
      </c>
      <c r="S612" s="232">
        <v>379.47408335360001</v>
      </c>
      <c r="T612" s="231" t="s">
        <v>239</v>
      </c>
      <c r="U612" s="232">
        <v>374.79896264668366</v>
      </c>
      <c r="V612" s="231" t="s">
        <v>239</v>
      </c>
      <c r="W612" s="232">
        <v>370.18143942687652</v>
      </c>
      <c r="X612" s="231" t="s">
        <v>239</v>
      </c>
      <c r="Y612" s="232">
        <v>365.62080409313739</v>
      </c>
      <c r="Z612" s="231" t="s">
        <v>239</v>
      </c>
      <c r="AA612" s="232">
        <v>361.11635578670996</v>
      </c>
      <c r="AB612" s="231" t="s">
        <v>239</v>
      </c>
      <c r="AC612" s="232">
        <v>356.66740228341769</v>
      </c>
      <c r="AD612" s="231" t="s">
        <v>239</v>
      </c>
      <c r="AE612" s="232">
        <v>352.27325988728597</v>
      </c>
      <c r="AF612" s="231" t="s">
        <v>239</v>
      </c>
      <c r="AG612" s="232">
        <v>347.9332533254746</v>
      </c>
      <c r="AH612" s="231" t="s">
        <v>239</v>
      </c>
      <c r="AI612" s="232">
        <v>343.64671564450475</v>
      </c>
      <c r="AJ612" s="231" t="s">
        <v>239</v>
      </c>
      <c r="AK612" s="232">
        <v>339.41298810776448</v>
      </c>
      <c r="AL612" s="232" t="s">
        <v>239</v>
      </c>
      <c r="AM612" s="232">
        <v>4364.332784555455</v>
      </c>
    </row>
    <row r="613" spans="1:39" ht="15" customHeight="1" outlineLevel="1">
      <c r="A613" s="411">
        <v>302</v>
      </c>
      <c r="B613" s="10">
        <v>129302</v>
      </c>
      <c r="C613" s="218" t="s">
        <v>1489</v>
      </c>
      <c r="D613" s="218" t="s">
        <v>1490</v>
      </c>
      <c r="E613" s="23" t="s">
        <v>44</v>
      </c>
      <c r="F613" s="17" t="s">
        <v>45</v>
      </c>
      <c r="G613" s="11" t="s">
        <v>1432</v>
      </c>
      <c r="H613" s="12">
        <v>5</v>
      </c>
      <c r="I613" s="11" t="s">
        <v>1433</v>
      </c>
      <c r="J613" s="192" t="s">
        <v>1446</v>
      </c>
      <c r="K613" s="17" t="s">
        <v>233</v>
      </c>
      <c r="L613" s="17" t="s">
        <v>233</v>
      </c>
      <c r="M613" s="231">
        <v>0.99</v>
      </c>
      <c r="N613" s="231">
        <v>0.99</v>
      </c>
      <c r="O613" s="231">
        <v>0.99</v>
      </c>
      <c r="P613" s="231" t="s">
        <v>239</v>
      </c>
      <c r="Q613" s="231">
        <v>0.99</v>
      </c>
      <c r="R613" s="231" t="s">
        <v>239</v>
      </c>
      <c r="S613" s="231">
        <v>0.99</v>
      </c>
      <c r="T613" s="231" t="s">
        <v>239</v>
      </c>
      <c r="U613" s="231">
        <v>0.99</v>
      </c>
      <c r="V613" s="230" t="s">
        <v>239</v>
      </c>
      <c r="W613" s="231">
        <v>0.99</v>
      </c>
      <c r="X613" s="231" t="s">
        <v>239</v>
      </c>
      <c r="Y613" s="231">
        <v>0.99</v>
      </c>
      <c r="Z613" s="231" t="s">
        <v>239</v>
      </c>
      <c r="AA613" s="231">
        <v>0.99</v>
      </c>
      <c r="AB613" s="231" t="s">
        <v>239</v>
      </c>
      <c r="AC613" s="231">
        <v>0.99</v>
      </c>
      <c r="AD613" s="231" t="s">
        <v>239</v>
      </c>
      <c r="AE613" s="231">
        <v>0.99</v>
      </c>
      <c r="AF613" s="231" t="s">
        <v>239</v>
      </c>
      <c r="AG613" s="231">
        <v>0.99</v>
      </c>
      <c r="AH613" s="231" t="s">
        <v>239</v>
      </c>
      <c r="AI613" s="231">
        <v>0.99</v>
      </c>
      <c r="AJ613" s="231" t="s">
        <v>239</v>
      </c>
      <c r="AK613" s="231">
        <v>0.99</v>
      </c>
      <c r="AL613" s="232" t="s">
        <v>239</v>
      </c>
      <c r="AM613" s="232">
        <v>0</v>
      </c>
    </row>
    <row r="614" spans="1:39" ht="15" customHeight="1" outlineLevel="1">
      <c r="A614" s="412"/>
      <c r="B614" s="10">
        <v>129302</v>
      </c>
      <c r="C614" s="218" t="s">
        <v>1489</v>
      </c>
      <c r="D614" s="218" t="s">
        <v>1490</v>
      </c>
      <c r="E614" s="23" t="s">
        <v>138</v>
      </c>
      <c r="F614" s="17" t="s">
        <v>45</v>
      </c>
      <c r="G614" s="11" t="s">
        <v>1432</v>
      </c>
      <c r="H614" s="12">
        <v>9</v>
      </c>
      <c r="I614" s="11" t="s">
        <v>1433</v>
      </c>
      <c r="J614" s="192" t="s">
        <v>1481</v>
      </c>
      <c r="K614" s="17" t="s">
        <v>233</v>
      </c>
      <c r="L614" s="17" t="s">
        <v>233</v>
      </c>
      <c r="M614" s="231">
        <v>15450</v>
      </c>
      <c r="N614" s="232">
        <v>15262.437</v>
      </c>
      <c r="O614" s="132">
        <v>1215</v>
      </c>
      <c r="P614" s="231" t="s">
        <v>239</v>
      </c>
      <c r="Q614" s="232">
        <v>1200.0311999999999</v>
      </c>
      <c r="R614" s="231" t="s">
        <v>239</v>
      </c>
      <c r="S614" s="232">
        <v>1185.2468156159998</v>
      </c>
      <c r="T614" s="231" t="s">
        <v>239</v>
      </c>
      <c r="U614" s="232">
        <v>1170.6445748476108</v>
      </c>
      <c r="V614" s="231" t="s">
        <v>239</v>
      </c>
      <c r="W614" s="232">
        <v>1156.2222336854882</v>
      </c>
      <c r="X614" s="231" t="s">
        <v>239</v>
      </c>
      <c r="Y614" s="232">
        <v>1141.9775757664829</v>
      </c>
      <c r="Z614" s="231" t="s">
        <v>239</v>
      </c>
      <c r="AA614" s="232">
        <v>1127.9084120330399</v>
      </c>
      <c r="AB614" s="231" t="s">
        <v>239</v>
      </c>
      <c r="AC614" s="232">
        <v>1114.0125803967928</v>
      </c>
      <c r="AD614" s="231" t="s">
        <v>239</v>
      </c>
      <c r="AE614" s="232">
        <v>1100.2879454063043</v>
      </c>
      <c r="AF614" s="231" t="s">
        <v>239</v>
      </c>
      <c r="AG614" s="232">
        <v>1086.7323979188986</v>
      </c>
      <c r="AH614" s="231" t="s">
        <v>239</v>
      </c>
      <c r="AI614" s="232">
        <v>1073.3438547765379</v>
      </c>
      <c r="AJ614" s="231" t="s">
        <v>239</v>
      </c>
      <c r="AK614" s="232">
        <v>1060.120258485691</v>
      </c>
      <c r="AL614" s="232" t="s">
        <v>239</v>
      </c>
      <c r="AM614" s="232">
        <v>13631.527848932847</v>
      </c>
    </row>
    <row r="615" spans="1:39" ht="15.75" outlineLevel="1">
      <c r="A615" s="411">
        <v>303</v>
      </c>
      <c r="B615" s="10">
        <v>129303</v>
      </c>
      <c r="C615" s="218" t="s">
        <v>1489</v>
      </c>
      <c r="D615" s="218" t="s">
        <v>1490</v>
      </c>
      <c r="E615" s="23" t="s">
        <v>44</v>
      </c>
      <c r="F615" s="17" t="s">
        <v>45</v>
      </c>
      <c r="G615" s="11" t="s">
        <v>1432</v>
      </c>
      <c r="H615" s="12">
        <v>34</v>
      </c>
      <c r="I615" s="11" t="s">
        <v>1433</v>
      </c>
      <c r="J615" s="192" t="s">
        <v>208</v>
      </c>
      <c r="K615" s="17" t="s">
        <v>233</v>
      </c>
      <c r="L615" s="17" t="s">
        <v>233</v>
      </c>
      <c r="M615" s="231">
        <v>0.38</v>
      </c>
      <c r="N615" s="231">
        <v>0.38</v>
      </c>
      <c r="O615" s="231">
        <v>0.38</v>
      </c>
      <c r="P615" s="231" t="s">
        <v>239</v>
      </c>
      <c r="Q615" s="231">
        <v>0.38</v>
      </c>
      <c r="R615" s="231" t="s">
        <v>239</v>
      </c>
      <c r="S615" s="231">
        <v>0.38</v>
      </c>
      <c r="T615" s="231" t="s">
        <v>239</v>
      </c>
      <c r="U615" s="231">
        <v>0.38</v>
      </c>
      <c r="V615" s="231" t="s">
        <v>239</v>
      </c>
      <c r="W615" s="231">
        <v>0.38</v>
      </c>
      <c r="X615" s="231" t="s">
        <v>239</v>
      </c>
      <c r="Y615" s="231">
        <v>0.38</v>
      </c>
      <c r="Z615" s="231" t="s">
        <v>239</v>
      </c>
      <c r="AA615" s="231">
        <v>0.38</v>
      </c>
      <c r="AB615" s="231" t="s">
        <v>239</v>
      </c>
      <c r="AC615" s="231">
        <v>0.38</v>
      </c>
      <c r="AD615" s="231" t="s">
        <v>239</v>
      </c>
      <c r="AE615" s="231">
        <v>0.38</v>
      </c>
      <c r="AF615" s="231" t="s">
        <v>239</v>
      </c>
      <c r="AG615" s="231">
        <v>0.38</v>
      </c>
      <c r="AH615" s="231" t="s">
        <v>239</v>
      </c>
      <c r="AI615" s="231">
        <v>0.38</v>
      </c>
      <c r="AJ615" s="231" t="s">
        <v>239</v>
      </c>
      <c r="AK615" s="231">
        <v>0.38</v>
      </c>
      <c r="AL615" s="232" t="s">
        <v>239</v>
      </c>
      <c r="AM615" s="232">
        <v>0</v>
      </c>
    </row>
    <row r="616" spans="1:39" ht="15.75" outlineLevel="1">
      <c r="A616" s="412"/>
      <c r="B616" s="10">
        <v>129303</v>
      </c>
      <c r="C616" s="218" t="s">
        <v>1489</v>
      </c>
      <c r="D616" s="218" t="s">
        <v>1490</v>
      </c>
      <c r="E616" s="23" t="s">
        <v>138</v>
      </c>
      <c r="F616" s="17" t="s">
        <v>45</v>
      </c>
      <c r="G616" s="11" t="s">
        <v>1432</v>
      </c>
      <c r="H616" s="12">
        <v>23</v>
      </c>
      <c r="I616" s="11" t="s">
        <v>1433</v>
      </c>
      <c r="J616" s="192" t="s">
        <v>1463</v>
      </c>
      <c r="K616" s="17" t="s">
        <v>233</v>
      </c>
      <c r="L616" s="17" t="s">
        <v>233</v>
      </c>
      <c r="M616" s="231">
        <v>6119</v>
      </c>
      <c r="N616" s="232">
        <v>6044.7153399999997</v>
      </c>
      <c r="O616" s="132">
        <v>352</v>
      </c>
      <c r="P616" s="231" t="s">
        <v>239</v>
      </c>
      <c r="Q616" s="232">
        <v>347.66336000000001</v>
      </c>
      <c r="R616" s="231" t="s">
        <v>239</v>
      </c>
      <c r="S616" s="232">
        <v>343.38014740480003</v>
      </c>
      <c r="T616" s="231" t="s">
        <v>239</v>
      </c>
      <c r="U616" s="232">
        <v>339.1497039887729</v>
      </c>
      <c r="V616" s="230" t="s">
        <v>239</v>
      </c>
      <c r="W616" s="232">
        <v>334.97137963563119</v>
      </c>
      <c r="X616" s="231" t="s">
        <v>239</v>
      </c>
      <c r="Y616" s="232">
        <v>330.84453223852023</v>
      </c>
      <c r="Z616" s="231" t="s">
        <v>239</v>
      </c>
      <c r="AA616" s="232">
        <v>326.76852760134165</v>
      </c>
      <c r="AB616" s="231" t="s">
        <v>239</v>
      </c>
      <c r="AC616" s="232">
        <v>322.74273934129315</v>
      </c>
      <c r="AD616" s="231" t="s">
        <v>239</v>
      </c>
      <c r="AE616" s="232">
        <v>318.76654879260843</v>
      </c>
      <c r="AF616" s="231" t="s">
        <v>239</v>
      </c>
      <c r="AG616" s="232">
        <v>314.83934491148352</v>
      </c>
      <c r="AH616" s="231" t="s">
        <v>239</v>
      </c>
      <c r="AI616" s="232">
        <v>310.96052418217403</v>
      </c>
      <c r="AJ616" s="231" t="s">
        <v>239</v>
      </c>
      <c r="AK616" s="232">
        <v>307.12949052424966</v>
      </c>
      <c r="AL616" s="232" t="s">
        <v>239</v>
      </c>
      <c r="AM616" s="232">
        <v>3949.216298620875</v>
      </c>
    </row>
    <row r="617" spans="1:39" ht="15.75" outlineLevel="1">
      <c r="A617" s="411">
        <v>304</v>
      </c>
      <c r="B617" s="10">
        <v>129304</v>
      </c>
      <c r="C617" s="218" t="s">
        <v>1489</v>
      </c>
      <c r="D617" s="218" t="s">
        <v>1490</v>
      </c>
      <c r="E617" s="23" t="s">
        <v>44</v>
      </c>
      <c r="F617" s="17" t="s">
        <v>45</v>
      </c>
      <c r="G617" s="11" t="s">
        <v>1432</v>
      </c>
      <c r="H617" s="12">
        <v>54</v>
      </c>
      <c r="I617" s="11" t="s">
        <v>1433</v>
      </c>
      <c r="J617" s="192" t="s">
        <v>1482</v>
      </c>
      <c r="K617" s="17" t="s">
        <v>233</v>
      </c>
      <c r="L617" s="17" t="s">
        <v>233</v>
      </c>
      <c r="M617" s="231">
        <v>0.38</v>
      </c>
      <c r="N617" s="231">
        <v>0.38</v>
      </c>
      <c r="O617" s="231">
        <v>0.38</v>
      </c>
      <c r="P617" s="231" t="s">
        <v>239</v>
      </c>
      <c r="Q617" s="231">
        <v>0.38</v>
      </c>
      <c r="R617" s="231" t="s">
        <v>239</v>
      </c>
      <c r="S617" s="231">
        <v>0.38</v>
      </c>
      <c r="T617" s="231" t="s">
        <v>239</v>
      </c>
      <c r="U617" s="231">
        <v>0.38</v>
      </c>
      <c r="V617" s="231" t="s">
        <v>239</v>
      </c>
      <c r="W617" s="231">
        <v>0.38</v>
      </c>
      <c r="X617" s="231" t="s">
        <v>239</v>
      </c>
      <c r="Y617" s="231">
        <v>0.38</v>
      </c>
      <c r="Z617" s="231" t="s">
        <v>239</v>
      </c>
      <c r="AA617" s="231">
        <v>0.38</v>
      </c>
      <c r="AB617" s="231" t="s">
        <v>239</v>
      </c>
      <c r="AC617" s="231">
        <v>0.38</v>
      </c>
      <c r="AD617" s="231" t="s">
        <v>239</v>
      </c>
      <c r="AE617" s="231">
        <v>0.38</v>
      </c>
      <c r="AF617" s="231" t="s">
        <v>239</v>
      </c>
      <c r="AG617" s="231">
        <v>0.38</v>
      </c>
      <c r="AH617" s="231" t="s">
        <v>239</v>
      </c>
      <c r="AI617" s="231">
        <v>0.38</v>
      </c>
      <c r="AJ617" s="231" t="s">
        <v>239</v>
      </c>
      <c r="AK617" s="231">
        <v>0.38</v>
      </c>
      <c r="AL617" s="232" t="s">
        <v>239</v>
      </c>
      <c r="AM617" s="232">
        <v>0</v>
      </c>
    </row>
    <row r="618" spans="1:39" ht="15.75" outlineLevel="1">
      <c r="A618" s="412"/>
      <c r="B618" s="10">
        <v>129304</v>
      </c>
      <c r="C618" s="218" t="s">
        <v>1489</v>
      </c>
      <c r="D618" s="218" t="s">
        <v>1490</v>
      </c>
      <c r="E618" s="23" t="s">
        <v>44</v>
      </c>
      <c r="F618" s="17" t="s">
        <v>45</v>
      </c>
      <c r="G618" s="11" t="s">
        <v>1432</v>
      </c>
      <c r="H618" s="12">
        <v>24</v>
      </c>
      <c r="I618" s="11" t="s">
        <v>1433</v>
      </c>
      <c r="J618" s="192" t="s">
        <v>1462</v>
      </c>
      <c r="K618" s="17" t="s">
        <v>233</v>
      </c>
      <c r="L618" s="17" t="s">
        <v>233</v>
      </c>
      <c r="M618" s="231">
        <v>0</v>
      </c>
      <c r="N618" s="232">
        <v>0</v>
      </c>
      <c r="O618" s="132"/>
      <c r="P618" s="231" t="s">
        <v>239</v>
      </c>
      <c r="Q618" s="232">
        <v>0</v>
      </c>
      <c r="R618" s="231" t="s">
        <v>239</v>
      </c>
      <c r="S618" s="232">
        <v>0</v>
      </c>
      <c r="T618" s="231" t="s">
        <v>239</v>
      </c>
      <c r="U618" s="232">
        <v>0</v>
      </c>
      <c r="V618" s="231" t="s">
        <v>239</v>
      </c>
      <c r="W618" s="232">
        <v>0</v>
      </c>
      <c r="X618" s="231" t="s">
        <v>239</v>
      </c>
      <c r="Y618" s="232">
        <v>0</v>
      </c>
      <c r="Z618" s="231" t="s">
        <v>239</v>
      </c>
      <c r="AA618" s="232">
        <v>0</v>
      </c>
      <c r="AB618" s="231" t="s">
        <v>239</v>
      </c>
      <c r="AC618" s="232">
        <v>0</v>
      </c>
      <c r="AD618" s="231" t="s">
        <v>239</v>
      </c>
      <c r="AE618" s="232">
        <v>0</v>
      </c>
      <c r="AF618" s="231" t="s">
        <v>239</v>
      </c>
      <c r="AG618" s="232">
        <v>0</v>
      </c>
      <c r="AH618" s="231" t="s">
        <v>239</v>
      </c>
      <c r="AI618" s="232">
        <v>0</v>
      </c>
      <c r="AJ618" s="231" t="s">
        <v>239</v>
      </c>
      <c r="AK618" s="232">
        <v>0</v>
      </c>
      <c r="AL618" s="232" t="s">
        <v>239</v>
      </c>
      <c r="AM618" s="232">
        <v>0</v>
      </c>
    </row>
    <row r="619" spans="1:39" ht="15.75" outlineLevel="1">
      <c r="A619" s="411">
        <v>305</v>
      </c>
      <c r="B619" s="10">
        <v>129305</v>
      </c>
      <c r="C619" s="218" t="s">
        <v>1489</v>
      </c>
      <c r="D619" s="218" t="s">
        <v>1490</v>
      </c>
      <c r="E619" s="23" t="s">
        <v>138</v>
      </c>
      <c r="F619" s="17" t="s">
        <v>45</v>
      </c>
      <c r="G619" s="11" t="s">
        <v>1432</v>
      </c>
      <c r="H619" s="12">
        <v>4</v>
      </c>
      <c r="I619" s="11" t="s">
        <v>1433</v>
      </c>
      <c r="J619" s="192" t="s">
        <v>1457</v>
      </c>
      <c r="K619" s="17" t="s">
        <v>233</v>
      </c>
      <c r="L619" s="17" t="s">
        <v>233</v>
      </c>
      <c r="M619" s="231">
        <v>3</v>
      </c>
      <c r="N619" s="231">
        <v>3</v>
      </c>
      <c r="O619" s="231">
        <v>3</v>
      </c>
      <c r="P619" s="231" t="s">
        <v>239</v>
      </c>
      <c r="Q619" s="231">
        <v>3</v>
      </c>
      <c r="R619" s="231" t="s">
        <v>239</v>
      </c>
      <c r="S619" s="231">
        <v>3</v>
      </c>
      <c r="T619" s="231" t="s">
        <v>239</v>
      </c>
      <c r="U619" s="231">
        <v>3</v>
      </c>
      <c r="V619" s="230" t="s">
        <v>239</v>
      </c>
      <c r="W619" s="231">
        <v>3</v>
      </c>
      <c r="X619" s="231" t="s">
        <v>239</v>
      </c>
      <c r="Y619" s="231">
        <v>3</v>
      </c>
      <c r="Z619" s="231" t="s">
        <v>239</v>
      </c>
      <c r="AA619" s="231">
        <v>3</v>
      </c>
      <c r="AB619" s="231" t="s">
        <v>239</v>
      </c>
      <c r="AC619" s="231">
        <v>3</v>
      </c>
      <c r="AD619" s="231" t="s">
        <v>239</v>
      </c>
      <c r="AE619" s="231">
        <v>3</v>
      </c>
      <c r="AF619" s="231" t="s">
        <v>239</v>
      </c>
      <c r="AG619" s="231">
        <v>3</v>
      </c>
      <c r="AH619" s="231" t="s">
        <v>239</v>
      </c>
      <c r="AI619" s="231">
        <v>3</v>
      </c>
      <c r="AJ619" s="231" t="s">
        <v>239</v>
      </c>
      <c r="AK619" s="231">
        <v>3</v>
      </c>
      <c r="AL619" s="232" t="s">
        <v>239</v>
      </c>
      <c r="AM619" s="232">
        <v>0</v>
      </c>
    </row>
    <row r="620" spans="1:39" ht="15.75" outlineLevel="1">
      <c r="A620" s="412"/>
      <c r="B620" s="10">
        <v>129305</v>
      </c>
      <c r="C620" s="218" t="s">
        <v>1489</v>
      </c>
      <c r="D620" s="218" t="s">
        <v>1490</v>
      </c>
      <c r="E620" s="23" t="s">
        <v>44</v>
      </c>
      <c r="F620" s="17" t="s">
        <v>45</v>
      </c>
      <c r="G620" s="11" t="s">
        <v>1432</v>
      </c>
      <c r="H620" s="12">
        <v>18</v>
      </c>
      <c r="I620" s="11" t="s">
        <v>1433</v>
      </c>
      <c r="J620" s="192" t="s">
        <v>617</v>
      </c>
      <c r="K620" s="17" t="s">
        <v>233</v>
      </c>
      <c r="L620" s="17" t="s">
        <v>233</v>
      </c>
      <c r="M620" s="231">
        <v>6049</v>
      </c>
      <c r="N620" s="232">
        <v>5975.5651399999997</v>
      </c>
      <c r="O620" s="132">
        <v>589</v>
      </c>
      <c r="P620" s="231" t="s">
        <v>239</v>
      </c>
      <c r="Q620" s="232">
        <v>581.74351999999999</v>
      </c>
      <c r="R620" s="231" t="s">
        <v>239</v>
      </c>
      <c r="S620" s="232">
        <v>574.57643983360003</v>
      </c>
      <c r="T620" s="231" t="s">
        <v>239</v>
      </c>
      <c r="U620" s="232">
        <v>567.49765809485007</v>
      </c>
      <c r="V620" s="231" t="s">
        <v>239</v>
      </c>
      <c r="W620" s="232">
        <v>560.5060869471215</v>
      </c>
      <c r="X620" s="231" t="s">
        <v>239</v>
      </c>
      <c r="Y620" s="232">
        <v>553.60065195593302</v>
      </c>
      <c r="Z620" s="231" t="s">
        <v>239</v>
      </c>
      <c r="AA620" s="232">
        <v>546.78029192383588</v>
      </c>
      <c r="AB620" s="231" t="s">
        <v>239</v>
      </c>
      <c r="AC620" s="232">
        <v>540.04395872733426</v>
      </c>
      <c r="AD620" s="231" t="s">
        <v>239</v>
      </c>
      <c r="AE620" s="232">
        <v>533.39061715581352</v>
      </c>
      <c r="AF620" s="231" t="s">
        <v>239</v>
      </c>
      <c r="AG620" s="232">
        <v>526.81924475245387</v>
      </c>
      <c r="AH620" s="231" t="s">
        <v>239</v>
      </c>
      <c r="AI620" s="232">
        <v>520.32883165710359</v>
      </c>
      <c r="AJ620" s="231" t="s">
        <v>239</v>
      </c>
      <c r="AK620" s="232">
        <v>513.91838045108807</v>
      </c>
      <c r="AL620" s="232" t="s">
        <v>239</v>
      </c>
      <c r="AM620" s="232">
        <v>6608.2056814991338</v>
      </c>
    </row>
    <row r="621" spans="1:39" ht="15.75" outlineLevel="1">
      <c r="A621" s="411">
        <v>306</v>
      </c>
      <c r="B621" s="10">
        <v>129306</v>
      </c>
      <c r="C621" s="218" t="s">
        <v>1489</v>
      </c>
      <c r="D621" s="218" t="s">
        <v>1490</v>
      </c>
      <c r="E621" s="23" t="s">
        <v>138</v>
      </c>
      <c r="F621" s="17" t="s">
        <v>45</v>
      </c>
      <c r="G621" s="11" t="s">
        <v>1432</v>
      </c>
      <c r="H621" s="12">
        <v>17</v>
      </c>
      <c r="I621" s="11" t="s">
        <v>1433</v>
      </c>
      <c r="J621" s="374" t="s">
        <v>1457</v>
      </c>
      <c r="K621" s="17" t="s">
        <v>233</v>
      </c>
      <c r="L621" s="17" t="s">
        <v>233</v>
      </c>
      <c r="M621" s="231">
        <v>3</v>
      </c>
      <c r="N621" s="231">
        <v>3</v>
      </c>
      <c r="O621" s="231">
        <v>3</v>
      </c>
      <c r="P621" s="231" t="s">
        <v>239</v>
      </c>
      <c r="Q621" s="231">
        <v>3</v>
      </c>
      <c r="R621" s="231" t="s">
        <v>239</v>
      </c>
      <c r="S621" s="231">
        <v>3</v>
      </c>
      <c r="T621" s="231" t="s">
        <v>239</v>
      </c>
      <c r="U621" s="231">
        <v>3</v>
      </c>
      <c r="V621" s="231" t="s">
        <v>239</v>
      </c>
      <c r="W621" s="231">
        <v>3</v>
      </c>
      <c r="X621" s="231" t="s">
        <v>239</v>
      </c>
      <c r="Y621" s="231">
        <v>3</v>
      </c>
      <c r="Z621" s="231" t="s">
        <v>239</v>
      </c>
      <c r="AA621" s="231">
        <v>3</v>
      </c>
      <c r="AB621" s="231" t="s">
        <v>239</v>
      </c>
      <c r="AC621" s="231">
        <v>3</v>
      </c>
      <c r="AD621" s="231" t="s">
        <v>239</v>
      </c>
      <c r="AE621" s="231">
        <v>3</v>
      </c>
      <c r="AF621" s="231" t="s">
        <v>239</v>
      </c>
      <c r="AG621" s="231">
        <v>3</v>
      </c>
      <c r="AH621" s="231" t="s">
        <v>239</v>
      </c>
      <c r="AI621" s="231">
        <v>3</v>
      </c>
      <c r="AJ621" s="231" t="s">
        <v>239</v>
      </c>
      <c r="AK621" s="231">
        <v>3</v>
      </c>
      <c r="AL621" s="232" t="s">
        <v>239</v>
      </c>
      <c r="AM621" s="232">
        <v>0</v>
      </c>
    </row>
    <row r="622" spans="1:39" ht="15.75" outlineLevel="1">
      <c r="A622" s="412"/>
      <c r="B622" s="10">
        <v>129306</v>
      </c>
      <c r="C622" s="218" t="s">
        <v>1489</v>
      </c>
      <c r="D622" s="218" t="s">
        <v>1490</v>
      </c>
      <c r="E622" s="23" t="s">
        <v>44</v>
      </c>
      <c r="F622" s="17" t="s">
        <v>45</v>
      </c>
      <c r="G622" s="11" t="s">
        <v>1432</v>
      </c>
      <c r="H622" s="12">
        <v>28</v>
      </c>
      <c r="I622" s="11" t="s">
        <v>1433</v>
      </c>
      <c r="J622" s="375"/>
      <c r="K622" s="17" t="s">
        <v>233</v>
      </c>
      <c r="L622" s="17" t="s">
        <v>233</v>
      </c>
      <c r="M622" s="231">
        <v>0</v>
      </c>
      <c r="N622" s="232">
        <v>0</v>
      </c>
      <c r="O622" s="132"/>
      <c r="P622" s="231" t="s">
        <v>239</v>
      </c>
      <c r="Q622" s="232">
        <v>0</v>
      </c>
      <c r="R622" s="231" t="s">
        <v>239</v>
      </c>
      <c r="S622" s="232">
        <v>0</v>
      </c>
      <c r="T622" s="231" t="s">
        <v>239</v>
      </c>
      <c r="U622" s="232">
        <v>0</v>
      </c>
      <c r="V622" s="230" t="s">
        <v>239</v>
      </c>
      <c r="W622" s="232">
        <v>0</v>
      </c>
      <c r="X622" s="231" t="s">
        <v>239</v>
      </c>
      <c r="Y622" s="232">
        <v>0</v>
      </c>
      <c r="Z622" s="231" t="s">
        <v>239</v>
      </c>
      <c r="AA622" s="232">
        <v>0</v>
      </c>
      <c r="AB622" s="231" t="s">
        <v>239</v>
      </c>
      <c r="AC622" s="232">
        <v>0</v>
      </c>
      <c r="AD622" s="231" t="s">
        <v>239</v>
      </c>
      <c r="AE622" s="232">
        <v>0</v>
      </c>
      <c r="AF622" s="231" t="s">
        <v>239</v>
      </c>
      <c r="AG622" s="232">
        <v>0</v>
      </c>
      <c r="AH622" s="231" t="s">
        <v>239</v>
      </c>
      <c r="AI622" s="232">
        <v>0</v>
      </c>
      <c r="AJ622" s="231" t="s">
        <v>239</v>
      </c>
      <c r="AK622" s="232">
        <v>0</v>
      </c>
      <c r="AL622" s="232" t="s">
        <v>239</v>
      </c>
      <c r="AM622" s="232">
        <v>0</v>
      </c>
    </row>
    <row r="623" spans="1:39" ht="15.75" outlineLevel="1">
      <c r="A623" s="411">
        <v>307</v>
      </c>
      <c r="B623" s="10">
        <v>129307</v>
      </c>
      <c r="C623" s="218" t="s">
        <v>1489</v>
      </c>
      <c r="D623" s="218" t="s">
        <v>1490</v>
      </c>
      <c r="E623" s="23" t="s">
        <v>44</v>
      </c>
      <c r="F623" s="17" t="s">
        <v>45</v>
      </c>
      <c r="G623" s="11" t="s">
        <v>1432</v>
      </c>
      <c r="H623" s="12">
        <v>33</v>
      </c>
      <c r="I623" s="11" t="s">
        <v>1433</v>
      </c>
      <c r="J623" s="193" t="s">
        <v>1460</v>
      </c>
      <c r="K623" s="17" t="s">
        <v>233</v>
      </c>
      <c r="L623" s="17" t="s">
        <v>233</v>
      </c>
      <c r="M623" s="231">
        <v>0</v>
      </c>
      <c r="N623" s="232">
        <v>0</v>
      </c>
      <c r="O623" s="132"/>
      <c r="P623" s="231" t="s">
        <v>239</v>
      </c>
      <c r="Q623" s="232">
        <v>0</v>
      </c>
      <c r="R623" s="231" t="s">
        <v>239</v>
      </c>
      <c r="S623" s="232">
        <v>0</v>
      </c>
      <c r="T623" s="231" t="s">
        <v>239</v>
      </c>
      <c r="U623" s="232">
        <v>0</v>
      </c>
      <c r="V623" s="231" t="s">
        <v>239</v>
      </c>
      <c r="W623" s="232">
        <v>0</v>
      </c>
      <c r="X623" s="231" t="s">
        <v>239</v>
      </c>
      <c r="Y623" s="232">
        <v>0</v>
      </c>
      <c r="Z623" s="231" t="s">
        <v>239</v>
      </c>
      <c r="AA623" s="232">
        <v>0</v>
      </c>
      <c r="AB623" s="231" t="s">
        <v>239</v>
      </c>
      <c r="AC623" s="232">
        <v>0</v>
      </c>
      <c r="AD623" s="231" t="s">
        <v>239</v>
      </c>
      <c r="AE623" s="232">
        <v>0</v>
      </c>
      <c r="AF623" s="231" t="s">
        <v>239</v>
      </c>
      <c r="AG623" s="232">
        <v>0</v>
      </c>
      <c r="AH623" s="231" t="s">
        <v>239</v>
      </c>
      <c r="AI623" s="232">
        <v>0</v>
      </c>
      <c r="AJ623" s="231" t="s">
        <v>239</v>
      </c>
      <c r="AK623" s="232">
        <v>0</v>
      </c>
      <c r="AL623" s="232" t="s">
        <v>239</v>
      </c>
      <c r="AM623" s="232">
        <v>0</v>
      </c>
    </row>
    <row r="624" spans="1:39" ht="15.75" outlineLevel="1">
      <c r="A624" s="412"/>
      <c r="B624" s="10">
        <v>129307</v>
      </c>
      <c r="C624" s="218" t="s">
        <v>1489</v>
      </c>
      <c r="D624" s="218" t="s">
        <v>1490</v>
      </c>
      <c r="E624" s="23" t="s">
        <v>138</v>
      </c>
      <c r="F624" s="17" t="s">
        <v>45</v>
      </c>
      <c r="G624" s="11" t="s">
        <v>1432</v>
      </c>
      <c r="H624" s="12">
        <v>25</v>
      </c>
      <c r="I624" s="11" t="s">
        <v>1433</v>
      </c>
      <c r="J624" s="193" t="s">
        <v>1442</v>
      </c>
      <c r="K624" s="17" t="s">
        <v>233</v>
      </c>
      <c r="L624" s="17" t="s">
        <v>233</v>
      </c>
      <c r="M624" s="231">
        <v>14066</v>
      </c>
      <c r="N624" s="232">
        <v>13895.23876</v>
      </c>
      <c r="O624" s="132">
        <v>670</v>
      </c>
      <c r="P624" s="231" t="s">
        <v>239</v>
      </c>
      <c r="Q624" s="232">
        <v>661.74559999999997</v>
      </c>
      <c r="R624" s="231" t="s">
        <v>239</v>
      </c>
      <c r="S624" s="232">
        <v>653.59289420799996</v>
      </c>
      <c r="T624" s="231" t="s">
        <v>239</v>
      </c>
      <c r="U624" s="232">
        <v>645.54062975135741</v>
      </c>
      <c r="V624" s="231" t="s">
        <v>239</v>
      </c>
      <c r="W624" s="232">
        <v>637.58756919282064</v>
      </c>
      <c r="X624" s="231" t="s">
        <v>239</v>
      </c>
      <c r="Y624" s="232">
        <v>629.73249034036508</v>
      </c>
      <c r="Z624" s="231" t="s">
        <v>239</v>
      </c>
      <c r="AA624" s="232">
        <v>621.97418605937173</v>
      </c>
      <c r="AB624" s="231" t="s">
        <v>239</v>
      </c>
      <c r="AC624" s="232">
        <v>614.31146408712027</v>
      </c>
      <c r="AD624" s="231" t="s">
        <v>239</v>
      </c>
      <c r="AE624" s="232">
        <v>606.74314684956698</v>
      </c>
      <c r="AF624" s="231" t="s">
        <v>239</v>
      </c>
      <c r="AG624" s="232">
        <v>599.26807128038035</v>
      </c>
      <c r="AH624" s="231" t="s">
        <v>239</v>
      </c>
      <c r="AI624" s="232">
        <v>591.88508864220603</v>
      </c>
      <c r="AJ624" s="231" t="s">
        <v>239</v>
      </c>
      <c r="AK624" s="232">
        <v>584.593064350134</v>
      </c>
      <c r="AL624" s="232" t="s">
        <v>239</v>
      </c>
      <c r="AM624" s="232">
        <v>7516.9742047613217</v>
      </c>
    </row>
    <row r="625" spans="1:39" ht="15.75" outlineLevel="1">
      <c r="A625" s="411">
        <v>308</v>
      </c>
      <c r="B625" s="10">
        <v>129308</v>
      </c>
      <c r="C625" s="218" t="s">
        <v>1489</v>
      </c>
      <c r="D625" s="218" t="s">
        <v>1490</v>
      </c>
      <c r="E625" s="23" t="s">
        <v>44</v>
      </c>
      <c r="F625" s="17" t="s">
        <v>45</v>
      </c>
      <c r="G625" s="11" t="s">
        <v>1432</v>
      </c>
      <c r="H625" s="12">
        <v>9</v>
      </c>
      <c r="I625" s="11" t="s">
        <v>1433</v>
      </c>
      <c r="J625" s="193" t="s">
        <v>1460</v>
      </c>
      <c r="K625" s="17" t="s">
        <v>233</v>
      </c>
      <c r="L625" s="17" t="s">
        <v>233</v>
      </c>
      <c r="M625" s="231">
        <v>0</v>
      </c>
      <c r="N625" s="232">
        <v>0</v>
      </c>
      <c r="O625" s="132"/>
      <c r="P625" s="231" t="s">
        <v>239</v>
      </c>
      <c r="Q625" s="232">
        <v>0</v>
      </c>
      <c r="R625" s="231" t="s">
        <v>239</v>
      </c>
      <c r="S625" s="232">
        <v>0</v>
      </c>
      <c r="T625" s="231" t="s">
        <v>239</v>
      </c>
      <c r="U625" s="232">
        <v>0</v>
      </c>
      <c r="V625" s="230" t="s">
        <v>239</v>
      </c>
      <c r="W625" s="232">
        <v>0</v>
      </c>
      <c r="X625" s="231" t="s">
        <v>239</v>
      </c>
      <c r="Y625" s="232">
        <v>0</v>
      </c>
      <c r="Z625" s="231" t="s">
        <v>239</v>
      </c>
      <c r="AA625" s="232">
        <v>0</v>
      </c>
      <c r="AB625" s="231" t="s">
        <v>239</v>
      </c>
      <c r="AC625" s="232">
        <v>0</v>
      </c>
      <c r="AD625" s="231" t="s">
        <v>239</v>
      </c>
      <c r="AE625" s="232">
        <v>0</v>
      </c>
      <c r="AF625" s="231" t="s">
        <v>239</v>
      </c>
      <c r="AG625" s="232">
        <v>0</v>
      </c>
      <c r="AH625" s="231" t="s">
        <v>239</v>
      </c>
      <c r="AI625" s="232">
        <v>0</v>
      </c>
      <c r="AJ625" s="231" t="s">
        <v>239</v>
      </c>
      <c r="AK625" s="232">
        <v>0</v>
      </c>
      <c r="AL625" s="232" t="s">
        <v>239</v>
      </c>
      <c r="AM625" s="232">
        <v>0</v>
      </c>
    </row>
    <row r="626" spans="1:39" ht="15.75" outlineLevel="1">
      <c r="A626" s="412"/>
      <c r="B626" s="10">
        <v>129308</v>
      </c>
      <c r="C626" s="218" t="s">
        <v>1489</v>
      </c>
      <c r="D626" s="218" t="s">
        <v>1490</v>
      </c>
      <c r="E626" s="23" t="s">
        <v>138</v>
      </c>
      <c r="F626" s="17" t="s">
        <v>45</v>
      </c>
      <c r="G626" s="11" t="s">
        <v>1432</v>
      </c>
      <c r="H626" s="12">
        <v>24</v>
      </c>
      <c r="I626" s="11" t="s">
        <v>1433</v>
      </c>
      <c r="J626" s="193" t="s">
        <v>1457</v>
      </c>
      <c r="K626" s="17" t="s">
        <v>233</v>
      </c>
      <c r="L626" s="17" t="s">
        <v>233</v>
      </c>
      <c r="M626" s="231">
        <v>0</v>
      </c>
      <c r="N626" s="232">
        <v>0</v>
      </c>
      <c r="O626" s="132"/>
      <c r="P626" s="231" t="s">
        <v>239</v>
      </c>
      <c r="Q626" s="232">
        <v>0</v>
      </c>
      <c r="R626" s="231" t="s">
        <v>239</v>
      </c>
      <c r="S626" s="232">
        <v>0</v>
      </c>
      <c r="T626" s="231" t="s">
        <v>239</v>
      </c>
      <c r="U626" s="232">
        <v>0</v>
      </c>
      <c r="V626" s="231" t="s">
        <v>239</v>
      </c>
      <c r="W626" s="232">
        <v>0</v>
      </c>
      <c r="X626" s="231" t="s">
        <v>239</v>
      </c>
      <c r="Y626" s="232">
        <v>0</v>
      </c>
      <c r="Z626" s="231" t="s">
        <v>239</v>
      </c>
      <c r="AA626" s="232">
        <v>0</v>
      </c>
      <c r="AB626" s="231" t="s">
        <v>239</v>
      </c>
      <c r="AC626" s="232">
        <v>0</v>
      </c>
      <c r="AD626" s="231" t="s">
        <v>239</v>
      </c>
      <c r="AE626" s="232">
        <v>0</v>
      </c>
      <c r="AF626" s="231" t="s">
        <v>239</v>
      </c>
      <c r="AG626" s="232">
        <v>0</v>
      </c>
      <c r="AH626" s="231" t="s">
        <v>239</v>
      </c>
      <c r="AI626" s="232">
        <v>0</v>
      </c>
      <c r="AJ626" s="231" t="s">
        <v>239</v>
      </c>
      <c r="AK626" s="232">
        <v>0</v>
      </c>
      <c r="AL626" s="232" t="s">
        <v>239</v>
      </c>
      <c r="AM626" s="232">
        <v>0</v>
      </c>
    </row>
    <row r="627" spans="1:39" ht="15.75" outlineLevel="1">
      <c r="A627" s="411">
        <v>309</v>
      </c>
      <c r="B627" s="10">
        <v>129309</v>
      </c>
      <c r="C627" s="218" t="s">
        <v>1489</v>
      </c>
      <c r="D627" s="218" t="s">
        <v>1490</v>
      </c>
      <c r="E627" s="23" t="s">
        <v>44</v>
      </c>
      <c r="F627" s="17" t="s">
        <v>45</v>
      </c>
      <c r="G627" s="11" t="s">
        <v>1432</v>
      </c>
      <c r="H627" s="12">
        <v>36</v>
      </c>
      <c r="I627" s="11" t="s">
        <v>1433</v>
      </c>
      <c r="J627" s="193" t="s">
        <v>617</v>
      </c>
      <c r="K627" s="17" t="s">
        <v>233</v>
      </c>
      <c r="L627" s="17" t="s">
        <v>233</v>
      </c>
      <c r="M627" s="231">
        <v>1.2</v>
      </c>
      <c r="N627" s="231">
        <v>1.2</v>
      </c>
      <c r="O627" s="231">
        <v>1.2</v>
      </c>
      <c r="P627" s="231" t="s">
        <v>239</v>
      </c>
      <c r="Q627" s="231">
        <v>1.2</v>
      </c>
      <c r="R627" s="231" t="s">
        <v>239</v>
      </c>
      <c r="S627" s="231">
        <v>1.2</v>
      </c>
      <c r="T627" s="231" t="s">
        <v>239</v>
      </c>
      <c r="U627" s="231">
        <v>1.2</v>
      </c>
      <c r="V627" s="231" t="s">
        <v>239</v>
      </c>
      <c r="W627" s="231">
        <v>1.2</v>
      </c>
      <c r="X627" s="231" t="s">
        <v>239</v>
      </c>
      <c r="Y627" s="231">
        <v>1.2</v>
      </c>
      <c r="Z627" s="231" t="s">
        <v>239</v>
      </c>
      <c r="AA627" s="231">
        <v>1.2</v>
      </c>
      <c r="AB627" s="231" t="s">
        <v>239</v>
      </c>
      <c r="AC627" s="231">
        <v>1.2</v>
      </c>
      <c r="AD627" s="231" t="s">
        <v>239</v>
      </c>
      <c r="AE627" s="231">
        <v>1.2</v>
      </c>
      <c r="AF627" s="231" t="s">
        <v>239</v>
      </c>
      <c r="AG627" s="231">
        <v>1.2</v>
      </c>
      <c r="AH627" s="231" t="s">
        <v>239</v>
      </c>
      <c r="AI627" s="231">
        <v>1.2</v>
      </c>
      <c r="AJ627" s="231" t="s">
        <v>239</v>
      </c>
      <c r="AK627" s="231">
        <v>1.2</v>
      </c>
      <c r="AL627" s="232" t="s">
        <v>239</v>
      </c>
      <c r="AM627" s="232">
        <v>0</v>
      </c>
    </row>
    <row r="628" spans="1:39" ht="15.75" outlineLevel="1">
      <c r="A628" s="412"/>
      <c r="B628" s="10">
        <v>129309</v>
      </c>
      <c r="C628" s="218" t="s">
        <v>1489</v>
      </c>
      <c r="D628" s="218" t="s">
        <v>1490</v>
      </c>
      <c r="E628" s="23" t="s">
        <v>44</v>
      </c>
      <c r="F628" s="17" t="s">
        <v>45</v>
      </c>
      <c r="G628" s="11" t="s">
        <v>1432</v>
      </c>
      <c r="H628" s="12">
        <v>34</v>
      </c>
      <c r="I628" s="11" t="s">
        <v>1433</v>
      </c>
      <c r="J628" s="193" t="s">
        <v>216</v>
      </c>
      <c r="K628" s="17" t="s">
        <v>233</v>
      </c>
      <c r="L628" s="17" t="s">
        <v>233</v>
      </c>
      <c r="M628" s="231">
        <v>10520</v>
      </c>
      <c r="N628" s="232">
        <v>10392.287199999999</v>
      </c>
      <c r="O628" s="132">
        <v>125</v>
      </c>
      <c r="P628" s="231" t="s">
        <v>239</v>
      </c>
      <c r="Q628" s="232">
        <v>123.46</v>
      </c>
      <c r="R628" s="231" t="s">
        <v>239</v>
      </c>
      <c r="S628" s="232">
        <v>121.93897279999999</v>
      </c>
      <c r="T628" s="231" t="s">
        <v>239</v>
      </c>
      <c r="U628" s="232">
        <v>120.43668465510399</v>
      </c>
      <c r="V628" s="230" t="s">
        <v>239</v>
      </c>
      <c r="W628" s="232">
        <v>118.95290470015311</v>
      </c>
      <c r="X628" s="231" t="s">
        <v>239</v>
      </c>
      <c r="Y628" s="232">
        <v>117.48740491424722</v>
      </c>
      <c r="Z628" s="231" t="s">
        <v>239</v>
      </c>
      <c r="AA628" s="232">
        <v>116.0399600857037</v>
      </c>
      <c r="AB628" s="231" t="s">
        <v>239</v>
      </c>
      <c r="AC628" s="232">
        <v>114.61034777744783</v>
      </c>
      <c r="AD628" s="231" t="s">
        <v>239</v>
      </c>
      <c r="AE628" s="232">
        <v>113.19834829282966</v>
      </c>
      <c r="AF628" s="231" t="s">
        <v>239</v>
      </c>
      <c r="AG628" s="232">
        <v>111.803744641862</v>
      </c>
      <c r="AH628" s="231" t="s">
        <v>239</v>
      </c>
      <c r="AI628" s="232">
        <v>110.42632250787426</v>
      </c>
      <c r="AJ628" s="231" t="s">
        <v>239</v>
      </c>
      <c r="AK628" s="232">
        <v>109.06587021457725</v>
      </c>
      <c r="AL628" s="232" t="s">
        <v>239</v>
      </c>
      <c r="AM628" s="232">
        <v>1402.4205605897989</v>
      </c>
    </row>
    <row r="629" spans="1:39" ht="15.75" outlineLevel="1">
      <c r="A629" s="411">
        <v>310</v>
      </c>
      <c r="B629" s="10">
        <v>129310</v>
      </c>
      <c r="C629" s="218" t="s">
        <v>1489</v>
      </c>
      <c r="D629" s="218" t="s">
        <v>1490</v>
      </c>
      <c r="E629" s="23" t="s">
        <v>138</v>
      </c>
      <c r="F629" s="17" t="s">
        <v>45</v>
      </c>
      <c r="G629" s="11" t="s">
        <v>1432</v>
      </c>
      <c r="H629" s="12">
        <v>7</v>
      </c>
      <c r="I629" s="11" t="s">
        <v>1433</v>
      </c>
      <c r="J629" s="193" t="s">
        <v>1450</v>
      </c>
      <c r="K629" s="17" t="s">
        <v>233</v>
      </c>
      <c r="L629" s="17" t="s">
        <v>233</v>
      </c>
      <c r="M629" s="231">
        <v>1.2</v>
      </c>
      <c r="N629" s="231">
        <v>1.2</v>
      </c>
      <c r="O629" s="231">
        <v>1.2</v>
      </c>
      <c r="P629" s="231" t="s">
        <v>239</v>
      </c>
      <c r="Q629" s="231">
        <v>1.2</v>
      </c>
      <c r="R629" s="231" t="s">
        <v>239</v>
      </c>
      <c r="S629" s="231">
        <v>1.2</v>
      </c>
      <c r="T629" s="231" t="s">
        <v>239</v>
      </c>
      <c r="U629" s="231">
        <v>1.2</v>
      </c>
      <c r="V629" s="231" t="s">
        <v>239</v>
      </c>
      <c r="W629" s="231">
        <v>1.2</v>
      </c>
      <c r="X629" s="231" t="s">
        <v>239</v>
      </c>
      <c r="Y629" s="231">
        <v>1.2</v>
      </c>
      <c r="Z629" s="231" t="s">
        <v>239</v>
      </c>
      <c r="AA629" s="231">
        <v>1.2</v>
      </c>
      <c r="AB629" s="231" t="s">
        <v>239</v>
      </c>
      <c r="AC629" s="231">
        <v>1.2</v>
      </c>
      <c r="AD629" s="231" t="s">
        <v>239</v>
      </c>
      <c r="AE629" s="231">
        <v>1.2</v>
      </c>
      <c r="AF629" s="231" t="s">
        <v>239</v>
      </c>
      <c r="AG629" s="231">
        <v>1.2</v>
      </c>
      <c r="AH629" s="231" t="s">
        <v>239</v>
      </c>
      <c r="AI629" s="231">
        <v>1.2</v>
      </c>
      <c r="AJ629" s="231" t="s">
        <v>239</v>
      </c>
      <c r="AK629" s="231">
        <v>1.2</v>
      </c>
      <c r="AL629" s="232" t="s">
        <v>239</v>
      </c>
      <c r="AM629" s="232">
        <v>0</v>
      </c>
    </row>
    <row r="630" spans="1:39" ht="15.75" outlineLevel="1">
      <c r="A630" s="412"/>
      <c r="B630" s="10">
        <v>129310</v>
      </c>
      <c r="C630" s="218" t="s">
        <v>1489</v>
      </c>
      <c r="D630" s="218" t="s">
        <v>1490</v>
      </c>
      <c r="E630" s="23" t="s">
        <v>44</v>
      </c>
      <c r="F630" s="17" t="s">
        <v>45</v>
      </c>
      <c r="G630" s="11" t="s">
        <v>1432</v>
      </c>
      <c r="H630" s="12">
        <v>5</v>
      </c>
      <c r="I630" s="11" t="s">
        <v>1433</v>
      </c>
      <c r="J630" s="191" t="s">
        <v>216</v>
      </c>
      <c r="K630" s="17" t="s">
        <v>233</v>
      </c>
      <c r="L630" s="17" t="s">
        <v>233</v>
      </c>
      <c r="M630" s="231">
        <v>0</v>
      </c>
      <c r="N630" s="232">
        <v>0</v>
      </c>
      <c r="O630" s="132"/>
      <c r="P630" s="231" t="s">
        <v>239</v>
      </c>
      <c r="Q630" s="232">
        <v>0</v>
      </c>
      <c r="R630" s="231" t="s">
        <v>239</v>
      </c>
      <c r="S630" s="232">
        <v>0</v>
      </c>
      <c r="T630" s="231" t="s">
        <v>239</v>
      </c>
      <c r="U630" s="232">
        <v>0</v>
      </c>
      <c r="V630" s="231" t="s">
        <v>239</v>
      </c>
      <c r="W630" s="232">
        <v>0</v>
      </c>
      <c r="X630" s="231" t="s">
        <v>239</v>
      </c>
      <c r="Y630" s="232">
        <v>0</v>
      </c>
      <c r="Z630" s="231" t="s">
        <v>239</v>
      </c>
      <c r="AA630" s="232">
        <v>0</v>
      </c>
      <c r="AB630" s="231" t="s">
        <v>239</v>
      </c>
      <c r="AC630" s="232">
        <v>0</v>
      </c>
      <c r="AD630" s="231" t="s">
        <v>239</v>
      </c>
      <c r="AE630" s="232">
        <v>0</v>
      </c>
      <c r="AF630" s="231" t="s">
        <v>239</v>
      </c>
      <c r="AG630" s="232">
        <v>0</v>
      </c>
      <c r="AH630" s="231" t="s">
        <v>239</v>
      </c>
      <c r="AI630" s="232">
        <v>0</v>
      </c>
      <c r="AJ630" s="231" t="s">
        <v>239</v>
      </c>
      <c r="AK630" s="232">
        <v>0</v>
      </c>
      <c r="AL630" s="232" t="s">
        <v>239</v>
      </c>
      <c r="AM630" s="232">
        <v>0</v>
      </c>
    </row>
    <row r="631" spans="1:39" ht="15.75" outlineLevel="1">
      <c r="A631" s="411">
        <v>311</v>
      </c>
      <c r="B631" s="10">
        <v>129311</v>
      </c>
      <c r="C631" s="218" t="s">
        <v>1489</v>
      </c>
      <c r="D631" s="218" t="s">
        <v>1490</v>
      </c>
      <c r="E631" s="23" t="s">
        <v>138</v>
      </c>
      <c r="F631" s="17" t="s">
        <v>45</v>
      </c>
      <c r="G631" s="11" t="s">
        <v>1432</v>
      </c>
      <c r="H631" s="12">
        <v>24</v>
      </c>
      <c r="I631" s="11" t="s">
        <v>1433</v>
      </c>
      <c r="J631" s="192" t="s">
        <v>1434</v>
      </c>
      <c r="K631" s="17" t="s">
        <v>233</v>
      </c>
      <c r="L631" s="17" t="s">
        <v>233</v>
      </c>
      <c r="M631" s="231">
        <v>2.125</v>
      </c>
      <c r="N631" s="231">
        <v>2.125</v>
      </c>
      <c r="O631" s="231">
        <v>2.125</v>
      </c>
      <c r="P631" s="231" t="s">
        <v>239</v>
      </c>
      <c r="Q631" s="231">
        <v>2.125</v>
      </c>
      <c r="R631" s="231" t="s">
        <v>239</v>
      </c>
      <c r="S631" s="231">
        <v>2.125</v>
      </c>
      <c r="T631" s="231" t="s">
        <v>239</v>
      </c>
      <c r="U631" s="231">
        <v>2.125</v>
      </c>
      <c r="V631" s="230" t="s">
        <v>239</v>
      </c>
      <c r="W631" s="231">
        <v>2.125</v>
      </c>
      <c r="X631" s="231" t="s">
        <v>239</v>
      </c>
      <c r="Y631" s="231">
        <v>2.125</v>
      </c>
      <c r="Z631" s="231" t="s">
        <v>239</v>
      </c>
      <c r="AA631" s="231">
        <v>2.125</v>
      </c>
      <c r="AB631" s="231" t="s">
        <v>239</v>
      </c>
      <c r="AC631" s="231">
        <v>2.125</v>
      </c>
      <c r="AD631" s="231" t="s">
        <v>239</v>
      </c>
      <c r="AE631" s="231">
        <v>2.125</v>
      </c>
      <c r="AF631" s="231" t="s">
        <v>239</v>
      </c>
      <c r="AG631" s="231">
        <v>2.125</v>
      </c>
      <c r="AH631" s="231" t="s">
        <v>239</v>
      </c>
      <c r="AI631" s="231">
        <v>2.125</v>
      </c>
      <c r="AJ631" s="231" t="s">
        <v>239</v>
      </c>
      <c r="AK631" s="231">
        <v>2.125</v>
      </c>
      <c r="AL631" s="232" t="s">
        <v>239</v>
      </c>
      <c r="AM631" s="232">
        <v>0</v>
      </c>
    </row>
    <row r="632" spans="1:39" ht="15.75" outlineLevel="1">
      <c r="A632" s="412"/>
      <c r="B632" s="10">
        <v>129311</v>
      </c>
      <c r="C632" s="218" t="s">
        <v>1489</v>
      </c>
      <c r="D632" s="218" t="s">
        <v>1490</v>
      </c>
      <c r="E632" s="23" t="s">
        <v>44</v>
      </c>
      <c r="F632" s="17" t="s">
        <v>45</v>
      </c>
      <c r="G632" s="11" t="s">
        <v>1432</v>
      </c>
      <c r="H632" s="12">
        <v>4</v>
      </c>
      <c r="I632" s="11" t="s">
        <v>1433</v>
      </c>
      <c r="J632" s="192" t="s">
        <v>1480</v>
      </c>
      <c r="K632" s="17" t="s">
        <v>233</v>
      </c>
      <c r="L632" s="17" t="s">
        <v>233</v>
      </c>
      <c r="M632" s="231">
        <v>8952</v>
      </c>
      <c r="N632" s="232">
        <v>8843.3227200000001</v>
      </c>
      <c r="O632" s="132">
        <v>924</v>
      </c>
      <c r="P632" s="231" t="s">
        <v>239</v>
      </c>
      <c r="Q632" s="232">
        <v>912.61631999999997</v>
      </c>
      <c r="R632" s="231" t="s">
        <v>239</v>
      </c>
      <c r="S632" s="232">
        <v>901.37288693760001</v>
      </c>
      <c r="T632" s="231" t="s">
        <v>239</v>
      </c>
      <c r="U632" s="232">
        <v>890.26797297052883</v>
      </c>
      <c r="V632" s="231" t="s">
        <v>239</v>
      </c>
      <c r="W632" s="232">
        <v>879.29987154353194</v>
      </c>
      <c r="X632" s="231" t="s">
        <v>239</v>
      </c>
      <c r="Y632" s="232">
        <v>868.46689712611567</v>
      </c>
      <c r="Z632" s="231" t="s">
        <v>239</v>
      </c>
      <c r="AA632" s="232">
        <v>857.76738495352197</v>
      </c>
      <c r="AB632" s="231" t="s">
        <v>239</v>
      </c>
      <c r="AC632" s="232">
        <v>847.19969077089456</v>
      </c>
      <c r="AD632" s="231" t="s">
        <v>239</v>
      </c>
      <c r="AE632" s="232">
        <v>836.76219058059712</v>
      </c>
      <c r="AF632" s="231" t="s">
        <v>239</v>
      </c>
      <c r="AG632" s="232">
        <v>826.45328039264416</v>
      </c>
      <c r="AH632" s="231" t="s">
        <v>239</v>
      </c>
      <c r="AI632" s="232">
        <v>816.27137597820683</v>
      </c>
      <c r="AJ632" s="231" t="s">
        <v>239</v>
      </c>
      <c r="AK632" s="232">
        <v>806.2149126261553</v>
      </c>
      <c r="AL632" s="232" t="s">
        <v>239</v>
      </c>
      <c r="AM632" s="232">
        <v>10366.692783879796</v>
      </c>
    </row>
    <row r="633" spans="1:39" ht="15.75" outlineLevel="1">
      <c r="A633" s="411">
        <v>312</v>
      </c>
      <c r="B633" s="10">
        <v>129312</v>
      </c>
      <c r="C633" s="218" t="s">
        <v>1489</v>
      </c>
      <c r="D633" s="218" t="s">
        <v>1490</v>
      </c>
      <c r="E633" s="23" t="s">
        <v>44</v>
      </c>
      <c r="F633" s="17" t="s">
        <v>45</v>
      </c>
      <c r="G633" s="11" t="s">
        <v>1432</v>
      </c>
      <c r="H633" s="12">
        <v>18</v>
      </c>
      <c r="I633" s="11" t="s">
        <v>1433</v>
      </c>
      <c r="J633" s="192" t="s">
        <v>1452</v>
      </c>
      <c r="K633" s="17" t="s">
        <v>233</v>
      </c>
      <c r="L633" s="17" t="s">
        <v>233</v>
      </c>
      <c r="M633" s="231">
        <v>0.48</v>
      </c>
      <c r="N633" s="231">
        <v>0.48</v>
      </c>
      <c r="O633" s="231">
        <v>0.48</v>
      </c>
      <c r="P633" s="231" t="s">
        <v>239</v>
      </c>
      <c r="Q633" s="231">
        <v>0.48</v>
      </c>
      <c r="R633" s="231" t="s">
        <v>239</v>
      </c>
      <c r="S633" s="231">
        <v>0.48</v>
      </c>
      <c r="T633" s="231" t="s">
        <v>239</v>
      </c>
      <c r="U633" s="231">
        <v>0.48</v>
      </c>
      <c r="V633" s="231" t="s">
        <v>239</v>
      </c>
      <c r="W633" s="231">
        <v>0.48</v>
      </c>
      <c r="X633" s="231" t="s">
        <v>239</v>
      </c>
      <c r="Y633" s="231">
        <v>0.48</v>
      </c>
      <c r="Z633" s="231" t="s">
        <v>239</v>
      </c>
      <c r="AA633" s="231">
        <v>0.48</v>
      </c>
      <c r="AB633" s="231" t="s">
        <v>239</v>
      </c>
      <c r="AC633" s="231">
        <v>0.48</v>
      </c>
      <c r="AD633" s="231" t="s">
        <v>239</v>
      </c>
      <c r="AE633" s="231">
        <v>0.48</v>
      </c>
      <c r="AF633" s="231" t="s">
        <v>239</v>
      </c>
      <c r="AG633" s="231">
        <v>0.48</v>
      </c>
      <c r="AH633" s="231" t="s">
        <v>239</v>
      </c>
      <c r="AI633" s="231">
        <v>0.48</v>
      </c>
      <c r="AJ633" s="231" t="s">
        <v>239</v>
      </c>
      <c r="AK633" s="231">
        <v>0.48</v>
      </c>
      <c r="AL633" s="232" t="s">
        <v>239</v>
      </c>
      <c r="AM633" s="232">
        <v>0</v>
      </c>
    </row>
    <row r="634" spans="1:39" ht="15.75" outlineLevel="1">
      <c r="A634" s="412"/>
      <c r="B634" s="10">
        <v>129312</v>
      </c>
      <c r="C634" s="218" t="s">
        <v>1489</v>
      </c>
      <c r="D634" s="218" t="s">
        <v>1490</v>
      </c>
      <c r="E634" s="23" t="s">
        <v>138</v>
      </c>
      <c r="F634" s="17" t="s">
        <v>45</v>
      </c>
      <c r="G634" s="11" t="s">
        <v>1432</v>
      </c>
      <c r="H634" s="12">
        <v>17</v>
      </c>
      <c r="I634" s="11" t="s">
        <v>1433</v>
      </c>
      <c r="J634" s="374" t="s">
        <v>207</v>
      </c>
      <c r="K634" s="17" t="s">
        <v>233</v>
      </c>
      <c r="L634" s="17" t="s">
        <v>233</v>
      </c>
      <c r="M634" s="231">
        <v>4054</v>
      </c>
      <c r="N634" s="232">
        <v>4004.7844399999999</v>
      </c>
      <c r="O634" s="132">
        <v>614</v>
      </c>
      <c r="P634" s="231" t="s">
        <v>239</v>
      </c>
      <c r="Q634" s="232">
        <v>606.43552</v>
      </c>
      <c r="R634" s="231" t="s">
        <v>239</v>
      </c>
      <c r="S634" s="232">
        <v>598.96423439360001</v>
      </c>
      <c r="T634" s="231" t="s">
        <v>239</v>
      </c>
      <c r="U634" s="232">
        <v>591.58499502587085</v>
      </c>
      <c r="V634" s="230" t="s">
        <v>239</v>
      </c>
      <c r="W634" s="232">
        <v>584.29666788715213</v>
      </c>
      <c r="X634" s="231" t="s">
        <v>239</v>
      </c>
      <c r="Y634" s="232">
        <v>577.09813293878244</v>
      </c>
      <c r="Z634" s="231" t="s">
        <v>239</v>
      </c>
      <c r="AA634" s="232">
        <v>569.98828394097666</v>
      </c>
      <c r="AB634" s="231" t="s">
        <v>239</v>
      </c>
      <c r="AC634" s="232">
        <v>562.9660282828238</v>
      </c>
      <c r="AD634" s="231" t="s">
        <v>239</v>
      </c>
      <c r="AE634" s="232">
        <v>556.03028681437945</v>
      </c>
      <c r="AF634" s="231" t="s">
        <v>239</v>
      </c>
      <c r="AG634" s="232">
        <v>549.17999368082633</v>
      </c>
      <c r="AH634" s="231" t="s">
        <v>239</v>
      </c>
      <c r="AI634" s="232">
        <v>542.4140961586786</v>
      </c>
      <c r="AJ634" s="231" t="s">
        <v>239</v>
      </c>
      <c r="AK634" s="232">
        <v>535.73155449400372</v>
      </c>
      <c r="AL634" s="232" t="s">
        <v>239</v>
      </c>
      <c r="AM634" s="232">
        <v>6888.6897936170944</v>
      </c>
    </row>
    <row r="635" spans="1:39" ht="15.75" outlineLevel="1">
      <c r="A635" s="411">
        <v>313</v>
      </c>
      <c r="B635" s="10">
        <v>129313</v>
      </c>
      <c r="C635" s="218" t="s">
        <v>1489</v>
      </c>
      <c r="D635" s="218" t="s">
        <v>1490</v>
      </c>
      <c r="E635" s="23" t="s">
        <v>44</v>
      </c>
      <c r="F635" s="17" t="s">
        <v>45</v>
      </c>
      <c r="G635" s="11" t="s">
        <v>1432</v>
      </c>
      <c r="H635" s="12">
        <v>28</v>
      </c>
      <c r="I635" s="11" t="s">
        <v>1433</v>
      </c>
      <c r="J635" s="375"/>
      <c r="K635" s="17" t="s">
        <v>233</v>
      </c>
      <c r="L635" s="17" t="s">
        <v>233</v>
      </c>
      <c r="M635" s="231">
        <v>0.48</v>
      </c>
      <c r="N635" s="231">
        <v>0.48</v>
      </c>
      <c r="O635" s="231">
        <v>0.48</v>
      </c>
      <c r="P635" s="231" t="s">
        <v>239</v>
      </c>
      <c r="Q635" s="231">
        <v>0.48</v>
      </c>
      <c r="R635" s="231" t="s">
        <v>239</v>
      </c>
      <c r="S635" s="231">
        <v>0.48</v>
      </c>
      <c r="T635" s="231" t="s">
        <v>239</v>
      </c>
      <c r="U635" s="231">
        <v>0.48</v>
      </c>
      <c r="V635" s="231" t="s">
        <v>239</v>
      </c>
      <c r="W635" s="231">
        <v>0.48</v>
      </c>
      <c r="X635" s="231" t="s">
        <v>239</v>
      </c>
      <c r="Y635" s="231">
        <v>0.48</v>
      </c>
      <c r="Z635" s="231" t="s">
        <v>239</v>
      </c>
      <c r="AA635" s="231">
        <v>0.48</v>
      </c>
      <c r="AB635" s="231" t="s">
        <v>239</v>
      </c>
      <c r="AC635" s="231">
        <v>0.48</v>
      </c>
      <c r="AD635" s="231" t="s">
        <v>239</v>
      </c>
      <c r="AE635" s="231">
        <v>0.48</v>
      </c>
      <c r="AF635" s="231" t="s">
        <v>239</v>
      </c>
      <c r="AG635" s="231">
        <v>0.48</v>
      </c>
      <c r="AH635" s="231" t="s">
        <v>239</v>
      </c>
      <c r="AI635" s="231">
        <v>0.48</v>
      </c>
      <c r="AJ635" s="231" t="s">
        <v>239</v>
      </c>
      <c r="AK635" s="231">
        <v>0.48</v>
      </c>
      <c r="AL635" s="232" t="s">
        <v>239</v>
      </c>
      <c r="AM635" s="232">
        <v>0</v>
      </c>
    </row>
    <row r="636" spans="1:39" ht="15.75" outlineLevel="1">
      <c r="A636" s="412"/>
      <c r="B636" s="10">
        <v>129313</v>
      </c>
      <c r="C636" s="218" t="s">
        <v>1489</v>
      </c>
      <c r="D636" s="218" t="s">
        <v>1490</v>
      </c>
      <c r="E636" s="23" t="s">
        <v>138</v>
      </c>
      <c r="F636" s="17" t="s">
        <v>45</v>
      </c>
      <c r="G636" s="11" t="s">
        <v>1432</v>
      </c>
      <c r="H636" s="12">
        <v>33</v>
      </c>
      <c r="I636" s="11" t="s">
        <v>1433</v>
      </c>
      <c r="J636" s="193" t="s">
        <v>1460</v>
      </c>
      <c r="K636" s="17" t="s">
        <v>233</v>
      </c>
      <c r="L636" s="17" t="s">
        <v>233</v>
      </c>
      <c r="M636" s="231">
        <v>0</v>
      </c>
      <c r="N636" s="232">
        <v>0</v>
      </c>
      <c r="O636" s="132"/>
      <c r="P636" s="231" t="s">
        <v>239</v>
      </c>
      <c r="Q636" s="232">
        <v>0</v>
      </c>
      <c r="R636" s="231" t="s">
        <v>239</v>
      </c>
      <c r="S636" s="232">
        <v>0</v>
      </c>
      <c r="T636" s="231" t="s">
        <v>239</v>
      </c>
      <c r="U636" s="232">
        <v>0</v>
      </c>
      <c r="V636" s="231" t="s">
        <v>239</v>
      </c>
      <c r="W636" s="232">
        <v>0</v>
      </c>
      <c r="X636" s="231" t="s">
        <v>239</v>
      </c>
      <c r="Y636" s="232">
        <v>0</v>
      </c>
      <c r="Z636" s="231" t="s">
        <v>239</v>
      </c>
      <c r="AA636" s="232">
        <v>0</v>
      </c>
      <c r="AB636" s="231" t="s">
        <v>239</v>
      </c>
      <c r="AC636" s="232">
        <v>0</v>
      </c>
      <c r="AD636" s="231" t="s">
        <v>239</v>
      </c>
      <c r="AE636" s="232">
        <v>0</v>
      </c>
      <c r="AF636" s="231" t="s">
        <v>239</v>
      </c>
      <c r="AG636" s="232">
        <v>0</v>
      </c>
      <c r="AH636" s="231" t="s">
        <v>239</v>
      </c>
      <c r="AI636" s="232">
        <v>0</v>
      </c>
      <c r="AJ636" s="231" t="s">
        <v>239</v>
      </c>
      <c r="AK636" s="232">
        <v>0</v>
      </c>
      <c r="AL636" s="232" t="s">
        <v>239</v>
      </c>
      <c r="AM636" s="232">
        <v>0</v>
      </c>
    </row>
    <row r="637" spans="1:39" ht="15.75" outlineLevel="1">
      <c r="A637" s="411">
        <v>314</v>
      </c>
      <c r="B637" s="10">
        <v>129314</v>
      </c>
      <c r="C637" s="218" t="s">
        <v>1489</v>
      </c>
      <c r="D637" s="218" t="s">
        <v>1490</v>
      </c>
      <c r="E637" s="23" t="s">
        <v>44</v>
      </c>
      <c r="F637" s="17" t="s">
        <v>45</v>
      </c>
      <c r="G637" s="11" t="s">
        <v>1432</v>
      </c>
      <c r="H637" s="12">
        <v>25</v>
      </c>
      <c r="I637" s="11" t="s">
        <v>1433</v>
      </c>
      <c r="J637" s="193" t="s">
        <v>1442</v>
      </c>
      <c r="K637" s="17" t="s">
        <v>233</v>
      </c>
      <c r="L637" s="17" t="s">
        <v>233</v>
      </c>
      <c r="M637" s="231">
        <v>2.6</v>
      </c>
      <c r="N637" s="231">
        <v>2.6</v>
      </c>
      <c r="O637" s="231">
        <v>2.6</v>
      </c>
      <c r="P637" s="231" t="s">
        <v>239</v>
      </c>
      <c r="Q637" s="231">
        <v>2.6</v>
      </c>
      <c r="R637" s="231" t="s">
        <v>239</v>
      </c>
      <c r="S637" s="231">
        <v>2.6</v>
      </c>
      <c r="T637" s="231" t="s">
        <v>239</v>
      </c>
      <c r="U637" s="231">
        <v>2.6</v>
      </c>
      <c r="V637" s="230" t="s">
        <v>239</v>
      </c>
      <c r="W637" s="231">
        <v>2.6</v>
      </c>
      <c r="X637" s="231" t="s">
        <v>239</v>
      </c>
      <c r="Y637" s="231">
        <v>2.6</v>
      </c>
      <c r="Z637" s="231" t="s">
        <v>239</v>
      </c>
      <c r="AA637" s="231">
        <v>2.6</v>
      </c>
      <c r="AB637" s="231" t="s">
        <v>239</v>
      </c>
      <c r="AC637" s="231">
        <v>2.6</v>
      </c>
      <c r="AD637" s="231" t="s">
        <v>239</v>
      </c>
      <c r="AE637" s="231">
        <v>2.6</v>
      </c>
      <c r="AF637" s="231" t="s">
        <v>239</v>
      </c>
      <c r="AG637" s="231">
        <v>2.6</v>
      </c>
      <c r="AH637" s="231" t="s">
        <v>239</v>
      </c>
      <c r="AI637" s="231">
        <v>2.6</v>
      </c>
      <c r="AJ637" s="231" t="s">
        <v>239</v>
      </c>
      <c r="AK637" s="231">
        <v>2.6</v>
      </c>
      <c r="AL637" s="232" t="s">
        <v>239</v>
      </c>
      <c r="AM637" s="232">
        <v>0</v>
      </c>
    </row>
    <row r="638" spans="1:39" ht="15.75" outlineLevel="1">
      <c r="A638" s="412"/>
      <c r="B638" s="10">
        <v>129314</v>
      </c>
      <c r="C638" s="218" t="s">
        <v>1489</v>
      </c>
      <c r="D638" s="218" t="s">
        <v>1490</v>
      </c>
      <c r="E638" s="23" t="s">
        <v>44</v>
      </c>
      <c r="F638" s="17" t="s">
        <v>45</v>
      </c>
      <c r="G638" s="11" t="s">
        <v>1432</v>
      </c>
      <c r="H638" s="12">
        <v>9</v>
      </c>
      <c r="I638" s="11" t="s">
        <v>1433</v>
      </c>
      <c r="J638" s="193" t="s">
        <v>1460</v>
      </c>
      <c r="K638" s="17" t="s">
        <v>233</v>
      </c>
      <c r="L638" s="17" t="s">
        <v>233</v>
      </c>
      <c r="M638" s="231">
        <v>20593</v>
      </c>
      <c r="N638" s="232">
        <v>20343.000980000001</v>
      </c>
      <c r="O638" s="132">
        <v>468</v>
      </c>
      <c r="P638" s="231" t="s">
        <v>239</v>
      </c>
      <c r="Q638" s="232">
        <v>462.23424</v>
      </c>
      <c r="R638" s="231" t="s">
        <v>239</v>
      </c>
      <c r="S638" s="232">
        <v>456.53951416320001</v>
      </c>
      <c r="T638" s="231" t="s">
        <v>239</v>
      </c>
      <c r="U638" s="232">
        <v>450.9149473487094</v>
      </c>
      <c r="V638" s="231" t="s">
        <v>239</v>
      </c>
      <c r="W638" s="232">
        <v>445.35967519737329</v>
      </c>
      <c r="X638" s="231" t="s">
        <v>239</v>
      </c>
      <c r="Y638" s="232">
        <v>439.87284399894168</v>
      </c>
      <c r="Z638" s="231" t="s">
        <v>239</v>
      </c>
      <c r="AA638" s="232">
        <v>434.45361056087472</v>
      </c>
      <c r="AB638" s="231" t="s">
        <v>239</v>
      </c>
      <c r="AC638" s="232">
        <v>429.10114207876472</v>
      </c>
      <c r="AD638" s="231" t="s">
        <v>239</v>
      </c>
      <c r="AE638" s="232">
        <v>423.81461600835434</v>
      </c>
      <c r="AF638" s="231" t="s">
        <v>239</v>
      </c>
      <c r="AG638" s="232">
        <v>418.59321993913142</v>
      </c>
      <c r="AH638" s="231" t="s">
        <v>239</v>
      </c>
      <c r="AI638" s="232">
        <v>413.43615146948133</v>
      </c>
      <c r="AJ638" s="231" t="s">
        <v>239</v>
      </c>
      <c r="AK638" s="232">
        <v>408.34261808337732</v>
      </c>
      <c r="AL638" s="232" t="s">
        <v>239</v>
      </c>
      <c r="AM638" s="232">
        <v>5250.6625788482088</v>
      </c>
    </row>
    <row r="639" spans="1:39" ht="15.75" outlineLevel="1">
      <c r="A639" s="411">
        <v>315</v>
      </c>
      <c r="B639" s="10">
        <v>129315</v>
      </c>
      <c r="C639" s="218" t="s">
        <v>1489</v>
      </c>
      <c r="D639" s="218" t="s">
        <v>1490</v>
      </c>
      <c r="E639" s="23" t="s">
        <v>138</v>
      </c>
      <c r="F639" s="17" t="s">
        <v>45</v>
      </c>
      <c r="G639" s="11" t="s">
        <v>1432</v>
      </c>
      <c r="H639" s="12">
        <v>24</v>
      </c>
      <c r="I639" s="11" t="s">
        <v>1433</v>
      </c>
      <c r="J639" s="193" t="s">
        <v>1457</v>
      </c>
      <c r="K639" s="17" t="s">
        <v>233</v>
      </c>
      <c r="L639" s="17" t="s">
        <v>233</v>
      </c>
      <c r="M639" s="231">
        <v>0</v>
      </c>
      <c r="N639" s="232">
        <v>0</v>
      </c>
      <c r="O639" s="132"/>
      <c r="P639" s="231" t="s">
        <v>239</v>
      </c>
      <c r="Q639" s="232">
        <v>0</v>
      </c>
      <c r="R639" s="231" t="s">
        <v>239</v>
      </c>
      <c r="S639" s="232">
        <v>0</v>
      </c>
      <c r="T639" s="231" t="s">
        <v>239</v>
      </c>
      <c r="U639" s="232">
        <v>0</v>
      </c>
      <c r="V639" s="231" t="s">
        <v>239</v>
      </c>
      <c r="W639" s="232">
        <v>0</v>
      </c>
      <c r="X639" s="231" t="s">
        <v>239</v>
      </c>
      <c r="Y639" s="232">
        <v>0</v>
      </c>
      <c r="Z639" s="231" t="s">
        <v>239</v>
      </c>
      <c r="AA639" s="232">
        <v>0</v>
      </c>
      <c r="AB639" s="231" t="s">
        <v>239</v>
      </c>
      <c r="AC639" s="232">
        <v>0</v>
      </c>
      <c r="AD639" s="231" t="s">
        <v>239</v>
      </c>
      <c r="AE639" s="232">
        <v>0</v>
      </c>
      <c r="AF639" s="231" t="s">
        <v>239</v>
      </c>
      <c r="AG639" s="232">
        <v>0</v>
      </c>
      <c r="AH639" s="231" t="s">
        <v>239</v>
      </c>
      <c r="AI639" s="232">
        <v>0</v>
      </c>
      <c r="AJ639" s="231" t="s">
        <v>239</v>
      </c>
      <c r="AK639" s="232">
        <v>0</v>
      </c>
      <c r="AL639" s="232" t="s">
        <v>239</v>
      </c>
      <c r="AM639" s="232">
        <v>0</v>
      </c>
    </row>
    <row r="640" spans="1:39" ht="15.75" outlineLevel="1">
      <c r="A640" s="412"/>
      <c r="B640" s="10">
        <v>129315</v>
      </c>
      <c r="C640" s="218" t="s">
        <v>1489</v>
      </c>
      <c r="D640" s="218" t="s">
        <v>1490</v>
      </c>
      <c r="E640" s="23" t="s">
        <v>44</v>
      </c>
      <c r="F640" s="17" t="s">
        <v>45</v>
      </c>
      <c r="G640" s="11" t="s">
        <v>1432</v>
      </c>
      <c r="H640" s="12">
        <v>36</v>
      </c>
      <c r="I640" s="11" t="s">
        <v>1433</v>
      </c>
      <c r="J640" s="193" t="s">
        <v>617</v>
      </c>
      <c r="K640" s="17" t="s">
        <v>233</v>
      </c>
      <c r="L640" s="17" t="s">
        <v>233</v>
      </c>
      <c r="M640" s="231">
        <v>0</v>
      </c>
      <c r="N640" s="232">
        <v>0</v>
      </c>
      <c r="O640" s="132"/>
      <c r="P640" s="231" t="s">
        <v>239</v>
      </c>
      <c r="Q640" s="232">
        <v>0</v>
      </c>
      <c r="R640" s="231" t="s">
        <v>239</v>
      </c>
      <c r="S640" s="232">
        <v>0</v>
      </c>
      <c r="T640" s="231" t="s">
        <v>239</v>
      </c>
      <c r="U640" s="232">
        <v>0</v>
      </c>
      <c r="V640" s="230" t="s">
        <v>239</v>
      </c>
      <c r="W640" s="232">
        <v>0</v>
      </c>
      <c r="X640" s="231" t="s">
        <v>239</v>
      </c>
      <c r="Y640" s="232">
        <v>0</v>
      </c>
      <c r="Z640" s="231" t="s">
        <v>239</v>
      </c>
      <c r="AA640" s="232">
        <v>0</v>
      </c>
      <c r="AB640" s="231" t="s">
        <v>239</v>
      </c>
      <c r="AC640" s="232">
        <v>0</v>
      </c>
      <c r="AD640" s="231" t="s">
        <v>239</v>
      </c>
      <c r="AE640" s="232">
        <v>0</v>
      </c>
      <c r="AF640" s="231" t="s">
        <v>239</v>
      </c>
      <c r="AG640" s="232">
        <v>0</v>
      </c>
      <c r="AH640" s="231" t="s">
        <v>239</v>
      </c>
      <c r="AI640" s="232">
        <v>0</v>
      </c>
      <c r="AJ640" s="231" t="s">
        <v>239</v>
      </c>
      <c r="AK640" s="232">
        <v>0</v>
      </c>
      <c r="AL640" s="232" t="s">
        <v>239</v>
      </c>
      <c r="AM640" s="232">
        <v>0</v>
      </c>
    </row>
    <row r="641" spans="1:39" ht="15.75" outlineLevel="1">
      <c r="A641" s="411">
        <v>316</v>
      </c>
      <c r="B641" s="10">
        <v>129316</v>
      </c>
      <c r="C641" s="218" t="s">
        <v>1489</v>
      </c>
      <c r="D641" s="218" t="s">
        <v>1490</v>
      </c>
      <c r="E641" s="23" t="s">
        <v>138</v>
      </c>
      <c r="F641" s="17" t="s">
        <v>45</v>
      </c>
      <c r="G641" s="11" t="s">
        <v>1432</v>
      </c>
      <c r="H641" s="12">
        <v>34</v>
      </c>
      <c r="I641" s="11" t="s">
        <v>1433</v>
      </c>
      <c r="J641" s="193" t="s">
        <v>216</v>
      </c>
      <c r="K641" s="17" t="s">
        <v>233</v>
      </c>
      <c r="L641" s="17" t="s">
        <v>233</v>
      </c>
      <c r="M641" s="231">
        <v>0</v>
      </c>
      <c r="N641" s="232">
        <v>0</v>
      </c>
      <c r="O641" s="132"/>
      <c r="P641" s="231" t="s">
        <v>239</v>
      </c>
      <c r="Q641" s="232">
        <v>0</v>
      </c>
      <c r="R641" s="231" t="s">
        <v>239</v>
      </c>
      <c r="S641" s="232">
        <v>0</v>
      </c>
      <c r="T641" s="231" t="s">
        <v>239</v>
      </c>
      <c r="U641" s="232">
        <v>0</v>
      </c>
      <c r="V641" s="231" t="s">
        <v>239</v>
      </c>
      <c r="W641" s="232">
        <v>0</v>
      </c>
      <c r="X641" s="231" t="s">
        <v>239</v>
      </c>
      <c r="Y641" s="232">
        <v>0</v>
      </c>
      <c r="Z641" s="231" t="s">
        <v>239</v>
      </c>
      <c r="AA641" s="232">
        <v>0</v>
      </c>
      <c r="AB641" s="231" t="s">
        <v>239</v>
      </c>
      <c r="AC641" s="232">
        <v>0</v>
      </c>
      <c r="AD641" s="231" t="s">
        <v>239</v>
      </c>
      <c r="AE641" s="232">
        <v>0</v>
      </c>
      <c r="AF641" s="231" t="s">
        <v>239</v>
      </c>
      <c r="AG641" s="232">
        <v>0</v>
      </c>
      <c r="AH641" s="231" t="s">
        <v>239</v>
      </c>
      <c r="AI641" s="232">
        <v>0</v>
      </c>
      <c r="AJ641" s="231" t="s">
        <v>239</v>
      </c>
      <c r="AK641" s="232">
        <v>0</v>
      </c>
      <c r="AL641" s="232" t="s">
        <v>239</v>
      </c>
      <c r="AM641" s="232">
        <v>0</v>
      </c>
    </row>
    <row r="642" spans="1:39" ht="15.75" outlineLevel="1">
      <c r="A642" s="412"/>
      <c r="B642" s="10">
        <v>129316</v>
      </c>
      <c r="C642" s="218" t="s">
        <v>1489</v>
      </c>
      <c r="D642" s="218" t="s">
        <v>1490</v>
      </c>
      <c r="E642" s="23" t="s">
        <v>44</v>
      </c>
      <c r="F642" s="17" t="s">
        <v>45</v>
      </c>
      <c r="G642" s="11" t="s">
        <v>1432</v>
      </c>
      <c r="H642" s="12">
        <v>7</v>
      </c>
      <c r="I642" s="11" t="s">
        <v>1433</v>
      </c>
      <c r="J642" s="192" t="s">
        <v>1446</v>
      </c>
      <c r="K642" s="17" t="s">
        <v>233</v>
      </c>
      <c r="L642" s="17" t="s">
        <v>233</v>
      </c>
      <c r="M642" s="231">
        <v>0</v>
      </c>
      <c r="N642" s="232">
        <v>0</v>
      </c>
      <c r="O642" s="132"/>
      <c r="P642" s="231" t="s">
        <v>239</v>
      </c>
      <c r="Q642" s="232">
        <v>0</v>
      </c>
      <c r="R642" s="231" t="s">
        <v>239</v>
      </c>
      <c r="S642" s="232">
        <v>0</v>
      </c>
      <c r="T642" s="231" t="s">
        <v>239</v>
      </c>
      <c r="U642" s="232">
        <v>0</v>
      </c>
      <c r="V642" s="231" t="s">
        <v>239</v>
      </c>
      <c r="W642" s="232">
        <v>0</v>
      </c>
      <c r="X642" s="231" t="s">
        <v>239</v>
      </c>
      <c r="Y642" s="232">
        <v>0</v>
      </c>
      <c r="Z642" s="231" t="s">
        <v>239</v>
      </c>
      <c r="AA642" s="232">
        <v>0</v>
      </c>
      <c r="AB642" s="231" t="s">
        <v>239</v>
      </c>
      <c r="AC642" s="232">
        <v>0</v>
      </c>
      <c r="AD642" s="231" t="s">
        <v>239</v>
      </c>
      <c r="AE642" s="232">
        <v>0</v>
      </c>
      <c r="AF642" s="231" t="s">
        <v>239</v>
      </c>
      <c r="AG642" s="232">
        <v>0</v>
      </c>
      <c r="AH642" s="231" t="s">
        <v>239</v>
      </c>
      <c r="AI642" s="232">
        <v>0</v>
      </c>
      <c r="AJ642" s="231" t="s">
        <v>239</v>
      </c>
      <c r="AK642" s="232">
        <v>0</v>
      </c>
      <c r="AL642" s="232" t="s">
        <v>239</v>
      </c>
      <c r="AM642" s="232">
        <v>0</v>
      </c>
    </row>
    <row r="643" spans="1:39" ht="15.75" outlineLevel="1">
      <c r="A643" s="411">
        <v>317</v>
      </c>
      <c r="B643" s="10">
        <v>129317</v>
      </c>
      <c r="C643" s="218" t="s">
        <v>1489</v>
      </c>
      <c r="D643" s="218" t="s">
        <v>1490</v>
      </c>
      <c r="E643" s="23" t="s">
        <v>44</v>
      </c>
      <c r="F643" s="17" t="s">
        <v>45</v>
      </c>
      <c r="G643" s="11" t="s">
        <v>1432</v>
      </c>
      <c r="H643" s="12">
        <v>5</v>
      </c>
      <c r="I643" s="11" t="s">
        <v>1433</v>
      </c>
      <c r="J643" s="192" t="s">
        <v>1481</v>
      </c>
      <c r="K643" s="17" t="s">
        <v>233</v>
      </c>
      <c r="L643" s="17" t="s">
        <v>233</v>
      </c>
      <c r="M643" s="231">
        <v>1</v>
      </c>
      <c r="N643" s="231">
        <v>1</v>
      </c>
      <c r="O643" s="231">
        <v>1</v>
      </c>
      <c r="P643" s="231" t="s">
        <v>239</v>
      </c>
      <c r="Q643" s="231">
        <v>1</v>
      </c>
      <c r="R643" s="231" t="s">
        <v>239</v>
      </c>
      <c r="S643" s="231">
        <v>1</v>
      </c>
      <c r="T643" s="231" t="s">
        <v>239</v>
      </c>
      <c r="U643" s="231">
        <v>1</v>
      </c>
      <c r="V643" s="230" t="s">
        <v>239</v>
      </c>
      <c r="W643" s="231">
        <v>1</v>
      </c>
      <c r="X643" s="231" t="s">
        <v>239</v>
      </c>
      <c r="Y643" s="231">
        <v>1</v>
      </c>
      <c r="Z643" s="231" t="s">
        <v>239</v>
      </c>
      <c r="AA643" s="231">
        <v>1</v>
      </c>
      <c r="AB643" s="231" t="s">
        <v>239</v>
      </c>
      <c r="AC643" s="231">
        <v>1</v>
      </c>
      <c r="AD643" s="231" t="s">
        <v>239</v>
      </c>
      <c r="AE643" s="231">
        <v>1</v>
      </c>
      <c r="AF643" s="231" t="s">
        <v>239</v>
      </c>
      <c r="AG643" s="231">
        <v>1</v>
      </c>
      <c r="AH643" s="231" t="s">
        <v>239</v>
      </c>
      <c r="AI643" s="231">
        <v>1</v>
      </c>
      <c r="AJ643" s="231" t="s">
        <v>239</v>
      </c>
      <c r="AK643" s="231">
        <v>1</v>
      </c>
      <c r="AL643" s="232" t="s">
        <v>239</v>
      </c>
      <c r="AM643" s="232">
        <v>0</v>
      </c>
    </row>
    <row r="644" spans="1:39" ht="15.75" outlineLevel="1">
      <c r="A644" s="412"/>
      <c r="B644" s="10">
        <v>129317</v>
      </c>
      <c r="C644" s="218" t="s">
        <v>1489</v>
      </c>
      <c r="D644" s="218" t="s">
        <v>1490</v>
      </c>
      <c r="E644" s="23" t="s">
        <v>138</v>
      </c>
      <c r="F644" s="17" t="s">
        <v>45</v>
      </c>
      <c r="G644" s="11" t="s">
        <v>1432</v>
      </c>
      <c r="H644" s="12">
        <v>14</v>
      </c>
      <c r="I644" s="11" t="s">
        <v>1433</v>
      </c>
      <c r="J644" s="192" t="s">
        <v>208</v>
      </c>
      <c r="K644" s="17" t="s">
        <v>233</v>
      </c>
      <c r="L644" s="17" t="s">
        <v>233</v>
      </c>
      <c r="M644" s="231">
        <v>7896</v>
      </c>
      <c r="N644" s="232">
        <v>7800.1425599999993</v>
      </c>
      <c r="O644" s="132">
        <v>864</v>
      </c>
      <c r="P644" s="231" t="s">
        <v>239</v>
      </c>
      <c r="Q644" s="232">
        <v>853.35551999999996</v>
      </c>
      <c r="R644" s="231" t="s">
        <v>239</v>
      </c>
      <c r="S644" s="232">
        <v>842.84217999359998</v>
      </c>
      <c r="T644" s="231" t="s">
        <v>239</v>
      </c>
      <c r="U644" s="232">
        <v>832.45836433607883</v>
      </c>
      <c r="V644" s="231" t="s">
        <v>239</v>
      </c>
      <c r="W644" s="232">
        <v>822.20247728745835</v>
      </c>
      <c r="X644" s="231" t="s">
        <v>239</v>
      </c>
      <c r="Y644" s="232">
        <v>812.07294276727691</v>
      </c>
      <c r="Z644" s="231" t="s">
        <v>239</v>
      </c>
      <c r="AA644" s="232">
        <v>802.06820411238402</v>
      </c>
      <c r="AB644" s="231" t="s">
        <v>239</v>
      </c>
      <c r="AC644" s="232">
        <v>792.18672383771946</v>
      </c>
      <c r="AD644" s="231" t="s">
        <v>239</v>
      </c>
      <c r="AE644" s="232">
        <v>782.42698340003881</v>
      </c>
      <c r="AF644" s="231" t="s">
        <v>239</v>
      </c>
      <c r="AG644" s="232">
        <v>772.78748296455035</v>
      </c>
      <c r="AH644" s="231" t="s">
        <v>239</v>
      </c>
      <c r="AI644" s="232">
        <v>763.26674117442712</v>
      </c>
      <c r="AJ644" s="231" t="s">
        <v>239</v>
      </c>
      <c r="AK644" s="232">
        <v>753.86329492315815</v>
      </c>
      <c r="AL644" s="232" t="s">
        <v>239</v>
      </c>
      <c r="AM644" s="232">
        <v>9693.5309147966909</v>
      </c>
    </row>
    <row r="645" spans="1:39" ht="15.75" outlineLevel="1">
      <c r="A645" s="411">
        <v>318</v>
      </c>
      <c r="B645" s="10">
        <v>129318</v>
      </c>
      <c r="C645" s="218" t="s">
        <v>1489</v>
      </c>
      <c r="D645" s="218" t="s">
        <v>1490</v>
      </c>
      <c r="E645" s="23" t="s">
        <v>44</v>
      </c>
      <c r="F645" s="17" t="s">
        <v>45</v>
      </c>
      <c r="G645" s="11" t="s">
        <v>1432</v>
      </c>
      <c r="H645" s="12">
        <v>18</v>
      </c>
      <c r="I645" s="11" t="s">
        <v>1433</v>
      </c>
      <c r="J645" s="192" t="s">
        <v>1463</v>
      </c>
      <c r="K645" s="17" t="s">
        <v>233</v>
      </c>
      <c r="L645" s="17" t="s">
        <v>233</v>
      </c>
      <c r="M645" s="231">
        <v>65</v>
      </c>
      <c r="N645" s="231">
        <v>65</v>
      </c>
      <c r="O645" s="231">
        <v>65</v>
      </c>
      <c r="P645" s="231" t="s">
        <v>239</v>
      </c>
      <c r="Q645" s="231">
        <v>65</v>
      </c>
      <c r="R645" s="231" t="s">
        <v>239</v>
      </c>
      <c r="S645" s="231">
        <v>65</v>
      </c>
      <c r="T645" s="231" t="s">
        <v>239</v>
      </c>
      <c r="U645" s="231">
        <v>65</v>
      </c>
      <c r="V645" s="231" t="s">
        <v>239</v>
      </c>
      <c r="W645" s="231">
        <v>65</v>
      </c>
      <c r="X645" s="231" t="s">
        <v>239</v>
      </c>
      <c r="Y645" s="231">
        <v>65</v>
      </c>
      <c r="Z645" s="231" t="s">
        <v>239</v>
      </c>
      <c r="AA645" s="231">
        <v>65</v>
      </c>
      <c r="AB645" s="231" t="s">
        <v>239</v>
      </c>
      <c r="AC645" s="231">
        <v>65</v>
      </c>
      <c r="AD645" s="231" t="s">
        <v>239</v>
      </c>
      <c r="AE645" s="231">
        <v>65</v>
      </c>
      <c r="AF645" s="231" t="s">
        <v>239</v>
      </c>
      <c r="AG645" s="231">
        <v>65</v>
      </c>
      <c r="AH645" s="231" t="s">
        <v>239</v>
      </c>
      <c r="AI645" s="231">
        <v>65</v>
      </c>
      <c r="AJ645" s="231" t="s">
        <v>239</v>
      </c>
      <c r="AK645" s="231">
        <v>65</v>
      </c>
      <c r="AL645" s="232" t="s">
        <v>239</v>
      </c>
      <c r="AM645" s="232">
        <v>0</v>
      </c>
    </row>
    <row r="646" spans="1:39" ht="15.75" outlineLevel="1">
      <c r="A646" s="412"/>
      <c r="B646" s="10">
        <v>129318</v>
      </c>
      <c r="C646" s="218" t="s">
        <v>1489</v>
      </c>
      <c r="D646" s="218" t="s">
        <v>1490</v>
      </c>
      <c r="E646" s="23" t="s">
        <v>138</v>
      </c>
      <c r="F646" s="17" t="s">
        <v>45</v>
      </c>
      <c r="G646" s="11" t="s">
        <v>1432</v>
      </c>
      <c r="H646" s="12">
        <v>17</v>
      </c>
      <c r="I646" s="11" t="s">
        <v>1433</v>
      </c>
      <c r="J646" s="192" t="s">
        <v>1482</v>
      </c>
      <c r="K646" s="17" t="s">
        <v>233</v>
      </c>
      <c r="L646" s="17" t="s">
        <v>233</v>
      </c>
      <c r="M646" s="231">
        <v>17754</v>
      </c>
      <c r="N646" s="232">
        <v>17538.46644</v>
      </c>
      <c r="O646" s="132">
        <v>640</v>
      </c>
      <c r="P646" s="231" t="s">
        <v>239</v>
      </c>
      <c r="Q646" s="232">
        <v>632.11519999999996</v>
      </c>
      <c r="R646" s="231" t="s">
        <v>239</v>
      </c>
      <c r="S646" s="232">
        <v>624.32754073599995</v>
      </c>
      <c r="T646" s="231" t="s">
        <v>239</v>
      </c>
      <c r="U646" s="232">
        <v>616.63582543413247</v>
      </c>
      <c r="V646" s="230" t="s">
        <v>239</v>
      </c>
      <c r="W646" s="232">
        <v>609.03887206478396</v>
      </c>
      <c r="X646" s="231" t="s">
        <v>239</v>
      </c>
      <c r="Y646" s="232">
        <v>601.53551316094581</v>
      </c>
      <c r="Z646" s="231" t="s">
        <v>239</v>
      </c>
      <c r="AA646" s="232">
        <v>594.12459563880293</v>
      </c>
      <c r="AB646" s="231" t="s">
        <v>239</v>
      </c>
      <c r="AC646" s="232">
        <v>586.80498062053289</v>
      </c>
      <c r="AD646" s="231" t="s">
        <v>239</v>
      </c>
      <c r="AE646" s="232">
        <v>579.57554325928788</v>
      </c>
      <c r="AF646" s="231" t="s">
        <v>239</v>
      </c>
      <c r="AG646" s="232">
        <v>572.43517256633345</v>
      </c>
      <c r="AH646" s="231" t="s">
        <v>239</v>
      </c>
      <c r="AI646" s="232">
        <v>565.38277124031617</v>
      </c>
      <c r="AJ646" s="231" t="s">
        <v>239</v>
      </c>
      <c r="AK646" s="232">
        <v>558.41725549863543</v>
      </c>
      <c r="AL646" s="232" t="s">
        <v>239</v>
      </c>
      <c r="AM646" s="232">
        <v>7180.3932702197708</v>
      </c>
    </row>
    <row r="647" spans="1:39" ht="15.75" outlineLevel="1">
      <c r="A647" s="411">
        <v>319</v>
      </c>
      <c r="B647" s="10">
        <v>129319</v>
      </c>
      <c r="C647" s="218" t="s">
        <v>1489</v>
      </c>
      <c r="D647" s="218" t="s">
        <v>1490</v>
      </c>
      <c r="E647" s="23" t="s">
        <v>44</v>
      </c>
      <c r="F647" s="17" t="s">
        <v>45</v>
      </c>
      <c r="G647" s="11" t="s">
        <v>1432</v>
      </c>
      <c r="H647" s="12">
        <v>28</v>
      </c>
      <c r="I647" s="11" t="s">
        <v>1433</v>
      </c>
      <c r="J647" s="192" t="s">
        <v>1462</v>
      </c>
      <c r="K647" s="17" t="s">
        <v>233</v>
      </c>
      <c r="L647" s="17" t="s">
        <v>233</v>
      </c>
      <c r="M647" s="231">
        <v>26</v>
      </c>
      <c r="N647" s="231">
        <v>26</v>
      </c>
      <c r="O647" s="231">
        <v>26</v>
      </c>
      <c r="P647" s="231" t="s">
        <v>239</v>
      </c>
      <c r="Q647" s="231">
        <v>26</v>
      </c>
      <c r="R647" s="231" t="s">
        <v>239</v>
      </c>
      <c r="S647" s="231">
        <v>26</v>
      </c>
      <c r="T647" s="231" t="s">
        <v>239</v>
      </c>
      <c r="U647" s="231">
        <v>26</v>
      </c>
      <c r="V647" s="231" t="s">
        <v>239</v>
      </c>
      <c r="W647" s="231">
        <v>26</v>
      </c>
      <c r="X647" s="231" t="s">
        <v>239</v>
      </c>
      <c r="Y647" s="231">
        <v>26</v>
      </c>
      <c r="Z647" s="231" t="s">
        <v>239</v>
      </c>
      <c r="AA647" s="231">
        <v>26</v>
      </c>
      <c r="AB647" s="231" t="s">
        <v>239</v>
      </c>
      <c r="AC647" s="231">
        <v>26</v>
      </c>
      <c r="AD647" s="231" t="s">
        <v>239</v>
      </c>
      <c r="AE647" s="231">
        <v>26</v>
      </c>
      <c r="AF647" s="231" t="s">
        <v>239</v>
      </c>
      <c r="AG647" s="231">
        <v>26</v>
      </c>
      <c r="AH647" s="231" t="s">
        <v>239</v>
      </c>
      <c r="AI647" s="231">
        <v>26</v>
      </c>
      <c r="AJ647" s="231" t="s">
        <v>239</v>
      </c>
      <c r="AK647" s="231">
        <v>26</v>
      </c>
      <c r="AL647" s="232" t="s">
        <v>239</v>
      </c>
      <c r="AM647" s="232">
        <v>0</v>
      </c>
    </row>
    <row r="648" spans="1:39" ht="15.75" outlineLevel="1">
      <c r="A648" s="412"/>
      <c r="B648" s="10">
        <v>129319</v>
      </c>
      <c r="C648" s="218" t="s">
        <v>1489</v>
      </c>
      <c r="D648" s="218" t="s">
        <v>1490</v>
      </c>
      <c r="E648" s="23" t="s">
        <v>44</v>
      </c>
      <c r="F648" s="17" t="s">
        <v>45</v>
      </c>
      <c r="G648" s="11" t="s">
        <v>1432</v>
      </c>
      <c r="H648" s="12">
        <v>33</v>
      </c>
      <c r="I648" s="11" t="s">
        <v>1433</v>
      </c>
      <c r="J648" s="192" t="s">
        <v>1457</v>
      </c>
      <c r="K648" s="17" t="s">
        <v>233</v>
      </c>
      <c r="L648" s="17" t="s">
        <v>233</v>
      </c>
      <c r="M648" s="231">
        <v>8018</v>
      </c>
      <c r="N648" s="232">
        <v>7920.6614799999998</v>
      </c>
      <c r="O648" s="132">
        <v>637</v>
      </c>
      <c r="P648" s="231" t="s">
        <v>239</v>
      </c>
      <c r="Q648" s="232">
        <v>629.15215999999998</v>
      </c>
      <c r="R648" s="231" t="s">
        <v>239</v>
      </c>
      <c r="S648" s="232">
        <v>621.40100538879994</v>
      </c>
      <c r="T648" s="231" t="s">
        <v>239</v>
      </c>
      <c r="U648" s="232">
        <v>613.74534500240998</v>
      </c>
      <c r="V648" s="231" t="s">
        <v>239</v>
      </c>
      <c r="W648" s="232">
        <v>606.18400235198033</v>
      </c>
      <c r="X648" s="231" t="s">
        <v>239</v>
      </c>
      <c r="Y648" s="232">
        <v>598.71581544300398</v>
      </c>
      <c r="Z648" s="231" t="s">
        <v>239</v>
      </c>
      <c r="AA648" s="232">
        <v>591.33963659674612</v>
      </c>
      <c r="AB648" s="231" t="s">
        <v>239</v>
      </c>
      <c r="AC648" s="232">
        <v>584.05433227387425</v>
      </c>
      <c r="AD648" s="231" t="s">
        <v>239</v>
      </c>
      <c r="AE648" s="232">
        <v>576.85878290026017</v>
      </c>
      <c r="AF648" s="231" t="s">
        <v>239</v>
      </c>
      <c r="AG648" s="232">
        <v>569.75188269492901</v>
      </c>
      <c r="AH648" s="231" t="s">
        <v>239</v>
      </c>
      <c r="AI648" s="232">
        <v>562.73253950012747</v>
      </c>
      <c r="AJ648" s="231" t="s">
        <v>239</v>
      </c>
      <c r="AK648" s="232">
        <v>555.79967461348588</v>
      </c>
      <c r="AL648" s="232" t="s">
        <v>239</v>
      </c>
      <c r="AM648" s="232">
        <v>7146.7351767656164</v>
      </c>
    </row>
    <row r="649" spans="1:39" ht="15.75" outlineLevel="1">
      <c r="A649" s="411">
        <v>320</v>
      </c>
      <c r="B649" s="10">
        <v>129320</v>
      </c>
      <c r="C649" s="218" t="s">
        <v>1489</v>
      </c>
      <c r="D649" s="218" t="s">
        <v>1490</v>
      </c>
      <c r="E649" s="23" t="s">
        <v>138</v>
      </c>
      <c r="F649" s="17" t="s">
        <v>45</v>
      </c>
      <c r="G649" s="11" t="s">
        <v>1432</v>
      </c>
      <c r="H649" s="12">
        <v>25</v>
      </c>
      <c r="I649" s="11" t="s">
        <v>1433</v>
      </c>
      <c r="J649" s="192" t="s">
        <v>617</v>
      </c>
      <c r="K649" s="17" t="s">
        <v>233</v>
      </c>
      <c r="L649" s="17" t="s">
        <v>233</v>
      </c>
      <c r="M649" s="231">
        <v>0</v>
      </c>
      <c r="N649" s="232">
        <v>0</v>
      </c>
      <c r="O649" s="132"/>
      <c r="P649" s="231" t="s">
        <v>239</v>
      </c>
      <c r="Q649" s="232">
        <v>0</v>
      </c>
      <c r="R649" s="231" t="s">
        <v>239</v>
      </c>
      <c r="S649" s="232">
        <v>0</v>
      </c>
      <c r="T649" s="231" t="s">
        <v>239</v>
      </c>
      <c r="U649" s="232">
        <v>0</v>
      </c>
      <c r="V649" s="230" t="s">
        <v>239</v>
      </c>
      <c r="W649" s="232">
        <v>0</v>
      </c>
      <c r="X649" s="231" t="s">
        <v>239</v>
      </c>
      <c r="Y649" s="232">
        <v>0</v>
      </c>
      <c r="Z649" s="231" t="s">
        <v>239</v>
      </c>
      <c r="AA649" s="232">
        <v>0</v>
      </c>
      <c r="AB649" s="231" t="s">
        <v>239</v>
      </c>
      <c r="AC649" s="232">
        <v>0</v>
      </c>
      <c r="AD649" s="231" t="s">
        <v>239</v>
      </c>
      <c r="AE649" s="232">
        <v>0</v>
      </c>
      <c r="AF649" s="231" t="s">
        <v>239</v>
      </c>
      <c r="AG649" s="232">
        <v>0</v>
      </c>
      <c r="AH649" s="231" t="s">
        <v>239</v>
      </c>
      <c r="AI649" s="232">
        <v>0</v>
      </c>
      <c r="AJ649" s="231" t="s">
        <v>239</v>
      </c>
      <c r="AK649" s="232">
        <v>0</v>
      </c>
      <c r="AL649" s="232" t="s">
        <v>239</v>
      </c>
      <c r="AM649" s="232">
        <v>0</v>
      </c>
    </row>
    <row r="650" spans="1:39" ht="15.75" outlineLevel="1">
      <c r="A650" s="412"/>
      <c r="B650" s="10">
        <v>129320</v>
      </c>
      <c r="C650" s="218" t="s">
        <v>1489</v>
      </c>
      <c r="D650" s="218" t="s">
        <v>1490</v>
      </c>
      <c r="E650" s="23" t="s">
        <v>44</v>
      </c>
      <c r="F650" s="17" t="s">
        <v>45</v>
      </c>
      <c r="G650" s="11" t="s">
        <v>1432</v>
      </c>
      <c r="H650" s="12">
        <v>9</v>
      </c>
      <c r="I650" s="11" t="s">
        <v>1433</v>
      </c>
      <c r="J650" s="191" t="s">
        <v>216</v>
      </c>
      <c r="K650" s="17" t="s">
        <v>233</v>
      </c>
      <c r="L650" s="17" t="s">
        <v>233</v>
      </c>
      <c r="M650" s="231">
        <v>0</v>
      </c>
      <c r="N650" s="232">
        <v>0</v>
      </c>
      <c r="O650" s="132"/>
      <c r="P650" s="231" t="s">
        <v>239</v>
      </c>
      <c r="Q650" s="232">
        <v>0</v>
      </c>
      <c r="R650" s="231" t="s">
        <v>239</v>
      </c>
      <c r="S650" s="232">
        <v>0</v>
      </c>
      <c r="T650" s="231" t="s">
        <v>239</v>
      </c>
      <c r="U650" s="232">
        <v>0</v>
      </c>
      <c r="V650" s="231" t="s">
        <v>239</v>
      </c>
      <c r="W650" s="232">
        <v>0</v>
      </c>
      <c r="X650" s="231" t="s">
        <v>239</v>
      </c>
      <c r="Y650" s="232">
        <v>0</v>
      </c>
      <c r="Z650" s="231" t="s">
        <v>239</v>
      </c>
      <c r="AA650" s="232">
        <v>0</v>
      </c>
      <c r="AB650" s="231" t="s">
        <v>239</v>
      </c>
      <c r="AC650" s="232">
        <v>0</v>
      </c>
      <c r="AD650" s="231" t="s">
        <v>239</v>
      </c>
      <c r="AE650" s="232">
        <v>0</v>
      </c>
      <c r="AF650" s="231" t="s">
        <v>239</v>
      </c>
      <c r="AG650" s="232">
        <v>0</v>
      </c>
      <c r="AH650" s="231" t="s">
        <v>239</v>
      </c>
      <c r="AI650" s="232">
        <v>0</v>
      </c>
      <c r="AJ650" s="231" t="s">
        <v>239</v>
      </c>
      <c r="AK650" s="232">
        <v>0</v>
      </c>
      <c r="AL650" s="232" t="s">
        <v>239</v>
      </c>
      <c r="AM650" s="232">
        <v>0</v>
      </c>
    </row>
    <row r="651" spans="1:39" ht="15.75" outlineLevel="1">
      <c r="A651" s="411">
        <v>321</v>
      </c>
      <c r="B651" s="10">
        <v>129321</v>
      </c>
      <c r="C651" s="218" t="s">
        <v>1489</v>
      </c>
      <c r="D651" s="218" t="s">
        <v>1490</v>
      </c>
      <c r="E651" s="23" t="s">
        <v>138</v>
      </c>
      <c r="F651" s="17" t="s">
        <v>45</v>
      </c>
      <c r="G651" s="11" t="s">
        <v>1432</v>
      </c>
      <c r="H651" s="12">
        <v>24</v>
      </c>
      <c r="I651" s="11" t="s">
        <v>1433</v>
      </c>
      <c r="J651" s="192" t="s">
        <v>1434</v>
      </c>
      <c r="K651" s="17" t="s">
        <v>233</v>
      </c>
      <c r="L651" s="17" t="s">
        <v>233</v>
      </c>
      <c r="M651" s="231">
        <v>34</v>
      </c>
      <c r="N651" s="231">
        <v>34</v>
      </c>
      <c r="O651" s="231">
        <v>34</v>
      </c>
      <c r="P651" s="231" t="s">
        <v>239</v>
      </c>
      <c r="Q651" s="231">
        <v>34</v>
      </c>
      <c r="R651" s="231" t="s">
        <v>239</v>
      </c>
      <c r="S651" s="231">
        <v>34</v>
      </c>
      <c r="T651" s="231" t="s">
        <v>239</v>
      </c>
      <c r="U651" s="231">
        <v>34</v>
      </c>
      <c r="V651" s="231" t="s">
        <v>239</v>
      </c>
      <c r="W651" s="231">
        <v>34</v>
      </c>
      <c r="X651" s="231" t="s">
        <v>239</v>
      </c>
      <c r="Y651" s="231">
        <v>34</v>
      </c>
      <c r="Z651" s="231" t="s">
        <v>239</v>
      </c>
      <c r="AA651" s="231">
        <v>34</v>
      </c>
      <c r="AB651" s="231" t="s">
        <v>239</v>
      </c>
      <c r="AC651" s="231">
        <v>34</v>
      </c>
      <c r="AD651" s="231" t="s">
        <v>239</v>
      </c>
      <c r="AE651" s="231">
        <v>34</v>
      </c>
      <c r="AF651" s="231" t="s">
        <v>239</v>
      </c>
      <c r="AG651" s="231">
        <v>34</v>
      </c>
      <c r="AH651" s="231" t="s">
        <v>239</v>
      </c>
      <c r="AI651" s="231">
        <v>34</v>
      </c>
      <c r="AJ651" s="231" t="s">
        <v>239</v>
      </c>
      <c r="AK651" s="231">
        <v>34</v>
      </c>
      <c r="AL651" s="232" t="s">
        <v>239</v>
      </c>
      <c r="AM651" s="232">
        <v>0</v>
      </c>
    </row>
    <row r="652" spans="1:39" ht="15.75" outlineLevel="1">
      <c r="A652" s="412"/>
      <c r="B652" s="10">
        <v>129321</v>
      </c>
      <c r="C652" s="218" t="s">
        <v>1489</v>
      </c>
      <c r="D652" s="218" t="s">
        <v>1490</v>
      </c>
      <c r="E652" s="23" t="s">
        <v>44</v>
      </c>
      <c r="F652" s="17" t="s">
        <v>45</v>
      </c>
      <c r="G652" s="11" t="s">
        <v>1432</v>
      </c>
      <c r="H652" s="12">
        <v>36</v>
      </c>
      <c r="I652" s="11" t="s">
        <v>1433</v>
      </c>
      <c r="J652" s="192" t="s">
        <v>1480</v>
      </c>
      <c r="K652" s="17" t="s">
        <v>233</v>
      </c>
      <c r="L652" s="17" t="s">
        <v>233</v>
      </c>
      <c r="M652" s="231">
        <v>7170</v>
      </c>
      <c r="N652" s="232">
        <v>7082.9561999999996</v>
      </c>
      <c r="O652" s="132">
        <v>1023</v>
      </c>
      <c r="P652" s="231" t="s">
        <v>239</v>
      </c>
      <c r="Q652" s="232">
        <v>1010.39664</v>
      </c>
      <c r="R652" s="231" t="s">
        <v>239</v>
      </c>
      <c r="S652" s="232">
        <v>997.94855339520007</v>
      </c>
      <c r="T652" s="231" t="s">
        <v>239</v>
      </c>
      <c r="U652" s="232">
        <v>985.65382721737126</v>
      </c>
      <c r="V652" s="230" t="s">
        <v>239</v>
      </c>
      <c r="W652" s="232">
        <v>973.51057206605321</v>
      </c>
      <c r="X652" s="231" t="s">
        <v>239</v>
      </c>
      <c r="Y652" s="232">
        <v>961.51692181819942</v>
      </c>
      <c r="Z652" s="231" t="s">
        <v>239</v>
      </c>
      <c r="AA652" s="232">
        <v>949.67103334139915</v>
      </c>
      <c r="AB652" s="231" t="s">
        <v>239</v>
      </c>
      <c r="AC652" s="232">
        <v>937.97108621063308</v>
      </c>
      <c r="AD652" s="231" t="s">
        <v>239</v>
      </c>
      <c r="AE652" s="232">
        <v>926.41528242851803</v>
      </c>
      <c r="AF652" s="231" t="s">
        <v>239</v>
      </c>
      <c r="AG652" s="232">
        <v>915.00184614899865</v>
      </c>
      <c r="AH652" s="231" t="s">
        <v>239</v>
      </c>
      <c r="AI652" s="232">
        <v>903.72902340444296</v>
      </c>
      <c r="AJ652" s="231" t="s">
        <v>239</v>
      </c>
      <c r="AK652" s="232">
        <v>892.59508183610023</v>
      </c>
      <c r="AL652" s="232" t="s">
        <v>239</v>
      </c>
      <c r="AM652" s="232">
        <v>11477.409867866914</v>
      </c>
    </row>
    <row r="653" spans="1:39" ht="15.75" outlineLevel="1">
      <c r="A653" s="411">
        <v>322</v>
      </c>
      <c r="B653" s="10">
        <v>129322</v>
      </c>
      <c r="C653" s="218" t="s">
        <v>1489</v>
      </c>
      <c r="D653" s="218" t="s">
        <v>1490</v>
      </c>
      <c r="E653" s="23" t="s">
        <v>44</v>
      </c>
      <c r="F653" s="17" t="s">
        <v>45</v>
      </c>
      <c r="G653" s="11" t="s">
        <v>1432</v>
      </c>
      <c r="H653" s="12">
        <v>34</v>
      </c>
      <c r="I653" s="11" t="s">
        <v>1433</v>
      </c>
      <c r="J653" s="192" t="s">
        <v>1452</v>
      </c>
      <c r="K653" s="17" t="s">
        <v>233</v>
      </c>
      <c r="L653" s="17" t="s">
        <v>233</v>
      </c>
      <c r="M653" s="231">
        <v>17</v>
      </c>
      <c r="N653" s="231">
        <v>17</v>
      </c>
      <c r="O653" s="231">
        <v>17</v>
      </c>
      <c r="P653" s="231" t="s">
        <v>239</v>
      </c>
      <c r="Q653" s="231">
        <v>17</v>
      </c>
      <c r="R653" s="231" t="s">
        <v>239</v>
      </c>
      <c r="S653" s="231">
        <v>17</v>
      </c>
      <c r="T653" s="231" t="s">
        <v>239</v>
      </c>
      <c r="U653" s="231">
        <v>17</v>
      </c>
      <c r="V653" s="231" t="s">
        <v>239</v>
      </c>
      <c r="W653" s="231">
        <v>17</v>
      </c>
      <c r="X653" s="231" t="s">
        <v>239</v>
      </c>
      <c r="Y653" s="231">
        <v>17</v>
      </c>
      <c r="Z653" s="231" t="s">
        <v>239</v>
      </c>
      <c r="AA653" s="231">
        <v>17</v>
      </c>
      <c r="AB653" s="231" t="s">
        <v>239</v>
      </c>
      <c r="AC653" s="231">
        <v>17</v>
      </c>
      <c r="AD653" s="231" t="s">
        <v>239</v>
      </c>
      <c r="AE653" s="231">
        <v>17</v>
      </c>
      <c r="AF653" s="231" t="s">
        <v>239</v>
      </c>
      <c r="AG653" s="231">
        <v>17</v>
      </c>
      <c r="AH653" s="231" t="s">
        <v>239</v>
      </c>
      <c r="AI653" s="231">
        <v>17</v>
      </c>
      <c r="AJ653" s="231" t="s">
        <v>239</v>
      </c>
      <c r="AK653" s="231">
        <v>17</v>
      </c>
      <c r="AL653" s="232" t="s">
        <v>239</v>
      </c>
      <c r="AM653" s="232">
        <v>0</v>
      </c>
    </row>
    <row r="654" spans="1:39" ht="15.75" outlineLevel="1">
      <c r="A654" s="412"/>
      <c r="B654" s="10">
        <v>129322</v>
      </c>
      <c r="C654" s="218" t="s">
        <v>1489</v>
      </c>
      <c r="D654" s="218" t="s">
        <v>1490</v>
      </c>
      <c r="E654" s="23" t="s">
        <v>138</v>
      </c>
      <c r="F654" s="17" t="s">
        <v>45</v>
      </c>
      <c r="G654" s="11" t="s">
        <v>1432</v>
      </c>
      <c r="H654" s="12">
        <v>7</v>
      </c>
      <c r="I654" s="11" t="s">
        <v>1433</v>
      </c>
      <c r="J654" s="374" t="s">
        <v>207</v>
      </c>
      <c r="K654" s="17" t="s">
        <v>233</v>
      </c>
      <c r="L654" s="17" t="s">
        <v>233</v>
      </c>
      <c r="M654" s="231">
        <v>20113</v>
      </c>
      <c r="N654" s="232">
        <v>19868.82818</v>
      </c>
      <c r="O654" s="132">
        <v>366</v>
      </c>
      <c r="P654" s="231" t="s">
        <v>239</v>
      </c>
      <c r="Q654" s="232">
        <v>361.49088</v>
      </c>
      <c r="R654" s="231" t="s">
        <v>239</v>
      </c>
      <c r="S654" s="232">
        <v>357.03731235840002</v>
      </c>
      <c r="T654" s="231" t="s">
        <v>239</v>
      </c>
      <c r="U654" s="232">
        <v>352.63861267014454</v>
      </c>
      <c r="V654" s="231" t="s">
        <v>239</v>
      </c>
      <c r="W654" s="232">
        <v>348.29410496204838</v>
      </c>
      <c r="X654" s="231" t="s">
        <v>239</v>
      </c>
      <c r="Y654" s="232">
        <v>344.00312158891592</v>
      </c>
      <c r="Z654" s="231" t="s">
        <v>239</v>
      </c>
      <c r="AA654" s="232">
        <v>339.7650031309405</v>
      </c>
      <c r="AB654" s="231" t="s">
        <v>239</v>
      </c>
      <c r="AC654" s="232">
        <v>335.57909829236729</v>
      </c>
      <c r="AD654" s="231" t="s">
        <v>239</v>
      </c>
      <c r="AE654" s="232">
        <v>331.44476380140532</v>
      </c>
      <c r="AF654" s="231" t="s">
        <v>239</v>
      </c>
      <c r="AG654" s="232">
        <v>327.36136431137203</v>
      </c>
      <c r="AH654" s="231" t="s">
        <v>239</v>
      </c>
      <c r="AI654" s="232">
        <v>323.32827230305594</v>
      </c>
      <c r="AJ654" s="231" t="s">
        <v>239</v>
      </c>
      <c r="AK654" s="232">
        <v>319.34486798828232</v>
      </c>
      <c r="AL654" s="232" t="s">
        <v>239</v>
      </c>
      <c r="AM654" s="232">
        <v>4106.2874014069321</v>
      </c>
    </row>
    <row r="655" spans="1:39" ht="15.75" outlineLevel="1">
      <c r="A655" s="411">
        <v>323</v>
      </c>
      <c r="B655" s="10">
        <v>129323</v>
      </c>
      <c r="C655" s="218" t="s">
        <v>1489</v>
      </c>
      <c r="D655" s="218" t="s">
        <v>1490</v>
      </c>
      <c r="E655" s="23" t="s">
        <v>44</v>
      </c>
      <c r="F655" s="17" t="s">
        <v>45</v>
      </c>
      <c r="G655" s="11" t="s">
        <v>1432</v>
      </c>
      <c r="H655" s="12">
        <v>5</v>
      </c>
      <c r="I655" s="11" t="s">
        <v>1433</v>
      </c>
      <c r="J655" s="375"/>
      <c r="K655" s="17" t="s">
        <v>233</v>
      </c>
      <c r="L655" s="17" t="s">
        <v>233</v>
      </c>
      <c r="M655" s="231">
        <v>323</v>
      </c>
      <c r="N655" s="231">
        <v>323</v>
      </c>
      <c r="O655" s="231">
        <v>323</v>
      </c>
      <c r="P655" s="231" t="s">
        <v>239</v>
      </c>
      <c r="Q655" s="231">
        <v>323</v>
      </c>
      <c r="R655" s="231" t="s">
        <v>239</v>
      </c>
      <c r="S655" s="231">
        <v>323</v>
      </c>
      <c r="T655" s="231" t="s">
        <v>239</v>
      </c>
      <c r="U655" s="231">
        <v>323</v>
      </c>
      <c r="V655" s="230" t="s">
        <v>239</v>
      </c>
      <c r="W655" s="231">
        <v>323</v>
      </c>
      <c r="X655" s="231" t="s">
        <v>239</v>
      </c>
      <c r="Y655" s="231">
        <v>323</v>
      </c>
      <c r="Z655" s="231" t="s">
        <v>239</v>
      </c>
      <c r="AA655" s="231">
        <v>323</v>
      </c>
      <c r="AB655" s="231" t="s">
        <v>239</v>
      </c>
      <c r="AC655" s="231">
        <v>323</v>
      </c>
      <c r="AD655" s="231" t="s">
        <v>239</v>
      </c>
      <c r="AE655" s="231">
        <v>323</v>
      </c>
      <c r="AF655" s="231" t="s">
        <v>239</v>
      </c>
      <c r="AG655" s="231">
        <v>323</v>
      </c>
      <c r="AH655" s="231" t="s">
        <v>239</v>
      </c>
      <c r="AI655" s="231">
        <v>323</v>
      </c>
      <c r="AJ655" s="231" t="s">
        <v>239</v>
      </c>
      <c r="AK655" s="231">
        <v>323</v>
      </c>
      <c r="AL655" s="232" t="s">
        <v>239</v>
      </c>
      <c r="AM655" s="232">
        <v>0</v>
      </c>
    </row>
    <row r="656" spans="1:39" ht="15.75" outlineLevel="1">
      <c r="A656" s="412"/>
      <c r="B656" s="10">
        <v>129323</v>
      </c>
      <c r="C656" s="218" t="s">
        <v>1489</v>
      </c>
      <c r="D656" s="218" t="s">
        <v>1490</v>
      </c>
      <c r="E656" s="23" t="s">
        <v>138</v>
      </c>
      <c r="F656" s="17" t="s">
        <v>45</v>
      </c>
      <c r="G656" s="11" t="s">
        <v>1432</v>
      </c>
      <c r="H656" s="12">
        <v>24</v>
      </c>
      <c r="I656" s="11" t="s">
        <v>1433</v>
      </c>
      <c r="J656" s="193" t="s">
        <v>1460</v>
      </c>
      <c r="K656" s="17" t="s">
        <v>233</v>
      </c>
      <c r="L656" s="17" t="s">
        <v>233</v>
      </c>
      <c r="M656" s="231">
        <v>11136</v>
      </c>
      <c r="N656" s="232">
        <v>11000.80896</v>
      </c>
      <c r="O656" s="132">
        <v>96</v>
      </c>
      <c r="P656" s="231" t="s">
        <v>239</v>
      </c>
      <c r="Q656" s="232">
        <v>94.817279999999997</v>
      </c>
      <c r="R656" s="231" t="s">
        <v>239</v>
      </c>
      <c r="S656" s="232">
        <v>93.649131110399992</v>
      </c>
      <c r="T656" s="231" t="s">
        <v>239</v>
      </c>
      <c r="U656" s="232">
        <v>92.495373815119862</v>
      </c>
      <c r="V656" s="231" t="s">
        <v>239</v>
      </c>
      <c r="W656" s="232">
        <v>91.355830809717588</v>
      </c>
      <c r="X656" s="231" t="s">
        <v>239</v>
      </c>
      <c r="Y656" s="232">
        <v>90.230326974141875</v>
      </c>
      <c r="Z656" s="231" t="s">
        <v>239</v>
      </c>
      <c r="AA656" s="232">
        <v>89.118689345820442</v>
      </c>
      <c r="AB656" s="231" t="s">
        <v>239</v>
      </c>
      <c r="AC656" s="232">
        <v>88.020747093079933</v>
      </c>
      <c r="AD656" s="231" t="s">
        <v>239</v>
      </c>
      <c r="AE656" s="232">
        <v>86.936331488893188</v>
      </c>
      <c r="AF656" s="231" t="s">
        <v>239</v>
      </c>
      <c r="AG656" s="232">
        <v>85.865275884950023</v>
      </c>
      <c r="AH656" s="231" t="s">
        <v>239</v>
      </c>
      <c r="AI656" s="232">
        <v>84.807415686047435</v>
      </c>
      <c r="AJ656" s="231" t="s">
        <v>239</v>
      </c>
      <c r="AK656" s="232">
        <v>83.762588324795331</v>
      </c>
      <c r="AL656" s="232" t="s">
        <v>239</v>
      </c>
      <c r="AM656" s="232">
        <v>1077.0589905329657</v>
      </c>
    </row>
    <row r="657" spans="1:39" ht="15.75" outlineLevel="1">
      <c r="A657" s="411">
        <v>324</v>
      </c>
      <c r="B657" s="10">
        <v>129324</v>
      </c>
      <c r="C657" s="218" t="s">
        <v>1489</v>
      </c>
      <c r="D657" s="218" t="s">
        <v>1490</v>
      </c>
      <c r="E657" s="23" t="s">
        <v>44</v>
      </c>
      <c r="F657" s="17" t="s">
        <v>45</v>
      </c>
      <c r="G657" s="11" t="s">
        <v>1432</v>
      </c>
      <c r="H657" s="12">
        <v>17</v>
      </c>
      <c r="I657" s="11" t="s">
        <v>1433</v>
      </c>
      <c r="J657" s="193" t="s">
        <v>1442</v>
      </c>
      <c r="K657" s="17" t="s">
        <v>233</v>
      </c>
      <c r="L657" s="17" t="s">
        <v>233</v>
      </c>
      <c r="M657" s="231">
        <v>15</v>
      </c>
      <c r="N657" s="231">
        <v>15</v>
      </c>
      <c r="O657" s="231">
        <v>15</v>
      </c>
      <c r="P657" s="231" t="s">
        <v>239</v>
      </c>
      <c r="Q657" s="231">
        <v>15</v>
      </c>
      <c r="R657" s="231" t="s">
        <v>239</v>
      </c>
      <c r="S657" s="231">
        <v>15</v>
      </c>
      <c r="T657" s="231" t="s">
        <v>239</v>
      </c>
      <c r="U657" s="231">
        <v>15</v>
      </c>
      <c r="V657" s="231" t="s">
        <v>239</v>
      </c>
      <c r="W657" s="231">
        <v>15</v>
      </c>
      <c r="X657" s="231" t="s">
        <v>239</v>
      </c>
      <c r="Y657" s="231">
        <v>15</v>
      </c>
      <c r="Z657" s="231" t="s">
        <v>239</v>
      </c>
      <c r="AA657" s="231">
        <v>15</v>
      </c>
      <c r="AB657" s="231" t="s">
        <v>239</v>
      </c>
      <c r="AC657" s="231">
        <v>15</v>
      </c>
      <c r="AD657" s="231" t="s">
        <v>239</v>
      </c>
      <c r="AE657" s="231">
        <v>15</v>
      </c>
      <c r="AF657" s="231" t="s">
        <v>239</v>
      </c>
      <c r="AG657" s="231">
        <v>15</v>
      </c>
      <c r="AH657" s="231" t="s">
        <v>239</v>
      </c>
      <c r="AI657" s="231">
        <v>15</v>
      </c>
      <c r="AJ657" s="231" t="s">
        <v>239</v>
      </c>
      <c r="AK657" s="231">
        <v>15</v>
      </c>
      <c r="AL657" s="232" t="s">
        <v>239</v>
      </c>
      <c r="AM657" s="232">
        <v>0</v>
      </c>
    </row>
    <row r="658" spans="1:39" ht="15.75" outlineLevel="1">
      <c r="A658" s="412"/>
      <c r="B658" s="10">
        <v>129324</v>
      </c>
      <c r="C658" s="218" t="s">
        <v>1489</v>
      </c>
      <c r="D658" s="218" t="s">
        <v>1490</v>
      </c>
      <c r="E658" s="23" t="s">
        <v>44</v>
      </c>
      <c r="F658" s="17" t="s">
        <v>45</v>
      </c>
      <c r="G658" s="11" t="s">
        <v>1432</v>
      </c>
      <c r="H658" s="12">
        <v>28</v>
      </c>
      <c r="I658" s="11" t="s">
        <v>1433</v>
      </c>
      <c r="J658" s="193" t="s">
        <v>1460</v>
      </c>
      <c r="K658" s="17" t="s">
        <v>233</v>
      </c>
      <c r="L658" s="17" t="s">
        <v>233</v>
      </c>
      <c r="M658" s="231">
        <v>1093</v>
      </c>
      <c r="N658" s="232">
        <v>1079.73098</v>
      </c>
      <c r="O658" s="132">
        <v>73</v>
      </c>
      <c r="P658" s="231" t="s">
        <v>239</v>
      </c>
      <c r="Q658" s="232">
        <v>72.100639999999999</v>
      </c>
      <c r="R658" s="231" t="s">
        <v>239</v>
      </c>
      <c r="S658" s="232">
        <v>71.212360115199999</v>
      </c>
      <c r="T658" s="231" t="s">
        <v>239</v>
      </c>
      <c r="U658" s="232">
        <v>70.335023838580739</v>
      </c>
      <c r="V658" s="230" t="s">
        <v>239</v>
      </c>
      <c r="W658" s="232">
        <v>69.468496344889431</v>
      </c>
      <c r="X658" s="231" t="s">
        <v>239</v>
      </c>
      <c r="Y658" s="232">
        <v>68.612644469920397</v>
      </c>
      <c r="Z658" s="231" t="s">
        <v>239</v>
      </c>
      <c r="AA658" s="232">
        <v>67.767336690050982</v>
      </c>
      <c r="AB658" s="231" t="s">
        <v>239</v>
      </c>
      <c r="AC658" s="232">
        <v>66.932443102029552</v>
      </c>
      <c r="AD658" s="231" t="s">
        <v>239</v>
      </c>
      <c r="AE658" s="232">
        <v>66.107835403012544</v>
      </c>
      <c r="AF658" s="231" t="s">
        <v>239</v>
      </c>
      <c r="AG658" s="232">
        <v>65.293386870847428</v>
      </c>
      <c r="AH658" s="231" t="s">
        <v>239</v>
      </c>
      <c r="AI658" s="232">
        <v>64.488972344598594</v>
      </c>
      <c r="AJ658" s="231" t="s">
        <v>239</v>
      </c>
      <c r="AK658" s="232">
        <v>63.694468205313136</v>
      </c>
      <c r="AL658" s="232" t="s">
        <v>239</v>
      </c>
      <c r="AM658" s="232">
        <v>819.01360738444282</v>
      </c>
    </row>
    <row r="659" spans="1:39" ht="15.75" outlineLevel="1">
      <c r="A659" s="411">
        <v>325</v>
      </c>
      <c r="B659" s="10">
        <v>129325</v>
      </c>
      <c r="C659" s="218" t="s">
        <v>1489</v>
      </c>
      <c r="D659" s="218" t="s">
        <v>1490</v>
      </c>
      <c r="E659" s="23" t="s">
        <v>138</v>
      </c>
      <c r="F659" s="17" t="s">
        <v>45</v>
      </c>
      <c r="G659" s="11" t="s">
        <v>1432</v>
      </c>
      <c r="H659" s="12">
        <v>33</v>
      </c>
      <c r="I659" s="11" t="s">
        <v>1433</v>
      </c>
      <c r="J659" s="193" t="s">
        <v>1457</v>
      </c>
      <c r="K659" s="17" t="s">
        <v>233</v>
      </c>
      <c r="L659" s="17" t="s">
        <v>233</v>
      </c>
      <c r="M659" s="231">
        <v>15</v>
      </c>
      <c r="N659" s="231">
        <v>15</v>
      </c>
      <c r="O659" s="231">
        <v>15</v>
      </c>
      <c r="P659" s="231" t="s">
        <v>239</v>
      </c>
      <c r="Q659" s="231">
        <v>15</v>
      </c>
      <c r="R659" s="231" t="s">
        <v>239</v>
      </c>
      <c r="S659" s="231">
        <v>15</v>
      </c>
      <c r="T659" s="231" t="s">
        <v>239</v>
      </c>
      <c r="U659" s="231">
        <v>15</v>
      </c>
      <c r="V659" s="231" t="s">
        <v>239</v>
      </c>
      <c r="W659" s="231">
        <v>15</v>
      </c>
      <c r="X659" s="231" t="s">
        <v>239</v>
      </c>
      <c r="Y659" s="231">
        <v>15</v>
      </c>
      <c r="Z659" s="231" t="s">
        <v>239</v>
      </c>
      <c r="AA659" s="231">
        <v>15</v>
      </c>
      <c r="AB659" s="231" t="s">
        <v>239</v>
      </c>
      <c r="AC659" s="231">
        <v>15</v>
      </c>
      <c r="AD659" s="231" t="s">
        <v>239</v>
      </c>
      <c r="AE659" s="231">
        <v>15</v>
      </c>
      <c r="AF659" s="231" t="s">
        <v>239</v>
      </c>
      <c r="AG659" s="231">
        <v>15</v>
      </c>
      <c r="AH659" s="231" t="s">
        <v>239</v>
      </c>
      <c r="AI659" s="231">
        <v>15</v>
      </c>
      <c r="AJ659" s="231" t="s">
        <v>239</v>
      </c>
      <c r="AK659" s="231">
        <v>15</v>
      </c>
      <c r="AL659" s="232" t="s">
        <v>239</v>
      </c>
      <c r="AM659" s="232">
        <v>0</v>
      </c>
    </row>
    <row r="660" spans="1:39" ht="15.75" outlineLevel="1">
      <c r="A660" s="412"/>
      <c r="B660" s="10">
        <v>129325</v>
      </c>
      <c r="C660" s="218" t="s">
        <v>1489</v>
      </c>
      <c r="D660" s="218" t="s">
        <v>1490</v>
      </c>
      <c r="E660" s="23" t="s">
        <v>44</v>
      </c>
      <c r="F660" s="17" t="s">
        <v>45</v>
      </c>
      <c r="G660" s="11" t="s">
        <v>1432</v>
      </c>
      <c r="H660" s="12">
        <v>25</v>
      </c>
      <c r="I660" s="11" t="s">
        <v>1433</v>
      </c>
      <c r="J660" s="193" t="s">
        <v>617</v>
      </c>
      <c r="K660" s="17" t="s">
        <v>233</v>
      </c>
      <c r="L660" s="17" t="s">
        <v>233</v>
      </c>
      <c r="M660" s="231">
        <v>0</v>
      </c>
      <c r="N660" s="232">
        <v>0</v>
      </c>
      <c r="O660" s="132"/>
      <c r="P660" s="231" t="s">
        <v>239</v>
      </c>
      <c r="Q660" s="232">
        <v>0</v>
      </c>
      <c r="R660" s="231" t="s">
        <v>239</v>
      </c>
      <c r="S660" s="232">
        <v>0</v>
      </c>
      <c r="T660" s="231" t="s">
        <v>239</v>
      </c>
      <c r="U660" s="232">
        <v>0</v>
      </c>
      <c r="V660" s="231" t="s">
        <v>239</v>
      </c>
      <c r="W660" s="232">
        <v>0</v>
      </c>
      <c r="X660" s="231" t="s">
        <v>239</v>
      </c>
      <c r="Y660" s="232">
        <v>0</v>
      </c>
      <c r="Z660" s="231" t="s">
        <v>239</v>
      </c>
      <c r="AA660" s="232">
        <v>0</v>
      </c>
      <c r="AB660" s="231" t="s">
        <v>239</v>
      </c>
      <c r="AC660" s="232">
        <v>0</v>
      </c>
      <c r="AD660" s="231" t="s">
        <v>239</v>
      </c>
      <c r="AE660" s="232">
        <v>0</v>
      </c>
      <c r="AF660" s="231" t="s">
        <v>239</v>
      </c>
      <c r="AG660" s="232">
        <v>0</v>
      </c>
      <c r="AH660" s="231" t="s">
        <v>239</v>
      </c>
      <c r="AI660" s="232">
        <v>0</v>
      </c>
      <c r="AJ660" s="231" t="s">
        <v>239</v>
      </c>
      <c r="AK660" s="232">
        <v>0</v>
      </c>
      <c r="AL660" s="232" t="s">
        <v>239</v>
      </c>
      <c r="AM660" s="232">
        <v>0</v>
      </c>
    </row>
    <row r="661" spans="1:39" ht="15.75" outlineLevel="1">
      <c r="A661" s="411">
        <v>326</v>
      </c>
      <c r="B661" s="10">
        <v>129326</v>
      </c>
      <c r="C661" s="218" t="s">
        <v>1489</v>
      </c>
      <c r="D661" s="218" t="s">
        <v>1490</v>
      </c>
      <c r="E661" s="23" t="s">
        <v>138</v>
      </c>
      <c r="F661" s="17" t="s">
        <v>45</v>
      </c>
      <c r="G661" s="11" t="s">
        <v>1432</v>
      </c>
      <c r="H661" s="12">
        <v>9</v>
      </c>
      <c r="I661" s="11" t="s">
        <v>1433</v>
      </c>
      <c r="J661" s="193" t="s">
        <v>216</v>
      </c>
      <c r="K661" s="17" t="s">
        <v>233</v>
      </c>
      <c r="L661" s="17" t="s">
        <v>233</v>
      </c>
      <c r="M661" s="231">
        <v>30</v>
      </c>
      <c r="N661" s="231">
        <v>30</v>
      </c>
      <c r="O661" s="231">
        <v>30</v>
      </c>
      <c r="P661" s="231" t="s">
        <v>239</v>
      </c>
      <c r="Q661" s="231">
        <v>30</v>
      </c>
      <c r="R661" s="231" t="s">
        <v>239</v>
      </c>
      <c r="S661" s="231">
        <v>30</v>
      </c>
      <c r="T661" s="231" t="s">
        <v>239</v>
      </c>
      <c r="U661" s="231">
        <v>30</v>
      </c>
      <c r="V661" s="230" t="s">
        <v>239</v>
      </c>
      <c r="W661" s="231">
        <v>30</v>
      </c>
      <c r="X661" s="231" t="s">
        <v>239</v>
      </c>
      <c r="Y661" s="231">
        <v>30</v>
      </c>
      <c r="Z661" s="231" t="s">
        <v>239</v>
      </c>
      <c r="AA661" s="231">
        <v>30</v>
      </c>
      <c r="AB661" s="231" t="s">
        <v>239</v>
      </c>
      <c r="AC661" s="231">
        <v>30</v>
      </c>
      <c r="AD661" s="231" t="s">
        <v>239</v>
      </c>
      <c r="AE661" s="231">
        <v>30</v>
      </c>
      <c r="AF661" s="231" t="s">
        <v>239</v>
      </c>
      <c r="AG661" s="231">
        <v>30</v>
      </c>
      <c r="AH661" s="231" t="s">
        <v>239</v>
      </c>
      <c r="AI661" s="231">
        <v>30</v>
      </c>
      <c r="AJ661" s="231" t="s">
        <v>239</v>
      </c>
      <c r="AK661" s="231">
        <v>30</v>
      </c>
      <c r="AL661" s="232" t="s">
        <v>239</v>
      </c>
      <c r="AM661" s="232">
        <v>0</v>
      </c>
    </row>
    <row r="662" spans="1:39" ht="15.75" outlineLevel="1">
      <c r="A662" s="412"/>
      <c r="B662" s="10">
        <v>129326</v>
      </c>
      <c r="C662" s="218" t="s">
        <v>1489</v>
      </c>
      <c r="D662" s="218" t="s">
        <v>1490</v>
      </c>
      <c r="E662" s="23" t="s">
        <v>44</v>
      </c>
      <c r="F662" s="17" t="s">
        <v>45</v>
      </c>
      <c r="G662" s="11" t="s">
        <v>1432</v>
      </c>
      <c r="H662" s="12">
        <v>24</v>
      </c>
      <c r="I662" s="11" t="s">
        <v>1433</v>
      </c>
      <c r="J662" s="192" t="s">
        <v>1446</v>
      </c>
      <c r="K662" s="17" t="s">
        <v>233</v>
      </c>
      <c r="L662" s="17" t="s">
        <v>233</v>
      </c>
      <c r="M662" s="231">
        <v>6325</v>
      </c>
      <c r="N662" s="232">
        <v>6248.2145</v>
      </c>
      <c r="O662" s="132">
        <v>182</v>
      </c>
      <c r="P662" s="231" t="s">
        <v>239</v>
      </c>
      <c r="Q662" s="232">
        <v>179.75775999999999</v>
      </c>
      <c r="R662" s="231" t="s">
        <v>239</v>
      </c>
      <c r="S662" s="232">
        <v>177.54314439679999</v>
      </c>
      <c r="T662" s="231" t="s">
        <v>239</v>
      </c>
      <c r="U662" s="232">
        <v>175.35581285783141</v>
      </c>
      <c r="V662" s="231" t="s">
        <v>239</v>
      </c>
      <c r="W662" s="232">
        <v>173.19542924342292</v>
      </c>
      <c r="X662" s="231" t="s">
        <v>239</v>
      </c>
      <c r="Y662" s="232">
        <v>171.06166155514396</v>
      </c>
      <c r="Z662" s="231" t="s">
        <v>239</v>
      </c>
      <c r="AA662" s="232">
        <v>168.95418188478459</v>
      </c>
      <c r="AB662" s="231" t="s">
        <v>239</v>
      </c>
      <c r="AC662" s="232">
        <v>166.87266636396404</v>
      </c>
      <c r="AD662" s="231" t="s">
        <v>239</v>
      </c>
      <c r="AE662" s="232">
        <v>164.81679511436002</v>
      </c>
      <c r="AF662" s="231" t="s">
        <v>239</v>
      </c>
      <c r="AG662" s="232">
        <v>162.7862521985511</v>
      </c>
      <c r="AH662" s="231" t="s">
        <v>239</v>
      </c>
      <c r="AI662" s="232">
        <v>160.78072557146496</v>
      </c>
      <c r="AJ662" s="231" t="s">
        <v>239</v>
      </c>
      <c r="AK662" s="232">
        <v>158.7999070324245</v>
      </c>
      <c r="AL662" s="232" t="s">
        <v>239</v>
      </c>
      <c r="AM662" s="232">
        <v>2041.9243362187478</v>
      </c>
    </row>
    <row r="663" spans="1:39" ht="15.75" outlineLevel="1">
      <c r="A663" s="411">
        <v>327</v>
      </c>
      <c r="B663" s="10">
        <v>129327</v>
      </c>
      <c r="C663" s="218" t="s">
        <v>1489</v>
      </c>
      <c r="D663" s="218" t="s">
        <v>1490</v>
      </c>
      <c r="E663" s="23" t="s">
        <v>44</v>
      </c>
      <c r="F663" s="17" t="s">
        <v>45</v>
      </c>
      <c r="G663" s="11" t="s">
        <v>1432</v>
      </c>
      <c r="H663" s="12">
        <v>36</v>
      </c>
      <c r="I663" s="11" t="s">
        <v>1433</v>
      </c>
      <c r="J663" s="192" t="s">
        <v>1481</v>
      </c>
      <c r="K663" s="17" t="s">
        <v>233</v>
      </c>
      <c r="L663" s="17" t="s">
        <v>233</v>
      </c>
      <c r="M663" s="231">
        <v>3</v>
      </c>
      <c r="N663" s="231">
        <v>3</v>
      </c>
      <c r="O663" s="231">
        <v>3</v>
      </c>
      <c r="P663" s="231" t="s">
        <v>239</v>
      </c>
      <c r="Q663" s="231">
        <v>3</v>
      </c>
      <c r="R663" s="231" t="s">
        <v>239</v>
      </c>
      <c r="S663" s="231">
        <v>3</v>
      </c>
      <c r="T663" s="231" t="s">
        <v>239</v>
      </c>
      <c r="U663" s="231">
        <v>3</v>
      </c>
      <c r="V663" s="231" t="s">
        <v>239</v>
      </c>
      <c r="W663" s="231">
        <v>3</v>
      </c>
      <c r="X663" s="231" t="s">
        <v>239</v>
      </c>
      <c r="Y663" s="231">
        <v>3</v>
      </c>
      <c r="Z663" s="231" t="s">
        <v>239</v>
      </c>
      <c r="AA663" s="231">
        <v>3</v>
      </c>
      <c r="AB663" s="231" t="s">
        <v>239</v>
      </c>
      <c r="AC663" s="231">
        <v>3</v>
      </c>
      <c r="AD663" s="231" t="s">
        <v>239</v>
      </c>
      <c r="AE663" s="231">
        <v>3</v>
      </c>
      <c r="AF663" s="231" t="s">
        <v>239</v>
      </c>
      <c r="AG663" s="231">
        <v>3</v>
      </c>
      <c r="AH663" s="231" t="s">
        <v>239</v>
      </c>
      <c r="AI663" s="231">
        <v>3</v>
      </c>
      <c r="AJ663" s="231" t="s">
        <v>239</v>
      </c>
      <c r="AK663" s="231">
        <v>3</v>
      </c>
      <c r="AL663" s="232" t="s">
        <v>239</v>
      </c>
      <c r="AM663" s="232">
        <v>0</v>
      </c>
    </row>
    <row r="664" spans="1:39" ht="15.75" outlineLevel="1">
      <c r="A664" s="412"/>
      <c r="B664" s="10">
        <v>129327</v>
      </c>
      <c r="C664" s="218" t="s">
        <v>1489</v>
      </c>
      <c r="D664" s="218" t="s">
        <v>1490</v>
      </c>
      <c r="E664" s="23" t="s">
        <v>44</v>
      </c>
      <c r="F664" s="17" t="s">
        <v>45</v>
      </c>
      <c r="G664" s="11" t="s">
        <v>1432</v>
      </c>
      <c r="H664" s="12">
        <v>9</v>
      </c>
      <c r="I664" s="11" t="s">
        <v>1433</v>
      </c>
      <c r="J664" s="192" t="s">
        <v>208</v>
      </c>
      <c r="K664" s="17" t="s">
        <v>233</v>
      </c>
      <c r="L664" s="17" t="s">
        <v>233</v>
      </c>
      <c r="M664" s="231">
        <v>5732</v>
      </c>
      <c r="N664" s="232">
        <v>5662.4135200000001</v>
      </c>
      <c r="O664" s="132">
        <v>464</v>
      </c>
      <c r="P664" s="231" t="s">
        <v>239</v>
      </c>
      <c r="Q664" s="232">
        <v>458.28352000000001</v>
      </c>
      <c r="R664" s="231" t="s">
        <v>239</v>
      </c>
      <c r="S664" s="232">
        <v>452.63746703359999</v>
      </c>
      <c r="T664" s="231" t="s">
        <v>239</v>
      </c>
      <c r="U664" s="232">
        <v>447.06097343974602</v>
      </c>
      <c r="V664" s="230" t="s">
        <v>239</v>
      </c>
      <c r="W664" s="232">
        <v>441.55318224696833</v>
      </c>
      <c r="X664" s="231" t="s">
        <v>239</v>
      </c>
      <c r="Y664" s="232">
        <v>436.11324704168567</v>
      </c>
      <c r="Z664" s="231" t="s">
        <v>239</v>
      </c>
      <c r="AA664" s="232">
        <v>430.74033183813208</v>
      </c>
      <c r="AB664" s="231" t="s">
        <v>239</v>
      </c>
      <c r="AC664" s="232">
        <v>425.43361094988632</v>
      </c>
      <c r="AD664" s="231" t="s">
        <v>239</v>
      </c>
      <c r="AE664" s="232">
        <v>420.19226886298372</v>
      </c>
      <c r="AF664" s="231" t="s">
        <v>239</v>
      </c>
      <c r="AG664" s="232">
        <v>415.01550011059174</v>
      </c>
      <c r="AH664" s="231" t="s">
        <v>239</v>
      </c>
      <c r="AI664" s="232">
        <v>409.90250914922927</v>
      </c>
      <c r="AJ664" s="231" t="s">
        <v>239</v>
      </c>
      <c r="AK664" s="232">
        <v>404.8525102365108</v>
      </c>
      <c r="AL664" s="232" t="s">
        <v>239</v>
      </c>
      <c r="AM664" s="232">
        <v>5205.7851209093342</v>
      </c>
    </row>
    <row r="665" spans="1:39" ht="15.75" outlineLevel="1">
      <c r="A665" s="411">
        <v>328</v>
      </c>
      <c r="B665" s="10">
        <v>129328</v>
      </c>
      <c r="C665" s="218" t="s">
        <v>1489</v>
      </c>
      <c r="D665" s="218" t="s">
        <v>1490</v>
      </c>
      <c r="E665" s="23" t="s">
        <v>138</v>
      </c>
      <c r="F665" s="17" t="s">
        <v>45</v>
      </c>
      <c r="G665" s="11" t="s">
        <v>1432</v>
      </c>
      <c r="H665" s="12">
        <v>24</v>
      </c>
      <c r="I665" s="11" t="s">
        <v>1433</v>
      </c>
      <c r="J665" s="192" t="s">
        <v>1463</v>
      </c>
      <c r="K665" s="17" t="s">
        <v>233</v>
      </c>
      <c r="L665" s="17" t="s">
        <v>233</v>
      </c>
      <c r="M665" s="231">
        <v>1</v>
      </c>
      <c r="N665" s="231">
        <v>1</v>
      </c>
      <c r="O665" s="231">
        <v>1</v>
      </c>
      <c r="P665" s="231" t="s">
        <v>239</v>
      </c>
      <c r="Q665" s="231">
        <v>1</v>
      </c>
      <c r="R665" s="231" t="s">
        <v>239</v>
      </c>
      <c r="S665" s="231">
        <v>1</v>
      </c>
      <c r="T665" s="231" t="s">
        <v>239</v>
      </c>
      <c r="U665" s="231">
        <v>1</v>
      </c>
      <c r="V665" s="231" t="s">
        <v>239</v>
      </c>
      <c r="W665" s="231">
        <v>1</v>
      </c>
      <c r="X665" s="231" t="s">
        <v>239</v>
      </c>
      <c r="Y665" s="231">
        <v>1</v>
      </c>
      <c r="Z665" s="231" t="s">
        <v>239</v>
      </c>
      <c r="AA665" s="231">
        <v>1</v>
      </c>
      <c r="AB665" s="231" t="s">
        <v>239</v>
      </c>
      <c r="AC665" s="231">
        <v>1</v>
      </c>
      <c r="AD665" s="231" t="s">
        <v>239</v>
      </c>
      <c r="AE665" s="231">
        <v>1</v>
      </c>
      <c r="AF665" s="231" t="s">
        <v>239</v>
      </c>
      <c r="AG665" s="231">
        <v>1</v>
      </c>
      <c r="AH665" s="231" t="s">
        <v>239</v>
      </c>
      <c r="AI665" s="231">
        <v>1</v>
      </c>
      <c r="AJ665" s="231" t="s">
        <v>239</v>
      </c>
      <c r="AK665" s="231">
        <v>1</v>
      </c>
      <c r="AL665" s="232" t="s">
        <v>239</v>
      </c>
      <c r="AM665" s="232">
        <v>0</v>
      </c>
    </row>
    <row r="666" spans="1:39" ht="15.75" outlineLevel="1">
      <c r="A666" s="412"/>
      <c r="B666" s="10">
        <v>129328</v>
      </c>
      <c r="C666" s="218" t="s">
        <v>1489</v>
      </c>
      <c r="D666" s="218" t="s">
        <v>1490</v>
      </c>
      <c r="E666" s="23" t="s">
        <v>44</v>
      </c>
      <c r="F666" s="17" t="s">
        <v>45</v>
      </c>
      <c r="G666" s="11" t="s">
        <v>1432</v>
      </c>
      <c r="H666" s="12">
        <v>36</v>
      </c>
      <c r="I666" s="11" t="s">
        <v>1433</v>
      </c>
      <c r="J666" s="192" t="s">
        <v>1482</v>
      </c>
      <c r="K666" s="17" t="s">
        <v>233</v>
      </c>
      <c r="L666" s="17" t="s">
        <v>233</v>
      </c>
      <c r="M666" s="231">
        <v>1473</v>
      </c>
      <c r="N666" s="232">
        <v>1455.11778</v>
      </c>
      <c r="O666" s="132">
        <v>83</v>
      </c>
      <c r="P666" s="231" t="s">
        <v>239</v>
      </c>
      <c r="Q666" s="232">
        <v>81.977440000000001</v>
      </c>
      <c r="R666" s="231" t="s">
        <v>239</v>
      </c>
      <c r="S666" s="232">
        <v>80.967477939199995</v>
      </c>
      <c r="T666" s="231" t="s">
        <v>239</v>
      </c>
      <c r="U666" s="232">
        <v>79.969958610989053</v>
      </c>
      <c r="V666" s="231" t="s">
        <v>239</v>
      </c>
      <c r="W666" s="232">
        <v>78.984728720901671</v>
      </c>
      <c r="X666" s="231" t="s">
        <v>239</v>
      </c>
      <c r="Y666" s="232">
        <v>78.011636863060161</v>
      </c>
      <c r="Z666" s="231" t="s">
        <v>239</v>
      </c>
      <c r="AA666" s="232">
        <v>77.050533496907263</v>
      </c>
      <c r="AB666" s="231" t="s">
        <v>239</v>
      </c>
      <c r="AC666" s="232">
        <v>76.101270924225361</v>
      </c>
      <c r="AD666" s="231" t="s">
        <v>239</v>
      </c>
      <c r="AE666" s="232">
        <v>75.163703266438901</v>
      </c>
      <c r="AF666" s="231" t="s">
        <v>239</v>
      </c>
      <c r="AG666" s="232">
        <v>74.237686442196377</v>
      </c>
      <c r="AH666" s="231" t="s">
        <v>239</v>
      </c>
      <c r="AI666" s="232">
        <v>73.323078145228521</v>
      </c>
      <c r="AJ666" s="231" t="s">
        <v>239</v>
      </c>
      <c r="AK666" s="232">
        <v>72.419737822479306</v>
      </c>
      <c r="AL666" s="232" t="s">
        <v>239</v>
      </c>
      <c r="AM666" s="232">
        <v>931.20725223162651</v>
      </c>
    </row>
    <row r="667" spans="1:39" ht="15.75" outlineLevel="1">
      <c r="A667" s="411">
        <v>329</v>
      </c>
      <c r="B667" s="10">
        <v>129329</v>
      </c>
      <c r="C667" s="218" t="s">
        <v>1489</v>
      </c>
      <c r="D667" s="218" t="s">
        <v>1490</v>
      </c>
      <c r="E667" s="23" t="s">
        <v>138</v>
      </c>
      <c r="F667" s="17" t="s">
        <v>45</v>
      </c>
      <c r="G667" s="11" t="s">
        <v>1432</v>
      </c>
      <c r="H667" s="12">
        <v>34</v>
      </c>
      <c r="I667" s="11" t="s">
        <v>1433</v>
      </c>
      <c r="J667" s="192" t="s">
        <v>1462</v>
      </c>
      <c r="K667" s="17" t="s">
        <v>233</v>
      </c>
      <c r="L667" s="17" t="s">
        <v>233</v>
      </c>
      <c r="M667" s="231">
        <v>10.4</v>
      </c>
      <c r="N667" s="231">
        <v>10.4</v>
      </c>
      <c r="O667" s="231">
        <v>10.4</v>
      </c>
      <c r="P667" s="231" t="s">
        <v>239</v>
      </c>
      <c r="Q667" s="231">
        <v>10.4</v>
      </c>
      <c r="R667" s="231" t="s">
        <v>239</v>
      </c>
      <c r="S667" s="231">
        <v>10.4</v>
      </c>
      <c r="T667" s="231" t="s">
        <v>239</v>
      </c>
      <c r="U667" s="231">
        <v>10.4</v>
      </c>
      <c r="V667" s="230" t="s">
        <v>239</v>
      </c>
      <c r="W667" s="231">
        <v>10.4</v>
      </c>
      <c r="X667" s="231" t="s">
        <v>239</v>
      </c>
      <c r="Y667" s="231">
        <v>10.4</v>
      </c>
      <c r="Z667" s="231" t="s">
        <v>239</v>
      </c>
      <c r="AA667" s="231">
        <v>10.4</v>
      </c>
      <c r="AB667" s="231" t="s">
        <v>239</v>
      </c>
      <c r="AC667" s="231">
        <v>10.4</v>
      </c>
      <c r="AD667" s="231" t="s">
        <v>239</v>
      </c>
      <c r="AE667" s="231">
        <v>10.4</v>
      </c>
      <c r="AF667" s="231" t="s">
        <v>239</v>
      </c>
      <c r="AG667" s="231">
        <v>10.4</v>
      </c>
      <c r="AH667" s="231" t="s">
        <v>239</v>
      </c>
      <c r="AI667" s="231">
        <v>10.4</v>
      </c>
      <c r="AJ667" s="231" t="s">
        <v>239</v>
      </c>
      <c r="AK667" s="231">
        <v>10.4</v>
      </c>
      <c r="AL667" s="232" t="s">
        <v>239</v>
      </c>
      <c r="AM667" s="232">
        <v>0</v>
      </c>
    </row>
    <row r="668" spans="1:39" ht="15.75" outlineLevel="1">
      <c r="A668" s="412"/>
      <c r="B668" s="10">
        <v>129329</v>
      </c>
      <c r="C668" s="218" t="s">
        <v>1489</v>
      </c>
      <c r="D668" s="218" t="s">
        <v>1490</v>
      </c>
      <c r="E668" s="23" t="s">
        <v>44</v>
      </c>
      <c r="F668" s="17" t="s">
        <v>45</v>
      </c>
      <c r="G668" s="11" t="s">
        <v>1432</v>
      </c>
      <c r="H668" s="12">
        <v>7</v>
      </c>
      <c r="I668" s="11" t="s">
        <v>1433</v>
      </c>
      <c r="J668" s="192" t="s">
        <v>1457</v>
      </c>
      <c r="K668" s="17" t="s">
        <v>233</v>
      </c>
      <c r="L668" s="17" t="s">
        <v>233</v>
      </c>
      <c r="M668" s="231">
        <v>34224</v>
      </c>
      <c r="N668" s="232">
        <v>33808.520639999995</v>
      </c>
      <c r="O668" s="132">
        <v>1715</v>
      </c>
      <c r="P668" s="231" t="s">
        <v>239</v>
      </c>
      <c r="Q668" s="232">
        <v>1693.8712</v>
      </c>
      <c r="R668" s="231" t="s">
        <v>239</v>
      </c>
      <c r="S668" s="232">
        <v>1673.002706816</v>
      </c>
      <c r="T668" s="231" t="s">
        <v>239</v>
      </c>
      <c r="U668" s="232">
        <v>1652.391313468027</v>
      </c>
      <c r="V668" s="231" t="s">
        <v>239</v>
      </c>
      <c r="W668" s="232">
        <v>1632.0338524861008</v>
      </c>
      <c r="X668" s="231" t="s">
        <v>239</v>
      </c>
      <c r="Y668" s="232">
        <v>1611.9271954234721</v>
      </c>
      <c r="Z668" s="231" t="s">
        <v>239</v>
      </c>
      <c r="AA668" s="232">
        <v>1592.0682523758549</v>
      </c>
      <c r="AB668" s="231" t="s">
        <v>239</v>
      </c>
      <c r="AC668" s="232">
        <v>1572.4539715065844</v>
      </c>
      <c r="AD668" s="231" t="s">
        <v>239</v>
      </c>
      <c r="AE668" s="232">
        <v>1553.0813385776232</v>
      </c>
      <c r="AF668" s="231" t="s">
        <v>239</v>
      </c>
      <c r="AG668" s="232">
        <v>1533.9473764863469</v>
      </c>
      <c r="AH668" s="231" t="s">
        <v>239</v>
      </c>
      <c r="AI668" s="232">
        <v>1515.0491448080352</v>
      </c>
      <c r="AJ668" s="231" t="s">
        <v>239</v>
      </c>
      <c r="AK668" s="232">
        <v>1496.3837393440001</v>
      </c>
      <c r="AL668" s="232" t="s">
        <v>239</v>
      </c>
      <c r="AM668" s="232">
        <v>19241.210091292047</v>
      </c>
    </row>
    <row r="669" spans="1:39" ht="15.75" outlineLevel="1">
      <c r="A669" s="411">
        <v>330</v>
      </c>
      <c r="B669" s="10">
        <v>129330</v>
      </c>
      <c r="C669" s="218" t="s">
        <v>1489</v>
      </c>
      <c r="D669" s="218" t="s">
        <v>1490</v>
      </c>
      <c r="E669" s="23" t="s">
        <v>44</v>
      </c>
      <c r="F669" s="17" t="s">
        <v>45</v>
      </c>
      <c r="G669" s="11" t="s">
        <v>1432</v>
      </c>
      <c r="H669" s="12">
        <v>5</v>
      </c>
      <c r="I669" s="11" t="s">
        <v>1433</v>
      </c>
      <c r="J669" s="192" t="s">
        <v>617</v>
      </c>
      <c r="K669" s="17" t="s">
        <v>233</v>
      </c>
      <c r="L669" s="17" t="s">
        <v>233</v>
      </c>
      <c r="M669" s="231">
        <v>1</v>
      </c>
      <c r="N669" s="231">
        <v>1</v>
      </c>
      <c r="O669" s="231">
        <v>1</v>
      </c>
      <c r="P669" s="231" t="s">
        <v>239</v>
      </c>
      <c r="Q669" s="231">
        <v>1</v>
      </c>
      <c r="R669" s="231" t="s">
        <v>239</v>
      </c>
      <c r="S669" s="231">
        <v>1</v>
      </c>
      <c r="T669" s="231" t="s">
        <v>239</v>
      </c>
      <c r="U669" s="231">
        <v>1</v>
      </c>
      <c r="V669" s="231" t="s">
        <v>239</v>
      </c>
      <c r="W669" s="231">
        <v>1</v>
      </c>
      <c r="X669" s="231" t="s">
        <v>239</v>
      </c>
      <c r="Y669" s="231">
        <v>1</v>
      </c>
      <c r="Z669" s="231" t="s">
        <v>239</v>
      </c>
      <c r="AA669" s="231">
        <v>1</v>
      </c>
      <c r="AB669" s="231" t="s">
        <v>239</v>
      </c>
      <c r="AC669" s="231">
        <v>1</v>
      </c>
      <c r="AD669" s="231" t="s">
        <v>239</v>
      </c>
      <c r="AE669" s="231">
        <v>1</v>
      </c>
      <c r="AF669" s="231" t="s">
        <v>239</v>
      </c>
      <c r="AG669" s="231">
        <v>1</v>
      </c>
      <c r="AH669" s="231" t="s">
        <v>239</v>
      </c>
      <c r="AI669" s="231">
        <v>1</v>
      </c>
      <c r="AJ669" s="231" t="s">
        <v>239</v>
      </c>
      <c r="AK669" s="231">
        <v>1</v>
      </c>
      <c r="AL669" s="232" t="s">
        <v>239</v>
      </c>
      <c r="AM669" s="232">
        <v>0</v>
      </c>
    </row>
    <row r="670" spans="1:39" ht="15.75" outlineLevel="1">
      <c r="A670" s="412"/>
      <c r="B670" s="10">
        <v>129330</v>
      </c>
      <c r="C670" s="218" t="s">
        <v>1489</v>
      </c>
      <c r="D670" s="218" t="s">
        <v>1490</v>
      </c>
      <c r="E670" s="23" t="s">
        <v>138</v>
      </c>
      <c r="F670" s="17" t="s">
        <v>45</v>
      </c>
      <c r="G670" s="11" t="s">
        <v>1432</v>
      </c>
      <c r="H670" s="12">
        <v>24</v>
      </c>
      <c r="I670" s="11" t="s">
        <v>1433</v>
      </c>
      <c r="J670" s="374" t="s">
        <v>1457</v>
      </c>
      <c r="K670" s="17" t="s">
        <v>233</v>
      </c>
      <c r="L670" s="17" t="s">
        <v>233</v>
      </c>
      <c r="M670" s="231">
        <v>4178</v>
      </c>
      <c r="N670" s="232">
        <v>4127.2790800000002</v>
      </c>
      <c r="O670" s="132">
        <v>895</v>
      </c>
      <c r="P670" s="231" t="s">
        <v>239</v>
      </c>
      <c r="Q670" s="232">
        <v>883.97360000000003</v>
      </c>
      <c r="R670" s="231" t="s">
        <v>239</v>
      </c>
      <c r="S670" s="232">
        <v>873.08304524800008</v>
      </c>
      <c r="T670" s="231" t="s">
        <v>239</v>
      </c>
      <c r="U670" s="232">
        <v>862.32666213054472</v>
      </c>
      <c r="V670" s="230" t="s">
        <v>239</v>
      </c>
      <c r="W670" s="232">
        <v>851.70279765309635</v>
      </c>
      <c r="X670" s="231" t="s">
        <v>239</v>
      </c>
      <c r="Y670" s="232">
        <v>841.20981918601024</v>
      </c>
      <c r="Z670" s="231" t="s">
        <v>239</v>
      </c>
      <c r="AA670" s="232">
        <v>830.84611421363854</v>
      </c>
      <c r="AB670" s="231" t="s">
        <v>239</v>
      </c>
      <c r="AC670" s="232">
        <v>820.6100900865265</v>
      </c>
      <c r="AD670" s="231" t="s">
        <v>239</v>
      </c>
      <c r="AE670" s="232">
        <v>810.50017377666052</v>
      </c>
      <c r="AF670" s="231" t="s">
        <v>239</v>
      </c>
      <c r="AG670" s="232">
        <v>800.51481163573203</v>
      </c>
      <c r="AH670" s="231" t="s">
        <v>239</v>
      </c>
      <c r="AI670" s="232">
        <v>790.65246915637977</v>
      </c>
      <c r="AJ670" s="231" t="s">
        <v>239</v>
      </c>
      <c r="AK670" s="232">
        <v>780.91163073637313</v>
      </c>
      <c r="AL670" s="232" t="s">
        <v>239</v>
      </c>
      <c r="AM670" s="232">
        <v>10041.331213822961</v>
      </c>
    </row>
    <row r="671" spans="1:39" ht="15.75" outlineLevel="1">
      <c r="A671" s="411">
        <v>331</v>
      </c>
      <c r="B671" s="10">
        <v>129331</v>
      </c>
      <c r="C671" s="218" t="s">
        <v>1489</v>
      </c>
      <c r="D671" s="218" t="s">
        <v>1490</v>
      </c>
      <c r="E671" s="23" t="s">
        <v>44</v>
      </c>
      <c r="F671" s="17" t="s">
        <v>45</v>
      </c>
      <c r="G671" s="11" t="s">
        <v>1432</v>
      </c>
      <c r="H671" s="12">
        <v>4</v>
      </c>
      <c r="I671" s="11" t="s">
        <v>1433</v>
      </c>
      <c r="J671" s="375"/>
      <c r="K671" s="17" t="s">
        <v>233</v>
      </c>
      <c r="L671" s="17" t="s">
        <v>233</v>
      </c>
      <c r="M671" s="231">
        <v>2</v>
      </c>
      <c r="N671" s="231">
        <v>2</v>
      </c>
      <c r="O671" s="231">
        <v>2</v>
      </c>
      <c r="P671" s="231" t="s">
        <v>239</v>
      </c>
      <c r="Q671" s="231">
        <v>2</v>
      </c>
      <c r="R671" s="231" t="s">
        <v>239</v>
      </c>
      <c r="S671" s="231">
        <v>2</v>
      </c>
      <c r="T671" s="231" t="s">
        <v>239</v>
      </c>
      <c r="U671" s="231">
        <v>2</v>
      </c>
      <c r="V671" s="231" t="s">
        <v>239</v>
      </c>
      <c r="W671" s="231">
        <v>2</v>
      </c>
      <c r="X671" s="231" t="s">
        <v>239</v>
      </c>
      <c r="Y671" s="231">
        <v>2</v>
      </c>
      <c r="Z671" s="231" t="s">
        <v>239</v>
      </c>
      <c r="AA671" s="231">
        <v>2</v>
      </c>
      <c r="AB671" s="231" t="s">
        <v>239</v>
      </c>
      <c r="AC671" s="231">
        <v>2</v>
      </c>
      <c r="AD671" s="231" t="s">
        <v>239</v>
      </c>
      <c r="AE671" s="231">
        <v>2</v>
      </c>
      <c r="AF671" s="231" t="s">
        <v>239</v>
      </c>
      <c r="AG671" s="231">
        <v>2</v>
      </c>
      <c r="AH671" s="231" t="s">
        <v>239</v>
      </c>
      <c r="AI671" s="231">
        <v>2</v>
      </c>
      <c r="AJ671" s="231" t="s">
        <v>239</v>
      </c>
      <c r="AK671" s="231">
        <v>2</v>
      </c>
      <c r="AL671" s="232" t="s">
        <v>239</v>
      </c>
      <c r="AM671" s="232">
        <v>0</v>
      </c>
    </row>
    <row r="672" spans="1:39" ht="15.75" outlineLevel="1">
      <c r="A672" s="412"/>
      <c r="B672" s="10">
        <v>129331</v>
      </c>
      <c r="C672" s="218" t="s">
        <v>1489</v>
      </c>
      <c r="D672" s="218" t="s">
        <v>1490</v>
      </c>
      <c r="E672" s="23" t="s">
        <v>138</v>
      </c>
      <c r="F672" s="17" t="s">
        <v>45</v>
      </c>
      <c r="G672" s="11" t="s">
        <v>1432</v>
      </c>
      <c r="H672" s="12">
        <v>18</v>
      </c>
      <c r="I672" s="11" t="s">
        <v>1433</v>
      </c>
      <c r="J672" s="193" t="s">
        <v>1460</v>
      </c>
      <c r="K672" s="17" t="s">
        <v>233</v>
      </c>
      <c r="L672" s="17" t="s">
        <v>233</v>
      </c>
      <c r="M672" s="231">
        <v>15066</v>
      </c>
      <c r="N672" s="232">
        <v>14883.098759999999</v>
      </c>
      <c r="O672" s="132">
        <v>2575</v>
      </c>
      <c r="P672" s="231" t="s">
        <v>239</v>
      </c>
      <c r="Q672" s="232">
        <v>2543.2759999999998</v>
      </c>
      <c r="R672" s="231" t="s">
        <v>239</v>
      </c>
      <c r="S672" s="232">
        <v>2511.9428396799999</v>
      </c>
      <c r="T672" s="231" t="s">
        <v>239</v>
      </c>
      <c r="U672" s="232">
        <v>2480.9957038951425</v>
      </c>
      <c r="V672" s="231" t="s">
        <v>239</v>
      </c>
      <c r="W672" s="232">
        <v>2450.4298368231543</v>
      </c>
      <c r="X672" s="231" t="s">
        <v>239</v>
      </c>
      <c r="Y672" s="232">
        <v>2420.2405412334929</v>
      </c>
      <c r="Z672" s="231" t="s">
        <v>239</v>
      </c>
      <c r="AA672" s="232">
        <v>2390.4231777654963</v>
      </c>
      <c r="AB672" s="231" t="s">
        <v>239</v>
      </c>
      <c r="AC672" s="232">
        <v>2360.9731642154256</v>
      </c>
      <c r="AD672" s="231" t="s">
        <v>239</v>
      </c>
      <c r="AE672" s="232">
        <v>2331.8859748322916</v>
      </c>
      <c r="AF672" s="231" t="s">
        <v>239</v>
      </c>
      <c r="AG672" s="232">
        <v>2303.1571396223576</v>
      </c>
      <c r="AH672" s="231" t="s">
        <v>239</v>
      </c>
      <c r="AI672" s="232">
        <v>2274.78224366221</v>
      </c>
      <c r="AJ672" s="231" t="s">
        <v>239</v>
      </c>
      <c r="AK672" s="232">
        <v>2246.7569264202916</v>
      </c>
      <c r="AL672" s="232" t="s">
        <v>239</v>
      </c>
      <c r="AM672" s="232">
        <v>28889.863548149857</v>
      </c>
    </row>
    <row r="673" spans="1:39" ht="15.75" outlineLevel="1">
      <c r="A673" s="411">
        <v>332</v>
      </c>
      <c r="B673" s="10">
        <v>129332</v>
      </c>
      <c r="C673" s="218" t="s">
        <v>1489</v>
      </c>
      <c r="D673" s="218" t="s">
        <v>1490</v>
      </c>
      <c r="E673" s="23" t="s">
        <v>44</v>
      </c>
      <c r="F673" s="17" t="s">
        <v>45</v>
      </c>
      <c r="G673" s="11" t="s">
        <v>1432</v>
      </c>
      <c r="H673" s="12">
        <v>17</v>
      </c>
      <c r="I673" s="11" t="s">
        <v>1433</v>
      </c>
      <c r="J673" s="193" t="s">
        <v>1442</v>
      </c>
      <c r="K673" s="17" t="s">
        <v>233</v>
      </c>
      <c r="L673" s="17" t="s">
        <v>233</v>
      </c>
      <c r="M673" s="231">
        <v>1</v>
      </c>
      <c r="N673" s="231">
        <v>1</v>
      </c>
      <c r="O673" s="231">
        <v>1</v>
      </c>
      <c r="P673" s="231" t="s">
        <v>239</v>
      </c>
      <c r="Q673" s="231">
        <v>1</v>
      </c>
      <c r="R673" s="231" t="s">
        <v>239</v>
      </c>
      <c r="S673" s="231">
        <v>1</v>
      </c>
      <c r="T673" s="231" t="s">
        <v>239</v>
      </c>
      <c r="U673" s="231">
        <v>1</v>
      </c>
      <c r="V673" s="230" t="s">
        <v>239</v>
      </c>
      <c r="W673" s="231">
        <v>1</v>
      </c>
      <c r="X673" s="231" t="s">
        <v>239</v>
      </c>
      <c r="Y673" s="231">
        <v>1</v>
      </c>
      <c r="Z673" s="231" t="s">
        <v>239</v>
      </c>
      <c r="AA673" s="231">
        <v>1</v>
      </c>
      <c r="AB673" s="231" t="s">
        <v>239</v>
      </c>
      <c r="AC673" s="231">
        <v>1</v>
      </c>
      <c r="AD673" s="231" t="s">
        <v>239</v>
      </c>
      <c r="AE673" s="231">
        <v>1</v>
      </c>
      <c r="AF673" s="231" t="s">
        <v>239</v>
      </c>
      <c r="AG673" s="231">
        <v>1</v>
      </c>
      <c r="AH673" s="231" t="s">
        <v>239</v>
      </c>
      <c r="AI673" s="231">
        <v>1</v>
      </c>
      <c r="AJ673" s="231" t="s">
        <v>239</v>
      </c>
      <c r="AK673" s="231">
        <v>1</v>
      </c>
      <c r="AL673" s="232" t="s">
        <v>239</v>
      </c>
      <c r="AM673" s="232">
        <v>0</v>
      </c>
    </row>
    <row r="674" spans="1:39" ht="15.75" outlineLevel="1">
      <c r="A674" s="412"/>
      <c r="B674" s="10">
        <v>129332</v>
      </c>
      <c r="C674" s="218" t="s">
        <v>1489</v>
      </c>
      <c r="D674" s="218" t="s">
        <v>1490</v>
      </c>
      <c r="E674" s="23" t="s">
        <v>44</v>
      </c>
      <c r="F674" s="17" t="s">
        <v>45</v>
      </c>
      <c r="G674" s="11" t="s">
        <v>1432</v>
      </c>
      <c r="H674" s="12">
        <v>28</v>
      </c>
      <c r="I674" s="11" t="s">
        <v>1433</v>
      </c>
      <c r="J674" s="191" t="s">
        <v>216</v>
      </c>
      <c r="K674" s="17" t="s">
        <v>233</v>
      </c>
      <c r="L674" s="17" t="s">
        <v>233</v>
      </c>
      <c r="M674" s="231">
        <v>9455</v>
      </c>
      <c r="N674" s="232">
        <v>9340.2163</v>
      </c>
      <c r="O674" s="132">
        <v>1254</v>
      </c>
      <c r="P674" s="231" t="s">
        <v>239</v>
      </c>
      <c r="Q674" s="232">
        <v>1238.55072</v>
      </c>
      <c r="R674" s="231" t="s">
        <v>239</v>
      </c>
      <c r="S674" s="232">
        <v>1223.2917751296</v>
      </c>
      <c r="T674" s="231" t="s">
        <v>239</v>
      </c>
      <c r="U674" s="232">
        <v>1208.2208204600033</v>
      </c>
      <c r="V674" s="231" t="s">
        <v>239</v>
      </c>
      <c r="W674" s="232">
        <v>1193.3355399519362</v>
      </c>
      <c r="X674" s="231" t="s">
        <v>239</v>
      </c>
      <c r="Y674" s="232">
        <v>1178.6336460997284</v>
      </c>
      <c r="Z674" s="231" t="s">
        <v>239</v>
      </c>
      <c r="AA674" s="232">
        <v>1164.1128795797797</v>
      </c>
      <c r="AB674" s="231" t="s">
        <v>239</v>
      </c>
      <c r="AC674" s="232">
        <v>1149.7710089033569</v>
      </c>
      <c r="AD674" s="231" t="s">
        <v>239</v>
      </c>
      <c r="AE674" s="232">
        <v>1135.6058300736674</v>
      </c>
      <c r="AF674" s="231" t="s">
        <v>239</v>
      </c>
      <c r="AG674" s="232">
        <v>1121.6151662471598</v>
      </c>
      <c r="AH674" s="231" t="s">
        <v>239</v>
      </c>
      <c r="AI674" s="232">
        <v>1107.7968673989947</v>
      </c>
      <c r="AJ674" s="231" t="s">
        <v>239</v>
      </c>
      <c r="AK674" s="232">
        <v>1094.1488099926391</v>
      </c>
      <c r="AL674" s="232" t="s">
        <v>239</v>
      </c>
      <c r="AM674" s="232">
        <v>14069.083063836866</v>
      </c>
    </row>
    <row r="675" spans="1:39" ht="15.75" outlineLevel="1">
      <c r="A675" s="411">
        <v>333</v>
      </c>
      <c r="B675" s="10">
        <v>129333</v>
      </c>
      <c r="C675" s="218" t="s">
        <v>1489</v>
      </c>
      <c r="D675" s="218" t="s">
        <v>1490</v>
      </c>
      <c r="E675" s="23" t="s">
        <v>138</v>
      </c>
      <c r="F675" s="17" t="s">
        <v>45</v>
      </c>
      <c r="G675" s="11" t="s">
        <v>1432</v>
      </c>
      <c r="H675" s="12">
        <v>33</v>
      </c>
      <c r="I675" s="11" t="s">
        <v>1433</v>
      </c>
      <c r="J675" s="192" t="s">
        <v>1434</v>
      </c>
      <c r="K675" s="17" t="s">
        <v>233</v>
      </c>
      <c r="L675" s="17" t="s">
        <v>233</v>
      </c>
      <c r="M675" s="231">
        <v>87</v>
      </c>
      <c r="N675" s="231">
        <v>87</v>
      </c>
      <c r="O675" s="231">
        <v>87</v>
      </c>
      <c r="P675" s="231" t="s">
        <v>239</v>
      </c>
      <c r="Q675" s="231">
        <v>87</v>
      </c>
      <c r="R675" s="231" t="s">
        <v>239</v>
      </c>
      <c r="S675" s="231">
        <v>87</v>
      </c>
      <c r="T675" s="231" t="s">
        <v>239</v>
      </c>
      <c r="U675" s="231">
        <v>87</v>
      </c>
      <c r="V675" s="231" t="s">
        <v>239</v>
      </c>
      <c r="W675" s="231">
        <v>87</v>
      </c>
      <c r="X675" s="231" t="s">
        <v>239</v>
      </c>
      <c r="Y675" s="231">
        <v>87</v>
      </c>
      <c r="Z675" s="231" t="s">
        <v>239</v>
      </c>
      <c r="AA675" s="231">
        <v>87</v>
      </c>
      <c r="AB675" s="231" t="s">
        <v>239</v>
      </c>
      <c r="AC675" s="231">
        <v>87</v>
      </c>
      <c r="AD675" s="231" t="s">
        <v>239</v>
      </c>
      <c r="AE675" s="231">
        <v>87</v>
      </c>
      <c r="AF675" s="231" t="s">
        <v>239</v>
      </c>
      <c r="AG675" s="231">
        <v>87</v>
      </c>
      <c r="AH675" s="231" t="s">
        <v>239</v>
      </c>
      <c r="AI675" s="231">
        <v>87</v>
      </c>
      <c r="AJ675" s="231" t="s">
        <v>239</v>
      </c>
      <c r="AK675" s="231">
        <v>87</v>
      </c>
      <c r="AL675" s="232" t="s">
        <v>239</v>
      </c>
      <c r="AM675" s="232">
        <v>0</v>
      </c>
    </row>
    <row r="676" spans="1:39" ht="15.75" outlineLevel="1">
      <c r="A676" s="412"/>
      <c r="B676" s="10">
        <v>129333</v>
      </c>
      <c r="C676" s="218" t="s">
        <v>1489</v>
      </c>
      <c r="D676" s="218" t="s">
        <v>1490</v>
      </c>
      <c r="E676" s="23" t="s">
        <v>44</v>
      </c>
      <c r="F676" s="17" t="s">
        <v>45</v>
      </c>
      <c r="G676" s="11" t="s">
        <v>1432</v>
      </c>
      <c r="H676" s="12">
        <v>25</v>
      </c>
      <c r="I676" s="11" t="s">
        <v>1433</v>
      </c>
      <c r="J676" s="192" t="s">
        <v>1480</v>
      </c>
      <c r="K676" s="17" t="s">
        <v>233</v>
      </c>
      <c r="L676" s="17" t="s">
        <v>233</v>
      </c>
      <c r="M676" s="231">
        <v>16284</v>
      </c>
      <c r="N676" s="232">
        <v>16086.312239999999</v>
      </c>
      <c r="O676" s="132">
        <v>765</v>
      </c>
      <c r="P676" s="231" t="s">
        <v>239</v>
      </c>
      <c r="Q676" s="232">
        <v>755.5752</v>
      </c>
      <c r="R676" s="231" t="s">
        <v>239</v>
      </c>
      <c r="S676" s="232">
        <v>746.26651353600005</v>
      </c>
      <c r="T676" s="231" t="s">
        <v>239</v>
      </c>
      <c r="U676" s="232">
        <v>737.07251008923652</v>
      </c>
      <c r="V676" s="230" t="s">
        <v>239</v>
      </c>
      <c r="W676" s="232">
        <v>727.99177676493707</v>
      </c>
      <c r="X676" s="231" t="s">
        <v>239</v>
      </c>
      <c r="Y676" s="232">
        <v>719.02291807519305</v>
      </c>
      <c r="Z676" s="231" t="s">
        <v>239</v>
      </c>
      <c r="AA676" s="232">
        <v>710.16455572450673</v>
      </c>
      <c r="AB676" s="231" t="s">
        <v>239</v>
      </c>
      <c r="AC676" s="232">
        <v>701.41532839798083</v>
      </c>
      <c r="AD676" s="231" t="s">
        <v>239</v>
      </c>
      <c r="AE676" s="232">
        <v>692.77389155211768</v>
      </c>
      <c r="AF676" s="231" t="s">
        <v>239</v>
      </c>
      <c r="AG676" s="232">
        <v>684.23891720819563</v>
      </c>
      <c r="AH676" s="231" t="s">
        <v>239</v>
      </c>
      <c r="AI676" s="232">
        <v>675.80909374819066</v>
      </c>
      <c r="AJ676" s="231" t="s">
        <v>239</v>
      </c>
      <c r="AK676" s="232">
        <v>667.48312571321298</v>
      </c>
      <c r="AL676" s="232" t="s">
        <v>239</v>
      </c>
      <c r="AM676" s="232">
        <v>8582.8138308095713</v>
      </c>
    </row>
    <row r="677" spans="1:39" ht="15.75" outlineLevel="1">
      <c r="A677" s="411">
        <v>334</v>
      </c>
      <c r="B677" s="10">
        <v>129334</v>
      </c>
      <c r="C677" s="218" t="s">
        <v>1489</v>
      </c>
      <c r="D677" s="218" t="s">
        <v>1490</v>
      </c>
      <c r="E677" s="23" t="s">
        <v>138</v>
      </c>
      <c r="F677" s="17" t="s">
        <v>45</v>
      </c>
      <c r="G677" s="11" t="s">
        <v>1432</v>
      </c>
      <c r="H677" s="12">
        <v>9</v>
      </c>
      <c r="I677" s="11" t="s">
        <v>1433</v>
      </c>
      <c r="J677" s="192" t="s">
        <v>1452</v>
      </c>
      <c r="K677" s="17" t="s">
        <v>233</v>
      </c>
      <c r="L677" s="17" t="s">
        <v>233</v>
      </c>
      <c r="M677" s="231">
        <v>87</v>
      </c>
      <c r="N677" s="231">
        <v>87</v>
      </c>
      <c r="O677" s="231">
        <v>87</v>
      </c>
      <c r="P677" s="231" t="s">
        <v>239</v>
      </c>
      <c r="Q677" s="231">
        <v>87</v>
      </c>
      <c r="R677" s="231" t="s">
        <v>239</v>
      </c>
      <c r="S677" s="231">
        <v>87</v>
      </c>
      <c r="T677" s="231" t="s">
        <v>239</v>
      </c>
      <c r="U677" s="231">
        <v>87</v>
      </c>
      <c r="V677" s="231" t="s">
        <v>239</v>
      </c>
      <c r="W677" s="231">
        <v>87</v>
      </c>
      <c r="X677" s="231" t="s">
        <v>239</v>
      </c>
      <c r="Y677" s="231">
        <v>87</v>
      </c>
      <c r="Z677" s="231" t="s">
        <v>239</v>
      </c>
      <c r="AA677" s="231">
        <v>87</v>
      </c>
      <c r="AB677" s="231" t="s">
        <v>239</v>
      </c>
      <c r="AC677" s="231">
        <v>87</v>
      </c>
      <c r="AD677" s="231" t="s">
        <v>239</v>
      </c>
      <c r="AE677" s="231">
        <v>87</v>
      </c>
      <c r="AF677" s="231" t="s">
        <v>239</v>
      </c>
      <c r="AG677" s="231">
        <v>87</v>
      </c>
      <c r="AH677" s="231" t="s">
        <v>239</v>
      </c>
      <c r="AI677" s="231">
        <v>87</v>
      </c>
      <c r="AJ677" s="231" t="s">
        <v>239</v>
      </c>
      <c r="AK677" s="231">
        <v>87</v>
      </c>
      <c r="AL677" s="232" t="s">
        <v>239</v>
      </c>
      <c r="AM677" s="232">
        <v>0</v>
      </c>
    </row>
    <row r="678" spans="1:39" ht="15.75" outlineLevel="1">
      <c r="A678" s="412"/>
      <c r="B678" s="10">
        <v>129334</v>
      </c>
      <c r="C678" s="218" t="s">
        <v>1489</v>
      </c>
      <c r="D678" s="218" t="s">
        <v>1490</v>
      </c>
      <c r="E678" s="23" t="s">
        <v>44</v>
      </c>
      <c r="F678" s="17" t="s">
        <v>45</v>
      </c>
      <c r="G678" s="11" t="s">
        <v>1432</v>
      </c>
      <c r="H678" s="12">
        <v>24</v>
      </c>
      <c r="I678" s="11" t="s">
        <v>1433</v>
      </c>
      <c r="J678" s="374" t="s">
        <v>207</v>
      </c>
      <c r="K678" s="17" t="s">
        <v>233</v>
      </c>
      <c r="L678" s="17" t="s">
        <v>233</v>
      </c>
      <c r="M678" s="231">
        <v>0</v>
      </c>
      <c r="N678" s="232">
        <v>0</v>
      </c>
      <c r="O678" s="132"/>
      <c r="P678" s="231" t="s">
        <v>239</v>
      </c>
      <c r="Q678" s="232">
        <v>0</v>
      </c>
      <c r="R678" s="231" t="s">
        <v>239</v>
      </c>
      <c r="S678" s="232">
        <v>0</v>
      </c>
      <c r="T678" s="231" t="s">
        <v>239</v>
      </c>
      <c r="U678" s="232">
        <v>0</v>
      </c>
      <c r="V678" s="231" t="s">
        <v>239</v>
      </c>
      <c r="W678" s="232">
        <v>0</v>
      </c>
      <c r="X678" s="231" t="s">
        <v>239</v>
      </c>
      <c r="Y678" s="232">
        <v>0</v>
      </c>
      <c r="Z678" s="231" t="s">
        <v>239</v>
      </c>
      <c r="AA678" s="232">
        <v>0</v>
      </c>
      <c r="AB678" s="231" t="s">
        <v>239</v>
      </c>
      <c r="AC678" s="232">
        <v>0</v>
      </c>
      <c r="AD678" s="231" t="s">
        <v>239</v>
      </c>
      <c r="AE678" s="232">
        <v>0</v>
      </c>
      <c r="AF678" s="231" t="s">
        <v>239</v>
      </c>
      <c r="AG678" s="232">
        <v>0</v>
      </c>
      <c r="AH678" s="231" t="s">
        <v>239</v>
      </c>
      <c r="AI678" s="232">
        <v>0</v>
      </c>
      <c r="AJ678" s="231" t="s">
        <v>239</v>
      </c>
      <c r="AK678" s="232">
        <v>0</v>
      </c>
      <c r="AL678" s="232" t="s">
        <v>239</v>
      </c>
      <c r="AM678" s="232">
        <v>0</v>
      </c>
    </row>
    <row r="679" spans="1:39" ht="15.75" outlineLevel="1">
      <c r="A679" s="411">
        <v>335</v>
      </c>
      <c r="B679" s="10">
        <v>129335</v>
      </c>
      <c r="C679" s="218" t="s">
        <v>1489</v>
      </c>
      <c r="D679" s="218" t="s">
        <v>1490</v>
      </c>
      <c r="E679" s="23" t="s">
        <v>44</v>
      </c>
      <c r="F679" s="17" t="s">
        <v>45</v>
      </c>
      <c r="G679" s="11" t="s">
        <v>1432</v>
      </c>
      <c r="H679" s="12">
        <v>36</v>
      </c>
      <c r="I679" s="11" t="s">
        <v>1433</v>
      </c>
      <c r="J679" s="375"/>
      <c r="K679" s="17" t="s">
        <v>233</v>
      </c>
      <c r="L679" s="17" t="s">
        <v>233</v>
      </c>
      <c r="M679" s="231">
        <v>87</v>
      </c>
      <c r="N679" s="231">
        <v>87</v>
      </c>
      <c r="O679" s="231">
        <v>87</v>
      </c>
      <c r="P679" s="231" t="s">
        <v>239</v>
      </c>
      <c r="Q679" s="231">
        <v>87</v>
      </c>
      <c r="R679" s="231" t="s">
        <v>239</v>
      </c>
      <c r="S679" s="231">
        <v>87</v>
      </c>
      <c r="T679" s="231" t="s">
        <v>239</v>
      </c>
      <c r="U679" s="231">
        <v>87</v>
      </c>
      <c r="V679" s="230" t="s">
        <v>239</v>
      </c>
      <c r="W679" s="231">
        <v>87</v>
      </c>
      <c r="X679" s="231" t="s">
        <v>239</v>
      </c>
      <c r="Y679" s="231">
        <v>87</v>
      </c>
      <c r="Z679" s="231" t="s">
        <v>239</v>
      </c>
      <c r="AA679" s="231">
        <v>87</v>
      </c>
      <c r="AB679" s="231" t="s">
        <v>239</v>
      </c>
      <c r="AC679" s="231">
        <v>87</v>
      </c>
      <c r="AD679" s="231" t="s">
        <v>239</v>
      </c>
      <c r="AE679" s="231">
        <v>87</v>
      </c>
      <c r="AF679" s="231" t="s">
        <v>239</v>
      </c>
      <c r="AG679" s="231">
        <v>87</v>
      </c>
      <c r="AH679" s="231" t="s">
        <v>239</v>
      </c>
      <c r="AI679" s="231">
        <v>87</v>
      </c>
      <c r="AJ679" s="231" t="s">
        <v>239</v>
      </c>
      <c r="AK679" s="231">
        <v>87</v>
      </c>
      <c r="AL679" s="232" t="s">
        <v>239</v>
      </c>
      <c r="AM679" s="232">
        <v>0</v>
      </c>
    </row>
    <row r="680" spans="1:39" ht="15.75" outlineLevel="1">
      <c r="A680" s="412"/>
      <c r="B680" s="10">
        <v>129335</v>
      </c>
      <c r="C680" s="218" t="s">
        <v>1489</v>
      </c>
      <c r="D680" s="218" t="s">
        <v>1490</v>
      </c>
      <c r="E680" s="23" t="s">
        <v>138</v>
      </c>
      <c r="F680" s="17" t="s">
        <v>45</v>
      </c>
      <c r="G680" s="11" t="s">
        <v>1432</v>
      </c>
      <c r="H680" s="12">
        <v>34</v>
      </c>
      <c r="I680" s="11" t="s">
        <v>1433</v>
      </c>
      <c r="J680" s="193" t="s">
        <v>1460</v>
      </c>
      <c r="K680" s="17" t="s">
        <v>233</v>
      </c>
      <c r="L680" s="17" t="s">
        <v>233</v>
      </c>
      <c r="M680" s="231">
        <v>0</v>
      </c>
      <c r="N680" s="232">
        <v>0</v>
      </c>
      <c r="O680" s="132"/>
      <c r="P680" s="231" t="s">
        <v>239</v>
      </c>
      <c r="Q680" s="232">
        <v>0</v>
      </c>
      <c r="R680" s="231" t="s">
        <v>239</v>
      </c>
      <c r="S680" s="232">
        <v>0</v>
      </c>
      <c r="T680" s="231" t="s">
        <v>239</v>
      </c>
      <c r="U680" s="232">
        <v>0</v>
      </c>
      <c r="V680" s="231" t="s">
        <v>239</v>
      </c>
      <c r="W680" s="232">
        <v>0</v>
      </c>
      <c r="X680" s="231" t="s">
        <v>239</v>
      </c>
      <c r="Y680" s="232">
        <v>0</v>
      </c>
      <c r="Z680" s="231" t="s">
        <v>239</v>
      </c>
      <c r="AA680" s="232">
        <v>0</v>
      </c>
      <c r="AB680" s="231" t="s">
        <v>239</v>
      </c>
      <c r="AC680" s="232">
        <v>0</v>
      </c>
      <c r="AD680" s="231" t="s">
        <v>239</v>
      </c>
      <c r="AE680" s="232">
        <v>0</v>
      </c>
      <c r="AF680" s="231" t="s">
        <v>239</v>
      </c>
      <c r="AG680" s="232">
        <v>0</v>
      </c>
      <c r="AH680" s="231" t="s">
        <v>239</v>
      </c>
      <c r="AI680" s="232">
        <v>0</v>
      </c>
      <c r="AJ680" s="231" t="s">
        <v>239</v>
      </c>
      <c r="AK680" s="232">
        <v>0</v>
      </c>
      <c r="AL680" s="232" t="s">
        <v>239</v>
      </c>
      <c r="AM680" s="232">
        <v>0</v>
      </c>
    </row>
    <row r="681" spans="1:39" ht="15.75" outlineLevel="1">
      <c r="A681" s="411">
        <v>336</v>
      </c>
      <c r="B681" s="10">
        <v>129336</v>
      </c>
      <c r="C681" s="218" t="s">
        <v>1489</v>
      </c>
      <c r="D681" s="218" t="s">
        <v>1490</v>
      </c>
      <c r="E681" s="23" t="s">
        <v>44</v>
      </c>
      <c r="F681" s="17" t="s">
        <v>45</v>
      </c>
      <c r="G681" s="11" t="s">
        <v>1432</v>
      </c>
      <c r="H681" s="12">
        <v>7</v>
      </c>
      <c r="I681" s="11" t="s">
        <v>1433</v>
      </c>
      <c r="J681" s="193" t="s">
        <v>1442</v>
      </c>
      <c r="K681" s="17" t="s">
        <v>233</v>
      </c>
      <c r="L681" s="17" t="s">
        <v>233</v>
      </c>
      <c r="M681" s="231">
        <v>0</v>
      </c>
      <c r="N681" s="232">
        <v>0</v>
      </c>
      <c r="O681" s="132"/>
      <c r="P681" s="231" t="s">
        <v>239</v>
      </c>
      <c r="Q681" s="232">
        <v>0</v>
      </c>
      <c r="R681" s="231" t="s">
        <v>239</v>
      </c>
      <c r="S681" s="232">
        <v>0</v>
      </c>
      <c r="T681" s="231" t="s">
        <v>239</v>
      </c>
      <c r="U681" s="232">
        <v>0</v>
      </c>
      <c r="V681" s="231" t="s">
        <v>239</v>
      </c>
      <c r="W681" s="232">
        <v>0</v>
      </c>
      <c r="X681" s="231" t="s">
        <v>239</v>
      </c>
      <c r="Y681" s="232">
        <v>0</v>
      </c>
      <c r="Z681" s="231" t="s">
        <v>239</v>
      </c>
      <c r="AA681" s="232">
        <v>0</v>
      </c>
      <c r="AB681" s="231" t="s">
        <v>239</v>
      </c>
      <c r="AC681" s="232">
        <v>0</v>
      </c>
      <c r="AD681" s="231" t="s">
        <v>239</v>
      </c>
      <c r="AE681" s="232">
        <v>0</v>
      </c>
      <c r="AF681" s="231" t="s">
        <v>239</v>
      </c>
      <c r="AG681" s="232">
        <v>0</v>
      </c>
      <c r="AH681" s="231" t="s">
        <v>239</v>
      </c>
      <c r="AI681" s="232">
        <v>0</v>
      </c>
      <c r="AJ681" s="231" t="s">
        <v>239</v>
      </c>
      <c r="AK681" s="232">
        <v>0</v>
      </c>
      <c r="AL681" s="232" t="s">
        <v>239</v>
      </c>
      <c r="AM681" s="232">
        <v>0</v>
      </c>
    </row>
    <row r="682" spans="1:39" ht="15.75" outlineLevel="1">
      <c r="A682" s="412"/>
      <c r="B682" s="10">
        <v>129336</v>
      </c>
      <c r="C682" s="218" t="s">
        <v>1489</v>
      </c>
      <c r="D682" s="218" t="s">
        <v>1490</v>
      </c>
      <c r="E682" s="23" t="s">
        <v>138</v>
      </c>
      <c r="F682" s="17" t="s">
        <v>45</v>
      </c>
      <c r="G682" s="11" t="s">
        <v>1432</v>
      </c>
      <c r="H682" s="12">
        <v>5</v>
      </c>
      <c r="I682" s="11" t="s">
        <v>1433</v>
      </c>
      <c r="J682" s="193" t="s">
        <v>1460</v>
      </c>
      <c r="K682" s="17" t="s">
        <v>233</v>
      </c>
      <c r="L682" s="17" t="s">
        <v>233</v>
      </c>
      <c r="M682" s="231">
        <v>0</v>
      </c>
      <c r="N682" s="232">
        <v>0</v>
      </c>
      <c r="O682" s="132">
        <v>1384</v>
      </c>
      <c r="P682" s="231" t="s">
        <v>239</v>
      </c>
      <c r="Q682" s="232">
        <v>1366.94912</v>
      </c>
      <c r="R682" s="231" t="s">
        <v>239</v>
      </c>
      <c r="S682" s="232">
        <v>1350.1083068416001</v>
      </c>
      <c r="T682" s="231" t="s">
        <v>239</v>
      </c>
      <c r="U682" s="232">
        <v>1333.4749725013116</v>
      </c>
      <c r="V682" s="230" t="s">
        <v>239</v>
      </c>
      <c r="W682" s="232">
        <v>1317.0465608400955</v>
      </c>
      <c r="X682" s="231" t="s">
        <v>239</v>
      </c>
      <c r="Y682" s="232">
        <v>1300.8205472105456</v>
      </c>
      <c r="Z682" s="231" t="s">
        <v>239</v>
      </c>
      <c r="AA682" s="232">
        <v>1284.7944380689116</v>
      </c>
      <c r="AB682" s="231" t="s">
        <v>239</v>
      </c>
      <c r="AC682" s="232">
        <v>1268.9657705919026</v>
      </c>
      <c r="AD682" s="231" t="s">
        <v>239</v>
      </c>
      <c r="AE682" s="232">
        <v>1253.3321122982104</v>
      </c>
      <c r="AF682" s="231" t="s">
        <v>239</v>
      </c>
      <c r="AG682" s="232">
        <v>1237.8910606746965</v>
      </c>
      <c r="AH682" s="231" t="s">
        <v>239</v>
      </c>
      <c r="AI682" s="232">
        <v>1222.6402428071842</v>
      </c>
      <c r="AJ682" s="231" t="s">
        <v>239</v>
      </c>
      <c r="AK682" s="232">
        <v>1207.5773150157997</v>
      </c>
      <c r="AL682" s="232" t="s">
        <v>239</v>
      </c>
      <c r="AM682" s="232">
        <v>15527.60044685026</v>
      </c>
    </row>
    <row r="683" spans="1:39" ht="15.75" outlineLevel="1">
      <c r="A683" s="411">
        <v>337</v>
      </c>
      <c r="B683" s="10">
        <v>129337</v>
      </c>
      <c r="C683" s="218" t="s">
        <v>1489</v>
      </c>
      <c r="D683" s="218" t="s">
        <v>1490</v>
      </c>
      <c r="E683" s="23" t="s">
        <v>44</v>
      </c>
      <c r="F683" s="17" t="s">
        <v>45</v>
      </c>
      <c r="G683" s="11" t="s">
        <v>1432</v>
      </c>
      <c r="H683" s="12">
        <v>14</v>
      </c>
      <c r="I683" s="11" t="s">
        <v>1433</v>
      </c>
      <c r="J683" s="193" t="s">
        <v>1457</v>
      </c>
      <c r="K683" s="17" t="s">
        <v>233</v>
      </c>
      <c r="L683" s="17" t="s">
        <v>233</v>
      </c>
      <c r="M683" s="231">
        <v>48</v>
      </c>
      <c r="N683" s="231">
        <v>48</v>
      </c>
      <c r="O683" s="231">
        <v>48</v>
      </c>
      <c r="P683" s="231" t="s">
        <v>239</v>
      </c>
      <c r="Q683" s="231">
        <v>48</v>
      </c>
      <c r="R683" s="231" t="s">
        <v>239</v>
      </c>
      <c r="S683" s="231">
        <v>48</v>
      </c>
      <c r="T683" s="231" t="s">
        <v>239</v>
      </c>
      <c r="U683" s="231">
        <v>48</v>
      </c>
      <c r="V683" s="231" t="s">
        <v>239</v>
      </c>
      <c r="W683" s="231">
        <v>48</v>
      </c>
      <c r="X683" s="231" t="s">
        <v>239</v>
      </c>
      <c r="Y683" s="231">
        <v>48</v>
      </c>
      <c r="Z683" s="231" t="s">
        <v>239</v>
      </c>
      <c r="AA683" s="231">
        <v>48</v>
      </c>
      <c r="AB683" s="231" t="s">
        <v>239</v>
      </c>
      <c r="AC683" s="231">
        <v>48</v>
      </c>
      <c r="AD683" s="231" t="s">
        <v>239</v>
      </c>
      <c r="AE683" s="231">
        <v>48</v>
      </c>
      <c r="AF683" s="231" t="s">
        <v>239</v>
      </c>
      <c r="AG683" s="231">
        <v>48</v>
      </c>
      <c r="AH683" s="231" t="s">
        <v>239</v>
      </c>
      <c r="AI683" s="231">
        <v>48</v>
      </c>
      <c r="AJ683" s="231" t="s">
        <v>239</v>
      </c>
      <c r="AK683" s="231">
        <v>48</v>
      </c>
      <c r="AL683" s="232" t="s">
        <v>239</v>
      </c>
      <c r="AM683" s="232">
        <v>0</v>
      </c>
    </row>
    <row r="684" spans="1:39" ht="15.75" outlineLevel="1">
      <c r="A684" s="412"/>
      <c r="B684" s="10">
        <v>129337</v>
      </c>
      <c r="C684" s="218" t="s">
        <v>1489</v>
      </c>
      <c r="D684" s="218" t="s">
        <v>1490</v>
      </c>
      <c r="E684" s="23" t="s">
        <v>44</v>
      </c>
      <c r="F684" s="17" t="s">
        <v>45</v>
      </c>
      <c r="G684" s="11" t="s">
        <v>1432</v>
      </c>
      <c r="H684" s="12">
        <v>18</v>
      </c>
      <c r="I684" s="11" t="s">
        <v>1433</v>
      </c>
      <c r="J684" s="193" t="s">
        <v>617</v>
      </c>
      <c r="K684" s="17" t="s">
        <v>233</v>
      </c>
      <c r="L684" s="17" t="s">
        <v>233</v>
      </c>
      <c r="M684" s="231">
        <v>59872</v>
      </c>
      <c r="N684" s="232">
        <v>59145.153919999997</v>
      </c>
      <c r="O684" s="132">
        <v>5474</v>
      </c>
      <c r="P684" s="231" t="s">
        <v>239</v>
      </c>
      <c r="Q684" s="232">
        <v>5406.5603199999996</v>
      </c>
      <c r="R684" s="231" t="s">
        <v>239</v>
      </c>
      <c r="S684" s="232">
        <v>5339.9514968575995</v>
      </c>
      <c r="T684" s="231" t="s">
        <v>239</v>
      </c>
      <c r="U684" s="232">
        <v>5274.1632944163139</v>
      </c>
      <c r="V684" s="231" t="s">
        <v>239</v>
      </c>
      <c r="W684" s="232">
        <v>5209.1856026291052</v>
      </c>
      <c r="X684" s="231" t="s">
        <v>239</v>
      </c>
      <c r="Y684" s="232">
        <v>5145.0084360047149</v>
      </c>
      <c r="Z684" s="231" t="s">
        <v>239</v>
      </c>
      <c r="AA684" s="232">
        <v>5081.621932073137</v>
      </c>
      <c r="AB684" s="231" t="s">
        <v>239</v>
      </c>
      <c r="AC684" s="232">
        <v>5019.0163498699958</v>
      </c>
      <c r="AD684" s="231" t="s">
        <v>239</v>
      </c>
      <c r="AE684" s="232">
        <v>4957.1820684395971</v>
      </c>
      <c r="AF684" s="231" t="s">
        <v>239</v>
      </c>
      <c r="AG684" s="232">
        <v>4896.1095853564211</v>
      </c>
      <c r="AH684" s="231" t="s">
        <v>239</v>
      </c>
      <c r="AI684" s="232">
        <v>4835.7895152648298</v>
      </c>
      <c r="AJ684" s="231" t="s">
        <v>239</v>
      </c>
      <c r="AK684" s="232">
        <v>4776.212588436767</v>
      </c>
      <c r="AL684" s="232" t="s">
        <v>239</v>
      </c>
      <c r="AM684" s="232">
        <v>61414.80118934848</v>
      </c>
    </row>
    <row r="685" spans="1:39" ht="15.75" outlineLevel="1">
      <c r="A685" s="411">
        <v>338</v>
      </c>
      <c r="B685" s="10">
        <v>129338</v>
      </c>
      <c r="C685" s="218" t="s">
        <v>1489</v>
      </c>
      <c r="D685" s="218" t="s">
        <v>1490</v>
      </c>
      <c r="E685" s="23" t="s">
        <v>138</v>
      </c>
      <c r="F685" s="17" t="s">
        <v>45</v>
      </c>
      <c r="G685" s="11" t="s">
        <v>1432</v>
      </c>
      <c r="H685" s="12">
        <v>17</v>
      </c>
      <c r="I685" s="11" t="s">
        <v>1433</v>
      </c>
      <c r="J685" s="193" t="s">
        <v>216</v>
      </c>
      <c r="K685" s="17" t="s">
        <v>233</v>
      </c>
      <c r="L685" s="17" t="s">
        <v>233</v>
      </c>
      <c r="M685" s="231">
        <v>48</v>
      </c>
      <c r="N685" s="231">
        <v>48</v>
      </c>
      <c r="O685" s="231">
        <v>48</v>
      </c>
      <c r="P685" s="231" t="s">
        <v>239</v>
      </c>
      <c r="Q685" s="231">
        <v>48</v>
      </c>
      <c r="R685" s="231" t="s">
        <v>239</v>
      </c>
      <c r="S685" s="231">
        <v>48</v>
      </c>
      <c r="T685" s="231" t="s">
        <v>239</v>
      </c>
      <c r="U685" s="231">
        <v>48</v>
      </c>
      <c r="V685" s="230" t="s">
        <v>239</v>
      </c>
      <c r="W685" s="231">
        <v>48</v>
      </c>
      <c r="X685" s="231" t="s">
        <v>239</v>
      </c>
      <c r="Y685" s="231">
        <v>48</v>
      </c>
      <c r="Z685" s="231" t="s">
        <v>239</v>
      </c>
      <c r="AA685" s="231">
        <v>48</v>
      </c>
      <c r="AB685" s="231" t="s">
        <v>239</v>
      </c>
      <c r="AC685" s="231">
        <v>48</v>
      </c>
      <c r="AD685" s="231" t="s">
        <v>239</v>
      </c>
      <c r="AE685" s="231">
        <v>48</v>
      </c>
      <c r="AF685" s="231" t="s">
        <v>239</v>
      </c>
      <c r="AG685" s="231">
        <v>48</v>
      </c>
      <c r="AH685" s="231" t="s">
        <v>239</v>
      </c>
      <c r="AI685" s="231">
        <v>48</v>
      </c>
      <c r="AJ685" s="231" t="s">
        <v>239</v>
      </c>
      <c r="AK685" s="231">
        <v>48</v>
      </c>
      <c r="AL685" s="232" t="s">
        <v>239</v>
      </c>
      <c r="AM685" s="232">
        <v>0</v>
      </c>
    </row>
    <row r="686" spans="1:39" ht="15.75" outlineLevel="1">
      <c r="A686" s="412"/>
      <c r="B686" s="10">
        <v>129338</v>
      </c>
      <c r="C686" s="218" t="s">
        <v>1489</v>
      </c>
      <c r="D686" s="218" t="s">
        <v>1490</v>
      </c>
      <c r="E686" s="23" t="s">
        <v>44</v>
      </c>
      <c r="F686" s="17" t="s">
        <v>45</v>
      </c>
      <c r="G686" s="11" t="s">
        <v>1432</v>
      </c>
      <c r="H686" s="12">
        <v>9</v>
      </c>
      <c r="I686" s="11" t="s">
        <v>1433</v>
      </c>
      <c r="J686" s="192" t="s">
        <v>1446</v>
      </c>
      <c r="K686" s="17" t="s">
        <v>233</v>
      </c>
      <c r="L686" s="17" t="s">
        <v>233</v>
      </c>
      <c r="M686" s="231">
        <v>0</v>
      </c>
      <c r="N686" s="232">
        <v>0</v>
      </c>
      <c r="O686" s="132"/>
      <c r="P686" s="231" t="s">
        <v>239</v>
      </c>
      <c r="Q686" s="232">
        <v>0</v>
      </c>
      <c r="R686" s="231" t="s">
        <v>239</v>
      </c>
      <c r="S686" s="232">
        <v>0</v>
      </c>
      <c r="T686" s="231" t="s">
        <v>239</v>
      </c>
      <c r="U686" s="232">
        <v>0</v>
      </c>
      <c r="V686" s="231" t="s">
        <v>239</v>
      </c>
      <c r="W686" s="232">
        <v>0</v>
      </c>
      <c r="X686" s="231" t="s">
        <v>239</v>
      </c>
      <c r="Y686" s="232">
        <v>0</v>
      </c>
      <c r="Z686" s="231" t="s">
        <v>239</v>
      </c>
      <c r="AA686" s="232">
        <v>0</v>
      </c>
      <c r="AB686" s="231" t="s">
        <v>239</v>
      </c>
      <c r="AC686" s="232">
        <v>0</v>
      </c>
      <c r="AD686" s="231" t="s">
        <v>239</v>
      </c>
      <c r="AE686" s="232">
        <v>0</v>
      </c>
      <c r="AF686" s="231" t="s">
        <v>239</v>
      </c>
      <c r="AG686" s="232">
        <v>0</v>
      </c>
      <c r="AH686" s="231" t="s">
        <v>239</v>
      </c>
      <c r="AI686" s="232">
        <v>0</v>
      </c>
      <c r="AJ686" s="231" t="s">
        <v>239</v>
      </c>
      <c r="AK686" s="232">
        <v>0</v>
      </c>
      <c r="AL686" s="232" t="s">
        <v>239</v>
      </c>
      <c r="AM686" s="232">
        <v>0</v>
      </c>
    </row>
    <row r="687" spans="1:39" ht="15.75" outlineLevel="1">
      <c r="A687" s="411">
        <v>339</v>
      </c>
      <c r="B687" s="10">
        <v>129339</v>
      </c>
      <c r="C687" s="218" t="s">
        <v>1489</v>
      </c>
      <c r="D687" s="218" t="s">
        <v>1490</v>
      </c>
      <c r="E687" s="23" t="s">
        <v>138</v>
      </c>
      <c r="F687" s="17" t="s">
        <v>45</v>
      </c>
      <c r="G687" s="11" t="s">
        <v>1432</v>
      </c>
      <c r="H687" s="12">
        <v>24</v>
      </c>
      <c r="I687" s="11" t="s">
        <v>1433</v>
      </c>
      <c r="J687" s="192" t="s">
        <v>1481</v>
      </c>
      <c r="K687" s="17" t="s">
        <v>233</v>
      </c>
      <c r="L687" s="17" t="s">
        <v>233</v>
      </c>
      <c r="M687" s="231">
        <v>48</v>
      </c>
      <c r="N687" s="231">
        <v>48</v>
      </c>
      <c r="O687" s="231">
        <v>48</v>
      </c>
      <c r="P687" s="231" t="s">
        <v>239</v>
      </c>
      <c r="Q687" s="231">
        <v>48</v>
      </c>
      <c r="R687" s="231" t="s">
        <v>239</v>
      </c>
      <c r="S687" s="231">
        <v>48</v>
      </c>
      <c r="T687" s="231" t="s">
        <v>239</v>
      </c>
      <c r="U687" s="231">
        <v>48</v>
      </c>
      <c r="V687" s="231" t="s">
        <v>239</v>
      </c>
      <c r="W687" s="231">
        <v>48</v>
      </c>
      <c r="X687" s="231" t="s">
        <v>239</v>
      </c>
      <c r="Y687" s="231">
        <v>48</v>
      </c>
      <c r="Z687" s="231" t="s">
        <v>239</v>
      </c>
      <c r="AA687" s="231">
        <v>48</v>
      </c>
      <c r="AB687" s="231" t="s">
        <v>239</v>
      </c>
      <c r="AC687" s="231">
        <v>48</v>
      </c>
      <c r="AD687" s="231" t="s">
        <v>239</v>
      </c>
      <c r="AE687" s="231">
        <v>48</v>
      </c>
      <c r="AF687" s="231" t="s">
        <v>239</v>
      </c>
      <c r="AG687" s="231">
        <v>48</v>
      </c>
      <c r="AH687" s="231" t="s">
        <v>239</v>
      </c>
      <c r="AI687" s="231">
        <v>48</v>
      </c>
      <c r="AJ687" s="231" t="s">
        <v>239</v>
      </c>
      <c r="AK687" s="231">
        <v>48</v>
      </c>
      <c r="AL687" s="232" t="s">
        <v>239</v>
      </c>
      <c r="AM687" s="232">
        <v>0</v>
      </c>
    </row>
    <row r="688" spans="1:39" ht="15.75" outlineLevel="1">
      <c r="A688" s="412"/>
      <c r="B688" s="10">
        <v>129339</v>
      </c>
      <c r="C688" s="218" t="s">
        <v>1489</v>
      </c>
      <c r="D688" s="218" t="s">
        <v>1490</v>
      </c>
      <c r="E688" s="23" t="s">
        <v>44</v>
      </c>
      <c r="F688" s="17" t="s">
        <v>45</v>
      </c>
      <c r="G688" s="11" t="s">
        <v>1432</v>
      </c>
      <c r="H688" s="12">
        <v>36</v>
      </c>
      <c r="I688" s="11" t="s">
        <v>1433</v>
      </c>
      <c r="J688" s="192" t="s">
        <v>208</v>
      </c>
      <c r="K688" s="17" t="s">
        <v>233</v>
      </c>
      <c r="L688" s="17" t="s">
        <v>233</v>
      </c>
      <c r="M688" s="231">
        <v>0</v>
      </c>
      <c r="N688" s="232">
        <v>0</v>
      </c>
      <c r="O688" s="132"/>
      <c r="P688" s="231" t="s">
        <v>239</v>
      </c>
      <c r="Q688" s="232">
        <v>0</v>
      </c>
      <c r="R688" s="231" t="s">
        <v>239</v>
      </c>
      <c r="S688" s="232">
        <v>0</v>
      </c>
      <c r="T688" s="231" t="s">
        <v>239</v>
      </c>
      <c r="U688" s="232">
        <v>0</v>
      </c>
      <c r="V688" s="230" t="s">
        <v>239</v>
      </c>
      <c r="W688" s="232">
        <v>0</v>
      </c>
      <c r="X688" s="231" t="s">
        <v>239</v>
      </c>
      <c r="Y688" s="232">
        <v>0</v>
      </c>
      <c r="Z688" s="231" t="s">
        <v>239</v>
      </c>
      <c r="AA688" s="232">
        <v>0</v>
      </c>
      <c r="AB688" s="231" t="s">
        <v>239</v>
      </c>
      <c r="AC688" s="232">
        <v>0</v>
      </c>
      <c r="AD688" s="231" t="s">
        <v>239</v>
      </c>
      <c r="AE688" s="232">
        <v>0</v>
      </c>
      <c r="AF688" s="231" t="s">
        <v>239</v>
      </c>
      <c r="AG688" s="232">
        <v>0</v>
      </c>
      <c r="AH688" s="231" t="s">
        <v>239</v>
      </c>
      <c r="AI688" s="232">
        <v>0</v>
      </c>
      <c r="AJ688" s="231" t="s">
        <v>239</v>
      </c>
      <c r="AK688" s="232">
        <v>0</v>
      </c>
      <c r="AL688" s="232" t="s">
        <v>239</v>
      </c>
      <c r="AM688" s="232">
        <v>0</v>
      </c>
    </row>
    <row r="689" spans="1:39" ht="15.75" outlineLevel="1">
      <c r="A689" s="411">
        <v>340</v>
      </c>
      <c r="B689" s="10">
        <v>129340</v>
      </c>
      <c r="C689" s="218" t="s">
        <v>1489</v>
      </c>
      <c r="D689" s="218" t="s">
        <v>1490</v>
      </c>
      <c r="E689" s="23" t="s">
        <v>44</v>
      </c>
      <c r="F689" s="17" t="s">
        <v>45</v>
      </c>
      <c r="G689" s="11" t="s">
        <v>1432</v>
      </c>
      <c r="H689" s="12">
        <v>34</v>
      </c>
      <c r="I689" s="11" t="s">
        <v>1433</v>
      </c>
      <c r="J689" s="192" t="s">
        <v>1463</v>
      </c>
      <c r="K689" s="17" t="s">
        <v>233</v>
      </c>
      <c r="L689" s="17" t="s">
        <v>233</v>
      </c>
      <c r="M689" s="231">
        <v>7.5</v>
      </c>
      <c r="N689" s="231">
        <v>7.5</v>
      </c>
      <c r="O689" s="231">
        <v>7.5</v>
      </c>
      <c r="P689" s="231" t="s">
        <v>239</v>
      </c>
      <c r="Q689" s="231">
        <v>7.5</v>
      </c>
      <c r="R689" s="231" t="s">
        <v>239</v>
      </c>
      <c r="S689" s="231">
        <v>7.5</v>
      </c>
      <c r="T689" s="231" t="s">
        <v>239</v>
      </c>
      <c r="U689" s="231">
        <v>7.5</v>
      </c>
      <c r="V689" s="231" t="s">
        <v>239</v>
      </c>
      <c r="W689" s="231">
        <v>7.5</v>
      </c>
      <c r="X689" s="231" t="s">
        <v>239</v>
      </c>
      <c r="Y689" s="231">
        <v>7.5</v>
      </c>
      <c r="Z689" s="231" t="s">
        <v>239</v>
      </c>
      <c r="AA689" s="231">
        <v>7.5</v>
      </c>
      <c r="AB689" s="231" t="s">
        <v>239</v>
      </c>
      <c r="AC689" s="231">
        <v>7.5</v>
      </c>
      <c r="AD689" s="231" t="s">
        <v>239</v>
      </c>
      <c r="AE689" s="231">
        <v>7.5</v>
      </c>
      <c r="AF689" s="231" t="s">
        <v>239</v>
      </c>
      <c r="AG689" s="231">
        <v>7.5</v>
      </c>
      <c r="AH689" s="231" t="s">
        <v>239</v>
      </c>
      <c r="AI689" s="231">
        <v>7.5</v>
      </c>
      <c r="AJ689" s="231" t="s">
        <v>239</v>
      </c>
      <c r="AK689" s="231">
        <v>7.5</v>
      </c>
      <c r="AL689" s="232" t="s">
        <v>239</v>
      </c>
      <c r="AM689" s="232">
        <v>0</v>
      </c>
    </row>
    <row r="690" spans="1:39" ht="15.75" outlineLevel="1">
      <c r="A690" s="412"/>
      <c r="B690" s="10">
        <v>129340</v>
      </c>
      <c r="C690" s="218" t="s">
        <v>1489</v>
      </c>
      <c r="D690" s="218" t="s">
        <v>1490</v>
      </c>
      <c r="E690" s="23" t="s">
        <v>138</v>
      </c>
      <c r="F690" s="17" t="s">
        <v>45</v>
      </c>
      <c r="G690" s="11" t="s">
        <v>1432</v>
      </c>
      <c r="H690" s="12">
        <v>7</v>
      </c>
      <c r="I690" s="11" t="s">
        <v>1433</v>
      </c>
      <c r="J690" s="192" t="s">
        <v>1482</v>
      </c>
      <c r="K690" s="17" t="s">
        <v>233</v>
      </c>
      <c r="L690" s="17" t="s">
        <v>233</v>
      </c>
      <c r="M690" s="231">
        <v>14731</v>
      </c>
      <c r="N690" s="232">
        <v>14552.165659999999</v>
      </c>
      <c r="O690" s="132">
        <v>1223</v>
      </c>
      <c r="P690" s="231" t="s">
        <v>239</v>
      </c>
      <c r="Q690" s="232">
        <v>1207.93264</v>
      </c>
      <c r="R690" s="231" t="s">
        <v>239</v>
      </c>
      <c r="S690" s="232">
        <v>1193.0509098752</v>
      </c>
      <c r="T690" s="231" t="s">
        <v>239</v>
      </c>
      <c r="U690" s="232">
        <v>1178.3525226655374</v>
      </c>
      <c r="V690" s="231" t="s">
        <v>239</v>
      </c>
      <c r="W690" s="232">
        <v>1163.8352195862981</v>
      </c>
      <c r="X690" s="231" t="s">
        <v>239</v>
      </c>
      <c r="Y690" s="232">
        <v>1149.4967696809949</v>
      </c>
      <c r="Z690" s="231" t="s">
        <v>239</v>
      </c>
      <c r="AA690" s="232">
        <v>1135.3349694785252</v>
      </c>
      <c r="AB690" s="231" t="s">
        <v>239</v>
      </c>
      <c r="AC690" s="232">
        <v>1121.3476426545496</v>
      </c>
      <c r="AD690" s="231" t="s">
        <v>239</v>
      </c>
      <c r="AE690" s="232">
        <v>1107.5326396970456</v>
      </c>
      <c r="AF690" s="231" t="s">
        <v>239</v>
      </c>
      <c r="AG690" s="232">
        <v>1093.887837575978</v>
      </c>
      <c r="AH690" s="231" t="s">
        <v>239</v>
      </c>
      <c r="AI690" s="232">
        <v>1080.411139417042</v>
      </c>
      <c r="AJ690" s="231" t="s">
        <v>239</v>
      </c>
      <c r="AK690" s="232">
        <v>1067.1004741794241</v>
      </c>
      <c r="AL690" s="232" t="s">
        <v>239</v>
      </c>
      <c r="AM690" s="232">
        <v>13721.282764810592</v>
      </c>
    </row>
    <row r="691" spans="1:39" ht="15.75" outlineLevel="1">
      <c r="A691" s="411">
        <v>341</v>
      </c>
      <c r="B691" s="10">
        <v>129341</v>
      </c>
      <c r="C691" s="218" t="s">
        <v>1489</v>
      </c>
      <c r="D691" s="218" t="s">
        <v>1490</v>
      </c>
      <c r="E691" s="23" t="s">
        <v>44</v>
      </c>
      <c r="F691" s="17" t="s">
        <v>45</v>
      </c>
      <c r="G691" s="11" t="s">
        <v>1432</v>
      </c>
      <c r="H691" s="12">
        <v>5</v>
      </c>
      <c r="I691" s="11" t="s">
        <v>1433</v>
      </c>
      <c r="J691" s="192" t="s">
        <v>1462</v>
      </c>
      <c r="K691" s="17" t="s">
        <v>233</v>
      </c>
      <c r="L691" s="17" t="s">
        <v>233</v>
      </c>
      <c r="M691" s="231">
        <v>27</v>
      </c>
      <c r="N691" s="231">
        <v>27</v>
      </c>
      <c r="O691" s="231">
        <v>27</v>
      </c>
      <c r="P691" s="231" t="s">
        <v>239</v>
      </c>
      <c r="Q691" s="231">
        <v>27</v>
      </c>
      <c r="R691" s="231" t="s">
        <v>239</v>
      </c>
      <c r="S691" s="231">
        <v>27</v>
      </c>
      <c r="T691" s="231" t="s">
        <v>239</v>
      </c>
      <c r="U691" s="231">
        <v>27</v>
      </c>
      <c r="V691" s="230" t="s">
        <v>239</v>
      </c>
      <c r="W691" s="231">
        <v>27</v>
      </c>
      <c r="X691" s="231" t="s">
        <v>239</v>
      </c>
      <c r="Y691" s="231">
        <v>27</v>
      </c>
      <c r="Z691" s="231" t="s">
        <v>239</v>
      </c>
      <c r="AA691" s="231">
        <v>27</v>
      </c>
      <c r="AB691" s="231" t="s">
        <v>239</v>
      </c>
      <c r="AC691" s="231">
        <v>27</v>
      </c>
      <c r="AD691" s="231" t="s">
        <v>239</v>
      </c>
      <c r="AE691" s="231">
        <v>27</v>
      </c>
      <c r="AF691" s="231" t="s">
        <v>239</v>
      </c>
      <c r="AG691" s="231">
        <v>27</v>
      </c>
      <c r="AH691" s="231" t="s">
        <v>239</v>
      </c>
      <c r="AI691" s="231">
        <v>27</v>
      </c>
      <c r="AJ691" s="231" t="s">
        <v>239</v>
      </c>
      <c r="AK691" s="231">
        <v>27</v>
      </c>
      <c r="AL691" s="232" t="s">
        <v>239</v>
      </c>
      <c r="AM691" s="232">
        <v>0</v>
      </c>
    </row>
    <row r="692" spans="1:39" ht="15.75" outlineLevel="1">
      <c r="A692" s="412"/>
      <c r="B692" s="10">
        <v>129341</v>
      </c>
      <c r="C692" s="218" t="s">
        <v>1489</v>
      </c>
      <c r="D692" s="218" t="s">
        <v>1490</v>
      </c>
      <c r="E692" s="23" t="s">
        <v>138</v>
      </c>
      <c r="F692" s="17" t="s">
        <v>45</v>
      </c>
      <c r="G692" s="11" t="s">
        <v>1432</v>
      </c>
      <c r="H692" s="12">
        <v>24</v>
      </c>
      <c r="I692" s="11" t="s">
        <v>1433</v>
      </c>
      <c r="J692" s="192" t="s">
        <v>1457</v>
      </c>
      <c r="K692" s="17" t="s">
        <v>233</v>
      </c>
      <c r="L692" s="17" t="s">
        <v>233</v>
      </c>
      <c r="M692" s="231">
        <v>22321</v>
      </c>
      <c r="N692" s="232">
        <v>22050.02306</v>
      </c>
      <c r="O692" s="132">
        <v>555</v>
      </c>
      <c r="P692" s="231" t="s">
        <v>239</v>
      </c>
      <c r="Q692" s="232">
        <v>548.16240000000005</v>
      </c>
      <c r="R692" s="231" t="s">
        <v>239</v>
      </c>
      <c r="S692" s="232">
        <v>541.40903923200005</v>
      </c>
      <c r="T692" s="231" t="s">
        <v>239</v>
      </c>
      <c r="U692" s="232">
        <v>534.7388798686618</v>
      </c>
      <c r="V692" s="231" t="s">
        <v>239</v>
      </c>
      <c r="W692" s="232">
        <v>528.15089686867987</v>
      </c>
      <c r="X692" s="231" t="s">
        <v>239</v>
      </c>
      <c r="Y692" s="232">
        <v>521.64407781925775</v>
      </c>
      <c r="Z692" s="231" t="s">
        <v>239</v>
      </c>
      <c r="AA692" s="232">
        <v>515.21742278052454</v>
      </c>
      <c r="AB692" s="231" t="s">
        <v>239</v>
      </c>
      <c r="AC692" s="232">
        <v>508.86994413186846</v>
      </c>
      <c r="AD692" s="231" t="s">
        <v>239</v>
      </c>
      <c r="AE692" s="232">
        <v>502.60066642016386</v>
      </c>
      <c r="AF692" s="231" t="s">
        <v>239</v>
      </c>
      <c r="AG692" s="232">
        <v>496.40862620986746</v>
      </c>
      <c r="AH692" s="231" t="s">
        <v>239</v>
      </c>
      <c r="AI692" s="232">
        <v>490.29287193496191</v>
      </c>
      <c r="AJ692" s="231" t="s">
        <v>239</v>
      </c>
      <c r="AK692" s="232">
        <v>484.2524637527232</v>
      </c>
      <c r="AL692" s="232" t="s">
        <v>239</v>
      </c>
      <c r="AM692" s="232">
        <v>6226.7472890187091</v>
      </c>
    </row>
    <row r="693" spans="1:39" ht="15.75" outlineLevel="1">
      <c r="A693" s="411">
        <v>342</v>
      </c>
      <c r="B693" s="10">
        <v>129342</v>
      </c>
      <c r="C693" s="218" t="s">
        <v>1489</v>
      </c>
      <c r="D693" s="218" t="s">
        <v>1490</v>
      </c>
      <c r="E693" s="23" t="s">
        <v>44</v>
      </c>
      <c r="F693" s="17" t="s">
        <v>45</v>
      </c>
      <c r="G693" s="11" t="s">
        <v>1432</v>
      </c>
      <c r="H693" s="12">
        <v>4</v>
      </c>
      <c r="I693" s="11" t="s">
        <v>1433</v>
      </c>
      <c r="J693" s="192" t="s">
        <v>617</v>
      </c>
      <c r="K693" s="17" t="s">
        <v>233</v>
      </c>
      <c r="L693" s="17" t="s">
        <v>233</v>
      </c>
      <c r="M693" s="231">
        <v>27</v>
      </c>
      <c r="N693" s="231">
        <v>27</v>
      </c>
      <c r="O693" s="231">
        <v>27</v>
      </c>
      <c r="P693" s="231" t="s">
        <v>239</v>
      </c>
      <c r="Q693" s="231">
        <v>27</v>
      </c>
      <c r="R693" s="231" t="s">
        <v>239</v>
      </c>
      <c r="S693" s="231">
        <v>27</v>
      </c>
      <c r="T693" s="231" t="s">
        <v>239</v>
      </c>
      <c r="U693" s="231">
        <v>27</v>
      </c>
      <c r="V693" s="231" t="s">
        <v>239</v>
      </c>
      <c r="W693" s="231">
        <v>27</v>
      </c>
      <c r="X693" s="231" t="s">
        <v>239</v>
      </c>
      <c r="Y693" s="231">
        <v>27</v>
      </c>
      <c r="Z693" s="231" t="s">
        <v>239</v>
      </c>
      <c r="AA693" s="231">
        <v>27</v>
      </c>
      <c r="AB693" s="231" t="s">
        <v>239</v>
      </c>
      <c r="AC693" s="231">
        <v>27</v>
      </c>
      <c r="AD693" s="231" t="s">
        <v>239</v>
      </c>
      <c r="AE693" s="231">
        <v>27</v>
      </c>
      <c r="AF693" s="231" t="s">
        <v>239</v>
      </c>
      <c r="AG693" s="231">
        <v>27</v>
      </c>
      <c r="AH693" s="231" t="s">
        <v>239</v>
      </c>
      <c r="AI693" s="231">
        <v>27</v>
      </c>
      <c r="AJ693" s="231" t="s">
        <v>239</v>
      </c>
      <c r="AK693" s="231">
        <v>27</v>
      </c>
      <c r="AL693" s="232" t="s">
        <v>239</v>
      </c>
      <c r="AM693" s="232">
        <v>0</v>
      </c>
    </row>
    <row r="694" spans="1:39" ht="15.75" outlineLevel="1">
      <c r="A694" s="412"/>
      <c r="B694" s="10">
        <v>129342</v>
      </c>
      <c r="C694" s="218" t="s">
        <v>1489</v>
      </c>
      <c r="D694" s="218" t="s">
        <v>1490</v>
      </c>
      <c r="E694" s="23" t="s">
        <v>44</v>
      </c>
      <c r="F694" s="17" t="s">
        <v>45</v>
      </c>
      <c r="G694" s="11" t="s">
        <v>1432</v>
      </c>
      <c r="H694" s="12">
        <v>18</v>
      </c>
      <c r="I694" s="11" t="s">
        <v>1433</v>
      </c>
      <c r="J694" s="374" t="s">
        <v>1457</v>
      </c>
      <c r="K694" s="17" t="s">
        <v>233</v>
      </c>
      <c r="L694" s="17" t="s">
        <v>233</v>
      </c>
      <c r="M694" s="231">
        <v>0</v>
      </c>
      <c r="N694" s="232">
        <v>0</v>
      </c>
      <c r="O694" s="132"/>
      <c r="P694" s="231" t="s">
        <v>239</v>
      </c>
      <c r="Q694" s="232">
        <v>0</v>
      </c>
      <c r="R694" s="231" t="s">
        <v>239</v>
      </c>
      <c r="S694" s="232">
        <v>0</v>
      </c>
      <c r="T694" s="231" t="s">
        <v>239</v>
      </c>
      <c r="U694" s="232">
        <v>0</v>
      </c>
      <c r="V694" s="230" t="s">
        <v>239</v>
      </c>
      <c r="W694" s="232">
        <v>0</v>
      </c>
      <c r="X694" s="231" t="s">
        <v>239</v>
      </c>
      <c r="Y694" s="232">
        <v>0</v>
      </c>
      <c r="Z694" s="231" t="s">
        <v>239</v>
      </c>
      <c r="AA694" s="232">
        <v>0</v>
      </c>
      <c r="AB694" s="231" t="s">
        <v>239</v>
      </c>
      <c r="AC694" s="232">
        <v>0</v>
      </c>
      <c r="AD694" s="231" t="s">
        <v>239</v>
      </c>
      <c r="AE694" s="232">
        <v>0</v>
      </c>
      <c r="AF694" s="231" t="s">
        <v>239</v>
      </c>
      <c r="AG694" s="232">
        <v>0</v>
      </c>
      <c r="AH694" s="231" t="s">
        <v>239</v>
      </c>
      <c r="AI694" s="232">
        <v>0</v>
      </c>
      <c r="AJ694" s="231" t="s">
        <v>239</v>
      </c>
      <c r="AK694" s="232">
        <v>0</v>
      </c>
      <c r="AL694" s="232" t="s">
        <v>239</v>
      </c>
      <c r="AM694" s="232">
        <v>0</v>
      </c>
    </row>
    <row r="695" spans="1:39" ht="15.75" outlineLevel="1">
      <c r="A695" s="411">
        <v>343</v>
      </c>
      <c r="B695" s="10">
        <v>129343</v>
      </c>
      <c r="C695" s="218" t="s">
        <v>1489</v>
      </c>
      <c r="D695" s="218" t="s">
        <v>1490</v>
      </c>
      <c r="E695" s="23" t="s">
        <v>138</v>
      </c>
      <c r="F695" s="17" t="s">
        <v>45</v>
      </c>
      <c r="G695" s="11" t="s">
        <v>1432</v>
      </c>
      <c r="H695" s="12">
        <v>17</v>
      </c>
      <c r="I695" s="11" t="s">
        <v>1433</v>
      </c>
      <c r="J695" s="375"/>
      <c r="K695" s="17" t="s">
        <v>233</v>
      </c>
      <c r="L695" s="17" t="s">
        <v>233</v>
      </c>
      <c r="M695" s="231">
        <v>40</v>
      </c>
      <c r="N695" s="231">
        <v>40</v>
      </c>
      <c r="O695" s="231">
        <v>40</v>
      </c>
      <c r="P695" s="231" t="s">
        <v>239</v>
      </c>
      <c r="Q695" s="231">
        <v>40</v>
      </c>
      <c r="R695" s="231" t="s">
        <v>239</v>
      </c>
      <c r="S695" s="231">
        <v>40</v>
      </c>
      <c r="T695" s="231" t="s">
        <v>239</v>
      </c>
      <c r="U695" s="231">
        <v>40</v>
      </c>
      <c r="V695" s="231" t="s">
        <v>239</v>
      </c>
      <c r="W695" s="231">
        <v>40</v>
      </c>
      <c r="X695" s="231" t="s">
        <v>239</v>
      </c>
      <c r="Y695" s="231">
        <v>40</v>
      </c>
      <c r="Z695" s="231" t="s">
        <v>239</v>
      </c>
      <c r="AA695" s="231">
        <v>40</v>
      </c>
      <c r="AB695" s="231" t="s">
        <v>239</v>
      </c>
      <c r="AC695" s="231">
        <v>40</v>
      </c>
      <c r="AD695" s="231" t="s">
        <v>239</v>
      </c>
      <c r="AE695" s="231">
        <v>40</v>
      </c>
      <c r="AF695" s="231" t="s">
        <v>239</v>
      </c>
      <c r="AG695" s="231">
        <v>40</v>
      </c>
      <c r="AH695" s="231" t="s">
        <v>239</v>
      </c>
      <c r="AI695" s="231">
        <v>40</v>
      </c>
      <c r="AJ695" s="231" t="s">
        <v>239</v>
      </c>
      <c r="AK695" s="231">
        <v>40</v>
      </c>
      <c r="AL695" s="232" t="s">
        <v>239</v>
      </c>
      <c r="AM695" s="232">
        <v>0</v>
      </c>
    </row>
    <row r="696" spans="1:39" ht="15.75" outlineLevel="1">
      <c r="A696" s="412"/>
      <c r="B696" s="10">
        <v>129343</v>
      </c>
      <c r="C696" s="218" t="s">
        <v>1489</v>
      </c>
      <c r="D696" s="218" t="s">
        <v>1490</v>
      </c>
      <c r="E696" s="23" t="s">
        <v>44</v>
      </c>
      <c r="F696" s="17" t="s">
        <v>45</v>
      </c>
      <c r="G696" s="11" t="s">
        <v>1432</v>
      </c>
      <c r="H696" s="12">
        <v>28</v>
      </c>
      <c r="I696" s="11" t="s">
        <v>1433</v>
      </c>
      <c r="J696" s="193" t="s">
        <v>1460</v>
      </c>
      <c r="K696" s="17" t="s">
        <v>233</v>
      </c>
      <c r="L696" s="17" t="s">
        <v>233</v>
      </c>
      <c r="M696" s="231">
        <v>16383</v>
      </c>
      <c r="N696" s="232">
        <v>16184.11038</v>
      </c>
      <c r="O696" s="132">
        <v>833</v>
      </c>
      <c r="P696" s="231" t="s">
        <v>239</v>
      </c>
      <c r="Q696" s="232">
        <v>822.73743999999999</v>
      </c>
      <c r="R696" s="231" t="s">
        <v>239</v>
      </c>
      <c r="S696" s="232">
        <v>812.60131473920001</v>
      </c>
      <c r="T696" s="231" t="s">
        <v>239</v>
      </c>
      <c r="U696" s="232">
        <v>802.59006654161306</v>
      </c>
      <c r="V696" s="231" t="s">
        <v>239</v>
      </c>
      <c r="W696" s="232">
        <v>792.70215692182035</v>
      </c>
      <c r="X696" s="231" t="s">
        <v>239</v>
      </c>
      <c r="Y696" s="232">
        <v>782.93606634854348</v>
      </c>
      <c r="Z696" s="231" t="s">
        <v>239</v>
      </c>
      <c r="AA696" s="232">
        <v>773.29029401112939</v>
      </c>
      <c r="AB696" s="231" t="s">
        <v>239</v>
      </c>
      <c r="AC696" s="232">
        <v>763.7633575889123</v>
      </c>
      <c r="AD696" s="231" t="s">
        <v>239</v>
      </c>
      <c r="AE696" s="232">
        <v>754.35379302341687</v>
      </c>
      <c r="AF696" s="231" t="s">
        <v>239</v>
      </c>
      <c r="AG696" s="232">
        <v>745.06015429336833</v>
      </c>
      <c r="AH696" s="231" t="s">
        <v>239</v>
      </c>
      <c r="AI696" s="232">
        <v>735.88101319247403</v>
      </c>
      <c r="AJ696" s="231" t="s">
        <v>239</v>
      </c>
      <c r="AK696" s="232">
        <v>726.81495910994272</v>
      </c>
      <c r="AL696" s="232" t="s">
        <v>239</v>
      </c>
      <c r="AM696" s="232">
        <v>9345.7306157704206</v>
      </c>
    </row>
    <row r="697" spans="1:39" ht="15.75" outlineLevel="1">
      <c r="A697" s="411">
        <v>344</v>
      </c>
      <c r="B697" s="10">
        <v>129344</v>
      </c>
      <c r="C697" s="218" t="s">
        <v>1489</v>
      </c>
      <c r="D697" s="218" t="s">
        <v>1490</v>
      </c>
      <c r="E697" s="23" t="s">
        <v>138</v>
      </c>
      <c r="F697" s="17" t="s">
        <v>45</v>
      </c>
      <c r="G697" s="11" t="s">
        <v>1432</v>
      </c>
      <c r="H697" s="12">
        <v>40</v>
      </c>
      <c r="I697" s="11" t="s">
        <v>1433</v>
      </c>
      <c r="J697" s="193" t="s">
        <v>1442</v>
      </c>
      <c r="K697" s="17" t="s">
        <v>233</v>
      </c>
      <c r="L697" s="17" t="s">
        <v>233</v>
      </c>
      <c r="M697" s="231">
        <v>46</v>
      </c>
      <c r="N697" s="231">
        <v>46</v>
      </c>
      <c r="O697" s="231">
        <v>46</v>
      </c>
      <c r="P697" s="231" t="s">
        <v>239</v>
      </c>
      <c r="Q697" s="231">
        <v>46</v>
      </c>
      <c r="R697" s="231" t="s">
        <v>239</v>
      </c>
      <c r="S697" s="231">
        <v>46</v>
      </c>
      <c r="T697" s="231" t="s">
        <v>239</v>
      </c>
      <c r="U697" s="231">
        <v>46</v>
      </c>
      <c r="V697" s="230" t="s">
        <v>239</v>
      </c>
      <c r="W697" s="231">
        <v>46</v>
      </c>
      <c r="X697" s="231" t="s">
        <v>239</v>
      </c>
      <c r="Y697" s="231">
        <v>46</v>
      </c>
      <c r="Z697" s="231" t="s">
        <v>239</v>
      </c>
      <c r="AA697" s="231">
        <v>46</v>
      </c>
      <c r="AB697" s="231" t="s">
        <v>239</v>
      </c>
      <c r="AC697" s="231">
        <v>46</v>
      </c>
      <c r="AD697" s="231" t="s">
        <v>239</v>
      </c>
      <c r="AE697" s="231">
        <v>46</v>
      </c>
      <c r="AF697" s="231" t="s">
        <v>239</v>
      </c>
      <c r="AG697" s="231">
        <v>46</v>
      </c>
      <c r="AH697" s="231" t="s">
        <v>239</v>
      </c>
      <c r="AI697" s="231">
        <v>46</v>
      </c>
      <c r="AJ697" s="231" t="s">
        <v>239</v>
      </c>
      <c r="AK697" s="231">
        <v>46</v>
      </c>
      <c r="AL697" s="232" t="s">
        <v>239</v>
      </c>
      <c r="AM697" s="232">
        <v>0</v>
      </c>
    </row>
    <row r="698" spans="1:39" ht="15.75" outlineLevel="1">
      <c r="A698" s="412"/>
      <c r="B698" s="10">
        <v>129344</v>
      </c>
      <c r="C698" s="218" t="s">
        <v>1489</v>
      </c>
      <c r="D698" s="218" t="s">
        <v>1490</v>
      </c>
      <c r="E698" s="23" t="s">
        <v>44</v>
      </c>
      <c r="F698" s="17" t="s">
        <v>45</v>
      </c>
      <c r="G698" s="11" t="s">
        <v>1432</v>
      </c>
      <c r="H698" s="12">
        <v>25</v>
      </c>
      <c r="I698" s="11" t="s">
        <v>1433</v>
      </c>
      <c r="J698" s="193" t="s">
        <v>1460</v>
      </c>
      <c r="K698" s="17" t="s">
        <v>233</v>
      </c>
      <c r="L698" s="17" t="s">
        <v>233</v>
      </c>
      <c r="M698" s="231">
        <v>24997</v>
      </c>
      <c r="N698" s="232">
        <v>24693.53642</v>
      </c>
      <c r="O698" s="132">
        <v>488</v>
      </c>
      <c r="P698" s="231" t="s">
        <v>239</v>
      </c>
      <c r="Q698" s="232">
        <v>481.98784000000001</v>
      </c>
      <c r="R698" s="231" t="s">
        <v>239</v>
      </c>
      <c r="S698" s="232">
        <v>476.0497498112</v>
      </c>
      <c r="T698" s="231" t="s">
        <v>239</v>
      </c>
      <c r="U698" s="232">
        <v>470.18481689352603</v>
      </c>
      <c r="V698" s="231" t="s">
        <v>239</v>
      </c>
      <c r="W698" s="232">
        <v>464.3921399493978</v>
      </c>
      <c r="X698" s="231" t="s">
        <v>239</v>
      </c>
      <c r="Y698" s="232">
        <v>458.6708287852212</v>
      </c>
      <c r="Z698" s="231" t="s">
        <v>239</v>
      </c>
      <c r="AA698" s="232">
        <v>453.02000417458726</v>
      </c>
      <c r="AB698" s="231" t="s">
        <v>239</v>
      </c>
      <c r="AC698" s="232">
        <v>447.43879772315637</v>
      </c>
      <c r="AD698" s="231" t="s">
        <v>239</v>
      </c>
      <c r="AE698" s="232">
        <v>441.92635173520711</v>
      </c>
      <c r="AF698" s="231" t="s">
        <v>239</v>
      </c>
      <c r="AG698" s="232">
        <v>436.48181908182937</v>
      </c>
      <c r="AH698" s="231" t="s">
        <v>239</v>
      </c>
      <c r="AI698" s="232">
        <v>431.10436307074121</v>
      </c>
      <c r="AJ698" s="231" t="s">
        <v>239</v>
      </c>
      <c r="AK698" s="232">
        <v>425.7931573177097</v>
      </c>
      <c r="AL698" s="232" t="s">
        <v>239</v>
      </c>
      <c r="AM698" s="232">
        <v>5475.0498685425755</v>
      </c>
    </row>
    <row r="699" spans="1:39" ht="15.75" outlineLevel="1">
      <c r="A699" s="411">
        <v>345</v>
      </c>
      <c r="B699" s="10">
        <v>129345</v>
      </c>
      <c r="C699" s="218" t="s">
        <v>1489</v>
      </c>
      <c r="D699" s="218" t="s">
        <v>1490</v>
      </c>
      <c r="E699" s="23" t="s">
        <v>44</v>
      </c>
      <c r="F699" s="17" t="s">
        <v>45</v>
      </c>
      <c r="G699" s="11" t="s">
        <v>1432</v>
      </c>
      <c r="H699" s="12">
        <v>9</v>
      </c>
      <c r="I699" s="11" t="s">
        <v>1433</v>
      </c>
      <c r="J699" s="193" t="s">
        <v>1457</v>
      </c>
      <c r="K699" s="17" t="s">
        <v>233</v>
      </c>
      <c r="L699" s="17" t="s">
        <v>233</v>
      </c>
      <c r="M699" s="231">
        <v>46</v>
      </c>
      <c r="N699" s="231">
        <v>46</v>
      </c>
      <c r="O699" s="231">
        <v>46</v>
      </c>
      <c r="P699" s="231" t="s">
        <v>239</v>
      </c>
      <c r="Q699" s="231">
        <v>46</v>
      </c>
      <c r="R699" s="231" t="s">
        <v>239</v>
      </c>
      <c r="S699" s="231">
        <v>46</v>
      </c>
      <c r="T699" s="231" t="s">
        <v>239</v>
      </c>
      <c r="U699" s="231">
        <v>46</v>
      </c>
      <c r="V699" s="231" t="s">
        <v>239</v>
      </c>
      <c r="W699" s="231">
        <v>46</v>
      </c>
      <c r="X699" s="231" t="s">
        <v>239</v>
      </c>
      <c r="Y699" s="231">
        <v>46</v>
      </c>
      <c r="Z699" s="231" t="s">
        <v>239</v>
      </c>
      <c r="AA699" s="231">
        <v>46</v>
      </c>
      <c r="AB699" s="231" t="s">
        <v>239</v>
      </c>
      <c r="AC699" s="231">
        <v>46</v>
      </c>
      <c r="AD699" s="231" t="s">
        <v>239</v>
      </c>
      <c r="AE699" s="231">
        <v>46</v>
      </c>
      <c r="AF699" s="231" t="s">
        <v>239</v>
      </c>
      <c r="AG699" s="231">
        <v>46</v>
      </c>
      <c r="AH699" s="231" t="s">
        <v>239</v>
      </c>
      <c r="AI699" s="231">
        <v>46</v>
      </c>
      <c r="AJ699" s="231" t="s">
        <v>239</v>
      </c>
      <c r="AK699" s="231">
        <v>46</v>
      </c>
      <c r="AL699" s="232" t="s">
        <v>239</v>
      </c>
      <c r="AM699" s="232">
        <v>0</v>
      </c>
    </row>
    <row r="700" spans="1:39" ht="15.75" outlineLevel="1">
      <c r="A700" s="412"/>
      <c r="B700" s="10">
        <v>129345</v>
      </c>
      <c r="C700" s="218" t="s">
        <v>1489</v>
      </c>
      <c r="D700" s="218" t="s">
        <v>1490</v>
      </c>
      <c r="E700" s="23" t="s">
        <v>138</v>
      </c>
      <c r="F700" s="17" t="s">
        <v>45</v>
      </c>
      <c r="G700" s="11" t="s">
        <v>1432</v>
      </c>
      <c r="H700" s="12">
        <v>24</v>
      </c>
      <c r="I700" s="11" t="s">
        <v>1433</v>
      </c>
      <c r="J700" s="193" t="s">
        <v>617</v>
      </c>
      <c r="K700" s="17" t="s">
        <v>233</v>
      </c>
      <c r="L700" s="17" t="s">
        <v>233</v>
      </c>
      <c r="M700" s="231">
        <v>0</v>
      </c>
      <c r="N700" s="232">
        <v>0</v>
      </c>
      <c r="O700" s="132"/>
      <c r="P700" s="231" t="s">
        <v>239</v>
      </c>
      <c r="Q700" s="232">
        <v>0</v>
      </c>
      <c r="R700" s="231" t="s">
        <v>239</v>
      </c>
      <c r="S700" s="232">
        <v>0</v>
      </c>
      <c r="T700" s="231" t="s">
        <v>239</v>
      </c>
      <c r="U700" s="232">
        <v>0</v>
      </c>
      <c r="V700" s="230" t="s">
        <v>239</v>
      </c>
      <c r="W700" s="232">
        <v>0</v>
      </c>
      <c r="X700" s="231" t="s">
        <v>239</v>
      </c>
      <c r="Y700" s="232">
        <v>0</v>
      </c>
      <c r="Z700" s="231" t="s">
        <v>239</v>
      </c>
      <c r="AA700" s="232">
        <v>0</v>
      </c>
      <c r="AB700" s="231" t="s">
        <v>239</v>
      </c>
      <c r="AC700" s="232">
        <v>0</v>
      </c>
      <c r="AD700" s="231" t="s">
        <v>239</v>
      </c>
      <c r="AE700" s="232">
        <v>0</v>
      </c>
      <c r="AF700" s="231" t="s">
        <v>239</v>
      </c>
      <c r="AG700" s="232">
        <v>0</v>
      </c>
      <c r="AH700" s="231" t="s">
        <v>239</v>
      </c>
      <c r="AI700" s="232">
        <v>0</v>
      </c>
      <c r="AJ700" s="231" t="s">
        <v>239</v>
      </c>
      <c r="AK700" s="232">
        <v>0</v>
      </c>
      <c r="AL700" s="232" t="s">
        <v>239</v>
      </c>
      <c r="AM700" s="232">
        <v>0</v>
      </c>
    </row>
    <row r="701" spans="1:39" ht="15.75" outlineLevel="1">
      <c r="A701" s="411">
        <v>346</v>
      </c>
      <c r="B701" s="10">
        <v>129346</v>
      </c>
      <c r="C701" s="218" t="s">
        <v>1489</v>
      </c>
      <c r="D701" s="218" t="s">
        <v>1490</v>
      </c>
      <c r="E701" s="23" t="s">
        <v>44</v>
      </c>
      <c r="F701" s="17" t="s">
        <v>45</v>
      </c>
      <c r="G701" s="11" t="s">
        <v>1432</v>
      </c>
      <c r="H701" s="12">
        <v>27</v>
      </c>
      <c r="I701" s="11" t="s">
        <v>1433</v>
      </c>
      <c r="J701" s="193" t="s">
        <v>216</v>
      </c>
      <c r="K701" s="17" t="s">
        <v>233</v>
      </c>
      <c r="L701" s="17" t="s">
        <v>233</v>
      </c>
      <c r="M701" s="231">
        <v>1.6</v>
      </c>
      <c r="N701" s="231">
        <v>1.6</v>
      </c>
      <c r="O701" s="231">
        <v>1.6</v>
      </c>
      <c r="P701" s="231" t="s">
        <v>239</v>
      </c>
      <c r="Q701" s="231">
        <v>1.6</v>
      </c>
      <c r="R701" s="231" t="s">
        <v>239</v>
      </c>
      <c r="S701" s="231">
        <v>1.6</v>
      </c>
      <c r="T701" s="231" t="s">
        <v>239</v>
      </c>
      <c r="U701" s="231">
        <v>1.6</v>
      </c>
      <c r="V701" s="231" t="s">
        <v>239</v>
      </c>
      <c r="W701" s="231">
        <v>1.6</v>
      </c>
      <c r="X701" s="231" t="s">
        <v>239</v>
      </c>
      <c r="Y701" s="231">
        <v>1.6</v>
      </c>
      <c r="Z701" s="231" t="s">
        <v>239</v>
      </c>
      <c r="AA701" s="231">
        <v>1.6</v>
      </c>
      <c r="AB701" s="231" t="s">
        <v>239</v>
      </c>
      <c r="AC701" s="231">
        <v>1.6</v>
      </c>
      <c r="AD701" s="231" t="s">
        <v>239</v>
      </c>
      <c r="AE701" s="231">
        <v>1.6</v>
      </c>
      <c r="AF701" s="231" t="s">
        <v>239</v>
      </c>
      <c r="AG701" s="231">
        <v>1.6</v>
      </c>
      <c r="AH701" s="231" t="s">
        <v>239</v>
      </c>
      <c r="AI701" s="231">
        <v>1.6</v>
      </c>
      <c r="AJ701" s="231" t="s">
        <v>239</v>
      </c>
      <c r="AK701" s="231">
        <v>1.6</v>
      </c>
      <c r="AL701" s="232" t="s">
        <v>239</v>
      </c>
      <c r="AM701" s="232">
        <v>0</v>
      </c>
    </row>
    <row r="702" spans="1:39" ht="15.75" outlineLevel="1">
      <c r="A702" s="412"/>
      <c r="B702" s="10">
        <v>129346</v>
      </c>
      <c r="C702" s="218" t="s">
        <v>1489</v>
      </c>
      <c r="D702" s="218" t="s">
        <v>1490</v>
      </c>
      <c r="E702" s="23" t="s">
        <v>138</v>
      </c>
      <c r="F702" s="17" t="s">
        <v>45</v>
      </c>
      <c r="G702" s="11" t="s">
        <v>1432</v>
      </c>
      <c r="H702" s="12">
        <v>34</v>
      </c>
      <c r="I702" s="11" t="s">
        <v>1433</v>
      </c>
      <c r="J702" s="191" t="s">
        <v>216</v>
      </c>
      <c r="K702" s="17" t="s">
        <v>233</v>
      </c>
      <c r="L702" s="17" t="s">
        <v>233</v>
      </c>
      <c r="M702" s="231">
        <v>7926</v>
      </c>
      <c r="N702" s="232">
        <v>7829.7783599999993</v>
      </c>
      <c r="O702" s="132">
        <v>280</v>
      </c>
      <c r="P702" s="231" t="s">
        <v>239</v>
      </c>
      <c r="Q702" s="232">
        <v>276.55040000000002</v>
      </c>
      <c r="R702" s="231" t="s">
        <v>239</v>
      </c>
      <c r="S702" s="232">
        <v>273.14329907200005</v>
      </c>
      <c r="T702" s="231" t="s">
        <v>239</v>
      </c>
      <c r="U702" s="232">
        <v>269.77817362743303</v>
      </c>
      <c r="V702" s="231" t="s">
        <v>239</v>
      </c>
      <c r="W702" s="232">
        <v>266.45450652834307</v>
      </c>
      <c r="X702" s="231" t="s">
        <v>239</v>
      </c>
      <c r="Y702" s="232">
        <v>263.17178700791391</v>
      </c>
      <c r="Z702" s="231" t="s">
        <v>239</v>
      </c>
      <c r="AA702" s="232">
        <v>259.9295105919764</v>
      </c>
      <c r="AB702" s="231" t="s">
        <v>239</v>
      </c>
      <c r="AC702" s="232">
        <v>256.72717902148327</v>
      </c>
      <c r="AD702" s="231" t="s">
        <v>239</v>
      </c>
      <c r="AE702" s="232">
        <v>253.5643001759386</v>
      </c>
      <c r="AF702" s="231" t="s">
        <v>239</v>
      </c>
      <c r="AG702" s="232">
        <v>250.44038799777104</v>
      </c>
      <c r="AH702" s="231" t="s">
        <v>239</v>
      </c>
      <c r="AI702" s="232">
        <v>247.35496241763849</v>
      </c>
      <c r="AJ702" s="231" t="s">
        <v>239</v>
      </c>
      <c r="AK702" s="232">
        <v>244.30754928065318</v>
      </c>
      <c r="AL702" s="232" t="s">
        <v>239</v>
      </c>
      <c r="AM702" s="232">
        <v>3141.4220557211515</v>
      </c>
    </row>
    <row r="703" spans="1:39" ht="15.75" outlineLevel="1">
      <c r="A703" s="411">
        <v>347</v>
      </c>
      <c r="B703" s="10">
        <v>129347</v>
      </c>
      <c r="C703" s="218" t="s">
        <v>1489</v>
      </c>
      <c r="D703" s="218" t="s">
        <v>1490</v>
      </c>
      <c r="E703" s="23" t="s">
        <v>44</v>
      </c>
      <c r="F703" s="17" t="s">
        <v>45</v>
      </c>
      <c r="G703" s="11" t="s">
        <v>1432</v>
      </c>
      <c r="H703" s="12">
        <v>7</v>
      </c>
      <c r="I703" s="11" t="s">
        <v>1433</v>
      </c>
      <c r="J703" s="192" t="s">
        <v>1434</v>
      </c>
      <c r="K703" s="17" t="s">
        <v>233</v>
      </c>
      <c r="L703" s="17" t="s">
        <v>233</v>
      </c>
      <c r="M703" s="231">
        <v>27</v>
      </c>
      <c r="N703" s="231">
        <v>27</v>
      </c>
      <c r="O703" s="231">
        <v>27</v>
      </c>
      <c r="P703" s="231" t="s">
        <v>239</v>
      </c>
      <c r="Q703" s="231">
        <v>27</v>
      </c>
      <c r="R703" s="231" t="s">
        <v>239</v>
      </c>
      <c r="S703" s="231">
        <v>27</v>
      </c>
      <c r="T703" s="231" t="s">
        <v>239</v>
      </c>
      <c r="U703" s="231">
        <v>27</v>
      </c>
      <c r="V703" s="230" t="s">
        <v>239</v>
      </c>
      <c r="W703" s="231">
        <v>27</v>
      </c>
      <c r="X703" s="231" t="s">
        <v>239</v>
      </c>
      <c r="Y703" s="231">
        <v>27</v>
      </c>
      <c r="Z703" s="231" t="s">
        <v>239</v>
      </c>
      <c r="AA703" s="231">
        <v>27</v>
      </c>
      <c r="AB703" s="231" t="s">
        <v>239</v>
      </c>
      <c r="AC703" s="231">
        <v>27</v>
      </c>
      <c r="AD703" s="231" t="s">
        <v>239</v>
      </c>
      <c r="AE703" s="231">
        <v>27</v>
      </c>
      <c r="AF703" s="231" t="s">
        <v>239</v>
      </c>
      <c r="AG703" s="231">
        <v>27</v>
      </c>
      <c r="AH703" s="231" t="s">
        <v>239</v>
      </c>
      <c r="AI703" s="231">
        <v>27</v>
      </c>
      <c r="AJ703" s="231" t="s">
        <v>239</v>
      </c>
      <c r="AK703" s="231">
        <v>27</v>
      </c>
      <c r="AL703" s="232" t="s">
        <v>239</v>
      </c>
      <c r="AM703" s="232">
        <v>0</v>
      </c>
    </row>
    <row r="704" spans="1:39" ht="15.75" outlineLevel="1">
      <c r="A704" s="412"/>
      <c r="B704" s="10">
        <v>129347</v>
      </c>
      <c r="C704" s="218" t="s">
        <v>1489</v>
      </c>
      <c r="D704" s="218" t="s">
        <v>1490</v>
      </c>
      <c r="E704" s="23" t="s">
        <v>44</v>
      </c>
      <c r="F704" s="17" t="s">
        <v>45</v>
      </c>
      <c r="G704" s="11" t="s">
        <v>1432</v>
      </c>
      <c r="H704" s="12">
        <v>5</v>
      </c>
      <c r="I704" s="11" t="s">
        <v>1433</v>
      </c>
      <c r="J704" s="192" t="s">
        <v>1480</v>
      </c>
      <c r="K704" s="17" t="s">
        <v>233</v>
      </c>
      <c r="L704" s="17" t="s">
        <v>233</v>
      </c>
      <c r="M704" s="231">
        <v>20952</v>
      </c>
      <c r="N704" s="232">
        <v>20697.64272</v>
      </c>
      <c r="O704" s="132">
        <v>739</v>
      </c>
      <c r="P704" s="231" t="s">
        <v>239</v>
      </c>
      <c r="Q704" s="232">
        <v>729.89552000000003</v>
      </c>
      <c r="R704" s="231" t="s">
        <v>239</v>
      </c>
      <c r="S704" s="232">
        <v>720.9032071936</v>
      </c>
      <c r="T704" s="231" t="s">
        <v>239</v>
      </c>
      <c r="U704" s="232">
        <v>712.0216796809749</v>
      </c>
      <c r="V704" s="231" t="s">
        <v>239</v>
      </c>
      <c r="W704" s="232">
        <v>703.24957258730524</v>
      </c>
      <c r="X704" s="231" t="s">
        <v>239</v>
      </c>
      <c r="Y704" s="232">
        <v>694.58553785302968</v>
      </c>
      <c r="Z704" s="231" t="s">
        <v>239</v>
      </c>
      <c r="AA704" s="232">
        <v>686.02824402668034</v>
      </c>
      <c r="AB704" s="231" t="s">
        <v>239</v>
      </c>
      <c r="AC704" s="232">
        <v>677.57637606027163</v>
      </c>
      <c r="AD704" s="231" t="s">
        <v>239</v>
      </c>
      <c r="AE704" s="232">
        <v>669.22863510720913</v>
      </c>
      <c r="AF704" s="231" t="s">
        <v>239</v>
      </c>
      <c r="AG704" s="232">
        <v>660.98373832268828</v>
      </c>
      <c r="AH704" s="231" t="s">
        <v>239</v>
      </c>
      <c r="AI704" s="232">
        <v>652.84041866655275</v>
      </c>
      <c r="AJ704" s="231" t="s">
        <v>239</v>
      </c>
      <c r="AK704" s="232">
        <v>644.79742470858082</v>
      </c>
      <c r="AL704" s="232" t="s">
        <v>239</v>
      </c>
      <c r="AM704" s="232">
        <v>8291.1103542068922</v>
      </c>
    </row>
    <row r="705" spans="1:39" ht="15.75" outlineLevel="1">
      <c r="A705" s="411">
        <v>348</v>
      </c>
      <c r="B705" s="10">
        <v>129348</v>
      </c>
      <c r="C705" s="218" t="s">
        <v>1489</v>
      </c>
      <c r="D705" s="218" t="s">
        <v>1490</v>
      </c>
      <c r="E705" s="23" t="s">
        <v>138</v>
      </c>
      <c r="F705" s="17" t="s">
        <v>45</v>
      </c>
      <c r="G705" s="11" t="s">
        <v>1432</v>
      </c>
      <c r="H705" s="12">
        <v>14</v>
      </c>
      <c r="I705" s="11" t="s">
        <v>1433</v>
      </c>
      <c r="J705" s="192" t="s">
        <v>1452</v>
      </c>
      <c r="K705" s="17" t="s">
        <v>233</v>
      </c>
      <c r="L705" s="17" t="s">
        <v>233</v>
      </c>
      <c r="M705" s="231">
        <v>30</v>
      </c>
      <c r="N705" s="231">
        <v>30</v>
      </c>
      <c r="O705" s="231">
        <v>30</v>
      </c>
      <c r="P705" s="231" t="s">
        <v>239</v>
      </c>
      <c r="Q705" s="231">
        <v>30</v>
      </c>
      <c r="R705" s="231" t="s">
        <v>239</v>
      </c>
      <c r="S705" s="231">
        <v>30</v>
      </c>
      <c r="T705" s="231" t="s">
        <v>239</v>
      </c>
      <c r="U705" s="231">
        <v>30</v>
      </c>
      <c r="V705" s="231" t="s">
        <v>239</v>
      </c>
      <c r="W705" s="231">
        <v>30</v>
      </c>
      <c r="X705" s="231" t="s">
        <v>239</v>
      </c>
      <c r="Y705" s="231">
        <v>30</v>
      </c>
      <c r="Z705" s="231" t="s">
        <v>239</v>
      </c>
      <c r="AA705" s="231">
        <v>30</v>
      </c>
      <c r="AB705" s="231" t="s">
        <v>239</v>
      </c>
      <c r="AC705" s="231">
        <v>30</v>
      </c>
      <c r="AD705" s="231" t="s">
        <v>239</v>
      </c>
      <c r="AE705" s="231">
        <v>30</v>
      </c>
      <c r="AF705" s="231" t="s">
        <v>239</v>
      </c>
      <c r="AG705" s="231">
        <v>30</v>
      </c>
      <c r="AH705" s="231" t="s">
        <v>239</v>
      </c>
      <c r="AI705" s="231">
        <v>30</v>
      </c>
      <c r="AJ705" s="231" t="s">
        <v>239</v>
      </c>
      <c r="AK705" s="231">
        <v>30</v>
      </c>
      <c r="AL705" s="232" t="s">
        <v>239</v>
      </c>
      <c r="AM705" s="232">
        <v>0</v>
      </c>
    </row>
    <row r="706" spans="1:39" ht="15.75" outlineLevel="1">
      <c r="A706" s="412"/>
      <c r="B706" s="10">
        <v>129348</v>
      </c>
      <c r="C706" s="218" t="s">
        <v>1489</v>
      </c>
      <c r="D706" s="218" t="s">
        <v>1490</v>
      </c>
      <c r="E706" s="23" t="s">
        <v>44</v>
      </c>
      <c r="F706" s="17" t="s">
        <v>45</v>
      </c>
      <c r="G706" s="11" t="s">
        <v>1432</v>
      </c>
      <c r="H706" s="12">
        <v>9</v>
      </c>
      <c r="I706" s="11" t="s">
        <v>1433</v>
      </c>
      <c r="J706" s="374" t="s">
        <v>207</v>
      </c>
      <c r="K706" s="17" t="s">
        <v>233</v>
      </c>
      <c r="L706" s="17" t="s">
        <v>233</v>
      </c>
      <c r="M706" s="231">
        <v>1295</v>
      </c>
      <c r="N706" s="232">
        <v>1279.2786999999998</v>
      </c>
      <c r="O706" s="132">
        <v>507</v>
      </c>
      <c r="P706" s="231" t="s">
        <v>239</v>
      </c>
      <c r="Q706" s="232">
        <v>500.75376</v>
      </c>
      <c r="R706" s="231" t="s">
        <v>239</v>
      </c>
      <c r="S706" s="232">
        <v>494.58447367679997</v>
      </c>
      <c r="T706" s="231" t="s">
        <v>239</v>
      </c>
      <c r="U706" s="232">
        <v>488.49119296110177</v>
      </c>
      <c r="V706" s="230" t="s">
        <v>239</v>
      </c>
      <c r="W706" s="232">
        <v>482.47298146382099</v>
      </c>
      <c r="X706" s="231" t="s">
        <v>239</v>
      </c>
      <c r="Y706" s="232">
        <v>476.52891433218673</v>
      </c>
      <c r="Z706" s="231" t="s">
        <v>239</v>
      </c>
      <c r="AA706" s="232">
        <v>470.65807810761419</v>
      </c>
      <c r="AB706" s="231" t="s">
        <v>239</v>
      </c>
      <c r="AC706" s="232">
        <v>464.85957058532836</v>
      </c>
      <c r="AD706" s="231" t="s">
        <v>239</v>
      </c>
      <c r="AE706" s="232">
        <v>459.1325006757171</v>
      </c>
      <c r="AF706" s="231" t="s">
        <v>239</v>
      </c>
      <c r="AG706" s="232">
        <v>453.47598826739227</v>
      </c>
      <c r="AH706" s="231" t="s">
        <v>239</v>
      </c>
      <c r="AI706" s="232">
        <v>447.88916409193797</v>
      </c>
      <c r="AJ706" s="231" t="s">
        <v>239</v>
      </c>
      <c r="AK706" s="232">
        <v>442.37116959032528</v>
      </c>
      <c r="AL706" s="232" t="s">
        <v>239</v>
      </c>
      <c r="AM706" s="232">
        <v>5688.2177937522247</v>
      </c>
    </row>
    <row r="707" spans="1:39" ht="15.75" outlineLevel="1">
      <c r="A707" s="411">
        <v>349</v>
      </c>
      <c r="B707" s="10">
        <v>129349</v>
      </c>
      <c r="C707" s="218" t="s">
        <v>1489</v>
      </c>
      <c r="D707" s="218" t="s">
        <v>1490</v>
      </c>
      <c r="E707" s="23" t="s">
        <v>138</v>
      </c>
      <c r="F707" s="17" t="s">
        <v>45</v>
      </c>
      <c r="G707" s="11" t="s">
        <v>1432</v>
      </c>
      <c r="H707" s="12">
        <v>17</v>
      </c>
      <c r="I707" s="11" t="s">
        <v>1433</v>
      </c>
      <c r="J707" s="375"/>
      <c r="K707" s="17" t="s">
        <v>233</v>
      </c>
      <c r="L707" s="17" t="s">
        <v>233</v>
      </c>
      <c r="M707" s="231">
        <v>30</v>
      </c>
      <c r="N707" s="231">
        <v>30</v>
      </c>
      <c r="O707" s="231">
        <v>30</v>
      </c>
      <c r="P707" s="231" t="s">
        <v>239</v>
      </c>
      <c r="Q707" s="231">
        <v>30</v>
      </c>
      <c r="R707" s="231" t="s">
        <v>239</v>
      </c>
      <c r="S707" s="231">
        <v>30</v>
      </c>
      <c r="T707" s="231" t="s">
        <v>239</v>
      </c>
      <c r="U707" s="231">
        <v>30</v>
      </c>
      <c r="V707" s="231" t="s">
        <v>239</v>
      </c>
      <c r="W707" s="231">
        <v>30</v>
      </c>
      <c r="X707" s="231" t="s">
        <v>239</v>
      </c>
      <c r="Y707" s="231">
        <v>30</v>
      </c>
      <c r="Z707" s="231" t="s">
        <v>239</v>
      </c>
      <c r="AA707" s="231">
        <v>30</v>
      </c>
      <c r="AB707" s="231" t="s">
        <v>239</v>
      </c>
      <c r="AC707" s="231">
        <v>30</v>
      </c>
      <c r="AD707" s="231" t="s">
        <v>239</v>
      </c>
      <c r="AE707" s="231">
        <v>30</v>
      </c>
      <c r="AF707" s="231" t="s">
        <v>239</v>
      </c>
      <c r="AG707" s="231">
        <v>30</v>
      </c>
      <c r="AH707" s="231" t="s">
        <v>239</v>
      </c>
      <c r="AI707" s="231">
        <v>30</v>
      </c>
      <c r="AJ707" s="231" t="s">
        <v>239</v>
      </c>
      <c r="AK707" s="231">
        <v>30</v>
      </c>
      <c r="AL707" s="232" t="s">
        <v>239</v>
      </c>
      <c r="AM707" s="232">
        <v>0</v>
      </c>
    </row>
    <row r="708" spans="1:39" ht="15.75" outlineLevel="1">
      <c r="A708" s="412"/>
      <c r="B708" s="10">
        <v>129349</v>
      </c>
      <c r="C708" s="218" t="s">
        <v>1489</v>
      </c>
      <c r="D708" s="218" t="s">
        <v>1490</v>
      </c>
      <c r="E708" s="23" t="s">
        <v>44</v>
      </c>
      <c r="F708" s="17" t="s">
        <v>45</v>
      </c>
      <c r="G708" s="11" t="s">
        <v>1432</v>
      </c>
      <c r="H708" s="12">
        <v>28</v>
      </c>
      <c r="I708" s="11" t="s">
        <v>1433</v>
      </c>
      <c r="J708" s="193" t="s">
        <v>1460</v>
      </c>
      <c r="K708" s="17" t="s">
        <v>233</v>
      </c>
      <c r="L708" s="17" t="s">
        <v>233</v>
      </c>
      <c r="M708" s="231">
        <v>0</v>
      </c>
      <c r="N708" s="232">
        <v>0</v>
      </c>
      <c r="O708" s="132"/>
      <c r="P708" s="231" t="s">
        <v>239</v>
      </c>
      <c r="Q708" s="232">
        <v>0</v>
      </c>
      <c r="R708" s="231" t="s">
        <v>239</v>
      </c>
      <c r="S708" s="232">
        <v>0</v>
      </c>
      <c r="T708" s="231" t="s">
        <v>239</v>
      </c>
      <c r="U708" s="232">
        <v>0</v>
      </c>
      <c r="V708" s="231" t="s">
        <v>239</v>
      </c>
      <c r="W708" s="232">
        <v>0</v>
      </c>
      <c r="X708" s="231" t="s">
        <v>239</v>
      </c>
      <c r="Y708" s="232">
        <v>0</v>
      </c>
      <c r="Z708" s="231" t="s">
        <v>239</v>
      </c>
      <c r="AA708" s="232">
        <v>0</v>
      </c>
      <c r="AB708" s="231" t="s">
        <v>239</v>
      </c>
      <c r="AC708" s="232">
        <v>0</v>
      </c>
      <c r="AD708" s="231" t="s">
        <v>239</v>
      </c>
      <c r="AE708" s="232">
        <v>0</v>
      </c>
      <c r="AF708" s="231" t="s">
        <v>239</v>
      </c>
      <c r="AG708" s="232">
        <v>0</v>
      </c>
      <c r="AH708" s="231" t="s">
        <v>239</v>
      </c>
      <c r="AI708" s="232">
        <v>0</v>
      </c>
      <c r="AJ708" s="231" t="s">
        <v>239</v>
      </c>
      <c r="AK708" s="232">
        <v>0</v>
      </c>
      <c r="AL708" s="232" t="s">
        <v>239</v>
      </c>
      <c r="AM708" s="232">
        <v>0</v>
      </c>
    </row>
    <row r="709" spans="1:39" ht="15.75" outlineLevel="1">
      <c r="A709" s="411">
        <v>350</v>
      </c>
      <c r="B709" s="10">
        <v>129350</v>
      </c>
      <c r="C709" s="218" t="s">
        <v>1489</v>
      </c>
      <c r="D709" s="218" t="s">
        <v>1490</v>
      </c>
      <c r="E709" s="23" t="s">
        <v>44</v>
      </c>
      <c r="F709" s="17" t="s">
        <v>45</v>
      </c>
      <c r="G709" s="11" t="s">
        <v>1432</v>
      </c>
      <c r="H709" s="12">
        <v>33</v>
      </c>
      <c r="I709" s="11" t="s">
        <v>1433</v>
      </c>
      <c r="J709" s="193" t="s">
        <v>1442</v>
      </c>
      <c r="K709" s="17" t="s">
        <v>233</v>
      </c>
      <c r="L709" s="17" t="s">
        <v>233</v>
      </c>
      <c r="M709" s="231">
        <v>2.4</v>
      </c>
      <c r="N709" s="231">
        <v>2.4</v>
      </c>
      <c r="O709" s="231">
        <v>2.4</v>
      </c>
      <c r="P709" s="231" t="s">
        <v>239</v>
      </c>
      <c r="Q709" s="231">
        <v>2.4</v>
      </c>
      <c r="R709" s="231" t="s">
        <v>239</v>
      </c>
      <c r="S709" s="231">
        <v>2.4</v>
      </c>
      <c r="T709" s="231" t="s">
        <v>239</v>
      </c>
      <c r="U709" s="231">
        <v>2.4</v>
      </c>
      <c r="V709" s="230" t="s">
        <v>239</v>
      </c>
      <c r="W709" s="231">
        <v>2.4</v>
      </c>
      <c r="X709" s="231" t="s">
        <v>239</v>
      </c>
      <c r="Y709" s="231">
        <v>2.4</v>
      </c>
      <c r="Z709" s="231" t="s">
        <v>239</v>
      </c>
      <c r="AA709" s="231">
        <v>2.4</v>
      </c>
      <c r="AB709" s="231" t="s">
        <v>239</v>
      </c>
      <c r="AC709" s="231">
        <v>2.4</v>
      </c>
      <c r="AD709" s="231" t="s">
        <v>239</v>
      </c>
      <c r="AE709" s="231">
        <v>2.4</v>
      </c>
      <c r="AF709" s="231" t="s">
        <v>239</v>
      </c>
      <c r="AG709" s="231">
        <v>2.4</v>
      </c>
      <c r="AH709" s="231" t="s">
        <v>239</v>
      </c>
      <c r="AI709" s="231">
        <v>2.4</v>
      </c>
      <c r="AJ709" s="231" t="s">
        <v>239</v>
      </c>
      <c r="AK709" s="231">
        <v>2.4</v>
      </c>
      <c r="AL709" s="232" t="s">
        <v>239</v>
      </c>
      <c r="AM709" s="232">
        <v>0</v>
      </c>
    </row>
    <row r="710" spans="1:39" ht="15.75" outlineLevel="1">
      <c r="A710" s="412"/>
      <c r="B710" s="10">
        <v>129350</v>
      </c>
      <c r="C710" s="218" t="s">
        <v>1489</v>
      </c>
      <c r="D710" s="218" t="s">
        <v>1490</v>
      </c>
      <c r="E710" s="23" t="s">
        <v>138</v>
      </c>
      <c r="F710" s="17" t="s">
        <v>45</v>
      </c>
      <c r="G710" s="11" t="s">
        <v>1432</v>
      </c>
      <c r="H710" s="12">
        <v>25</v>
      </c>
      <c r="I710" s="11" t="s">
        <v>1433</v>
      </c>
      <c r="J710" s="193" t="s">
        <v>1460</v>
      </c>
      <c r="K710" s="17" t="s">
        <v>233</v>
      </c>
      <c r="L710" s="17" t="s">
        <v>233</v>
      </c>
      <c r="M710" s="231">
        <v>13370</v>
      </c>
      <c r="N710" s="232">
        <v>13207.688199999999</v>
      </c>
      <c r="O710" s="132">
        <v>1138</v>
      </c>
      <c r="P710" s="231" t="s">
        <v>239</v>
      </c>
      <c r="Q710" s="232">
        <v>1123.97984</v>
      </c>
      <c r="R710" s="231" t="s">
        <v>239</v>
      </c>
      <c r="S710" s="232">
        <v>1110.1324083712</v>
      </c>
      <c r="T710" s="231" t="s">
        <v>239</v>
      </c>
      <c r="U710" s="232">
        <v>1096.4555771000669</v>
      </c>
      <c r="V710" s="231" t="s">
        <v>239</v>
      </c>
      <c r="W710" s="232">
        <v>1082.9472443901941</v>
      </c>
      <c r="X710" s="231" t="s">
        <v>239</v>
      </c>
      <c r="Y710" s="232">
        <v>1069.6053343393069</v>
      </c>
      <c r="Z710" s="231" t="s">
        <v>239</v>
      </c>
      <c r="AA710" s="232">
        <v>1056.4277966202467</v>
      </c>
      <c r="AB710" s="231" t="s">
        <v>239</v>
      </c>
      <c r="AC710" s="232">
        <v>1043.4126061658853</v>
      </c>
      <c r="AD710" s="231" t="s">
        <v>239</v>
      </c>
      <c r="AE710" s="232">
        <v>1030.5577628579217</v>
      </c>
      <c r="AF710" s="231" t="s">
        <v>239</v>
      </c>
      <c r="AG710" s="232">
        <v>1017.8612912195122</v>
      </c>
      <c r="AH710" s="231" t="s">
        <v>239</v>
      </c>
      <c r="AI710" s="232">
        <v>1005.3212401116878</v>
      </c>
      <c r="AJ710" s="231" t="s">
        <v>239</v>
      </c>
      <c r="AK710" s="232">
        <v>992.93568243351172</v>
      </c>
      <c r="AL710" s="232" t="s">
        <v>239</v>
      </c>
      <c r="AM710" s="232">
        <v>12767.636783609531</v>
      </c>
    </row>
    <row r="711" spans="1:39" ht="15.75" outlineLevel="1">
      <c r="A711" s="411">
        <v>351</v>
      </c>
      <c r="B711" s="10">
        <v>129351</v>
      </c>
      <c r="C711" s="218" t="s">
        <v>1489</v>
      </c>
      <c r="D711" s="218" t="s">
        <v>1490</v>
      </c>
      <c r="E711" s="23" t="s">
        <v>44</v>
      </c>
      <c r="F711" s="17" t="s">
        <v>45</v>
      </c>
      <c r="G711" s="11" t="s">
        <v>1432</v>
      </c>
      <c r="H711" s="12">
        <v>9</v>
      </c>
      <c r="I711" s="11" t="s">
        <v>1433</v>
      </c>
      <c r="J711" s="193" t="s">
        <v>1457</v>
      </c>
      <c r="K711" s="17" t="s">
        <v>233</v>
      </c>
      <c r="L711" s="17" t="s">
        <v>233</v>
      </c>
      <c r="M711" s="231">
        <v>23</v>
      </c>
      <c r="N711" s="231">
        <v>23</v>
      </c>
      <c r="O711" s="231">
        <v>23</v>
      </c>
      <c r="P711" s="231" t="s">
        <v>239</v>
      </c>
      <c r="Q711" s="231">
        <v>23</v>
      </c>
      <c r="R711" s="231" t="s">
        <v>239</v>
      </c>
      <c r="S711" s="231">
        <v>23</v>
      </c>
      <c r="T711" s="231" t="s">
        <v>239</v>
      </c>
      <c r="U711" s="231">
        <v>23</v>
      </c>
      <c r="V711" s="231" t="s">
        <v>239</v>
      </c>
      <c r="W711" s="231">
        <v>23</v>
      </c>
      <c r="X711" s="231" t="s">
        <v>239</v>
      </c>
      <c r="Y711" s="231">
        <v>23</v>
      </c>
      <c r="Z711" s="231" t="s">
        <v>239</v>
      </c>
      <c r="AA711" s="231">
        <v>23</v>
      </c>
      <c r="AB711" s="231" t="s">
        <v>239</v>
      </c>
      <c r="AC711" s="231">
        <v>23</v>
      </c>
      <c r="AD711" s="231" t="s">
        <v>239</v>
      </c>
      <c r="AE711" s="231">
        <v>23</v>
      </c>
      <c r="AF711" s="231" t="s">
        <v>239</v>
      </c>
      <c r="AG711" s="231">
        <v>23</v>
      </c>
      <c r="AH711" s="231" t="s">
        <v>239</v>
      </c>
      <c r="AI711" s="231">
        <v>23</v>
      </c>
      <c r="AJ711" s="231" t="s">
        <v>239</v>
      </c>
      <c r="AK711" s="231">
        <v>23</v>
      </c>
      <c r="AL711" s="232" t="s">
        <v>239</v>
      </c>
      <c r="AM711" s="232">
        <v>0</v>
      </c>
    </row>
    <row r="712" spans="1:39" ht="15.75" outlineLevel="1">
      <c r="A712" s="412"/>
      <c r="B712" s="10">
        <v>129351</v>
      </c>
      <c r="C712" s="218" t="s">
        <v>1489</v>
      </c>
      <c r="D712" s="218" t="s">
        <v>1490</v>
      </c>
      <c r="E712" s="23" t="s">
        <v>138</v>
      </c>
      <c r="F712" s="17" t="s">
        <v>45</v>
      </c>
      <c r="G712" s="11" t="s">
        <v>1432</v>
      </c>
      <c r="H712" s="12">
        <v>15</v>
      </c>
      <c r="I712" s="11" t="s">
        <v>1433</v>
      </c>
      <c r="J712" s="193" t="s">
        <v>617</v>
      </c>
      <c r="K712" s="17" t="s">
        <v>233</v>
      </c>
      <c r="L712" s="17" t="s">
        <v>233</v>
      </c>
      <c r="M712" s="231">
        <v>11259</v>
      </c>
      <c r="N712" s="232">
        <v>11122.31574</v>
      </c>
      <c r="O712" s="132">
        <v>779</v>
      </c>
      <c r="P712" s="231" t="s">
        <v>239</v>
      </c>
      <c r="Q712" s="232">
        <v>769.40272000000004</v>
      </c>
      <c r="R712" s="231" t="s">
        <v>239</v>
      </c>
      <c r="S712" s="232">
        <v>759.92367848960009</v>
      </c>
      <c r="T712" s="231" t="s">
        <v>239</v>
      </c>
      <c r="U712" s="232">
        <v>750.56141877060827</v>
      </c>
      <c r="V712" s="230" t="s">
        <v>239</v>
      </c>
      <c r="W712" s="232">
        <v>741.31450209135437</v>
      </c>
      <c r="X712" s="231" t="s">
        <v>239</v>
      </c>
      <c r="Y712" s="232">
        <v>732.18150742558885</v>
      </c>
      <c r="Z712" s="231" t="s">
        <v>239</v>
      </c>
      <c r="AA712" s="232">
        <v>723.16103125410564</v>
      </c>
      <c r="AB712" s="231" t="s">
        <v>239</v>
      </c>
      <c r="AC712" s="232">
        <v>714.25168734905503</v>
      </c>
      <c r="AD712" s="231" t="s">
        <v>239</v>
      </c>
      <c r="AE712" s="232">
        <v>705.45210656091467</v>
      </c>
      <c r="AF712" s="231" t="s">
        <v>239</v>
      </c>
      <c r="AG712" s="232">
        <v>696.76093660808419</v>
      </c>
      <c r="AH712" s="231" t="s">
        <v>239</v>
      </c>
      <c r="AI712" s="232">
        <v>688.17684186907263</v>
      </c>
      <c r="AJ712" s="231" t="s">
        <v>239</v>
      </c>
      <c r="AK712" s="232">
        <v>679.6985031772457</v>
      </c>
      <c r="AL712" s="232" t="s">
        <v>239</v>
      </c>
      <c r="AM712" s="232">
        <v>8739.8849335956293</v>
      </c>
    </row>
    <row r="713" spans="1:39" ht="15.75" outlineLevel="1">
      <c r="A713" s="411">
        <v>352</v>
      </c>
      <c r="B713" s="10">
        <v>129352</v>
      </c>
      <c r="C713" s="218" t="s">
        <v>1489</v>
      </c>
      <c r="D713" s="218" t="s">
        <v>1490</v>
      </c>
      <c r="E713" s="23" t="s">
        <v>44</v>
      </c>
      <c r="F713" s="17" t="s">
        <v>45</v>
      </c>
      <c r="G713" s="11" t="s">
        <v>1432</v>
      </c>
      <c r="H713" s="12">
        <v>19</v>
      </c>
      <c r="I713" s="11" t="s">
        <v>1433</v>
      </c>
      <c r="J713" s="193" t="s">
        <v>216</v>
      </c>
      <c r="K713" s="17" t="s">
        <v>233</v>
      </c>
      <c r="L713" s="17" t="s">
        <v>233</v>
      </c>
      <c r="M713" s="231">
        <v>39</v>
      </c>
      <c r="N713" s="231">
        <v>39</v>
      </c>
      <c r="O713" s="231">
        <v>39</v>
      </c>
      <c r="P713" s="231" t="s">
        <v>239</v>
      </c>
      <c r="Q713" s="231">
        <v>39</v>
      </c>
      <c r="R713" s="231" t="s">
        <v>239</v>
      </c>
      <c r="S713" s="231">
        <v>39</v>
      </c>
      <c r="T713" s="231" t="s">
        <v>239</v>
      </c>
      <c r="U713" s="231">
        <v>39</v>
      </c>
      <c r="V713" s="231" t="s">
        <v>239</v>
      </c>
      <c r="W713" s="231">
        <v>39</v>
      </c>
      <c r="X713" s="231" t="s">
        <v>239</v>
      </c>
      <c r="Y713" s="231">
        <v>39</v>
      </c>
      <c r="Z713" s="231" t="s">
        <v>239</v>
      </c>
      <c r="AA713" s="231">
        <v>39</v>
      </c>
      <c r="AB713" s="231" t="s">
        <v>239</v>
      </c>
      <c r="AC713" s="231">
        <v>39</v>
      </c>
      <c r="AD713" s="231" t="s">
        <v>239</v>
      </c>
      <c r="AE713" s="231">
        <v>39</v>
      </c>
      <c r="AF713" s="231" t="s">
        <v>239</v>
      </c>
      <c r="AG713" s="231">
        <v>39</v>
      </c>
      <c r="AH713" s="231" t="s">
        <v>239</v>
      </c>
      <c r="AI713" s="231">
        <v>39</v>
      </c>
      <c r="AJ713" s="231" t="s">
        <v>239</v>
      </c>
      <c r="AK713" s="231">
        <v>39</v>
      </c>
      <c r="AL713" s="232" t="s">
        <v>239</v>
      </c>
      <c r="AM713" s="232">
        <v>0</v>
      </c>
    </row>
    <row r="714" spans="1:39" ht="15.75" outlineLevel="1">
      <c r="A714" s="412"/>
      <c r="B714" s="10">
        <v>129352</v>
      </c>
      <c r="C714" s="218" t="s">
        <v>1489</v>
      </c>
      <c r="D714" s="218" t="s">
        <v>1490</v>
      </c>
      <c r="E714" s="23" t="s">
        <v>44</v>
      </c>
      <c r="F714" s="17" t="s">
        <v>45</v>
      </c>
      <c r="G714" s="11" t="s">
        <v>1432</v>
      </c>
      <c r="H714" s="12">
        <v>22</v>
      </c>
      <c r="I714" s="11" t="s">
        <v>1433</v>
      </c>
      <c r="J714" s="192" t="s">
        <v>1446</v>
      </c>
      <c r="K714" s="17" t="s">
        <v>233</v>
      </c>
      <c r="L714" s="17" t="s">
        <v>233</v>
      </c>
      <c r="M714" s="231">
        <v>19242</v>
      </c>
      <c r="N714" s="232">
        <v>19008.402119999999</v>
      </c>
      <c r="O714" s="132">
        <v>241</v>
      </c>
      <c r="P714" s="231" t="s">
        <v>239</v>
      </c>
      <c r="Q714" s="232">
        <v>238.03088</v>
      </c>
      <c r="R714" s="231" t="s">
        <v>239</v>
      </c>
      <c r="S714" s="232">
        <v>235.0983395584</v>
      </c>
      <c r="T714" s="231" t="s">
        <v>239</v>
      </c>
      <c r="U714" s="232">
        <v>232.20192801504052</v>
      </c>
      <c r="V714" s="231" t="s">
        <v>239</v>
      </c>
      <c r="W714" s="232">
        <v>229.34120026189521</v>
      </c>
      <c r="X714" s="231" t="s">
        <v>239</v>
      </c>
      <c r="Y714" s="232">
        <v>226.51571667466865</v>
      </c>
      <c r="Z714" s="231" t="s">
        <v>239</v>
      </c>
      <c r="AA714" s="232">
        <v>223.72504304523673</v>
      </c>
      <c r="AB714" s="231" t="s">
        <v>239</v>
      </c>
      <c r="AC714" s="232">
        <v>220.96875051491941</v>
      </c>
      <c r="AD714" s="231" t="s">
        <v>239</v>
      </c>
      <c r="AE714" s="232">
        <v>218.24641550857561</v>
      </c>
      <c r="AF714" s="231" t="s">
        <v>239</v>
      </c>
      <c r="AG714" s="232">
        <v>215.55761966950996</v>
      </c>
      <c r="AH714" s="231" t="s">
        <v>239</v>
      </c>
      <c r="AI714" s="232">
        <v>212.90194979518159</v>
      </c>
      <c r="AJ714" s="231" t="s">
        <v>239</v>
      </c>
      <c r="AK714" s="232">
        <v>210.27899777370496</v>
      </c>
      <c r="AL714" s="232" t="s">
        <v>239</v>
      </c>
      <c r="AM714" s="232">
        <v>2703.8668408171325</v>
      </c>
    </row>
    <row r="715" spans="1:39" ht="15.75" outlineLevel="1">
      <c r="A715" s="411">
        <v>353</v>
      </c>
      <c r="B715" s="10">
        <v>129353</v>
      </c>
      <c r="C715" s="218" t="s">
        <v>1489</v>
      </c>
      <c r="D715" s="218" t="s">
        <v>1490</v>
      </c>
      <c r="E715" s="23" t="s">
        <v>138</v>
      </c>
      <c r="F715" s="17" t="s">
        <v>45</v>
      </c>
      <c r="G715" s="11" t="s">
        <v>1432</v>
      </c>
      <c r="H715" s="12">
        <v>24</v>
      </c>
      <c r="I715" s="11" t="s">
        <v>1433</v>
      </c>
      <c r="J715" s="192" t="s">
        <v>1481</v>
      </c>
      <c r="K715" s="17" t="s">
        <v>233</v>
      </c>
      <c r="L715" s="17" t="s">
        <v>233</v>
      </c>
      <c r="M715" s="231">
        <v>23</v>
      </c>
      <c r="N715" s="231">
        <v>23</v>
      </c>
      <c r="O715" s="231">
        <v>23</v>
      </c>
      <c r="P715" s="231" t="s">
        <v>239</v>
      </c>
      <c r="Q715" s="231">
        <v>23</v>
      </c>
      <c r="R715" s="231" t="s">
        <v>239</v>
      </c>
      <c r="S715" s="231">
        <v>23</v>
      </c>
      <c r="T715" s="231" t="s">
        <v>239</v>
      </c>
      <c r="U715" s="231">
        <v>23</v>
      </c>
      <c r="V715" s="230" t="s">
        <v>239</v>
      </c>
      <c r="W715" s="231">
        <v>23</v>
      </c>
      <c r="X715" s="231" t="s">
        <v>239</v>
      </c>
      <c r="Y715" s="231">
        <v>23</v>
      </c>
      <c r="Z715" s="231" t="s">
        <v>239</v>
      </c>
      <c r="AA715" s="231">
        <v>23</v>
      </c>
      <c r="AB715" s="231" t="s">
        <v>239</v>
      </c>
      <c r="AC715" s="231">
        <v>23</v>
      </c>
      <c r="AD715" s="231" t="s">
        <v>239</v>
      </c>
      <c r="AE715" s="231">
        <v>23</v>
      </c>
      <c r="AF715" s="231" t="s">
        <v>239</v>
      </c>
      <c r="AG715" s="231">
        <v>23</v>
      </c>
      <c r="AH715" s="231" t="s">
        <v>239</v>
      </c>
      <c r="AI715" s="231">
        <v>23</v>
      </c>
      <c r="AJ715" s="231" t="s">
        <v>239</v>
      </c>
      <c r="AK715" s="231">
        <v>23</v>
      </c>
      <c r="AL715" s="232" t="s">
        <v>239</v>
      </c>
      <c r="AM715" s="232">
        <v>0</v>
      </c>
    </row>
    <row r="716" spans="1:39" ht="15.75" outlineLevel="1">
      <c r="A716" s="412"/>
      <c r="B716" s="10">
        <v>129353</v>
      </c>
      <c r="C716" s="218" t="s">
        <v>1489</v>
      </c>
      <c r="D716" s="218" t="s">
        <v>1490</v>
      </c>
      <c r="E716" s="23" t="s">
        <v>44</v>
      </c>
      <c r="F716" s="17" t="s">
        <v>45</v>
      </c>
      <c r="G716" s="11" t="s">
        <v>1432</v>
      </c>
      <c r="H716" s="12">
        <v>16</v>
      </c>
      <c r="I716" s="11" t="s">
        <v>1433</v>
      </c>
      <c r="J716" s="192" t="s">
        <v>208</v>
      </c>
      <c r="K716" s="17" t="s">
        <v>233</v>
      </c>
      <c r="L716" s="17" t="s">
        <v>233</v>
      </c>
      <c r="M716" s="231">
        <v>3533</v>
      </c>
      <c r="N716" s="232">
        <v>3490.1093799999999</v>
      </c>
      <c r="O716" s="132">
        <v>500</v>
      </c>
      <c r="P716" s="231" t="s">
        <v>239</v>
      </c>
      <c r="Q716" s="232">
        <v>493.84</v>
      </c>
      <c r="R716" s="231" t="s">
        <v>239</v>
      </c>
      <c r="S716" s="232">
        <v>487.75589119999995</v>
      </c>
      <c r="T716" s="231" t="s">
        <v>239</v>
      </c>
      <c r="U716" s="232">
        <v>481.74673862041595</v>
      </c>
      <c r="V716" s="231" t="s">
        <v>239</v>
      </c>
      <c r="W716" s="232">
        <v>475.81161880061245</v>
      </c>
      <c r="X716" s="231" t="s">
        <v>239</v>
      </c>
      <c r="Y716" s="232">
        <v>469.94961965698889</v>
      </c>
      <c r="Z716" s="231" t="s">
        <v>239</v>
      </c>
      <c r="AA716" s="232">
        <v>464.15984034281479</v>
      </c>
      <c r="AB716" s="231" t="s">
        <v>239</v>
      </c>
      <c r="AC716" s="232">
        <v>458.44139110979131</v>
      </c>
      <c r="AD716" s="231" t="s">
        <v>239</v>
      </c>
      <c r="AE716" s="232">
        <v>452.79339317131866</v>
      </c>
      <c r="AF716" s="231" t="s">
        <v>239</v>
      </c>
      <c r="AG716" s="232">
        <v>447.21497856744799</v>
      </c>
      <c r="AH716" s="231" t="s">
        <v>239</v>
      </c>
      <c r="AI716" s="232">
        <v>441.70529003149704</v>
      </c>
      <c r="AJ716" s="231" t="s">
        <v>239</v>
      </c>
      <c r="AK716" s="232">
        <v>436.26348085830898</v>
      </c>
      <c r="AL716" s="232" t="s">
        <v>239</v>
      </c>
      <c r="AM716" s="232">
        <v>5609.6822423591957</v>
      </c>
    </row>
    <row r="717" spans="1:39" ht="15.75" outlineLevel="1">
      <c r="A717" s="411">
        <v>354</v>
      </c>
      <c r="B717" s="10">
        <v>129354</v>
      </c>
      <c r="C717" s="218" t="s">
        <v>1489</v>
      </c>
      <c r="D717" s="218" t="s">
        <v>1490</v>
      </c>
      <c r="E717" s="23" t="s">
        <v>138</v>
      </c>
      <c r="F717" s="17" t="s">
        <v>45</v>
      </c>
      <c r="G717" s="11" t="s">
        <v>1432</v>
      </c>
      <c r="H717" s="12">
        <v>5</v>
      </c>
      <c r="I717" s="11" t="s">
        <v>1433</v>
      </c>
      <c r="J717" s="192" t="s">
        <v>1463</v>
      </c>
      <c r="K717" s="17" t="s">
        <v>233</v>
      </c>
      <c r="L717" s="17" t="s">
        <v>233</v>
      </c>
      <c r="M717" s="231">
        <v>23</v>
      </c>
      <c r="N717" s="231">
        <v>23</v>
      </c>
      <c r="O717" s="231">
        <v>23</v>
      </c>
      <c r="P717" s="231" t="s">
        <v>239</v>
      </c>
      <c r="Q717" s="231">
        <v>23</v>
      </c>
      <c r="R717" s="231" t="s">
        <v>239</v>
      </c>
      <c r="S717" s="231">
        <v>23</v>
      </c>
      <c r="T717" s="231" t="s">
        <v>239</v>
      </c>
      <c r="U717" s="231">
        <v>23</v>
      </c>
      <c r="V717" s="231" t="s">
        <v>239</v>
      </c>
      <c r="W717" s="231">
        <v>23</v>
      </c>
      <c r="X717" s="231" t="s">
        <v>239</v>
      </c>
      <c r="Y717" s="231">
        <v>23</v>
      </c>
      <c r="Z717" s="231" t="s">
        <v>239</v>
      </c>
      <c r="AA717" s="231">
        <v>23</v>
      </c>
      <c r="AB717" s="231" t="s">
        <v>239</v>
      </c>
      <c r="AC717" s="231">
        <v>23</v>
      </c>
      <c r="AD717" s="231" t="s">
        <v>239</v>
      </c>
      <c r="AE717" s="231">
        <v>23</v>
      </c>
      <c r="AF717" s="231" t="s">
        <v>239</v>
      </c>
      <c r="AG717" s="231">
        <v>23</v>
      </c>
      <c r="AH717" s="231" t="s">
        <v>239</v>
      </c>
      <c r="AI717" s="231">
        <v>23</v>
      </c>
      <c r="AJ717" s="231" t="s">
        <v>239</v>
      </c>
      <c r="AK717" s="231">
        <v>23</v>
      </c>
      <c r="AL717" s="232" t="s">
        <v>239</v>
      </c>
      <c r="AM717" s="232">
        <v>0</v>
      </c>
    </row>
    <row r="718" spans="1:39" ht="15.75" outlineLevel="1">
      <c r="A718" s="412"/>
      <c r="B718" s="10">
        <v>129354</v>
      </c>
      <c r="C718" s="218" t="s">
        <v>1489</v>
      </c>
      <c r="D718" s="218" t="s">
        <v>1490</v>
      </c>
      <c r="E718" s="23" t="s">
        <v>44</v>
      </c>
      <c r="F718" s="17" t="s">
        <v>45</v>
      </c>
      <c r="G718" s="11" t="s">
        <v>1432</v>
      </c>
      <c r="H718" s="12">
        <v>17</v>
      </c>
      <c r="I718" s="11" t="s">
        <v>1433</v>
      </c>
      <c r="J718" s="192" t="s">
        <v>1482</v>
      </c>
      <c r="K718" s="17" t="s">
        <v>233</v>
      </c>
      <c r="L718" s="17" t="s">
        <v>233</v>
      </c>
      <c r="M718" s="231">
        <v>0</v>
      </c>
      <c r="N718" s="232">
        <v>0</v>
      </c>
      <c r="O718" s="132"/>
      <c r="P718" s="231" t="s">
        <v>239</v>
      </c>
      <c r="Q718" s="232">
        <v>0</v>
      </c>
      <c r="R718" s="231" t="s">
        <v>239</v>
      </c>
      <c r="S718" s="232">
        <v>0</v>
      </c>
      <c r="T718" s="231" t="s">
        <v>239</v>
      </c>
      <c r="U718" s="232">
        <v>0</v>
      </c>
      <c r="V718" s="230" t="s">
        <v>239</v>
      </c>
      <c r="W718" s="232">
        <v>0</v>
      </c>
      <c r="X718" s="231" t="s">
        <v>239</v>
      </c>
      <c r="Y718" s="232">
        <v>0</v>
      </c>
      <c r="Z718" s="231" t="s">
        <v>239</v>
      </c>
      <c r="AA718" s="232">
        <v>0</v>
      </c>
      <c r="AB718" s="231" t="s">
        <v>239</v>
      </c>
      <c r="AC718" s="232">
        <v>0</v>
      </c>
      <c r="AD718" s="231" t="s">
        <v>239</v>
      </c>
      <c r="AE718" s="232">
        <v>0</v>
      </c>
      <c r="AF718" s="231" t="s">
        <v>239</v>
      </c>
      <c r="AG718" s="232">
        <v>0</v>
      </c>
      <c r="AH718" s="231" t="s">
        <v>239</v>
      </c>
      <c r="AI718" s="232">
        <v>0</v>
      </c>
      <c r="AJ718" s="231" t="s">
        <v>239</v>
      </c>
      <c r="AK718" s="232">
        <v>0</v>
      </c>
      <c r="AL718" s="232" t="s">
        <v>239</v>
      </c>
      <c r="AM718" s="232">
        <v>0</v>
      </c>
    </row>
    <row r="719" spans="1:39" ht="15.75" outlineLevel="1">
      <c r="A719" s="411">
        <v>355</v>
      </c>
      <c r="B719" s="10">
        <v>129355</v>
      </c>
      <c r="C719" s="218" t="s">
        <v>1489</v>
      </c>
      <c r="D719" s="218" t="s">
        <v>1490</v>
      </c>
      <c r="E719" s="23" t="s">
        <v>44</v>
      </c>
      <c r="F719" s="17" t="s">
        <v>45</v>
      </c>
      <c r="G719" s="11" t="s">
        <v>1432</v>
      </c>
      <c r="H719" s="12">
        <v>19</v>
      </c>
      <c r="I719" s="11" t="s">
        <v>1433</v>
      </c>
      <c r="J719" s="192" t="s">
        <v>1462</v>
      </c>
      <c r="K719" s="17" t="s">
        <v>233</v>
      </c>
      <c r="L719" s="17" t="s">
        <v>233</v>
      </c>
      <c r="M719" s="231">
        <v>1.5</v>
      </c>
      <c r="N719" s="231">
        <v>1.5</v>
      </c>
      <c r="O719" s="231">
        <v>1.5</v>
      </c>
      <c r="P719" s="231" t="s">
        <v>239</v>
      </c>
      <c r="Q719" s="231">
        <v>1.5</v>
      </c>
      <c r="R719" s="231" t="s">
        <v>239</v>
      </c>
      <c r="S719" s="231">
        <v>1.5</v>
      </c>
      <c r="T719" s="231" t="s">
        <v>239</v>
      </c>
      <c r="U719" s="231">
        <v>1.5</v>
      </c>
      <c r="V719" s="231" t="s">
        <v>239</v>
      </c>
      <c r="W719" s="231">
        <v>1.5</v>
      </c>
      <c r="X719" s="231" t="s">
        <v>239</v>
      </c>
      <c r="Y719" s="231">
        <v>1.5</v>
      </c>
      <c r="Z719" s="231" t="s">
        <v>239</v>
      </c>
      <c r="AA719" s="231">
        <v>1.5</v>
      </c>
      <c r="AB719" s="231" t="s">
        <v>239</v>
      </c>
      <c r="AC719" s="231">
        <v>1.5</v>
      </c>
      <c r="AD719" s="231" t="s">
        <v>239</v>
      </c>
      <c r="AE719" s="231">
        <v>1.5</v>
      </c>
      <c r="AF719" s="231" t="s">
        <v>239</v>
      </c>
      <c r="AG719" s="231">
        <v>1.5</v>
      </c>
      <c r="AH719" s="231" t="s">
        <v>239</v>
      </c>
      <c r="AI719" s="231">
        <v>1.5</v>
      </c>
      <c r="AJ719" s="231" t="s">
        <v>239</v>
      </c>
      <c r="AK719" s="231">
        <v>1.5</v>
      </c>
      <c r="AL719" s="232" t="s">
        <v>239</v>
      </c>
      <c r="AM719" s="232">
        <v>0</v>
      </c>
    </row>
    <row r="720" spans="1:39" ht="15.75" outlineLevel="1">
      <c r="A720" s="412"/>
      <c r="B720" s="10">
        <v>129355</v>
      </c>
      <c r="C720" s="218" t="s">
        <v>1489</v>
      </c>
      <c r="D720" s="218" t="s">
        <v>1490</v>
      </c>
      <c r="E720" s="23" t="s">
        <v>138</v>
      </c>
      <c r="F720" s="17" t="s">
        <v>45</v>
      </c>
      <c r="G720" s="11" t="s">
        <v>1432</v>
      </c>
      <c r="H720" s="12">
        <v>21</v>
      </c>
      <c r="I720" s="11" t="s">
        <v>1433</v>
      </c>
      <c r="J720" s="192" t="s">
        <v>1457</v>
      </c>
      <c r="K720" s="17" t="s">
        <v>233</v>
      </c>
      <c r="L720" s="17" t="s">
        <v>233</v>
      </c>
      <c r="M720" s="231">
        <v>5352</v>
      </c>
      <c r="N720" s="232">
        <v>5287.0267199999998</v>
      </c>
      <c r="O720" s="132">
        <v>399</v>
      </c>
      <c r="P720" s="231" t="s">
        <v>239</v>
      </c>
      <c r="Q720" s="232">
        <v>394.08431999999999</v>
      </c>
      <c r="R720" s="231" t="s">
        <v>239</v>
      </c>
      <c r="S720" s="232">
        <v>389.22920117759998</v>
      </c>
      <c r="T720" s="231" t="s">
        <v>239</v>
      </c>
      <c r="U720" s="232">
        <v>384.43389741909192</v>
      </c>
      <c r="V720" s="231" t="s">
        <v>239</v>
      </c>
      <c r="W720" s="232">
        <v>379.69767180288869</v>
      </c>
      <c r="X720" s="231" t="s">
        <v>239</v>
      </c>
      <c r="Y720" s="232">
        <v>375.01979648627713</v>
      </c>
      <c r="Z720" s="231" t="s">
        <v>239</v>
      </c>
      <c r="AA720" s="232">
        <v>370.39955259356617</v>
      </c>
      <c r="AB720" s="231" t="s">
        <v>239</v>
      </c>
      <c r="AC720" s="232">
        <v>365.83623010561342</v>
      </c>
      <c r="AD720" s="231" t="s">
        <v>239</v>
      </c>
      <c r="AE720" s="232">
        <v>361.32912775071225</v>
      </c>
      <c r="AF720" s="231" t="s">
        <v>239</v>
      </c>
      <c r="AG720" s="232">
        <v>356.87755289682349</v>
      </c>
      <c r="AH720" s="231" t="s">
        <v>239</v>
      </c>
      <c r="AI720" s="232">
        <v>352.48082144513461</v>
      </c>
      <c r="AJ720" s="231" t="s">
        <v>239</v>
      </c>
      <c r="AK720" s="232">
        <v>348.13825772493055</v>
      </c>
      <c r="AL720" s="232" t="s">
        <v>239</v>
      </c>
      <c r="AM720" s="232">
        <v>4476.5264294026383</v>
      </c>
    </row>
    <row r="721" spans="1:39" ht="15.75" outlineLevel="1">
      <c r="A721" s="411">
        <v>356</v>
      </c>
      <c r="B721" s="10">
        <v>129356</v>
      </c>
      <c r="C721" s="218" t="s">
        <v>1489</v>
      </c>
      <c r="D721" s="218" t="s">
        <v>1490</v>
      </c>
      <c r="E721" s="23" t="s">
        <v>44</v>
      </c>
      <c r="F721" s="17" t="s">
        <v>45</v>
      </c>
      <c r="G721" s="11" t="s">
        <v>1432</v>
      </c>
      <c r="H721" s="12">
        <v>19</v>
      </c>
      <c r="I721" s="11" t="s">
        <v>1433</v>
      </c>
      <c r="J721" s="192" t="s">
        <v>617</v>
      </c>
      <c r="K721" s="17" t="s">
        <v>233</v>
      </c>
      <c r="L721" s="17" t="s">
        <v>233</v>
      </c>
      <c r="M721" s="231">
        <v>13.2</v>
      </c>
      <c r="N721" s="231">
        <v>13.2</v>
      </c>
      <c r="O721" s="231">
        <v>13.2</v>
      </c>
      <c r="P721" s="231" t="s">
        <v>239</v>
      </c>
      <c r="Q721" s="231">
        <v>13.2</v>
      </c>
      <c r="R721" s="231" t="s">
        <v>239</v>
      </c>
      <c r="S721" s="231">
        <v>13.2</v>
      </c>
      <c r="T721" s="231" t="s">
        <v>239</v>
      </c>
      <c r="U721" s="231">
        <v>13.2</v>
      </c>
      <c r="V721" s="230" t="s">
        <v>239</v>
      </c>
      <c r="W721" s="231">
        <v>13.2</v>
      </c>
      <c r="X721" s="231" t="s">
        <v>239</v>
      </c>
      <c r="Y721" s="231">
        <v>13.2</v>
      </c>
      <c r="Z721" s="231" t="s">
        <v>239</v>
      </c>
      <c r="AA721" s="231">
        <v>13.2</v>
      </c>
      <c r="AB721" s="231" t="s">
        <v>239</v>
      </c>
      <c r="AC721" s="231">
        <v>13.2</v>
      </c>
      <c r="AD721" s="231" t="s">
        <v>239</v>
      </c>
      <c r="AE721" s="231">
        <v>13.2</v>
      </c>
      <c r="AF721" s="231" t="s">
        <v>239</v>
      </c>
      <c r="AG721" s="231">
        <v>13.2</v>
      </c>
      <c r="AH721" s="231" t="s">
        <v>239</v>
      </c>
      <c r="AI721" s="231">
        <v>13.2</v>
      </c>
      <c r="AJ721" s="231" t="s">
        <v>239</v>
      </c>
      <c r="AK721" s="231">
        <v>13.2</v>
      </c>
      <c r="AL721" s="232" t="s">
        <v>239</v>
      </c>
      <c r="AM721" s="232">
        <v>0</v>
      </c>
    </row>
    <row r="722" spans="1:39" ht="15.75" outlineLevel="1">
      <c r="A722" s="412"/>
      <c r="B722" s="10">
        <v>129356</v>
      </c>
      <c r="C722" s="218" t="s">
        <v>1489</v>
      </c>
      <c r="D722" s="218" t="s">
        <v>1490</v>
      </c>
      <c r="E722" s="23" t="s">
        <v>138</v>
      </c>
      <c r="F722" s="17" t="s">
        <v>45</v>
      </c>
      <c r="G722" s="11" t="s">
        <v>1432</v>
      </c>
      <c r="H722" s="12">
        <v>30</v>
      </c>
      <c r="I722" s="11" t="s">
        <v>1433</v>
      </c>
      <c r="J722" s="374" t="s">
        <v>1457</v>
      </c>
      <c r="K722" s="17" t="s">
        <v>233</v>
      </c>
      <c r="L722" s="17" t="s">
        <v>233</v>
      </c>
      <c r="M722" s="231">
        <v>0</v>
      </c>
      <c r="N722" s="232">
        <v>0</v>
      </c>
      <c r="O722" s="132">
        <v>3417</v>
      </c>
      <c r="P722" s="231" t="s">
        <v>239</v>
      </c>
      <c r="Q722" s="232">
        <v>3374.90256</v>
      </c>
      <c r="R722" s="231" t="s">
        <v>239</v>
      </c>
      <c r="S722" s="232">
        <v>3333.3237604607998</v>
      </c>
      <c r="T722" s="231" t="s">
        <v>239</v>
      </c>
      <c r="U722" s="232">
        <v>3292.2572117319228</v>
      </c>
      <c r="V722" s="231" t="s">
        <v>239</v>
      </c>
      <c r="W722" s="232">
        <v>3251.6966028833854</v>
      </c>
      <c r="X722" s="231" t="s">
        <v>239</v>
      </c>
      <c r="Y722" s="232">
        <v>3211.635700735862</v>
      </c>
      <c r="Z722" s="231" t="s">
        <v>239</v>
      </c>
      <c r="AA722" s="232">
        <v>3172.0683489027961</v>
      </c>
      <c r="AB722" s="231" t="s">
        <v>239</v>
      </c>
      <c r="AC722" s="232">
        <v>3132.9884668443137</v>
      </c>
      <c r="AD722" s="231" t="s">
        <v>239</v>
      </c>
      <c r="AE722" s="232">
        <v>3094.3900489327916</v>
      </c>
      <c r="AF722" s="231" t="s">
        <v>239</v>
      </c>
      <c r="AG722" s="232">
        <v>3056.2671635299398</v>
      </c>
      <c r="AH722" s="231" t="s">
        <v>239</v>
      </c>
      <c r="AI722" s="232">
        <v>3018.6139520752508</v>
      </c>
      <c r="AJ722" s="231" t="s">
        <v>239</v>
      </c>
      <c r="AK722" s="232">
        <v>2981.4246281856836</v>
      </c>
      <c r="AL722" s="232" t="s">
        <v>239</v>
      </c>
      <c r="AM722" s="232">
        <v>38336.568444282741</v>
      </c>
    </row>
    <row r="723" spans="1:39" ht="15.75" outlineLevel="1">
      <c r="A723" s="411">
        <v>357</v>
      </c>
      <c r="B723" s="10">
        <v>129357</v>
      </c>
      <c r="C723" s="218" t="s">
        <v>1489</v>
      </c>
      <c r="D723" s="218" t="s">
        <v>1490</v>
      </c>
      <c r="E723" s="23" t="s">
        <v>44</v>
      </c>
      <c r="F723" s="17" t="s">
        <v>45</v>
      </c>
      <c r="G723" s="11" t="s">
        <v>1432</v>
      </c>
      <c r="H723" s="12">
        <v>33</v>
      </c>
      <c r="I723" s="11" t="s">
        <v>1433</v>
      </c>
      <c r="J723" s="375"/>
      <c r="K723" s="17" t="s">
        <v>233</v>
      </c>
      <c r="L723" s="17" t="s">
        <v>233</v>
      </c>
      <c r="M723" s="231">
        <v>13.2</v>
      </c>
      <c r="N723" s="231">
        <v>13.2</v>
      </c>
      <c r="O723" s="231">
        <v>13.2</v>
      </c>
      <c r="P723" s="231" t="s">
        <v>239</v>
      </c>
      <c r="Q723" s="231">
        <v>13.2</v>
      </c>
      <c r="R723" s="231" t="s">
        <v>239</v>
      </c>
      <c r="S723" s="231">
        <v>13.2</v>
      </c>
      <c r="T723" s="231" t="s">
        <v>239</v>
      </c>
      <c r="U723" s="231">
        <v>13.2</v>
      </c>
      <c r="V723" s="231" t="s">
        <v>239</v>
      </c>
      <c r="W723" s="231">
        <v>13.2</v>
      </c>
      <c r="X723" s="231" t="s">
        <v>239</v>
      </c>
      <c r="Y723" s="231">
        <v>13.2</v>
      </c>
      <c r="Z723" s="231" t="s">
        <v>239</v>
      </c>
      <c r="AA723" s="231">
        <v>13.2</v>
      </c>
      <c r="AB723" s="231" t="s">
        <v>239</v>
      </c>
      <c r="AC723" s="231">
        <v>13.2</v>
      </c>
      <c r="AD723" s="231" t="s">
        <v>239</v>
      </c>
      <c r="AE723" s="231">
        <v>13.2</v>
      </c>
      <c r="AF723" s="231" t="s">
        <v>239</v>
      </c>
      <c r="AG723" s="231">
        <v>13.2</v>
      </c>
      <c r="AH723" s="231" t="s">
        <v>239</v>
      </c>
      <c r="AI723" s="231">
        <v>13.2</v>
      </c>
      <c r="AJ723" s="231" t="s">
        <v>239</v>
      </c>
      <c r="AK723" s="231">
        <v>13.2</v>
      </c>
      <c r="AL723" s="232" t="s">
        <v>239</v>
      </c>
      <c r="AM723" s="232">
        <v>0</v>
      </c>
    </row>
    <row r="724" spans="1:39" ht="15.75" outlineLevel="1">
      <c r="A724" s="412"/>
      <c r="B724" s="10">
        <v>129357</v>
      </c>
      <c r="C724" s="218" t="s">
        <v>1489</v>
      </c>
      <c r="D724" s="218" t="s">
        <v>1490</v>
      </c>
      <c r="E724" s="23" t="s">
        <v>44</v>
      </c>
      <c r="F724" s="17" t="s">
        <v>45</v>
      </c>
      <c r="G724" s="11" t="s">
        <v>1432</v>
      </c>
      <c r="H724" s="12">
        <v>19</v>
      </c>
      <c r="I724" s="11" t="s">
        <v>1433</v>
      </c>
      <c r="J724" s="193" t="s">
        <v>1460</v>
      </c>
      <c r="K724" s="17" t="s">
        <v>233</v>
      </c>
      <c r="L724" s="17" t="s">
        <v>233</v>
      </c>
      <c r="M724" s="231">
        <v>0</v>
      </c>
      <c r="N724" s="232">
        <v>0</v>
      </c>
      <c r="O724" s="132"/>
      <c r="P724" s="231" t="s">
        <v>239</v>
      </c>
      <c r="Q724" s="232">
        <v>0</v>
      </c>
      <c r="R724" s="231" t="s">
        <v>239</v>
      </c>
      <c r="S724" s="232">
        <v>0</v>
      </c>
      <c r="T724" s="231" t="s">
        <v>239</v>
      </c>
      <c r="U724" s="232">
        <v>0</v>
      </c>
      <c r="V724" s="230" t="s">
        <v>239</v>
      </c>
      <c r="W724" s="232">
        <v>0</v>
      </c>
      <c r="X724" s="231" t="s">
        <v>239</v>
      </c>
      <c r="Y724" s="232">
        <v>0</v>
      </c>
      <c r="Z724" s="231" t="s">
        <v>239</v>
      </c>
      <c r="AA724" s="232">
        <v>0</v>
      </c>
      <c r="AB724" s="231" t="s">
        <v>239</v>
      </c>
      <c r="AC724" s="232">
        <v>0</v>
      </c>
      <c r="AD724" s="231" t="s">
        <v>239</v>
      </c>
      <c r="AE724" s="232">
        <v>0</v>
      </c>
      <c r="AF724" s="231" t="s">
        <v>239</v>
      </c>
      <c r="AG724" s="232">
        <v>0</v>
      </c>
      <c r="AH724" s="231" t="s">
        <v>239</v>
      </c>
      <c r="AI724" s="232">
        <v>0</v>
      </c>
      <c r="AJ724" s="231" t="s">
        <v>239</v>
      </c>
      <c r="AK724" s="232">
        <v>0</v>
      </c>
      <c r="AL724" s="232" t="s">
        <v>239</v>
      </c>
      <c r="AM724" s="232">
        <v>0</v>
      </c>
    </row>
    <row r="725" spans="1:39" ht="15.75" outlineLevel="1">
      <c r="A725" s="411">
        <v>358</v>
      </c>
      <c r="B725" s="10">
        <v>129358</v>
      </c>
      <c r="C725" s="218" t="s">
        <v>1489</v>
      </c>
      <c r="D725" s="218" t="s">
        <v>1490</v>
      </c>
      <c r="E725" s="23" t="s">
        <v>138</v>
      </c>
      <c r="F725" s="17" t="s">
        <v>45</v>
      </c>
      <c r="G725" s="11" t="s">
        <v>1432</v>
      </c>
      <c r="H725" s="12">
        <v>6</v>
      </c>
      <c r="I725" s="11" t="s">
        <v>1433</v>
      </c>
      <c r="J725" s="193" t="s">
        <v>1442</v>
      </c>
      <c r="K725" s="17" t="s">
        <v>233</v>
      </c>
      <c r="L725" s="17" t="s">
        <v>233</v>
      </c>
      <c r="M725" s="231">
        <v>35</v>
      </c>
      <c r="N725" s="231">
        <v>35</v>
      </c>
      <c r="O725" s="231">
        <v>35</v>
      </c>
      <c r="P725" s="231" t="s">
        <v>239</v>
      </c>
      <c r="Q725" s="231">
        <v>35</v>
      </c>
      <c r="R725" s="231" t="s">
        <v>239</v>
      </c>
      <c r="S725" s="231">
        <v>35</v>
      </c>
      <c r="T725" s="231" t="s">
        <v>239</v>
      </c>
      <c r="U725" s="231">
        <v>35</v>
      </c>
      <c r="V725" s="231" t="s">
        <v>239</v>
      </c>
      <c r="W725" s="231">
        <v>35</v>
      </c>
      <c r="X725" s="231" t="s">
        <v>239</v>
      </c>
      <c r="Y725" s="231">
        <v>35</v>
      </c>
      <c r="Z725" s="231" t="s">
        <v>239</v>
      </c>
      <c r="AA725" s="231">
        <v>35</v>
      </c>
      <c r="AB725" s="231" t="s">
        <v>239</v>
      </c>
      <c r="AC725" s="231">
        <v>35</v>
      </c>
      <c r="AD725" s="231" t="s">
        <v>239</v>
      </c>
      <c r="AE725" s="231">
        <v>35</v>
      </c>
      <c r="AF725" s="231" t="s">
        <v>239</v>
      </c>
      <c r="AG725" s="231">
        <v>35</v>
      </c>
      <c r="AH725" s="231" t="s">
        <v>239</v>
      </c>
      <c r="AI725" s="231">
        <v>35</v>
      </c>
      <c r="AJ725" s="231" t="s">
        <v>239</v>
      </c>
      <c r="AK725" s="231">
        <v>35</v>
      </c>
      <c r="AL725" s="232" t="s">
        <v>239</v>
      </c>
      <c r="AM725" s="232">
        <v>0</v>
      </c>
    </row>
    <row r="726" spans="1:39" ht="15.75" outlineLevel="1">
      <c r="A726" s="412"/>
      <c r="B726" s="10">
        <v>129358</v>
      </c>
      <c r="C726" s="218" t="s">
        <v>1489</v>
      </c>
      <c r="D726" s="218" t="s">
        <v>1490</v>
      </c>
      <c r="E726" s="23" t="s">
        <v>44</v>
      </c>
      <c r="F726" s="17" t="s">
        <v>45</v>
      </c>
      <c r="G726" s="11" t="s">
        <v>1432</v>
      </c>
      <c r="H726" s="12">
        <v>15</v>
      </c>
      <c r="I726" s="11" t="s">
        <v>1433</v>
      </c>
      <c r="J726" s="193" t="s">
        <v>1460</v>
      </c>
      <c r="K726" s="17" t="s">
        <v>233</v>
      </c>
      <c r="L726" s="17" t="s">
        <v>233</v>
      </c>
      <c r="M726" s="231">
        <v>6438</v>
      </c>
      <c r="N726" s="232">
        <v>6359.8426799999997</v>
      </c>
      <c r="O726" s="132">
        <v>468</v>
      </c>
      <c r="P726" s="231" t="s">
        <v>239</v>
      </c>
      <c r="Q726" s="232">
        <v>462.23424</v>
      </c>
      <c r="R726" s="231" t="s">
        <v>239</v>
      </c>
      <c r="S726" s="232">
        <v>456.53951416320001</v>
      </c>
      <c r="T726" s="231" t="s">
        <v>239</v>
      </c>
      <c r="U726" s="232">
        <v>450.9149473487094</v>
      </c>
      <c r="V726" s="231" t="s">
        <v>239</v>
      </c>
      <c r="W726" s="232">
        <v>445.35967519737329</v>
      </c>
      <c r="X726" s="231" t="s">
        <v>239</v>
      </c>
      <c r="Y726" s="232">
        <v>439.87284399894168</v>
      </c>
      <c r="Z726" s="231" t="s">
        <v>239</v>
      </c>
      <c r="AA726" s="232">
        <v>434.45361056087472</v>
      </c>
      <c r="AB726" s="231" t="s">
        <v>239</v>
      </c>
      <c r="AC726" s="232">
        <v>429.10114207876472</v>
      </c>
      <c r="AD726" s="231" t="s">
        <v>239</v>
      </c>
      <c r="AE726" s="232">
        <v>423.81461600835434</v>
      </c>
      <c r="AF726" s="231" t="s">
        <v>239</v>
      </c>
      <c r="AG726" s="232">
        <v>418.59321993913142</v>
      </c>
      <c r="AH726" s="231" t="s">
        <v>239</v>
      </c>
      <c r="AI726" s="232">
        <v>413.43615146948133</v>
      </c>
      <c r="AJ726" s="231" t="s">
        <v>239</v>
      </c>
      <c r="AK726" s="232">
        <v>408.34261808337732</v>
      </c>
      <c r="AL726" s="232" t="s">
        <v>239</v>
      </c>
      <c r="AM726" s="232">
        <v>5250.6625788482088</v>
      </c>
    </row>
    <row r="727" spans="1:39" ht="15.75" outlineLevel="1">
      <c r="A727" s="411">
        <v>359</v>
      </c>
      <c r="B727" s="10">
        <v>129359</v>
      </c>
      <c r="C727" s="218" t="s">
        <v>1489</v>
      </c>
      <c r="D727" s="218" t="s">
        <v>1490</v>
      </c>
      <c r="E727" s="23" t="s">
        <v>138</v>
      </c>
      <c r="F727" s="17" t="s">
        <v>45</v>
      </c>
      <c r="G727" s="11" t="s">
        <v>1432</v>
      </c>
      <c r="H727" s="12">
        <v>19</v>
      </c>
      <c r="I727" s="11" t="s">
        <v>1433</v>
      </c>
      <c r="J727" s="191" t="s">
        <v>216</v>
      </c>
      <c r="K727" s="17" t="s">
        <v>233</v>
      </c>
      <c r="L727" s="17" t="s">
        <v>233</v>
      </c>
      <c r="M727" s="231">
        <v>35</v>
      </c>
      <c r="N727" s="231">
        <v>35</v>
      </c>
      <c r="O727" s="231">
        <v>35</v>
      </c>
      <c r="P727" s="231" t="s">
        <v>239</v>
      </c>
      <c r="Q727" s="231">
        <v>35</v>
      </c>
      <c r="R727" s="231" t="s">
        <v>239</v>
      </c>
      <c r="S727" s="231">
        <v>35</v>
      </c>
      <c r="T727" s="231" t="s">
        <v>239</v>
      </c>
      <c r="U727" s="231">
        <v>35</v>
      </c>
      <c r="V727" s="230" t="s">
        <v>239</v>
      </c>
      <c r="W727" s="231">
        <v>35</v>
      </c>
      <c r="X727" s="231" t="s">
        <v>239</v>
      </c>
      <c r="Y727" s="231">
        <v>35</v>
      </c>
      <c r="Z727" s="231" t="s">
        <v>239</v>
      </c>
      <c r="AA727" s="231">
        <v>35</v>
      </c>
      <c r="AB727" s="231" t="s">
        <v>239</v>
      </c>
      <c r="AC727" s="231">
        <v>35</v>
      </c>
      <c r="AD727" s="231" t="s">
        <v>239</v>
      </c>
      <c r="AE727" s="231">
        <v>35</v>
      </c>
      <c r="AF727" s="231" t="s">
        <v>239</v>
      </c>
      <c r="AG727" s="231">
        <v>35</v>
      </c>
      <c r="AH727" s="231" t="s">
        <v>239</v>
      </c>
      <c r="AI727" s="231">
        <v>35</v>
      </c>
      <c r="AJ727" s="231" t="s">
        <v>239</v>
      </c>
      <c r="AK727" s="231">
        <v>35</v>
      </c>
      <c r="AL727" s="232" t="s">
        <v>239</v>
      </c>
      <c r="AM727" s="232">
        <v>0</v>
      </c>
    </row>
    <row r="728" spans="1:39" ht="15.75" outlineLevel="1">
      <c r="A728" s="412"/>
      <c r="B728" s="10">
        <v>129359</v>
      </c>
      <c r="C728" s="218" t="s">
        <v>1489</v>
      </c>
      <c r="D728" s="218" t="s">
        <v>1490</v>
      </c>
      <c r="E728" s="23" t="s">
        <v>44</v>
      </c>
      <c r="F728" s="17" t="s">
        <v>45</v>
      </c>
      <c r="G728" s="11" t="s">
        <v>1432</v>
      </c>
      <c r="H728" s="12">
        <v>22</v>
      </c>
      <c r="I728" s="11" t="s">
        <v>1433</v>
      </c>
      <c r="J728" s="192" t="s">
        <v>1434</v>
      </c>
      <c r="K728" s="17" t="s">
        <v>233</v>
      </c>
      <c r="L728" s="17" t="s">
        <v>233</v>
      </c>
      <c r="M728" s="231">
        <v>0</v>
      </c>
      <c r="N728" s="232">
        <v>0</v>
      </c>
      <c r="O728" s="132"/>
      <c r="P728" s="231" t="s">
        <v>239</v>
      </c>
      <c r="Q728" s="232">
        <v>0</v>
      </c>
      <c r="R728" s="231" t="s">
        <v>239</v>
      </c>
      <c r="S728" s="232">
        <v>0</v>
      </c>
      <c r="T728" s="231" t="s">
        <v>239</v>
      </c>
      <c r="U728" s="232">
        <v>0</v>
      </c>
      <c r="V728" s="231" t="s">
        <v>239</v>
      </c>
      <c r="W728" s="232">
        <v>0</v>
      </c>
      <c r="X728" s="231" t="s">
        <v>239</v>
      </c>
      <c r="Y728" s="232">
        <v>0</v>
      </c>
      <c r="Z728" s="231" t="s">
        <v>239</v>
      </c>
      <c r="AA728" s="232">
        <v>0</v>
      </c>
      <c r="AB728" s="231" t="s">
        <v>239</v>
      </c>
      <c r="AC728" s="232">
        <v>0</v>
      </c>
      <c r="AD728" s="231" t="s">
        <v>239</v>
      </c>
      <c r="AE728" s="232">
        <v>0</v>
      </c>
      <c r="AF728" s="231" t="s">
        <v>239</v>
      </c>
      <c r="AG728" s="232">
        <v>0</v>
      </c>
      <c r="AH728" s="231" t="s">
        <v>239</v>
      </c>
      <c r="AI728" s="232">
        <v>0</v>
      </c>
      <c r="AJ728" s="231" t="s">
        <v>239</v>
      </c>
      <c r="AK728" s="232">
        <v>0</v>
      </c>
      <c r="AL728" s="232" t="s">
        <v>239</v>
      </c>
      <c r="AM728" s="232">
        <v>0</v>
      </c>
    </row>
    <row r="729" spans="1:39" ht="15.75" outlineLevel="1">
      <c r="A729" s="411">
        <v>360</v>
      </c>
      <c r="B729" s="10">
        <v>129360</v>
      </c>
      <c r="C729" s="218" t="s">
        <v>1489</v>
      </c>
      <c r="D729" s="218" t="s">
        <v>1490</v>
      </c>
      <c r="E729" s="23" t="s">
        <v>44</v>
      </c>
      <c r="F729" s="17" t="s">
        <v>45</v>
      </c>
      <c r="G729" s="11" t="s">
        <v>1432</v>
      </c>
      <c r="H729" s="12">
        <v>24</v>
      </c>
      <c r="I729" s="11" t="s">
        <v>1433</v>
      </c>
      <c r="J729" s="192" t="s">
        <v>1480</v>
      </c>
      <c r="K729" s="17" t="s">
        <v>233</v>
      </c>
      <c r="L729" s="17" t="s">
        <v>233</v>
      </c>
      <c r="M729" s="231">
        <v>100</v>
      </c>
      <c r="N729" s="231">
        <v>100</v>
      </c>
      <c r="O729" s="231">
        <v>100</v>
      </c>
      <c r="P729" s="231" t="s">
        <v>239</v>
      </c>
      <c r="Q729" s="231">
        <v>100</v>
      </c>
      <c r="R729" s="231" t="s">
        <v>239</v>
      </c>
      <c r="S729" s="231">
        <v>100</v>
      </c>
      <c r="T729" s="231" t="s">
        <v>239</v>
      </c>
      <c r="U729" s="231">
        <v>100</v>
      </c>
      <c r="V729" s="231" t="s">
        <v>239</v>
      </c>
      <c r="W729" s="231">
        <v>100</v>
      </c>
      <c r="X729" s="231" t="s">
        <v>239</v>
      </c>
      <c r="Y729" s="231">
        <v>100</v>
      </c>
      <c r="Z729" s="231" t="s">
        <v>239</v>
      </c>
      <c r="AA729" s="231">
        <v>100</v>
      </c>
      <c r="AB729" s="231" t="s">
        <v>239</v>
      </c>
      <c r="AC729" s="231">
        <v>100</v>
      </c>
      <c r="AD729" s="231" t="s">
        <v>239</v>
      </c>
      <c r="AE729" s="231">
        <v>100</v>
      </c>
      <c r="AF729" s="231" t="s">
        <v>239</v>
      </c>
      <c r="AG729" s="231">
        <v>100</v>
      </c>
      <c r="AH729" s="231" t="s">
        <v>239</v>
      </c>
      <c r="AI729" s="231">
        <v>100</v>
      </c>
      <c r="AJ729" s="231" t="s">
        <v>239</v>
      </c>
      <c r="AK729" s="231">
        <v>100</v>
      </c>
      <c r="AL729" s="232" t="s">
        <v>239</v>
      </c>
      <c r="AM729" s="232">
        <v>0</v>
      </c>
    </row>
    <row r="730" spans="1:39" ht="15.75" outlineLevel="1">
      <c r="A730" s="412"/>
      <c r="B730" s="10">
        <v>129360</v>
      </c>
      <c r="C730" s="218" t="s">
        <v>1489</v>
      </c>
      <c r="D730" s="218" t="s">
        <v>1490</v>
      </c>
      <c r="E730" s="23" t="s">
        <v>138</v>
      </c>
      <c r="F730" s="17" t="s">
        <v>45</v>
      </c>
      <c r="G730" s="11" t="s">
        <v>1432</v>
      </c>
      <c r="H730" s="12">
        <v>16</v>
      </c>
      <c r="I730" s="11" t="s">
        <v>1433</v>
      </c>
      <c r="J730" s="192" t="s">
        <v>1452</v>
      </c>
      <c r="K730" s="17" t="s">
        <v>233</v>
      </c>
      <c r="L730" s="17" t="s">
        <v>233</v>
      </c>
      <c r="M730" s="231">
        <v>25993</v>
      </c>
      <c r="N730" s="232">
        <v>25677.44498</v>
      </c>
      <c r="O730" s="132">
        <v>907</v>
      </c>
      <c r="P730" s="231" t="s">
        <v>239</v>
      </c>
      <c r="Q730" s="232">
        <v>895.82575999999995</v>
      </c>
      <c r="R730" s="231" t="s">
        <v>239</v>
      </c>
      <c r="S730" s="232">
        <v>884.78918663679997</v>
      </c>
      <c r="T730" s="231" t="s">
        <v>239</v>
      </c>
      <c r="U730" s="232">
        <v>873.88858385743458</v>
      </c>
      <c r="V730" s="230" t="s">
        <v>239</v>
      </c>
      <c r="W730" s="232">
        <v>863.122276504311</v>
      </c>
      <c r="X730" s="231" t="s">
        <v>239</v>
      </c>
      <c r="Y730" s="232">
        <v>852.48861005777792</v>
      </c>
      <c r="Z730" s="231" t="s">
        <v>239</v>
      </c>
      <c r="AA730" s="232">
        <v>841.98595038186613</v>
      </c>
      <c r="AB730" s="231" t="s">
        <v>239</v>
      </c>
      <c r="AC730" s="232">
        <v>831.6126834731615</v>
      </c>
      <c r="AD730" s="231" t="s">
        <v>239</v>
      </c>
      <c r="AE730" s="232">
        <v>821.36721521277218</v>
      </c>
      <c r="AF730" s="231" t="s">
        <v>239</v>
      </c>
      <c r="AG730" s="232">
        <v>811.24797112135082</v>
      </c>
      <c r="AH730" s="231" t="s">
        <v>239</v>
      </c>
      <c r="AI730" s="232">
        <v>801.25339611713582</v>
      </c>
      <c r="AJ730" s="231" t="s">
        <v>239</v>
      </c>
      <c r="AK730" s="232">
        <v>791.38195427697269</v>
      </c>
      <c r="AL730" s="232" t="s">
        <v>239</v>
      </c>
      <c r="AM730" s="232">
        <v>10175.963587639581</v>
      </c>
    </row>
    <row r="731" spans="1:39" ht="15.75" outlineLevel="1">
      <c r="A731" s="411">
        <v>361</v>
      </c>
      <c r="B731" s="10">
        <v>129361</v>
      </c>
      <c r="C731" s="218" t="s">
        <v>1489</v>
      </c>
      <c r="D731" s="218" t="s">
        <v>1490</v>
      </c>
      <c r="E731" s="23" t="s">
        <v>44</v>
      </c>
      <c r="F731" s="17" t="s">
        <v>45</v>
      </c>
      <c r="G731" s="11" t="s">
        <v>1432</v>
      </c>
      <c r="H731" s="12">
        <v>5</v>
      </c>
      <c r="I731" s="11" t="s">
        <v>1433</v>
      </c>
      <c r="J731" s="374" t="s">
        <v>207</v>
      </c>
      <c r="K731" s="17" t="s">
        <v>233</v>
      </c>
      <c r="L731" s="17" t="s">
        <v>233</v>
      </c>
      <c r="M731" s="231">
        <v>13</v>
      </c>
      <c r="N731" s="231">
        <v>13</v>
      </c>
      <c r="O731" s="231">
        <v>13</v>
      </c>
      <c r="P731" s="231" t="s">
        <v>239</v>
      </c>
      <c r="Q731" s="231">
        <v>13</v>
      </c>
      <c r="R731" s="231" t="s">
        <v>239</v>
      </c>
      <c r="S731" s="231">
        <v>13</v>
      </c>
      <c r="T731" s="231" t="s">
        <v>239</v>
      </c>
      <c r="U731" s="231">
        <v>13</v>
      </c>
      <c r="V731" s="231" t="s">
        <v>239</v>
      </c>
      <c r="W731" s="231">
        <v>13</v>
      </c>
      <c r="X731" s="231" t="s">
        <v>239</v>
      </c>
      <c r="Y731" s="231">
        <v>13</v>
      </c>
      <c r="Z731" s="231" t="s">
        <v>239</v>
      </c>
      <c r="AA731" s="231">
        <v>13</v>
      </c>
      <c r="AB731" s="231" t="s">
        <v>239</v>
      </c>
      <c r="AC731" s="231">
        <v>13</v>
      </c>
      <c r="AD731" s="231" t="s">
        <v>239</v>
      </c>
      <c r="AE731" s="231">
        <v>13</v>
      </c>
      <c r="AF731" s="231" t="s">
        <v>239</v>
      </c>
      <c r="AG731" s="231">
        <v>13</v>
      </c>
      <c r="AH731" s="231" t="s">
        <v>239</v>
      </c>
      <c r="AI731" s="231">
        <v>13</v>
      </c>
      <c r="AJ731" s="231" t="s">
        <v>239</v>
      </c>
      <c r="AK731" s="231">
        <v>13</v>
      </c>
      <c r="AL731" s="232" t="s">
        <v>239</v>
      </c>
      <c r="AM731" s="232">
        <v>0</v>
      </c>
    </row>
    <row r="732" spans="1:39" ht="15.75" outlineLevel="1">
      <c r="A732" s="412"/>
      <c r="B732" s="10">
        <v>129361</v>
      </c>
      <c r="C732" s="218" t="s">
        <v>1489</v>
      </c>
      <c r="D732" s="218" t="s">
        <v>1490</v>
      </c>
      <c r="E732" s="23" t="s">
        <v>138</v>
      </c>
      <c r="F732" s="17" t="s">
        <v>45</v>
      </c>
      <c r="G732" s="11" t="s">
        <v>1432</v>
      </c>
      <c r="H732" s="12">
        <v>17</v>
      </c>
      <c r="I732" s="11" t="s">
        <v>1433</v>
      </c>
      <c r="J732" s="375"/>
      <c r="K732" s="17" t="s">
        <v>233</v>
      </c>
      <c r="L732" s="17" t="s">
        <v>233</v>
      </c>
      <c r="M732" s="231">
        <v>4901</v>
      </c>
      <c r="N732" s="232">
        <v>4841.5018599999994</v>
      </c>
      <c r="O732" s="132">
        <v>288</v>
      </c>
      <c r="P732" s="231" t="s">
        <v>239</v>
      </c>
      <c r="Q732" s="232">
        <v>284.45184</v>
      </c>
      <c r="R732" s="231" t="s">
        <v>239</v>
      </c>
      <c r="S732" s="232">
        <v>280.94739333120003</v>
      </c>
      <c r="T732" s="231" t="s">
        <v>239</v>
      </c>
      <c r="U732" s="232">
        <v>277.48612144535963</v>
      </c>
      <c r="V732" s="231" t="s">
        <v>239</v>
      </c>
      <c r="W732" s="232">
        <v>274.06749242915282</v>
      </c>
      <c r="X732" s="231" t="s">
        <v>239</v>
      </c>
      <c r="Y732" s="232">
        <v>270.69098092242564</v>
      </c>
      <c r="Z732" s="231" t="s">
        <v>239</v>
      </c>
      <c r="AA732" s="232">
        <v>267.35606803746134</v>
      </c>
      <c r="AB732" s="231" t="s">
        <v>239</v>
      </c>
      <c r="AC732" s="232">
        <v>264.0622412792398</v>
      </c>
      <c r="AD732" s="231" t="s">
        <v>239</v>
      </c>
      <c r="AE732" s="232">
        <v>260.80899446667956</v>
      </c>
      <c r="AF732" s="231" t="s">
        <v>239</v>
      </c>
      <c r="AG732" s="232">
        <v>257.5958276548501</v>
      </c>
      <c r="AH732" s="231" t="s">
        <v>239</v>
      </c>
      <c r="AI732" s="232">
        <v>254.42224705814235</v>
      </c>
      <c r="AJ732" s="231" t="s">
        <v>239</v>
      </c>
      <c r="AK732" s="232">
        <v>251.28776497438602</v>
      </c>
      <c r="AL732" s="232" t="s">
        <v>239</v>
      </c>
      <c r="AM732" s="232">
        <v>3231.1769715988967</v>
      </c>
    </row>
    <row r="733" spans="1:39" ht="15.75" outlineLevel="1">
      <c r="A733" s="411">
        <v>362</v>
      </c>
      <c r="B733" s="10">
        <v>129362</v>
      </c>
      <c r="C733" s="218" t="s">
        <v>1489</v>
      </c>
      <c r="D733" s="218" t="s">
        <v>1490</v>
      </c>
      <c r="E733" s="23" t="s">
        <v>44</v>
      </c>
      <c r="F733" s="17" t="s">
        <v>45</v>
      </c>
      <c r="G733" s="11" t="s">
        <v>1432</v>
      </c>
      <c r="H733" s="12">
        <v>19</v>
      </c>
      <c r="I733" s="11" t="s">
        <v>1433</v>
      </c>
      <c r="J733" s="193" t="s">
        <v>1460</v>
      </c>
      <c r="K733" s="17" t="s">
        <v>233</v>
      </c>
      <c r="L733" s="17" t="s">
        <v>233</v>
      </c>
      <c r="M733" s="231">
        <v>10.8</v>
      </c>
      <c r="N733" s="231">
        <v>10.8</v>
      </c>
      <c r="O733" s="231">
        <v>10.8</v>
      </c>
      <c r="P733" s="231" t="s">
        <v>239</v>
      </c>
      <c r="Q733" s="231">
        <v>10.8</v>
      </c>
      <c r="R733" s="231" t="s">
        <v>239</v>
      </c>
      <c r="S733" s="231">
        <v>10.8</v>
      </c>
      <c r="T733" s="231" t="s">
        <v>239</v>
      </c>
      <c r="U733" s="231">
        <v>10.8</v>
      </c>
      <c r="V733" s="230" t="s">
        <v>239</v>
      </c>
      <c r="W733" s="231">
        <v>10.8</v>
      </c>
      <c r="X733" s="231" t="s">
        <v>239</v>
      </c>
      <c r="Y733" s="231">
        <v>10.8</v>
      </c>
      <c r="Z733" s="231" t="s">
        <v>239</v>
      </c>
      <c r="AA733" s="231">
        <v>10.8</v>
      </c>
      <c r="AB733" s="231" t="s">
        <v>239</v>
      </c>
      <c r="AC733" s="231">
        <v>10.8</v>
      </c>
      <c r="AD733" s="231" t="s">
        <v>239</v>
      </c>
      <c r="AE733" s="231">
        <v>10.8</v>
      </c>
      <c r="AF733" s="231" t="s">
        <v>239</v>
      </c>
      <c r="AG733" s="231">
        <v>10.8</v>
      </c>
      <c r="AH733" s="231" t="s">
        <v>239</v>
      </c>
      <c r="AI733" s="231">
        <v>10.8</v>
      </c>
      <c r="AJ733" s="231" t="s">
        <v>239</v>
      </c>
      <c r="AK733" s="231">
        <v>10.8</v>
      </c>
      <c r="AL733" s="232" t="s">
        <v>239</v>
      </c>
      <c r="AM733" s="232">
        <v>0</v>
      </c>
    </row>
    <row r="734" spans="1:39" ht="15.75" outlineLevel="1">
      <c r="A734" s="412"/>
      <c r="B734" s="10">
        <v>129362</v>
      </c>
      <c r="C734" s="218" t="s">
        <v>1489</v>
      </c>
      <c r="D734" s="218" t="s">
        <v>1490</v>
      </c>
      <c r="E734" s="23" t="s">
        <v>44</v>
      </c>
      <c r="F734" s="17" t="s">
        <v>45</v>
      </c>
      <c r="G734" s="11" t="s">
        <v>1432</v>
      </c>
      <c r="H734" s="12">
        <v>18</v>
      </c>
      <c r="I734" s="11" t="s">
        <v>1433</v>
      </c>
      <c r="J734" s="193" t="s">
        <v>1442</v>
      </c>
      <c r="K734" s="17" t="s">
        <v>233</v>
      </c>
      <c r="L734" s="17" t="s">
        <v>233</v>
      </c>
      <c r="M734" s="231">
        <v>18872</v>
      </c>
      <c r="N734" s="232">
        <v>18642.893919999999</v>
      </c>
      <c r="O734" s="132">
        <v>1697</v>
      </c>
      <c r="P734" s="231" t="s">
        <v>239</v>
      </c>
      <c r="Q734" s="232">
        <v>1676.0929599999999</v>
      </c>
      <c r="R734" s="231" t="s">
        <v>239</v>
      </c>
      <c r="S734" s="232">
        <v>1655.4434947328</v>
      </c>
      <c r="T734" s="231" t="s">
        <v>239</v>
      </c>
      <c r="U734" s="232">
        <v>1635.048430877692</v>
      </c>
      <c r="V734" s="231" t="s">
        <v>239</v>
      </c>
      <c r="W734" s="232">
        <v>1614.9046342092788</v>
      </c>
      <c r="X734" s="231" t="s">
        <v>239</v>
      </c>
      <c r="Y734" s="232">
        <v>1595.0090091158204</v>
      </c>
      <c r="Z734" s="231" t="s">
        <v>239</v>
      </c>
      <c r="AA734" s="232">
        <v>1575.3584981235135</v>
      </c>
      <c r="AB734" s="231" t="s">
        <v>239</v>
      </c>
      <c r="AC734" s="232">
        <v>1555.9500814266319</v>
      </c>
      <c r="AD734" s="231" t="s">
        <v>239</v>
      </c>
      <c r="AE734" s="232">
        <v>1536.7807764234558</v>
      </c>
      <c r="AF734" s="231" t="s">
        <v>239</v>
      </c>
      <c r="AG734" s="232">
        <v>1517.8476372579189</v>
      </c>
      <c r="AH734" s="231" t="s">
        <v>239</v>
      </c>
      <c r="AI734" s="232">
        <v>1499.1477543669014</v>
      </c>
      <c r="AJ734" s="231" t="s">
        <v>239</v>
      </c>
      <c r="AK734" s="232">
        <v>1480.6782540331012</v>
      </c>
      <c r="AL734" s="232" t="s">
        <v>239</v>
      </c>
      <c r="AM734" s="232">
        <v>19039.261530567113</v>
      </c>
    </row>
    <row r="735" spans="1:39" ht="15.75" outlineLevel="1">
      <c r="A735" s="411">
        <v>363</v>
      </c>
      <c r="B735" s="10">
        <v>129363</v>
      </c>
      <c r="C735" s="218" t="s">
        <v>1489</v>
      </c>
      <c r="D735" s="218" t="s">
        <v>1490</v>
      </c>
      <c r="E735" s="23" t="s">
        <v>138</v>
      </c>
      <c r="F735" s="17" t="s">
        <v>45</v>
      </c>
      <c r="G735" s="11" t="s">
        <v>1432</v>
      </c>
      <c r="H735" s="12">
        <v>13</v>
      </c>
      <c r="I735" s="11" t="s">
        <v>1433</v>
      </c>
      <c r="J735" s="193" t="s">
        <v>1460</v>
      </c>
      <c r="K735" s="17" t="s">
        <v>233</v>
      </c>
      <c r="L735" s="17" t="s">
        <v>233</v>
      </c>
      <c r="M735" s="231">
        <v>20</v>
      </c>
      <c r="N735" s="231">
        <v>20</v>
      </c>
      <c r="O735" s="231">
        <v>20</v>
      </c>
      <c r="P735" s="231" t="s">
        <v>239</v>
      </c>
      <c r="Q735" s="231">
        <v>20</v>
      </c>
      <c r="R735" s="231" t="s">
        <v>239</v>
      </c>
      <c r="S735" s="231">
        <v>20</v>
      </c>
      <c r="T735" s="231" t="s">
        <v>239</v>
      </c>
      <c r="U735" s="231">
        <v>20</v>
      </c>
      <c r="V735" s="231" t="s">
        <v>239</v>
      </c>
      <c r="W735" s="231">
        <v>20</v>
      </c>
      <c r="X735" s="231" t="s">
        <v>239</v>
      </c>
      <c r="Y735" s="231">
        <v>20</v>
      </c>
      <c r="Z735" s="231" t="s">
        <v>239</v>
      </c>
      <c r="AA735" s="231">
        <v>20</v>
      </c>
      <c r="AB735" s="231" t="s">
        <v>239</v>
      </c>
      <c r="AC735" s="231">
        <v>20</v>
      </c>
      <c r="AD735" s="231" t="s">
        <v>239</v>
      </c>
      <c r="AE735" s="231">
        <v>20</v>
      </c>
      <c r="AF735" s="231" t="s">
        <v>239</v>
      </c>
      <c r="AG735" s="231">
        <v>20</v>
      </c>
      <c r="AH735" s="231" t="s">
        <v>239</v>
      </c>
      <c r="AI735" s="231">
        <v>20</v>
      </c>
      <c r="AJ735" s="231" t="s">
        <v>239</v>
      </c>
      <c r="AK735" s="231">
        <v>20</v>
      </c>
      <c r="AL735" s="232" t="s">
        <v>239</v>
      </c>
      <c r="AM735" s="232">
        <v>0</v>
      </c>
    </row>
    <row r="736" spans="1:39" ht="15.75" outlineLevel="1">
      <c r="A736" s="412"/>
      <c r="B736" s="10">
        <v>129363</v>
      </c>
      <c r="C736" s="218" t="s">
        <v>1489</v>
      </c>
      <c r="D736" s="218" t="s">
        <v>1490</v>
      </c>
      <c r="E736" s="23" t="s">
        <v>44</v>
      </c>
      <c r="F736" s="17" t="s">
        <v>45</v>
      </c>
      <c r="G736" s="11" t="s">
        <v>1432</v>
      </c>
      <c r="H736" s="12">
        <v>44</v>
      </c>
      <c r="I736" s="11" t="s">
        <v>1433</v>
      </c>
      <c r="J736" s="193" t="s">
        <v>1457</v>
      </c>
      <c r="K736" s="17" t="s">
        <v>233</v>
      </c>
      <c r="L736" s="17" t="s">
        <v>233</v>
      </c>
      <c r="M736" s="231">
        <v>4053</v>
      </c>
      <c r="N736" s="232">
        <v>4003.7965799999997</v>
      </c>
      <c r="O736" s="132">
        <v>13</v>
      </c>
      <c r="P736" s="231" t="s">
        <v>239</v>
      </c>
      <c r="Q736" s="232">
        <v>12.839840000000001</v>
      </c>
      <c r="R736" s="231" t="s">
        <v>239</v>
      </c>
      <c r="S736" s="232">
        <v>12.681653171200001</v>
      </c>
      <c r="T736" s="231" t="s">
        <v>239</v>
      </c>
      <c r="U736" s="232">
        <v>12.525415204130816</v>
      </c>
      <c r="V736" s="230" t="s">
        <v>239</v>
      </c>
      <c r="W736" s="232">
        <v>12.371102088815924</v>
      </c>
      <c r="X736" s="231" t="s">
        <v>239</v>
      </c>
      <c r="Y736" s="232">
        <v>12.218690111081711</v>
      </c>
      <c r="Z736" s="231" t="s">
        <v>239</v>
      </c>
      <c r="AA736" s="232">
        <v>12.068155848913184</v>
      </c>
      <c r="AB736" s="231" t="s">
        <v>239</v>
      </c>
      <c r="AC736" s="232">
        <v>11.919476168854574</v>
      </c>
      <c r="AD736" s="231" t="s">
        <v>239</v>
      </c>
      <c r="AE736" s="232">
        <v>11.772628222454285</v>
      </c>
      <c r="AF736" s="231" t="s">
        <v>239</v>
      </c>
      <c r="AG736" s="232">
        <v>11.627589442753649</v>
      </c>
      <c r="AH736" s="231" t="s">
        <v>239</v>
      </c>
      <c r="AI736" s="232">
        <v>11.484337540818924</v>
      </c>
      <c r="AJ736" s="231" t="s">
        <v>239</v>
      </c>
      <c r="AK736" s="232">
        <v>11.342850502316034</v>
      </c>
      <c r="AL736" s="232" t="s">
        <v>239</v>
      </c>
      <c r="AM736" s="232">
        <v>145.85173830133908</v>
      </c>
    </row>
    <row r="737" spans="1:39" ht="15.75" outlineLevel="1">
      <c r="A737" s="411">
        <v>364</v>
      </c>
      <c r="B737" s="10">
        <v>129364</v>
      </c>
      <c r="C737" s="218" t="s">
        <v>1489</v>
      </c>
      <c r="D737" s="218" t="s">
        <v>1490</v>
      </c>
      <c r="E737" s="23" t="s">
        <v>138</v>
      </c>
      <c r="F737" s="17" t="s">
        <v>45</v>
      </c>
      <c r="G737" s="11" t="s">
        <v>1432</v>
      </c>
      <c r="H737" s="12">
        <v>21</v>
      </c>
      <c r="I737" s="11" t="s">
        <v>1433</v>
      </c>
      <c r="J737" s="193" t="s">
        <v>617</v>
      </c>
      <c r="K737" s="17" t="s">
        <v>233</v>
      </c>
      <c r="L737" s="17" t="s">
        <v>233</v>
      </c>
      <c r="M737" s="231">
        <v>54</v>
      </c>
      <c r="N737" s="231">
        <v>54</v>
      </c>
      <c r="O737" s="231">
        <v>54</v>
      </c>
      <c r="P737" s="231" t="s">
        <v>239</v>
      </c>
      <c r="Q737" s="231">
        <v>54</v>
      </c>
      <c r="R737" s="231" t="s">
        <v>239</v>
      </c>
      <c r="S737" s="231">
        <v>54</v>
      </c>
      <c r="T737" s="231" t="s">
        <v>239</v>
      </c>
      <c r="U737" s="231">
        <v>54</v>
      </c>
      <c r="V737" s="231" t="s">
        <v>239</v>
      </c>
      <c r="W737" s="231">
        <v>54</v>
      </c>
      <c r="X737" s="231" t="s">
        <v>239</v>
      </c>
      <c r="Y737" s="231">
        <v>54</v>
      </c>
      <c r="Z737" s="231" t="s">
        <v>239</v>
      </c>
      <c r="AA737" s="231">
        <v>54</v>
      </c>
      <c r="AB737" s="231" t="s">
        <v>239</v>
      </c>
      <c r="AC737" s="231">
        <v>54</v>
      </c>
      <c r="AD737" s="231" t="s">
        <v>239</v>
      </c>
      <c r="AE737" s="231">
        <v>54</v>
      </c>
      <c r="AF737" s="231" t="s">
        <v>239</v>
      </c>
      <c r="AG737" s="231">
        <v>54</v>
      </c>
      <c r="AH737" s="231" t="s">
        <v>239</v>
      </c>
      <c r="AI737" s="231">
        <v>54</v>
      </c>
      <c r="AJ737" s="231" t="s">
        <v>239</v>
      </c>
      <c r="AK737" s="231">
        <v>54</v>
      </c>
      <c r="AL737" s="232" t="s">
        <v>239</v>
      </c>
      <c r="AM737" s="232">
        <v>0</v>
      </c>
    </row>
    <row r="738" spans="1:39" ht="15.75" outlineLevel="1">
      <c r="A738" s="412"/>
      <c r="B738" s="10">
        <v>129364</v>
      </c>
      <c r="C738" s="218" t="s">
        <v>1489</v>
      </c>
      <c r="D738" s="218" t="s">
        <v>1490</v>
      </c>
      <c r="E738" s="23" t="s">
        <v>44</v>
      </c>
      <c r="F738" s="17" t="s">
        <v>45</v>
      </c>
      <c r="G738" s="11" t="s">
        <v>1432</v>
      </c>
      <c r="H738" s="12">
        <v>19</v>
      </c>
      <c r="I738" s="11" t="s">
        <v>1433</v>
      </c>
      <c r="J738" s="193" t="s">
        <v>216</v>
      </c>
      <c r="K738" s="17" t="s">
        <v>233</v>
      </c>
      <c r="L738" s="17" t="s">
        <v>233</v>
      </c>
      <c r="M738" s="231">
        <v>20543</v>
      </c>
      <c r="N738" s="232">
        <v>20293.607980000001</v>
      </c>
      <c r="O738" s="132">
        <v>1347</v>
      </c>
      <c r="P738" s="231" t="s">
        <v>239</v>
      </c>
      <c r="Q738" s="232">
        <v>1330.4049600000001</v>
      </c>
      <c r="R738" s="231" t="s">
        <v>239</v>
      </c>
      <c r="S738" s="232">
        <v>1314.0143708928001</v>
      </c>
      <c r="T738" s="231" t="s">
        <v>239</v>
      </c>
      <c r="U738" s="232">
        <v>1297.8257138434008</v>
      </c>
      <c r="V738" s="231" t="s">
        <v>239</v>
      </c>
      <c r="W738" s="232">
        <v>1281.8365010488501</v>
      </c>
      <c r="X738" s="231" t="s">
        <v>239</v>
      </c>
      <c r="Y738" s="232">
        <v>1266.0442753559282</v>
      </c>
      <c r="Z738" s="231" t="s">
        <v>239</v>
      </c>
      <c r="AA738" s="232">
        <v>1250.4466098835433</v>
      </c>
      <c r="AB738" s="231" t="s">
        <v>239</v>
      </c>
      <c r="AC738" s="232">
        <v>1235.041107649778</v>
      </c>
      <c r="AD738" s="231" t="s">
        <v>239</v>
      </c>
      <c r="AE738" s="232">
        <v>1219.8254012035327</v>
      </c>
      <c r="AF738" s="231" t="s">
        <v>239</v>
      </c>
      <c r="AG738" s="232">
        <v>1204.7971522607052</v>
      </c>
      <c r="AH738" s="231" t="s">
        <v>239</v>
      </c>
      <c r="AI738" s="232">
        <v>1189.9540513448533</v>
      </c>
      <c r="AJ738" s="231" t="s">
        <v>239</v>
      </c>
      <c r="AK738" s="232">
        <v>1175.2938174322846</v>
      </c>
      <c r="AL738" s="232" t="s">
        <v>239</v>
      </c>
      <c r="AM738" s="232">
        <v>15112.483960915677</v>
      </c>
    </row>
    <row r="739" spans="1:39" ht="15.75" outlineLevel="1">
      <c r="A739" s="411">
        <v>365</v>
      </c>
      <c r="B739" s="10">
        <v>129365</v>
      </c>
      <c r="C739" s="218" t="s">
        <v>1489</v>
      </c>
      <c r="D739" s="218" t="s">
        <v>1490</v>
      </c>
      <c r="E739" s="23" t="s">
        <v>44</v>
      </c>
      <c r="F739" s="17" t="s">
        <v>45</v>
      </c>
      <c r="G739" s="11" t="s">
        <v>1432</v>
      </c>
      <c r="H739" s="12">
        <v>30</v>
      </c>
      <c r="I739" s="11" t="s">
        <v>1433</v>
      </c>
      <c r="J739" s="192" t="s">
        <v>1446</v>
      </c>
      <c r="K739" s="17" t="s">
        <v>233</v>
      </c>
      <c r="L739" s="17" t="s">
        <v>233</v>
      </c>
      <c r="M739" s="231">
        <v>4</v>
      </c>
      <c r="N739" s="231">
        <v>4</v>
      </c>
      <c r="O739" s="231">
        <v>4</v>
      </c>
      <c r="P739" s="231" t="s">
        <v>239</v>
      </c>
      <c r="Q739" s="231">
        <v>4</v>
      </c>
      <c r="R739" s="231" t="s">
        <v>239</v>
      </c>
      <c r="S739" s="231">
        <v>4</v>
      </c>
      <c r="T739" s="231" t="s">
        <v>239</v>
      </c>
      <c r="U739" s="231">
        <v>4</v>
      </c>
      <c r="V739" s="230" t="s">
        <v>239</v>
      </c>
      <c r="W739" s="231">
        <v>4</v>
      </c>
      <c r="X739" s="231" t="s">
        <v>239</v>
      </c>
      <c r="Y739" s="231">
        <v>4</v>
      </c>
      <c r="Z739" s="231" t="s">
        <v>239</v>
      </c>
      <c r="AA739" s="231">
        <v>4</v>
      </c>
      <c r="AB739" s="231" t="s">
        <v>239</v>
      </c>
      <c r="AC739" s="231">
        <v>4</v>
      </c>
      <c r="AD739" s="231" t="s">
        <v>239</v>
      </c>
      <c r="AE739" s="231">
        <v>4</v>
      </c>
      <c r="AF739" s="231" t="s">
        <v>239</v>
      </c>
      <c r="AG739" s="231">
        <v>4</v>
      </c>
      <c r="AH739" s="231" t="s">
        <v>239</v>
      </c>
      <c r="AI739" s="231">
        <v>4</v>
      </c>
      <c r="AJ739" s="231" t="s">
        <v>239</v>
      </c>
      <c r="AK739" s="231">
        <v>4</v>
      </c>
      <c r="AL739" s="232" t="s">
        <v>239</v>
      </c>
      <c r="AM739" s="232">
        <v>0</v>
      </c>
    </row>
    <row r="740" spans="1:39" ht="15.75" outlineLevel="1">
      <c r="A740" s="412"/>
      <c r="B740" s="10">
        <v>129365</v>
      </c>
      <c r="C740" s="218" t="s">
        <v>1489</v>
      </c>
      <c r="D740" s="218" t="s">
        <v>1490</v>
      </c>
      <c r="E740" s="23" t="s">
        <v>138</v>
      </c>
      <c r="F740" s="17" t="s">
        <v>45</v>
      </c>
      <c r="G740" s="11" t="s">
        <v>1432</v>
      </c>
      <c r="H740" s="12">
        <v>33</v>
      </c>
      <c r="I740" s="11" t="s">
        <v>1433</v>
      </c>
      <c r="J740" s="192" t="s">
        <v>1481</v>
      </c>
      <c r="K740" s="17" t="s">
        <v>233</v>
      </c>
      <c r="L740" s="17" t="s">
        <v>233</v>
      </c>
      <c r="M740" s="231">
        <v>8648</v>
      </c>
      <c r="N740" s="232">
        <v>8543.0132799999992</v>
      </c>
      <c r="O740" s="132">
        <v>709</v>
      </c>
      <c r="P740" s="231" t="s">
        <v>239</v>
      </c>
      <c r="Q740" s="232">
        <v>700.26512000000002</v>
      </c>
      <c r="R740" s="231" t="s">
        <v>239</v>
      </c>
      <c r="S740" s="232">
        <v>691.63785372159998</v>
      </c>
      <c r="T740" s="231" t="s">
        <v>239</v>
      </c>
      <c r="U740" s="232">
        <v>683.11687536374984</v>
      </c>
      <c r="V740" s="231" t="s">
        <v>239</v>
      </c>
      <c r="W740" s="232">
        <v>674.70087545926845</v>
      </c>
      <c r="X740" s="231" t="s">
        <v>239</v>
      </c>
      <c r="Y740" s="232">
        <v>666.3885606736103</v>
      </c>
      <c r="Z740" s="231" t="s">
        <v>239</v>
      </c>
      <c r="AA740" s="232">
        <v>658.17865360611142</v>
      </c>
      <c r="AB740" s="231" t="s">
        <v>239</v>
      </c>
      <c r="AC740" s="232">
        <v>650.06989259368413</v>
      </c>
      <c r="AD740" s="231" t="s">
        <v>239</v>
      </c>
      <c r="AE740" s="232">
        <v>642.06103151692992</v>
      </c>
      <c r="AF740" s="231" t="s">
        <v>239</v>
      </c>
      <c r="AG740" s="232">
        <v>634.15083960864138</v>
      </c>
      <c r="AH740" s="231" t="s">
        <v>239</v>
      </c>
      <c r="AI740" s="232">
        <v>626.3381012646629</v>
      </c>
      <c r="AJ740" s="231" t="s">
        <v>239</v>
      </c>
      <c r="AK740" s="232">
        <v>618.62161585708225</v>
      </c>
      <c r="AL740" s="232" t="s">
        <v>239</v>
      </c>
      <c r="AM740" s="232">
        <v>7954.5294196653404</v>
      </c>
    </row>
    <row r="741" spans="1:39" ht="15.75" outlineLevel="1">
      <c r="A741" s="411">
        <v>366</v>
      </c>
      <c r="B741" s="10">
        <v>129366</v>
      </c>
      <c r="C741" s="218" t="s">
        <v>1489</v>
      </c>
      <c r="D741" s="218" t="s">
        <v>1490</v>
      </c>
      <c r="E741" s="23" t="s">
        <v>44</v>
      </c>
      <c r="F741" s="17" t="s">
        <v>45</v>
      </c>
      <c r="G741" s="11" t="s">
        <v>1432</v>
      </c>
      <c r="H741" s="12">
        <v>19</v>
      </c>
      <c r="I741" s="11" t="s">
        <v>1433</v>
      </c>
      <c r="J741" s="192" t="s">
        <v>208</v>
      </c>
      <c r="K741" s="17" t="s">
        <v>233</v>
      </c>
      <c r="L741" s="17" t="s">
        <v>233</v>
      </c>
      <c r="M741" s="231">
        <v>6.8</v>
      </c>
      <c r="N741" s="231">
        <v>6.8</v>
      </c>
      <c r="O741" s="231">
        <v>6.8</v>
      </c>
      <c r="P741" s="231" t="s">
        <v>239</v>
      </c>
      <c r="Q741" s="231">
        <v>6.8</v>
      </c>
      <c r="R741" s="231" t="s">
        <v>239</v>
      </c>
      <c r="S741" s="231">
        <v>6.8</v>
      </c>
      <c r="T741" s="231" t="s">
        <v>239</v>
      </c>
      <c r="U741" s="231">
        <v>6.8</v>
      </c>
      <c r="V741" s="231" t="s">
        <v>239</v>
      </c>
      <c r="W741" s="231">
        <v>6.8</v>
      </c>
      <c r="X741" s="231" t="s">
        <v>239</v>
      </c>
      <c r="Y741" s="231">
        <v>6.8</v>
      </c>
      <c r="Z741" s="231" t="s">
        <v>239</v>
      </c>
      <c r="AA741" s="231">
        <v>6.8</v>
      </c>
      <c r="AB741" s="231" t="s">
        <v>239</v>
      </c>
      <c r="AC741" s="231">
        <v>6.8</v>
      </c>
      <c r="AD741" s="231" t="s">
        <v>239</v>
      </c>
      <c r="AE741" s="231">
        <v>6.8</v>
      </c>
      <c r="AF741" s="231" t="s">
        <v>239</v>
      </c>
      <c r="AG741" s="231">
        <v>6.8</v>
      </c>
      <c r="AH741" s="231" t="s">
        <v>239</v>
      </c>
      <c r="AI741" s="231">
        <v>6.8</v>
      </c>
      <c r="AJ741" s="231" t="s">
        <v>239</v>
      </c>
      <c r="AK741" s="231">
        <v>6.8</v>
      </c>
      <c r="AL741" s="232" t="s">
        <v>239</v>
      </c>
      <c r="AM741" s="232">
        <v>0</v>
      </c>
    </row>
    <row r="742" spans="1:39" ht="15.75" outlineLevel="1">
      <c r="A742" s="412"/>
      <c r="B742" s="10">
        <v>129366</v>
      </c>
      <c r="C742" s="218" t="s">
        <v>1489</v>
      </c>
      <c r="D742" s="218" t="s">
        <v>1490</v>
      </c>
      <c r="E742" s="23" t="s">
        <v>138</v>
      </c>
      <c r="F742" s="17" t="s">
        <v>45</v>
      </c>
      <c r="G742" s="11" t="s">
        <v>1432</v>
      </c>
      <c r="H742" s="12">
        <v>6</v>
      </c>
      <c r="I742" s="11" t="s">
        <v>1433</v>
      </c>
      <c r="J742" s="192" t="s">
        <v>1463</v>
      </c>
      <c r="K742" s="17" t="s">
        <v>233</v>
      </c>
      <c r="L742" s="17" t="s">
        <v>233</v>
      </c>
      <c r="M742" s="231">
        <v>6557</v>
      </c>
      <c r="N742" s="232">
        <v>6477.3980199999996</v>
      </c>
      <c r="O742" s="132">
        <v>212</v>
      </c>
      <c r="P742" s="231" t="s">
        <v>239</v>
      </c>
      <c r="Q742" s="232">
        <v>209.38816</v>
      </c>
      <c r="R742" s="231" t="s">
        <v>239</v>
      </c>
      <c r="S742" s="232">
        <v>206.8084978688</v>
      </c>
      <c r="T742" s="231" t="s">
        <v>239</v>
      </c>
      <c r="U742" s="232">
        <v>204.26061717505638</v>
      </c>
      <c r="V742" s="230" t="s">
        <v>239</v>
      </c>
      <c r="W742" s="232">
        <v>201.74412637145969</v>
      </c>
      <c r="X742" s="231" t="s">
        <v>239</v>
      </c>
      <c r="Y742" s="232">
        <v>199.25863873456331</v>
      </c>
      <c r="Z742" s="231" t="s">
        <v>239</v>
      </c>
      <c r="AA742" s="232">
        <v>196.80377230535348</v>
      </c>
      <c r="AB742" s="231" t="s">
        <v>239</v>
      </c>
      <c r="AC742" s="232">
        <v>194.37914983055151</v>
      </c>
      <c r="AD742" s="231" t="s">
        <v>239</v>
      </c>
      <c r="AE742" s="232">
        <v>191.98439870463912</v>
      </c>
      <c r="AF742" s="231" t="s">
        <v>239</v>
      </c>
      <c r="AG742" s="232">
        <v>189.61915091259797</v>
      </c>
      <c r="AH742" s="231" t="s">
        <v>239</v>
      </c>
      <c r="AI742" s="232">
        <v>187.28304297335475</v>
      </c>
      <c r="AJ742" s="231" t="s">
        <v>239</v>
      </c>
      <c r="AK742" s="232">
        <v>184.97571588392302</v>
      </c>
      <c r="AL742" s="232" t="s">
        <v>239</v>
      </c>
      <c r="AM742" s="232">
        <v>2378.505270760299</v>
      </c>
    </row>
    <row r="743" spans="1:39" ht="15.75" outlineLevel="1">
      <c r="A743" s="411">
        <v>367</v>
      </c>
      <c r="B743" s="10">
        <v>129367</v>
      </c>
      <c r="C743" s="218" t="s">
        <v>1489</v>
      </c>
      <c r="D743" s="218" t="s">
        <v>1490</v>
      </c>
      <c r="E743" s="23" t="s">
        <v>44</v>
      </c>
      <c r="F743" s="17" t="s">
        <v>45</v>
      </c>
      <c r="G743" s="11" t="s">
        <v>1432</v>
      </c>
      <c r="H743" s="12">
        <v>15</v>
      </c>
      <c r="I743" s="11" t="s">
        <v>1433</v>
      </c>
      <c r="J743" s="192" t="s">
        <v>1482</v>
      </c>
      <c r="K743" s="17" t="s">
        <v>233</v>
      </c>
      <c r="L743" s="17" t="s">
        <v>233</v>
      </c>
      <c r="M743" s="231">
        <v>25</v>
      </c>
      <c r="N743" s="231">
        <v>25</v>
      </c>
      <c r="O743" s="231">
        <v>25</v>
      </c>
      <c r="P743" s="231" t="s">
        <v>239</v>
      </c>
      <c r="Q743" s="231">
        <v>25</v>
      </c>
      <c r="R743" s="231" t="s">
        <v>239</v>
      </c>
      <c r="S743" s="231">
        <v>25</v>
      </c>
      <c r="T743" s="231" t="s">
        <v>239</v>
      </c>
      <c r="U743" s="231">
        <v>25</v>
      </c>
      <c r="V743" s="231" t="s">
        <v>239</v>
      </c>
      <c r="W743" s="231">
        <v>25</v>
      </c>
      <c r="X743" s="231" t="s">
        <v>239</v>
      </c>
      <c r="Y743" s="231">
        <v>25</v>
      </c>
      <c r="Z743" s="231" t="s">
        <v>239</v>
      </c>
      <c r="AA743" s="231">
        <v>25</v>
      </c>
      <c r="AB743" s="231" t="s">
        <v>239</v>
      </c>
      <c r="AC743" s="231">
        <v>25</v>
      </c>
      <c r="AD743" s="231" t="s">
        <v>239</v>
      </c>
      <c r="AE743" s="231">
        <v>25</v>
      </c>
      <c r="AF743" s="231" t="s">
        <v>239</v>
      </c>
      <c r="AG743" s="231">
        <v>25</v>
      </c>
      <c r="AH743" s="231" t="s">
        <v>239</v>
      </c>
      <c r="AI743" s="231">
        <v>25</v>
      </c>
      <c r="AJ743" s="231" t="s">
        <v>239</v>
      </c>
      <c r="AK743" s="231">
        <v>25</v>
      </c>
      <c r="AL743" s="232" t="s">
        <v>239</v>
      </c>
      <c r="AM743" s="232">
        <v>0</v>
      </c>
    </row>
    <row r="744" spans="1:39" ht="15.75" outlineLevel="1">
      <c r="A744" s="412"/>
      <c r="B744" s="10">
        <v>129367</v>
      </c>
      <c r="C744" s="218" t="s">
        <v>1489</v>
      </c>
      <c r="D744" s="218" t="s">
        <v>1490</v>
      </c>
      <c r="E744" s="23" t="s">
        <v>44</v>
      </c>
      <c r="F744" s="17" t="s">
        <v>45</v>
      </c>
      <c r="G744" s="11" t="s">
        <v>1432</v>
      </c>
      <c r="H744" s="12">
        <v>19</v>
      </c>
      <c r="I744" s="11" t="s">
        <v>1433</v>
      </c>
      <c r="J744" s="192" t="s">
        <v>1462</v>
      </c>
      <c r="K744" s="17" t="s">
        <v>233</v>
      </c>
      <c r="L744" s="17" t="s">
        <v>233</v>
      </c>
      <c r="M744" s="231">
        <v>5735</v>
      </c>
      <c r="N744" s="232">
        <v>5665.3770999999997</v>
      </c>
      <c r="O744" s="132">
        <v>148</v>
      </c>
      <c r="P744" s="231" t="s">
        <v>239</v>
      </c>
      <c r="Q744" s="232">
        <v>146.17663999999999</v>
      </c>
      <c r="R744" s="231" t="s">
        <v>239</v>
      </c>
      <c r="S744" s="232">
        <v>144.37574379519998</v>
      </c>
      <c r="T744" s="231" t="s">
        <v>239</v>
      </c>
      <c r="U744" s="232">
        <v>142.59703463164311</v>
      </c>
      <c r="V744" s="231" t="s">
        <v>239</v>
      </c>
      <c r="W744" s="232">
        <v>140.84023916498126</v>
      </c>
      <c r="X744" s="231" t="s">
        <v>239</v>
      </c>
      <c r="Y744" s="232">
        <v>139.10508741846868</v>
      </c>
      <c r="Z744" s="231" t="s">
        <v>239</v>
      </c>
      <c r="AA744" s="232">
        <v>137.39131274147314</v>
      </c>
      <c r="AB744" s="231" t="s">
        <v>239</v>
      </c>
      <c r="AC744" s="232">
        <v>135.69865176849819</v>
      </c>
      <c r="AD744" s="231" t="s">
        <v>239</v>
      </c>
      <c r="AE744" s="232">
        <v>134.02684437871031</v>
      </c>
      <c r="AF744" s="231" t="s">
        <v>239</v>
      </c>
      <c r="AG744" s="232">
        <v>132.37563365596461</v>
      </c>
      <c r="AH744" s="231" t="s">
        <v>239</v>
      </c>
      <c r="AI744" s="232">
        <v>130.74476584932313</v>
      </c>
      <c r="AJ744" s="231" t="s">
        <v>239</v>
      </c>
      <c r="AK744" s="232">
        <v>129.13399033405946</v>
      </c>
      <c r="AL744" s="232" t="s">
        <v>239</v>
      </c>
      <c r="AM744" s="232">
        <v>1660.465943738322</v>
      </c>
    </row>
    <row r="745" spans="1:39" ht="15.75" outlineLevel="1">
      <c r="A745" s="411">
        <v>368</v>
      </c>
      <c r="B745" s="10">
        <v>129368</v>
      </c>
      <c r="C745" s="218" t="s">
        <v>1489</v>
      </c>
      <c r="D745" s="218" t="s">
        <v>1490</v>
      </c>
      <c r="E745" s="23" t="s">
        <v>138</v>
      </c>
      <c r="F745" s="17" t="s">
        <v>45</v>
      </c>
      <c r="G745" s="11" t="s">
        <v>1432</v>
      </c>
      <c r="H745" s="12">
        <v>22</v>
      </c>
      <c r="I745" s="11" t="s">
        <v>1433</v>
      </c>
      <c r="J745" s="192" t="s">
        <v>1457</v>
      </c>
      <c r="K745" s="17" t="s">
        <v>233</v>
      </c>
      <c r="L745" s="17" t="s">
        <v>233</v>
      </c>
      <c r="M745" s="231">
        <v>15</v>
      </c>
      <c r="N745" s="231">
        <v>15</v>
      </c>
      <c r="O745" s="231">
        <v>15</v>
      </c>
      <c r="P745" s="231" t="s">
        <v>239</v>
      </c>
      <c r="Q745" s="231">
        <v>15</v>
      </c>
      <c r="R745" s="231" t="s">
        <v>239</v>
      </c>
      <c r="S745" s="231">
        <v>15</v>
      </c>
      <c r="T745" s="231" t="s">
        <v>239</v>
      </c>
      <c r="U745" s="231">
        <v>15</v>
      </c>
      <c r="V745" s="230" t="s">
        <v>239</v>
      </c>
      <c r="W745" s="231">
        <v>15</v>
      </c>
      <c r="X745" s="231" t="s">
        <v>239</v>
      </c>
      <c r="Y745" s="231">
        <v>15</v>
      </c>
      <c r="Z745" s="231" t="s">
        <v>239</v>
      </c>
      <c r="AA745" s="231">
        <v>15</v>
      </c>
      <c r="AB745" s="231" t="s">
        <v>239</v>
      </c>
      <c r="AC745" s="231">
        <v>15</v>
      </c>
      <c r="AD745" s="231" t="s">
        <v>239</v>
      </c>
      <c r="AE745" s="231">
        <v>15</v>
      </c>
      <c r="AF745" s="231" t="s">
        <v>239</v>
      </c>
      <c r="AG745" s="231">
        <v>15</v>
      </c>
      <c r="AH745" s="231" t="s">
        <v>239</v>
      </c>
      <c r="AI745" s="231">
        <v>15</v>
      </c>
      <c r="AJ745" s="231" t="s">
        <v>239</v>
      </c>
      <c r="AK745" s="231">
        <v>15</v>
      </c>
      <c r="AL745" s="232" t="s">
        <v>239</v>
      </c>
      <c r="AM745" s="232">
        <v>0</v>
      </c>
    </row>
    <row r="746" spans="1:39" ht="15.75" outlineLevel="1">
      <c r="A746" s="412"/>
      <c r="B746" s="10">
        <v>129368</v>
      </c>
      <c r="C746" s="218" t="s">
        <v>1489</v>
      </c>
      <c r="D746" s="218" t="s">
        <v>1490</v>
      </c>
      <c r="E746" s="23" t="s">
        <v>44</v>
      </c>
      <c r="F746" s="17" t="s">
        <v>45</v>
      </c>
      <c r="G746" s="11" t="s">
        <v>1432</v>
      </c>
      <c r="H746" s="12">
        <v>24</v>
      </c>
      <c r="I746" s="11" t="s">
        <v>1433</v>
      </c>
      <c r="J746" s="192" t="s">
        <v>617</v>
      </c>
      <c r="K746" s="17" t="s">
        <v>233</v>
      </c>
      <c r="L746" s="17" t="s">
        <v>233</v>
      </c>
      <c r="M746" s="231">
        <v>6091</v>
      </c>
      <c r="N746" s="232">
        <v>6017.0552600000001</v>
      </c>
      <c r="O746" s="132">
        <v>249</v>
      </c>
      <c r="P746" s="231" t="s">
        <v>239</v>
      </c>
      <c r="Q746" s="232">
        <v>245.93232</v>
      </c>
      <c r="R746" s="231" t="s">
        <v>239</v>
      </c>
      <c r="S746" s="232">
        <v>242.90243381760001</v>
      </c>
      <c r="T746" s="231" t="s">
        <v>239</v>
      </c>
      <c r="U746" s="232">
        <v>239.90987583296717</v>
      </c>
      <c r="V746" s="231" t="s">
        <v>239</v>
      </c>
      <c r="W746" s="232">
        <v>236.95418616270501</v>
      </c>
      <c r="X746" s="231" t="s">
        <v>239</v>
      </c>
      <c r="Y746" s="232">
        <v>234.0349105891805</v>
      </c>
      <c r="Z746" s="231" t="s">
        <v>239</v>
      </c>
      <c r="AA746" s="232">
        <v>231.15160049072179</v>
      </c>
      <c r="AB746" s="231" t="s">
        <v>239</v>
      </c>
      <c r="AC746" s="232">
        <v>228.30381277267611</v>
      </c>
      <c r="AD746" s="231" t="s">
        <v>239</v>
      </c>
      <c r="AE746" s="232">
        <v>225.49110979931675</v>
      </c>
      <c r="AF746" s="231" t="s">
        <v>239</v>
      </c>
      <c r="AG746" s="232">
        <v>222.71305932658916</v>
      </c>
      <c r="AH746" s="231" t="s">
        <v>239</v>
      </c>
      <c r="AI746" s="232">
        <v>219.96923443568559</v>
      </c>
      <c r="AJ746" s="231" t="s">
        <v>239</v>
      </c>
      <c r="AK746" s="232">
        <v>217.25921346743795</v>
      </c>
      <c r="AL746" s="232" t="s">
        <v>239</v>
      </c>
      <c r="AM746" s="232">
        <v>2793.6217566948799</v>
      </c>
    </row>
    <row r="747" spans="1:39" ht="15.75" outlineLevel="1">
      <c r="A747" s="411">
        <v>369</v>
      </c>
      <c r="B747" s="10">
        <v>129369</v>
      </c>
      <c r="C747" s="218" t="s">
        <v>1489</v>
      </c>
      <c r="D747" s="218" t="s">
        <v>1490</v>
      </c>
      <c r="E747" s="23" t="s">
        <v>138</v>
      </c>
      <c r="F747" s="17" t="s">
        <v>45</v>
      </c>
      <c r="G747" s="11" t="s">
        <v>1432</v>
      </c>
      <c r="H747" s="12">
        <v>16</v>
      </c>
      <c r="I747" s="11" t="s">
        <v>1433</v>
      </c>
      <c r="J747" s="374" t="s">
        <v>1457</v>
      </c>
      <c r="K747" s="17" t="s">
        <v>233</v>
      </c>
      <c r="L747" s="17" t="s">
        <v>233</v>
      </c>
      <c r="M747" s="231">
        <v>1.5</v>
      </c>
      <c r="N747" s="231">
        <v>1.5</v>
      </c>
      <c r="O747" s="231">
        <v>1.5</v>
      </c>
      <c r="P747" s="231" t="s">
        <v>239</v>
      </c>
      <c r="Q747" s="231">
        <v>1.5</v>
      </c>
      <c r="R747" s="231" t="s">
        <v>239</v>
      </c>
      <c r="S747" s="231">
        <v>1.5</v>
      </c>
      <c r="T747" s="231" t="s">
        <v>239</v>
      </c>
      <c r="U747" s="231">
        <v>1.5</v>
      </c>
      <c r="V747" s="231" t="s">
        <v>239</v>
      </c>
      <c r="W747" s="231">
        <v>1.5</v>
      </c>
      <c r="X747" s="231" t="s">
        <v>239</v>
      </c>
      <c r="Y747" s="231">
        <v>1.5</v>
      </c>
      <c r="Z747" s="231" t="s">
        <v>239</v>
      </c>
      <c r="AA747" s="231">
        <v>1.5</v>
      </c>
      <c r="AB747" s="231" t="s">
        <v>239</v>
      </c>
      <c r="AC747" s="231">
        <v>1.5</v>
      </c>
      <c r="AD747" s="231" t="s">
        <v>239</v>
      </c>
      <c r="AE747" s="231">
        <v>1.5</v>
      </c>
      <c r="AF747" s="231" t="s">
        <v>239</v>
      </c>
      <c r="AG747" s="231">
        <v>1.5</v>
      </c>
      <c r="AH747" s="231" t="s">
        <v>239</v>
      </c>
      <c r="AI747" s="231">
        <v>1.5</v>
      </c>
      <c r="AJ747" s="231" t="s">
        <v>239</v>
      </c>
      <c r="AK747" s="231">
        <v>1.5</v>
      </c>
      <c r="AL747" s="232" t="s">
        <v>239</v>
      </c>
      <c r="AM747" s="232">
        <v>0</v>
      </c>
    </row>
    <row r="748" spans="1:39" ht="15.75" outlineLevel="1">
      <c r="A748" s="412"/>
      <c r="B748" s="10">
        <v>129369</v>
      </c>
      <c r="C748" s="218" t="s">
        <v>1489</v>
      </c>
      <c r="D748" s="218" t="s">
        <v>1490</v>
      </c>
      <c r="E748" s="23" t="s">
        <v>44</v>
      </c>
      <c r="F748" s="17" t="s">
        <v>45</v>
      </c>
      <c r="G748" s="11" t="s">
        <v>1432</v>
      </c>
      <c r="H748" s="12">
        <v>15</v>
      </c>
      <c r="I748" s="11" t="s">
        <v>1433</v>
      </c>
      <c r="J748" s="375"/>
      <c r="K748" s="17" t="s">
        <v>233</v>
      </c>
      <c r="L748" s="17" t="s">
        <v>233</v>
      </c>
      <c r="M748" s="231">
        <v>2669</v>
      </c>
      <c r="N748" s="232">
        <v>2636.59834</v>
      </c>
      <c r="O748" s="132">
        <v>535</v>
      </c>
      <c r="P748" s="231" t="s">
        <v>239</v>
      </c>
      <c r="Q748" s="232">
        <v>528.40880000000004</v>
      </c>
      <c r="R748" s="231" t="s">
        <v>239</v>
      </c>
      <c r="S748" s="232">
        <v>521.89880358400001</v>
      </c>
      <c r="T748" s="231" t="s">
        <v>239</v>
      </c>
      <c r="U748" s="232">
        <v>515.46901032384517</v>
      </c>
      <c r="V748" s="230" t="s">
        <v>239</v>
      </c>
      <c r="W748" s="232">
        <v>509.11843211665541</v>
      </c>
      <c r="X748" s="231" t="s">
        <v>239</v>
      </c>
      <c r="Y748" s="232">
        <v>502.84609303297822</v>
      </c>
      <c r="Z748" s="231" t="s">
        <v>239</v>
      </c>
      <c r="AA748" s="232">
        <v>496.65102916681195</v>
      </c>
      <c r="AB748" s="231" t="s">
        <v>239</v>
      </c>
      <c r="AC748" s="232">
        <v>490.53228848747682</v>
      </c>
      <c r="AD748" s="231" t="s">
        <v>239</v>
      </c>
      <c r="AE748" s="232">
        <v>484.48893069331109</v>
      </c>
      <c r="AF748" s="231" t="s">
        <v>239</v>
      </c>
      <c r="AG748" s="232">
        <v>478.52002706716951</v>
      </c>
      <c r="AH748" s="231" t="s">
        <v>239</v>
      </c>
      <c r="AI748" s="232">
        <v>472.62466033370197</v>
      </c>
      <c r="AJ748" s="231" t="s">
        <v>239</v>
      </c>
      <c r="AK748" s="232">
        <v>466.80192451839076</v>
      </c>
      <c r="AL748" s="232" t="s">
        <v>239</v>
      </c>
      <c r="AM748" s="232">
        <v>6002.3599993243406</v>
      </c>
    </row>
    <row r="749" spans="1:39" ht="15.75" outlineLevel="1">
      <c r="A749" s="411">
        <v>370</v>
      </c>
      <c r="B749" s="10">
        <v>129370</v>
      </c>
      <c r="C749" s="218" t="s">
        <v>1489</v>
      </c>
      <c r="D749" s="218" t="s">
        <v>1490</v>
      </c>
      <c r="E749" s="23" t="s">
        <v>44</v>
      </c>
      <c r="F749" s="17" t="s">
        <v>45</v>
      </c>
      <c r="G749" s="11" t="s">
        <v>1432</v>
      </c>
      <c r="H749" s="12">
        <v>19</v>
      </c>
      <c r="I749" s="11" t="s">
        <v>1433</v>
      </c>
      <c r="J749" s="193" t="s">
        <v>1460</v>
      </c>
      <c r="K749" s="17" t="s">
        <v>233</v>
      </c>
      <c r="L749" s="17" t="s">
        <v>233</v>
      </c>
      <c r="M749" s="231">
        <v>1.7</v>
      </c>
      <c r="N749" s="231">
        <v>1.7</v>
      </c>
      <c r="O749" s="231">
        <v>1.7</v>
      </c>
      <c r="P749" s="231" t="s">
        <v>239</v>
      </c>
      <c r="Q749" s="231">
        <v>1.7</v>
      </c>
      <c r="R749" s="231" t="s">
        <v>239</v>
      </c>
      <c r="S749" s="231">
        <v>1.7</v>
      </c>
      <c r="T749" s="231" t="s">
        <v>239</v>
      </c>
      <c r="U749" s="231">
        <v>1.7</v>
      </c>
      <c r="V749" s="231" t="s">
        <v>239</v>
      </c>
      <c r="W749" s="231">
        <v>1.7</v>
      </c>
      <c r="X749" s="231" t="s">
        <v>239</v>
      </c>
      <c r="Y749" s="231">
        <v>1.7</v>
      </c>
      <c r="Z749" s="231" t="s">
        <v>239</v>
      </c>
      <c r="AA749" s="231">
        <v>1.7</v>
      </c>
      <c r="AB749" s="231" t="s">
        <v>239</v>
      </c>
      <c r="AC749" s="231">
        <v>1.7</v>
      </c>
      <c r="AD749" s="231" t="s">
        <v>239</v>
      </c>
      <c r="AE749" s="231">
        <v>1.7</v>
      </c>
      <c r="AF749" s="231" t="s">
        <v>239</v>
      </c>
      <c r="AG749" s="231">
        <v>1.7</v>
      </c>
      <c r="AH749" s="231" t="s">
        <v>239</v>
      </c>
      <c r="AI749" s="231">
        <v>1.7</v>
      </c>
      <c r="AJ749" s="231" t="s">
        <v>239</v>
      </c>
      <c r="AK749" s="231">
        <v>1.7</v>
      </c>
      <c r="AL749" s="232" t="s">
        <v>239</v>
      </c>
      <c r="AM749" s="232">
        <v>0</v>
      </c>
    </row>
    <row r="750" spans="1:39" ht="15.75" outlineLevel="1">
      <c r="A750" s="412"/>
      <c r="B750" s="10">
        <v>129370</v>
      </c>
      <c r="C750" s="218" t="s">
        <v>1489</v>
      </c>
      <c r="D750" s="218" t="s">
        <v>1490</v>
      </c>
      <c r="E750" s="23" t="s">
        <v>44</v>
      </c>
      <c r="F750" s="17" t="s">
        <v>45</v>
      </c>
      <c r="G750" s="11" t="s">
        <v>1432</v>
      </c>
      <c r="H750" s="12">
        <v>22</v>
      </c>
      <c r="I750" s="11" t="s">
        <v>1433</v>
      </c>
      <c r="J750" s="193" t="s">
        <v>1442</v>
      </c>
      <c r="K750" s="17" t="s">
        <v>233</v>
      </c>
      <c r="L750" s="17" t="s">
        <v>233</v>
      </c>
      <c r="M750" s="231">
        <v>8362</v>
      </c>
      <c r="N750" s="232">
        <v>8260.4853199999998</v>
      </c>
      <c r="O750" s="132">
        <v>512</v>
      </c>
      <c r="P750" s="231" t="s">
        <v>239</v>
      </c>
      <c r="Q750" s="232">
        <v>505.69216</v>
      </c>
      <c r="R750" s="231" t="s">
        <v>239</v>
      </c>
      <c r="S750" s="232">
        <v>499.46203258880001</v>
      </c>
      <c r="T750" s="231" t="s">
        <v>239</v>
      </c>
      <c r="U750" s="232">
        <v>493.30866034730599</v>
      </c>
      <c r="V750" s="231" t="s">
        <v>239</v>
      </c>
      <c r="W750" s="232">
        <v>487.23109765182716</v>
      </c>
      <c r="X750" s="231" t="s">
        <v>239</v>
      </c>
      <c r="Y750" s="232">
        <v>481.22841052875663</v>
      </c>
      <c r="Z750" s="231" t="s">
        <v>239</v>
      </c>
      <c r="AA750" s="232">
        <v>475.29967651104232</v>
      </c>
      <c r="AB750" s="231" t="s">
        <v>239</v>
      </c>
      <c r="AC750" s="232">
        <v>469.44398449642625</v>
      </c>
      <c r="AD750" s="231" t="s">
        <v>239</v>
      </c>
      <c r="AE750" s="232">
        <v>463.66043460743026</v>
      </c>
      <c r="AF750" s="231" t="s">
        <v>239</v>
      </c>
      <c r="AG750" s="232">
        <v>457.94813805306671</v>
      </c>
      <c r="AH750" s="231" t="s">
        <v>239</v>
      </c>
      <c r="AI750" s="232">
        <v>452.30621699225293</v>
      </c>
      <c r="AJ750" s="231" t="s">
        <v>239</v>
      </c>
      <c r="AK750" s="232">
        <v>446.73380439890838</v>
      </c>
      <c r="AL750" s="232" t="s">
        <v>239</v>
      </c>
      <c r="AM750" s="232">
        <v>5744.3146161758177</v>
      </c>
    </row>
    <row r="751" spans="1:39" ht="15.75" outlineLevel="1">
      <c r="A751" s="411">
        <v>371</v>
      </c>
      <c r="B751" s="10">
        <v>129371</v>
      </c>
      <c r="C751" s="218" t="s">
        <v>1489</v>
      </c>
      <c r="D751" s="218" t="s">
        <v>1490</v>
      </c>
      <c r="E751" s="23" t="s">
        <v>138</v>
      </c>
      <c r="F751" s="17" t="s">
        <v>45</v>
      </c>
      <c r="G751" s="11" t="s">
        <v>1432</v>
      </c>
      <c r="H751" s="12">
        <v>24</v>
      </c>
      <c r="I751" s="11" t="s">
        <v>1433</v>
      </c>
      <c r="J751" s="193" t="s">
        <v>1460</v>
      </c>
      <c r="K751" s="17" t="s">
        <v>233</v>
      </c>
      <c r="L751" s="17" t="s">
        <v>233</v>
      </c>
      <c r="M751" s="231">
        <v>1.7</v>
      </c>
      <c r="N751" s="231">
        <v>1.7</v>
      </c>
      <c r="O751" s="231">
        <v>1.7</v>
      </c>
      <c r="P751" s="231" t="s">
        <v>239</v>
      </c>
      <c r="Q751" s="231">
        <v>1.7</v>
      </c>
      <c r="R751" s="231" t="s">
        <v>239</v>
      </c>
      <c r="S751" s="231">
        <v>1.7</v>
      </c>
      <c r="T751" s="231" t="s">
        <v>239</v>
      </c>
      <c r="U751" s="231">
        <v>1.7</v>
      </c>
      <c r="V751" s="230" t="s">
        <v>239</v>
      </c>
      <c r="W751" s="231">
        <v>1.7</v>
      </c>
      <c r="X751" s="231" t="s">
        <v>239</v>
      </c>
      <c r="Y751" s="231">
        <v>1.7</v>
      </c>
      <c r="Z751" s="231" t="s">
        <v>239</v>
      </c>
      <c r="AA751" s="231">
        <v>1.7</v>
      </c>
      <c r="AB751" s="231" t="s">
        <v>239</v>
      </c>
      <c r="AC751" s="231">
        <v>1.7</v>
      </c>
      <c r="AD751" s="231" t="s">
        <v>239</v>
      </c>
      <c r="AE751" s="231">
        <v>1.7</v>
      </c>
      <c r="AF751" s="231" t="s">
        <v>239</v>
      </c>
      <c r="AG751" s="231">
        <v>1.7</v>
      </c>
      <c r="AH751" s="231" t="s">
        <v>239</v>
      </c>
      <c r="AI751" s="231">
        <v>1.7</v>
      </c>
      <c r="AJ751" s="231" t="s">
        <v>239</v>
      </c>
      <c r="AK751" s="231">
        <v>1.7</v>
      </c>
      <c r="AL751" s="232" t="s">
        <v>239</v>
      </c>
      <c r="AM751" s="232">
        <v>0</v>
      </c>
    </row>
    <row r="752" spans="1:39" ht="15.75" outlineLevel="1">
      <c r="A752" s="412"/>
      <c r="B752" s="10">
        <v>129371</v>
      </c>
      <c r="C752" s="218" t="s">
        <v>1489</v>
      </c>
      <c r="D752" s="218" t="s">
        <v>1490</v>
      </c>
      <c r="E752" s="23" t="s">
        <v>44</v>
      </c>
      <c r="F752" s="17" t="s">
        <v>45</v>
      </c>
      <c r="G752" s="11" t="s">
        <v>1432</v>
      </c>
      <c r="H752" s="12">
        <v>16</v>
      </c>
      <c r="I752" s="11" t="s">
        <v>1433</v>
      </c>
      <c r="J752" s="193" t="s">
        <v>1457</v>
      </c>
      <c r="K752" s="17" t="s">
        <v>233</v>
      </c>
      <c r="L752" s="17" t="s">
        <v>233</v>
      </c>
      <c r="M752" s="231">
        <v>0</v>
      </c>
      <c r="N752" s="232">
        <v>0</v>
      </c>
      <c r="O752" s="132"/>
      <c r="P752" s="231" t="s">
        <v>239</v>
      </c>
      <c r="Q752" s="232">
        <v>0</v>
      </c>
      <c r="R752" s="231" t="s">
        <v>239</v>
      </c>
      <c r="S752" s="232">
        <v>0</v>
      </c>
      <c r="T752" s="231" t="s">
        <v>239</v>
      </c>
      <c r="U752" s="232">
        <v>0</v>
      </c>
      <c r="V752" s="231" t="s">
        <v>239</v>
      </c>
      <c r="W752" s="232">
        <v>0</v>
      </c>
      <c r="X752" s="231" t="s">
        <v>239</v>
      </c>
      <c r="Y752" s="232">
        <v>0</v>
      </c>
      <c r="Z752" s="231" t="s">
        <v>239</v>
      </c>
      <c r="AA752" s="232">
        <v>0</v>
      </c>
      <c r="AB752" s="231" t="s">
        <v>239</v>
      </c>
      <c r="AC752" s="232">
        <v>0</v>
      </c>
      <c r="AD752" s="231" t="s">
        <v>239</v>
      </c>
      <c r="AE752" s="232">
        <v>0</v>
      </c>
      <c r="AF752" s="231" t="s">
        <v>239</v>
      </c>
      <c r="AG752" s="232">
        <v>0</v>
      </c>
      <c r="AH752" s="231" t="s">
        <v>239</v>
      </c>
      <c r="AI752" s="232">
        <v>0</v>
      </c>
      <c r="AJ752" s="231" t="s">
        <v>239</v>
      </c>
      <c r="AK752" s="232">
        <v>0</v>
      </c>
      <c r="AL752" s="232" t="s">
        <v>239</v>
      </c>
      <c r="AM752" s="232">
        <v>0</v>
      </c>
    </row>
    <row r="753" spans="1:39" ht="15.75" outlineLevel="1">
      <c r="A753" s="411">
        <v>372</v>
      </c>
      <c r="B753" s="10">
        <v>129372</v>
      </c>
      <c r="C753" s="218" t="s">
        <v>1489</v>
      </c>
      <c r="D753" s="218" t="s">
        <v>1490</v>
      </c>
      <c r="E753" s="23" t="s">
        <v>138</v>
      </c>
      <c r="F753" s="17" t="s">
        <v>45</v>
      </c>
      <c r="G753" s="11" t="s">
        <v>1432</v>
      </c>
      <c r="H753" s="12">
        <v>5</v>
      </c>
      <c r="I753" s="11" t="s">
        <v>1433</v>
      </c>
      <c r="J753" s="193" t="s">
        <v>617</v>
      </c>
      <c r="K753" s="17" t="s">
        <v>233</v>
      </c>
      <c r="L753" s="17" t="s">
        <v>233</v>
      </c>
      <c r="M753" s="231">
        <v>13</v>
      </c>
      <c r="N753" s="231">
        <v>13</v>
      </c>
      <c r="O753" s="231">
        <v>13</v>
      </c>
      <c r="P753" s="231" t="s">
        <v>239</v>
      </c>
      <c r="Q753" s="231">
        <v>13</v>
      </c>
      <c r="R753" s="231" t="s">
        <v>239</v>
      </c>
      <c r="S753" s="231">
        <v>13</v>
      </c>
      <c r="T753" s="231" t="s">
        <v>239</v>
      </c>
      <c r="U753" s="231">
        <v>13</v>
      </c>
      <c r="V753" s="231" t="s">
        <v>239</v>
      </c>
      <c r="W753" s="231">
        <v>13</v>
      </c>
      <c r="X753" s="231" t="s">
        <v>239</v>
      </c>
      <c r="Y753" s="231">
        <v>13</v>
      </c>
      <c r="Z753" s="231" t="s">
        <v>239</v>
      </c>
      <c r="AA753" s="231">
        <v>13</v>
      </c>
      <c r="AB753" s="231" t="s">
        <v>239</v>
      </c>
      <c r="AC753" s="231">
        <v>13</v>
      </c>
      <c r="AD753" s="231" t="s">
        <v>239</v>
      </c>
      <c r="AE753" s="231">
        <v>13</v>
      </c>
      <c r="AF753" s="231" t="s">
        <v>239</v>
      </c>
      <c r="AG753" s="231">
        <v>13</v>
      </c>
      <c r="AH753" s="231" t="s">
        <v>239</v>
      </c>
      <c r="AI753" s="231">
        <v>13</v>
      </c>
      <c r="AJ753" s="231" t="s">
        <v>239</v>
      </c>
      <c r="AK753" s="231">
        <v>13</v>
      </c>
      <c r="AL753" s="232" t="s">
        <v>239</v>
      </c>
      <c r="AM753" s="232">
        <v>0</v>
      </c>
    </row>
    <row r="754" spans="1:39" ht="15.75" outlineLevel="1">
      <c r="A754" s="412"/>
      <c r="B754" s="10">
        <v>129372</v>
      </c>
      <c r="C754" s="218" t="s">
        <v>1489</v>
      </c>
      <c r="D754" s="218" t="s">
        <v>1490</v>
      </c>
      <c r="E754" s="23" t="s">
        <v>44</v>
      </c>
      <c r="F754" s="17" t="s">
        <v>45</v>
      </c>
      <c r="G754" s="11" t="s">
        <v>1432</v>
      </c>
      <c r="H754" s="12">
        <v>17</v>
      </c>
      <c r="I754" s="11" t="s">
        <v>1433</v>
      </c>
      <c r="J754" s="193" t="s">
        <v>216</v>
      </c>
      <c r="K754" s="17" t="s">
        <v>233</v>
      </c>
      <c r="L754" s="17" t="s">
        <v>233</v>
      </c>
      <c r="M754" s="231">
        <v>3948</v>
      </c>
      <c r="N754" s="232">
        <v>3900.0712799999997</v>
      </c>
      <c r="O754" s="132">
        <v>607</v>
      </c>
      <c r="P754" s="231" t="s">
        <v>239</v>
      </c>
      <c r="Q754" s="232">
        <v>599.52175999999997</v>
      </c>
      <c r="R754" s="231" t="s">
        <v>239</v>
      </c>
      <c r="S754" s="232">
        <v>592.13565191679993</v>
      </c>
      <c r="T754" s="231" t="s">
        <v>239</v>
      </c>
      <c r="U754" s="232">
        <v>584.84054068518492</v>
      </c>
      <c r="V754" s="230" t="s">
        <v>239</v>
      </c>
      <c r="W754" s="232">
        <v>577.63530522394342</v>
      </c>
      <c r="X754" s="231" t="s">
        <v>239</v>
      </c>
      <c r="Y754" s="232">
        <v>570.51883826358448</v>
      </c>
      <c r="Z754" s="231" t="s">
        <v>239</v>
      </c>
      <c r="AA754" s="232">
        <v>563.49004617617709</v>
      </c>
      <c r="AB754" s="231" t="s">
        <v>239</v>
      </c>
      <c r="AC754" s="232">
        <v>556.54784880728664</v>
      </c>
      <c r="AD754" s="231" t="s">
        <v>239</v>
      </c>
      <c r="AE754" s="232">
        <v>549.69117930998084</v>
      </c>
      <c r="AF754" s="231" t="s">
        <v>239</v>
      </c>
      <c r="AG754" s="232">
        <v>542.91898398088188</v>
      </c>
      <c r="AH754" s="231" t="s">
        <v>239</v>
      </c>
      <c r="AI754" s="232">
        <v>536.23022209823739</v>
      </c>
      <c r="AJ754" s="231" t="s">
        <v>239</v>
      </c>
      <c r="AK754" s="232">
        <v>529.62386576198708</v>
      </c>
      <c r="AL754" s="232" t="s">
        <v>239</v>
      </c>
      <c r="AM754" s="232">
        <v>6810.1542422240627</v>
      </c>
    </row>
    <row r="755" spans="1:39" ht="15.75" outlineLevel="1">
      <c r="A755" s="411">
        <v>373</v>
      </c>
      <c r="B755" s="10">
        <v>129373</v>
      </c>
      <c r="C755" s="218" t="s">
        <v>1489</v>
      </c>
      <c r="D755" s="218" t="s">
        <v>1490</v>
      </c>
      <c r="E755" s="23" t="s">
        <v>44</v>
      </c>
      <c r="F755" s="17" t="s">
        <v>45</v>
      </c>
      <c r="G755" s="11" t="s">
        <v>1432</v>
      </c>
      <c r="H755" s="12">
        <v>19</v>
      </c>
      <c r="I755" s="11" t="s">
        <v>1433</v>
      </c>
      <c r="J755" s="191" t="s">
        <v>216</v>
      </c>
      <c r="K755" s="17" t="s">
        <v>233</v>
      </c>
      <c r="L755" s="17" t="s">
        <v>233</v>
      </c>
      <c r="M755" s="231">
        <v>13</v>
      </c>
      <c r="N755" s="231">
        <v>13</v>
      </c>
      <c r="O755" s="231">
        <v>13</v>
      </c>
      <c r="P755" s="231" t="s">
        <v>239</v>
      </c>
      <c r="Q755" s="231">
        <v>13</v>
      </c>
      <c r="R755" s="231" t="s">
        <v>239</v>
      </c>
      <c r="S755" s="231">
        <v>13</v>
      </c>
      <c r="T755" s="231" t="s">
        <v>239</v>
      </c>
      <c r="U755" s="231">
        <v>13</v>
      </c>
      <c r="V755" s="231" t="s">
        <v>239</v>
      </c>
      <c r="W755" s="231">
        <v>13</v>
      </c>
      <c r="X755" s="231" t="s">
        <v>239</v>
      </c>
      <c r="Y755" s="231">
        <v>13</v>
      </c>
      <c r="Z755" s="231" t="s">
        <v>239</v>
      </c>
      <c r="AA755" s="231">
        <v>13</v>
      </c>
      <c r="AB755" s="231" t="s">
        <v>239</v>
      </c>
      <c r="AC755" s="231">
        <v>13</v>
      </c>
      <c r="AD755" s="231" t="s">
        <v>239</v>
      </c>
      <c r="AE755" s="231">
        <v>13</v>
      </c>
      <c r="AF755" s="231" t="s">
        <v>239</v>
      </c>
      <c r="AG755" s="231">
        <v>13</v>
      </c>
      <c r="AH755" s="231" t="s">
        <v>239</v>
      </c>
      <c r="AI755" s="231">
        <v>13</v>
      </c>
      <c r="AJ755" s="231" t="s">
        <v>239</v>
      </c>
      <c r="AK755" s="231">
        <v>13</v>
      </c>
      <c r="AL755" s="232" t="s">
        <v>239</v>
      </c>
      <c r="AM755" s="232">
        <v>0</v>
      </c>
    </row>
    <row r="756" spans="1:39" ht="15.75" outlineLevel="1">
      <c r="A756" s="412"/>
      <c r="B756" s="10">
        <v>129373</v>
      </c>
      <c r="C756" s="218" t="s">
        <v>1489</v>
      </c>
      <c r="D756" s="218" t="s">
        <v>1490</v>
      </c>
      <c r="E756" s="23" t="s">
        <v>138</v>
      </c>
      <c r="F756" s="17" t="s">
        <v>45</v>
      </c>
      <c r="G756" s="11" t="s">
        <v>1432</v>
      </c>
      <c r="H756" s="12">
        <v>21</v>
      </c>
      <c r="I756" s="11" t="s">
        <v>1433</v>
      </c>
      <c r="J756" s="192" t="s">
        <v>1434</v>
      </c>
      <c r="K756" s="17" t="s">
        <v>233</v>
      </c>
      <c r="L756" s="17" t="s">
        <v>233</v>
      </c>
      <c r="M756" s="231">
        <v>0</v>
      </c>
      <c r="N756" s="232">
        <v>0</v>
      </c>
      <c r="O756" s="132"/>
      <c r="P756" s="231" t="s">
        <v>239</v>
      </c>
      <c r="Q756" s="232">
        <v>0</v>
      </c>
      <c r="R756" s="231" t="s">
        <v>239</v>
      </c>
      <c r="S756" s="232">
        <v>0</v>
      </c>
      <c r="T756" s="231" t="s">
        <v>239</v>
      </c>
      <c r="U756" s="232">
        <v>0</v>
      </c>
      <c r="V756" s="231" t="s">
        <v>239</v>
      </c>
      <c r="W756" s="232">
        <v>0</v>
      </c>
      <c r="X756" s="231" t="s">
        <v>239</v>
      </c>
      <c r="Y756" s="232">
        <v>0</v>
      </c>
      <c r="Z756" s="231" t="s">
        <v>239</v>
      </c>
      <c r="AA756" s="232">
        <v>0</v>
      </c>
      <c r="AB756" s="231" t="s">
        <v>239</v>
      </c>
      <c r="AC756" s="232">
        <v>0</v>
      </c>
      <c r="AD756" s="231" t="s">
        <v>239</v>
      </c>
      <c r="AE756" s="232">
        <v>0</v>
      </c>
      <c r="AF756" s="231" t="s">
        <v>239</v>
      </c>
      <c r="AG756" s="232">
        <v>0</v>
      </c>
      <c r="AH756" s="231" t="s">
        <v>239</v>
      </c>
      <c r="AI756" s="232">
        <v>0</v>
      </c>
      <c r="AJ756" s="231" t="s">
        <v>239</v>
      </c>
      <c r="AK756" s="232">
        <v>0</v>
      </c>
      <c r="AL756" s="232" t="s">
        <v>239</v>
      </c>
      <c r="AM756" s="232">
        <v>0</v>
      </c>
    </row>
    <row r="757" spans="1:39" ht="15.75" outlineLevel="1">
      <c r="A757" s="411">
        <v>374</v>
      </c>
      <c r="B757" s="10">
        <v>129374</v>
      </c>
      <c r="C757" s="218" t="s">
        <v>1489</v>
      </c>
      <c r="D757" s="218" t="s">
        <v>1490</v>
      </c>
      <c r="E757" s="23" t="s">
        <v>44</v>
      </c>
      <c r="F757" s="17" t="s">
        <v>45</v>
      </c>
      <c r="G757" s="11" t="s">
        <v>1432</v>
      </c>
      <c r="H757" s="12">
        <v>19</v>
      </c>
      <c r="I757" s="11" t="s">
        <v>1433</v>
      </c>
      <c r="J757" s="192" t="s">
        <v>1480</v>
      </c>
      <c r="K757" s="17" t="s">
        <v>233</v>
      </c>
      <c r="L757" s="17" t="s">
        <v>233</v>
      </c>
      <c r="M757" s="231">
        <v>21</v>
      </c>
      <c r="N757" s="231">
        <v>21</v>
      </c>
      <c r="O757" s="231">
        <v>21</v>
      </c>
      <c r="P757" s="231" t="s">
        <v>239</v>
      </c>
      <c r="Q757" s="231">
        <v>21</v>
      </c>
      <c r="R757" s="231" t="s">
        <v>239</v>
      </c>
      <c r="S757" s="231">
        <v>21</v>
      </c>
      <c r="T757" s="231" t="s">
        <v>239</v>
      </c>
      <c r="U757" s="231">
        <v>21</v>
      </c>
      <c r="V757" s="230" t="s">
        <v>239</v>
      </c>
      <c r="W757" s="231">
        <v>21</v>
      </c>
      <c r="X757" s="231" t="s">
        <v>239</v>
      </c>
      <c r="Y757" s="231">
        <v>21</v>
      </c>
      <c r="Z757" s="231" t="s">
        <v>239</v>
      </c>
      <c r="AA757" s="231">
        <v>21</v>
      </c>
      <c r="AB757" s="231" t="s">
        <v>239</v>
      </c>
      <c r="AC757" s="231">
        <v>21</v>
      </c>
      <c r="AD757" s="231" t="s">
        <v>239</v>
      </c>
      <c r="AE757" s="231">
        <v>21</v>
      </c>
      <c r="AF757" s="231" t="s">
        <v>239</v>
      </c>
      <c r="AG757" s="231">
        <v>21</v>
      </c>
      <c r="AH757" s="231" t="s">
        <v>239</v>
      </c>
      <c r="AI757" s="231">
        <v>21</v>
      </c>
      <c r="AJ757" s="231" t="s">
        <v>239</v>
      </c>
      <c r="AK757" s="231">
        <v>21</v>
      </c>
      <c r="AL757" s="232" t="s">
        <v>239</v>
      </c>
      <c r="AM757" s="232">
        <v>0</v>
      </c>
    </row>
    <row r="758" spans="1:39" ht="15.75" outlineLevel="1">
      <c r="A758" s="412"/>
      <c r="B758" s="10">
        <v>129374</v>
      </c>
      <c r="C758" s="218" t="s">
        <v>1489</v>
      </c>
      <c r="D758" s="218" t="s">
        <v>1490</v>
      </c>
      <c r="E758" s="23" t="s">
        <v>138</v>
      </c>
      <c r="F758" s="17" t="s">
        <v>45</v>
      </c>
      <c r="G758" s="11" t="s">
        <v>1432</v>
      </c>
      <c r="H758" s="12">
        <v>30</v>
      </c>
      <c r="I758" s="11" t="s">
        <v>1433</v>
      </c>
      <c r="J758" s="192" t="s">
        <v>1452</v>
      </c>
      <c r="K758" s="17" t="s">
        <v>233</v>
      </c>
      <c r="L758" s="17" t="s">
        <v>233</v>
      </c>
      <c r="M758" s="231">
        <v>1723</v>
      </c>
      <c r="N758" s="232">
        <v>1702.08278</v>
      </c>
      <c r="O758" s="132">
        <v>116</v>
      </c>
      <c r="P758" s="231" t="s">
        <v>239</v>
      </c>
      <c r="Q758" s="232">
        <v>114.57088</v>
      </c>
      <c r="R758" s="231" t="s">
        <v>239</v>
      </c>
      <c r="S758" s="232">
        <v>113.1593667584</v>
      </c>
      <c r="T758" s="231" t="s">
        <v>239</v>
      </c>
      <c r="U758" s="232">
        <v>111.76524335993651</v>
      </c>
      <c r="V758" s="231" t="s">
        <v>239</v>
      </c>
      <c r="W758" s="232">
        <v>110.38829556174208</v>
      </c>
      <c r="X758" s="231" t="s">
        <v>239</v>
      </c>
      <c r="Y758" s="232">
        <v>109.02831176042142</v>
      </c>
      <c r="Z758" s="231" t="s">
        <v>239</v>
      </c>
      <c r="AA758" s="232">
        <v>107.68508295953302</v>
      </c>
      <c r="AB758" s="231" t="s">
        <v>239</v>
      </c>
      <c r="AC758" s="232">
        <v>106.35840273747158</v>
      </c>
      <c r="AD758" s="231" t="s">
        <v>239</v>
      </c>
      <c r="AE758" s="232">
        <v>105.04806721574593</v>
      </c>
      <c r="AF758" s="231" t="s">
        <v>239</v>
      </c>
      <c r="AG758" s="232">
        <v>103.75387502764794</v>
      </c>
      <c r="AH758" s="231" t="s">
        <v>239</v>
      </c>
      <c r="AI758" s="232">
        <v>102.47562728730732</v>
      </c>
      <c r="AJ758" s="231" t="s">
        <v>239</v>
      </c>
      <c r="AK758" s="232">
        <v>101.2131275591277</v>
      </c>
      <c r="AL758" s="232" t="s">
        <v>239</v>
      </c>
      <c r="AM758" s="232">
        <v>1301.4462802273335</v>
      </c>
    </row>
    <row r="759" spans="1:39" ht="15.75" outlineLevel="1">
      <c r="A759" s="411">
        <v>375</v>
      </c>
      <c r="B759" s="10">
        <v>129375</v>
      </c>
      <c r="C759" s="218" t="s">
        <v>1489</v>
      </c>
      <c r="D759" s="218" t="s">
        <v>1490</v>
      </c>
      <c r="E759" s="23" t="s">
        <v>44</v>
      </c>
      <c r="F759" s="17" t="s">
        <v>45</v>
      </c>
      <c r="G759" s="11" t="s">
        <v>1432</v>
      </c>
      <c r="H759" s="12">
        <v>33</v>
      </c>
      <c r="I759" s="11" t="s">
        <v>1433</v>
      </c>
      <c r="J759" s="374" t="s">
        <v>207</v>
      </c>
      <c r="K759" s="17" t="s">
        <v>233</v>
      </c>
      <c r="L759" s="17" t="s">
        <v>233</v>
      </c>
      <c r="M759" s="231">
        <v>0.6</v>
      </c>
      <c r="N759" s="231">
        <v>0.6</v>
      </c>
      <c r="O759" s="231">
        <v>0.6</v>
      </c>
      <c r="P759" s="231" t="s">
        <v>239</v>
      </c>
      <c r="Q759" s="231">
        <v>0.6</v>
      </c>
      <c r="R759" s="231" t="s">
        <v>239</v>
      </c>
      <c r="S759" s="231">
        <v>0.6</v>
      </c>
      <c r="T759" s="231" t="s">
        <v>239</v>
      </c>
      <c r="U759" s="231">
        <v>0.6</v>
      </c>
      <c r="V759" s="231" t="s">
        <v>239</v>
      </c>
      <c r="W759" s="231">
        <v>0.6</v>
      </c>
      <c r="X759" s="231" t="s">
        <v>239</v>
      </c>
      <c r="Y759" s="231">
        <v>0.6</v>
      </c>
      <c r="Z759" s="231" t="s">
        <v>239</v>
      </c>
      <c r="AA759" s="231">
        <v>0.6</v>
      </c>
      <c r="AB759" s="231" t="s">
        <v>239</v>
      </c>
      <c r="AC759" s="231">
        <v>0.6</v>
      </c>
      <c r="AD759" s="231" t="s">
        <v>239</v>
      </c>
      <c r="AE759" s="231">
        <v>0.6</v>
      </c>
      <c r="AF759" s="231" t="s">
        <v>239</v>
      </c>
      <c r="AG759" s="231">
        <v>0.6</v>
      </c>
      <c r="AH759" s="231" t="s">
        <v>239</v>
      </c>
      <c r="AI759" s="231">
        <v>0.6</v>
      </c>
      <c r="AJ759" s="231" t="s">
        <v>239</v>
      </c>
      <c r="AK759" s="231">
        <v>0.6</v>
      </c>
      <c r="AL759" s="232" t="s">
        <v>239</v>
      </c>
      <c r="AM759" s="232">
        <v>0</v>
      </c>
    </row>
    <row r="760" spans="1:39" ht="15.75" outlineLevel="1">
      <c r="A760" s="412"/>
      <c r="B760" s="10">
        <v>129375</v>
      </c>
      <c r="C760" s="218" t="s">
        <v>1489</v>
      </c>
      <c r="D760" s="218" t="s">
        <v>1490</v>
      </c>
      <c r="E760" s="23" t="s">
        <v>44</v>
      </c>
      <c r="F760" s="17" t="s">
        <v>45</v>
      </c>
      <c r="G760" s="11" t="s">
        <v>1432</v>
      </c>
      <c r="H760" s="12">
        <v>19</v>
      </c>
      <c r="I760" s="11" t="s">
        <v>1433</v>
      </c>
      <c r="J760" s="375"/>
      <c r="K760" s="17" t="s">
        <v>233</v>
      </c>
      <c r="L760" s="17" t="s">
        <v>233</v>
      </c>
      <c r="M760" s="231">
        <v>7843</v>
      </c>
      <c r="N760" s="232">
        <v>7747.7859799999997</v>
      </c>
      <c r="O760" s="132">
        <v>34</v>
      </c>
      <c r="P760" s="231" t="s">
        <v>239</v>
      </c>
      <c r="Q760" s="232">
        <v>33.581119999999999</v>
      </c>
      <c r="R760" s="231" t="s">
        <v>239</v>
      </c>
      <c r="S760" s="232">
        <v>33.167400601600001</v>
      </c>
      <c r="T760" s="231" t="s">
        <v>239</v>
      </c>
      <c r="U760" s="232">
        <v>32.758778226188291</v>
      </c>
      <c r="V760" s="230" t="s">
        <v>239</v>
      </c>
      <c r="W760" s="232">
        <v>32.355190078441652</v>
      </c>
      <c r="X760" s="231" t="s">
        <v>239</v>
      </c>
      <c r="Y760" s="232">
        <v>31.95657413667525</v>
      </c>
      <c r="Z760" s="231" t="s">
        <v>239</v>
      </c>
      <c r="AA760" s="232">
        <v>31.56286914331141</v>
      </c>
      <c r="AB760" s="231" t="s">
        <v>239</v>
      </c>
      <c r="AC760" s="232">
        <v>31.174014595465813</v>
      </c>
      <c r="AD760" s="231" t="s">
        <v>239</v>
      </c>
      <c r="AE760" s="232">
        <v>30.789950735649676</v>
      </c>
      <c r="AF760" s="231" t="s">
        <v>239</v>
      </c>
      <c r="AG760" s="232">
        <v>30.410618542586473</v>
      </c>
      <c r="AH760" s="231" t="s">
        <v>239</v>
      </c>
      <c r="AI760" s="232">
        <v>30.035959722141808</v>
      </c>
      <c r="AJ760" s="231" t="s">
        <v>239</v>
      </c>
      <c r="AK760" s="232">
        <v>29.66591669836502</v>
      </c>
      <c r="AL760" s="232" t="s">
        <v>239</v>
      </c>
      <c r="AM760" s="232">
        <v>381.45839248042535</v>
      </c>
    </row>
    <row r="761" spans="1:39" ht="15.75" outlineLevel="1">
      <c r="A761" s="411">
        <v>376</v>
      </c>
      <c r="B761" s="10">
        <v>129376</v>
      </c>
      <c r="C761" s="218" t="s">
        <v>1489</v>
      </c>
      <c r="D761" s="218" t="s">
        <v>1490</v>
      </c>
      <c r="E761" s="23" t="s">
        <v>138</v>
      </c>
      <c r="F761" s="17" t="s">
        <v>45</v>
      </c>
      <c r="G761" s="11" t="s">
        <v>1432</v>
      </c>
      <c r="H761" s="12">
        <v>6</v>
      </c>
      <c r="I761" s="11" t="s">
        <v>1433</v>
      </c>
      <c r="J761" s="193" t="s">
        <v>1460</v>
      </c>
      <c r="K761" s="17" t="s">
        <v>233</v>
      </c>
      <c r="L761" s="17" t="s">
        <v>233</v>
      </c>
      <c r="M761" s="231">
        <v>0.6</v>
      </c>
      <c r="N761" s="231">
        <v>0.6</v>
      </c>
      <c r="O761" s="231">
        <v>0.6</v>
      </c>
      <c r="P761" s="231" t="s">
        <v>239</v>
      </c>
      <c r="Q761" s="231">
        <v>0.6</v>
      </c>
      <c r="R761" s="231" t="s">
        <v>239</v>
      </c>
      <c r="S761" s="231">
        <v>0.6</v>
      </c>
      <c r="T761" s="231" t="s">
        <v>239</v>
      </c>
      <c r="U761" s="231">
        <v>0.6</v>
      </c>
      <c r="V761" s="231" t="s">
        <v>239</v>
      </c>
      <c r="W761" s="231">
        <v>0.6</v>
      </c>
      <c r="X761" s="231" t="s">
        <v>239</v>
      </c>
      <c r="Y761" s="231">
        <v>0.6</v>
      </c>
      <c r="Z761" s="231" t="s">
        <v>239</v>
      </c>
      <c r="AA761" s="231">
        <v>0.6</v>
      </c>
      <c r="AB761" s="231" t="s">
        <v>239</v>
      </c>
      <c r="AC761" s="231">
        <v>0.6</v>
      </c>
      <c r="AD761" s="231" t="s">
        <v>239</v>
      </c>
      <c r="AE761" s="231">
        <v>0.6</v>
      </c>
      <c r="AF761" s="231" t="s">
        <v>239</v>
      </c>
      <c r="AG761" s="231">
        <v>0.6</v>
      </c>
      <c r="AH761" s="231" t="s">
        <v>239</v>
      </c>
      <c r="AI761" s="231">
        <v>0.6</v>
      </c>
      <c r="AJ761" s="231" t="s">
        <v>239</v>
      </c>
      <c r="AK761" s="231">
        <v>0.6</v>
      </c>
      <c r="AL761" s="232" t="s">
        <v>239</v>
      </c>
      <c r="AM761" s="232">
        <v>0</v>
      </c>
    </row>
    <row r="762" spans="1:39" ht="15.75" outlineLevel="1">
      <c r="A762" s="412"/>
      <c r="B762" s="10">
        <v>129376</v>
      </c>
      <c r="C762" s="218" t="s">
        <v>1489</v>
      </c>
      <c r="D762" s="218" t="s">
        <v>1490</v>
      </c>
      <c r="E762" s="23" t="s">
        <v>44</v>
      </c>
      <c r="F762" s="17" t="s">
        <v>45</v>
      </c>
      <c r="G762" s="11" t="s">
        <v>1432</v>
      </c>
      <c r="H762" s="12">
        <v>15</v>
      </c>
      <c r="I762" s="11" t="s">
        <v>1433</v>
      </c>
      <c r="J762" s="193" t="s">
        <v>1442</v>
      </c>
      <c r="K762" s="17" t="s">
        <v>233</v>
      </c>
      <c r="L762" s="17" t="s">
        <v>233</v>
      </c>
      <c r="M762" s="231">
        <v>0</v>
      </c>
      <c r="N762" s="232">
        <v>0</v>
      </c>
      <c r="O762" s="132"/>
      <c r="P762" s="231" t="s">
        <v>239</v>
      </c>
      <c r="Q762" s="232">
        <v>0</v>
      </c>
      <c r="R762" s="231" t="s">
        <v>239</v>
      </c>
      <c r="S762" s="232">
        <v>0</v>
      </c>
      <c r="T762" s="231" t="s">
        <v>239</v>
      </c>
      <c r="U762" s="232">
        <v>0</v>
      </c>
      <c r="V762" s="231" t="s">
        <v>239</v>
      </c>
      <c r="W762" s="232">
        <v>0</v>
      </c>
      <c r="X762" s="231" t="s">
        <v>239</v>
      </c>
      <c r="Y762" s="232">
        <v>0</v>
      </c>
      <c r="Z762" s="231" t="s">
        <v>239</v>
      </c>
      <c r="AA762" s="232">
        <v>0</v>
      </c>
      <c r="AB762" s="231" t="s">
        <v>239</v>
      </c>
      <c r="AC762" s="232">
        <v>0</v>
      </c>
      <c r="AD762" s="231" t="s">
        <v>239</v>
      </c>
      <c r="AE762" s="232">
        <v>0</v>
      </c>
      <c r="AF762" s="231" t="s">
        <v>239</v>
      </c>
      <c r="AG762" s="232">
        <v>0</v>
      </c>
      <c r="AH762" s="231" t="s">
        <v>239</v>
      </c>
      <c r="AI762" s="232">
        <v>0</v>
      </c>
      <c r="AJ762" s="231" t="s">
        <v>239</v>
      </c>
      <c r="AK762" s="232">
        <v>0</v>
      </c>
      <c r="AL762" s="232" t="s">
        <v>239</v>
      </c>
      <c r="AM762" s="232">
        <v>0</v>
      </c>
    </row>
    <row r="763" spans="1:39" ht="15.75" outlineLevel="1">
      <c r="A763" s="411">
        <v>377</v>
      </c>
      <c r="B763" s="10">
        <v>129377</v>
      </c>
      <c r="C763" s="218" t="s">
        <v>1489</v>
      </c>
      <c r="D763" s="218" t="s">
        <v>1490</v>
      </c>
      <c r="E763" s="23" t="s">
        <v>138</v>
      </c>
      <c r="F763" s="17" t="s">
        <v>45</v>
      </c>
      <c r="G763" s="11" t="s">
        <v>1432</v>
      </c>
      <c r="H763" s="12">
        <v>19</v>
      </c>
      <c r="I763" s="11" t="s">
        <v>1433</v>
      </c>
      <c r="J763" s="193" t="s">
        <v>1460</v>
      </c>
      <c r="K763" s="17" t="s">
        <v>233</v>
      </c>
      <c r="L763" s="17" t="s">
        <v>233</v>
      </c>
      <c r="M763" s="231">
        <v>0</v>
      </c>
      <c r="N763" s="232">
        <v>0</v>
      </c>
      <c r="O763" s="132"/>
      <c r="P763" s="231" t="s">
        <v>239</v>
      </c>
      <c r="Q763" s="232">
        <v>0</v>
      </c>
      <c r="R763" s="231" t="s">
        <v>239</v>
      </c>
      <c r="S763" s="232">
        <v>0</v>
      </c>
      <c r="T763" s="231" t="s">
        <v>239</v>
      </c>
      <c r="U763" s="232">
        <v>0</v>
      </c>
      <c r="V763" s="230" t="s">
        <v>239</v>
      </c>
      <c r="W763" s="232">
        <v>0</v>
      </c>
      <c r="X763" s="231" t="s">
        <v>239</v>
      </c>
      <c r="Y763" s="232">
        <v>0</v>
      </c>
      <c r="Z763" s="231" t="s">
        <v>239</v>
      </c>
      <c r="AA763" s="232">
        <v>0</v>
      </c>
      <c r="AB763" s="231" t="s">
        <v>239</v>
      </c>
      <c r="AC763" s="232">
        <v>0</v>
      </c>
      <c r="AD763" s="231" t="s">
        <v>239</v>
      </c>
      <c r="AE763" s="232">
        <v>0</v>
      </c>
      <c r="AF763" s="231" t="s">
        <v>239</v>
      </c>
      <c r="AG763" s="232">
        <v>0</v>
      </c>
      <c r="AH763" s="231" t="s">
        <v>239</v>
      </c>
      <c r="AI763" s="232">
        <v>0</v>
      </c>
      <c r="AJ763" s="231" t="s">
        <v>239</v>
      </c>
      <c r="AK763" s="232">
        <v>0</v>
      </c>
      <c r="AL763" s="232" t="s">
        <v>239</v>
      </c>
      <c r="AM763" s="232">
        <v>0</v>
      </c>
    </row>
    <row r="764" spans="1:39" ht="15.75" outlineLevel="1">
      <c r="A764" s="412"/>
      <c r="B764" s="10">
        <v>129377</v>
      </c>
      <c r="C764" s="218" t="s">
        <v>1489</v>
      </c>
      <c r="D764" s="218" t="s">
        <v>1490</v>
      </c>
      <c r="E764" s="23" t="s">
        <v>44</v>
      </c>
      <c r="F764" s="17" t="s">
        <v>45</v>
      </c>
      <c r="G764" s="11" t="s">
        <v>1432</v>
      </c>
      <c r="H764" s="12">
        <v>22</v>
      </c>
      <c r="I764" s="11" t="s">
        <v>1433</v>
      </c>
      <c r="J764" s="193" t="s">
        <v>1457</v>
      </c>
      <c r="K764" s="17" t="s">
        <v>233</v>
      </c>
      <c r="L764" s="17" t="s">
        <v>233</v>
      </c>
      <c r="M764" s="231">
        <v>0</v>
      </c>
      <c r="N764" s="232">
        <v>0</v>
      </c>
      <c r="O764" s="132">
        <v>0</v>
      </c>
      <c r="P764" s="231" t="s">
        <v>239</v>
      </c>
      <c r="Q764" s="232">
        <v>0</v>
      </c>
      <c r="R764" s="231" t="s">
        <v>239</v>
      </c>
      <c r="S764" s="232">
        <v>0</v>
      </c>
      <c r="T764" s="231" t="s">
        <v>239</v>
      </c>
      <c r="U764" s="232">
        <v>0</v>
      </c>
      <c r="V764" s="231" t="s">
        <v>239</v>
      </c>
      <c r="W764" s="232">
        <v>0</v>
      </c>
      <c r="X764" s="231" t="s">
        <v>239</v>
      </c>
      <c r="Y764" s="232">
        <v>0</v>
      </c>
      <c r="Z764" s="231" t="s">
        <v>239</v>
      </c>
      <c r="AA764" s="232">
        <v>0</v>
      </c>
      <c r="AB764" s="231" t="s">
        <v>239</v>
      </c>
      <c r="AC764" s="232">
        <v>0</v>
      </c>
      <c r="AD764" s="231" t="s">
        <v>239</v>
      </c>
      <c r="AE764" s="232">
        <v>0</v>
      </c>
      <c r="AF764" s="231" t="s">
        <v>239</v>
      </c>
      <c r="AG764" s="232">
        <v>0</v>
      </c>
      <c r="AH764" s="231" t="s">
        <v>239</v>
      </c>
      <c r="AI764" s="232">
        <v>0</v>
      </c>
      <c r="AJ764" s="231" t="s">
        <v>239</v>
      </c>
      <c r="AK764" s="232">
        <v>0</v>
      </c>
      <c r="AL764" s="232" t="s">
        <v>239</v>
      </c>
      <c r="AM764" s="232">
        <v>0</v>
      </c>
    </row>
    <row r="765" spans="1:39" ht="15.75" outlineLevel="1">
      <c r="A765" s="411">
        <v>378</v>
      </c>
      <c r="B765" s="10">
        <v>129378</v>
      </c>
      <c r="C765" s="218" t="s">
        <v>1489</v>
      </c>
      <c r="D765" s="218" t="s">
        <v>1490</v>
      </c>
      <c r="E765" s="23" t="s">
        <v>44</v>
      </c>
      <c r="F765" s="17" t="s">
        <v>45</v>
      </c>
      <c r="G765" s="11" t="s">
        <v>1432</v>
      </c>
      <c r="H765" s="12">
        <v>24</v>
      </c>
      <c r="I765" s="11" t="s">
        <v>1433</v>
      </c>
      <c r="J765" s="193" t="s">
        <v>617</v>
      </c>
      <c r="K765" s="17" t="s">
        <v>233</v>
      </c>
      <c r="L765" s="17" t="s">
        <v>233</v>
      </c>
      <c r="M765" s="231">
        <v>37</v>
      </c>
      <c r="N765" s="231">
        <v>37</v>
      </c>
      <c r="O765" s="231">
        <v>37</v>
      </c>
      <c r="P765" s="231" t="s">
        <v>239</v>
      </c>
      <c r="Q765" s="231">
        <v>37</v>
      </c>
      <c r="R765" s="231" t="s">
        <v>239</v>
      </c>
      <c r="S765" s="231">
        <v>37</v>
      </c>
      <c r="T765" s="231" t="s">
        <v>239</v>
      </c>
      <c r="U765" s="231">
        <v>37</v>
      </c>
      <c r="V765" s="231" t="s">
        <v>239</v>
      </c>
      <c r="W765" s="231">
        <v>37</v>
      </c>
      <c r="X765" s="231" t="s">
        <v>239</v>
      </c>
      <c r="Y765" s="231">
        <v>37</v>
      </c>
      <c r="Z765" s="231" t="s">
        <v>239</v>
      </c>
      <c r="AA765" s="231">
        <v>37</v>
      </c>
      <c r="AB765" s="231" t="s">
        <v>239</v>
      </c>
      <c r="AC765" s="231">
        <v>37</v>
      </c>
      <c r="AD765" s="231" t="s">
        <v>239</v>
      </c>
      <c r="AE765" s="231">
        <v>37</v>
      </c>
      <c r="AF765" s="231" t="s">
        <v>239</v>
      </c>
      <c r="AG765" s="231">
        <v>37</v>
      </c>
      <c r="AH765" s="231" t="s">
        <v>239</v>
      </c>
      <c r="AI765" s="231">
        <v>37</v>
      </c>
      <c r="AJ765" s="231" t="s">
        <v>239</v>
      </c>
      <c r="AK765" s="231">
        <v>37</v>
      </c>
      <c r="AL765" s="232" t="s">
        <v>239</v>
      </c>
      <c r="AM765" s="232">
        <v>0</v>
      </c>
    </row>
    <row r="766" spans="1:39" ht="15.75" outlineLevel="1">
      <c r="A766" s="412"/>
      <c r="B766" s="10">
        <v>129378</v>
      </c>
      <c r="C766" s="218" t="s">
        <v>1489</v>
      </c>
      <c r="D766" s="218" t="s">
        <v>1490</v>
      </c>
      <c r="E766" s="23" t="s">
        <v>138</v>
      </c>
      <c r="F766" s="17" t="s">
        <v>45</v>
      </c>
      <c r="G766" s="11" t="s">
        <v>1432</v>
      </c>
      <c r="H766" s="12">
        <v>16</v>
      </c>
      <c r="I766" s="11" t="s">
        <v>1433</v>
      </c>
      <c r="J766" s="193" t="s">
        <v>216</v>
      </c>
      <c r="K766" s="17" t="s">
        <v>233</v>
      </c>
      <c r="L766" s="17" t="s">
        <v>233</v>
      </c>
      <c r="M766" s="231">
        <v>19674</v>
      </c>
      <c r="N766" s="232">
        <v>19435.157639999998</v>
      </c>
      <c r="O766" s="132">
        <v>310</v>
      </c>
      <c r="P766" s="231" t="s">
        <v>239</v>
      </c>
      <c r="Q766" s="232">
        <v>306.18079999999998</v>
      </c>
      <c r="R766" s="231" t="s">
        <v>239</v>
      </c>
      <c r="S766" s="232">
        <v>302.40865254400001</v>
      </c>
      <c r="T766" s="231" t="s">
        <v>239</v>
      </c>
      <c r="U766" s="232">
        <v>298.68297794465792</v>
      </c>
      <c r="V766" s="230" t="s">
        <v>239</v>
      </c>
      <c r="W766" s="232">
        <v>295.00320365637975</v>
      </c>
      <c r="X766" s="231" t="s">
        <v>239</v>
      </c>
      <c r="Y766" s="232">
        <v>291.36876418733317</v>
      </c>
      <c r="Z766" s="231" t="s">
        <v>239</v>
      </c>
      <c r="AA766" s="232">
        <v>287.7791010125452</v>
      </c>
      <c r="AB766" s="231" t="s">
        <v>239</v>
      </c>
      <c r="AC766" s="232">
        <v>284.23366248807065</v>
      </c>
      <c r="AD766" s="231" t="s">
        <v>239</v>
      </c>
      <c r="AE766" s="232">
        <v>280.73190376621761</v>
      </c>
      <c r="AF766" s="231" t="s">
        <v>239</v>
      </c>
      <c r="AG766" s="232">
        <v>277.27328671181783</v>
      </c>
      <c r="AH766" s="231" t="s">
        <v>239</v>
      </c>
      <c r="AI766" s="232">
        <v>273.85727981952823</v>
      </c>
      <c r="AJ766" s="231" t="s">
        <v>239</v>
      </c>
      <c r="AK766" s="232">
        <v>270.48335813215164</v>
      </c>
      <c r="AL766" s="232" t="s">
        <v>239</v>
      </c>
      <c r="AM766" s="232">
        <v>3478.002990262703</v>
      </c>
    </row>
    <row r="767" spans="1:39" ht="15.75" outlineLevel="1">
      <c r="A767" s="411">
        <v>379</v>
      </c>
      <c r="B767" s="10">
        <v>129379</v>
      </c>
      <c r="C767" s="218" t="s">
        <v>1489</v>
      </c>
      <c r="D767" s="218" t="s">
        <v>1490</v>
      </c>
      <c r="E767" s="23" t="s">
        <v>44</v>
      </c>
      <c r="F767" s="17" t="s">
        <v>45</v>
      </c>
      <c r="G767" s="11" t="s">
        <v>1432</v>
      </c>
      <c r="H767" s="12">
        <v>5</v>
      </c>
      <c r="I767" s="11" t="s">
        <v>1433</v>
      </c>
      <c r="J767" s="192" t="s">
        <v>1446</v>
      </c>
      <c r="K767" s="17" t="s">
        <v>233</v>
      </c>
      <c r="L767" s="17" t="s">
        <v>233</v>
      </c>
      <c r="M767" s="231">
        <v>25</v>
      </c>
      <c r="N767" s="231">
        <v>25</v>
      </c>
      <c r="O767" s="231">
        <v>25</v>
      </c>
      <c r="P767" s="231" t="s">
        <v>239</v>
      </c>
      <c r="Q767" s="231">
        <v>25</v>
      </c>
      <c r="R767" s="231" t="s">
        <v>239</v>
      </c>
      <c r="S767" s="231">
        <v>25</v>
      </c>
      <c r="T767" s="231" t="s">
        <v>239</v>
      </c>
      <c r="U767" s="231">
        <v>25</v>
      </c>
      <c r="V767" s="231" t="s">
        <v>239</v>
      </c>
      <c r="W767" s="231">
        <v>25</v>
      </c>
      <c r="X767" s="231" t="s">
        <v>239</v>
      </c>
      <c r="Y767" s="231">
        <v>25</v>
      </c>
      <c r="Z767" s="231" t="s">
        <v>239</v>
      </c>
      <c r="AA767" s="231">
        <v>25</v>
      </c>
      <c r="AB767" s="231" t="s">
        <v>239</v>
      </c>
      <c r="AC767" s="231">
        <v>25</v>
      </c>
      <c r="AD767" s="231" t="s">
        <v>239</v>
      </c>
      <c r="AE767" s="231">
        <v>25</v>
      </c>
      <c r="AF767" s="231" t="s">
        <v>239</v>
      </c>
      <c r="AG767" s="231">
        <v>25</v>
      </c>
      <c r="AH767" s="231" t="s">
        <v>239</v>
      </c>
      <c r="AI767" s="231">
        <v>25</v>
      </c>
      <c r="AJ767" s="231" t="s">
        <v>239</v>
      </c>
      <c r="AK767" s="231">
        <v>25</v>
      </c>
      <c r="AL767" s="232" t="s">
        <v>239</v>
      </c>
      <c r="AM767" s="232">
        <v>0</v>
      </c>
    </row>
    <row r="768" spans="1:39" ht="15.75" outlineLevel="1">
      <c r="A768" s="412"/>
      <c r="B768" s="10">
        <v>129379</v>
      </c>
      <c r="C768" s="218" t="s">
        <v>1489</v>
      </c>
      <c r="D768" s="218" t="s">
        <v>1490</v>
      </c>
      <c r="E768" s="23" t="s">
        <v>138</v>
      </c>
      <c r="F768" s="17" t="s">
        <v>45</v>
      </c>
      <c r="G768" s="11" t="s">
        <v>1432</v>
      </c>
      <c r="H768" s="12">
        <v>17</v>
      </c>
      <c r="I768" s="11" t="s">
        <v>1433</v>
      </c>
      <c r="J768" s="192" t="s">
        <v>1481</v>
      </c>
      <c r="K768" s="17" t="s">
        <v>233</v>
      </c>
      <c r="L768" s="17" t="s">
        <v>233</v>
      </c>
      <c r="M768" s="231">
        <v>3272</v>
      </c>
      <c r="N768" s="232">
        <v>3232.27792</v>
      </c>
      <c r="O768" s="132">
        <v>533</v>
      </c>
      <c r="P768" s="231" t="s">
        <v>239</v>
      </c>
      <c r="Q768" s="232">
        <v>526.43344000000002</v>
      </c>
      <c r="R768" s="231" t="s">
        <v>239</v>
      </c>
      <c r="S768" s="232">
        <v>519.94778001919997</v>
      </c>
      <c r="T768" s="231" t="s">
        <v>239</v>
      </c>
      <c r="U768" s="232">
        <v>513.54202336936339</v>
      </c>
      <c r="V768" s="231" t="s">
        <v>239</v>
      </c>
      <c r="W768" s="232">
        <v>507.21518564145282</v>
      </c>
      <c r="X768" s="231" t="s">
        <v>239</v>
      </c>
      <c r="Y768" s="232">
        <v>500.9662945543501</v>
      </c>
      <c r="Z768" s="231" t="s">
        <v>239</v>
      </c>
      <c r="AA768" s="232">
        <v>494.79438980544052</v>
      </c>
      <c r="AB768" s="231" t="s">
        <v>239</v>
      </c>
      <c r="AC768" s="232">
        <v>488.6985229230375</v>
      </c>
      <c r="AD768" s="231" t="s">
        <v>239</v>
      </c>
      <c r="AE768" s="232">
        <v>482.6777571206257</v>
      </c>
      <c r="AF768" s="231" t="s">
        <v>239</v>
      </c>
      <c r="AG768" s="232">
        <v>476.73116715289962</v>
      </c>
      <c r="AH768" s="231" t="s">
        <v>239</v>
      </c>
      <c r="AI768" s="232">
        <v>470.85783917357588</v>
      </c>
      <c r="AJ768" s="231" t="s">
        <v>239</v>
      </c>
      <c r="AK768" s="232">
        <v>465.05687059495745</v>
      </c>
      <c r="AL768" s="232" t="s">
        <v>239</v>
      </c>
      <c r="AM768" s="232">
        <v>5979.9212703549028</v>
      </c>
    </row>
    <row r="769" spans="1:39" ht="15.75" outlineLevel="1">
      <c r="A769" s="411">
        <v>380</v>
      </c>
      <c r="B769" s="10">
        <v>129380</v>
      </c>
      <c r="C769" s="218" t="s">
        <v>1489</v>
      </c>
      <c r="D769" s="218" t="s">
        <v>1490</v>
      </c>
      <c r="E769" s="23" t="s">
        <v>44</v>
      </c>
      <c r="F769" s="17" t="s">
        <v>45</v>
      </c>
      <c r="G769" s="11" t="s">
        <v>1432</v>
      </c>
      <c r="H769" s="12">
        <v>19</v>
      </c>
      <c r="I769" s="11" t="s">
        <v>1433</v>
      </c>
      <c r="J769" s="192" t="s">
        <v>208</v>
      </c>
      <c r="K769" s="17" t="s">
        <v>233</v>
      </c>
      <c r="L769" s="17" t="s">
        <v>233</v>
      </c>
      <c r="M769" s="231">
        <v>25</v>
      </c>
      <c r="N769" s="231">
        <v>25</v>
      </c>
      <c r="O769" s="231">
        <v>25</v>
      </c>
      <c r="P769" s="231" t="s">
        <v>239</v>
      </c>
      <c r="Q769" s="231">
        <v>25</v>
      </c>
      <c r="R769" s="231" t="s">
        <v>239</v>
      </c>
      <c r="S769" s="231">
        <v>25</v>
      </c>
      <c r="T769" s="231" t="s">
        <v>239</v>
      </c>
      <c r="U769" s="231">
        <v>25</v>
      </c>
      <c r="V769" s="230" t="s">
        <v>239</v>
      </c>
      <c r="W769" s="231">
        <v>25</v>
      </c>
      <c r="X769" s="231" t="s">
        <v>239</v>
      </c>
      <c r="Y769" s="231">
        <v>25</v>
      </c>
      <c r="Z769" s="231" t="s">
        <v>239</v>
      </c>
      <c r="AA769" s="231">
        <v>25</v>
      </c>
      <c r="AB769" s="231" t="s">
        <v>239</v>
      </c>
      <c r="AC769" s="231">
        <v>25</v>
      </c>
      <c r="AD769" s="231" t="s">
        <v>239</v>
      </c>
      <c r="AE769" s="231">
        <v>25</v>
      </c>
      <c r="AF769" s="231" t="s">
        <v>239</v>
      </c>
      <c r="AG769" s="231">
        <v>25</v>
      </c>
      <c r="AH769" s="231" t="s">
        <v>239</v>
      </c>
      <c r="AI769" s="231">
        <v>25</v>
      </c>
      <c r="AJ769" s="231" t="s">
        <v>239</v>
      </c>
      <c r="AK769" s="231">
        <v>25</v>
      </c>
      <c r="AL769" s="232" t="s">
        <v>239</v>
      </c>
      <c r="AM769" s="232">
        <v>0</v>
      </c>
    </row>
    <row r="770" spans="1:39" ht="15.75" outlineLevel="1">
      <c r="A770" s="412"/>
      <c r="B770" s="10">
        <v>129380</v>
      </c>
      <c r="C770" s="218" t="s">
        <v>1489</v>
      </c>
      <c r="D770" s="218" t="s">
        <v>1490</v>
      </c>
      <c r="E770" s="23" t="s">
        <v>44</v>
      </c>
      <c r="F770" s="17" t="s">
        <v>45</v>
      </c>
      <c r="G770" s="11" t="s">
        <v>1432</v>
      </c>
      <c r="H770" s="12">
        <v>18</v>
      </c>
      <c r="I770" s="11" t="s">
        <v>1433</v>
      </c>
      <c r="J770" s="192" t="s">
        <v>1463</v>
      </c>
      <c r="K770" s="17" t="s">
        <v>233</v>
      </c>
      <c r="L770" s="17" t="s">
        <v>233</v>
      </c>
      <c r="M770" s="231">
        <v>0</v>
      </c>
      <c r="N770" s="232">
        <v>0</v>
      </c>
      <c r="O770" s="132"/>
      <c r="P770" s="231" t="s">
        <v>239</v>
      </c>
      <c r="Q770" s="232">
        <v>0</v>
      </c>
      <c r="R770" s="231" t="s">
        <v>239</v>
      </c>
      <c r="S770" s="232">
        <v>0</v>
      </c>
      <c r="T770" s="231" t="s">
        <v>239</v>
      </c>
      <c r="U770" s="232">
        <v>0</v>
      </c>
      <c r="V770" s="231" t="s">
        <v>239</v>
      </c>
      <c r="W770" s="232">
        <v>0</v>
      </c>
      <c r="X770" s="231" t="s">
        <v>239</v>
      </c>
      <c r="Y770" s="232">
        <v>0</v>
      </c>
      <c r="Z770" s="231" t="s">
        <v>239</v>
      </c>
      <c r="AA770" s="232">
        <v>0</v>
      </c>
      <c r="AB770" s="231" t="s">
        <v>239</v>
      </c>
      <c r="AC770" s="232">
        <v>0</v>
      </c>
      <c r="AD770" s="231" t="s">
        <v>239</v>
      </c>
      <c r="AE770" s="232">
        <v>0</v>
      </c>
      <c r="AF770" s="231" t="s">
        <v>239</v>
      </c>
      <c r="AG770" s="232">
        <v>0</v>
      </c>
      <c r="AH770" s="231" t="s">
        <v>239</v>
      </c>
      <c r="AI770" s="232">
        <v>0</v>
      </c>
      <c r="AJ770" s="231" t="s">
        <v>239</v>
      </c>
      <c r="AK770" s="232">
        <v>0</v>
      </c>
      <c r="AL770" s="232" t="s">
        <v>239</v>
      </c>
      <c r="AM770" s="232">
        <v>0</v>
      </c>
    </row>
    <row r="771" spans="1:39" ht="15.75" outlineLevel="1">
      <c r="A771" s="411">
        <v>381</v>
      </c>
      <c r="B771" s="10">
        <v>129381</v>
      </c>
      <c r="C771" s="218" t="s">
        <v>1489</v>
      </c>
      <c r="D771" s="218" t="s">
        <v>1490</v>
      </c>
      <c r="E771" s="23" t="s">
        <v>138</v>
      </c>
      <c r="F771" s="17" t="s">
        <v>45</v>
      </c>
      <c r="G771" s="11" t="s">
        <v>1432</v>
      </c>
      <c r="H771" s="12">
        <v>13</v>
      </c>
      <c r="I771" s="11" t="s">
        <v>1433</v>
      </c>
      <c r="J771" s="192" t="s">
        <v>1482</v>
      </c>
      <c r="K771" s="17" t="s">
        <v>233</v>
      </c>
      <c r="L771" s="17" t="s">
        <v>233</v>
      </c>
      <c r="M771" s="231">
        <v>0</v>
      </c>
      <c r="N771" s="232">
        <v>0</v>
      </c>
      <c r="O771" s="132"/>
      <c r="P771" s="231" t="s">
        <v>239</v>
      </c>
      <c r="Q771" s="232">
        <v>0</v>
      </c>
      <c r="R771" s="231" t="s">
        <v>239</v>
      </c>
      <c r="S771" s="232">
        <v>0</v>
      </c>
      <c r="T771" s="231" t="s">
        <v>239</v>
      </c>
      <c r="U771" s="232">
        <v>0</v>
      </c>
      <c r="V771" s="231" t="s">
        <v>239</v>
      </c>
      <c r="W771" s="232">
        <v>0</v>
      </c>
      <c r="X771" s="231" t="s">
        <v>239</v>
      </c>
      <c r="Y771" s="232">
        <v>0</v>
      </c>
      <c r="Z771" s="231" t="s">
        <v>239</v>
      </c>
      <c r="AA771" s="232">
        <v>0</v>
      </c>
      <c r="AB771" s="231" t="s">
        <v>239</v>
      </c>
      <c r="AC771" s="232">
        <v>0</v>
      </c>
      <c r="AD771" s="231" t="s">
        <v>239</v>
      </c>
      <c r="AE771" s="232">
        <v>0</v>
      </c>
      <c r="AF771" s="231" t="s">
        <v>239</v>
      </c>
      <c r="AG771" s="232">
        <v>0</v>
      </c>
      <c r="AH771" s="231" t="s">
        <v>239</v>
      </c>
      <c r="AI771" s="232">
        <v>0</v>
      </c>
      <c r="AJ771" s="231" t="s">
        <v>239</v>
      </c>
      <c r="AK771" s="232">
        <v>0</v>
      </c>
      <c r="AL771" s="232" t="s">
        <v>239</v>
      </c>
      <c r="AM771" s="232">
        <v>0</v>
      </c>
    </row>
    <row r="772" spans="1:39" ht="15.75" outlineLevel="1">
      <c r="A772" s="412"/>
      <c r="B772" s="10">
        <v>129381</v>
      </c>
      <c r="C772" s="218" t="s">
        <v>1489</v>
      </c>
      <c r="D772" s="218" t="s">
        <v>1490</v>
      </c>
      <c r="E772" s="23" t="s">
        <v>44</v>
      </c>
      <c r="F772" s="17" t="s">
        <v>45</v>
      </c>
      <c r="G772" s="11" t="s">
        <v>1432</v>
      </c>
      <c r="H772" s="12">
        <v>44</v>
      </c>
      <c r="I772" s="11" t="s">
        <v>1433</v>
      </c>
      <c r="J772" s="192" t="s">
        <v>1462</v>
      </c>
      <c r="K772" s="17" t="s">
        <v>233</v>
      </c>
      <c r="L772" s="17" t="s">
        <v>233</v>
      </c>
      <c r="M772" s="231">
        <v>0</v>
      </c>
      <c r="N772" s="232">
        <v>0</v>
      </c>
      <c r="O772" s="132">
        <v>0</v>
      </c>
      <c r="P772" s="231" t="s">
        <v>239</v>
      </c>
      <c r="Q772" s="232">
        <v>0</v>
      </c>
      <c r="R772" s="231" t="s">
        <v>239</v>
      </c>
      <c r="S772" s="232">
        <v>0</v>
      </c>
      <c r="T772" s="231" t="s">
        <v>239</v>
      </c>
      <c r="U772" s="232">
        <v>0</v>
      </c>
      <c r="V772" s="230" t="s">
        <v>239</v>
      </c>
      <c r="W772" s="232">
        <v>0</v>
      </c>
      <c r="X772" s="231" t="s">
        <v>239</v>
      </c>
      <c r="Y772" s="232">
        <v>0</v>
      </c>
      <c r="Z772" s="231" t="s">
        <v>239</v>
      </c>
      <c r="AA772" s="232">
        <v>0</v>
      </c>
      <c r="AB772" s="231" t="s">
        <v>239</v>
      </c>
      <c r="AC772" s="232">
        <v>0</v>
      </c>
      <c r="AD772" s="231" t="s">
        <v>239</v>
      </c>
      <c r="AE772" s="232">
        <v>0</v>
      </c>
      <c r="AF772" s="231" t="s">
        <v>239</v>
      </c>
      <c r="AG772" s="232">
        <v>0</v>
      </c>
      <c r="AH772" s="231" t="s">
        <v>239</v>
      </c>
      <c r="AI772" s="232">
        <v>0</v>
      </c>
      <c r="AJ772" s="231" t="s">
        <v>239</v>
      </c>
      <c r="AK772" s="232">
        <v>0</v>
      </c>
      <c r="AL772" s="232" t="s">
        <v>239</v>
      </c>
      <c r="AM772" s="232">
        <v>0</v>
      </c>
    </row>
    <row r="773" spans="1:39" ht="15.75" outlineLevel="1">
      <c r="A773" s="411">
        <v>382</v>
      </c>
      <c r="B773" s="10">
        <v>129382</v>
      </c>
      <c r="C773" s="218" t="s">
        <v>1489</v>
      </c>
      <c r="D773" s="218" t="s">
        <v>1490</v>
      </c>
      <c r="E773" s="23" t="s">
        <v>138</v>
      </c>
      <c r="F773" s="17" t="s">
        <v>45</v>
      </c>
      <c r="G773" s="11" t="s">
        <v>1432</v>
      </c>
      <c r="H773" s="12">
        <v>21</v>
      </c>
      <c r="I773" s="11" t="s">
        <v>1433</v>
      </c>
      <c r="J773" s="192" t="s">
        <v>1457</v>
      </c>
      <c r="K773" s="17" t="s">
        <v>233</v>
      </c>
      <c r="L773" s="17" t="s">
        <v>233</v>
      </c>
      <c r="M773" s="231">
        <v>73</v>
      </c>
      <c r="N773" s="231">
        <v>73</v>
      </c>
      <c r="O773" s="231">
        <v>73</v>
      </c>
      <c r="P773" s="231" t="s">
        <v>239</v>
      </c>
      <c r="Q773" s="231">
        <v>73</v>
      </c>
      <c r="R773" s="231" t="s">
        <v>239</v>
      </c>
      <c r="S773" s="231">
        <v>73</v>
      </c>
      <c r="T773" s="231" t="s">
        <v>239</v>
      </c>
      <c r="U773" s="231">
        <v>73</v>
      </c>
      <c r="V773" s="231" t="s">
        <v>239</v>
      </c>
      <c r="W773" s="231">
        <v>73</v>
      </c>
      <c r="X773" s="231" t="s">
        <v>239</v>
      </c>
      <c r="Y773" s="231">
        <v>73</v>
      </c>
      <c r="Z773" s="231" t="s">
        <v>239</v>
      </c>
      <c r="AA773" s="231">
        <v>73</v>
      </c>
      <c r="AB773" s="231" t="s">
        <v>239</v>
      </c>
      <c r="AC773" s="231">
        <v>73</v>
      </c>
      <c r="AD773" s="231" t="s">
        <v>239</v>
      </c>
      <c r="AE773" s="231">
        <v>73</v>
      </c>
      <c r="AF773" s="231" t="s">
        <v>239</v>
      </c>
      <c r="AG773" s="231">
        <v>73</v>
      </c>
      <c r="AH773" s="231" t="s">
        <v>239</v>
      </c>
      <c r="AI773" s="231">
        <v>73</v>
      </c>
      <c r="AJ773" s="231" t="s">
        <v>239</v>
      </c>
      <c r="AK773" s="231">
        <v>73</v>
      </c>
      <c r="AL773" s="232" t="s">
        <v>239</v>
      </c>
      <c r="AM773" s="232">
        <v>0</v>
      </c>
    </row>
    <row r="774" spans="1:39" ht="15.75" outlineLevel="1">
      <c r="A774" s="412"/>
      <c r="B774" s="10">
        <v>129382</v>
      </c>
      <c r="C774" s="218" t="s">
        <v>1489</v>
      </c>
      <c r="D774" s="218" t="s">
        <v>1490</v>
      </c>
      <c r="E774" s="23" t="s">
        <v>44</v>
      </c>
      <c r="F774" s="17" t="s">
        <v>45</v>
      </c>
      <c r="G774" s="11" t="s">
        <v>1432</v>
      </c>
      <c r="H774" s="12">
        <v>19</v>
      </c>
      <c r="I774" s="11" t="s">
        <v>1433</v>
      </c>
      <c r="J774" s="192" t="s">
        <v>617</v>
      </c>
      <c r="K774" s="17" t="s">
        <v>233</v>
      </c>
      <c r="L774" s="17" t="s">
        <v>233</v>
      </c>
      <c r="M774" s="231">
        <v>15082</v>
      </c>
      <c r="N774" s="232">
        <v>14898.90452</v>
      </c>
      <c r="O774" s="132">
        <v>3407</v>
      </c>
      <c r="P774" s="231" t="s">
        <v>239</v>
      </c>
      <c r="Q774" s="232">
        <v>3407</v>
      </c>
      <c r="R774" s="231" t="s">
        <v>239</v>
      </c>
      <c r="S774" s="232">
        <v>2589</v>
      </c>
      <c r="T774" s="231" t="s">
        <v>239</v>
      </c>
      <c r="U774" s="232">
        <v>3191</v>
      </c>
      <c r="V774" s="231" t="s">
        <v>239</v>
      </c>
      <c r="W774" s="232">
        <v>2768</v>
      </c>
      <c r="X774" s="231" t="s">
        <v>239</v>
      </c>
      <c r="Y774" s="232">
        <v>2254</v>
      </c>
      <c r="Z774" s="231" t="s">
        <v>239</v>
      </c>
      <c r="AA774" s="232">
        <v>2238</v>
      </c>
      <c r="AB774" s="231" t="s">
        <v>239</v>
      </c>
      <c r="AC774" s="232">
        <v>2838</v>
      </c>
      <c r="AD774" s="231" t="s">
        <v>239</v>
      </c>
      <c r="AE774" s="232">
        <v>2546</v>
      </c>
      <c r="AF774" s="231" t="s">
        <v>239</v>
      </c>
      <c r="AG774" s="232">
        <v>1822</v>
      </c>
      <c r="AH774" s="231" t="s">
        <v>239</v>
      </c>
      <c r="AI774" s="232">
        <v>2146</v>
      </c>
      <c r="AJ774" s="231" t="s">
        <v>239</v>
      </c>
      <c r="AK774" s="232">
        <v>1638</v>
      </c>
      <c r="AL774" s="232" t="s">
        <v>239</v>
      </c>
      <c r="AM774" s="232">
        <v>30844</v>
      </c>
    </row>
    <row r="775" spans="1:39" ht="15.75" outlineLevel="1">
      <c r="A775" s="411">
        <v>383</v>
      </c>
      <c r="B775" s="10">
        <v>129383</v>
      </c>
      <c r="C775" s="218" t="s">
        <v>1489</v>
      </c>
      <c r="D775" s="218" t="s">
        <v>1490</v>
      </c>
      <c r="E775" s="23" t="s">
        <v>44</v>
      </c>
      <c r="F775" s="17" t="s">
        <v>45</v>
      </c>
      <c r="G775" s="11" t="s">
        <v>1432</v>
      </c>
      <c r="H775" s="12">
        <v>30</v>
      </c>
      <c r="I775" s="11" t="s">
        <v>1433</v>
      </c>
      <c r="J775" s="374" t="s">
        <v>1457</v>
      </c>
      <c r="K775" s="17" t="s">
        <v>233</v>
      </c>
      <c r="L775" s="17" t="s">
        <v>233</v>
      </c>
      <c r="M775" s="231">
        <v>1</v>
      </c>
      <c r="N775" s="231">
        <v>1</v>
      </c>
      <c r="O775" s="231">
        <v>1</v>
      </c>
      <c r="P775" s="231" t="s">
        <v>239</v>
      </c>
      <c r="Q775" s="231">
        <v>1</v>
      </c>
      <c r="R775" s="231" t="s">
        <v>239</v>
      </c>
      <c r="S775" s="231">
        <v>1</v>
      </c>
      <c r="T775" s="231" t="s">
        <v>239</v>
      </c>
      <c r="U775" s="231">
        <v>1</v>
      </c>
      <c r="V775" s="230" t="s">
        <v>239</v>
      </c>
      <c r="W775" s="231">
        <v>1</v>
      </c>
      <c r="X775" s="231" t="s">
        <v>239</v>
      </c>
      <c r="Y775" s="231">
        <v>1</v>
      </c>
      <c r="Z775" s="231" t="s">
        <v>239</v>
      </c>
      <c r="AA775" s="231">
        <v>1</v>
      </c>
      <c r="AB775" s="231" t="s">
        <v>239</v>
      </c>
      <c r="AC775" s="231">
        <v>1</v>
      </c>
      <c r="AD775" s="231" t="s">
        <v>239</v>
      </c>
      <c r="AE775" s="231">
        <v>1</v>
      </c>
      <c r="AF775" s="231" t="s">
        <v>239</v>
      </c>
      <c r="AG775" s="231">
        <v>1</v>
      </c>
      <c r="AH775" s="231" t="s">
        <v>239</v>
      </c>
      <c r="AI775" s="231">
        <v>1</v>
      </c>
      <c r="AJ775" s="231" t="s">
        <v>239</v>
      </c>
      <c r="AK775" s="231">
        <v>1</v>
      </c>
      <c r="AL775" s="232" t="s">
        <v>239</v>
      </c>
      <c r="AM775" s="232">
        <v>0</v>
      </c>
    </row>
    <row r="776" spans="1:39" ht="15.75" outlineLevel="1">
      <c r="A776" s="412"/>
      <c r="B776" s="10">
        <v>129383</v>
      </c>
      <c r="C776" s="218" t="s">
        <v>1489</v>
      </c>
      <c r="D776" s="218" t="s">
        <v>1490</v>
      </c>
      <c r="E776" s="23" t="s">
        <v>138</v>
      </c>
      <c r="F776" s="17" t="s">
        <v>45</v>
      </c>
      <c r="G776" s="11" t="s">
        <v>1432</v>
      </c>
      <c r="H776" s="12">
        <v>33</v>
      </c>
      <c r="I776" s="11" t="s">
        <v>1433</v>
      </c>
      <c r="J776" s="375"/>
      <c r="K776" s="17" t="s">
        <v>233</v>
      </c>
      <c r="L776" s="17" t="s">
        <v>233</v>
      </c>
      <c r="M776" s="231">
        <v>8064</v>
      </c>
      <c r="N776" s="232">
        <v>7966.10304</v>
      </c>
      <c r="O776" s="132">
        <v>1300</v>
      </c>
      <c r="P776" s="231" t="s">
        <v>239</v>
      </c>
      <c r="Q776" s="232">
        <v>1300</v>
      </c>
      <c r="R776" s="231" t="s">
        <v>239</v>
      </c>
      <c r="S776" s="232">
        <v>1334</v>
      </c>
      <c r="T776" s="231" t="s">
        <v>239</v>
      </c>
      <c r="U776" s="232">
        <v>1182</v>
      </c>
      <c r="V776" s="231" t="s">
        <v>239</v>
      </c>
      <c r="W776" s="232">
        <v>1143</v>
      </c>
      <c r="X776" s="231" t="s">
        <v>239</v>
      </c>
      <c r="Y776" s="232">
        <v>1611</v>
      </c>
      <c r="Z776" s="231" t="s">
        <v>239</v>
      </c>
      <c r="AA776" s="232">
        <v>1470</v>
      </c>
      <c r="AB776" s="231" t="s">
        <v>239</v>
      </c>
      <c r="AC776" s="232">
        <v>1065</v>
      </c>
      <c r="AD776" s="231" t="s">
        <v>239</v>
      </c>
      <c r="AE776" s="232">
        <v>1139</v>
      </c>
      <c r="AF776" s="231" t="s">
        <v>239</v>
      </c>
      <c r="AG776" s="232">
        <v>1129</v>
      </c>
      <c r="AH776" s="231" t="s">
        <v>239</v>
      </c>
      <c r="AI776" s="232">
        <v>1275</v>
      </c>
      <c r="AJ776" s="231" t="s">
        <v>239</v>
      </c>
      <c r="AK776" s="232">
        <v>1235</v>
      </c>
      <c r="AL776" s="232" t="s">
        <v>239</v>
      </c>
      <c r="AM776" s="232">
        <v>15183</v>
      </c>
    </row>
    <row r="777" spans="1:39" ht="15.75" outlineLevel="1">
      <c r="A777" s="411">
        <v>384</v>
      </c>
      <c r="B777" s="10">
        <v>129384</v>
      </c>
      <c r="C777" s="218" t="s">
        <v>1489</v>
      </c>
      <c r="D777" s="218" t="s">
        <v>1490</v>
      </c>
      <c r="E777" s="23" t="s">
        <v>44</v>
      </c>
      <c r="F777" s="17" t="s">
        <v>45</v>
      </c>
      <c r="G777" s="11" t="s">
        <v>1432</v>
      </c>
      <c r="H777" s="12">
        <v>19</v>
      </c>
      <c r="I777" s="11" t="s">
        <v>1433</v>
      </c>
      <c r="J777" s="193" t="s">
        <v>1460</v>
      </c>
      <c r="K777" s="17" t="s">
        <v>233</v>
      </c>
      <c r="L777" s="17" t="s">
        <v>233</v>
      </c>
      <c r="M777" s="231">
        <v>1</v>
      </c>
      <c r="N777" s="231">
        <v>1</v>
      </c>
      <c r="O777" s="231">
        <v>1</v>
      </c>
      <c r="P777" s="231" t="s">
        <v>239</v>
      </c>
      <c r="Q777" s="231">
        <v>1</v>
      </c>
      <c r="R777" s="231" t="s">
        <v>239</v>
      </c>
      <c r="S777" s="231">
        <v>1</v>
      </c>
      <c r="T777" s="231" t="s">
        <v>239</v>
      </c>
      <c r="U777" s="231">
        <v>1</v>
      </c>
      <c r="V777" s="231" t="s">
        <v>239</v>
      </c>
      <c r="W777" s="231">
        <v>1</v>
      </c>
      <c r="X777" s="231" t="s">
        <v>239</v>
      </c>
      <c r="Y777" s="231">
        <v>1</v>
      </c>
      <c r="Z777" s="231" t="s">
        <v>239</v>
      </c>
      <c r="AA777" s="231">
        <v>1</v>
      </c>
      <c r="AB777" s="231" t="s">
        <v>239</v>
      </c>
      <c r="AC777" s="231">
        <v>1</v>
      </c>
      <c r="AD777" s="231" t="s">
        <v>239</v>
      </c>
      <c r="AE777" s="231">
        <v>1</v>
      </c>
      <c r="AF777" s="231" t="s">
        <v>239</v>
      </c>
      <c r="AG777" s="231">
        <v>1</v>
      </c>
      <c r="AH777" s="231" t="s">
        <v>239</v>
      </c>
      <c r="AI777" s="231">
        <v>1</v>
      </c>
      <c r="AJ777" s="231" t="s">
        <v>239</v>
      </c>
      <c r="AK777" s="231">
        <v>1</v>
      </c>
      <c r="AL777" s="232" t="s">
        <v>239</v>
      </c>
      <c r="AM777" s="232">
        <v>0</v>
      </c>
    </row>
    <row r="778" spans="1:39" ht="15.75" outlineLevel="1">
      <c r="A778" s="412"/>
      <c r="B778" s="10">
        <v>129384</v>
      </c>
      <c r="C778" s="218" t="s">
        <v>1489</v>
      </c>
      <c r="D778" s="218" t="s">
        <v>1490</v>
      </c>
      <c r="E778" s="23" t="s">
        <v>138</v>
      </c>
      <c r="F778" s="17" t="s">
        <v>45</v>
      </c>
      <c r="G778" s="11" t="s">
        <v>1432</v>
      </c>
      <c r="H778" s="12">
        <v>6</v>
      </c>
      <c r="I778" s="11" t="s">
        <v>1433</v>
      </c>
      <c r="J778" s="193" t="s">
        <v>1442</v>
      </c>
      <c r="K778" s="17" t="s">
        <v>233</v>
      </c>
      <c r="L778" s="17" t="s">
        <v>233</v>
      </c>
      <c r="M778" s="231">
        <v>0</v>
      </c>
      <c r="N778" s="232">
        <v>0</v>
      </c>
      <c r="O778" s="132">
        <v>0</v>
      </c>
      <c r="P778" s="231" t="s">
        <v>239</v>
      </c>
      <c r="Q778" s="232">
        <v>0</v>
      </c>
      <c r="R778" s="231" t="s">
        <v>239</v>
      </c>
      <c r="S778" s="232">
        <v>0</v>
      </c>
      <c r="T778" s="231" t="s">
        <v>239</v>
      </c>
      <c r="U778" s="232">
        <v>0</v>
      </c>
      <c r="V778" s="230" t="s">
        <v>239</v>
      </c>
      <c r="W778" s="232">
        <v>0</v>
      </c>
      <c r="X778" s="231" t="s">
        <v>239</v>
      </c>
      <c r="Y778" s="232">
        <v>0</v>
      </c>
      <c r="Z778" s="231" t="s">
        <v>239</v>
      </c>
      <c r="AA778" s="232">
        <v>0</v>
      </c>
      <c r="AB778" s="231" t="s">
        <v>239</v>
      </c>
      <c r="AC778" s="232">
        <v>0</v>
      </c>
      <c r="AD778" s="231" t="s">
        <v>239</v>
      </c>
      <c r="AE778" s="232">
        <v>0</v>
      </c>
      <c r="AF778" s="231" t="s">
        <v>239</v>
      </c>
      <c r="AG778" s="232">
        <v>0</v>
      </c>
      <c r="AH778" s="231" t="s">
        <v>239</v>
      </c>
      <c r="AI778" s="232">
        <v>0</v>
      </c>
      <c r="AJ778" s="231" t="s">
        <v>239</v>
      </c>
      <c r="AK778" s="232">
        <v>0</v>
      </c>
      <c r="AL778" s="232" t="s">
        <v>239</v>
      </c>
      <c r="AM778" s="232">
        <v>0</v>
      </c>
    </row>
    <row r="779" spans="1:39" ht="15.75" outlineLevel="1">
      <c r="A779" s="411">
        <v>385</v>
      </c>
      <c r="B779" s="10">
        <v>129385</v>
      </c>
      <c r="C779" s="218" t="s">
        <v>1489</v>
      </c>
      <c r="D779" s="218" t="s">
        <v>1490</v>
      </c>
      <c r="E779" s="23" t="s">
        <v>44</v>
      </c>
      <c r="F779" s="17" t="s">
        <v>45</v>
      </c>
      <c r="G779" s="11" t="s">
        <v>1432</v>
      </c>
      <c r="H779" s="12">
        <v>15</v>
      </c>
      <c r="I779" s="11" t="s">
        <v>1433</v>
      </c>
      <c r="J779" s="193" t="s">
        <v>1460</v>
      </c>
      <c r="K779" s="17" t="s">
        <v>233</v>
      </c>
      <c r="L779" s="17" t="s">
        <v>233</v>
      </c>
      <c r="M779" s="231">
        <v>1</v>
      </c>
      <c r="N779" s="231">
        <v>1</v>
      </c>
      <c r="O779" s="231">
        <v>1</v>
      </c>
      <c r="P779" s="231" t="s">
        <v>239</v>
      </c>
      <c r="Q779" s="231">
        <v>1</v>
      </c>
      <c r="R779" s="231" t="s">
        <v>239</v>
      </c>
      <c r="S779" s="231">
        <v>1</v>
      </c>
      <c r="T779" s="231" t="s">
        <v>239</v>
      </c>
      <c r="U779" s="231">
        <v>1</v>
      </c>
      <c r="V779" s="231" t="s">
        <v>239</v>
      </c>
      <c r="W779" s="231">
        <v>1</v>
      </c>
      <c r="X779" s="231" t="s">
        <v>239</v>
      </c>
      <c r="Y779" s="231">
        <v>1</v>
      </c>
      <c r="Z779" s="231" t="s">
        <v>239</v>
      </c>
      <c r="AA779" s="231">
        <v>1</v>
      </c>
      <c r="AB779" s="231" t="s">
        <v>239</v>
      </c>
      <c r="AC779" s="231">
        <v>1</v>
      </c>
      <c r="AD779" s="231" t="s">
        <v>239</v>
      </c>
      <c r="AE779" s="231">
        <v>1</v>
      </c>
      <c r="AF779" s="231" t="s">
        <v>239</v>
      </c>
      <c r="AG779" s="231">
        <v>1</v>
      </c>
      <c r="AH779" s="231" t="s">
        <v>239</v>
      </c>
      <c r="AI779" s="231">
        <v>1</v>
      </c>
      <c r="AJ779" s="231" t="s">
        <v>239</v>
      </c>
      <c r="AK779" s="231">
        <v>1</v>
      </c>
      <c r="AL779" s="232" t="s">
        <v>239</v>
      </c>
      <c r="AM779" s="232">
        <v>0</v>
      </c>
    </row>
    <row r="780" spans="1:39" ht="15.75" outlineLevel="1">
      <c r="A780" s="412"/>
      <c r="B780" s="10">
        <v>129385</v>
      </c>
      <c r="C780" s="218" t="s">
        <v>1489</v>
      </c>
      <c r="D780" s="218" t="s">
        <v>1490</v>
      </c>
      <c r="E780" s="23" t="s">
        <v>44</v>
      </c>
      <c r="F780" s="17" t="s">
        <v>45</v>
      </c>
      <c r="G780" s="11" t="s">
        <v>1432</v>
      </c>
      <c r="H780" s="12">
        <v>19</v>
      </c>
      <c r="I780" s="11" t="s">
        <v>1433</v>
      </c>
      <c r="J780" s="193" t="s">
        <v>1457</v>
      </c>
      <c r="K780" s="17" t="s">
        <v>233</v>
      </c>
      <c r="L780" s="17" t="s">
        <v>233</v>
      </c>
      <c r="M780" s="231">
        <v>3016</v>
      </c>
      <c r="N780" s="232">
        <v>2979.3857599999997</v>
      </c>
      <c r="O780" s="132">
        <v>139</v>
      </c>
      <c r="P780" s="231" t="s">
        <v>239</v>
      </c>
      <c r="Q780" s="232">
        <v>137.28335000000001</v>
      </c>
      <c r="R780" s="231" t="s">
        <v>239</v>
      </c>
      <c r="S780" s="232">
        <v>135.58790062750001</v>
      </c>
      <c r="T780" s="231" t="s">
        <v>239</v>
      </c>
      <c r="U780" s="232">
        <v>133.91339005475038</v>
      </c>
      <c r="V780" s="231" t="s">
        <v>239</v>
      </c>
      <c r="W780" s="232">
        <v>132.25955968757421</v>
      </c>
      <c r="X780" s="231" t="s">
        <v>239</v>
      </c>
      <c r="Y780" s="232">
        <v>130.62615412543266</v>
      </c>
      <c r="Z780" s="231" t="s">
        <v>239</v>
      </c>
      <c r="AA780" s="232">
        <v>129.01292112198357</v>
      </c>
      <c r="AB780" s="231" t="s">
        <v>239</v>
      </c>
      <c r="AC780" s="232">
        <v>127.41961154612707</v>
      </c>
      <c r="AD780" s="231" t="s">
        <v>239</v>
      </c>
      <c r="AE780" s="232">
        <v>125.84597934353241</v>
      </c>
      <c r="AF780" s="231" t="s">
        <v>239</v>
      </c>
      <c r="AG780" s="232">
        <v>124.29178149863978</v>
      </c>
      <c r="AH780" s="231" t="s">
        <v>239</v>
      </c>
      <c r="AI780" s="232">
        <v>122.75677799713158</v>
      </c>
      <c r="AJ780" s="231" t="s">
        <v>239</v>
      </c>
      <c r="AK780" s="232">
        <v>121.24073178886701</v>
      </c>
      <c r="AL780" s="232" t="s">
        <v>239</v>
      </c>
      <c r="AM780" s="232">
        <v>1559.2381577915387</v>
      </c>
    </row>
    <row r="781" spans="1:39" ht="15.75" outlineLevel="1">
      <c r="A781" s="411">
        <v>386</v>
      </c>
      <c r="B781" s="10">
        <v>129386</v>
      </c>
      <c r="C781" s="218" t="s">
        <v>1489</v>
      </c>
      <c r="D781" s="218" t="s">
        <v>1490</v>
      </c>
      <c r="E781" s="23" t="s">
        <v>138</v>
      </c>
      <c r="F781" s="17" t="s">
        <v>45</v>
      </c>
      <c r="G781" s="11" t="s">
        <v>1432</v>
      </c>
      <c r="H781" s="12">
        <v>22</v>
      </c>
      <c r="I781" s="11" t="s">
        <v>1433</v>
      </c>
      <c r="J781" s="193" t="s">
        <v>617</v>
      </c>
      <c r="K781" s="17" t="s">
        <v>233</v>
      </c>
      <c r="L781" s="17" t="s">
        <v>233</v>
      </c>
      <c r="M781" s="231">
        <v>49.5</v>
      </c>
      <c r="N781" s="231">
        <v>49.5</v>
      </c>
      <c r="O781" s="231">
        <v>49.5</v>
      </c>
      <c r="P781" s="231" t="s">
        <v>239</v>
      </c>
      <c r="Q781" s="231">
        <v>49.5</v>
      </c>
      <c r="R781" s="231" t="s">
        <v>239</v>
      </c>
      <c r="S781" s="231">
        <v>49.5</v>
      </c>
      <c r="T781" s="231" t="s">
        <v>239</v>
      </c>
      <c r="U781" s="231">
        <v>49.5</v>
      </c>
      <c r="V781" s="230" t="s">
        <v>239</v>
      </c>
      <c r="W781" s="231">
        <v>49.5</v>
      </c>
      <c r="X781" s="231" t="s">
        <v>239</v>
      </c>
      <c r="Y781" s="231">
        <v>49.5</v>
      </c>
      <c r="Z781" s="231" t="s">
        <v>239</v>
      </c>
      <c r="AA781" s="231">
        <v>49.5</v>
      </c>
      <c r="AB781" s="231" t="s">
        <v>239</v>
      </c>
      <c r="AC781" s="231">
        <v>49.5</v>
      </c>
      <c r="AD781" s="231" t="s">
        <v>239</v>
      </c>
      <c r="AE781" s="231">
        <v>49.5</v>
      </c>
      <c r="AF781" s="231" t="s">
        <v>239</v>
      </c>
      <c r="AG781" s="231">
        <v>49.5</v>
      </c>
      <c r="AH781" s="231" t="s">
        <v>239</v>
      </c>
      <c r="AI781" s="231">
        <v>49.5</v>
      </c>
      <c r="AJ781" s="231" t="s">
        <v>239</v>
      </c>
      <c r="AK781" s="231">
        <v>49.5</v>
      </c>
      <c r="AL781" s="232" t="s">
        <v>239</v>
      </c>
      <c r="AM781" s="232">
        <v>0</v>
      </c>
    </row>
    <row r="782" spans="1:39" ht="15.75" outlineLevel="1">
      <c r="A782" s="412"/>
      <c r="B782" s="10">
        <v>129386</v>
      </c>
      <c r="C782" s="218" t="s">
        <v>1489</v>
      </c>
      <c r="D782" s="218" t="s">
        <v>1490</v>
      </c>
      <c r="E782" s="23" t="s">
        <v>44</v>
      </c>
      <c r="F782" s="17" t="s">
        <v>45</v>
      </c>
      <c r="G782" s="11" t="s">
        <v>1432</v>
      </c>
      <c r="H782" s="12">
        <v>15</v>
      </c>
      <c r="I782" s="11" t="s">
        <v>1433</v>
      </c>
      <c r="J782" s="193" t="s">
        <v>216</v>
      </c>
      <c r="K782" s="17" t="s">
        <v>233</v>
      </c>
      <c r="L782" s="17" t="s">
        <v>233</v>
      </c>
      <c r="M782" s="231">
        <v>32472</v>
      </c>
      <c r="N782" s="232">
        <v>32077.789919999999</v>
      </c>
      <c r="O782" s="132">
        <v>193</v>
      </c>
      <c r="P782" s="231" t="s">
        <v>239</v>
      </c>
      <c r="Q782" s="232">
        <v>190.61645000000001</v>
      </c>
      <c r="R782" s="231" t="s">
        <v>239</v>
      </c>
      <c r="S782" s="232">
        <v>188.26233684250002</v>
      </c>
      <c r="T782" s="231" t="s">
        <v>239</v>
      </c>
      <c r="U782" s="232">
        <v>185.93729698249516</v>
      </c>
      <c r="V782" s="231" t="s">
        <v>239</v>
      </c>
      <c r="W782" s="232">
        <v>183.64097136476136</v>
      </c>
      <c r="X782" s="231" t="s">
        <v>239</v>
      </c>
      <c r="Y782" s="232">
        <v>181.37300536840655</v>
      </c>
      <c r="Z782" s="231" t="s">
        <v>239</v>
      </c>
      <c r="AA782" s="232">
        <v>179.13304875210673</v>
      </c>
      <c r="AB782" s="231" t="s">
        <v>239</v>
      </c>
      <c r="AC782" s="232">
        <v>176.92075560001823</v>
      </c>
      <c r="AD782" s="231" t="s">
        <v>239</v>
      </c>
      <c r="AE782" s="232">
        <v>174.735784268358</v>
      </c>
      <c r="AF782" s="231" t="s">
        <v>239</v>
      </c>
      <c r="AG782" s="232">
        <v>172.5777973326438</v>
      </c>
      <c r="AH782" s="231" t="s">
        <v>239</v>
      </c>
      <c r="AI782" s="232">
        <v>170.44646153558566</v>
      </c>
      <c r="AJ782" s="231" t="s">
        <v>239</v>
      </c>
      <c r="AK782" s="232">
        <v>168.34144773562119</v>
      </c>
      <c r="AL782" s="232" t="s">
        <v>239</v>
      </c>
      <c r="AM782" s="232">
        <v>2164.9853557824968</v>
      </c>
    </row>
    <row r="783" spans="1:39" ht="15.75" outlineLevel="1">
      <c r="A783" s="411">
        <v>387</v>
      </c>
      <c r="B783" s="10">
        <v>129387</v>
      </c>
      <c r="C783" s="218" t="s">
        <v>1489</v>
      </c>
      <c r="D783" s="218" t="s">
        <v>1490</v>
      </c>
      <c r="E783" s="23" t="s">
        <v>138</v>
      </c>
      <c r="F783" s="17" t="s">
        <v>45</v>
      </c>
      <c r="G783" s="11" t="s">
        <v>1432</v>
      </c>
      <c r="H783" s="12">
        <v>19</v>
      </c>
      <c r="I783" s="11" t="s">
        <v>1433</v>
      </c>
      <c r="J783" s="193" t="s">
        <v>1449</v>
      </c>
      <c r="K783" s="17" t="s">
        <v>233</v>
      </c>
      <c r="L783" s="17" t="s">
        <v>233</v>
      </c>
      <c r="M783" s="231">
        <v>56</v>
      </c>
      <c r="N783" s="231">
        <v>56</v>
      </c>
      <c r="O783" s="231">
        <v>56</v>
      </c>
      <c r="P783" s="231" t="s">
        <v>239</v>
      </c>
      <c r="Q783" s="231">
        <v>56</v>
      </c>
      <c r="R783" s="231" t="s">
        <v>239</v>
      </c>
      <c r="S783" s="231">
        <v>56</v>
      </c>
      <c r="T783" s="231" t="s">
        <v>239</v>
      </c>
      <c r="U783" s="231">
        <v>56</v>
      </c>
      <c r="V783" s="231" t="s">
        <v>239</v>
      </c>
      <c r="W783" s="231">
        <v>56</v>
      </c>
      <c r="X783" s="231" t="s">
        <v>239</v>
      </c>
      <c r="Y783" s="231">
        <v>56</v>
      </c>
      <c r="Z783" s="231" t="s">
        <v>239</v>
      </c>
      <c r="AA783" s="231">
        <v>56</v>
      </c>
      <c r="AB783" s="231" t="s">
        <v>239</v>
      </c>
      <c r="AC783" s="231">
        <v>56</v>
      </c>
      <c r="AD783" s="231" t="s">
        <v>239</v>
      </c>
      <c r="AE783" s="231">
        <v>56</v>
      </c>
      <c r="AF783" s="231" t="s">
        <v>239</v>
      </c>
      <c r="AG783" s="231">
        <v>56</v>
      </c>
      <c r="AH783" s="231" t="s">
        <v>239</v>
      </c>
      <c r="AI783" s="231">
        <v>56</v>
      </c>
      <c r="AJ783" s="231" t="s">
        <v>239</v>
      </c>
      <c r="AK783" s="231">
        <v>56</v>
      </c>
      <c r="AL783" s="232" t="s">
        <v>239</v>
      </c>
      <c r="AM783" s="232">
        <v>0</v>
      </c>
    </row>
    <row r="784" spans="1:39" ht="15.75" outlineLevel="1">
      <c r="A784" s="412"/>
      <c r="B784" s="10">
        <v>129387</v>
      </c>
      <c r="C784" s="218" t="s">
        <v>1489</v>
      </c>
      <c r="D784" s="218" t="s">
        <v>1490</v>
      </c>
      <c r="E784" s="23" t="s">
        <v>44</v>
      </c>
      <c r="F784" s="17" t="s">
        <v>45</v>
      </c>
      <c r="G784" s="11" t="s">
        <v>1432</v>
      </c>
      <c r="H784" s="12">
        <v>22</v>
      </c>
      <c r="I784" s="11" t="s">
        <v>1433</v>
      </c>
      <c r="J784" s="193" t="s">
        <v>1450</v>
      </c>
      <c r="K784" s="17" t="s">
        <v>233</v>
      </c>
      <c r="L784" s="17" t="s">
        <v>233</v>
      </c>
      <c r="M784" s="231">
        <v>71841</v>
      </c>
      <c r="N784" s="232">
        <v>70968.850259999992</v>
      </c>
      <c r="O784" s="132">
        <v>5916</v>
      </c>
      <c r="P784" s="231" t="s">
        <v>239</v>
      </c>
      <c r="Q784" s="232">
        <v>5842.9373999999998</v>
      </c>
      <c r="R784" s="231" t="s">
        <v>239</v>
      </c>
      <c r="S784" s="232">
        <v>5770.7771231099996</v>
      </c>
      <c r="T784" s="231" t="s">
        <v>239</v>
      </c>
      <c r="U784" s="232">
        <v>5699.5080256395913</v>
      </c>
      <c r="V784" s="230" t="s">
        <v>239</v>
      </c>
      <c r="W784" s="232">
        <v>5629.1191015229424</v>
      </c>
      <c r="X784" s="231" t="s">
        <v>239</v>
      </c>
      <c r="Y784" s="232">
        <v>5559.5994806191338</v>
      </c>
      <c r="Z784" s="231" t="s">
        <v>239</v>
      </c>
      <c r="AA784" s="232">
        <v>5490.9384270334876</v>
      </c>
      <c r="AB784" s="231" t="s">
        <v>239</v>
      </c>
      <c r="AC784" s="232">
        <v>5423.1253374596245</v>
      </c>
      <c r="AD784" s="231" t="s">
        <v>239</v>
      </c>
      <c r="AE784" s="232">
        <v>5356.1497395419983</v>
      </c>
      <c r="AF784" s="231" t="s">
        <v>239</v>
      </c>
      <c r="AG784" s="232">
        <v>5290.001290258655</v>
      </c>
      <c r="AH784" s="231" t="s">
        <v>239</v>
      </c>
      <c r="AI784" s="232">
        <v>5224.6697743239611</v>
      </c>
      <c r="AJ784" s="231" t="s">
        <v>239</v>
      </c>
      <c r="AK784" s="232">
        <v>5160.1451026110599</v>
      </c>
      <c r="AL784" s="232" t="s">
        <v>239</v>
      </c>
      <c r="AM784" s="232">
        <v>66362.970802120457</v>
      </c>
    </row>
    <row r="785" spans="1:39" ht="15.75" outlineLevel="1">
      <c r="A785" s="411">
        <v>388</v>
      </c>
      <c r="B785" s="10">
        <v>129388</v>
      </c>
      <c r="C785" s="218" t="s">
        <v>1489</v>
      </c>
      <c r="D785" s="218" t="s">
        <v>1490</v>
      </c>
      <c r="E785" s="23" t="s">
        <v>44</v>
      </c>
      <c r="F785" s="17" t="s">
        <v>45</v>
      </c>
      <c r="G785" s="11" t="s">
        <v>1432</v>
      </c>
      <c r="H785" s="12">
        <v>24</v>
      </c>
      <c r="I785" s="11" t="s">
        <v>1433</v>
      </c>
      <c r="J785" s="193" t="s">
        <v>1451</v>
      </c>
      <c r="K785" s="17" t="s">
        <v>233</v>
      </c>
      <c r="L785" s="17" t="s">
        <v>233</v>
      </c>
      <c r="M785" s="231">
        <v>56</v>
      </c>
      <c r="N785" s="231">
        <v>56</v>
      </c>
      <c r="O785" s="231">
        <v>56</v>
      </c>
      <c r="P785" s="231" t="s">
        <v>239</v>
      </c>
      <c r="Q785" s="231">
        <v>56</v>
      </c>
      <c r="R785" s="231" t="s">
        <v>239</v>
      </c>
      <c r="S785" s="231">
        <v>56</v>
      </c>
      <c r="T785" s="231" t="s">
        <v>239</v>
      </c>
      <c r="U785" s="231">
        <v>56</v>
      </c>
      <c r="V785" s="231" t="s">
        <v>239</v>
      </c>
      <c r="W785" s="231">
        <v>56</v>
      </c>
      <c r="X785" s="231" t="s">
        <v>239</v>
      </c>
      <c r="Y785" s="231">
        <v>56</v>
      </c>
      <c r="Z785" s="231" t="s">
        <v>239</v>
      </c>
      <c r="AA785" s="231">
        <v>56</v>
      </c>
      <c r="AB785" s="231" t="s">
        <v>239</v>
      </c>
      <c r="AC785" s="231">
        <v>56</v>
      </c>
      <c r="AD785" s="231" t="s">
        <v>239</v>
      </c>
      <c r="AE785" s="231">
        <v>56</v>
      </c>
      <c r="AF785" s="231" t="s">
        <v>239</v>
      </c>
      <c r="AG785" s="231">
        <v>56</v>
      </c>
      <c r="AH785" s="231" t="s">
        <v>239</v>
      </c>
      <c r="AI785" s="231">
        <v>56</v>
      </c>
      <c r="AJ785" s="231" t="s">
        <v>239</v>
      </c>
      <c r="AK785" s="231">
        <v>56</v>
      </c>
      <c r="AL785" s="232" t="s">
        <v>239</v>
      </c>
      <c r="AM785" s="232">
        <v>0</v>
      </c>
    </row>
    <row r="786" spans="1:39" ht="15.75" outlineLevel="1">
      <c r="A786" s="412"/>
      <c r="B786" s="10">
        <v>129388</v>
      </c>
      <c r="C786" s="218" t="s">
        <v>1489</v>
      </c>
      <c r="D786" s="218" t="s">
        <v>1490</v>
      </c>
      <c r="E786" s="23" t="s">
        <v>138</v>
      </c>
      <c r="F786" s="17" t="s">
        <v>45</v>
      </c>
      <c r="G786" s="11" t="s">
        <v>1432</v>
      </c>
      <c r="H786" s="12">
        <v>16</v>
      </c>
      <c r="I786" s="11" t="s">
        <v>1433</v>
      </c>
      <c r="J786" s="193" t="s">
        <v>208</v>
      </c>
      <c r="K786" s="17" t="s">
        <v>233</v>
      </c>
      <c r="L786" s="17" t="s">
        <v>233</v>
      </c>
      <c r="M786" s="231">
        <v>0</v>
      </c>
      <c r="N786" s="232">
        <v>0</v>
      </c>
      <c r="O786" s="132"/>
      <c r="P786" s="231" t="s">
        <v>239</v>
      </c>
      <c r="Q786" s="232">
        <v>0</v>
      </c>
      <c r="R786" s="231" t="s">
        <v>239</v>
      </c>
      <c r="S786" s="232">
        <v>0</v>
      </c>
      <c r="T786" s="231" t="s">
        <v>239</v>
      </c>
      <c r="U786" s="232">
        <v>0</v>
      </c>
      <c r="V786" s="231" t="s">
        <v>239</v>
      </c>
      <c r="W786" s="232">
        <v>0</v>
      </c>
      <c r="X786" s="231" t="s">
        <v>239</v>
      </c>
      <c r="Y786" s="232">
        <v>0</v>
      </c>
      <c r="Z786" s="231" t="s">
        <v>239</v>
      </c>
      <c r="AA786" s="232">
        <v>0</v>
      </c>
      <c r="AB786" s="231" t="s">
        <v>239</v>
      </c>
      <c r="AC786" s="232">
        <v>0</v>
      </c>
      <c r="AD786" s="231" t="s">
        <v>239</v>
      </c>
      <c r="AE786" s="232">
        <v>0</v>
      </c>
      <c r="AF786" s="231" t="s">
        <v>239</v>
      </c>
      <c r="AG786" s="232">
        <v>0</v>
      </c>
      <c r="AH786" s="231" t="s">
        <v>239</v>
      </c>
      <c r="AI786" s="232">
        <v>0</v>
      </c>
      <c r="AJ786" s="231" t="s">
        <v>239</v>
      </c>
      <c r="AK786" s="232">
        <v>0</v>
      </c>
      <c r="AL786" s="232" t="s">
        <v>239</v>
      </c>
      <c r="AM786" s="232">
        <v>0</v>
      </c>
    </row>
    <row r="787" spans="1:39" ht="15.75" outlineLevel="1">
      <c r="A787" s="411">
        <v>389</v>
      </c>
      <c r="B787" s="10">
        <v>129389</v>
      </c>
      <c r="C787" s="218" t="s">
        <v>1489</v>
      </c>
      <c r="D787" s="218" t="s">
        <v>1490</v>
      </c>
      <c r="E787" s="23" t="s">
        <v>44</v>
      </c>
      <c r="F787" s="17" t="s">
        <v>45</v>
      </c>
      <c r="G787" s="11" t="s">
        <v>1432</v>
      </c>
      <c r="H787" s="12">
        <v>5</v>
      </c>
      <c r="I787" s="11" t="s">
        <v>1433</v>
      </c>
      <c r="J787" s="193" t="s">
        <v>1452</v>
      </c>
      <c r="K787" s="17" t="s">
        <v>233</v>
      </c>
      <c r="L787" s="17" t="s">
        <v>233</v>
      </c>
      <c r="M787" s="231">
        <v>56</v>
      </c>
      <c r="N787" s="231">
        <v>56</v>
      </c>
      <c r="O787" s="231">
        <v>56</v>
      </c>
      <c r="P787" s="231" t="s">
        <v>239</v>
      </c>
      <c r="Q787" s="231">
        <v>56</v>
      </c>
      <c r="R787" s="231" t="s">
        <v>239</v>
      </c>
      <c r="S787" s="231">
        <v>56</v>
      </c>
      <c r="T787" s="231" t="s">
        <v>239</v>
      </c>
      <c r="U787" s="231">
        <v>56</v>
      </c>
      <c r="V787" s="230" t="s">
        <v>239</v>
      </c>
      <c r="W787" s="231">
        <v>56</v>
      </c>
      <c r="X787" s="231" t="s">
        <v>239</v>
      </c>
      <c r="Y787" s="231">
        <v>56</v>
      </c>
      <c r="Z787" s="231" t="s">
        <v>239</v>
      </c>
      <c r="AA787" s="231">
        <v>56</v>
      </c>
      <c r="AB787" s="231" t="s">
        <v>239</v>
      </c>
      <c r="AC787" s="231">
        <v>56</v>
      </c>
      <c r="AD787" s="231" t="s">
        <v>239</v>
      </c>
      <c r="AE787" s="231">
        <v>56</v>
      </c>
      <c r="AF787" s="231" t="s">
        <v>239</v>
      </c>
      <c r="AG787" s="231">
        <v>56</v>
      </c>
      <c r="AH787" s="231" t="s">
        <v>239</v>
      </c>
      <c r="AI787" s="231">
        <v>56</v>
      </c>
      <c r="AJ787" s="231" t="s">
        <v>239</v>
      </c>
      <c r="AK787" s="231">
        <v>56</v>
      </c>
      <c r="AL787" s="232" t="s">
        <v>239</v>
      </c>
      <c r="AM787" s="232">
        <v>0</v>
      </c>
    </row>
    <row r="788" spans="1:39" ht="15.75" outlineLevel="1">
      <c r="A788" s="412"/>
      <c r="B788" s="10">
        <v>129389</v>
      </c>
      <c r="C788" s="218" t="s">
        <v>1489</v>
      </c>
      <c r="D788" s="218" t="s">
        <v>1490</v>
      </c>
      <c r="E788" s="23" t="s">
        <v>138</v>
      </c>
      <c r="F788" s="17" t="s">
        <v>45</v>
      </c>
      <c r="G788" s="11" t="s">
        <v>1432</v>
      </c>
      <c r="H788" s="12">
        <v>17</v>
      </c>
      <c r="I788" s="11" t="s">
        <v>1433</v>
      </c>
      <c r="J788" s="193" t="s">
        <v>216</v>
      </c>
      <c r="K788" s="17" t="s">
        <v>233</v>
      </c>
      <c r="L788" s="17" t="s">
        <v>233</v>
      </c>
      <c r="M788" s="231">
        <v>0</v>
      </c>
      <c r="N788" s="232">
        <v>0</v>
      </c>
      <c r="O788" s="132"/>
      <c r="P788" s="231" t="s">
        <v>239</v>
      </c>
      <c r="Q788" s="232">
        <v>0</v>
      </c>
      <c r="R788" s="231" t="s">
        <v>239</v>
      </c>
      <c r="S788" s="232">
        <v>0</v>
      </c>
      <c r="T788" s="231" t="s">
        <v>239</v>
      </c>
      <c r="U788" s="232">
        <v>0</v>
      </c>
      <c r="V788" s="231" t="s">
        <v>239</v>
      </c>
      <c r="W788" s="232">
        <v>0</v>
      </c>
      <c r="X788" s="231" t="s">
        <v>239</v>
      </c>
      <c r="Y788" s="232">
        <v>0</v>
      </c>
      <c r="Z788" s="231" t="s">
        <v>239</v>
      </c>
      <c r="AA788" s="232">
        <v>0</v>
      </c>
      <c r="AB788" s="231" t="s">
        <v>239</v>
      </c>
      <c r="AC788" s="232">
        <v>0</v>
      </c>
      <c r="AD788" s="231" t="s">
        <v>239</v>
      </c>
      <c r="AE788" s="232">
        <v>0</v>
      </c>
      <c r="AF788" s="231" t="s">
        <v>239</v>
      </c>
      <c r="AG788" s="232">
        <v>0</v>
      </c>
      <c r="AH788" s="231" t="s">
        <v>239</v>
      </c>
      <c r="AI788" s="232">
        <v>0</v>
      </c>
      <c r="AJ788" s="231" t="s">
        <v>239</v>
      </c>
      <c r="AK788" s="232">
        <v>0</v>
      </c>
      <c r="AL788" s="232" t="s">
        <v>239</v>
      </c>
      <c r="AM788" s="232">
        <v>0</v>
      </c>
    </row>
    <row r="789" spans="1:39" ht="15.75" outlineLevel="1">
      <c r="A789" s="411">
        <v>390</v>
      </c>
      <c r="B789" s="10">
        <v>129390</v>
      </c>
      <c r="C789" s="218" t="s">
        <v>1489</v>
      </c>
      <c r="D789" s="218" t="s">
        <v>1490</v>
      </c>
      <c r="E789" s="23" t="s">
        <v>44</v>
      </c>
      <c r="F789" s="17" t="s">
        <v>45</v>
      </c>
      <c r="G789" s="11" t="s">
        <v>1432</v>
      </c>
      <c r="H789" s="12">
        <v>19</v>
      </c>
      <c r="I789" s="11" t="s">
        <v>1433</v>
      </c>
      <c r="J789" s="193" t="s">
        <v>1453</v>
      </c>
      <c r="K789" s="17" t="s">
        <v>233</v>
      </c>
      <c r="L789" s="17" t="s">
        <v>233</v>
      </c>
      <c r="M789" s="231">
        <v>56</v>
      </c>
      <c r="N789" s="231">
        <v>56</v>
      </c>
      <c r="O789" s="231">
        <v>56</v>
      </c>
      <c r="P789" s="231" t="s">
        <v>239</v>
      </c>
      <c r="Q789" s="231">
        <v>56</v>
      </c>
      <c r="R789" s="231" t="s">
        <v>239</v>
      </c>
      <c r="S789" s="231">
        <v>56</v>
      </c>
      <c r="T789" s="231" t="s">
        <v>239</v>
      </c>
      <c r="U789" s="231">
        <v>56</v>
      </c>
      <c r="V789" s="231" t="s">
        <v>239</v>
      </c>
      <c r="W789" s="231">
        <v>56</v>
      </c>
      <c r="X789" s="231" t="s">
        <v>239</v>
      </c>
      <c r="Y789" s="231">
        <v>56</v>
      </c>
      <c r="Z789" s="231" t="s">
        <v>239</v>
      </c>
      <c r="AA789" s="231">
        <v>56</v>
      </c>
      <c r="AB789" s="231" t="s">
        <v>239</v>
      </c>
      <c r="AC789" s="231">
        <v>56</v>
      </c>
      <c r="AD789" s="231" t="s">
        <v>239</v>
      </c>
      <c r="AE789" s="231">
        <v>56</v>
      </c>
      <c r="AF789" s="231" t="s">
        <v>239</v>
      </c>
      <c r="AG789" s="231">
        <v>56</v>
      </c>
      <c r="AH789" s="231" t="s">
        <v>239</v>
      </c>
      <c r="AI789" s="231">
        <v>56</v>
      </c>
      <c r="AJ789" s="231" t="s">
        <v>239</v>
      </c>
      <c r="AK789" s="231">
        <v>56</v>
      </c>
      <c r="AL789" s="232" t="s">
        <v>239</v>
      </c>
      <c r="AM789" s="232">
        <v>0</v>
      </c>
    </row>
    <row r="790" spans="1:39" ht="15.75" outlineLevel="1">
      <c r="A790" s="412"/>
      <c r="B790" s="10">
        <v>129390</v>
      </c>
      <c r="C790" s="218" t="s">
        <v>1489</v>
      </c>
      <c r="D790" s="218" t="s">
        <v>1490</v>
      </c>
      <c r="E790" s="23" t="s">
        <v>44</v>
      </c>
      <c r="F790" s="17" t="s">
        <v>45</v>
      </c>
      <c r="G790" s="11" t="s">
        <v>1432</v>
      </c>
      <c r="H790" s="12">
        <v>21</v>
      </c>
      <c r="I790" s="11" t="s">
        <v>1433</v>
      </c>
      <c r="J790" s="193" t="s">
        <v>1454</v>
      </c>
      <c r="K790" s="17" t="s">
        <v>233</v>
      </c>
      <c r="L790" s="17" t="s">
        <v>233</v>
      </c>
      <c r="M790" s="231">
        <v>0</v>
      </c>
      <c r="N790" s="232">
        <v>0</v>
      </c>
      <c r="O790" s="132"/>
      <c r="P790" s="231" t="s">
        <v>239</v>
      </c>
      <c r="Q790" s="232">
        <v>0</v>
      </c>
      <c r="R790" s="231" t="s">
        <v>239</v>
      </c>
      <c r="S790" s="232">
        <v>0</v>
      </c>
      <c r="T790" s="231" t="s">
        <v>239</v>
      </c>
      <c r="U790" s="232">
        <v>0</v>
      </c>
      <c r="V790" s="230" t="s">
        <v>239</v>
      </c>
      <c r="W790" s="232">
        <v>0</v>
      </c>
      <c r="X790" s="231" t="s">
        <v>239</v>
      </c>
      <c r="Y790" s="232">
        <v>0</v>
      </c>
      <c r="Z790" s="231" t="s">
        <v>239</v>
      </c>
      <c r="AA790" s="232">
        <v>0</v>
      </c>
      <c r="AB790" s="231" t="s">
        <v>239</v>
      </c>
      <c r="AC790" s="232">
        <v>0</v>
      </c>
      <c r="AD790" s="231" t="s">
        <v>239</v>
      </c>
      <c r="AE790" s="232">
        <v>0</v>
      </c>
      <c r="AF790" s="231" t="s">
        <v>239</v>
      </c>
      <c r="AG790" s="232">
        <v>0</v>
      </c>
      <c r="AH790" s="231" t="s">
        <v>239</v>
      </c>
      <c r="AI790" s="232">
        <v>0</v>
      </c>
      <c r="AJ790" s="231" t="s">
        <v>239</v>
      </c>
      <c r="AK790" s="232">
        <v>0</v>
      </c>
      <c r="AL790" s="232" t="s">
        <v>239</v>
      </c>
      <c r="AM790" s="232">
        <v>0</v>
      </c>
    </row>
    <row r="791" spans="1:39" ht="15.75" outlineLevel="1">
      <c r="A791" s="411">
        <v>391</v>
      </c>
      <c r="B791" s="10">
        <v>129391</v>
      </c>
      <c r="C791" s="218" t="s">
        <v>1489</v>
      </c>
      <c r="D791" s="218" t="s">
        <v>1490</v>
      </c>
      <c r="E791" s="23" t="s">
        <v>138</v>
      </c>
      <c r="F791" s="17" t="s">
        <v>45</v>
      </c>
      <c r="G791" s="11" t="s">
        <v>1432</v>
      </c>
      <c r="H791" s="12">
        <v>19</v>
      </c>
      <c r="I791" s="11" t="s">
        <v>1433</v>
      </c>
      <c r="J791" s="191" t="s">
        <v>216</v>
      </c>
      <c r="K791" s="17" t="s">
        <v>233</v>
      </c>
      <c r="L791" s="17" t="s">
        <v>233</v>
      </c>
      <c r="M791" s="231">
        <v>56</v>
      </c>
      <c r="N791" s="231">
        <v>56</v>
      </c>
      <c r="O791" s="231">
        <v>56</v>
      </c>
      <c r="P791" s="231" t="s">
        <v>239</v>
      </c>
      <c r="Q791" s="231">
        <v>56</v>
      </c>
      <c r="R791" s="231" t="s">
        <v>239</v>
      </c>
      <c r="S791" s="231">
        <v>56</v>
      </c>
      <c r="T791" s="231" t="s">
        <v>239</v>
      </c>
      <c r="U791" s="231">
        <v>56</v>
      </c>
      <c r="V791" s="231" t="s">
        <v>239</v>
      </c>
      <c r="W791" s="231">
        <v>56</v>
      </c>
      <c r="X791" s="231" t="s">
        <v>239</v>
      </c>
      <c r="Y791" s="231">
        <v>56</v>
      </c>
      <c r="Z791" s="231" t="s">
        <v>239</v>
      </c>
      <c r="AA791" s="231">
        <v>56</v>
      </c>
      <c r="AB791" s="231" t="s">
        <v>239</v>
      </c>
      <c r="AC791" s="231">
        <v>56</v>
      </c>
      <c r="AD791" s="231" t="s">
        <v>239</v>
      </c>
      <c r="AE791" s="231">
        <v>56</v>
      </c>
      <c r="AF791" s="231" t="s">
        <v>239</v>
      </c>
      <c r="AG791" s="231">
        <v>56</v>
      </c>
      <c r="AH791" s="231" t="s">
        <v>239</v>
      </c>
      <c r="AI791" s="231">
        <v>56</v>
      </c>
      <c r="AJ791" s="231" t="s">
        <v>239</v>
      </c>
      <c r="AK791" s="231">
        <v>56</v>
      </c>
      <c r="AL791" s="232" t="s">
        <v>239</v>
      </c>
      <c r="AM791" s="232">
        <v>0</v>
      </c>
    </row>
    <row r="792" spans="1:39" ht="15.75" outlineLevel="1">
      <c r="A792" s="412"/>
      <c r="B792" s="10">
        <v>129391</v>
      </c>
      <c r="C792" s="218" t="s">
        <v>1489</v>
      </c>
      <c r="D792" s="218" t="s">
        <v>1490</v>
      </c>
      <c r="E792" s="23" t="s">
        <v>44</v>
      </c>
      <c r="F792" s="17" t="s">
        <v>45</v>
      </c>
      <c r="G792" s="11" t="s">
        <v>1432</v>
      </c>
      <c r="H792" s="12">
        <v>30</v>
      </c>
      <c r="I792" s="11" t="s">
        <v>1433</v>
      </c>
      <c r="J792" s="192" t="s">
        <v>1434</v>
      </c>
      <c r="K792" s="17" t="s">
        <v>233</v>
      </c>
      <c r="L792" s="17" t="s">
        <v>233</v>
      </c>
      <c r="M792" s="231">
        <v>0</v>
      </c>
      <c r="N792" s="232">
        <v>0</v>
      </c>
      <c r="O792" s="132"/>
      <c r="P792" s="231" t="s">
        <v>239</v>
      </c>
      <c r="Q792" s="232">
        <v>0</v>
      </c>
      <c r="R792" s="231" t="s">
        <v>239</v>
      </c>
      <c r="S792" s="232">
        <v>0</v>
      </c>
      <c r="T792" s="231" t="s">
        <v>239</v>
      </c>
      <c r="U792" s="232">
        <v>0</v>
      </c>
      <c r="V792" s="231" t="s">
        <v>239</v>
      </c>
      <c r="W792" s="232">
        <v>0</v>
      </c>
      <c r="X792" s="231" t="s">
        <v>239</v>
      </c>
      <c r="Y792" s="232">
        <v>0</v>
      </c>
      <c r="Z792" s="231" t="s">
        <v>239</v>
      </c>
      <c r="AA792" s="232">
        <v>0</v>
      </c>
      <c r="AB792" s="231" t="s">
        <v>239</v>
      </c>
      <c r="AC792" s="232">
        <v>0</v>
      </c>
      <c r="AD792" s="231" t="s">
        <v>239</v>
      </c>
      <c r="AE792" s="232">
        <v>0</v>
      </c>
      <c r="AF792" s="231" t="s">
        <v>239</v>
      </c>
      <c r="AG792" s="232">
        <v>0</v>
      </c>
      <c r="AH792" s="231" t="s">
        <v>239</v>
      </c>
      <c r="AI792" s="232">
        <v>0</v>
      </c>
      <c r="AJ792" s="231" t="s">
        <v>239</v>
      </c>
      <c r="AK792" s="232">
        <v>0</v>
      </c>
      <c r="AL792" s="232" t="s">
        <v>239</v>
      </c>
      <c r="AM792" s="232">
        <v>0</v>
      </c>
    </row>
    <row r="793" spans="1:39" ht="15.75" outlineLevel="1">
      <c r="A793" s="411">
        <v>392</v>
      </c>
      <c r="B793" s="10">
        <v>129392</v>
      </c>
      <c r="C793" s="218" t="s">
        <v>1489</v>
      </c>
      <c r="D793" s="218" t="s">
        <v>1490</v>
      </c>
      <c r="E793" s="23" t="s">
        <v>138</v>
      </c>
      <c r="F793" s="17" t="s">
        <v>45</v>
      </c>
      <c r="G793" s="11" t="s">
        <v>1432</v>
      </c>
      <c r="H793" s="12">
        <v>33</v>
      </c>
      <c r="I793" s="11" t="s">
        <v>1433</v>
      </c>
      <c r="J793" s="192" t="s">
        <v>1480</v>
      </c>
      <c r="K793" s="17" t="s">
        <v>233</v>
      </c>
      <c r="L793" s="17" t="s">
        <v>233</v>
      </c>
      <c r="M793" s="231">
        <v>56</v>
      </c>
      <c r="N793" s="231">
        <v>56</v>
      </c>
      <c r="O793" s="231">
        <v>56</v>
      </c>
      <c r="P793" s="231" t="s">
        <v>239</v>
      </c>
      <c r="Q793" s="231">
        <v>56</v>
      </c>
      <c r="R793" s="231" t="s">
        <v>239</v>
      </c>
      <c r="S793" s="231">
        <v>56</v>
      </c>
      <c r="T793" s="231" t="s">
        <v>239</v>
      </c>
      <c r="U793" s="231">
        <v>56</v>
      </c>
      <c r="V793" s="230" t="s">
        <v>239</v>
      </c>
      <c r="W793" s="231">
        <v>56</v>
      </c>
      <c r="X793" s="231" t="s">
        <v>239</v>
      </c>
      <c r="Y793" s="231">
        <v>56</v>
      </c>
      <c r="Z793" s="231" t="s">
        <v>239</v>
      </c>
      <c r="AA793" s="231">
        <v>56</v>
      </c>
      <c r="AB793" s="231" t="s">
        <v>239</v>
      </c>
      <c r="AC793" s="231">
        <v>56</v>
      </c>
      <c r="AD793" s="231" t="s">
        <v>239</v>
      </c>
      <c r="AE793" s="231">
        <v>56</v>
      </c>
      <c r="AF793" s="231" t="s">
        <v>239</v>
      </c>
      <c r="AG793" s="231">
        <v>56</v>
      </c>
      <c r="AH793" s="231" t="s">
        <v>239</v>
      </c>
      <c r="AI793" s="231">
        <v>56</v>
      </c>
      <c r="AJ793" s="231" t="s">
        <v>239</v>
      </c>
      <c r="AK793" s="231">
        <v>56</v>
      </c>
      <c r="AL793" s="232" t="s">
        <v>239</v>
      </c>
      <c r="AM793" s="232">
        <v>0</v>
      </c>
    </row>
    <row r="794" spans="1:39" ht="15.75" outlineLevel="1">
      <c r="A794" s="412"/>
      <c r="B794" s="10">
        <v>129392</v>
      </c>
      <c r="C794" s="218" t="s">
        <v>1489</v>
      </c>
      <c r="D794" s="218" t="s">
        <v>1490</v>
      </c>
      <c r="E794" s="23" t="s">
        <v>44</v>
      </c>
      <c r="F794" s="17" t="s">
        <v>45</v>
      </c>
      <c r="G794" s="11" t="s">
        <v>1432</v>
      </c>
      <c r="H794" s="12">
        <v>19</v>
      </c>
      <c r="I794" s="11" t="s">
        <v>1433</v>
      </c>
      <c r="J794" s="192" t="s">
        <v>1452</v>
      </c>
      <c r="K794" s="17" t="s">
        <v>233</v>
      </c>
      <c r="L794" s="17" t="s">
        <v>233</v>
      </c>
      <c r="M794" s="231">
        <v>0</v>
      </c>
      <c r="N794" s="232">
        <v>0</v>
      </c>
      <c r="O794" s="132"/>
      <c r="P794" s="231" t="s">
        <v>239</v>
      </c>
      <c r="Q794" s="232">
        <v>0</v>
      </c>
      <c r="R794" s="231" t="s">
        <v>239</v>
      </c>
      <c r="S794" s="232">
        <v>0</v>
      </c>
      <c r="T794" s="231" t="s">
        <v>239</v>
      </c>
      <c r="U794" s="232">
        <v>0</v>
      </c>
      <c r="V794" s="231" t="s">
        <v>239</v>
      </c>
      <c r="W794" s="232">
        <v>0</v>
      </c>
      <c r="X794" s="231" t="s">
        <v>239</v>
      </c>
      <c r="Y794" s="232">
        <v>0</v>
      </c>
      <c r="Z794" s="231" t="s">
        <v>239</v>
      </c>
      <c r="AA794" s="232">
        <v>0</v>
      </c>
      <c r="AB794" s="231" t="s">
        <v>239</v>
      </c>
      <c r="AC794" s="232">
        <v>0</v>
      </c>
      <c r="AD794" s="231" t="s">
        <v>239</v>
      </c>
      <c r="AE794" s="232">
        <v>0</v>
      </c>
      <c r="AF794" s="231" t="s">
        <v>239</v>
      </c>
      <c r="AG794" s="232">
        <v>0</v>
      </c>
      <c r="AH794" s="231" t="s">
        <v>239</v>
      </c>
      <c r="AI794" s="232">
        <v>0</v>
      </c>
      <c r="AJ794" s="231" t="s">
        <v>239</v>
      </c>
      <c r="AK794" s="232">
        <v>0</v>
      </c>
      <c r="AL794" s="232" t="s">
        <v>239</v>
      </c>
      <c r="AM794" s="232">
        <v>0</v>
      </c>
    </row>
    <row r="795" spans="1:39" ht="15.75" outlineLevel="1">
      <c r="A795" s="411">
        <v>393</v>
      </c>
      <c r="B795" s="10">
        <v>129393</v>
      </c>
      <c r="C795" s="218" t="s">
        <v>1489</v>
      </c>
      <c r="D795" s="218" t="s">
        <v>1490</v>
      </c>
      <c r="E795" s="23" t="s">
        <v>44</v>
      </c>
      <c r="F795" s="17" t="s">
        <v>45</v>
      </c>
      <c r="G795" s="11" t="s">
        <v>1432</v>
      </c>
      <c r="H795" s="12">
        <v>6</v>
      </c>
      <c r="I795" s="11" t="s">
        <v>1433</v>
      </c>
      <c r="J795" s="374" t="s">
        <v>207</v>
      </c>
      <c r="K795" s="17" t="s">
        <v>233</v>
      </c>
      <c r="L795" s="17" t="s">
        <v>233</v>
      </c>
      <c r="M795" s="231">
        <v>22</v>
      </c>
      <c r="N795" s="231">
        <v>22</v>
      </c>
      <c r="O795" s="231">
        <v>22</v>
      </c>
      <c r="P795" s="231" t="s">
        <v>239</v>
      </c>
      <c r="Q795" s="231">
        <v>22</v>
      </c>
      <c r="R795" s="231" t="s">
        <v>239</v>
      </c>
      <c r="S795" s="231">
        <v>22</v>
      </c>
      <c r="T795" s="231" t="s">
        <v>239</v>
      </c>
      <c r="U795" s="231">
        <v>22</v>
      </c>
      <c r="V795" s="231" t="s">
        <v>239</v>
      </c>
      <c r="W795" s="231">
        <v>22</v>
      </c>
      <c r="X795" s="231" t="s">
        <v>239</v>
      </c>
      <c r="Y795" s="231">
        <v>22</v>
      </c>
      <c r="Z795" s="231" t="s">
        <v>239</v>
      </c>
      <c r="AA795" s="231">
        <v>22</v>
      </c>
      <c r="AB795" s="231" t="s">
        <v>239</v>
      </c>
      <c r="AC795" s="231">
        <v>22</v>
      </c>
      <c r="AD795" s="231" t="s">
        <v>239</v>
      </c>
      <c r="AE795" s="231">
        <v>22</v>
      </c>
      <c r="AF795" s="231" t="s">
        <v>239</v>
      </c>
      <c r="AG795" s="231">
        <v>22</v>
      </c>
      <c r="AH795" s="231" t="s">
        <v>239</v>
      </c>
      <c r="AI795" s="231">
        <v>22</v>
      </c>
      <c r="AJ795" s="231" t="s">
        <v>239</v>
      </c>
      <c r="AK795" s="231">
        <v>22</v>
      </c>
      <c r="AL795" s="232" t="s">
        <v>239</v>
      </c>
      <c r="AM795" s="232">
        <v>0</v>
      </c>
    </row>
    <row r="796" spans="1:39" ht="15.75" outlineLevel="1">
      <c r="A796" s="412"/>
      <c r="B796" s="10">
        <v>129393</v>
      </c>
      <c r="C796" s="218" t="s">
        <v>1489</v>
      </c>
      <c r="D796" s="218" t="s">
        <v>1490</v>
      </c>
      <c r="E796" s="23" t="s">
        <v>138</v>
      </c>
      <c r="F796" s="17" t="s">
        <v>45</v>
      </c>
      <c r="G796" s="11" t="s">
        <v>1432</v>
      </c>
      <c r="H796" s="12">
        <v>15</v>
      </c>
      <c r="I796" s="11" t="s">
        <v>1433</v>
      </c>
      <c r="J796" s="375"/>
      <c r="K796" s="17" t="s">
        <v>233</v>
      </c>
      <c r="L796" s="17" t="s">
        <v>233</v>
      </c>
      <c r="M796" s="231">
        <v>4368</v>
      </c>
      <c r="N796" s="232">
        <v>4314.9724799999995</v>
      </c>
      <c r="O796" s="132">
        <v>329</v>
      </c>
      <c r="P796" s="231" t="s">
        <v>239</v>
      </c>
      <c r="Q796" s="232">
        <v>324.93684999999999</v>
      </c>
      <c r="R796" s="231" t="s">
        <v>239</v>
      </c>
      <c r="S796" s="232">
        <v>320.9238799025</v>
      </c>
      <c r="T796" s="231" t="s">
        <v>239</v>
      </c>
      <c r="U796" s="232">
        <v>316.96046998570415</v>
      </c>
      <c r="V796" s="230" t="s">
        <v>239</v>
      </c>
      <c r="W796" s="232">
        <v>313.04600818138073</v>
      </c>
      <c r="X796" s="231" t="s">
        <v>239</v>
      </c>
      <c r="Y796" s="232">
        <v>309.1798899803407</v>
      </c>
      <c r="Z796" s="231" t="s">
        <v>239</v>
      </c>
      <c r="AA796" s="232">
        <v>305.36151833908349</v>
      </c>
      <c r="AB796" s="231" t="s">
        <v>239</v>
      </c>
      <c r="AC796" s="232">
        <v>301.59030358759583</v>
      </c>
      <c r="AD796" s="231" t="s">
        <v>239</v>
      </c>
      <c r="AE796" s="232">
        <v>297.86566333828904</v>
      </c>
      <c r="AF796" s="231" t="s">
        <v>239</v>
      </c>
      <c r="AG796" s="232">
        <v>294.1870223960612</v>
      </c>
      <c r="AH796" s="231" t="s">
        <v>239</v>
      </c>
      <c r="AI796" s="232">
        <v>290.55381266946983</v>
      </c>
      <c r="AJ796" s="231" t="s">
        <v>239</v>
      </c>
      <c r="AK796" s="232">
        <v>286.96547308300188</v>
      </c>
      <c r="AL796" s="232" t="s">
        <v>239</v>
      </c>
      <c r="AM796" s="232">
        <v>3690.5708914634274</v>
      </c>
    </row>
    <row r="797" spans="1:39" ht="15.75" outlineLevel="1">
      <c r="A797" s="411">
        <v>394</v>
      </c>
      <c r="B797" s="10">
        <v>129394</v>
      </c>
      <c r="C797" s="218" t="s">
        <v>1489</v>
      </c>
      <c r="D797" s="218" t="s">
        <v>1490</v>
      </c>
      <c r="E797" s="23" t="s">
        <v>44</v>
      </c>
      <c r="F797" s="17" t="s">
        <v>45</v>
      </c>
      <c r="G797" s="11" t="s">
        <v>1432</v>
      </c>
      <c r="H797" s="12">
        <v>19</v>
      </c>
      <c r="I797" s="11" t="s">
        <v>1433</v>
      </c>
      <c r="J797" s="193" t="s">
        <v>1460</v>
      </c>
      <c r="K797" s="17" t="s">
        <v>233</v>
      </c>
      <c r="L797" s="17" t="s">
        <v>233</v>
      </c>
      <c r="M797" s="231">
        <v>0</v>
      </c>
      <c r="N797" s="232">
        <v>0</v>
      </c>
      <c r="O797" s="132"/>
      <c r="P797" s="231" t="s">
        <v>239</v>
      </c>
      <c r="Q797" s="232">
        <v>0</v>
      </c>
      <c r="R797" s="231" t="s">
        <v>239</v>
      </c>
      <c r="S797" s="232">
        <v>0</v>
      </c>
      <c r="T797" s="231" t="s">
        <v>239</v>
      </c>
      <c r="U797" s="232">
        <v>0</v>
      </c>
      <c r="V797" s="231" t="s">
        <v>239</v>
      </c>
      <c r="W797" s="232">
        <v>0</v>
      </c>
      <c r="X797" s="231" t="s">
        <v>239</v>
      </c>
      <c r="Y797" s="232">
        <v>0</v>
      </c>
      <c r="Z797" s="231" t="s">
        <v>239</v>
      </c>
      <c r="AA797" s="232">
        <v>0</v>
      </c>
      <c r="AB797" s="231" t="s">
        <v>239</v>
      </c>
      <c r="AC797" s="232">
        <v>0</v>
      </c>
      <c r="AD797" s="231" t="s">
        <v>239</v>
      </c>
      <c r="AE797" s="232">
        <v>0</v>
      </c>
      <c r="AF797" s="231" t="s">
        <v>239</v>
      </c>
      <c r="AG797" s="232">
        <v>0</v>
      </c>
      <c r="AH797" s="231" t="s">
        <v>239</v>
      </c>
      <c r="AI797" s="232">
        <v>0</v>
      </c>
      <c r="AJ797" s="231" t="s">
        <v>239</v>
      </c>
      <c r="AK797" s="232">
        <v>0</v>
      </c>
      <c r="AL797" s="232" t="s">
        <v>239</v>
      </c>
      <c r="AM797" s="232">
        <v>0</v>
      </c>
    </row>
    <row r="798" spans="1:39" ht="15.75" outlineLevel="1">
      <c r="A798" s="412"/>
      <c r="B798" s="10">
        <v>129394</v>
      </c>
      <c r="C798" s="218" t="s">
        <v>1489</v>
      </c>
      <c r="D798" s="218" t="s">
        <v>1490</v>
      </c>
      <c r="E798" s="23" t="s">
        <v>138</v>
      </c>
      <c r="F798" s="17" t="s">
        <v>45</v>
      </c>
      <c r="G798" s="11" t="s">
        <v>1432</v>
      </c>
      <c r="H798" s="12">
        <v>22</v>
      </c>
      <c r="I798" s="11" t="s">
        <v>1433</v>
      </c>
      <c r="J798" s="193" t="s">
        <v>1442</v>
      </c>
      <c r="K798" s="17" t="s">
        <v>233</v>
      </c>
      <c r="L798" s="17" t="s">
        <v>233</v>
      </c>
      <c r="M798" s="231">
        <v>0</v>
      </c>
      <c r="N798" s="232">
        <v>0</v>
      </c>
      <c r="O798" s="132"/>
      <c r="P798" s="231" t="s">
        <v>239</v>
      </c>
      <c r="Q798" s="232">
        <v>0</v>
      </c>
      <c r="R798" s="231" t="s">
        <v>239</v>
      </c>
      <c r="S798" s="232">
        <v>0</v>
      </c>
      <c r="T798" s="231" t="s">
        <v>239</v>
      </c>
      <c r="U798" s="232">
        <v>0</v>
      </c>
      <c r="V798" s="231" t="s">
        <v>239</v>
      </c>
      <c r="W798" s="232">
        <v>0</v>
      </c>
      <c r="X798" s="231" t="s">
        <v>239</v>
      </c>
      <c r="Y798" s="232">
        <v>0</v>
      </c>
      <c r="Z798" s="231" t="s">
        <v>239</v>
      </c>
      <c r="AA798" s="232">
        <v>0</v>
      </c>
      <c r="AB798" s="231" t="s">
        <v>239</v>
      </c>
      <c r="AC798" s="232">
        <v>0</v>
      </c>
      <c r="AD798" s="231" t="s">
        <v>239</v>
      </c>
      <c r="AE798" s="232">
        <v>0</v>
      </c>
      <c r="AF798" s="231" t="s">
        <v>239</v>
      </c>
      <c r="AG798" s="232">
        <v>0</v>
      </c>
      <c r="AH798" s="231" t="s">
        <v>239</v>
      </c>
      <c r="AI798" s="232">
        <v>0</v>
      </c>
      <c r="AJ798" s="231" t="s">
        <v>239</v>
      </c>
      <c r="AK798" s="232">
        <v>0</v>
      </c>
      <c r="AL798" s="232" t="s">
        <v>239</v>
      </c>
      <c r="AM798" s="232">
        <v>0</v>
      </c>
    </row>
    <row r="799" spans="1:39" ht="15.75" outlineLevel="1">
      <c r="A799" s="411">
        <v>395</v>
      </c>
      <c r="B799" s="10">
        <v>129395</v>
      </c>
      <c r="C799" s="218" t="s">
        <v>1489</v>
      </c>
      <c r="D799" s="218" t="s">
        <v>1490</v>
      </c>
      <c r="E799" s="23" t="s">
        <v>44</v>
      </c>
      <c r="F799" s="17" t="s">
        <v>45</v>
      </c>
      <c r="G799" s="11" t="s">
        <v>1432</v>
      </c>
      <c r="H799" s="12">
        <v>24</v>
      </c>
      <c r="I799" s="11" t="s">
        <v>1433</v>
      </c>
      <c r="J799" s="193" t="s">
        <v>1460</v>
      </c>
      <c r="K799" s="17" t="s">
        <v>233</v>
      </c>
      <c r="L799" s="17" t="s">
        <v>233</v>
      </c>
      <c r="M799" s="231">
        <v>1.5</v>
      </c>
      <c r="N799" s="231">
        <v>1.5</v>
      </c>
      <c r="O799" s="231">
        <v>1.5</v>
      </c>
      <c r="P799" s="231" t="s">
        <v>239</v>
      </c>
      <c r="Q799" s="231">
        <v>1.5</v>
      </c>
      <c r="R799" s="231" t="s">
        <v>239</v>
      </c>
      <c r="S799" s="231">
        <v>1.5</v>
      </c>
      <c r="T799" s="231" t="s">
        <v>239</v>
      </c>
      <c r="U799" s="231">
        <v>1.5</v>
      </c>
      <c r="V799" s="230" t="s">
        <v>239</v>
      </c>
      <c r="W799" s="231">
        <v>1.5</v>
      </c>
      <c r="X799" s="231" t="s">
        <v>239</v>
      </c>
      <c r="Y799" s="231">
        <v>1.5</v>
      </c>
      <c r="Z799" s="231" t="s">
        <v>239</v>
      </c>
      <c r="AA799" s="231">
        <v>1.5</v>
      </c>
      <c r="AB799" s="231" t="s">
        <v>239</v>
      </c>
      <c r="AC799" s="231">
        <v>1.5</v>
      </c>
      <c r="AD799" s="231" t="s">
        <v>239</v>
      </c>
      <c r="AE799" s="231">
        <v>1.5</v>
      </c>
      <c r="AF799" s="231" t="s">
        <v>239</v>
      </c>
      <c r="AG799" s="231">
        <v>1.5</v>
      </c>
      <c r="AH799" s="231" t="s">
        <v>239</v>
      </c>
      <c r="AI799" s="231">
        <v>1.5</v>
      </c>
      <c r="AJ799" s="231" t="s">
        <v>239</v>
      </c>
      <c r="AK799" s="231">
        <v>1.5</v>
      </c>
      <c r="AL799" s="232" t="s">
        <v>239</v>
      </c>
      <c r="AM799" s="232">
        <v>0</v>
      </c>
    </row>
    <row r="800" spans="1:39" ht="15.75" outlineLevel="1">
      <c r="A800" s="412"/>
      <c r="B800" s="10">
        <v>129395</v>
      </c>
      <c r="C800" s="218" t="s">
        <v>1489</v>
      </c>
      <c r="D800" s="218" t="s">
        <v>1490</v>
      </c>
      <c r="E800" s="23" t="s">
        <v>44</v>
      </c>
      <c r="F800" s="17" t="s">
        <v>45</v>
      </c>
      <c r="G800" s="11" t="s">
        <v>1432</v>
      </c>
      <c r="H800" s="12">
        <v>16</v>
      </c>
      <c r="I800" s="11" t="s">
        <v>1433</v>
      </c>
      <c r="J800" s="193" t="s">
        <v>1457</v>
      </c>
      <c r="K800" s="17" t="s">
        <v>233</v>
      </c>
      <c r="L800" s="17" t="s">
        <v>233</v>
      </c>
      <c r="M800" s="231">
        <v>32878</v>
      </c>
      <c r="N800" s="232">
        <v>32478.861079999999</v>
      </c>
      <c r="O800" s="132">
        <v>1121</v>
      </c>
      <c r="P800" s="231" t="s">
        <v>239</v>
      </c>
      <c r="Q800" s="232">
        <v>1107.1556499999999</v>
      </c>
      <c r="R800" s="231" t="s">
        <v>239</v>
      </c>
      <c r="S800" s="232">
        <v>1093.4822777224999</v>
      </c>
      <c r="T800" s="231" t="s">
        <v>239</v>
      </c>
      <c r="U800" s="232">
        <v>1079.9777715926271</v>
      </c>
      <c r="V800" s="231" t="s">
        <v>239</v>
      </c>
      <c r="W800" s="232">
        <v>1066.6400461134581</v>
      </c>
      <c r="X800" s="231" t="s">
        <v>239</v>
      </c>
      <c r="Y800" s="232">
        <v>1053.4670415439568</v>
      </c>
      <c r="Z800" s="231" t="s">
        <v>239</v>
      </c>
      <c r="AA800" s="232">
        <v>1040.456723580889</v>
      </c>
      <c r="AB800" s="231" t="s">
        <v>239</v>
      </c>
      <c r="AC800" s="232">
        <v>1027.6070830446652</v>
      </c>
      <c r="AD800" s="231" t="s">
        <v>239</v>
      </c>
      <c r="AE800" s="232">
        <v>1014.9161355690636</v>
      </c>
      <c r="AF800" s="231" t="s">
        <v>239</v>
      </c>
      <c r="AG800" s="232">
        <v>1002.3819212947857</v>
      </c>
      <c r="AH800" s="231" t="s">
        <v>239</v>
      </c>
      <c r="AI800" s="232">
        <v>990.0025045667951</v>
      </c>
      <c r="AJ800" s="231" t="s">
        <v>239</v>
      </c>
      <c r="AK800" s="232">
        <v>977.77597363539519</v>
      </c>
      <c r="AL800" s="232" t="s">
        <v>239</v>
      </c>
      <c r="AM800" s="232">
        <v>12574.863128664134</v>
      </c>
    </row>
    <row r="801" spans="1:39" ht="15.75" outlineLevel="1">
      <c r="A801" s="411">
        <v>396</v>
      </c>
      <c r="B801" s="10">
        <v>129396</v>
      </c>
      <c r="C801" s="218" t="s">
        <v>1489</v>
      </c>
      <c r="D801" s="218" t="s">
        <v>1490</v>
      </c>
      <c r="E801" s="23" t="s">
        <v>138</v>
      </c>
      <c r="F801" s="17" t="s">
        <v>45</v>
      </c>
      <c r="G801" s="11" t="s">
        <v>1432</v>
      </c>
      <c r="H801" s="12">
        <v>5</v>
      </c>
      <c r="I801" s="11" t="s">
        <v>1433</v>
      </c>
      <c r="J801" s="193" t="s">
        <v>617</v>
      </c>
      <c r="K801" s="17" t="s">
        <v>233</v>
      </c>
      <c r="L801" s="17" t="s">
        <v>233</v>
      </c>
      <c r="M801" s="231">
        <v>1.5</v>
      </c>
      <c r="N801" s="231">
        <v>1.5</v>
      </c>
      <c r="O801" s="231">
        <v>1.5</v>
      </c>
      <c r="P801" s="231" t="s">
        <v>239</v>
      </c>
      <c r="Q801" s="231">
        <v>1.5</v>
      </c>
      <c r="R801" s="231" t="s">
        <v>239</v>
      </c>
      <c r="S801" s="231">
        <v>1.5</v>
      </c>
      <c r="T801" s="231" t="s">
        <v>239</v>
      </c>
      <c r="U801" s="231">
        <v>1.5</v>
      </c>
      <c r="V801" s="231" t="s">
        <v>239</v>
      </c>
      <c r="W801" s="231">
        <v>1.5</v>
      </c>
      <c r="X801" s="231" t="s">
        <v>239</v>
      </c>
      <c r="Y801" s="231">
        <v>1.5</v>
      </c>
      <c r="Z801" s="231" t="s">
        <v>239</v>
      </c>
      <c r="AA801" s="231">
        <v>1.5</v>
      </c>
      <c r="AB801" s="231" t="s">
        <v>239</v>
      </c>
      <c r="AC801" s="231">
        <v>1.5</v>
      </c>
      <c r="AD801" s="231" t="s">
        <v>239</v>
      </c>
      <c r="AE801" s="231">
        <v>1.5</v>
      </c>
      <c r="AF801" s="231" t="s">
        <v>239</v>
      </c>
      <c r="AG801" s="231">
        <v>1.5</v>
      </c>
      <c r="AH801" s="231" t="s">
        <v>239</v>
      </c>
      <c r="AI801" s="231">
        <v>1.5</v>
      </c>
      <c r="AJ801" s="231" t="s">
        <v>239</v>
      </c>
      <c r="AK801" s="231">
        <v>1.5</v>
      </c>
      <c r="AL801" s="232" t="s">
        <v>239</v>
      </c>
      <c r="AM801" s="232">
        <v>0</v>
      </c>
    </row>
    <row r="802" spans="1:39" ht="15.75" outlineLevel="1">
      <c r="A802" s="412"/>
      <c r="B802" s="10">
        <v>129396</v>
      </c>
      <c r="C802" s="218" t="s">
        <v>1489</v>
      </c>
      <c r="D802" s="218" t="s">
        <v>1490</v>
      </c>
      <c r="E802" s="23" t="s">
        <v>44</v>
      </c>
      <c r="F802" s="17" t="s">
        <v>45</v>
      </c>
      <c r="G802" s="11" t="s">
        <v>1432</v>
      </c>
      <c r="H802" s="12">
        <v>17</v>
      </c>
      <c r="I802" s="11" t="s">
        <v>1433</v>
      </c>
      <c r="J802" s="193" t="s">
        <v>216</v>
      </c>
      <c r="K802" s="17" t="s">
        <v>233</v>
      </c>
      <c r="L802" s="17" t="s">
        <v>233</v>
      </c>
      <c r="M802" s="231">
        <v>0</v>
      </c>
      <c r="N802" s="232">
        <v>0</v>
      </c>
      <c r="O802" s="132"/>
      <c r="P802" s="231" t="s">
        <v>239</v>
      </c>
      <c r="Q802" s="232">
        <v>0</v>
      </c>
      <c r="R802" s="231" t="s">
        <v>239</v>
      </c>
      <c r="S802" s="232">
        <v>0</v>
      </c>
      <c r="T802" s="231" t="s">
        <v>239</v>
      </c>
      <c r="U802" s="232">
        <v>0</v>
      </c>
      <c r="V802" s="230" t="s">
        <v>239</v>
      </c>
      <c r="W802" s="232">
        <v>0</v>
      </c>
      <c r="X802" s="231" t="s">
        <v>239</v>
      </c>
      <c r="Y802" s="232">
        <v>0</v>
      </c>
      <c r="Z802" s="231" t="s">
        <v>239</v>
      </c>
      <c r="AA802" s="232">
        <v>0</v>
      </c>
      <c r="AB802" s="231" t="s">
        <v>239</v>
      </c>
      <c r="AC802" s="232">
        <v>0</v>
      </c>
      <c r="AD802" s="231" t="s">
        <v>239</v>
      </c>
      <c r="AE802" s="232">
        <v>0</v>
      </c>
      <c r="AF802" s="231" t="s">
        <v>239</v>
      </c>
      <c r="AG802" s="232">
        <v>0</v>
      </c>
      <c r="AH802" s="231" t="s">
        <v>239</v>
      </c>
      <c r="AI802" s="232">
        <v>0</v>
      </c>
      <c r="AJ802" s="231" t="s">
        <v>239</v>
      </c>
      <c r="AK802" s="232">
        <v>0</v>
      </c>
      <c r="AL802" s="232" t="s">
        <v>239</v>
      </c>
      <c r="AM802" s="232">
        <v>0</v>
      </c>
    </row>
    <row r="803" spans="1:39" ht="15.75" outlineLevel="1">
      <c r="A803" s="411">
        <v>397</v>
      </c>
      <c r="B803" s="10">
        <v>129397</v>
      </c>
      <c r="C803" s="218" t="s">
        <v>1489</v>
      </c>
      <c r="D803" s="218" t="s">
        <v>1490</v>
      </c>
      <c r="E803" s="23" t="s">
        <v>138</v>
      </c>
      <c r="F803" s="17" t="s">
        <v>45</v>
      </c>
      <c r="G803" s="11" t="s">
        <v>1432</v>
      </c>
      <c r="H803" s="12">
        <v>19</v>
      </c>
      <c r="I803" s="11" t="s">
        <v>1433</v>
      </c>
      <c r="J803" s="192" t="s">
        <v>1446</v>
      </c>
      <c r="K803" s="17" t="s">
        <v>233</v>
      </c>
      <c r="L803" s="17" t="s">
        <v>233</v>
      </c>
      <c r="M803" s="231">
        <v>1.5</v>
      </c>
      <c r="N803" s="231">
        <v>1.5</v>
      </c>
      <c r="O803" s="231">
        <v>1.5</v>
      </c>
      <c r="P803" s="231" t="s">
        <v>239</v>
      </c>
      <c r="Q803" s="231">
        <v>1.5</v>
      </c>
      <c r="R803" s="231" t="s">
        <v>239</v>
      </c>
      <c r="S803" s="231">
        <v>1.5</v>
      </c>
      <c r="T803" s="231" t="s">
        <v>239</v>
      </c>
      <c r="U803" s="231">
        <v>1.5</v>
      </c>
      <c r="V803" s="231" t="s">
        <v>239</v>
      </c>
      <c r="W803" s="231">
        <v>1.5</v>
      </c>
      <c r="X803" s="231" t="s">
        <v>239</v>
      </c>
      <c r="Y803" s="231">
        <v>1.5</v>
      </c>
      <c r="Z803" s="231" t="s">
        <v>239</v>
      </c>
      <c r="AA803" s="231">
        <v>1.5</v>
      </c>
      <c r="AB803" s="231" t="s">
        <v>239</v>
      </c>
      <c r="AC803" s="231">
        <v>1.5</v>
      </c>
      <c r="AD803" s="231" t="s">
        <v>239</v>
      </c>
      <c r="AE803" s="231">
        <v>1.5</v>
      </c>
      <c r="AF803" s="231" t="s">
        <v>239</v>
      </c>
      <c r="AG803" s="231">
        <v>1.5</v>
      </c>
      <c r="AH803" s="231" t="s">
        <v>239</v>
      </c>
      <c r="AI803" s="231">
        <v>1.5</v>
      </c>
      <c r="AJ803" s="231" t="s">
        <v>239</v>
      </c>
      <c r="AK803" s="231">
        <v>1.5</v>
      </c>
      <c r="AL803" s="232" t="s">
        <v>239</v>
      </c>
      <c r="AM803" s="232">
        <v>0</v>
      </c>
    </row>
    <row r="804" spans="1:39" ht="15.75" outlineLevel="1">
      <c r="A804" s="412"/>
      <c r="B804" s="10">
        <v>129397</v>
      </c>
      <c r="C804" s="218" t="s">
        <v>1489</v>
      </c>
      <c r="D804" s="218" t="s">
        <v>1490</v>
      </c>
      <c r="E804" s="23" t="s">
        <v>44</v>
      </c>
      <c r="F804" s="17" t="s">
        <v>45</v>
      </c>
      <c r="G804" s="11" t="s">
        <v>1432</v>
      </c>
      <c r="H804" s="12">
        <v>18</v>
      </c>
      <c r="I804" s="11" t="s">
        <v>1433</v>
      </c>
      <c r="J804" s="192" t="s">
        <v>1481</v>
      </c>
      <c r="K804" s="17" t="s">
        <v>233</v>
      </c>
      <c r="L804" s="17" t="s">
        <v>233</v>
      </c>
      <c r="M804" s="231">
        <v>0</v>
      </c>
      <c r="N804" s="232">
        <v>0</v>
      </c>
      <c r="O804" s="132"/>
      <c r="P804" s="231" t="s">
        <v>239</v>
      </c>
      <c r="Q804" s="232">
        <v>0</v>
      </c>
      <c r="R804" s="231" t="s">
        <v>239</v>
      </c>
      <c r="S804" s="232">
        <v>0</v>
      </c>
      <c r="T804" s="231" t="s">
        <v>239</v>
      </c>
      <c r="U804" s="232">
        <v>0</v>
      </c>
      <c r="V804" s="231" t="s">
        <v>239</v>
      </c>
      <c r="W804" s="232">
        <v>0</v>
      </c>
      <c r="X804" s="231" t="s">
        <v>239</v>
      </c>
      <c r="Y804" s="232">
        <v>0</v>
      </c>
      <c r="Z804" s="231" t="s">
        <v>239</v>
      </c>
      <c r="AA804" s="232">
        <v>0</v>
      </c>
      <c r="AB804" s="231" t="s">
        <v>239</v>
      </c>
      <c r="AC804" s="232">
        <v>0</v>
      </c>
      <c r="AD804" s="231" t="s">
        <v>239</v>
      </c>
      <c r="AE804" s="232">
        <v>0</v>
      </c>
      <c r="AF804" s="231" t="s">
        <v>239</v>
      </c>
      <c r="AG804" s="232">
        <v>0</v>
      </c>
      <c r="AH804" s="231" t="s">
        <v>239</v>
      </c>
      <c r="AI804" s="232">
        <v>0</v>
      </c>
      <c r="AJ804" s="231" t="s">
        <v>239</v>
      </c>
      <c r="AK804" s="232">
        <v>0</v>
      </c>
      <c r="AL804" s="232" t="s">
        <v>239</v>
      </c>
      <c r="AM804" s="232">
        <v>0</v>
      </c>
    </row>
    <row r="805" spans="1:39" ht="15.75" outlineLevel="1">
      <c r="A805" s="411">
        <v>398</v>
      </c>
      <c r="B805" s="10">
        <v>129398</v>
      </c>
      <c r="C805" s="218" t="s">
        <v>1489</v>
      </c>
      <c r="D805" s="218" t="s">
        <v>1490</v>
      </c>
      <c r="E805" s="23" t="s">
        <v>44</v>
      </c>
      <c r="F805" s="17" t="s">
        <v>45</v>
      </c>
      <c r="G805" s="11" t="s">
        <v>1432</v>
      </c>
      <c r="H805" s="12">
        <v>13</v>
      </c>
      <c r="I805" s="11" t="s">
        <v>1433</v>
      </c>
      <c r="J805" s="192" t="s">
        <v>208</v>
      </c>
      <c r="K805" s="17" t="s">
        <v>233</v>
      </c>
      <c r="L805" s="17" t="s">
        <v>233</v>
      </c>
      <c r="M805" s="231">
        <v>1</v>
      </c>
      <c r="N805" s="231">
        <v>1</v>
      </c>
      <c r="O805" s="231">
        <v>1</v>
      </c>
      <c r="P805" s="231" t="s">
        <v>239</v>
      </c>
      <c r="Q805" s="231">
        <v>1</v>
      </c>
      <c r="R805" s="231" t="s">
        <v>239</v>
      </c>
      <c r="S805" s="231">
        <v>1</v>
      </c>
      <c r="T805" s="231" t="s">
        <v>239</v>
      </c>
      <c r="U805" s="231">
        <v>1</v>
      </c>
      <c r="V805" s="230" t="s">
        <v>239</v>
      </c>
      <c r="W805" s="231">
        <v>1</v>
      </c>
      <c r="X805" s="231" t="s">
        <v>239</v>
      </c>
      <c r="Y805" s="231">
        <v>1</v>
      </c>
      <c r="Z805" s="231" t="s">
        <v>239</v>
      </c>
      <c r="AA805" s="231">
        <v>1</v>
      </c>
      <c r="AB805" s="231" t="s">
        <v>239</v>
      </c>
      <c r="AC805" s="231">
        <v>1</v>
      </c>
      <c r="AD805" s="231" t="s">
        <v>239</v>
      </c>
      <c r="AE805" s="231">
        <v>1</v>
      </c>
      <c r="AF805" s="231" t="s">
        <v>239</v>
      </c>
      <c r="AG805" s="231">
        <v>1</v>
      </c>
      <c r="AH805" s="231" t="s">
        <v>239</v>
      </c>
      <c r="AI805" s="231">
        <v>1</v>
      </c>
      <c r="AJ805" s="231" t="s">
        <v>239</v>
      </c>
      <c r="AK805" s="231">
        <v>1</v>
      </c>
      <c r="AL805" s="232" t="s">
        <v>239</v>
      </c>
      <c r="AM805" s="232">
        <v>0</v>
      </c>
    </row>
    <row r="806" spans="1:39" ht="15.75" outlineLevel="1">
      <c r="A806" s="412"/>
      <c r="B806" s="10">
        <v>129398</v>
      </c>
      <c r="C806" s="218" t="s">
        <v>1489</v>
      </c>
      <c r="D806" s="218" t="s">
        <v>1490</v>
      </c>
      <c r="E806" s="23" t="s">
        <v>138</v>
      </c>
      <c r="F806" s="17" t="s">
        <v>45</v>
      </c>
      <c r="G806" s="11" t="s">
        <v>1432</v>
      </c>
      <c r="H806" s="12">
        <v>44</v>
      </c>
      <c r="I806" s="11" t="s">
        <v>1433</v>
      </c>
      <c r="J806" s="192" t="s">
        <v>1463</v>
      </c>
      <c r="K806" s="17" t="s">
        <v>233</v>
      </c>
      <c r="L806" s="17" t="s">
        <v>233</v>
      </c>
      <c r="M806" s="231">
        <v>6912</v>
      </c>
      <c r="N806" s="232">
        <v>6828.0883199999998</v>
      </c>
      <c r="O806" s="132">
        <v>120</v>
      </c>
      <c r="P806" s="231" t="s">
        <v>239</v>
      </c>
      <c r="Q806" s="232">
        <v>118.518</v>
      </c>
      <c r="R806" s="231" t="s">
        <v>239</v>
      </c>
      <c r="S806" s="232">
        <v>117.05430270000001</v>
      </c>
      <c r="T806" s="231" t="s">
        <v>239</v>
      </c>
      <c r="U806" s="232">
        <v>115.60868206165502</v>
      </c>
      <c r="V806" s="231" t="s">
        <v>239</v>
      </c>
      <c r="W806" s="232">
        <v>114.18091483819359</v>
      </c>
      <c r="X806" s="231" t="s">
        <v>239</v>
      </c>
      <c r="Y806" s="232">
        <v>112.7707805399419</v>
      </c>
      <c r="Z806" s="231" t="s">
        <v>239</v>
      </c>
      <c r="AA806" s="232">
        <v>111.37806140027362</v>
      </c>
      <c r="AB806" s="231" t="s">
        <v>239</v>
      </c>
      <c r="AC806" s="232">
        <v>110.00254234198025</v>
      </c>
      <c r="AD806" s="231" t="s">
        <v>239</v>
      </c>
      <c r="AE806" s="232">
        <v>108.64401094405679</v>
      </c>
      <c r="AF806" s="231" t="s">
        <v>239</v>
      </c>
      <c r="AG806" s="232">
        <v>107.30225740889769</v>
      </c>
      <c r="AH806" s="231" t="s">
        <v>239</v>
      </c>
      <c r="AI806" s="232">
        <v>105.97707452989781</v>
      </c>
      <c r="AJ806" s="231" t="s">
        <v>239</v>
      </c>
      <c r="AK806" s="232">
        <v>104.66825765945357</v>
      </c>
      <c r="AL806" s="232" t="s">
        <v>239</v>
      </c>
      <c r="AM806" s="232">
        <v>1346.1048844243503</v>
      </c>
    </row>
    <row r="807" spans="1:39" ht="15.75" outlineLevel="1">
      <c r="A807" s="411">
        <v>399</v>
      </c>
      <c r="B807" s="10">
        <v>129399</v>
      </c>
      <c r="C807" s="218" t="s">
        <v>1489</v>
      </c>
      <c r="D807" s="218" t="s">
        <v>1490</v>
      </c>
      <c r="E807" s="23" t="s">
        <v>44</v>
      </c>
      <c r="F807" s="17" t="s">
        <v>45</v>
      </c>
      <c r="G807" s="11" t="s">
        <v>1432</v>
      </c>
      <c r="H807" s="12">
        <v>21</v>
      </c>
      <c r="I807" s="11" t="s">
        <v>1433</v>
      </c>
      <c r="J807" s="192" t="s">
        <v>1482</v>
      </c>
      <c r="K807" s="17" t="s">
        <v>233</v>
      </c>
      <c r="L807" s="17" t="s">
        <v>233</v>
      </c>
      <c r="M807" s="231">
        <v>1</v>
      </c>
      <c r="N807" s="231">
        <v>1</v>
      </c>
      <c r="O807" s="231">
        <v>1</v>
      </c>
      <c r="P807" s="231" t="s">
        <v>239</v>
      </c>
      <c r="Q807" s="231">
        <v>1</v>
      </c>
      <c r="R807" s="231" t="s">
        <v>239</v>
      </c>
      <c r="S807" s="231">
        <v>1</v>
      </c>
      <c r="T807" s="231" t="s">
        <v>239</v>
      </c>
      <c r="U807" s="231">
        <v>1</v>
      </c>
      <c r="V807" s="231" t="s">
        <v>239</v>
      </c>
      <c r="W807" s="231">
        <v>1</v>
      </c>
      <c r="X807" s="231" t="s">
        <v>239</v>
      </c>
      <c r="Y807" s="231">
        <v>1</v>
      </c>
      <c r="Z807" s="231" t="s">
        <v>239</v>
      </c>
      <c r="AA807" s="231">
        <v>1</v>
      </c>
      <c r="AB807" s="231" t="s">
        <v>239</v>
      </c>
      <c r="AC807" s="231">
        <v>1</v>
      </c>
      <c r="AD807" s="231" t="s">
        <v>239</v>
      </c>
      <c r="AE807" s="231">
        <v>1</v>
      </c>
      <c r="AF807" s="231" t="s">
        <v>239</v>
      </c>
      <c r="AG807" s="231">
        <v>1</v>
      </c>
      <c r="AH807" s="231" t="s">
        <v>239</v>
      </c>
      <c r="AI807" s="231">
        <v>1</v>
      </c>
      <c r="AJ807" s="231" t="s">
        <v>239</v>
      </c>
      <c r="AK807" s="231">
        <v>1</v>
      </c>
      <c r="AL807" s="232" t="s">
        <v>239</v>
      </c>
      <c r="AM807" s="232">
        <v>0</v>
      </c>
    </row>
    <row r="808" spans="1:39" ht="15.75" outlineLevel="1">
      <c r="A808" s="412"/>
      <c r="B808" s="10">
        <v>129399</v>
      </c>
      <c r="C808" s="218" t="s">
        <v>1489</v>
      </c>
      <c r="D808" s="218" t="s">
        <v>1490</v>
      </c>
      <c r="E808" s="23" t="s">
        <v>138</v>
      </c>
      <c r="F808" s="17" t="s">
        <v>45</v>
      </c>
      <c r="G808" s="11" t="s">
        <v>1432</v>
      </c>
      <c r="H808" s="12">
        <v>19</v>
      </c>
      <c r="I808" s="11" t="s">
        <v>1433</v>
      </c>
      <c r="J808" s="192" t="s">
        <v>1462</v>
      </c>
      <c r="K808" s="17" t="s">
        <v>233</v>
      </c>
      <c r="L808" s="17" t="s">
        <v>233</v>
      </c>
      <c r="M808" s="231">
        <v>0</v>
      </c>
      <c r="N808" s="232">
        <v>0</v>
      </c>
      <c r="O808" s="132"/>
      <c r="P808" s="231" t="s">
        <v>239</v>
      </c>
      <c r="Q808" s="232">
        <v>0</v>
      </c>
      <c r="R808" s="231" t="s">
        <v>239</v>
      </c>
      <c r="S808" s="232">
        <v>0</v>
      </c>
      <c r="T808" s="231" t="s">
        <v>239</v>
      </c>
      <c r="U808" s="232">
        <v>0</v>
      </c>
      <c r="V808" s="230" t="s">
        <v>239</v>
      </c>
      <c r="W808" s="232">
        <v>0</v>
      </c>
      <c r="X808" s="231" t="s">
        <v>239</v>
      </c>
      <c r="Y808" s="232">
        <v>0</v>
      </c>
      <c r="Z808" s="231" t="s">
        <v>239</v>
      </c>
      <c r="AA808" s="232">
        <v>0</v>
      </c>
      <c r="AB808" s="231" t="s">
        <v>239</v>
      </c>
      <c r="AC808" s="232">
        <v>0</v>
      </c>
      <c r="AD808" s="231" t="s">
        <v>239</v>
      </c>
      <c r="AE808" s="232">
        <v>0</v>
      </c>
      <c r="AF808" s="231" t="s">
        <v>239</v>
      </c>
      <c r="AG808" s="232">
        <v>0</v>
      </c>
      <c r="AH808" s="231" t="s">
        <v>239</v>
      </c>
      <c r="AI808" s="232">
        <v>0</v>
      </c>
      <c r="AJ808" s="231" t="s">
        <v>239</v>
      </c>
      <c r="AK808" s="232">
        <v>0</v>
      </c>
      <c r="AL808" s="232" t="s">
        <v>239</v>
      </c>
      <c r="AM808" s="232">
        <v>0</v>
      </c>
    </row>
    <row r="809" spans="1:39" ht="15.75" outlineLevel="1">
      <c r="A809" s="411">
        <v>400</v>
      </c>
      <c r="B809" s="10">
        <v>129400</v>
      </c>
      <c r="C809" s="218" t="s">
        <v>1489</v>
      </c>
      <c r="D809" s="218" t="s">
        <v>1490</v>
      </c>
      <c r="E809" s="23" t="s">
        <v>44</v>
      </c>
      <c r="F809" s="17" t="s">
        <v>45</v>
      </c>
      <c r="G809" s="11" t="s">
        <v>1432</v>
      </c>
      <c r="H809" s="12">
        <v>30</v>
      </c>
      <c r="I809" s="11" t="s">
        <v>1433</v>
      </c>
      <c r="J809" s="192" t="s">
        <v>1457</v>
      </c>
      <c r="K809" s="17" t="s">
        <v>233</v>
      </c>
      <c r="L809" s="17" t="s">
        <v>233</v>
      </c>
      <c r="M809" s="231">
        <v>12.5</v>
      </c>
      <c r="N809" s="231">
        <v>12.5</v>
      </c>
      <c r="O809" s="231">
        <v>12.5</v>
      </c>
      <c r="P809" s="231" t="s">
        <v>239</v>
      </c>
      <c r="Q809" s="231">
        <v>12.5</v>
      </c>
      <c r="R809" s="231" t="s">
        <v>239</v>
      </c>
      <c r="S809" s="231">
        <v>12.5</v>
      </c>
      <c r="T809" s="231" t="s">
        <v>239</v>
      </c>
      <c r="U809" s="231">
        <v>12.5</v>
      </c>
      <c r="V809" s="231" t="s">
        <v>239</v>
      </c>
      <c r="W809" s="231">
        <v>12.5</v>
      </c>
      <c r="X809" s="231" t="s">
        <v>239</v>
      </c>
      <c r="Y809" s="231">
        <v>12.5</v>
      </c>
      <c r="Z809" s="231" t="s">
        <v>239</v>
      </c>
      <c r="AA809" s="231">
        <v>12.5</v>
      </c>
      <c r="AB809" s="231" t="s">
        <v>239</v>
      </c>
      <c r="AC809" s="231">
        <v>12.5</v>
      </c>
      <c r="AD809" s="231" t="s">
        <v>239</v>
      </c>
      <c r="AE809" s="231">
        <v>12.5</v>
      </c>
      <c r="AF809" s="231" t="s">
        <v>239</v>
      </c>
      <c r="AG809" s="231">
        <v>12.5</v>
      </c>
      <c r="AH809" s="231" t="s">
        <v>239</v>
      </c>
      <c r="AI809" s="231">
        <v>12.5</v>
      </c>
      <c r="AJ809" s="231" t="s">
        <v>239</v>
      </c>
      <c r="AK809" s="231">
        <v>12.5</v>
      </c>
      <c r="AL809" s="232" t="s">
        <v>239</v>
      </c>
      <c r="AM809" s="232">
        <v>0</v>
      </c>
    </row>
    <row r="810" spans="1:39" ht="15.75" outlineLevel="1">
      <c r="A810" s="412"/>
      <c r="B810" s="10">
        <v>129400</v>
      </c>
      <c r="C810" s="218" t="s">
        <v>1489</v>
      </c>
      <c r="D810" s="218" t="s">
        <v>1490</v>
      </c>
      <c r="E810" s="23" t="s">
        <v>44</v>
      </c>
      <c r="F810" s="17" t="s">
        <v>45</v>
      </c>
      <c r="G810" s="11" t="s">
        <v>1432</v>
      </c>
      <c r="H810" s="12">
        <v>33</v>
      </c>
      <c r="I810" s="11" t="s">
        <v>1433</v>
      </c>
      <c r="J810" s="192" t="s">
        <v>617</v>
      </c>
      <c r="K810" s="17" t="s">
        <v>233</v>
      </c>
      <c r="L810" s="17" t="s">
        <v>233</v>
      </c>
      <c r="M810" s="231">
        <v>4032</v>
      </c>
      <c r="N810" s="232">
        <v>3983.05152</v>
      </c>
      <c r="O810" s="132">
        <v>250</v>
      </c>
      <c r="P810" s="231" t="s">
        <v>239</v>
      </c>
      <c r="Q810" s="232">
        <v>246.91249999999999</v>
      </c>
      <c r="R810" s="231" t="s">
        <v>239</v>
      </c>
      <c r="S810" s="232">
        <v>243.863130625</v>
      </c>
      <c r="T810" s="231" t="s">
        <v>239</v>
      </c>
      <c r="U810" s="232">
        <v>240.85142096178126</v>
      </c>
      <c r="V810" s="231" t="s">
        <v>239</v>
      </c>
      <c r="W810" s="232">
        <v>237.87690591290325</v>
      </c>
      <c r="X810" s="231" t="s">
        <v>239</v>
      </c>
      <c r="Y810" s="232">
        <v>234.9391261248789</v>
      </c>
      <c r="Z810" s="231" t="s">
        <v>239</v>
      </c>
      <c r="AA810" s="232">
        <v>232.03762791723665</v>
      </c>
      <c r="AB810" s="231" t="s">
        <v>239</v>
      </c>
      <c r="AC810" s="232">
        <v>229.17196321245879</v>
      </c>
      <c r="AD810" s="231" t="s">
        <v>239</v>
      </c>
      <c r="AE810" s="232">
        <v>226.34168946678494</v>
      </c>
      <c r="AF810" s="231" t="s">
        <v>239</v>
      </c>
      <c r="AG810" s="232">
        <v>223.54636960187017</v>
      </c>
      <c r="AH810" s="231" t="s">
        <v>239</v>
      </c>
      <c r="AI810" s="232">
        <v>220.78557193728707</v>
      </c>
      <c r="AJ810" s="231" t="s">
        <v>239</v>
      </c>
      <c r="AK810" s="232">
        <v>218.0588701238616</v>
      </c>
      <c r="AL810" s="232" t="s">
        <v>239</v>
      </c>
      <c r="AM810" s="232">
        <v>2804.3851758840628</v>
      </c>
    </row>
    <row r="811" spans="1:39" ht="15.75" outlineLevel="1">
      <c r="A811" s="411">
        <v>401</v>
      </c>
      <c r="B811" s="10">
        <v>129401</v>
      </c>
      <c r="C811" s="218" t="s">
        <v>1489</v>
      </c>
      <c r="D811" s="218" t="s">
        <v>1490</v>
      </c>
      <c r="E811" s="23" t="s">
        <v>138</v>
      </c>
      <c r="F811" s="17" t="s">
        <v>45</v>
      </c>
      <c r="G811" s="11" t="s">
        <v>1432</v>
      </c>
      <c r="H811" s="12">
        <v>19</v>
      </c>
      <c r="I811" s="11" t="s">
        <v>1433</v>
      </c>
      <c r="J811" s="374" t="s">
        <v>1457</v>
      </c>
      <c r="K811" s="17" t="s">
        <v>233</v>
      </c>
      <c r="L811" s="17" t="s">
        <v>233</v>
      </c>
      <c r="M811" s="231">
        <v>22.5</v>
      </c>
      <c r="N811" s="231">
        <v>22.5</v>
      </c>
      <c r="O811" s="231">
        <v>22.5</v>
      </c>
      <c r="P811" s="231" t="s">
        <v>239</v>
      </c>
      <c r="Q811" s="231">
        <v>22.5</v>
      </c>
      <c r="R811" s="231" t="s">
        <v>239</v>
      </c>
      <c r="S811" s="231">
        <v>22.5</v>
      </c>
      <c r="T811" s="231" t="s">
        <v>239</v>
      </c>
      <c r="U811" s="231">
        <v>22.5</v>
      </c>
      <c r="V811" s="230" t="s">
        <v>239</v>
      </c>
      <c r="W811" s="231">
        <v>22.5</v>
      </c>
      <c r="X811" s="231" t="s">
        <v>239</v>
      </c>
      <c r="Y811" s="231">
        <v>22.5</v>
      </c>
      <c r="Z811" s="231" t="s">
        <v>239</v>
      </c>
      <c r="AA811" s="231">
        <v>22.5</v>
      </c>
      <c r="AB811" s="231" t="s">
        <v>239</v>
      </c>
      <c r="AC811" s="231">
        <v>22.5</v>
      </c>
      <c r="AD811" s="231" t="s">
        <v>239</v>
      </c>
      <c r="AE811" s="231">
        <v>22.5</v>
      </c>
      <c r="AF811" s="231" t="s">
        <v>239</v>
      </c>
      <c r="AG811" s="231">
        <v>22.5</v>
      </c>
      <c r="AH811" s="231" t="s">
        <v>239</v>
      </c>
      <c r="AI811" s="231">
        <v>22.5</v>
      </c>
      <c r="AJ811" s="231" t="s">
        <v>239</v>
      </c>
      <c r="AK811" s="231">
        <v>22.5</v>
      </c>
      <c r="AL811" s="232" t="s">
        <v>239</v>
      </c>
      <c r="AM811" s="232">
        <v>0</v>
      </c>
    </row>
    <row r="812" spans="1:39" ht="15.75" outlineLevel="1">
      <c r="A812" s="412"/>
      <c r="B812" s="10">
        <v>129401</v>
      </c>
      <c r="C812" s="218" t="s">
        <v>1489</v>
      </c>
      <c r="D812" s="218" t="s">
        <v>1490</v>
      </c>
      <c r="E812" s="23" t="s">
        <v>44</v>
      </c>
      <c r="F812" s="17" t="s">
        <v>45</v>
      </c>
      <c r="G812" s="11" t="s">
        <v>1432</v>
      </c>
      <c r="H812" s="12">
        <v>6</v>
      </c>
      <c r="I812" s="11" t="s">
        <v>1433</v>
      </c>
      <c r="J812" s="375"/>
      <c r="K812" s="17" t="s">
        <v>233</v>
      </c>
      <c r="L812" s="17" t="s">
        <v>233</v>
      </c>
      <c r="M812" s="231">
        <v>6849</v>
      </c>
      <c r="N812" s="232">
        <v>6765.8531400000002</v>
      </c>
      <c r="O812" s="132">
        <v>306</v>
      </c>
      <c r="P812" s="231" t="s">
        <v>239</v>
      </c>
      <c r="Q812" s="232">
        <v>302.22090000000003</v>
      </c>
      <c r="R812" s="231" t="s">
        <v>239</v>
      </c>
      <c r="S812" s="232">
        <v>298.48847188500002</v>
      </c>
      <c r="T812" s="231" t="s">
        <v>239</v>
      </c>
      <c r="U812" s="232">
        <v>294.80213925722029</v>
      </c>
      <c r="V812" s="231" t="s">
        <v>239</v>
      </c>
      <c r="W812" s="232">
        <v>291.16133283739362</v>
      </c>
      <c r="X812" s="231" t="s">
        <v>239</v>
      </c>
      <c r="Y812" s="232">
        <v>287.56549037685181</v>
      </c>
      <c r="Z812" s="231" t="s">
        <v>239</v>
      </c>
      <c r="AA812" s="232">
        <v>284.01405657069768</v>
      </c>
      <c r="AB812" s="231" t="s">
        <v>239</v>
      </c>
      <c r="AC812" s="232">
        <v>280.50648297204958</v>
      </c>
      <c r="AD812" s="231" t="s">
        <v>239</v>
      </c>
      <c r="AE812" s="232">
        <v>277.0422279073448</v>
      </c>
      <c r="AF812" s="231" t="s">
        <v>239</v>
      </c>
      <c r="AG812" s="232">
        <v>273.62075639268909</v>
      </c>
      <c r="AH812" s="231" t="s">
        <v>239</v>
      </c>
      <c r="AI812" s="232">
        <v>270.24154005123938</v>
      </c>
      <c r="AJ812" s="231" t="s">
        <v>239</v>
      </c>
      <c r="AK812" s="232">
        <v>266.90405703160661</v>
      </c>
      <c r="AL812" s="232" t="s">
        <v>239</v>
      </c>
      <c r="AM812" s="232">
        <v>3432.5674552820924</v>
      </c>
    </row>
    <row r="813" spans="1:39" ht="15.75" outlineLevel="1">
      <c r="A813" s="411">
        <v>402</v>
      </c>
      <c r="B813" s="10">
        <v>129402</v>
      </c>
      <c r="C813" s="218" t="s">
        <v>1489</v>
      </c>
      <c r="D813" s="218" t="s">
        <v>1490</v>
      </c>
      <c r="E813" s="23" t="s">
        <v>138</v>
      </c>
      <c r="F813" s="17" t="s">
        <v>45</v>
      </c>
      <c r="G813" s="11" t="s">
        <v>1432</v>
      </c>
      <c r="H813" s="12">
        <v>15</v>
      </c>
      <c r="I813" s="11" t="s">
        <v>1433</v>
      </c>
      <c r="J813" s="193" t="s">
        <v>1460</v>
      </c>
      <c r="K813" s="17" t="s">
        <v>233</v>
      </c>
      <c r="L813" s="17" t="s">
        <v>233</v>
      </c>
      <c r="M813" s="231">
        <v>30</v>
      </c>
      <c r="N813" s="231">
        <v>30</v>
      </c>
      <c r="O813" s="231">
        <v>30</v>
      </c>
      <c r="P813" s="231" t="s">
        <v>239</v>
      </c>
      <c r="Q813" s="231">
        <v>30</v>
      </c>
      <c r="R813" s="231" t="s">
        <v>239</v>
      </c>
      <c r="S813" s="231">
        <v>30</v>
      </c>
      <c r="T813" s="231" t="s">
        <v>239</v>
      </c>
      <c r="U813" s="231">
        <v>30</v>
      </c>
      <c r="V813" s="231" t="s">
        <v>239</v>
      </c>
      <c r="W813" s="231">
        <v>30</v>
      </c>
      <c r="X813" s="231" t="s">
        <v>239</v>
      </c>
      <c r="Y813" s="231">
        <v>30</v>
      </c>
      <c r="Z813" s="231" t="s">
        <v>239</v>
      </c>
      <c r="AA813" s="231">
        <v>30</v>
      </c>
      <c r="AB813" s="231" t="s">
        <v>239</v>
      </c>
      <c r="AC813" s="231">
        <v>30</v>
      </c>
      <c r="AD813" s="231" t="s">
        <v>239</v>
      </c>
      <c r="AE813" s="231">
        <v>30</v>
      </c>
      <c r="AF813" s="231" t="s">
        <v>239</v>
      </c>
      <c r="AG813" s="231">
        <v>30</v>
      </c>
      <c r="AH813" s="231" t="s">
        <v>239</v>
      </c>
      <c r="AI813" s="231">
        <v>30</v>
      </c>
      <c r="AJ813" s="231" t="s">
        <v>239</v>
      </c>
      <c r="AK813" s="231">
        <v>30</v>
      </c>
      <c r="AL813" s="232" t="s">
        <v>239</v>
      </c>
      <c r="AM813" s="232">
        <v>0</v>
      </c>
    </row>
    <row r="814" spans="1:39" ht="15.75" outlineLevel="1">
      <c r="A814" s="412"/>
      <c r="B814" s="10">
        <v>129402</v>
      </c>
      <c r="C814" s="218" t="s">
        <v>1489</v>
      </c>
      <c r="D814" s="218" t="s">
        <v>1490</v>
      </c>
      <c r="E814" s="23" t="s">
        <v>44</v>
      </c>
      <c r="F814" s="17" t="s">
        <v>45</v>
      </c>
      <c r="G814" s="11" t="s">
        <v>1432</v>
      </c>
      <c r="H814" s="12">
        <v>15</v>
      </c>
      <c r="I814" s="11" t="s">
        <v>1433</v>
      </c>
      <c r="J814" s="193" t="s">
        <v>1442</v>
      </c>
      <c r="K814" s="17" t="s">
        <v>233</v>
      </c>
      <c r="L814" s="17" t="s">
        <v>233</v>
      </c>
      <c r="M814" s="231">
        <v>10308</v>
      </c>
      <c r="N814" s="232">
        <v>10182.86088</v>
      </c>
      <c r="O814" s="132">
        <v>254</v>
      </c>
      <c r="P814" s="231" t="s">
        <v>239</v>
      </c>
      <c r="Q814" s="232">
        <v>250.8631</v>
      </c>
      <c r="R814" s="231" t="s">
        <v>239</v>
      </c>
      <c r="S814" s="232">
        <v>247.76494071500002</v>
      </c>
      <c r="T814" s="231" t="s">
        <v>239</v>
      </c>
      <c r="U814" s="232">
        <v>244.70504369716977</v>
      </c>
      <c r="V814" s="230" t="s">
        <v>239</v>
      </c>
      <c r="W814" s="232">
        <v>241.68293640750974</v>
      </c>
      <c r="X814" s="231" t="s">
        <v>239</v>
      </c>
      <c r="Y814" s="232">
        <v>238.69815214287701</v>
      </c>
      <c r="Z814" s="231" t="s">
        <v>239</v>
      </c>
      <c r="AA814" s="232">
        <v>235.75022996391249</v>
      </c>
      <c r="AB814" s="231" t="s">
        <v>239</v>
      </c>
      <c r="AC814" s="232">
        <v>232.83871462385818</v>
      </c>
      <c r="AD814" s="231" t="s">
        <v>239</v>
      </c>
      <c r="AE814" s="232">
        <v>229.96315649825354</v>
      </c>
      <c r="AF814" s="231" t="s">
        <v>239</v>
      </c>
      <c r="AG814" s="232">
        <v>227.12311151550011</v>
      </c>
      <c r="AH814" s="231" t="s">
        <v>239</v>
      </c>
      <c r="AI814" s="232">
        <v>224.31814108828368</v>
      </c>
      <c r="AJ814" s="231" t="s">
        <v>239</v>
      </c>
      <c r="AK814" s="232">
        <v>221.54781204584339</v>
      </c>
      <c r="AL814" s="232" t="s">
        <v>239</v>
      </c>
      <c r="AM814" s="232">
        <v>2849.2553386982077</v>
      </c>
    </row>
    <row r="815" spans="1:39" ht="15.75" outlineLevel="1">
      <c r="A815" s="411">
        <v>403</v>
      </c>
      <c r="B815" s="10">
        <v>129403</v>
      </c>
      <c r="C815" s="218" t="s">
        <v>1489</v>
      </c>
      <c r="D815" s="218" t="s">
        <v>1490</v>
      </c>
      <c r="E815" s="23" t="s">
        <v>44</v>
      </c>
      <c r="F815" s="17" t="s">
        <v>45</v>
      </c>
      <c r="G815" s="11" t="s">
        <v>1432</v>
      </c>
      <c r="H815" s="12">
        <v>19</v>
      </c>
      <c r="I815" s="11" t="s">
        <v>1433</v>
      </c>
      <c r="J815" s="193" t="s">
        <v>1460</v>
      </c>
      <c r="K815" s="17" t="s">
        <v>233</v>
      </c>
      <c r="L815" s="17" t="s">
        <v>233</v>
      </c>
      <c r="M815" s="231">
        <v>61.5</v>
      </c>
      <c r="N815" s="231">
        <v>61.5</v>
      </c>
      <c r="O815" s="231">
        <v>61.5</v>
      </c>
      <c r="P815" s="231" t="s">
        <v>239</v>
      </c>
      <c r="Q815" s="231">
        <v>61.5</v>
      </c>
      <c r="R815" s="231" t="s">
        <v>239</v>
      </c>
      <c r="S815" s="231">
        <v>61.5</v>
      </c>
      <c r="T815" s="231" t="s">
        <v>239</v>
      </c>
      <c r="U815" s="231">
        <v>61.5</v>
      </c>
      <c r="V815" s="231" t="s">
        <v>239</v>
      </c>
      <c r="W815" s="231">
        <v>61.5</v>
      </c>
      <c r="X815" s="231" t="s">
        <v>239</v>
      </c>
      <c r="Y815" s="231">
        <v>61.5</v>
      </c>
      <c r="Z815" s="231" t="s">
        <v>239</v>
      </c>
      <c r="AA815" s="231">
        <v>61.5</v>
      </c>
      <c r="AB815" s="231" t="s">
        <v>239</v>
      </c>
      <c r="AC815" s="231">
        <v>61.5</v>
      </c>
      <c r="AD815" s="231" t="s">
        <v>239</v>
      </c>
      <c r="AE815" s="231">
        <v>61.5</v>
      </c>
      <c r="AF815" s="231" t="s">
        <v>239</v>
      </c>
      <c r="AG815" s="231">
        <v>61.5</v>
      </c>
      <c r="AH815" s="231" t="s">
        <v>239</v>
      </c>
      <c r="AI815" s="231">
        <v>61.5</v>
      </c>
      <c r="AJ815" s="231" t="s">
        <v>239</v>
      </c>
      <c r="AK815" s="231">
        <v>61.5</v>
      </c>
      <c r="AL815" s="232" t="s">
        <v>239</v>
      </c>
      <c r="AM815" s="232">
        <v>0</v>
      </c>
    </row>
    <row r="816" spans="1:39" ht="15.75" outlineLevel="1">
      <c r="A816" s="412"/>
      <c r="B816" s="10">
        <v>129403</v>
      </c>
      <c r="C816" s="218" t="s">
        <v>1489</v>
      </c>
      <c r="D816" s="218" t="s">
        <v>1490</v>
      </c>
      <c r="E816" s="23" t="s">
        <v>138</v>
      </c>
      <c r="F816" s="17" t="s">
        <v>45</v>
      </c>
      <c r="G816" s="11" t="s">
        <v>1432</v>
      </c>
      <c r="H816" s="12">
        <v>22</v>
      </c>
      <c r="I816" s="11" t="s">
        <v>1433</v>
      </c>
      <c r="J816" s="193" t="s">
        <v>1457</v>
      </c>
      <c r="K816" s="17" t="s">
        <v>233</v>
      </c>
      <c r="L816" s="17" t="s">
        <v>233</v>
      </c>
      <c r="M816" s="231">
        <v>20197</v>
      </c>
      <c r="N816" s="232">
        <v>19951.808419999998</v>
      </c>
      <c r="O816" s="132">
        <v>713</v>
      </c>
      <c r="P816" s="231" t="s">
        <v>239</v>
      </c>
      <c r="Q816" s="232">
        <v>704.19445000000007</v>
      </c>
      <c r="R816" s="231" t="s">
        <v>239</v>
      </c>
      <c r="S816" s="232">
        <v>695.49764854250009</v>
      </c>
      <c r="T816" s="231" t="s">
        <v>239</v>
      </c>
      <c r="U816" s="232">
        <v>686.90825258300026</v>
      </c>
      <c r="V816" s="231" t="s">
        <v>239</v>
      </c>
      <c r="W816" s="232">
        <v>678.42493566360019</v>
      </c>
      <c r="X816" s="231" t="s">
        <v>239</v>
      </c>
      <c r="Y816" s="232">
        <v>670.04638770815473</v>
      </c>
      <c r="Z816" s="231" t="s">
        <v>239</v>
      </c>
      <c r="AA816" s="232">
        <v>661.771314819959</v>
      </c>
      <c r="AB816" s="231" t="s">
        <v>239</v>
      </c>
      <c r="AC816" s="232">
        <v>653.5984390819325</v>
      </c>
      <c r="AD816" s="231" t="s">
        <v>239</v>
      </c>
      <c r="AE816" s="232">
        <v>645.5264983592707</v>
      </c>
      <c r="AF816" s="231" t="s">
        <v>239</v>
      </c>
      <c r="AG816" s="232">
        <v>637.55424610453372</v>
      </c>
      <c r="AH816" s="231" t="s">
        <v>239</v>
      </c>
      <c r="AI816" s="232">
        <v>629.6804511651427</v>
      </c>
      <c r="AJ816" s="231" t="s">
        <v>239</v>
      </c>
      <c r="AK816" s="232">
        <v>621.90389759325319</v>
      </c>
      <c r="AL816" s="232" t="s">
        <v>239</v>
      </c>
      <c r="AM816" s="232">
        <v>7998.1065216213465</v>
      </c>
    </row>
    <row r="817" spans="1:39" ht="15.75" outlineLevel="1">
      <c r="A817" s="411">
        <v>404</v>
      </c>
      <c r="B817" s="10">
        <v>129404</v>
      </c>
      <c r="C817" s="218" t="s">
        <v>1489</v>
      </c>
      <c r="D817" s="218" t="s">
        <v>1490</v>
      </c>
      <c r="E817" s="23" t="s">
        <v>44</v>
      </c>
      <c r="F817" s="17" t="s">
        <v>45</v>
      </c>
      <c r="G817" s="11" t="s">
        <v>1432</v>
      </c>
      <c r="H817" s="12">
        <v>24</v>
      </c>
      <c r="I817" s="11" t="s">
        <v>1433</v>
      </c>
      <c r="J817" s="193" t="s">
        <v>617</v>
      </c>
      <c r="K817" s="17" t="s">
        <v>233</v>
      </c>
      <c r="L817" s="17" t="s">
        <v>233</v>
      </c>
      <c r="M817" s="231">
        <v>61.5</v>
      </c>
      <c r="N817" s="231">
        <v>61.5</v>
      </c>
      <c r="O817" s="231">
        <v>61.5</v>
      </c>
      <c r="P817" s="231" t="s">
        <v>239</v>
      </c>
      <c r="Q817" s="231">
        <v>61.5</v>
      </c>
      <c r="R817" s="231" t="s">
        <v>239</v>
      </c>
      <c r="S817" s="231">
        <v>61.5</v>
      </c>
      <c r="T817" s="231" t="s">
        <v>239</v>
      </c>
      <c r="U817" s="231">
        <v>61.5</v>
      </c>
      <c r="V817" s="230" t="s">
        <v>239</v>
      </c>
      <c r="W817" s="231">
        <v>61.5</v>
      </c>
      <c r="X817" s="231" t="s">
        <v>239</v>
      </c>
      <c r="Y817" s="231">
        <v>61.5</v>
      </c>
      <c r="Z817" s="231" t="s">
        <v>239</v>
      </c>
      <c r="AA817" s="231">
        <v>61.5</v>
      </c>
      <c r="AB817" s="231" t="s">
        <v>239</v>
      </c>
      <c r="AC817" s="231">
        <v>61.5</v>
      </c>
      <c r="AD817" s="231" t="s">
        <v>239</v>
      </c>
      <c r="AE817" s="231">
        <v>61.5</v>
      </c>
      <c r="AF817" s="231" t="s">
        <v>239</v>
      </c>
      <c r="AG817" s="231">
        <v>61.5</v>
      </c>
      <c r="AH817" s="231" t="s">
        <v>239</v>
      </c>
      <c r="AI817" s="231">
        <v>61.5</v>
      </c>
      <c r="AJ817" s="231" t="s">
        <v>239</v>
      </c>
      <c r="AK817" s="231">
        <v>61.5</v>
      </c>
      <c r="AL817" s="232" t="s">
        <v>239</v>
      </c>
      <c r="AM817" s="232">
        <v>0</v>
      </c>
    </row>
    <row r="818" spans="1:39" ht="15.75" outlineLevel="1">
      <c r="A818" s="412"/>
      <c r="B818" s="10">
        <v>129404</v>
      </c>
      <c r="C818" s="218" t="s">
        <v>1489</v>
      </c>
      <c r="D818" s="218" t="s">
        <v>1490</v>
      </c>
      <c r="E818" s="23" t="s">
        <v>138</v>
      </c>
      <c r="F818" s="17" t="s">
        <v>45</v>
      </c>
      <c r="G818" s="11" t="s">
        <v>1432</v>
      </c>
      <c r="H818" s="12">
        <v>16</v>
      </c>
      <c r="I818" s="11" t="s">
        <v>1433</v>
      </c>
      <c r="J818" s="193" t="s">
        <v>216</v>
      </c>
      <c r="K818" s="17" t="s">
        <v>233</v>
      </c>
      <c r="L818" s="17" t="s">
        <v>233</v>
      </c>
      <c r="M818" s="231">
        <v>0</v>
      </c>
      <c r="N818" s="232">
        <v>0</v>
      </c>
      <c r="O818" s="132"/>
      <c r="P818" s="231" t="s">
        <v>239</v>
      </c>
      <c r="Q818" s="232">
        <v>0</v>
      </c>
      <c r="R818" s="231" t="s">
        <v>239</v>
      </c>
      <c r="S818" s="232">
        <v>0</v>
      </c>
      <c r="T818" s="231" t="s">
        <v>239</v>
      </c>
      <c r="U818" s="232">
        <v>0</v>
      </c>
      <c r="V818" s="231" t="s">
        <v>239</v>
      </c>
      <c r="W818" s="232">
        <v>0</v>
      </c>
      <c r="X818" s="231" t="s">
        <v>239</v>
      </c>
      <c r="Y818" s="232">
        <v>0</v>
      </c>
      <c r="Z818" s="231" t="s">
        <v>239</v>
      </c>
      <c r="AA818" s="232">
        <v>0</v>
      </c>
      <c r="AB818" s="231" t="s">
        <v>239</v>
      </c>
      <c r="AC818" s="232">
        <v>0</v>
      </c>
      <c r="AD818" s="231" t="s">
        <v>239</v>
      </c>
      <c r="AE818" s="232">
        <v>0</v>
      </c>
      <c r="AF818" s="231" t="s">
        <v>239</v>
      </c>
      <c r="AG818" s="232">
        <v>0</v>
      </c>
      <c r="AH818" s="231" t="s">
        <v>239</v>
      </c>
      <c r="AI818" s="232">
        <v>0</v>
      </c>
      <c r="AJ818" s="231" t="s">
        <v>239</v>
      </c>
      <c r="AK818" s="232">
        <v>0</v>
      </c>
      <c r="AL818" s="232" t="s">
        <v>239</v>
      </c>
      <c r="AM818" s="232">
        <v>0</v>
      </c>
    </row>
    <row r="819" spans="1:39" ht="15.75" outlineLevel="1">
      <c r="A819" s="411">
        <v>405</v>
      </c>
      <c r="B819" s="10">
        <v>129405</v>
      </c>
      <c r="C819" s="218" t="s">
        <v>1489</v>
      </c>
      <c r="D819" s="218" t="s">
        <v>1490</v>
      </c>
      <c r="E819" s="23" t="s">
        <v>44</v>
      </c>
      <c r="F819" s="17" t="s">
        <v>45</v>
      </c>
      <c r="G819" s="11" t="s">
        <v>1432</v>
      </c>
      <c r="H819" s="12">
        <v>5</v>
      </c>
      <c r="I819" s="11" t="s">
        <v>1433</v>
      </c>
      <c r="J819" s="191" t="s">
        <v>216</v>
      </c>
      <c r="K819" s="17" t="s">
        <v>233</v>
      </c>
      <c r="L819" s="17" t="s">
        <v>233</v>
      </c>
      <c r="M819" s="231">
        <v>18</v>
      </c>
      <c r="N819" s="231">
        <v>18</v>
      </c>
      <c r="O819" s="231">
        <v>18</v>
      </c>
      <c r="P819" s="231" t="s">
        <v>239</v>
      </c>
      <c r="Q819" s="231">
        <v>18</v>
      </c>
      <c r="R819" s="231" t="s">
        <v>239</v>
      </c>
      <c r="S819" s="231">
        <v>18</v>
      </c>
      <c r="T819" s="231" t="s">
        <v>239</v>
      </c>
      <c r="U819" s="231">
        <v>18</v>
      </c>
      <c r="V819" s="231" t="s">
        <v>239</v>
      </c>
      <c r="W819" s="231">
        <v>18</v>
      </c>
      <c r="X819" s="231" t="s">
        <v>239</v>
      </c>
      <c r="Y819" s="231">
        <v>18</v>
      </c>
      <c r="Z819" s="231" t="s">
        <v>239</v>
      </c>
      <c r="AA819" s="231">
        <v>18</v>
      </c>
      <c r="AB819" s="231" t="s">
        <v>239</v>
      </c>
      <c r="AC819" s="231">
        <v>18</v>
      </c>
      <c r="AD819" s="231" t="s">
        <v>239</v>
      </c>
      <c r="AE819" s="231">
        <v>18</v>
      </c>
      <c r="AF819" s="231" t="s">
        <v>239</v>
      </c>
      <c r="AG819" s="231">
        <v>18</v>
      </c>
      <c r="AH819" s="231" t="s">
        <v>239</v>
      </c>
      <c r="AI819" s="231">
        <v>18</v>
      </c>
      <c r="AJ819" s="231" t="s">
        <v>239</v>
      </c>
      <c r="AK819" s="231">
        <v>18</v>
      </c>
      <c r="AL819" s="232" t="s">
        <v>239</v>
      </c>
      <c r="AM819" s="232">
        <v>0</v>
      </c>
    </row>
    <row r="820" spans="1:39" ht="15.75" outlineLevel="1">
      <c r="A820" s="412"/>
      <c r="B820" s="10">
        <v>129405</v>
      </c>
      <c r="C820" s="218" t="s">
        <v>1489</v>
      </c>
      <c r="D820" s="218" t="s">
        <v>1490</v>
      </c>
      <c r="E820" s="23" t="s">
        <v>44</v>
      </c>
      <c r="F820" s="17" t="s">
        <v>45</v>
      </c>
      <c r="G820" s="11" t="s">
        <v>1432</v>
      </c>
      <c r="H820" s="12">
        <v>17</v>
      </c>
      <c r="I820" s="11" t="s">
        <v>1433</v>
      </c>
      <c r="J820" s="192" t="s">
        <v>1434</v>
      </c>
      <c r="K820" s="17" t="s">
        <v>233</v>
      </c>
      <c r="L820" s="17" t="s">
        <v>233</v>
      </c>
      <c r="M820" s="231">
        <v>9599</v>
      </c>
      <c r="N820" s="232">
        <v>9482.468139999999</v>
      </c>
      <c r="O820" s="132">
        <v>104</v>
      </c>
      <c r="P820" s="231" t="s">
        <v>239</v>
      </c>
      <c r="Q820" s="232">
        <v>102.71560000000001</v>
      </c>
      <c r="R820" s="231" t="s">
        <v>239</v>
      </c>
      <c r="S820" s="232">
        <v>101.44706234000002</v>
      </c>
      <c r="T820" s="231" t="s">
        <v>239</v>
      </c>
      <c r="U820" s="232">
        <v>100.19419112010102</v>
      </c>
      <c r="V820" s="230" t="s">
        <v>239</v>
      </c>
      <c r="W820" s="232">
        <v>98.956792859767774</v>
      </c>
      <c r="X820" s="231" t="s">
        <v>239</v>
      </c>
      <c r="Y820" s="232">
        <v>97.73467646794964</v>
      </c>
      <c r="Z820" s="231" t="s">
        <v>239</v>
      </c>
      <c r="AA820" s="232">
        <v>96.52765321357046</v>
      </c>
      <c r="AB820" s="231" t="s">
        <v>239</v>
      </c>
      <c r="AC820" s="232">
        <v>95.335536696382874</v>
      </c>
      <c r="AD820" s="231" t="s">
        <v>239</v>
      </c>
      <c r="AE820" s="232">
        <v>94.158142818182554</v>
      </c>
      <c r="AF820" s="231" t="s">
        <v>239</v>
      </c>
      <c r="AG820" s="232">
        <v>92.995289754378007</v>
      </c>
      <c r="AH820" s="231" t="s">
        <v>239</v>
      </c>
      <c r="AI820" s="232">
        <v>91.846797925911446</v>
      </c>
      <c r="AJ820" s="231" t="s">
        <v>239</v>
      </c>
      <c r="AK820" s="232">
        <v>90.712489971526438</v>
      </c>
      <c r="AL820" s="232" t="s">
        <v>239</v>
      </c>
      <c r="AM820" s="232">
        <v>1166.6242331677702</v>
      </c>
    </row>
    <row r="821" spans="1:39" ht="15.75" outlineLevel="1">
      <c r="A821" s="411">
        <v>406</v>
      </c>
      <c r="B821" s="10">
        <v>129406</v>
      </c>
      <c r="C821" s="218" t="s">
        <v>1489</v>
      </c>
      <c r="D821" s="218" t="s">
        <v>1490</v>
      </c>
      <c r="E821" s="23" t="s">
        <v>138</v>
      </c>
      <c r="F821" s="17" t="s">
        <v>45</v>
      </c>
      <c r="G821" s="11" t="s">
        <v>1432</v>
      </c>
      <c r="H821" s="12">
        <v>19</v>
      </c>
      <c r="I821" s="11" t="s">
        <v>1433</v>
      </c>
      <c r="J821" s="192" t="s">
        <v>1480</v>
      </c>
      <c r="K821" s="17" t="s">
        <v>233</v>
      </c>
      <c r="L821" s="17" t="s">
        <v>233</v>
      </c>
      <c r="M821" s="231">
        <v>80</v>
      </c>
      <c r="N821" s="231">
        <v>80</v>
      </c>
      <c r="O821" s="231">
        <v>80</v>
      </c>
      <c r="P821" s="231" t="s">
        <v>239</v>
      </c>
      <c r="Q821" s="231">
        <v>80</v>
      </c>
      <c r="R821" s="231" t="s">
        <v>239</v>
      </c>
      <c r="S821" s="231">
        <v>80</v>
      </c>
      <c r="T821" s="231" t="s">
        <v>239</v>
      </c>
      <c r="U821" s="231">
        <v>80</v>
      </c>
      <c r="V821" s="231" t="s">
        <v>239</v>
      </c>
      <c r="W821" s="231">
        <v>80</v>
      </c>
      <c r="X821" s="231" t="s">
        <v>239</v>
      </c>
      <c r="Y821" s="231">
        <v>80</v>
      </c>
      <c r="Z821" s="231" t="s">
        <v>239</v>
      </c>
      <c r="AA821" s="231">
        <v>80</v>
      </c>
      <c r="AB821" s="231" t="s">
        <v>239</v>
      </c>
      <c r="AC821" s="231">
        <v>80</v>
      </c>
      <c r="AD821" s="231" t="s">
        <v>239</v>
      </c>
      <c r="AE821" s="231">
        <v>80</v>
      </c>
      <c r="AF821" s="231" t="s">
        <v>239</v>
      </c>
      <c r="AG821" s="231">
        <v>80</v>
      </c>
      <c r="AH821" s="231" t="s">
        <v>239</v>
      </c>
      <c r="AI821" s="231">
        <v>80</v>
      </c>
      <c r="AJ821" s="231" t="s">
        <v>239</v>
      </c>
      <c r="AK821" s="231">
        <v>80</v>
      </c>
      <c r="AL821" s="232" t="s">
        <v>239</v>
      </c>
      <c r="AM821" s="232">
        <v>0</v>
      </c>
    </row>
    <row r="822" spans="1:39" ht="15.75" outlineLevel="1">
      <c r="A822" s="412"/>
      <c r="B822" s="10">
        <v>129406</v>
      </c>
      <c r="C822" s="218" t="s">
        <v>1489</v>
      </c>
      <c r="D822" s="218" t="s">
        <v>1490</v>
      </c>
      <c r="E822" s="23" t="s">
        <v>44</v>
      </c>
      <c r="F822" s="17" t="s">
        <v>45</v>
      </c>
      <c r="G822" s="11" t="s">
        <v>1432</v>
      </c>
      <c r="H822" s="12">
        <v>21</v>
      </c>
      <c r="I822" s="11" t="s">
        <v>1433</v>
      </c>
      <c r="J822" s="192" t="s">
        <v>1452</v>
      </c>
      <c r="K822" s="17" t="s">
        <v>233</v>
      </c>
      <c r="L822" s="17" t="s">
        <v>233</v>
      </c>
      <c r="M822" s="231">
        <v>33754</v>
      </c>
      <c r="N822" s="232">
        <v>33344.226439999999</v>
      </c>
      <c r="O822" s="132">
        <v>1869</v>
      </c>
      <c r="P822" s="231" t="s">
        <v>239</v>
      </c>
      <c r="Q822" s="232">
        <v>1845.91785</v>
      </c>
      <c r="R822" s="231" t="s">
        <v>239</v>
      </c>
      <c r="S822" s="232">
        <v>1823.1207645525001</v>
      </c>
      <c r="T822" s="231" t="s">
        <v>239</v>
      </c>
      <c r="U822" s="232">
        <v>1800.6052231102767</v>
      </c>
      <c r="V822" s="231" t="s">
        <v>239</v>
      </c>
      <c r="W822" s="232">
        <v>1778.3677486048648</v>
      </c>
      <c r="X822" s="231" t="s">
        <v>239</v>
      </c>
      <c r="Y822" s="232">
        <v>1756.4049069095947</v>
      </c>
      <c r="Z822" s="231" t="s">
        <v>239</v>
      </c>
      <c r="AA822" s="232">
        <v>1734.7133063092613</v>
      </c>
      <c r="AB822" s="231" t="s">
        <v>239</v>
      </c>
      <c r="AC822" s="232">
        <v>1713.289596976342</v>
      </c>
      <c r="AD822" s="231" t="s">
        <v>239</v>
      </c>
      <c r="AE822" s="232">
        <v>1692.1304704536842</v>
      </c>
      <c r="AF822" s="231" t="s">
        <v>239</v>
      </c>
      <c r="AG822" s="232">
        <v>1671.2326591435813</v>
      </c>
      <c r="AH822" s="231" t="s">
        <v>239</v>
      </c>
      <c r="AI822" s="232">
        <v>1650.5929358031581</v>
      </c>
      <c r="AJ822" s="231" t="s">
        <v>239</v>
      </c>
      <c r="AK822" s="232">
        <v>1630.2081130459892</v>
      </c>
      <c r="AL822" s="232" t="s">
        <v>239</v>
      </c>
      <c r="AM822" s="232">
        <v>20965.583574909248</v>
      </c>
    </row>
    <row r="823" spans="1:39" ht="15.75" outlineLevel="1">
      <c r="A823" s="411">
        <v>407</v>
      </c>
      <c r="B823" s="10">
        <v>129407</v>
      </c>
      <c r="C823" s="218" t="s">
        <v>1489</v>
      </c>
      <c r="D823" s="218" t="s">
        <v>1490</v>
      </c>
      <c r="E823" s="23" t="s">
        <v>138</v>
      </c>
      <c r="F823" s="17" t="s">
        <v>45</v>
      </c>
      <c r="G823" s="11" t="s">
        <v>1432</v>
      </c>
      <c r="H823" s="12">
        <v>19</v>
      </c>
      <c r="I823" s="11" t="s">
        <v>1433</v>
      </c>
      <c r="J823" s="374" t="s">
        <v>207</v>
      </c>
      <c r="K823" s="17" t="s">
        <v>233</v>
      </c>
      <c r="L823" s="17" t="s">
        <v>233</v>
      </c>
      <c r="M823" s="231">
        <v>80</v>
      </c>
      <c r="N823" s="231">
        <v>80</v>
      </c>
      <c r="O823" s="231">
        <v>80</v>
      </c>
      <c r="P823" s="231" t="s">
        <v>239</v>
      </c>
      <c r="Q823" s="231">
        <v>80</v>
      </c>
      <c r="R823" s="231" t="s">
        <v>239</v>
      </c>
      <c r="S823" s="231">
        <v>80</v>
      </c>
      <c r="T823" s="231" t="s">
        <v>239</v>
      </c>
      <c r="U823" s="231">
        <v>80</v>
      </c>
      <c r="V823" s="230" t="s">
        <v>239</v>
      </c>
      <c r="W823" s="231">
        <v>80</v>
      </c>
      <c r="X823" s="231" t="s">
        <v>239</v>
      </c>
      <c r="Y823" s="231">
        <v>80</v>
      </c>
      <c r="Z823" s="231" t="s">
        <v>239</v>
      </c>
      <c r="AA823" s="231">
        <v>80</v>
      </c>
      <c r="AB823" s="231" t="s">
        <v>239</v>
      </c>
      <c r="AC823" s="231">
        <v>80</v>
      </c>
      <c r="AD823" s="231" t="s">
        <v>239</v>
      </c>
      <c r="AE823" s="231">
        <v>80</v>
      </c>
      <c r="AF823" s="231" t="s">
        <v>239</v>
      </c>
      <c r="AG823" s="231">
        <v>80</v>
      </c>
      <c r="AH823" s="231" t="s">
        <v>239</v>
      </c>
      <c r="AI823" s="231">
        <v>80</v>
      </c>
      <c r="AJ823" s="231" t="s">
        <v>239</v>
      </c>
      <c r="AK823" s="231">
        <v>80</v>
      </c>
      <c r="AL823" s="232" t="s">
        <v>239</v>
      </c>
      <c r="AM823" s="232">
        <v>0</v>
      </c>
    </row>
    <row r="824" spans="1:39" ht="15.75" outlineLevel="1">
      <c r="A824" s="412"/>
      <c r="B824" s="10">
        <v>129407</v>
      </c>
      <c r="C824" s="218" t="s">
        <v>1489</v>
      </c>
      <c r="D824" s="218" t="s">
        <v>1490</v>
      </c>
      <c r="E824" s="23" t="s">
        <v>44</v>
      </c>
      <c r="F824" s="17" t="s">
        <v>45</v>
      </c>
      <c r="G824" s="11" t="s">
        <v>1432</v>
      </c>
      <c r="H824" s="12">
        <v>30</v>
      </c>
      <c r="I824" s="11" t="s">
        <v>1433</v>
      </c>
      <c r="J824" s="375"/>
      <c r="K824" s="17" t="s">
        <v>233</v>
      </c>
      <c r="L824" s="17" t="s">
        <v>233</v>
      </c>
      <c r="M824" s="231">
        <v>0</v>
      </c>
      <c r="N824" s="232">
        <v>0</v>
      </c>
      <c r="O824" s="132">
        <v>0</v>
      </c>
      <c r="P824" s="231" t="s">
        <v>239</v>
      </c>
      <c r="Q824" s="232">
        <v>0</v>
      </c>
      <c r="R824" s="231" t="s">
        <v>239</v>
      </c>
      <c r="S824" s="232">
        <v>0</v>
      </c>
      <c r="T824" s="231" t="s">
        <v>239</v>
      </c>
      <c r="U824" s="232">
        <v>0</v>
      </c>
      <c r="V824" s="231" t="s">
        <v>239</v>
      </c>
      <c r="W824" s="232">
        <v>0</v>
      </c>
      <c r="X824" s="231" t="s">
        <v>239</v>
      </c>
      <c r="Y824" s="232">
        <v>0</v>
      </c>
      <c r="Z824" s="231" t="s">
        <v>239</v>
      </c>
      <c r="AA824" s="232">
        <v>0</v>
      </c>
      <c r="AB824" s="231" t="s">
        <v>239</v>
      </c>
      <c r="AC824" s="232">
        <v>0</v>
      </c>
      <c r="AD824" s="231" t="s">
        <v>239</v>
      </c>
      <c r="AE824" s="232">
        <v>0</v>
      </c>
      <c r="AF824" s="231" t="s">
        <v>239</v>
      </c>
      <c r="AG824" s="232">
        <v>0</v>
      </c>
      <c r="AH824" s="231" t="s">
        <v>239</v>
      </c>
      <c r="AI824" s="232">
        <v>0</v>
      </c>
      <c r="AJ824" s="231" t="s">
        <v>239</v>
      </c>
      <c r="AK824" s="232">
        <v>0</v>
      </c>
      <c r="AL824" s="232" t="s">
        <v>239</v>
      </c>
      <c r="AM824" s="232">
        <v>0</v>
      </c>
    </row>
    <row r="825" spans="1:39" ht="15.75" outlineLevel="1">
      <c r="A825" s="411">
        <v>408</v>
      </c>
      <c r="B825" s="10">
        <v>129408</v>
      </c>
      <c r="C825" s="218" t="s">
        <v>1489</v>
      </c>
      <c r="D825" s="218" t="s">
        <v>1490</v>
      </c>
      <c r="E825" s="23" t="s">
        <v>44</v>
      </c>
      <c r="F825" s="17" t="s">
        <v>45</v>
      </c>
      <c r="G825" s="11" t="s">
        <v>1432</v>
      </c>
      <c r="H825" s="12">
        <v>33</v>
      </c>
      <c r="I825" s="11" t="s">
        <v>1433</v>
      </c>
      <c r="J825" s="193" t="s">
        <v>1460</v>
      </c>
      <c r="K825" s="17" t="s">
        <v>233</v>
      </c>
      <c r="L825" s="17" t="s">
        <v>233</v>
      </c>
      <c r="M825" s="231">
        <v>0.5</v>
      </c>
      <c r="N825" s="231">
        <v>0.5</v>
      </c>
      <c r="O825" s="231">
        <v>0.5</v>
      </c>
      <c r="P825" s="231" t="s">
        <v>239</v>
      </c>
      <c r="Q825" s="231">
        <v>0.5</v>
      </c>
      <c r="R825" s="231" t="s">
        <v>239</v>
      </c>
      <c r="S825" s="231">
        <v>0.5</v>
      </c>
      <c r="T825" s="231" t="s">
        <v>239</v>
      </c>
      <c r="U825" s="231">
        <v>0.5</v>
      </c>
      <c r="V825" s="231" t="s">
        <v>239</v>
      </c>
      <c r="W825" s="231">
        <v>0.5</v>
      </c>
      <c r="X825" s="231" t="s">
        <v>239</v>
      </c>
      <c r="Y825" s="231">
        <v>0.5</v>
      </c>
      <c r="Z825" s="231" t="s">
        <v>239</v>
      </c>
      <c r="AA825" s="231">
        <v>0.5</v>
      </c>
      <c r="AB825" s="231" t="s">
        <v>239</v>
      </c>
      <c r="AC825" s="231">
        <v>0.5</v>
      </c>
      <c r="AD825" s="231" t="s">
        <v>239</v>
      </c>
      <c r="AE825" s="231">
        <v>0.5</v>
      </c>
      <c r="AF825" s="231" t="s">
        <v>239</v>
      </c>
      <c r="AG825" s="231">
        <v>0.5</v>
      </c>
      <c r="AH825" s="231" t="s">
        <v>239</v>
      </c>
      <c r="AI825" s="231">
        <v>0.5</v>
      </c>
      <c r="AJ825" s="231" t="s">
        <v>239</v>
      </c>
      <c r="AK825" s="231">
        <v>0.5</v>
      </c>
      <c r="AL825" s="232" t="s">
        <v>239</v>
      </c>
      <c r="AM825" s="232">
        <v>0</v>
      </c>
    </row>
    <row r="826" spans="1:39" ht="15.75" outlineLevel="1">
      <c r="A826" s="412"/>
      <c r="B826" s="10">
        <v>129408</v>
      </c>
      <c r="C826" s="218" t="s">
        <v>1489</v>
      </c>
      <c r="D826" s="218" t="s">
        <v>1490</v>
      </c>
      <c r="E826" s="23" t="s">
        <v>138</v>
      </c>
      <c r="F826" s="17" t="s">
        <v>45</v>
      </c>
      <c r="G826" s="11" t="s">
        <v>1432</v>
      </c>
      <c r="H826" s="12">
        <v>19</v>
      </c>
      <c r="I826" s="11" t="s">
        <v>1433</v>
      </c>
      <c r="J826" s="193" t="s">
        <v>1442</v>
      </c>
      <c r="K826" s="17" t="s">
        <v>233</v>
      </c>
      <c r="L826" s="17" t="s">
        <v>233</v>
      </c>
      <c r="M826" s="231">
        <v>1329</v>
      </c>
      <c r="N826" s="232">
        <v>1312.8659399999999</v>
      </c>
      <c r="O826" s="132">
        <v>131</v>
      </c>
      <c r="P826" s="231" t="s">
        <v>239</v>
      </c>
      <c r="Q826" s="232">
        <v>131</v>
      </c>
      <c r="R826" s="231" t="s">
        <v>239</v>
      </c>
      <c r="S826" s="232">
        <v>128</v>
      </c>
      <c r="T826" s="231" t="s">
        <v>239</v>
      </c>
      <c r="U826" s="232">
        <v>122</v>
      </c>
      <c r="V826" s="230" t="s">
        <v>239</v>
      </c>
      <c r="W826" s="232">
        <v>137</v>
      </c>
      <c r="X826" s="231" t="s">
        <v>239</v>
      </c>
      <c r="Y826" s="232">
        <v>168</v>
      </c>
      <c r="Z826" s="231" t="s">
        <v>239</v>
      </c>
      <c r="AA826" s="232">
        <v>160</v>
      </c>
      <c r="AB826" s="231" t="s">
        <v>239</v>
      </c>
      <c r="AC826" s="232">
        <v>199</v>
      </c>
      <c r="AD826" s="231" t="s">
        <v>239</v>
      </c>
      <c r="AE826" s="232">
        <v>209</v>
      </c>
      <c r="AF826" s="231" t="s">
        <v>239</v>
      </c>
      <c r="AG826" s="232">
        <v>194</v>
      </c>
      <c r="AH826" s="231" t="s">
        <v>239</v>
      </c>
      <c r="AI826" s="232">
        <v>205</v>
      </c>
      <c r="AJ826" s="231" t="s">
        <v>239</v>
      </c>
      <c r="AK826" s="232">
        <v>176</v>
      </c>
      <c r="AL826" s="232" t="s">
        <v>239</v>
      </c>
      <c r="AM826" s="232">
        <v>1960</v>
      </c>
    </row>
    <row r="827" spans="1:39" ht="15.75" outlineLevel="1">
      <c r="A827" s="411">
        <v>409</v>
      </c>
      <c r="B827" s="10">
        <v>129409</v>
      </c>
      <c r="C827" s="218" t="s">
        <v>1489</v>
      </c>
      <c r="D827" s="218" t="s">
        <v>1490</v>
      </c>
      <c r="E827" s="23" t="s">
        <v>44</v>
      </c>
      <c r="F827" s="17" t="s">
        <v>45</v>
      </c>
      <c r="G827" s="11" t="s">
        <v>1432</v>
      </c>
      <c r="H827" s="12">
        <v>6</v>
      </c>
      <c r="I827" s="11" t="s">
        <v>1433</v>
      </c>
      <c r="J827" s="193" t="s">
        <v>1460</v>
      </c>
      <c r="K827" s="17" t="s">
        <v>233</v>
      </c>
      <c r="L827" s="17" t="s">
        <v>233</v>
      </c>
      <c r="M827" s="231">
        <v>20</v>
      </c>
      <c r="N827" s="231">
        <v>20</v>
      </c>
      <c r="O827" s="231">
        <v>20</v>
      </c>
      <c r="P827" s="231" t="s">
        <v>239</v>
      </c>
      <c r="Q827" s="231">
        <v>20</v>
      </c>
      <c r="R827" s="231" t="s">
        <v>239</v>
      </c>
      <c r="S827" s="231">
        <v>20</v>
      </c>
      <c r="T827" s="231" t="s">
        <v>239</v>
      </c>
      <c r="U827" s="231">
        <v>20</v>
      </c>
      <c r="V827" s="231" t="s">
        <v>239</v>
      </c>
      <c r="W827" s="231">
        <v>20</v>
      </c>
      <c r="X827" s="231" t="s">
        <v>239</v>
      </c>
      <c r="Y827" s="231">
        <v>20</v>
      </c>
      <c r="Z827" s="231" t="s">
        <v>239</v>
      </c>
      <c r="AA827" s="231">
        <v>20</v>
      </c>
      <c r="AB827" s="231" t="s">
        <v>239</v>
      </c>
      <c r="AC827" s="231">
        <v>20</v>
      </c>
      <c r="AD827" s="231" t="s">
        <v>239</v>
      </c>
      <c r="AE827" s="231">
        <v>20</v>
      </c>
      <c r="AF827" s="231" t="s">
        <v>239</v>
      </c>
      <c r="AG827" s="231">
        <v>20</v>
      </c>
      <c r="AH827" s="231" t="s">
        <v>239</v>
      </c>
      <c r="AI827" s="231">
        <v>20</v>
      </c>
      <c r="AJ827" s="231" t="s">
        <v>239</v>
      </c>
      <c r="AK827" s="231">
        <v>20</v>
      </c>
      <c r="AL827" s="232" t="s">
        <v>239</v>
      </c>
      <c r="AM827" s="232">
        <v>0</v>
      </c>
    </row>
    <row r="828" spans="1:39" ht="15.75" outlineLevel="1">
      <c r="A828" s="412"/>
      <c r="B828" s="10">
        <v>129409</v>
      </c>
      <c r="C828" s="218" t="s">
        <v>1489</v>
      </c>
      <c r="D828" s="218" t="s">
        <v>1490</v>
      </c>
      <c r="E828" s="23" t="s">
        <v>138</v>
      </c>
      <c r="F828" s="17" t="s">
        <v>45</v>
      </c>
      <c r="G828" s="11" t="s">
        <v>1432</v>
      </c>
      <c r="H828" s="12">
        <v>15</v>
      </c>
      <c r="I828" s="11" t="s">
        <v>1433</v>
      </c>
      <c r="J828" s="193" t="s">
        <v>1457</v>
      </c>
      <c r="K828" s="17" t="s">
        <v>233</v>
      </c>
      <c r="L828" s="17" t="s">
        <v>233</v>
      </c>
      <c r="M828" s="231">
        <v>3370</v>
      </c>
      <c r="N828" s="232">
        <v>3329.0881999999997</v>
      </c>
      <c r="O828" s="132">
        <v>322</v>
      </c>
      <c r="P828" s="231" t="s">
        <v>239</v>
      </c>
      <c r="Q828" s="232">
        <v>322</v>
      </c>
      <c r="R828" s="231" t="s">
        <v>239</v>
      </c>
      <c r="S828" s="232">
        <v>294</v>
      </c>
      <c r="T828" s="231" t="s">
        <v>239</v>
      </c>
      <c r="U828" s="232">
        <v>10</v>
      </c>
      <c r="V828" s="231" t="s">
        <v>239</v>
      </c>
      <c r="W828" s="232">
        <v>25</v>
      </c>
      <c r="X828" s="231" t="s">
        <v>239</v>
      </c>
      <c r="Y828" s="232">
        <v>79</v>
      </c>
      <c r="Z828" s="231" t="s">
        <v>239</v>
      </c>
      <c r="AA828" s="232">
        <v>25</v>
      </c>
      <c r="AB828" s="231" t="s">
        <v>239</v>
      </c>
      <c r="AC828" s="232">
        <v>178</v>
      </c>
      <c r="AD828" s="231" t="s">
        <v>239</v>
      </c>
      <c r="AE828" s="232">
        <v>89</v>
      </c>
      <c r="AF828" s="231" t="s">
        <v>239</v>
      </c>
      <c r="AG828" s="232">
        <v>159</v>
      </c>
      <c r="AH828" s="231" t="s">
        <v>239</v>
      </c>
      <c r="AI828" s="232">
        <v>196</v>
      </c>
      <c r="AJ828" s="231" t="s">
        <v>239</v>
      </c>
      <c r="AK828" s="232">
        <v>211</v>
      </c>
      <c r="AL828" s="232" t="s">
        <v>239</v>
      </c>
      <c r="AM828" s="232">
        <v>1910</v>
      </c>
    </row>
    <row r="829" spans="1:39" ht="15.75" outlineLevel="1">
      <c r="A829" s="411">
        <v>410</v>
      </c>
      <c r="B829" s="10">
        <v>129410</v>
      </c>
      <c r="C829" s="218" t="s">
        <v>1489</v>
      </c>
      <c r="D829" s="218" t="s">
        <v>1490</v>
      </c>
      <c r="E829" s="23" t="s">
        <v>44</v>
      </c>
      <c r="F829" s="17" t="s">
        <v>45</v>
      </c>
      <c r="G829" s="11" t="s">
        <v>1432</v>
      </c>
      <c r="H829" s="12">
        <v>19</v>
      </c>
      <c r="I829" s="11" t="s">
        <v>1433</v>
      </c>
      <c r="J829" s="193" t="s">
        <v>617</v>
      </c>
      <c r="K829" s="17" t="s">
        <v>233</v>
      </c>
      <c r="L829" s="17" t="s">
        <v>233</v>
      </c>
      <c r="M829" s="231">
        <v>144</v>
      </c>
      <c r="N829" s="231">
        <v>144</v>
      </c>
      <c r="O829" s="231">
        <v>144</v>
      </c>
      <c r="P829" s="231" t="s">
        <v>239</v>
      </c>
      <c r="Q829" s="231">
        <v>144</v>
      </c>
      <c r="R829" s="231" t="s">
        <v>239</v>
      </c>
      <c r="S829" s="231">
        <v>144</v>
      </c>
      <c r="T829" s="231" t="s">
        <v>239</v>
      </c>
      <c r="U829" s="231">
        <v>144</v>
      </c>
      <c r="V829" s="230" t="s">
        <v>239</v>
      </c>
      <c r="W829" s="231">
        <v>144</v>
      </c>
      <c r="X829" s="231" t="s">
        <v>239</v>
      </c>
      <c r="Y829" s="231">
        <v>144</v>
      </c>
      <c r="Z829" s="231" t="s">
        <v>239</v>
      </c>
      <c r="AA829" s="231">
        <v>144</v>
      </c>
      <c r="AB829" s="231" t="s">
        <v>239</v>
      </c>
      <c r="AC829" s="231">
        <v>144</v>
      </c>
      <c r="AD829" s="231" t="s">
        <v>239</v>
      </c>
      <c r="AE829" s="231">
        <v>144</v>
      </c>
      <c r="AF829" s="231" t="s">
        <v>239</v>
      </c>
      <c r="AG829" s="231">
        <v>144</v>
      </c>
      <c r="AH829" s="231" t="s">
        <v>239</v>
      </c>
      <c r="AI829" s="231">
        <v>144</v>
      </c>
      <c r="AJ829" s="231" t="s">
        <v>239</v>
      </c>
      <c r="AK829" s="231">
        <v>144</v>
      </c>
      <c r="AL829" s="232" t="s">
        <v>239</v>
      </c>
      <c r="AM829" s="232">
        <v>0</v>
      </c>
    </row>
    <row r="830" spans="1:39" ht="15.75" outlineLevel="1">
      <c r="A830" s="412"/>
      <c r="B830" s="10">
        <v>129410</v>
      </c>
      <c r="C830" s="218" t="s">
        <v>1489</v>
      </c>
      <c r="D830" s="218" t="s">
        <v>1490</v>
      </c>
      <c r="E830" s="23" t="s">
        <v>44</v>
      </c>
      <c r="F830" s="17" t="s">
        <v>45</v>
      </c>
      <c r="G830" s="11" t="s">
        <v>1432</v>
      </c>
      <c r="H830" s="12">
        <v>22</v>
      </c>
      <c r="I830" s="11" t="s">
        <v>1433</v>
      </c>
      <c r="J830" s="193" t="s">
        <v>216</v>
      </c>
      <c r="K830" s="17" t="s">
        <v>233</v>
      </c>
      <c r="L830" s="17" t="s">
        <v>233</v>
      </c>
      <c r="M830" s="231">
        <v>363195</v>
      </c>
      <c r="N830" s="232">
        <v>358785.81270000001</v>
      </c>
      <c r="O830" s="132">
        <v>7890</v>
      </c>
      <c r="P830" s="231" t="s">
        <v>239</v>
      </c>
      <c r="Q830" s="232">
        <v>7890</v>
      </c>
      <c r="R830" s="231" t="s">
        <v>239</v>
      </c>
      <c r="S830" s="232">
        <v>12900</v>
      </c>
      <c r="T830" s="231" t="s">
        <v>239</v>
      </c>
      <c r="U830" s="232">
        <v>9615</v>
      </c>
      <c r="V830" s="231" t="s">
        <v>239</v>
      </c>
      <c r="W830" s="232">
        <v>6495</v>
      </c>
      <c r="X830" s="231" t="s">
        <v>239</v>
      </c>
      <c r="Y830" s="232">
        <v>4915</v>
      </c>
      <c r="Z830" s="231" t="s">
        <v>239</v>
      </c>
      <c r="AA830" s="232">
        <v>5670</v>
      </c>
      <c r="AB830" s="231" t="s">
        <v>239</v>
      </c>
      <c r="AC830" s="232">
        <v>4050</v>
      </c>
      <c r="AD830" s="231" t="s">
        <v>239</v>
      </c>
      <c r="AE830" s="232">
        <v>1140</v>
      </c>
      <c r="AF830" s="231" t="s">
        <v>239</v>
      </c>
      <c r="AG830" s="232">
        <v>1155</v>
      </c>
      <c r="AH830" s="231" t="s">
        <v>239</v>
      </c>
      <c r="AI830" s="232">
        <v>1185</v>
      </c>
      <c r="AJ830" s="231" t="s">
        <v>239</v>
      </c>
      <c r="AK830" s="232">
        <v>1190</v>
      </c>
      <c r="AL830" s="232" t="s">
        <v>239</v>
      </c>
      <c r="AM830" s="232">
        <v>64095</v>
      </c>
    </row>
    <row r="831" spans="1:39" ht="15.75" outlineLevel="1">
      <c r="A831" s="411">
        <v>411</v>
      </c>
      <c r="B831" s="10">
        <v>129411</v>
      </c>
      <c r="C831" s="218" t="s">
        <v>1489</v>
      </c>
      <c r="D831" s="218" t="s">
        <v>1490</v>
      </c>
      <c r="E831" s="23" t="s">
        <v>44</v>
      </c>
      <c r="F831" s="17" t="s">
        <v>45</v>
      </c>
      <c r="G831" s="11" t="s">
        <v>1432</v>
      </c>
      <c r="H831" s="12">
        <v>24</v>
      </c>
      <c r="I831" s="11" t="s">
        <v>1433</v>
      </c>
      <c r="J831" s="192" t="s">
        <v>1446</v>
      </c>
      <c r="K831" s="17" t="s">
        <v>233</v>
      </c>
      <c r="L831" s="17" t="s">
        <v>233</v>
      </c>
      <c r="M831" s="231">
        <v>1</v>
      </c>
      <c r="N831" s="231">
        <v>1</v>
      </c>
      <c r="O831" s="231">
        <v>1</v>
      </c>
      <c r="P831" s="231" t="s">
        <v>239</v>
      </c>
      <c r="Q831" s="231">
        <v>1</v>
      </c>
      <c r="R831" s="231" t="s">
        <v>239</v>
      </c>
      <c r="S831" s="231">
        <v>1</v>
      </c>
      <c r="T831" s="231" t="s">
        <v>239</v>
      </c>
      <c r="U831" s="231">
        <v>1</v>
      </c>
      <c r="V831" s="231" t="s">
        <v>239</v>
      </c>
      <c r="W831" s="231">
        <v>1</v>
      </c>
      <c r="X831" s="231" t="s">
        <v>239</v>
      </c>
      <c r="Y831" s="231">
        <v>1</v>
      </c>
      <c r="Z831" s="231" t="s">
        <v>239</v>
      </c>
      <c r="AA831" s="231">
        <v>1</v>
      </c>
      <c r="AB831" s="231" t="s">
        <v>239</v>
      </c>
      <c r="AC831" s="231">
        <v>1</v>
      </c>
      <c r="AD831" s="231" t="s">
        <v>239</v>
      </c>
      <c r="AE831" s="231">
        <v>1</v>
      </c>
      <c r="AF831" s="231" t="s">
        <v>239</v>
      </c>
      <c r="AG831" s="231">
        <v>1</v>
      </c>
      <c r="AH831" s="231" t="s">
        <v>239</v>
      </c>
      <c r="AI831" s="231">
        <v>1</v>
      </c>
      <c r="AJ831" s="231" t="s">
        <v>239</v>
      </c>
      <c r="AK831" s="231">
        <v>1</v>
      </c>
      <c r="AL831" s="232" t="s">
        <v>239</v>
      </c>
      <c r="AM831" s="232">
        <v>0</v>
      </c>
    </row>
    <row r="832" spans="1:39" ht="15.75" outlineLevel="1">
      <c r="A832" s="412"/>
      <c r="B832" s="10">
        <v>129411</v>
      </c>
      <c r="C832" s="218" t="s">
        <v>1489</v>
      </c>
      <c r="D832" s="218" t="s">
        <v>1490</v>
      </c>
      <c r="E832" s="23" t="s">
        <v>138</v>
      </c>
      <c r="F832" s="17" t="s">
        <v>45</v>
      </c>
      <c r="G832" s="11" t="s">
        <v>1432</v>
      </c>
      <c r="H832" s="12">
        <v>16</v>
      </c>
      <c r="I832" s="11" t="s">
        <v>1433</v>
      </c>
      <c r="J832" s="192" t="s">
        <v>1481</v>
      </c>
      <c r="K832" s="17" t="s">
        <v>233</v>
      </c>
      <c r="L832" s="17" t="s">
        <v>233</v>
      </c>
      <c r="M832" s="231">
        <v>3493</v>
      </c>
      <c r="N832" s="232">
        <v>3450.5949799999999</v>
      </c>
      <c r="O832" s="132">
        <v>985</v>
      </c>
      <c r="P832" s="231" t="s">
        <v>239</v>
      </c>
      <c r="Q832" s="232">
        <v>985</v>
      </c>
      <c r="R832" s="231" t="s">
        <v>239</v>
      </c>
      <c r="S832" s="232">
        <v>849</v>
      </c>
      <c r="T832" s="231" t="s">
        <v>239</v>
      </c>
      <c r="U832" s="232">
        <v>726</v>
      </c>
      <c r="V832" s="230" t="s">
        <v>239</v>
      </c>
      <c r="W832" s="232">
        <v>641</v>
      </c>
      <c r="X832" s="231" t="s">
        <v>239</v>
      </c>
      <c r="Y832" s="232">
        <v>605</v>
      </c>
      <c r="Z832" s="231" t="s">
        <v>239</v>
      </c>
      <c r="AA832" s="232">
        <v>614</v>
      </c>
      <c r="AB832" s="231" t="s">
        <v>239</v>
      </c>
      <c r="AC832" s="232">
        <v>748</v>
      </c>
      <c r="AD832" s="231" t="s">
        <v>239</v>
      </c>
      <c r="AE832" s="232">
        <v>702</v>
      </c>
      <c r="AF832" s="231" t="s">
        <v>239</v>
      </c>
      <c r="AG832" s="232">
        <v>705</v>
      </c>
      <c r="AH832" s="231" t="s">
        <v>239</v>
      </c>
      <c r="AI832" s="232">
        <v>770</v>
      </c>
      <c r="AJ832" s="231" t="s">
        <v>239</v>
      </c>
      <c r="AK832" s="232">
        <v>774</v>
      </c>
      <c r="AL832" s="232" t="s">
        <v>239</v>
      </c>
      <c r="AM832" s="232">
        <v>9104</v>
      </c>
    </row>
    <row r="833" spans="1:39" ht="15.75" outlineLevel="1">
      <c r="A833" s="411">
        <v>412</v>
      </c>
      <c r="B833" s="10">
        <v>129412</v>
      </c>
      <c r="C833" s="218" t="s">
        <v>1489</v>
      </c>
      <c r="D833" s="218" t="s">
        <v>1490</v>
      </c>
      <c r="E833" s="23" t="s">
        <v>44</v>
      </c>
      <c r="F833" s="17" t="s">
        <v>45</v>
      </c>
      <c r="G833" s="11" t="s">
        <v>1432</v>
      </c>
      <c r="H833" s="12">
        <v>5</v>
      </c>
      <c r="I833" s="11" t="s">
        <v>1433</v>
      </c>
      <c r="J833" s="192" t="s">
        <v>208</v>
      </c>
      <c r="K833" s="17" t="s">
        <v>233</v>
      </c>
      <c r="L833" s="17" t="s">
        <v>233</v>
      </c>
      <c r="M833" s="231">
        <v>15.55</v>
      </c>
      <c r="N833" s="231">
        <v>15.55</v>
      </c>
      <c r="O833" s="231">
        <v>15.55</v>
      </c>
      <c r="P833" s="231" t="s">
        <v>239</v>
      </c>
      <c r="Q833" s="231">
        <v>15.55</v>
      </c>
      <c r="R833" s="231" t="s">
        <v>239</v>
      </c>
      <c r="S833" s="231">
        <v>15.55</v>
      </c>
      <c r="T833" s="231" t="s">
        <v>239</v>
      </c>
      <c r="U833" s="231">
        <v>15.55</v>
      </c>
      <c r="V833" s="231" t="s">
        <v>239</v>
      </c>
      <c r="W833" s="231">
        <v>15.55</v>
      </c>
      <c r="X833" s="231" t="s">
        <v>239</v>
      </c>
      <c r="Y833" s="231">
        <v>15.55</v>
      </c>
      <c r="Z833" s="231" t="s">
        <v>239</v>
      </c>
      <c r="AA833" s="231">
        <v>15.55</v>
      </c>
      <c r="AB833" s="231" t="s">
        <v>239</v>
      </c>
      <c r="AC833" s="231">
        <v>15.55</v>
      </c>
      <c r="AD833" s="231" t="s">
        <v>239</v>
      </c>
      <c r="AE833" s="231">
        <v>15.55</v>
      </c>
      <c r="AF833" s="231" t="s">
        <v>239</v>
      </c>
      <c r="AG833" s="231">
        <v>15.55</v>
      </c>
      <c r="AH833" s="231" t="s">
        <v>239</v>
      </c>
      <c r="AI833" s="231">
        <v>15.55</v>
      </c>
      <c r="AJ833" s="231" t="s">
        <v>239</v>
      </c>
      <c r="AK833" s="231">
        <v>15.55</v>
      </c>
      <c r="AL833" s="232" t="s">
        <v>239</v>
      </c>
      <c r="AM833" s="232">
        <v>0</v>
      </c>
    </row>
    <row r="834" spans="1:39" ht="15.75" outlineLevel="1">
      <c r="A834" s="412"/>
      <c r="B834" s="10">
        <v>129412</v>
      </c>
      <c r="C834" s="218" t="s">
        <v>1489</v>
      </c>
      <c r="D834" s="218" t="s">
        <v>1490</v>
      </c>
      <c r="E834" s="23" t="s">
        <v>138</v>
      </c>
      <c r="F834" s="17" t="s">
        <v>45</v>
      </c>
      <c r="G834" s="11" t="s">
        <v>1432</v>
      </c>
      <c r="H834" s="12">
        <v>17</v>
      </c>
      <c r="I834" s="11" t="s">
        <v>1433</v>
      </c>
      <c r="J834" s="192" t="s">
        <v>1463</v>
      </c>
      <c r="K834" s="17" t="s">
        <v>233</v>
      </c>
      <c r="L834" s="17" t="s">
        <v>233</v>
      </c>
      <c r="M834" s="231">
        <v>24994</v>
      </c>
      <c r="N834" s="232">
        <v>24690.572840000001</v>
      </c>
      <c r="O834" s="132">
        <v>2575</v>
      </c>
      <c r="P834" s="231" t="s">
        <v>239</v>
      </c>
      <c r="Q834" s="232">
        <v>2575</v>
      </c>
      <c r="R834" s="231" t="s">
        <v>239</v>
      </c>
      <c r="S834" s="232">
        <v>2257</v>
      </c>
      <c r="T834" s="231" t="s">
        <v>239</v>
      </c>
      <c r="U834" s="232">
        <v>2108</v>
      </c>
      <c r="V834" s="231" t="s">
        <v>239</v>
      </c>
      <c r="W834" s="232">
        <v>2055</v>
      </c>
      <c r="X834" s="231" t="s">
        <v>239</v>
      </c>
      <c r="Y834" s="232">
        <v>1999</v>
      </c>
      <c r="Z834" s="231" t="s">
        <v>239</v>
      </c>
      <c r="AA834" s="232">
        <v>1525</v>
      </c>
      <c r="AB834" s="231" t="s">
        <v>239</v>
      </c>
      <c r="AC834" s="232">
        <v>1759</v>
      </c>
      <c r="AD834" s="231" t="s">
        <v>239</v>
      </c>
      <c r="AE834" s="232">
        <v>1106</v>
      </c>
      <c r="AF834" s="231" t="s">
        <v>239</v>
      </c>
      <c r="AG834" s="232">
        <v>2338</v>
      </c>
      <c r="AH834" s="231" t="s">
        <v>239</v>
      </c>
      <c r="AI834" s="232">
        <v>1924</v>
      </c>
      <c r="AJ834" s="231" t="s">
        <v>239</v>
      </c>
      <c r="AK834" s="232">
        <v>2053</v>
      </c>
      <c r="AL834" s="232" t="s">
        <v>239</v>
      </c>
      <c r="AM834" s="232">
        <v>24274</v>
      </c>
    </row>
    <row r="835" spans="1:39" ht="15.75" outlineLevel="1">
      <c r="A835" s="411">
        <v>413</v>
      </c>
      <c r="B835" s="10">
        <v>129413</v>
      </c>
      <c r="C835" s="218" t="s">
        <v>1489</v>
      </c>
      <c r="D835" s="218" t="s">
        <v>1490</v>
      </c>
      <c r="E835" s="23" t="s">
        <v>44</v>
      </c>
      <c r="F835" s="17" t="s">
        <v>45</v>
      </c>
      <c r="G835" s="11" t="s">
        <v>1432</v>
      </c>
      <c r="H835" s="12">
        <v>19</v>
      </c>
      <c r="I835" s="11" t="s">
        <v>1433</v>
      </c>
      <c r="J835" s="192" t="s">
        <v>1482</v>
      </c>
      <c r="K835" s="17" t="s">
        <v>233</v>
      </c>
      <c r="L835" s="17" t="s">
        <v>233</v>
      </c>
      <c r="M835" s="231">
        <v>0.75</v>
      </c>
      <c r="N835" s="231">
        <v>0.75</v>
      </c>
      <c r="O835" s="231">
        <v>0.75</v>
      </c>
      <c r="P835" s="231" t="s">
        <v>239</v>
      </c>
      <c r="Q835" s="231">
        <v>0.75</v>
      </c>
      <c r="R835" s="231" t="s">
        <v>239</v>
      </c>
      <c r="S835" s="231">
        <v>0.75</v>
      </c>
      <c r="T835" s="231" t="s">
        <v>239</v>
      </c>
      <c r="U835" s="231">
        <v>0.75</v>
      </c>
      <c r="V835" s="230" t="s">
        <v>239</v>
      </c>
      <c r="W835" s="231">
        <v>0.75</v>
      </c>
      <c r="X835" s="231" t="s">
        <v>239</v>
      </c>
      <c r="Y835" s="231">
        <v>0.75</v>
      </c>
      <c r="Z835" s="231" t="s">
        <v>239</v>
      </c>
      <c r="AA835" s="231">
        <v>0.75</v>
      </c>
      <c r="AB835" s="231" t="s">
        <v>239</v>
      </c>
      <c r="AC835" s="231">
        <v>0.75</v>
      </c>
      <c r="AD835" s="231" t="s">
        <v>239</v>
      </c>
      <c r="AE835" s="231">
        <v>0.75</v>
      </c>
      <c r="AF835" s="231" t="s">
        <v>239</v>
      </c>
      <c r="AG835" s="231">
        <v>0.75</v>
      </c>
      <c r="AH835" s="231" t="s">
        <v>239</v>
      </c>
      <c r="AI835" s="231">
        <v>0.75</v>
      </c>
      <c r="AJ835" s="231" t="s">
        <v>239</v>
      </c>
      <c r="AK835" s="231">
        <v>0.75</v>
      </c>
      <c r="AL835" s="232" t="s">
        <v>239</v>
      </c>
      <c r="AM835" s="232">
        <v>0</v>
      </c>
    </row>
    <row r="836" spans="1:39" ht="15.75" outlineLevel="1">
      <c r="A836" s="412"/>
      <c r="B836" s="10">
        <v>129413</v>
      </c>
      <c r="C836" s="218" t="s">
        <v>1489</v>
      </c>
      <c r="D836" s="218" t="s">
        <v>1490</v>
      </c>
      <c r="E836" s="23" t="s">
        <v>44</v>
      </c>
      <c r="F836" s="17" t="s">
        <v>45</v>
      </c>
      <c r="G836" s="11" t="s">
        <v>1432</v>
      </c>
      <c r="H836" s="12">
        <v>18</v>
      </c>
      <c r="I836" s="11" t="s">
        <v>1433</v>
      </c>
      <c r="J836" s="192" t="s">
        <v>1462</v>
      </c>
      <c r="K836" s="17" t="s">
        <v>233</v>
      </c>
      <c r="L836" s="17" t="s">
        <v>233</v>
      </c>
      <c r="M836" s="231">
        <v>7808</v>
      </c>
      <c r="N836" s="232">
        <v>7713.2108799999996</v>
      </c>
      <c r="O836" s="132">
        <v>850</v>
      </c>
      <c r="P836" s="231" t="s">
        <v>239</v>
      </c>
      <c r="Q836" s="232">
        <v>850</v>
      </c>
      <c r="R836" s="231" t="s">
        <v>239</v>
      </c>
      <c r="S836" s="232">
        <v>801</v>
      </c>
      <c r="T836" s="231" t="s">
        <v>239</v>
      </c>
      <c r="U836" s="232">
        <v>810</v>
      </c>
      <c r="V836" s="231" t="s">
        <v>239</v>
      </c>
      <c r="W836" s="232">
        <v>853</v>
      </c>
      <c r="X836" s="231" t="s">
        <v>239</v>
      </c>
      <c r="Y836" s="232">
        <v>800</v>
      </c>
      <c r="Z836" s="231" t="s">
        <v>239</v>
      </c>
      <c r="AA836" s="232">
        <v>800</v>
      </c>
      <c r="AB836" s="231" t="s">
        <v>239</v>
      </c>
      <c r="AC836" s="232">
        <v>698</v>
      </c>
      <c r="AD836" s="231" t="s">
        <v>239</v>
      </c>
      <c r="AE836" s="232">
        <v>695</v>
      </c>
      <c r="AF836" s="231" t="s">
        <v>239</v>
      </c>
      <c r="AG836" s="232">
        <v>83</v>
      </c>
      <c r="AH836" s="231" t="s">
        <v>239</v>
      </c>
      <c r="AI836" s="232">
        <v>842</v>
      </c>
      <c r="AJ836" s="231" t="s">
        <v>239</v>
      </c>
      <c r="AK836" s="232">
        <v>924</v>
      </c>
      <c r="AL836" s="232" t="s">
        <v>239</v>
      </c>
      <c r="AM836" s="232">
        <v>9006</v>
      </c>
    </row>
    <row r="837" spans="1:39" ht="15.75" outlineLevel="1">
      <c r="A837" s="411">
        <v>414</v>
      </c>
      <c r="B837" s="10">
        <v>129414</v>
      </c>
      <c r="C837" s="218" t="s">
        <v>1489</v>
      </c>
      <c r="D837" s="218" t="s">
        <v>1490</v>
      </c>
      <c r="E837" s="23" t="s">
        <v>138</v>
      </c>
      <c r="F837" s="17" t="s">
        <v>45</v>
      </c>
      <c r="G837" s="11" t="s">
        <v>1432</v>
      </c>
      <c r="H837" s="12">
        <v>13</v>
      </c>
      <c r="I837" s="11" t="s">
        <v>1433</v>
      </c>
      <c r="J837" s="192" t="s">
        <v>1457</v>
      </c>
      <c r="K837" s="17" t="s">
        <v>233</v>
      </c>
      <c r="L837" s="17" t="s">
        <v>233</v>
      </c>
      <c r="M837" s="231">
        <v>50</v>
      </c>
      <c r="N837" s="231">
        <v>50</v>
      </c>
      <c r="O837" s="231">
        <v>50</v>
      </c>
      <c r="P837" s="231" t="s">
        <v>239</v>
      </c>
      <c r="Q837" s="231">
        <v>50</v>
      </c>
      <c r="R837" s="231" t="s">
        <v>239</v>
      </c>
      <c r="S837" s="231">
        <v>50</v>
      </c>
      <c r="T837" s="231" t="s">
        <v>239</v>
      </c>
      <c r="U837" s="231">
        <v>50</v>
      </c>
      <c r="V837" s="231" t="s">
        <v>239</v>
      </c>
      <c r="W837" s="231">
        <v>50</v>
      </c>
      <c r="X837" s="231" t="s">
        <v>239</v>
      </c>
      <c r="Y837" s="231">
        <v>50</v>
      </c>
      <c r="Z837" s="231" t="s">
        <v>239</v>
      </c>
      <c r="AA837" s="231">
        <v>50</v>
      </c>
      <c r="AB837" s="231" t="s">
        <v>239</v>
      </c>
      <c r="AC837" s="231">
        <v>50</v>
      </c>
      <c r="AD837" s="231" t="s">
        <v>239</v>
      </c>
      <c r="AE837" s="231">
        <v>50</v>
      </c>
      <c r="AF837" s="231" t="s">
        <v>239</v>
      </c>
      <c r="AG837" s="231">
        <v>50</v>
      </c>
      <c r="AH837" s="231" t="s">
        <v>239</v>
      </c>
      <c r="AI837" s="231">
        <v>50</v>
      </c>
      <c r="AJ837" s="231" t="s">
        <v>239</v>
      </c>
      <c r="AK837" s="231">
        <v>50</v>
      </c>
      <c r="AL837" s="232" t="s">
        <v>239</v>
      </c>
      <c r="AM837" s="232">
        <v>0</v>
      </c>
    </row>
    <row r="838" spans="1:39" ht="15.75" outlineLevel="1">
      <c r="A838" s="412"/>
      <c r="B838" s="10">
        <v>129414</v>
      </c>
      <c r="C838" s="218" t="s">
        <v>1489</v>
      </c>
      <c r="D838" s="218" t="s">
        <v>1490</v>
      </c>
      <c r="E838" s="23" t="s">
        <v>44</v>
      </c>
      <c r="F838" s="17" t="s">
        <v>45</v>
      </c>
      <c r="G838" s="11" t="s">
        <v>1432</v>
      </c>
      <c r="H838" s="12">
        <v>44</v>
      </c>
      <c r="I838" s="11" t="s">
        <v>1433</v>
      </c>
      <c r="J838" s="192" t="s">
        <v>617</v>
      </c>
      <c r="K838" s="17" t="s">
        <v>233</v>
      </c>
      <c r="L838" s="17" t="s">
        <v>233</v>
      </c>
      <c r="M838" s="231">
        <v>11415</v>
      </c>
      <c r="N838" s="232">
        <v>11276.421899999999</v>
      </c>
      <c r="O838" s="132">
        <v>1004</v>
      </c>
      <c r="P838" s="231" t="s">
        <v>239</v>
      </c>
      <c r="Q838" s="232">
        <v>1004</v>
      </c>
      <c r="R838" s="231" t="s">
        <v>239</v>
      </c>
      <c r="S838" s="232">
        <v>979</v>
      </c>
      <c r="T838" s="231" t="s">
        <v>239</v>
      </c>
      <c r="U838" s="232">
        <v>877</v>
      </c>
      <c r="V838" s="230" t="s">
        <v>239</v>
      </c>
      <c r="W838" s="232">
        <v>936</v>
      </c>
      <c r="X838" s="231" t="s">
        <v>239</v>
      </c>
      <c r="Y838" s="232">
        <v>939</v>
      </c>
      <c r="Z838" s="231" t="s">
        <v>239</v>
      </c>
      <c r="AA838" s="232">
        <v>817</v>
      </c>
      <c r="AB838" s="231" t="s">
        <v>239</v>
      </c>
      <c r="AC838" s="232">
        <v>858</v>
      </c>
      <c r="AD838" s="231" t="s">
        <v>239</v>
      </c>
      <c r="AE838" s="232">
        <v>843</v>
      </c>
      <c r="AF838" s="231" t="s">
        <v>239</v>
      </c>
      <c r="AG838" s="232">
        <v>1021</v>
      </c>
      <c r="AH838" s="231" t="s">
        <v>239</v>
      </c>
      <c r="AI838" s="232">
        <v>974</v>
      </c>
      <c r="AJ838" s="231" t="s">
        <v>239</v>
      </c>
      <c r="AK838" s="232">
        <v>897</v>
      </c>
      <c r="AL838" s="232" t="s">
        <v>239</v>
      </c>
      <c r="AM838" s="232">
        <v>11149</v>
      </c>
    </row>
    <row r="839" spans="1:39" ht="15.75" outlineLevel="1">
      <c r="A839" s="411">
        <v>415</v>
      </c>
      <c r="B839" s="10">
        <v>129415</v>
      </c>
      <c r="C839" s="218" t="s">
        <v>1489</v>
      </c>
      <c r="D839" s="218" t="s">
        <v>1490</v>
      </c>
      <c r="E839" s="23" t="s">
        <v>138</v>
      </c>
      <c r="F839" s="17" t="s">
        <v>45</v>
      </c>
      <c r="G839" s="11" t="s">
        <v>1432</v>
      </c>
      <c r="H839" s="12">
        <v>21</v>
      </c>
      <c r="I839" s="11" t="s">
        <v>1433</v>
      </c>
      <c r="J839" s="374" t="s">
        <v>1457</v>
      </c>
      <c r="K839" s="17" t="s">
        <v>233</v>
      </c>
      <c r="L839" s="17" t="s">
        <v>233</v>
      </c>
      <c r="M839" s="231">
        <v>50</v>
      </c>
      <c r="N839" s="231">
        <v>50</v>
      </c>
      <c r="O839" s="231">
        <v>50</v>
      </c>
      <c r="P839" s="231" t="s">
        <v>239</v>
      </c>
      <c r="Q839" s="231">
        <v>50</v>
      </c>
      <c r="R839" s="231" t="s">
        <v>239</v>
      </c>
      <c r="S839" s="231">
        <v>50</v>
      </c>
      <c r="T839" s="231" t="s">
        <v>239</v>
      </c>
      <c r="U839" s="231">
        <v>50</v>
      </c>
      <c r="V839" s="231" t="s">
        <v>239</v>
      </c>
      <c r="W839" s="231">
        <v>50</v>
      </c>
      <c r="X839" s="231" t="s">
        <v>239</v>
      </c>
      <c r="Y839" s="231">
        <v>50</v>
      </c>
      <c r="Z839" s="231" t="s">
        <v>239</v>
      </c>
      <c r="AA839" s="231">
        <v>50</v>
      </c>
      <c r="AB839" s="231" t="s">
        <v>239</v>
      </c>
      <c r="AC839" s="231">
        <v>50</v>
      </c>
      <c r="AD839" s="231" t="s">
        <v>239</v>
      </c>
      <c r="AE839" s="231">
        <v>50</v>
      </c>
      <c r="AF839" s="231" t="s">
        <v>239</v>
      </c>
      <c r="AG839" s="231">
        <v>50</v>
      </c>
      <c r="AH839" s="231" t="s">
        <v>239</v>
      </c>
      <c r="AI839" s="231">
        <v>50</v>
      </c>
      <c r="AJ839" s="231" t="s">
        <v>239</v>
      </c>
      <c r="AK839" s="231">
        <v>50</v>
      </c>
      <c r="AL839" s="232" t="s">
        <v>239</v>
      </c>
      <c r="AM839" s="232">
        <v>0</v>
      </c>
    </row>
    <row r="840" spans="1:39" ht="15.75" outlineLevel="1">
      <c r="A840" s="412"/>
      <c r="B840" s="10">
        <v>129415</v>
      </c>
      <c r="C840" s="218" t="s">
        <v>1489</v>
      </c>
      <c r="D840" s="218" t="s">
        <v>1490</v>
      </c>
      <c r="E840" s="23" t="s">
        <v>44</v>
      </c>
      <c r="F840" s="17" t="s">
        <v>45</v>
      </c>
      <c r="G840" s="11" t="s">
        <v>1432</v>
      </c>
      <c r="H840" s="12">
        <v>19</v>
      </c>
      <c r="I840" s="11" t="s">
        <v>1433</v>
      </c>
      <c r="J840" s="375"/>
      <c r="K840" s="17" t="s">
        <v>233</v>
      </c>
      <c r="L840" s="17" t="s">
        <v>233</v>
      </c>
      <c r="M840" s="231">
        <v>0</v>
      </c>
      <c r="N840" s="232">
        <v>0</v>
      </c>
      <c r="O840" s="132">
        <v>0</v>
      </c>
      <c r="P840" s="231" t="s">
        <v>239</v>
      </c>
      <c r="Q840" s="232">
        <v>0</v>
      </c>
      <c r="R840" s="231" t="s">
        <v>239</v>
      </c>
      <c r="S840" s="232">
        <v>0</v>
      </c>
      <c r="T840" s="231" t="s">
        <v>239</v>
      </c>
      <c r="U840" s="232">
        <v>0</v>
      </c>
      <c r="V840" s="231" t="s">
        <v>239</v>
      </c>
      <c r="W840" s="232">
        <v>0</v>
      </c>
      <c r="X840" s="231" t="s">
        <v>239</v>
      </c>
      <c r="Y840" s="232">
        <v>0</v>
      </c>
      <c r="Z840" s="231" t="s">
        <v>239</v>
      </c>
      <c r="AA840" s="232">
        <v>0</v>
      </c>
      <c r="AB840" s="231" t="s">
        <v>239</v>
      </c>
      <c r="AC840" s="232">
        <v>0</v>
      </c>
      <c r="AD840" s="231" t="s">
        <v>239</v>
      </c>
      <c r="AE840" s="232">
        <v>0</v>
      </c>
      <c r="AF840" s="231" t="s">
        <v>239</v>
      </c>
      <c r="AG840" s="232">
        <v>0</v>
      </c>
      <c r="AH840" s="231" t="s">
        <v>239</v>
      </c>
      <c r="AI840" s="232">
        <v>0</v>
      </c>
      <c r="AJ840" s="231" t="s">
        <v>239</v>
      </c>
      <c r="AK840" s="232">
        <v>0</v>
      </c>
      <c r="AL840" s="232" t="s">
        <v>239</v>
      </c>
      <c r="AM840" s="232">
        <v>0</v>
      </c>
    </row>
    <row r="841" spans="1:39" ht="15.75" outlineLevel="1">
      <c r="A841" s="411">
        <v>416</v>
      </c>
      <c r="B841" s="10">
        <v>129416</v>
      </c>
      <c r="C841" s="218" t="s">
        <v>1489</v>
      </c>
      <c r="D841" s="218" t="s">
        <v>1490</v>
      </c>
      <c r="E841" s="23" t="s">
        <v>44</v>
      </c>
      <c r="F841" s="17" t="s">
        <v>45</v>
      </c>
      <c r="G841" s="11" t="s">
        <v>1432</v>
      </c>
      <c r="H841" s="12">
        <v>30</v>
      </c>
      <c r="I841" s="11" t="s">
        <v>1433</v>
      </c>
      <c r="J841" s="193" t="s">
        <v>1460</v>
      </c>
      <c r="K841" s="17" t="s">
        <v>233</v>
      </c>
      <c r="L841" s="17" t="s">
        <v>233</v>
      </c>
      <c r="M841" s="231">
        <v>4.5</v>
      </c>
      <c r="N841" s="231">
        <v>4.5</v>
      </c>
      <c r="O841" s="231">
        <v>4.5</v>
      </c>
      <c r="P841" s="231" t="s">
        <v>239</v>
      </c>
      <c r="Q841" s="231">
        <v>4.5</v>
      </c>
      <c r="R841" s="231" t="s">
        <v>239</v>
      </c>
      <c r="S841" s="231">
        <v>4.5</v>
      </c>
      <c r="T841" s="231" t="s">
        <v>239</v>
      </c>
      <c r="U841" s="231">
        <v>4.5</v>
      </c>
      <c r="V841" s="230" t="s">
        <v>239</v>
      </c>
      <c r="W841" s="231">
        <v>4.5</v>
      </c>
      <c r="X841" s="231" t="s">
        <v>239</v>
      </c>
      <c r="Y841" s="231">
        <v>4.5</v>
      </c>
      <c r="Z841" s="231" t="s">
        <v>239</v>
      </c>
      <c r="AA841" s="231">
        <v>4.5</v>
      </c>
      <c r="AB841" s="231" t="s">
        <v>239</v>
      </c>
      <c r="AC841" s="231">
        <v>4.5</v>
      </c>
      <c r="AD841" s="231" t="s">
        <v>239</v>
      </c>
      <c r="AE841" s="231">
        <v>4.5</v>
      </c>
      <c r="AF841" s="231" t="s">
        <v>239</v>
      </c>
      <c r="AG841" s="231">
        <v>4.5</v>
      </c>
      <c r="AH841" s="231" t="s">
        <v>239</v>
      </c>
      <c r="AI841" s="231">
        <v>4.5</v>
      </c>
      <c r="AJ841" s="231" t="s">
        <v>239</v>
      </c>
      <c r="AK841" s="231">
        <v>4.5</v>
      </c>
      <c r="AL841" s="232" t="s">
        <v>239</v>
      </c>
      <c r="AM841" s="232">
        <v>0</v>
      </c>
    </row>
    <row r="842" spans="1:39" ht="15.75" outlineLevel="1">
      <c r="A842" s="412"/>
      <c r="B842" s="10">
        <v>129416</v>
      </c>
      <c r="C842" s="218" t="s">
        <v>1489</v>
      </c>
      <c r="D842" s="218" t="s">
        <v>1490</v>
      </c>
      <c r="E842" s="23" t="s">
        <v>138</v>
      </c>
      <c r="F842" s="17" t="s">
        <v>45</v>
      </c>
      <c r="G842" s="11" t="s">
        <v>1432</v>
      </c>
      <c r="H842" s="12">
        <v>33</v>
      </c>
      <c r="I842" s="11" t="s">
        <v>1433</v>
      </c>
      <c r="J842" s="193" t="s">
        <v>1442</v>
      </c>
      <c r="K842" s="17" t="s">
        <v>233</v>
      </c>
      <c r="L842" s="17" t="s">
        <v>233</v>
      </c>
      <c r="M842" s="231">
        <v>14409</v>
      </c>
      <c r="N842" s="232">
        <v>14234.07474</v>
      </c>
      <c r="O842" s="132">
        <v>782</v>
      </c>
      <c r="P842" s="231" t="s">
        <v>239</v>
      </c>
      <c r="Q842" s="232">
        <v>782</v>
      </c>
      <c r="R842" s="231" t="s">
        <v>239</v>
      </c>
      <c r="S842" s="232">
        <v>720</v>
      </c>
      <c r="T842" s="231" t="s">
        <v>239</v>
      </c>
      <c r="U842" s="232">
        <v>316</v>
      </c>
      <c r="V842" s="231" t="s">
        <v>239</v>
      </c>
      <c r="W842" s="232">
        <v>768</v>
      </c>
      <c r="X842" s="231" t="s">
        <v>239</v>
      </c>
      <c r="Y842" s="232">
        <v>156</v>
      </c>
      <c r="Z842" s="231" t="s">
        <v>239</v>
      </c>
      <c r="AA842" s="232">
        <v>413</v>
      </c>
      <c r="AB842" s="231" t="s">
        <v>239</v>
      </c>
      <c r="AC842" s="232">
        <v>567</v>
      </c>
      <c r="AD842" s="231" t="s">
        <v>239</v>
      </c>
      <c r="AE842" s="232">
        <v>733</v>
      </c>
      <c r="AF842" s="231" t="s">
        <v>239</v>
      </c>
      <c r="AG842" s="232">
        <v>149</v>
      </c>
      <c r="AH842" s="231" t="s">
        <v>239</v>
      </c>
      <c r="AI842" s="232">
        <v>272</v>
      </c>
      <c r="AJ842" s="231" t="s">
        <v>239</v>
      </c>
      <c r="AK842" s="232">
        <v>262</v>
      </c>
      <c r="AL842" s="232" t="s">
        <v>239</v>
      </c>
      <c r="AM842" s="232">
        <v>5920</v>
      </c>
    </row>
    <row r="843" spans="1:39" ht="15.75" outlineLevel="1">
      <c r="A843" s="411">
        <v>417</v>
      </c>
      <c r="B843" s="10">
        <v>129417</v>
      </c>
      <c r="C843" s="218" t="s">
        <v>1489</v>
      </c>
      <c r="D843" s="218" t="s">
        <v>1490</v>
      </c>
      <c r="E843" s="23" t="s">
        <v>44</v>
      </c>
      <c r="F843" s="17" t="s">
        <v>45</v>
      </c>
      <c r="G843" s="11" t="s">
        <v>1432</v>
      </c>
      <c r="H843" s="12">
        <v>19</v>
      </c>
      <c r="I843" s="11" t="s">
        <v>1433</v>
      </c>
      <c r="J843" s="193" t="s">
        <v>1460</v>
      </c>
      <c r="K843" s="17" t="s">
        <v>233</v>
      </c>
      <c r="L843" s="17" t="s">
        <v>233</v>
      </c>
      <c r="M843" s="231">
        <v>0</v>
      </c>
      <c r="N843" s="232">
        <v>0</v>
      </c>
      <c r="O843" s="132">
        <v>0</v>
      </c>
      <c r="P843" s="231" t="s">
        <v>239</v>
      </c>
      <c r="Q843" s="232">
        <v>0</v>
      </c>
      <c r="R843" s="231" t="s">
        <v>239</v>
      </c>
      <c r="S843" s="232">
        <v>0</v>
      </c>
      <c r="T843" s="231" t="s">
        <v>239</v>
      </c>
      <c r="U843" s="232">
        <v>0</v>
      </c>
      <c r="V843" s="231" t="s">
        <v>239</v>
      </c>
      <c r="W843" s="232">
        <v>0</v>
      </c>
      <c r="X843" s="231" t="s">
        <v>239</v>
      </c>
      <c r="Y843" s="232">
        <v>0</v>
      </c>
      <c r="Z843" s="231" t="s">
        <v>239</v>
      </c>
      <c r="AA843" s="232">
        <v>0</v>
      </c>
      <c r="AB843" s="231" t="s">
        <v>239</v>
      </c>
      <c r="AC843" s="232">
        <v>0</v>
      </c>
      <c r="AD843" s="231" t="s">
        <v>239</v>
      </c>
      <c r="AE843" s="232">
        <v>0</v>
      </c>
      <c r="AF843" s="231" t="s">
        <v>239</v>
      </c>
      <c r="AG843" s="232">
        <v>0</v>
      </c>
      <c r="AH843" s="231" t="s">
        <v>239</v>
      </c>
      <c r="AI843" s="232">
        <v>0</v>
      </c>
      <c r="AJ843" s="231" t="s">
        <v>239</v>
      </c>
      <c r="AK843" s="232">
        <v>0</v>
      </c>
      <c r="AL843" s="232" t="s">
        <v>239</v>
      </c>
      <c r="AM843" s="232">
        <v>0</v>
      </c>
    </row>
    <row r="844" spans="1:39" ht="15.75" outlineLevel="1">
      <c r="A844" s="412"/>
      <c r="B844" s="10">
        <v>129417</v>
      </c>
      <c r="C844" s="218" t="s">
        <v>1489</v>
      </c>
      <c r="D844" s="218" t="s">
        <v>1490</v>
      </c>
      <c r="E844" s="23" t="s">
        <v>138</v>
      </c>
      <c r="F844" s="17" t="s">
        <v>45</v>
      </c>
      <c r="G844" s="11" t="s">
        <v>1432</v>
      </c>
      <c r="H844" s="12">
        <v>6</v>
      </c>
      <c r="I844" s="11" t="s">
        <v>1433</v>
      </c>
      <c r="J844" s="193" t="s">
        <v>1457</v>
      </c>
      <c r="K844" s="17" t="s">
        <v>233</v>
      </c>
      <c r="L844" s="17" t="s">
        <v>233</v>
      </c>
      <c r="M844" s="231">
        <v>4256</v>
      </c>
      <c r="N844" s="232">
        <v>4204.3321599999999</v>
      </c>
      <c r="O844" s="132">
        <v>856</v>
      </c>
      <c r="P844" s="231" t="s">
        <v>239</v>
      </c>
      <c r="Q844" s="232">
        <v>856</v>
      </c>
      <c r="R844" s="231" t="s">
        <v>239</v>
      </c>
      <c r="S844" s="232">
        <v>785</v>
      </c>
      <c r="T844" s="231" t="s">
        <v>239</v>
      </c>
      <c r="U844" s="232">
        <v>614</v>
      </c>
      <c r="V844" s="230" t="s">
        <v>239</v>
      </c>
      <c r="W844" s="232">
        <v>326</v>
      </c>
      <c r="X844" s="231" t="s">
        <v>239</v>
      </c>
      <c r="Y844" s="232">
        <v>375</v>
      </c>
      <c r="Z844" s="231" t="s">
        <v>239</v>
      </c>
      <c r="AA844" s="232">
        <v>176</v>
      </c>
      <c r="AB844" s="231" t="s">
        <v>239</v>
      </c>
      <c r="AC844" s="232">
        <v>253</v>
      </c>
      <c r="AD844" s="231" t="s">
        <v>239</v>
      </c>
      <c r="AE844" s="232">
        <v>278</v>
      </c>
      <c r="AF844" s="231" t="s">
        <v>239</v>
      </c>
      <c r="AG844" s="232">
        <v>438</v>
      </c>
      <c r="AH844" s="231" t="s">
        <v>239</v>
      </c>
      <c r="AI844" s="232">
        <v>443</v>
      </c>
      <c r="AJ844" s="231" t="s">
        <v>239</v>
      </c>
      <c r="AK844" s="232">
        <v>446</v>
      </c>
      <c r="AL844" s="232" t="s">
        <v>239</v>
      </c>
      <c r="AM844" s="232">
        <v>5846</v>
      </c>
    </row>
    <row r="845" spans="1:39" ht="15.75" outlineLevel="1">
      <c r="A845" s="411">
        <v>418</v>
      </c>
      <c r="B845" s="10">
        <v>129418</v>
      </c>
      <c r="C845" s="218" t="s">
        <v>1489</v>
      </c>
      <c r="D845" s="218" t="s">
        <v>1490</v>
      </c>
      <c r="E845" s="23" t="s">
        <v>44</v>
      </c>
      <c r="F845" s="17" t="s">
        <v>45</v>
      </c>
      <c r="G845" s="11" t="s">
        <v>1432</v>
      </c>
      <c r="H845" s="12">
        <v>15</v>
      </c>
      <c r="I845" s="11" t="s">
        <v>1433</v>
      </c>
      <c r="J845" s="193" t="s">
        <v>617</v>
      </c>
      <c r="K845" s="17" t="s">
        <v>233</v>
      </c>
      <c r="L845" s="17" t="s">
        <v>233</v>
      </c>
      <c r="M845" s="231">
        <v>1</v>
      </c>
      <c r="N845" s="231">
        <v>1</v>
      </c>
      <c r="O845" s="231">
        <v>1</v>
      </c>
      <c r="P845" s="231" t="s">
        <v>239</v>
      </c>
      <c r="Q845" s="231">
        <v>1</v>
      </c>
      <c r="R845" s="231" t="s">
        <v>239</v>
      </c>
      <c r="S845" s="231">
        <v>1</v>
      </c>
      <c r="T845" s="231" t="s">
        <v>239</v>
      </c>
      <c r="U845" s="231">
        <v>1</v>
      </c>
      <c r="V845" s="231" t="s">
        <v>239</v>
      </c>
      <c r="W845" s="231">
        <v>1</v>
      </c>
      <c r="X845" s="231" t="s">
        <v>239</v>
      </c>
      <c r="Y845" s="231">
        <v>1</v>
      </c>
      <c r="Z845" s="231" t="s">
        <v>239</v>
      </c>
      <c r="AA845" s="231">
        <v>1</v>
      </c>
      <c r="AB845" s="231" t="s">
        <v>239</v>
      </c>
      <c r="AC845" s="231">
        <v>1</v>
      </c>
      <c r="AD845" s="231" t="s">
        <v>239</v>
      </c>
      <c r="AE845" s="231">
        <v>1</v>
      </c>
      <c r="AF845" s="231" t="s">
        <v>239</v>
      </c>
      <c r="AG845" s="231">
        <v>1</v>
      </c>
      <c r="AH845" s="231" t="s">
        <v>239</v>
      </c>
      <c r="AI845" s="231">
        <v>1</v>
      </c>
      <c r="AJ845" s="231" t="s">
        <v>239</v>
      </c>
      <c r="AK845" s="231">
        <v>1</v>
      </c>
      <c r="AL845" s="232" t="s">
        <v>239</v>
      </c>
      <c r="AM845" s="232">
        <v>0</v>
      </c>
    </row>
    <row r="846" spans="1:39" ht="15.75" outlineLevel="1">
      <c r="A846" s="412"/>
      <c r="B846" s="10">
        <v>129418</v>
      </c>
      <c r="C846" s="218" t="s">
        <v>1489</v>
      </c>
      <c r="D846" s="218" t="s">
        <v>1490</v>
      </c>
      <c r="E846" s="23" t="s">
        <v>44</v>
      </c>
      <c r="F846" s="17" t="s">
        <v>45</v>
      </c>
      <c r="G846" s="11" t="s">
        <v>1432</v>
      </c>
      <c r="H846" s="12">
        <v>19</v>
      </c>
      <c r="I846" s="11" t="s">
        <v>1433</v>
      </c>
      <c r="J846" s="193" t="s">
        <v>216</v>
      </c>
      <c r="K846" s="17" t="s">
        <v>233</v>
      </c>
      <c r="L846" s="17" t="s">
        <v>233</v>
      </c>
      <c r="M846" s="231">
        <v>2897</v>
      </c>
      <c r="N846" s="232">
        <v>2861.8304199999998</v>
      </c>
      <c r="O846" s="132">
        <v>156</v>
      </c>
      <c r="P846" s="231" t="s">
        <v>239</v>
      </c>
      <c r="Q846" s="232">
        <v>156</v>
      </c>
      <c r="R846" s="231" t="s">
        <v>239</v>
      </c>
      <c r="S846" s="232">
        <v>143</v>
      </c>
      <c r="T846" s="231" t="s">
        <v>239</v>
      </c>
      <c r="U846" s="232">
        <v>253</v>
      </c>
      <c r="V846" s="231" t="s">
        <v>239</v>
      </c>
      <c r="W846" s="232">
        <v>258</v>
      </c>
      <c r="X846" s="231" t="s">
        <v>239</v>
      </c>
      <c r="Y846" s="232">
        <v>244</v>
      </c>
      <c r="Z846" s="231" t="s">
        <v>239</v>
      </c>
      <c r="AA846" s="232">
        <v>230</v>
      </c>
      <c r="AB846" s="231" t="s">
        <v>239</v>
      </c>
      <c r="AC846" s="232">
        <v>300</v>
      </c>
      <c r="AD846" s="231" t="s">
        <v>239</v>
      </c>
      <c r="AE846" s="232">
        <v>284</v>
      </c>
      <c r="AF846" s="231" t="s">
        <v>239</v>
      </c>
      <c r="AG846" s="232">
        <v>265</v>
      </c>
      <c r="AH846" s="231" t="s">
        <v>239</v>
      </c>
      <c r="AI846" s="232">
        <v>312</v>
      </c>
      <c r="AJ846" s="231" t="s">
        <v>239</v>
      </c>
      <c r="AK846" s="232">
        <v>334</v>
      </c>
      <c r="AL846" s="232" t="s">
        <v>239</v>
      </c>
      <c r="AM846" s="232">
        <v>2935</v>
      </c>
    </row>
    <row r="847" spans="1:39" ht="15.75" outlineLevel="1">
      <c r="A847" s="411">
        <v>419</v>
      </c>
      <c r="B847" s="10">
        <v>129419</v>
      </c>
      <c r="C847" s="218" t="s">
        <v>1489</v>
      </c>
      <c r="D847" s="218" t="s">
        <v>1490</v>
      </c>
      <c r="E847" s="23" t="s">
        <v>138</v>
      </c>
      <c r="F847" s="17" t="s">
        <v>45</v>
      </c>
      <c r="G847" s="11" t="s">
        <v>1432</v>
      </c>
      <c r="H847" s="12">
        <v>15</v>
      </c>
      <c r="I847" s="11" t="s">
        <v>1433</v>
      </c>
      <c r="J847" s="192" t="s">
        <v>1483</v>
      </c>
      <c r="K847" s="17" t="s">
        <v>233</v>
      </c>
      <c r="L847" s="17" t="s">
        <v>233</v>
      </c>
      <c r="M847" s="231">
        <v>1</v>
      </c>
      <c r="N847" s="231">
        <v>1</v>
      </c>
      <c r="O847" s="231">
        <v>1</v>
      </c>
      <c r="P847" s="231" t="s">
        <v>239</v>
      </c>
      <c r="Q847" s="231">
        <v>1</v>
      </c>
      <c r="R847" s="231" t="s">
        <v>239</v>
      </c>
      <c r="S847" s="231">
        <v>1</v>
      </c>
      <c r="T847" s="231" t="s">
        <v>239</v>
      </c>
      <c r="U847" s="231">
        <v>1</v>
      </c>
      <c r="V847" s="230" t="s">
        <v>239</v>
      </c>
      <c r="W847" s="231">
        <v>1</v>
      </c>
      <c r="X847" s="231" t="s">
        <v>239</v>
      </c>
      <c r="Y847" s="231">
        <v>1</v>
      </c>
      <c r="Z847" s="231" t="s">
        <v>239</v>
      </c>
      <c r="AA847" s="231">
        <v>1</v>
      </c>
      <c r="AB847" s="231" t="s">
        <v>239</v>
      </c>
      <c r="AC847" s="231">
        <v>1</v>
      </c>
      <c r="AD847" s="231" t="s">
        <v>239</v>
      </c>
      <c r="AE847" s="231">
        <v>1</v>
      </c>
      <c r="AF847" s="231" t="s">
        <v>239</v>
      </c>
      <c r="AG847" s="231">
        <v>1</v>
      </c>
      <c r="AH847" s="231" t="s">
        <v>239</v>
      </c>
      <c r="AI847" s="231">
        <v>1</v>
      </c>
      <c r="AJ847" s="231" t="s">
        <v>239</v>
      </c>
      <c r="AK847" s="231">
        <v>1</v>
      </c>
      <c r="AL847" s="232" t="s">
        <v>239</v>
      </c>
      <c r="AM847" s="232">
        <v>0</v>
      </c>
    </row>
    <row r="848" spans="1:39" ht="15.75" outlineLevel="1">
      <c r="A848" s="412"/>
      <c r="B848" s="10">
        <v>129419</v>
      </c>
      <c r="C848" s="218" t="s">
        <v>1489</v>
      </c>
      <c r="D848" s="218" t="s">
        <v>1490</v>
      </c>
      <c r="E848" s="23" t="s">
        <v>44</v>
      </c>
      <c r="F848" s="17" t="s">
        <v>45</v>
      </c>
      <c r="G848" s="11" t="s">
        <v>1432</v>
      </c>
      <c r="H848" s="12">
        <v>19</v>
      </c>
      <c r="I848" s="11" t="s">
        <v>1433</v>
      </c>
      <c r="J848" s="191" t="s">
        <v>216</v>
      </c>
      <c r="K848" s="17" t="s">
        <v>233</v>
      </c>
      <c r="L848" s="17" t="s">
        <v>233</v>
      </c>
      <c r="M848" s="231">
        <v>0</v>
      </c>
      <c r="N848" s="232">
        <v>0</v>
      </c>
      <c r="O848" s="132">
        <v>0</v>
      </c>
      <c r="P848" s="231" t="s">
        <v>239</v>
      </c>
      <c r="Q848" s="232">
        <v>0</v>
      </c>
      <c r="R848" s="231" t="s">
        <v>239</v>
      </c>
      <c r="S848" s="232">
        <v>0</v>
      </c>
      <c r="T848" s="231" t="s">
        <v>239</v>
      </c>
      <c r="U848" s="232">
        <v>0</v>
      </c>
      <c r="V848" s="231" t="s">
        <v>239</v>
      </c>
      <c r="W848" s="232">
        <v>0</v>
      </c>
      <c r="X848" s="231" t="s">
        <v>239</v>
      </c>
      <c r="Y848" s="232">
        <v>0</v>
      </c>
      <c r="Z848" s="231" t="s">
        <v>239</v>
      </c>
      <c r="AA848" s="232">
        <v>0</v>
      </c>
      <c r="AB848" s="231" t="s">
        <v>239</v>
      </c>
      <c r="AC848" s="232">
        <v>0</v>
      </c>
      <c r="AD848" s="231" t="s">
        <v>239</v>
      </c>
      <c r="AE848" s="232">
        <v>0</v>
      </c>
      <c r="AF848" s="231" t="s">
        <v>239</v>
      </c>
      <c r="AG848" s="232">
        <v>0</v>
      </c>
      <c r="AH848" s="231" t="s">
        <v>239</v>
      </c>
      <c r="AI848" s="232">
        <v>0</v>
      </c>
      <c r="AJ848" s="231" t="s">
        <v>239</v>
      </c>
      <c r="AK848" s="232">
        <v>0</v>
      </c>
      <c r="AL848" s="232" t="s">
        <v>239</v>
      </c>
      <c r="AM848" s="232">
        <v>0</v>
      </c>
    </row>
    <row r="849" spans="1:39" ht="15.75" outlineLevel="1">
      <c r="A849" s="411">
        <v>420</v>
      </c>
      <c r="B849" s="10">
        <v>129420</v>
      </c>
      <c r="C849" s="218" t="s">
        <v>1489</v>
      </c>
      <c r="D849" s="218" t="s">
        <v>1490</v>
      </c>
      <c r="E849" s="23" t="s">
        <v>138</v>
      </c>
      <c r="F849" s="17" t="s">
        <v>45</v>
      </c>
      <c r="G849" s="11" t="s">
        <v>1432</v>
      </c>
      <c r="H849" s="12">
        <v>22</v>
      </c>
      <c r="I849" s="11" t="s">
        <v>1433</v>
      </c>
      <c r="J849" s="192" t="s">
        <v>1434</v>
      </c>
      <c r="K849" s="17" t="s">
        <v>233</v>
      </c>
      <c r="L849" s="17" t="s">
        <v>233</v>
      </c>
      <c r="M849" s="231">
        <v>43.6</v>
      </c>
      <c r="N849" s="231">
        <v>43.6</v>
      </c>
      <c r="O849" s="231">
        <v>43.6</v>
      </c>
      <c r="P849" s="231" t="s">
        <v>239</v>
      </c>
      <c r="Q849" s="231">
        <v>43.6</v>
      </c>
      <c r="R849" s="231" t="s">
        <v>239</v>
      </c>
      <c r="S849" s="231">
        <v>43.6</v>
      </c>
      <c r="T849" s="231" t="s">
        <v>239</v>
      </c>
      <c r="U849" s="231">
        <v>43.6</v>
      </c>
      <c r="V849" s="231" t="s">
        <v>239</v>
      </c>
      <c r="W849" s="231">
        <v>43.6</v>
      </c>
      <c r="X849" s="231" t="s">
        <v>239</v>
      </c>
      <c r="Y849" s="231">
        <v>43.6</v>
      </c>
      <c r="Z849" s="231" t="s">
        <v>239</v>
      </c>
      <c r="AA849" s="231">
        <v>43.6</v>
      </c>
      <c r="AB849" s="231" t="s">
        <v>239</v>
      </c>
      <c r="AC849" s="231">
        <v>43.6</v>
      </c>
      <c r="AD849" s="231" t="s">
        <v>239</v>
      </c>
      <c r="AE849" s="231">
        <v>43.6</v>
      </c>
      <c r="AF849" s="231" t="s">
        <v>239</v>
      </c>
      <c r="AG849" s="231">
        <v>43.6</v>
      </c>
      <c r="AH849" s="231" t="s">
        <v>239</v>
      </c>
      <c r="AI849" s="231">
        <v>43.6</v>
      </c>
      <c r="AJ849" s="231" t="s">
        <v>239</v>
      </c>
      <c r="AK849" s="231">
        <v>43.6</v>
      </c>
      <c r="AL849" s="232" t="s">
        <v>239</v>
      </c>
      <c r="AM849" s="232">
        <v>0</v>
      </c>
    </row>
    <row r="850" spans="1:39" ht="15.75" outlineLevel="1">
      <c r="A850" s="412"/>
      <c r="B850" s="10">
        <v>129420</v>
      </c>
      <c r="C850" s="218" t="s">
        <v>1489</v>
      </c>
      <c r="D850" s="218" t="s">
        <v>1490</v>
      </c>
      <c r="E850" s="23" t="s">
        <v>44</v>
      </c>
      <c r="F850" s="17" t="s">
        <v>45</v>
      </c>
      <c r="G850" s="11" t="s">
        <v>1432</v>
      </c>
      <c r="H850" s="12">
        <v>24</v>
      </c>
      <c r="I850" s="11" t="s">
        <v>1433</v>
      </c>
      <c r="J850" s="192" t="s">
        <v>1480</v>
      </c>
      <c r="K850" s="17" t="s">
        <v>233</v>
      </c>
      <c r="L850" s="17" t="s">
        <v>233</v>
      </c>
      <c r="M850" s="231">
        <v>5489</v>
      </c>
      <c r="N850" s="232">
        <v>5422.3635399999994</v>
      </c>
      <c r="O850" s="132">
        <v>1536</v>
      </c>
      <c r="P850" s="231" t="s">
        <v>239</v>
      </c>
      <c r="Q850" s="232">
        <v>1536</v>
      </c>
      <c r="R850" s="231" t="s">
        <v>239</v>
      </c>
      <c r="S850" s="232">
        <v>1295</v>
      </c>
      <c r="T850" s="231" t="s">
        <v>239</v>
      </c>
      <c r="U850" s="232">
        <v>1507</v>
      </c>
      <c r="V850" s="230" t="s">
        <v>239</v>
      </c>
      <c r="W850" s="232">
        <v>1499</v>
      </c>
      <c r="X850" s="231" t="s">
        <v>239</v>
      </c>
      <c r="Y850" s="232">
        <v>1344</v>
      </c>
      <c r="Z850" s="231" t="s">
        <v>239</v>
      </c>
      <c r="AA850" s="232">
        <v>1364</v>
      </c>
      <c r="AB850" s="231" t="s">
        <v>239</v>
      </c>
      <c r="AC850" s="232">
        <v>1340</v>
      </c>
      <c r="AD850" s="231" t="s">
        <v>239</v>
      </c>
      <c r="AE850" s="232">
        <v>1219</v>
      </c>
      <c r="AF850" s="231" t="s">
        <v>239</v>
      </c>
      <c r="AG850" s="232">
        <v>1261</v>
      </c>
      <c r="AH850" s="231" t="s">
        <v>239</v>
      </c>
      <c r="AI850" s="232">
        <v>1503</v>
      </c>
      <c r="AJ850" s="231" t="s">
        <v>239</v>
      </c>
      <c r="AK850" s="232">
        <v>1506</v>
      </c>
      <c r="AL850" s="232" t="s">
        <v>239</v>
      </c>
      <c r="AM850" s="232">
        <v>16910</v>
      </c>
    </row>
    <row r="851" spans="1:39" ht="15.75" outlineLevel="1">
      <c r="A851" s="411">
        <v>421</v>
      </c>
      <c r="B851" s="10">
        <v>129421</v>
      </c>
      <c r="C851" s="218" t="s">
        <v>1489</v>
      </c>
      <c r="D851" s="218" t="s">
        <v>1490</v>
      </c>
      <c r="E851" s="23" t="s">
        <v>44</v>
      </c>
      <c r="F851" s="17" t="s">
        <v>45</v>
      </c>
      <c r="G851" s="11" t="s">
        <v>1432</v>
      </c>
      <c r="H851" s="12">
        <v>16</v>
      </c>
      <c r="I851" s="11" t="s">
        <v>1433</v>
      </c>
      <c r="J851" s="192" t="s">
        <v>1452</v>
      </c>
      <c r="K851" s="17" t="s">
        <v>233</v>
      </c>
      <c r="L851" s="17" t="s">
        <v>233</v>
      </c>
      <c r="M851" s="231">
        <v>0</v>
      </c>
      <c r="N851" s="232">
        <v>0</v>
      </c>
      <c r="O851" s="132">
        <v>0</v>
      </c>
      <c r="P851" s="231" t="s">
        <v>239</v>
      </c>
      <c r="Q851" s="232">
        <v>0</v>
      </c>
      <c r="R851" s="231" t="s">
        <v>239</v>
      </c>
      <c r="S851" s="232">
        <v>0</v>
      </c>
      <c r="T851" s="231" t="s">
        <v>239</v>
      </c>
      <c r="U851" s="232">
        <v>0</v>
      </c>
      <c r="V851" s="231" t="s">
        <v>239</v>
      </c>
      <c r="W851" s="232">
        <v>0</v>
      </c>
      <c r="X851" s="231" t="s">
        <v>239</v>
      </c>
      <c r="Y851" s="232">
        <v>0</v>
      </c>
      <c r="Z851" s="231" t="s">
        <v>239</v>
      </c>
      <c r="AA851" s="232">
        <v>0</v>
      </c>
      <c r="AB851" s="231" t="s">
        <v>239</v>
      </c>
      <c r="AC851" s="232">
        <v>0</v>
      </c>
      <c r="AD851" s="231" t="s">
        <v>239</v>
      </c>
      <c r="AE851" s="232">
        <v>0</v>
      </c>
      <c r="AF851" s="231" t="s">
        <v>239</v>
      </c>
      <c r="AG851" s="232">
        <v>0</v>
      </c>
      <c r="AH851" s="231" t="s">
        <v>239</v>
      </c>
      <c r="AI851" s="232">
        <v>0</v>
      </c>
      <c r="AJ851" s="231" t="s">
        <v>239</v>
      </c>
      <c r="AK851" s="232">
        <v>0</v>
      </c>
      <c r="AL851" s="232" t="s">
        <v>239</v>
      </c>
      <c r="AM851" s="232">
        <v>0</v>
      </c>
    </row>
    <row r="852" spans="1:39" ht="15.75" outlineLevel="1">
      <c r="A852" s="412"/>
      <c r="B852" s="10">
        <v>129421</v>
      </c>
      <c r="C852" s="218" t="s">
        <v>1489</v>
      </c>
      <c r="D852" s="218" t="s">
        <v>1490</v>
      </c>
      <c r="E852" s="23" t="s">
        <v>138</v>
      </c>
      <c r="F852" s="17" t="s">
        <v>45</v>
      </c>
      <c r="G852" s="11" t="s">
        <v>1432</v>
      </c>
      <c r="H852" s="12">
        <v>5</v>
      </c>
      <c r="I852" s="11" t="s">
        <v>1433</v>
      </c>
      <c r="J852" s="374" t="s">
        <v>207</v>
      </c>
      <c r="K852" s="17" t="s">
        <v>233</v>
      </c>
      <c r="L852" s="17" t="s">
        <v>233</v>
      </c>
      <c r="M852" s="231">
        <v>0</v>
      </c>
      <c r="N852" s="232">
        <v>0</v>
      </c>
      <c r="O852" s="132">
        <v>0</v>
      </c>
      <c r="P852" s="231" t="s">
        <v>239</v>
      </c>
      <c r="Q852" s="232">
        <v>0</v>
      </c>
      <c r="R852" s="231" t="s">
        <v>239</v>
      </c>
      <c r="S852" s="232">
        <v>0</v>
      </c>
      <c r="T852" s="231" t="s">
        <v>239</v>
      </c>
      <c r="U852" s="232">
        <v>0</v>
      </c>
      <c r="V852" s="231" t="s">
        <v>239</v>
      </c>
      <c r="W852" s="232">
        <v>0</v>
      </c>
      <c r="X852" s="231" t="s">
        <v>239</v>
      </c>
      <c r="Y852" s="232">
        <v>0</v>
      </c>
      <c r="Z852" s="231" t="s">
        <v>239</v>
      </c>
      <c r="AA852" s="232">
        <v>0</v>
      </c>
      <c r="AB852" s="231" t="s">
        <v>239</v>
      </c>
      <c r="AC852" s="232">
        <v>0</v>
      </c>
      <c r="AD852" s="231" t="s">
        <v>239</v>
      </c>
      <c r="AE852" s="232">
        <v>0</v>
      </c>
      <c r="AF852" s="231" t="s">
        <v>239</v>
      </c>
      <c r="AG852" s="232">
        <v>0</v>
      </c>
      <c r="AH852" s="231" t="s">
        <v>239</v>
      </c>
      <c r="AI852" s="232">
        <v>0</v>
      </c>
      <c r="AJ852" s="231" t="s">
        <v>239</v>
      </c>
      <c r="AK852" s="232">
        <v>0</v>
      </c>
      <c r="AL852" s="232" t="s">
        <v>239</v>
      </c>
      <c r="AM852" s="232">
        <v>0</v>
      </c>
    </row>
    <row r="853" spans="1:39" ht="15.75" outlineLevel="1">
      <c r="A853" s="411">
        <v>422</v>
      </c>
      <c r="B853" s="10">
        <v>129422</v>
      </c>
      <c r="C853" s="218" t="s">
        <v>1489</v>
      </c>
      <c r="D853" s="218" t="s">
        <v>1490</v>
      </c>
      <c r="E853" s="23" t="s">
        <v>44</v>
      </c>
      <c r="F853" s="17" t="s">
        <v>45</v>
      </c>
      <c r="G853" s="11" t="s">
        <v>1432</v>
      </c>
      <c r="H853" s="12">
        <v>17</v>
      </c>
      <c r="I853" s="11" t="s">
        <v>1433</v>
      </c>
      <c r="J853" s="375"/>
      <c r="K853" s="17" t="s">
        <v>233</v>
      </c>
      <c r="L853" s="17" t="s">
        <v>233</v>
      </c>
      <c r="M853" s="231">
        <v>0</v>
      </c>
      <c r="N853" s="232">
        <v>0</v>
      </c>
      <c r="O853" s="132">
        <v>0</v>
      </c>
      <c r="P853" s="231" t="s">
        <v>239</v>
      </c>
      <c r="Q853" s="232">
        <v>0</v>
      </c>
      <c r="R853" s="231" t="s">
        <v>239</v>
      </c>
      <c r="S853" s="232">
        <v>0</v>
      </c>
      <c r="T853" s="231" t="s">
        <v>239</v>
      </c>
      <c r="U853" s="232">
        <v>0</v>
      </c>
      <c r="V853" s="230" t="s">
        <v>239</v>
      </c>
      <c r="W853" s="232">
        <v>0</v>
      </c>
      <c r="X853" s="231" t="s">
        <v>239</v>
      </c>
      <c r="Y853" s="232">
        <v>0</v>
      </c>
      <c r="Z853" s="231" t="s">
        <v>239</v>
      </c>
      <c r="AA853" s="232">
        <v>0</v>
      </c>
      <c r="AB853" s="231" t="s">
        <v>239</v>
      </c>
      <c r="AC853" s="232">
        <v>0</v>
      </c>
      <c r="AD853" s="231" t="s">
        <v>239</v>
      </c>
      <c r="AE853" s="232">
        <v>0</v>
      </c>
      <c r="AF853" s="231" t="s">
        <v>239</v>
      </c>
      <c r="AG853" s="232">
        <v>0</v>
      </c>
      <c r="AH853" s="231" t="s">
        <v>239</v>
      </c>
      <c r="AI853" s="232">
        <v>0</v>
      </c>
      <c r="AJ853" s="231" t="s">
        <v>239</v>
      </c>
      <c r="AK853" s="232">
        <v>0</v>
      </c>
      <c r="AL853" s="232" t="s">
        <v>239</v>
      </c>
      <c r="AM853" s="232">
        <v>0</v>
      </c>
    </row>
    <row r="854" spans="1:39" ht="15.75" outlineLevel="1">
      <c r="A854" s="412"/>
      <c r="B854" s="10">
        <v>129422</v>
      </c>
      <c r="C854" s="218" t="s">
        <v>1489</v>
      </c>
      <c r="D854" s="218" t="s">
        <v>1490</v>
      </c>
      <c r="E854" s="23" t="s">
        <v>138</v>
      </c>
      <c r="F854" s="17" t="s">
        <v>45</v>
      </c>
      <c r="G854" s="11" t="s">
        <v>1432</v>
      </c>
      <c r="H854" s="12">
        <v>19</v>
      </c>
      <c r="I854" s="11" t="s">
        <v>1433</v>
      </c>
      <c r="J854" s="193" t="s">
        <v>1460</v>
      </c>
      <c r="K854" s="17" t="s">
        <v>233</v>
      </c>
      <c r="L854" s="17" t="s">
        <v>233</v>
      </c>
      <c r="M854" s="231">
        <v>0</v>
      </c>
      <c r="N854" s="232">
        <v>0</v>
      </c>
      <c r="O854" s="132">
        <v>0</v>
      </c>
      <c r="P854" s="231" t="s">
        <v>239</v>
      </c>
      <c r="Q854" s="232">
        <v>0</v>
      </c>
      <c r="R854" s="231" t="s">
        <v>239</v>
      </c>
      <c r="S854" s="232">
        <v>0</v>
      </c>
      <c r="T854" s="231" t="s">
        <v>239</v>
      </c>
      <c r="U854" s="232">
        <v>0</v>
      </c>
      <c r="V854" s="231" t="s">
        <v>239</v>
      </c>
      <c r="W854" s="232">
        <v>0</v>
      </c>
      <c r="X854" s="231" t="s">
        <v>239</v>
      </c>
      <c r="Y854" s="232">
        <v>0</v>
      </c>
      <c r="Z854" s="231" t="s">
        <v>239</v>
      </c>
      <c r="AA854" s="232">
        <v>0</v>
      </c>
      <c r="AB854" s="231" t="s">
        <v>239</v>
      </c>
      <c r="AC854" s="232">
        <v>0</v>
      </c>
      <c r="AD854" s="231" t="s">
        <v>239</v>
      </c>
      <c r="AE854" s="232">
        <v>0</v>
      </c>
      <c r="AF854" s="231" t="s">
        <v>239</v>
      </c>
      <c r="AG854" s="232">
        <v>0</v>
      </c>
      <c r="AH854" s="231" t="s">
        <v>239</v>
      </c>
      <c r="AI854" s="232">
        <v>0</v>
      </c>
      <c r="AJ854" s="231" t="s">
        <v>239</v>
      </c>
      <c r="AK854" s="232">
        <v>0</v>
      </c>
      <c r="AL854" s="232" t="s">
        <v>239</v>
      </c>
      <c r="AM854" s="232">
        <v>0</v>
      </c>
    </row>
    <row r="855" spans="1:39" ht="15.75" outlineLevel="1">
      <c r="A855" s="411">
        <v>423</v>
      </c>
      <c r="B855" s="10">
        <v>129423</v>
      </c>
      <c r="C855" s="218" t="s">
        <v>1489</v>
      </c>
      <c r="D855" s="218" t="s">
        <v>1490</v>
      </c>
      <c r="E855" s="23" t="s">
        <v>44</v>
      </c>
      <c r="F855" s="17" t="s">
        <v>45</v>
      </c>
      <c r="G855" s="11" t="s">
        <v>1432</v>
      </c>
      <c r="H855" s="12">
        <v>21</v>
      </c>
      <c r="I855" s="11" t="s">
        <v>1433</v>
      </c>
      <c r="J855" s="193" t="s">
        <v>1442</v>
      </c>
      <c r="K855" s="17" t="s">
        <v>233</v>
      </c>
      <c r="L855" s="17" t="s">
        <v>233</v>
      </c>
      <c r="M855" s="231">
        <v>1</v>
      </c>
      <c r="N855" s="231">
        <v>1</v>
      </c>
      <c r="O855" s="231">
        <v>1</v>
      </c>
      <c r="P855" s="231" t="s">
        <v>239</v>
      </c>
      <c r="Q855" s="231">
        <v>1</v>
      </c>
      <c r="R855" s="231" t="s">
        <v>239</v>
      </c>
      <c r="S855" s="231">
        <v>1</v>
      </c>
      <c r="T855" s="231" t="s">
        <v>239</v>
      </c>
      <c r="U855" s="231">
        <v>1</v>
      </c>
      <c r="V855" s="231" t="s">
        <v>239</v>
      </c>
      <c r="W855" s="231">
        <v>1</v>
      </c>
      <c r="X855" s="231" t="s">
        <v>239</v>
      </c>
      <c r="Y855" s="231">
        <v>1</v>
      </c>
      <c r="Z855" s="231" t="s">
        <v>239</v>
      </c>
      <c r="AA855" s="231">
        <v>1</v>
      </c>
      <c r="AB855" s="231" t="s">
        <v>239</v>
      </c>
      <c r="AC855" s="231">
        <v>1</v>
      </c>
      <c r="AD855" s="231" t="s">
        <v>239</v>
      </c>
      <c r="AE855" s="231">
        <v>1</v>
      </c>
      <c r="AF855" s="231" t="s">
        <v>239</v>
      </c>
      <c r="AG855" s="231">
        <v>1</v>
      </c>
      <c r="AH855" s="231" t="s">
        <v>239</v>
      </c>
      <c r="AI855" s="231">
        <v>1</v>
      </c>
      <c r="AJ855" s="231" t="s">
        <v>239</v>
      </c>
      <c r="AK855" s="231">
        <v>1</v>
      </c>
      <c r="AL855" s="232" t="s">
        <v>239</v>
      </c>
      <c r="AM855" s="232">
        <v>0</v>
      </c>
    </row>
    <row r="856" spans="1:39" ht="15.75" outlineLevel="1">
      <c r="A856" s="412"/>
      <c r="B856" s="10">
        <v>129423</v>
      </c>
      <c r="C856" s="218" t="s">
        <v>1489</v>
      </c>
      <c r="D856" s="218" t="s">
        <v>1490</v>
      </c>
      <c r="E856" s="23" t="s">
        <v>44</v>
      </c>
      <c r="F856" s="17" t="s">
        <v>45</v>
      </c>
      <c r="G856" s="11" t="s">
        <v>1432</v>
      </c>
      <c r="H856" s="12">
        <v>19</v>
      </c>
      <c r="I856" s="11" t="s">
        <v>1433</v>
      </c>
      <c r="J856" s="193" t="s">
        <v>1460</v>
      </c>
      <c r="K856" s="17" t="s">
        <v>233</v>
      </c>
      <c r="L856" s="17" t="s">
        <v>233</v>
      </c>
      <c r="M856" s="231">
        <v>4478</v>
      </c>
      <c r="N856" s="232">
        <v>4423.6370799999995</v>
      </c>
      <c r="O856" s="132">
        <v>486</v>
      </c>
      <c r="P856" s="231" t="s">
        <v>239</v>
      </c>
      <c r="Q856" s="232">
        <v>486</v>
      </c>
      <c r="R856" s="231" t="s">
        <v>239</v>
      </c>
      <c r="S856" s="232">
        <v>516</v>
      </c>
      <c r="T856" s="231" t="s">
        <v>239</v>
      </c>
      <c r="U856" s="232">
        <v>481</v>
      </c>
      <c r="V856" s="230" t="s">
        <v>239</v>
      </c>
      <c r="W856" s="232">
        <v>612</v>
      </c>
      <c r="X856" s="231" t="s">
        <v>239</v>
      </c>
      <c r="Y856" s="232">
        <v>453</v>
      </c>
      <c r="Z856" s="231" t="s">
        <v>239</v>
      </c>
      <c r="AA856" s="232">
        <v>495</v>
      </c>
      <c r="AB856" s="231" t="s">
        <v>239</v>
      </c>
      <c r="AC856" s="232">
        <v>512</v>
      </c>
      <c r="AD856" s="231" t="s">
        <v>239</v>
      </c>
      <c r="AE856" s="232">
        <v>484</v>
      </c>
      <c r="AF856" s="231" t="s">
        <v>239</v>
      </c>
      <c r="AG856" s="232">
        <v>509</v>
      </c>
      <c r="AH856" s="231" t="s">
        <v>239</v>
      </c>
      <c r="AI856" s="232">
        <v>455</v>
      </c>
      <c r="AJ856" s="231" t="s">
        <v>239</v>
      </c>
      <c r="AK856" s="232">
        <v>478</v>
      </c>
      <c r="AL856" s="232" t="s">
        <v>239</v>
      </c>
      <c r="AM856" s="232">
        <v>5967</v>
      </c>
    </row>
    <row r="857" spans="1:39" ht="15.75" outlineLevel="1">
      <c r="A857" s="411">
        <v>424</v>
      </c>
      <c r="B857" s="10">
        <v>129424</v>
      </c>
      <c r="C857" s="218" t="s">
        <v>1489</v>
      </c>
      <c r="D857" s="218" t="s">
        <v>1490</v>
      </c>
      <c r="E857" s="23" t="s">
        <v>138</v>
      </c>
      <c r="F857" s="17" t="s">
        <v>45</v>
      </c>
      <c r="G857" s="11" t="s">
        <v>1432</v>
      </c>
      <c r="H857" s="12">
        <v>30</v>
      </c>
      <c r="I857" s="11" t="s">
        <v>1433</v>
      </c>
      <c r="J857" s="193" t="s">
        <v>1457</v>
      </c>
      <c r="K857" s="17" t="s">
        <v>233</v>
      </c>
      <c r="L857" s="17" t="s">
        <v>233</v>
      </c>
      <c r="M857" s="231">
        <v>10</v>
      </c>
      <c r="N857" s="231">
        <v>10</v>
      </c>
      <c r="O857" s="231">
        <v>10</v>
      </c>
      <c r="P857" s="231" t="s">
        <v>239</v>
      </c>
      <c r="Q857" s="231">
        <v>10</v>
      </c>
      <c r="R857" s="231" t="s">
        <v>239</v>
      </c>
      <c r="S857" s="231">
        <v>10</v>
      </c>
      <c r="T857" s="231" t="s">
        <v>239</v>
      </c>
      <c r="U857" s="231">
        <v>10</v>
      </c>
      <c r="V857" s="231" t="s">
        <v>239</v>
      </c>
      <c r="W857" s="231">
        <v>10</v>
      </c>
      <c r="X857" s="231" t="s">
        <v>239</v>
      </c>
      <c r="Y857" s="231">
        <v>10</v>
      </c>
      <c r="Z857" s="231" t="s">
        <v>239</v>
      </c>
      <c r="AA857" s="231">
        <v>10</v>
      </c>
      <c r="AB857" s="231" t="s">
        <v>239</v>
      </c>
      <c r="AC857" s="231">
        <v>10</v>
      </c>
      <c r="AD857" s="231" t="s">
        <v>239</v>
      </c>
      <c r="AE857" s="231">
        <v>10</v>
      </c>
      <c r="AF857" s="231" t="s">
        <v>239</v>
      </c>
      <c r="AG857" s="231">
        <v>10</v>
      </c>
      <c r="AH857" s="231" t="s">
        <v>239</v>
      </c>
      <c r="AI857" s="231">
        <v>10</v>
      </c>
      <c r="AJ857" s="231" t="s">
        <v>239</v>
      </c>
      <c r="AK857" s="231">
        <v>10</v>
      </c>
      <c r="AL857" s="232" t="s">
        <v>239</v>
      </c>
      <c r="AM857" s="232">
        <v>0</v>
      </c>
    </row>
    <row r="858" spans="1:39" ht="15.75" outlineLevel="1">
      <c r="A858" s="412"/>
      <c r="B858" s="10">
        <v>129424</v>
      </c>
      <c r="C858" s="218" t="s">
        <v>1489</v>
      </c>
      <c r="D858" s="218" t="s">
        <v>1490</v>
      </c>
      <c r="E858" s="23" t="s">
        <v>44</v>
      </c>
      <c r="F858" s="17" t="s">
        <v>45</v>
      </c>
      <c r="G858" s="11" t="s">
        <v>1432</v>
      </c>
      <c r="H858" s="12">
        <v>33</v>
      </c>
      <c r="I858" s="11" t="s">
        <v>1433</v>
      </c>
      <c r="J858" s="193" t="s">
        <v>617</v>
      </c>
      <c r="K858" s="17" t="s">
        <v>233</v>
      </c>
      <c r="L858" s="17" t="s">
        <v>233</v>
      </c>
      <c r="M858" s="231">
        <v>4315</v>
      </c>
      <c r="N858" s="232">
        <v>4262.6158999999998</v>
      </c>
      <c r="O858" s="132">
        <v>593</v>
      </c>
      <c r="P858" s="231" t="s">
        <v>239</v>
      </c>
      <c r="Q858" s="232">
        <v>593</v>
      </c>
      <c r="R858" s="231" t="s">
        <v>239</v>
      </c>
      <c r="S858" s="232">
        <v>616</v>
      </c>
      <c r="T858" s="231" t="s">
        <v>239</v>
      </c>
      <c r="U858" s="232">
        <v>578</v>
      </c>
      <c r="V858" s="231" t="s">
        <v>239</v>
      </c>
      <c r="W858" s="232">
        <v>387</v>
      </c>
      <c r="X858" s="231" t="s">
        <v>239</v>
      </c>
      <c r="Y858" s="232">
        <v>269</v>
      </c>
      <c r="Z858" s="231" t="s">
        <v>239</v>
      </c>
      <c r="AA858" s="232">
        <v>205</v>
      </c>
      <c r="AB858" s="231" t="s">
        <v>239</v>
      </c>
      <c r="AC858" s="232">
        <v>345</v>
      </c>
      <c r="AD858" s="231" t="s">
        <v>239</v>
      </c>
      <c r="AE858" s="232">
        <v>4</v>
      </c>
      <c r="AF858" s="231" t="s">
        <v>239</v>
      </c>
      <c r="AG858" s="232">
        <v>303</v>
      </c>
      <c r="AH858" s="231" t="s">
        <v>239</v>
      </c>
      <c r="AI858" s="232">
        <v>4</v>
      </c>
      <c r="AJ858" s="231" t="s">
        <v>239</v>
      </c>
      <c r="AK858" s="232">
        <v>558</v>
      </c>
      <c r="AL858" s="232" t="s">
        <v>239</v>
      </c>
      <c r="AM858" s="232">
        <v>4455</v>
      </c>
    </row>
    <row r="859" spans="1:39" ht="15.75" outlineLevel="1">
      <c r="A859" s="411">
        <v>425</v>
      </c>
      <c r="B859" s="10">
        <v>129425</v>
      </c>
      <c r="C859" s="218" t="s">
        <v>1489</v>
      </c>
      <c r="D859" s="218" t="s">
        <v>1490</v>
      </c>
      <c r="E859" s="23" t="s">
        <v>138</v>
      </c>
      <c r="F859" s="17" t="s">
        <v>45</v>
      </c>
      <c r="G859" s="11" t="s">
        <v>1432</v>
      </c>
      <c r="H859" s="12">
        <v>19</v>
      </c>
      <c r="I859" s="11" t="s">
        <v>1433</v>
      </c>
      <c r="J859" s="193" t="s">
        <v>216</v>
      </c>
      <c r="K859" s="17" t="s">
        <v>233</v>
      </c>
      <c r="L859" s="17" t="s">
        <v>233</v>
      </c>
      <c r="M859" s="231">
        <v>3</v>
      </c>
      <c r="N859" s="231">
        <v>3</v>
      </c>
      <c r="O859" s="231">
        <v>3</v>
      </c>
      <c r="P859" s="231" t="s">
        <v>239</v>
      </c>
      <c r="Q859" s="231">
        <v>3</v>
      </c>
      <c r="R859" s="231" t="s">
        <v>239</v>
      </c>
      <c r="S859" s="231">
        <v>3</v>
      </c>
      <c r="T859" s="231" t="s">
        <v>239</v>
      </c>
      <c r="U859" s="231">
        <v>3</v>
      </c>
      <c r="V859" s="230" t="s">
        <v>239</v>
      </c>
      <c r="W859" s="231">
        <v>3</v>
      </c>
      <c r="X859" s="231" t="s">
        <v>239</v>
      </c>
      <c r="Y859" s="231">
        <v>3</v>
      </c>
      <c r="Z859" s="231" t="s">
        <v>239</v>
      </c>
      <c r="AA859" s="231">
        <v>3</v>
      </c>
      <c r="AB859" s="231" t="s">
        <v>239</v>
      </c>
      <c r="AC859" s="231">
        <v>3</v>
      </c>
      <c r="AD859" s="231" t="s">
        <v>239</v>
      </c>
      <c r="AE859" s="231">
        <v>3</v>
      </c>
      <c r="AF859" s="231" t="s">
        <v>239</v>
      </c>
      <c r="AG859" s="231">
        <v>3</v>
      </c>
      <c r="AH859" s="231" t="s">
        <v>239</v>
      </c>
      <c r="AI859" s="231">
        <v>3</v>
      </c>
      <c r="AJ859" s="231" t="s">
        <v>239</v>
      </c>
      <c r="AK859" s="231">
        <v>3</v>
      </c>
      <c r="AL859" s="232" t="s">
        <v>239</v>
      </c>
      <c r="AM859" s="232">
        <v>0</v>
      </c>
    </row>
    <row r="860" spans="1:39" ht="15.75" outlineLevel="1">
      <c r="A860" s="412"/>
      <c r="B860" s="10">
        <v>129425</v>
      </c>
      <c r="C860" s="218" t="s">
        <v>1489</v>
      </c>
      <c r="D860" s="218" t="s">
        <v>1490</v>
      </c>
      <c r="E860" s="23" t="s">
        <v>44</v>
      </c>
      <c r="F860" s="17" t="s">
        <v>45</v>
      </c>
      <c r="G860" s="11" t="s">
        <v>1432</v>
      </c>
      <c r="H860" s="12">
        <v>6</v>
      </c>
      <c r="I860" s="11" t="s">
        <v>1433</v>
      </c>
      <c r="J860" s="192" t="s">
        <v>1446</v>
      </c>
      <c r="K860" s="17" t="s">
        <v>233</v>
      </c>
      <c r="L860" s="17" t="s">
        <v>233</v>
      </c>
      <c r="M860" s="231">
        <v>1011</v>
      </c>
      <c r="N860" s="232">
        <v>998.72645999999997</v>
      </c>
      <c r="O860" s="132">
        <v>156</v>
      </c>
      <c r="P860" s="231" t="s">
        <v>239</v>
      </c>
      <c r="Q860" s="232">
        <v>156</v>
      </c>
      <c r="R860" s="231" t="s">
        <v>239</v>
      </c>
      <c r="S860" s="232">
        <v>143</v>
      </c>
      <c r="T860" s="231" t="s">
        <v>239</v>
      </c>
      <c r="U860" s="232">
        <v>253</v>
      </c>
      <c r="V860" s="231" t="s">
        <v>239</v>
      </c>
      <c r="W860" s="232">
        <v>258</v>
      </c>
      <c r="X860" s="231" t="s">
        <v>239</v>
      </c>
      <c r="Y860" s="232">
        <v>244</v>
      </c>
      <c r="Z860" s="231" t="s">
        <v>239</v>
      </c>
      <c r="AA860" s="232">
        <v>230</v>
      </c>
      <c r="AB860" s="231" t="s">
        <v>239</v>
      </c>
      <c r="AC860" s="232">
        <v>300</v>
      </c>
      <c r="AD860" s="231" t="s">
        <v>239</v>
      </c>
      <c r="AE860" s="232">
        <v>284</v>
      </c>
      <c r="AF860" s="231" t="s">
        <v>239</v>
      </c>
      <c r="AG860" s="232">
        <v>265</v>
      </c>
      <c r="AH860" s="231" t="s">
        <v>239</v>
      </c>
      <c r="AI860" s="232">
        <v>312</v>
      </c>
      <c r="AJ860" s="231" t="s">
        <v>239</v>
      </c>
      <c r="AK860" s="232">
        <v>334</v>
      </c>
      <c r="AL860" s="232" t="s">
        <v>239</v>
      </c>
      <c r="AM860" s="232">
        <v>2935</v>
      </c>
    </row>
    <row r="861" spans="1:39" ht="15.75" outlineLevel="1">
      <c r="A861" s="411">
        <v>426</v>
      </c>
      <c r="B861" s="10">
        <v>129426</v>
      </c>
      <c r="C861" s="218" t="s">
        <v>1489</v>
      </c>
      <c r="D861" s="218" t="s">
        <v>1490</v>
      </c>
      <c r="E861" s="23" t="s">
        <v>44</v>
      </c>
      <c r="F861" s="17" t="s">
        <v>45</v>
      </c>
      <c r="G861" s="11" t="s">
        <v>1432</v>
      </c>
      <c r="H861" s="12">
        <v>15</v>
      </c>
      <c r="I861" s="11" t="s">
        <v>1433</v>
      </c>
      <c r="J861" s="192" t="s">
        <v>1481</v>
      </c>
      <c r="K861" s="17" t="s">
        <v>233</v>
      </c>
      <c r="L861" s="17" t="s">
        <v>233</v>
      </c>
      <c r="M861" s="231">
        <v>27</v>
      </c>
      <c r="N861" s="231">
        <v>27</v>
      </c>
      <c r="O861" s="231">
        <v>27</v>
      </c>
      <c r="P861" s="231" t="s">
        <v>239</v>
      </c>
      <c r="Q861" s="231">
        <v>27</v>
      </c>
      <c r="R861" s="231" t="s">
        <v>239</v>
      </c>
      <c r="S861" s="231">
        <v>27</v>
      </c>
      <c r="T861" s="231" t="s">
        <v>239</v>
      </c>
      <c r="U861" s="231">
        <v>27</v>
      </c>
      <c r="V861" s="231" t="s">
        <v>239</v>
      </c>
      <c r="W861" s="231">
        <v>27</v>
      </c>
      <c r="X861" s="231" t="s">
        <v>239</v>
      </c>
      <c r="Y861" s="231">
        <v>27</v>
      </c>
      <c r="Z861" s="231" t="s">
        <v>239</v>
      </c>
      <c r="AA861" s="231">
        <v>27</v>
      </c>
      <c r="AB861" s="231" t="s">
        <v>239</v>
      </c>
      <c r="AC861" s="231">
        <v>27</v>
      </c>
      <c r="AD861" s="231" t="s">
        <v>239</v>
      </c>
      <c r="AE861" s="231">
        <v>27</v>
      </c>
      <c r="AF861" s="231" t="s">
        <v>239</v>
      </c>
      <c r="AG861" s="231">
        <v>27</v>
      </c>
      <c r="AH861" s="231" t="s">
        <v>239</v>
      </c>
      <c r="AI861" s="231">
        <v>27</v>
      </c>
      <c r="AJ861" s="231" t="s">
        <v>239</v>
      </c>
      <c r="AK861" s="231">
        <v>27</v>
      </c>
      <c r="AL861" s="232" t="s">
        <v>239</v>
      </c>
      <c r="AM861" s="232">
        <v>0</v>
      </c>
    </row>
    <row r="862" spans="1:39" ht="15.75" outlineLevel="1">
      <c r="A862" s="412"/>
      <c r="B862" s="10">
        <v>129426</v>
      </c>
      <c r="C862" s="218" t="s">
        <v>1489</v>
      </c>
      <c r="D862" s="218" t="s">
        <v>1490</v>
      </c>
      <c r="E862" s="23" t="s">
        <v>138</v>
      </c>
      <c r="F862" s="17" t="s">
        <v>45</v>
      </c>
      <c r="G862" s="11" t="s">
        <v>1432</v>
      </c>
      <c r="H862" s="12">
        <v>19</v>
      </c>
      <c r="I862" s="11" t="s">
        <v>1433</v>
      </c>
      <c r="J862" s="192" t="s">
        <v>208</v>
      </c>
      <c r="K862" s="17" t="s">
        <v>233</v>
      </c>
      <c r="L862" s="17" t="s">
        <v>233</v>
      </c>
      <c r="M862" s="231">
        <v>15883</v>
      </c>
      <c r="N862" s="232">
        <v>15690.18038</v>
      </c>
      <c r="O862" s="132">
        <v>1042</v>
      </c>
      <c r="P862" s="231" t="s">
        <v>239</v>
      </c>
      <c r="Q862" s="232">
        <v>1042</v>
      </c>
      <c r="R862" s="231" t="s">
        <v>239</v>
      </c>
      <c r="S862" s="232">
        <v>877</v>
      </c>
      <c r="T862" s="231" t="s">
        <v>239</v>
      </c>
      <c r="U862" s="232">
        <v>1182</v>
      </c>
      <c r="V862" s="230" t="s">
        <v>239</v>
      </c>
      <c r="W862" s="232">
        <v>1123</v>
      </c>
      <c r="X862" s="231" t="s">
        <v>239</v>
      </c>
      <c r="Y862" s="232">
        <v>986</v>
      </c>
      <c r="Z862" s="231" t="s">
        <v>239</v>
      </c>
      <c r="AA862" s="232">
        <v>862</v>
      </c>
      <c r="AB862" s="231" t="s">
        <v>239</v>
      </c>
      <c r="AC862" s="232">
        <v>742</v>
      </c>
      <c r="AD862" s="231" t="s">
        <v>239</v>
      </c>
      <c r="AE862" s="232">
        <v>794</v>
      </c>
      <c r="AF862" s="231" t="s">
        <v>239</v>
      </c>
      <c r="AG862" s="232">
        <v>805</v>
      </c>
      <c r="AH862" s="231" t="s">
        <v>239</v>
      </c>
      <c r="AI862" s="232">
        <v>935</v>
      </c>
      <c r="AJ862" s="231" t="s">
        <v>239</v>
      </c>
      <c r="AK862" s="232">
        <v>871</v>
      </c>
      <c r="AL862" s="232" t="s">
        <v>239</v>
      </c>
      <c r="AM862" s="232">
        <v>11261</v>
      </c>
    </row>
    <row r="863" spans="1:39" ht="15.75" outlineLevel="1">
      <c r="A863" s="411">
        <v>427</v>
      </c>
      <c r="B863" s="10">
        <v>129427</v>
      </c>
      <c r="C863" s="218" t="s">
        <v>1489</v>
      </c>
      <c r="D863" s="218" t="s">
        <v>1490</v>
      </c>
      <c r="E863" s="23" t="s">
        <v>44</v>
      </c>
      <c r="F863" s="17" t="s">
        <v>45</v>
      </c>
      <c r="G863" s="11" t="s">
        <v>1432</v>
      </c>
      <c r="H863" s="12">
        <v>22</v>
      </c>
      <c r="I863" s="11" t="s">
        <v>1433</v>
      </c>
      <c r="J863" s="192" t="s">
        <v>1463</v>
      </c>
      <c r="K863" s="17" t="s">
        <v>233</v>
      </c>
      <c r="L863" s="17" t="s">
        <v>233</v>
      </c>
      <c r="M863" s="231">
        <v>9</v>
      </c>
      <c r="N863" s="231">
        <v>9</v>
      </c>
      <c r="O863" s="231">
        <v>9</v>
      </c>
      <c r="P863" s="231" t="s">
        <v>239</v>
      </c>
      <c r="Q863" s="231">
        <v>9</v>
      </c>
      <c r="R863" s="231" t="s">
        <v>239</v>
      </c>
      <c r="S863" s="231">
        <v>9</v>
      </c>
      <c r="T863" s="231" t="s">
        <v>239</v>
      </c>
      <c r="U863" s="231">
        <v>9</v>
      </c>
      <c r="V863" s="231" t="s">
        <v>239</v>
      </c>
      <c r="W863" s="231">
        <v>9</v>
      </c>
      <c r="X863" s="231" t="s">
        <v>239</v>
      </c>
      <c r="Y863" s="231">
        <v>9</v>
      </c>
      <c r="Z863" s="231" t="s">
        <v>239</v>
      </c>
      <c r="AA863" s="231">
        <v>9</v>
      </c>
      <c r="AB863" s="231" t="s">
        <v>239</v>
      </c>
      <c r="AC863" s="231">
        <v>9</v>
      </c>
      <c r="AD863" s="231" t="s">
        <v>239</v>
      </c>
      <c r="AE863" s="231">
        <v>9</v>
      </c>
      <c r="AF863" s="231" t="s">
        <v>239</v>
      </c>
      <c r="AG863" s="231">
        <v>9</v>
      </c>
      <c r="AH863" s="231" t="s">
        <v>239</v>
      </c>
      <c r="AI863" s="231">
        <v>9</v>
      </c>
      <c r="AJ863" s="231" t="s">
        <v>239</v>
      </c>
      <c r="AK863" s="231">
        <v>9</v>
      </c>
      <c r="AL863" s="232" t="s">
        <v>239</v>
      </c>
      <c r="AM863" s="232">
        <v>0</v>
      </c>
    </row>
    <row r="864" spans="1:39" ht="15.75" outlineLevel="1">
      <c r="A864" s="412"/>
      <c r="B864" s="10">
        <v>129427</v>
      </c>
      <c r="C864" s="218" t="s">
        <v>1489</v>
      </c>
      <c r="D864" s="218" t="s">
        <v>1490</v>
      </c>
      <c r="E864" s="23" t="s">
        <v>138</v>
      </c>
      <c r="F864" s="17" t="s">
        <v>45</v>
      </c>
      <c r="G864" s="11" t="s">
        <v>1432</v>
      </c>
      <c r="H864" s="12">
        <v>24</v>
      </c>
      <c r="I864" s="11" t="s">
        <v>1433</v>
      </c>
      <c r="J864" s="192" t="s">
        <v>1482</v>
      </c>
      <c r="K864" s="17" t="s">
        <v>233</v>
      </c>
      <c r="L864" s="17" t="s">
        <v>233</v>
      </c>
      <c r="M864" s="231">
        <v>541</v>
      </c>
      <c r="N864" s="232">
        <v>534.43225999999993</v>
      </c>
      <c r="O864" s="132">
        <v>428</v>
      </c>
      <c r="P864" s="231" t="s">
        <v>239</v>
      </c>
      <c r="Q864" s="232">
        <v>428</v>
      </c>
      <c r="R864" s="231" t="s">
        <v>239</v>
      </c>
      <c r="S864" s="232">
        <v>406</v>
      </c>
      <c r="T864" s="231" t="s">
        <v>239</v>
      </c>
      <c r="U864" s="232">
        <v>415</v>
      </c>
      <c r="V864" s="231" t="s">
        <v>239</v>
      </c>
      <c r="W864" s="232">
        <v>406</v>
      </c>
      <c r="X864" s="231" t="s">
        <v>239</v>
      </c>
      <c r="Y864" s="232">
        <v>380</v>
      </c>
      <c r="Z864" s="231" t="s">
        <v>239</v>
      </c>
      <c r="AA864" s="232">
        <v>381</v>
      </c>
      <c r="AB864" s="231" t="s">
        <v>239</v>
      </c>
      <c r="AC864" s="232">
        <v>355</v>
      </c>
      <c r="AD864" s="231" t="s">
        <v>239</v>
      </c>
      <c r="AE864" s="232">
        <v>355</v>
      </c>
      <c r="AF864" s="231" t="s">
        <v>239</v>
      </c>
      <c r="AG864" s="232">
        <v>343</v>
      </c>
      <c r="AH864" s="231" t="s">
        <v>239</v>
      </c>
      <c r="AI864" s="232">
        <v>343</v>
      </c>
      <c r="AJ864" s="231" t="s">
        <v>239</v>
      </c>
      <c r="AK864" s="232">
        <v>340</v>
      </c>
      <c r="AL864" s="232" t="s">
        <v>239</v>
      </c>
      <c r="AM864" s="232">
        <v>4580</v>
      </c>
    </row>
    <row r="865" spans="1:39" ht="15.75" outlineLevel="1">
      <c r="A865" s="411">
        <v>428</v>
      </c>
      <c r="B865" s="10">
        <v>129428</v>
      </c>
      <c r="C865" s="218" t="s">
        <v>1489</v>
      </c>
      <c r="D865" s="218" t="s">
        <v>1490</v>
      </c>
      <c r="E865" s="23" t="s">
        <v>44</v>
      </c>
      <c r="F865" s="17" t="s">
        <v>45</v>
      </c>
      <c r="G865" s="11" t="s">
        <v>1432</v>
      </c>
      <c r="H865" s="12">
        <v>16</v>
      </c>
      <c r="I865" s="11" t="s">
        <v>1433</v>
      </c>
      <c r="J865" s="192" t="s">
        <v>1462</v>
      </c>
      <c r="K865" s="17" t="s">
        <v>233</v>
      </c>
      <c r="L865" s="17" t="s">
        <v>233</v>
      </c>
      <c r="M865" s="231">
        <v>9</v>
      </c>
      <c r="N865" s="231">
        <v>9</v>
      </c>
      <c r="O865" s="231">
        <v>9</v>
      </c>
      <c r="P865" s="231" t="s">
        <v>239</v>
      </c>
      <c r="Q865" s="231">
        <v>9</v>
      </c>
      <c r="R865" s="231" t="s">
        <v>239</v>
      </c>
      <c r="S865" s="231">
        <v>9</v>
      </c>
      <c r="T865" s="231" t="s">
        <v>239</v>
      </c>
      <c r="U865" s="231">
        <v>9</v>
      </c>
      <c r="V865" s="230" t="s">
        <v>239</v>
      </c>
      <c r="W865" s="231">
        <v>9</v>
      </c>
      <c r="X865" s="231" t="s">
        <v>239</v>
      </c>
      <c r="Y865" s="231">
        <v>9</v>
      </c>
      <c r="Z865" s="231" t="s">
        <v>239</v>
      </c>
      <c r="AA865" s="231">
        <v>9</v>
      </c>
      <c r="AB865" s="231" t="s">
        <v>239</v>
      </c>
      <c r="AC865" s="231">
        <v>9</v>
      </c>
      <c r="AD865" s="231" t="s">
        <v>239</v>
      </c>
      <c r="AE865" s="231">
        <v>9</v>
      </c>
      <c r="AF865" s="231" t="s">
        <v>239</v>
      </c>
      <c r="AG865" s="231">
        <v>9</v>
      </c>
      <c r="AH865" s="231" t="s">
        <v>239</v>
      </c>
      <c r="AI865" s="231">
        <v>9</v>
      </c>
      <c r="AJ865" s="231" t="s">
        <v>239</v>
      </c>
      <c r="AK865" s="231">
        <v>9</v>
      </c>
      <c r="AL865" s="232" t="s">
        <v>239</v>
      </c>
      <c r="AM865" s="232">
        <v>0</v>
      </c>
    </row>
    <row r="866" spans="1:39" ht="15.75" outlineLevel="1">
      <c r="A866" s="412"/>
      <c r="B866" s="10">
        <v>129428</v>
      </c>
      <c r="C866" s="218" t="s">
        <v>1489</v>
      </c>
      <c r="D866" s="218" t="s">
        <v>1490</v>
      </c>
      <c r="E866" s="23" t="s">
        <v>44</v>
      </c>
      <c r="F866" s="17" t="s">
        <v>45</v>
      </c>
      <c r="G866" s="11" t="s">
        <v>1432</v>
      </c>
      <c r="H866" s="12">
        <v>5</v>
      </c>
      <c r="I866" s="11" t="s">
        <v>1433</v>
      </c>
      <c r="J866" s="192" t="s">
        <v>1457</v>
      </c>
      <c r="K866" s="17" t="s">
        <v>233</v>
      </c>
      <c r="L866" s="17" t="s">
        <v>233</v>
      </c>
      <c r="M866" s="231">
        <v>0</v>
      </c>
      <c r="N866" s="232">
        <v>0</v>
      </c>
      <c r="O866" s="132">
        <v>0</v>
      </c>
      <c r="P866" s="231" t="s">
        <v>239</v>
      </c>
      <c r="Q866" s="232">
        <v>0</v>
      </c>
      <c r="R866" s="231" t="s">
        <v>239</v>
      </c>
      <c r="S866" s="232">
        <v>0</v>
      </c>
      <c r="T866" s="231" t="s">
        <v>239</v>
      </c>
      <c r="U866" s="232">
        <v>0</v>
      </c>
      <c r="V866" s="231" t="s">
        <v>239</v>
      </c>
      <c r="W866" s="232">
        <v>0</v>
      </c>
      <c r="X866" s="231" t="s">
        <v>239</v>
      </c>
      <c r="Y866" s="232">
        <v>0</v>
      </c>
      <c r="Z866" s="231" t="s">
        <v>239</v>
      </c>
      <c r="AA866" s="232">
        <v>0</v>
      </c>
      <c r="AB866" s="231" t="s">
        <v>239</v>
      </c>
      <c r="AC866" s="232">
        <v>0</v>
      </c>
      <c r="AD866" s="231" t="s">
        <v>239</v>
      </c>
      <c r="AE866" s="232">
        <v>0</v>
      </c>
      <c r="AF866" s="231" t="s">
        <v>239</v>
      </c>
      <c r="AG866" s="232">
        <v>0</v>
      </c>
      <c r="AH866" s="231" t="s">
        <v>239</v>
      </c>
      <c r="AI866" s="232">
        <v>0</v>
      </c>
      <c r="AJ866" s="231" t="s">
        <v>239</v>
      </c>
      <c r="AK866" s="232">
        <v>0</v>
      </c>
      <c r="AL866" s="232" t="s">
        <v>239</v>
      </c>
      <c r="AM866" s="232">
        <v>0</v>
      </c>
    </row>
    <row r="867" spans="1:39" ht="15.75" outlineLevel="1">
      <c r="A867" s="411">
        <v>429</v>
      </c>
      <c r="B867" s="10">
        <v>129429</v>
      </c>
      <c r="C867" s="218" t="s">
        <v>1489</v>
      </c>
      <c r="D867" s="218" t="s">
        <v>1490</v>
      </c>
      <c r="E867" s="23" t="s">
        <v>138</v>
      </c>
      <c r="F867" s="17" t="s">
        <v>45</v>
      </c>
      <c r="G867" s="11" t="s">
        <v>1432</v>
      </c>
      <c r="H867" s="12">
        <v>17</v>
      </c>
      <c r="I867" s="11" t="s">
        <v>1433</v>
      </c>
      <c r="J867" s="192" t="s">
        <v>617</v>
      </c>
      <c r="K867" s="17" t="s">
        <v>233</v>
      </c>
      <c r="L867" s="17" t="s">
        <v>233</v>
      </c>
      <c r="M867" s="231">
        <v>1.28</v>
      </c>
      <c r="N867" s="231">
        <v>1.28</v>
      </c>
      <c r="O867" s="231">
        <v>1.28</v>
      </c>
      <c r="P867" s="231" t="s">
        <v>239</v>
      </c>
      <c r="Q867" s="231">
        <v>1.28</v>
      </c>
      <c r="R867" s="231" t="s">
        <v>239</v>
      </c>
      <c r="S867" s="231">
        <v>1.28</v>
      </c>
      <c r="T867" s="231" t="s">
        <v>239</v>
      </c>
      <c r="U867" s="231">
        <v>1.28</v>
      </c>
      <c r="V867" s="231" t="s">
        <v>239</v>
      </c>
      <c r="W867" s="231">
        <v>1.28</v>
      </c>
      <c r="X867" s="231" t="s">
        <v>239</v>
      </c>
      <c r="Y867" s="231">
        <v>1.28</v>
      </c>
      <c r="Z867" s="231" t="s">
        <v>239</v>
      </c>
      <c r="AA867" s="231">
        <v>1.28</v>
      </c>
      <c r="AB867" s="231" t="s">
        <v>239</v>
      </c>
      <c r="AC867" s="231">
        <v>1.28</v>
      </c>
      <c r="AD867" s="231" t="s">
        <v>239</v>
      </c>
      <c r="AE867" s="231">
        <v>1.28</v>
      </c>
      <c r="AF867" s="231" t="s">
        <v>239</v>
      </c>
      <c r="AG867" s="231">
        <v>1.28</v>
      </c>
      <c r="AH867" s="231" t="s">
        <v>239</v>
      </c>
      <c r="AI867" s="231">
        <v>1.28</v>
      </c>
      <c r="AJ867" s="231" t="s">
        <v>239</v>
      </c>
      <c r="AK867" s="231">
        <v>1.28</v>
      </c>
      <c r="AL867" s="232" t="s">
        <v>239</v>
      </c>
      <c r="AM867" s="232">
        <v>0</v>
      </c>
    </row>
    <row r="868" spans="1:39" ht="15.75" outlineLevel="1">
      <c r="A868" s="412"/>
      <c r="B868" s="10">
        <v>129429</v>
      </c>
      <c r="C868" s="218" t="s">
        <v>1489</v>
      </c>
      <c r="D868" s="218" t="s">
        <v>1490</v>
      </c>
      <c r="E868" s="23" t="s">
        <v>44</v>
      </c>
      <c r="F868" s="17" t="s">
        <v>45</v>
      </c>
      <c r="G868" s="11" t="s">
        <v>1432</v>
      </c>
      <c r="H868" s="12">
        <v>19</v>
      </c>
      <c r="I868" s="11" t="s">
        <v>1433</v>
      </c>
      <c r="J868" s="374" t="s">
        <v>1457</v>
      </c>
      <c r="K868" s="17" t="s">
        <v>233</v>
      </c>
      <c r="L868" s="17" t="s">
        <v>233</v>
      </c>
      <c r="M868" s="231">
        <v>4175</v>
      </c>
      <c r="N868" s="232">
        <v>4124.3154999999997</v>
      </c>
      <c r="O868" s="132">
        <v>136</v>
      </c>
      <c r="P868" s="231" t="s">
        <v>239</v>
      </c>
      <c r="Q868" s="232">
        <v>136</v>
      </c>
      <c r="R868" s="231" t="s">
        <v>239</v>
      </c>
      <c r="S868" s="232">
        <v>167</v>
      </c>
      <c r="T868" s="231" t="s">
        <v>239</v>
      </c>
      <c r="U868" s="232">
        <v>116</v>
      </c>
      <c r="V868" s="230" t="s">
        <v>239</v>
      </c>
      <c r="W868" s="232">
        <v>123</v>
      </c>
      <c r="X868" s="231" t="s">
        <v>239</v>
      </c>
      <c r="Y868" s="232">
        <v>155</v>
      </c>
      <c r="Z868" s="231" t="s">
        <v>239</v>
      </c>
      <c r="AA868" s="232">
        <v>0</v>
      </c>
      <c r="AB868" s="231" t="s">
        <v>239</v>
      </c>
      <c r="AC868" s="232">
        <v>1019</v>
      </c>
      <c r="AD868" s="231" t="s">
        <v>239</v>
      </c>
      <c r="AE868" s="232">
        <v>286</v>
      </c>
      <c r="AF868" s="231" t="s">
        <v>239</v>
      </c>
      <c r="AG868" s="232">
        <v>337</v>
      </c>
      <c r="AH868" s="231" t="s">
        <v>239</v>
      </c>
      <c r="AI868" s="232">
        <v>438</v>
      </c>
      <c r="AJ868" s="231" t="s">
        <v>239</v>
      </c>
      <c r="AK868" s="232">
        <v>340</v>
      </c>
      <c r="AL868" s="232" t="s">
        <v>239</v>
      </c>
      <c r="AM868" s="232">
        <v>3253</v>
      </c>
    </row>
    <row r="869" spans="1:39" ht="15.75" outlineLevel="1">
      <c r="A869" s="411">
        <v>430</v>
      </c>
      <c r="B869" s="10">
        <v>129430</v>
      </c>
      <c r="C869" s="218" t="s">
        <v>1489</v>
      </c>
      <c r="D869" s="218" t="s">
        <v>1490</v>
      </c>
      <c r="E869" s="23" t="s">
        <v>138</v>
      </c>
      <c r="F869" s="17" t="s">
        <v>45</v>
      </c>
      <c r="G869" s="11" t="s">
        <v>1432</v>
      </c>
      <c r="H869" s="12">
        <v>18</v>
      </c>
      <c r="I869" s="11" t="s">
        <v>1433</v>
      </c>
      <c r="J869" s="375"/>
      <c r="K869" s="17" t="s">
        <v>233</v>
      </c>
      <c r="L869" s="17" t="s">
        <v>233</v>
      </c>
      <c r="M869" s="231">
        <v>13.5</v>
      </c>
      <c r="N869" s="231">
        <v>13.5</v>
      </c>
      <c r="O869" s="231">
        <v>13.5</v>
      </c>
      <c r="P869" s="231" t="s">
        <v>239</v>
      </c>
      <c r="Q869" s="231">
        <v>13.5</v>
      </c>
      <c r="R869" s="231" t="s">
        <v>239</v>
      </c>
      <c r="S869" s="231">
        <v>13.5</v>
      </c>
      <c r="T869" s="231" t="s">
        <v>239</v>
      </c>
      <c r="U869" s="231">
        <v>13.5</v>
      </c>
      <c r="V869" s="231" t="s">
        <v>239</v>
      </c>
      <c r="W869" s="231">
        <v>13.5</v>
      </c>
      <c r="X869" s="231" t="s">
        <v>239</v>
      </c>
      <c r="Y869" s="231">
        <v>13.5</v>
      </c>
      <c r="Z869" s="231" t="s">
        <v>239</v>
      </c>
      <c r="AA869" s="231">
        <v>13.5</v>
      </c>
      <c r="AB869" s="231" t="s">
        <v>239</v>
      </c>
      <c r="AC869" s="231">
        <v>13.5</v>
      </c>
      <c r="AD869" s="231" t="s">
        <v>239</v>
      </c>
      <c r="AE869" s="231">
        <v>13.5</v>
      </c>
      <c r="AF869" s="231" t="s">
        <v>239</v>
      </c>
      <c r="AG869" s="231">
        <v>13.5</v>
      </c>
      <c r="AH869" s="231" t="s">
        <v>239</v>
      </c>
      <c r="AI869" s="231">
        <v>13.5</v>
      </c>
      <c r="AJ869" s="231" t="s">
        <v>239</v>
      </c>
      <c r="AK869" s="231">
        <v>13.5</v>
      </c>
      <c r="AL869" s="232" t="s">
        <v>239</v>
      </c>
      <c r="AM869" s="232">
        <v>0</v>
      </c>
    </row>
    <row r="870" spans="1:39" ht="15.75" outlineLevel="1">
      <c r="A870" s="412"/>
      <c r="B870" s="10">
        <v>129430</v>
      </c>
      <c r="C870" s="218" t="s">
        <v>1489</v>
      </c>
      <c r="D870" s="218" t="s">
        <v>1490</v>
      </c>
      <c r="E870" s="23" t="s">
        <v>44</v>
      </c>
      <c r="F870" s="17" t="s">
        <v>45</v>
      </c>
      <c r="G870" s="11" t="s">
        <v>1432</v>
      </c>
      <c r="H870" s="12">
        <v>13</v>
      </c>
      <c r="I870" s="11" t="s">
        <v>1433</v>
      </c>
      <c r="J870" s="193" t="s">
        <v>1460</v>
      </c>
      <c r="K870" s="17" t="s">
        <v>233</v>
      </c>
      <c r="L870" s="17" t="s">
        <v>233</v>
      </c>
      <c r="M870" s="231">
        <v>16583</v>
      </c>
      <c r="N870" s="232">
        <v>16381.68238</v>
      </c>
      <c r="O870" s="132">
        <v>2135</v>
      </c>
      <c r="P870" s="231" t="s">
        <v>239</v>
      </c>
      <c r="Q870" s="232">
        <v>2135</v>
      </c>
      <c r="R870" s="231" t="s">
        <v>239</v>
      </c>
      <c r="S870" s="232">
        <v>1926</v>
      </c>
      <c r="T870" s="231" t="s">
        <v>239</v>
      </c>
      <c r="U870" s="232">
        <v>1699</v>
      </c>
      <c r="V870" s="231" t="s">
        <v>239</v>
      </c>
      <c r="W870" s="232">
        <v>1442</v>
      </c>
      <c r="X870" s="231" t="s">
        <v>239</v>
      </c>
      <c r="Y870" s="232">
        <v>1255</v>
      </c>
      <c r="Z870" s="231" t="s">
        <v>239</v>
      </c>
      <c r="AA870" s="232">
        <v>1040</v>
      </c>
      <c r="AB870" s="231" t="s">
        <v>239</v>
      </c>
      <c r="AC870" s="232">
        <v>1307</v>
      </c>
      <c r="AD870" s="231" t="s">
        <v>239</v>
      </c>
      <c r="AE870" s="232">
        <v>1025</v>
      </c>
      <c r="AF870" s="231" t="s">
        <v>239</v>
      </c>
      <c r="AG870" s="232">
        <v>1056</v>
      </c>
      <c r="AH870" s="231" t="s">
        <v>239</v>
      </c>
      <c r="AI870" s="232">
        <v>1234</v>
      </c>
      <c r="AJ870" s="231" t="s">
        <v>239</v>
      </c>
      <c r="AK870" s="232">
        <v>1653</v>
      </c>
      <c r="AL870" s="232" t="s">
        <v>239</v>
      </c>
      <c r="AM870" s="232">
        <v>17907</v>
      </c>
    </row>
    <row r="871" spans="1:39" ht="15.75" outlineLevel="1">
      <c r="A871" s="411">
        <v>431</v>
      </c>
      <c r="B871" s="10">
        <v>129431</v>
      </c>
      <c r="C871" s="218" t="s">
        <v>1489</v>
      </c>
      <c r="D871" s="218" t="s">
        <v>1490</v>
      </c>
      <c r="E871" s="23" t="s">
        <v>138</v>
      </c>
      <c r="F871" s="17" t="s">
        <v>45</v>
      </c>
      <c r="G871" s="11" t="s">
        <v>1432</v>
      </c>
      <c r="H871" s="12">
        <v>44</v>
      </c>
      <c r="I871" s="11" t="s">
        <v>1433</v>
      </c>
      <c r="J871" s="193" t="s">
        <v>1442</v>
      </c>
      <c r="K871" s="17" t="s">
        <v>233</v>
      </c>
      <c r="L871" s="17" t="s">
        <v>233</v>
      </c>
      <c r="M871" s="231">
        <v>2.2000000000000002</v>
      </c>
      <c r="N871" s="231">
        <v>2.2000000000000002</v>
      </c>
      <c r="O871" s="231">
        <v>2.2000000000000002</v>
      </c>
      <c r="P871" s="231" t="s">
        <v>239</v>
      </c>
      <c r="Q871" s="231">
        <v>2.2000000000000002</v>
      </c>
      <c r="R871" s="231" t="s">
        <v>239</v>
      </c>
      <c r="S871" s="231">
        <v>2.2000000000000002</v>
      </c>
      <c r="T871" s="231" t="s">
        <v>239</v>
      </c>
      <c r="U871" s="231">
        <v>2.2000000000000002</v>
      </c>
      <c r="V871" s="230" t="s">
        <v>239</v>
      </c>
      <c r="W871" s="231">
        <v>2.2000000000000002</v>
      </c>
      <c r="X871" s="231" t="s">
        <v>239</v>
      </c>
      <c r="Y871" s="231">
        <v>2.2000000000000002</v>
      </c>
      <c r="Z871" s="231" t="s">
        <v>239</v>
      </c>
      <c r="AA871" s="231">
        <v>2.2000000000000002</v>
      </c>
      <c r="AB871" s="231" t="s">
        <v>239</v>
      </c>
      <c r="AC871" s="231">
        <v>2.2000000000000002</v>
      </c>
      <c r="AD871" s="231" t="s">
        <v>239</v>
      </c>
      <c r="AE871" s="231">
        <v>2.2000000000000002</v>
      </c>
      <c r="AF871" s="231" t="s">
        <v>239</v>
      </c>
      <c r="AG871" s="231">
        <v>2.2000000000000002</v>
      </c>
      <c r="AH871" s="231" t="s">
        <v>239</v>
      </c>
      <c r="AI871" s="231">
        <v>2.2000000000000002</v>
      </c>
      <c r="AJ871" s="231" t="s">
        <v>239</v>
      </c>
      <c r="AK871" s="231">
        <v>2.2000000000000002</v>
      </c>
      <c r="AL871" s="232" t="s">
        <v>239</v>
      </c>
      <c r="AM871" s="232">
        <v>0</v>
      </c>
    </row>
    <row r="872" spans="1:39" ht="15.75" outlineLevel="1">
      <c r="A872" s="412"/>
      <c r="B872" s="10">
        <v>129431</v>
      </c>
      <c r="C872" s="218" t="s">
        <v>1489</v>
      </c>
      <c r="D872" s="218" t="s">
        <v>1490</v>
      </c>
      <c r="E872" s="23" t="s">
        <v>44</v>
      </c>
      <c r="F872" s="17" t="s">
        <v>45</v>
      </c>
      <c r="G872" s="11" t="s">
        <v>1432</v>
      </c>
      <c r="H872" s="12">
        <v>21</v>
      </c>
      <c r="I872" s="11" t="s">
        <v>1433</v>
      </c>
      <c r="J872" s="193" t="s">
        <v>1460</v>
      </c>
      <c r="K872" s="17" t="s">
        <v>233</v>
      </c>
      <c r="L872" s="17" t="s">
        <v>233</v>
      </c>
      <c r="M872" s="231">
        <v>9423</v>
      </c>
      <c r="N872" s="232">
        <v>9308.6047799999997</v>
      </c>
      <c r="O872" s="132">
        <v>1074</v>
      </c>
      <c r="P872" s="231" t="s">
        <v>239</v>
      </c>
      <c r="Q872" s="232">
        <v>1074</v>
      </c>
      <c r="R872" s="231" t="s">
        <v>239</v>
      </c>
      <c r="S872" s="232">
        <v>1078</v>
      </c>
      <c r="T872" s="231" t="s">
        <v>239</v>
      </c>
      <c r="U872" s="232">
        <v>1008</v>
      </c>
      <c r="V872" s="231" t="s">
        <v>239</v>
      </c>
      <c r="W872" s="232">
        <v>924</v>
      </c>
      <c r="X872" s="231" t="s">
        <v>239</v>
      </c>
      <c r="Y872" s="232">
        <v>851</v>
      </c>
      <c r="Z872" s="231" t="s">
        <v>239</v>
      </c>
      <c r="AA872" s="232">
        <v>906</v>
      </c>
      <c r="AB872" s="231" t="s">
        <v>239</v>
      </c>
      <c r="AC872" s="232">
        <v>1009</v>
      </c>
      <c r="AD872" s="231" t="s">
        <v>239</v>
      </c>
      <c r="AE872" s="232">
        <v>1361</v>
      </c>
      <c r="AF872" s="231" t="s">
        <v>239</v>
      </c>
      <c r="AG872" s="232">
        <v>1125</v>
      </c>
      <c r="AH872" s="231" t="s">
        <v>239</v>
      </c>
      <c r="AI872" s="232">
        <v>1145</v>
      </c>
      <c r="AJ872" s="231" t="s">
        <v>239</v>
      </c>
      <c r="AK872" s="232">
        <v>1068</v>
      </c>
      <c r="AL872" s="232" t="s">
        <v>239</v>
      </c>
      <c r="AM872" s="232">
        <v>12623</v>
      </c>
    </row>
    <row r="873" spans="1:39" ht="15.75" outlineLevel="1">
      <c r="A873" s="411">
        <v>432</v>
      </c>
      <c r="B873" s="10">
        <v>129432</v>
      </c>
      <c r="C873" s="218" t="s">
        <v>1489</v>
      </c>
      <c r="D873" s="218" t="s">
        <v>1490</v>
      </c>
      <c r="E873" s="23" t="s">
        <v>138</v>
      </c>
      <c r="F873" s="17" t="s">
        <v>45</v>
      </c>
      <c r="G873" s="11" t="s">
        <v>1432</v>
      </c>
      <c r="H873" s="12">
        <v>19</v>
      </c>
      <c r="I873" s="11" t="s">
        <v>1433</v>
      </c>
      <c r="J873" s="193" t="s">
        <v>1457</v>
      </c>
      <c r="K873" s="17" t="s">
        <v>233</v>
      </c>
      <c r="L873" s="17" t="s">
        <v>233</v>
      </c>
      <c r="M873" s="231">
        <v>1</v>
      </c>
      <c r="N873" s="231">
        <v>1</v>
      </c>
      <c r="O873" s="231">
        <v>1</v>
      </c>
      <c r="P873" s="231" t="s">
        <v>239</v>
      </c>
      <c r="Q873" s="231">
        <v>1</v>
      </c>
      <c r="R873" s="231" t="s">
        <v>239</v>
      </c>
      <c r="S873" s="231">
        <v>1</v>
      </c>
      <c r="T873" s="231" t="s">
        <v>239</v>
      </c>
      <c r="U873" s="231">
        <v>1</v>
      </c>
      <c r="V873" s="231" t="s">
        <v>239</v>
      </c>
      <c r="W873" s="231">
        <v>1</v>
      </c>
      <c r="X873" s="231" t="s">
        <v>239</v>
      </c>
      <c r="Y873" s="231">
        <v>1</v>
      </c>
      <c r="Z873" s="231" t="s">
        <v>239</v>
      </c>
      <c r="AA873" s="231">
        <v>1</v>
      </c>
      <c r="AB873" s="231" t="s">
        <v>239</v>
      </c>
      <c r="AC873" s="231">
        <v>1</v>
      </c>
      <c r="AD873" s="231" t="s">
        <v>239</v>
      </c>
      <c r="AE873" s="231">
        <v>1</v>
      </c>
      <c r="AF873" s="231" t="s">
        <v>239</v>
      </c>
      <c r="AG873" s="231">
        <v>1</v>
      </c>
      <c r="AH873" s="231" t="s">
        <v>239</v>
      </c>
      <c r="AI873" s="231">
        <v>1</v>
      </c>
      <c r="AJ873" s="231" t="s">
        <v>239</v>
      </c>
      <c r="AK873" s="231">
        <v>1</v>
      </c>
      <c r="AL873" s="232" t="s">
        <v>239</v>
      </c>
      <c r="AM873" s="232">
        <v>0</v>
      </c>
    </row>
    <row r="874" spans="1:39" ht="15.75" outlineLevel="1">
      <c r="A874" s="412"/>
      <c r="B874" s="10">
        <v>129432</v>
      </c>
      <c r="C874" s="218" t="s">
        <v>1489</v>
      </c>
      <c r="D874" s="218" t="s">
        <v>1490</v>
      </c>
      <c r="E874" s="23" t="s">
        <v>44</v>
      </c>
      <c r="F874" s="17" t="s">
        <v>45</v>
      </c>
      <c r="G874" s="11" t="s">
        <v>1432</v>
      </c>
      <c r="H874" s="12">
        <v>30</v>
      </c>
      <c r="I874" s="11" t="s">
        <v>1433</v>
      </c>
      <c r="J874" s="193" t="s">
        <v>617</v>
      </c>
      <c r="K874" s="17" t="s">
        <v>233</v>
      </c>
      <c r="L874" s="17" t="s">
        <v>233</v>
      </c>
      <c r="M874" s="231">
        <v>15467</v>
      </c>
      <c r="N874" s="232">
        <v>15279.23062</v>
      </c>
      <c r="O874" s="132">
        <v>1637</v>
      </c>
      <c r="P874" s="231" t="s">
        <v>239</v>
      </c>
      <c r="Q874" s="232">
        <v>1637</v>
      </c>
      <c r="R874" s="231" t="s">
        <v>239</v>
      </c>
      <c r="S874" s="232">
        <v>1643</v>
      </c>
      <c r="T874" s="231" t="s">
        <v>239</v>
      </c>
      <c r="U874" s="232">
        <v>1666</v>
      </c>
      <c r="V874" s="230" t="s">
        <v>239</v>
      </c>
      <c r="W874" s="232">
        <v>1454</v>
      </c>
      <c r="X874" s="231" t="s">
        <v>239</v>
      </c>
      <c r="Y874" s="232">
        <v>1253</v>
      </c>
      <c r="Z874" s="231" t="s">
        <v>239</v>
      </c>
      <c r="AA874" s="232">
        <v>1074</v>
      </c>
      <c r="AB874" s="231" t="s">
        <v>239</v>
      </c>
      <c r="AC874" s="232">
        <v>1003</v>
      </c>
      <c r="AD874" s="231" t="s">
        <v>239</v>
      </c>
      <c r="AE874" s="232">
        <v>1231</v>
      </c>
      <c r="AF874" s="231" t="s">
        <v>239</v>
      </c>
      <c r="AG874" s="232">
        <v>1308</v>
      </c>
      <c r="AH874" s="231" t="s">
        <v>239</v>
      </c>
      <c r="AI874" s="232">
        <v>1660</v>
      </c>
      <c r="AJ874" s="231" t="s">
        <v>239</v>
      </c>
      <c r="AK874" s="232">
        <v>1404</v>
      </c>
      <c r="AL874" s="232" t="s">
        <v>239</v>
      </c>
      <c r="AM874" s="232">
        <v>16970</v>
      </c>
    </row>
    <row r="875" spans="1:39" ht="15.75" outlineLevel="1">
      <c r="A875" s="411">
        <v>433</v>
      </c>
      <c r="B875" s="10">
        <v>129433</v>
      </c>
      <c r="C875" s="218" t="s">
        <v>1489</v>
      </c>
      <c r="D875" s="218" t="s">
        <v>1490</v>
      </c>
      <c r="E875" s="23" t="s">
        <v>44</v>
      </c>
      <c r="F875" s="17" t="s">
        <v>45</v>
      </c>
      <c r="G875" s="11" t="s">
        <v>1432</v>
      </c>
      <c r="H875" s="12">
        <v>33</v>
      </c>
      <c r="I875" s="11" t="s">
        <v>1433</v>
      </c>
      <c r="J875" s="193" t="s">
        <v>216</v>
      </c>
      <c r="K875" s="17" t="s">
        <v>233</v>
      </c>
      <c r="L875" s="17" t="s">
        <v>233</v>
      </c>
      <c r="M875" s="231">
        <v>1</v>
      </c>
      <c r="N875" s="231">
        <v>1</v>
      </c>
      <c r="O875" s="231">
        <v>1</v>
      </c>
      <c r="P875" s="231" t="s">
        <v>239</v>
      </c>
      <c r="Q875" s="231">
        <v>1</v>
      </c>
      <c r="R875" s="231" t="s">
        <v>239</v>
      </c>
      <c r="S875" s="231">
        <v>1</v>
      </c>
      <c r="T875" s="231" t="s">
        <v>239</v>
      </c>
      <c r="U875" s="231">
        <v>1</v>
      </c>
      <c r="V875" s="231" t="s">
        <v>239</v>
      </c>
      <c r="W875" s="231">
        <v>1</v>
      </c>
      <c r="X875" s="231" t="s">
        <v>239</v>
      </c>
      <c r="Y875" s="231">
        <v>1</v>
      </c>
      <c r="Z875" s="231" t="s">
        <v>239</v>
      </c>
      <c r="AA875" s="231">
        <v>1</v>
      </c>
      <c r="AB875" s="231" t="s">
        <v>239</v>
      </c>
      <c r="AC875" s="231">
        <v>1</v>
      </c>
      <c r="AD875" s="231" t="s">
        <v>239</v>
      </c>
      <c r="AE875" s="231">
        <v>1</v>
      </c>
      <c r="AF875" s="231" t="s">
        <v>239</v>
      </c>
      <c r="AG875" s="231">
        <v>1</v>
      </c>
      <c r="AH875" s="231" t="s">
        <v>239</v>
      </c>
      <c r="AI875" s="231">
        <v>1</v>
      </c>
      <c r="AJ875" s="231" t="s">
        <v>239</v>
      </c>
      <c r="AK875" s="231">
        <v>1</v>
      </c>
      <c r="AL875" s="232" t="s">
        <v>239</v>
      </c>
      <c r="AM875" s="232">
        <v>0</v>
      </c>
    </row>
    <row r="876" spans="1:39" ht="15.75" outlineLevel="1">
      <c r="A876" s="412"/>
      <c r="B876" s="10">
        <v>129433</v>
      </c>
      <c r="C876" s="218" t="s">
        <v>1489</v>
      </c>
      <c r="D876" s="218" t="s">
        <v>1490</v>
      </c>
      <c r="E876" s="23" t="s">
        <v>138</v>
      </c>
      <c r="F876" s="17" t="s">
        <v>45</v>
      </c>
      <c r="G876" s="11" t="s">
        <v>1432</v>
      </c>
      <c r="H876" s="12">
        <v>19</v>
      </c>
      <c r="I876" s="11" t="s">
        <v>1433</v>
      </c>
      <c r="J876" s="193" t="s">
        <v>1451</v>
      </c>
      <c r="K876" s="17" t="s">
        <v>233</v>
      </c>
      <c r="L876" s="17" t="s">
        <v>233</v>
      </c>
      <c r="M876" s="231">
        <v>0</v>
      </c>
      <c r="N876" s="232">
        <v>0</v>
      </c>
      <c r="O876" s="132">
        <v>0</v>
      </c>
      <c r="P876" s="231" t="s">
        <v>239</v>
      </c>
      <c r="Q876" s="232">
        <v>0</v>
      </c>
      <c r="R876" s="231" t="s">
        <v>239</v>
      </c>
      <c r="S876" s="232">
        <v>0</v>
      </c>
      <c r="T876" s="231" t="s">
        <v>239</v>
      </c>
      <c r="U876" s="232">
        <v>0</v>
      </c>
      <c r="V876" s="231" t="s">
        <v>239</v>
      </c>
      <c r="W876" s="232">
        <v>0</v>
      </c>
      <c r="X876" s="231" t="s">
        <v>239</v>
      </c>
      <c r="Y876" s="232">
        <v>0</v>
      </c>
      <c r="Z876" s="231" t="s">
        <v>239</v>
      </c>
      <c r="AA876" s="232">
        <v>0</v>
      </c>
      <c r="AB876" s="231" t="s">
        <v>239</v>
      </c>
      <c r="AC876" s="232">
        <v>0</v>
      </c>
      <c r="AD876" s="231" t="s">
        <v>239</v>
      </c>
      <c r="AE876" s="232">
        <v>0</v>
      </c>
      <c r="AF876" s="231" t="s">
        <v>239</v>
      </c>
      <c r="AG876" s="232">
        <v>0</v>
      </c>
      <c r="AH876" s="231" t="s">
        <v>239</v>
      </c>
      <c r="AI876" s="232">
        <v>0</v>
      </c>
      <c r="AJ876" s="231" t="s">
        <v>239</v>
      </c>
      <c r="AK876" s="232">
        <v>0</v>
      </c>
      <c r="AL876" s="232" t="s">
        <v>239</v>
      </c>
      <c r="AM876" s="232">
        <v>0</v>
      </c>
    </row>
    <row r="877" spans="1:39" ht="15.75" outlineLevel="1">
      <c r="A877" s="411">
        <v>434</v>
      </c>
      <c r="B877" s="10">
        <v>129434</v>
      </c>
      <c r="C877" s="218" t="s">
        <v>1489</v>
      </c>
      <c r="D877" s="218" t="s">
        <v>1490</v>
      </c>
      <c r="E877" s="23" t="s">
        <v>44</v>
      </c>
      <c r="F877" s="17" t="s">
        <v>45</v>
      </c>
      <c r="G877" s="11" t="s">
        <v>1432</v>
      </c>
      <c r="H877" s="12">
        <v>6</v>
      </c>
      <c r="I877" s="11" t="s">
        <v>1433</v>
      </c>
      <c r="J877" s="193" t="s">
        <v>208</v>
      </c>
      <c r="K877" s="17" t="s">
        <v>233</v>
      </c>
      <c r="L877" s="17" t="s">
        <v>233</v>
      </c>
      <c r="M877" s="231">
        <v>9</v>
      </c>
      <c r="N877" s="231">
        <v>9</v>
      </c>
      <c r="O877" s="231">
        <v>9</v>
      </c>
      <c r="P877" s="231" t="s">
        <v>239</v>
      </c>
      <c r="Q877" s="231">
        <v>9</v>
      </c>
      <c r="R877" s="231" t="s">
        <v>239</v>
      </c>
      <c r="S877" s="231">
        <v>9</v>
      </c>
      <c r="T877" s="231" t="s">
        <v>239</v>
      </c>
      <c r="U877" s="231">
        <v>9</v>
      </c>
      <c r="V877" s="230" t="s">
        <v>239</v>
      </c>
      <c r="W877" s="231">
        <v>9</v>
      </c>
      <c r="X877" s="231" t="s">
        <v>239</v>
      </c>
      <c r="Y877" s="231">
        <v>9</v>
      </c>
      <c r="Z877" s="231" t="s">
        <v>239</v>
      </c>
      <c r="AA877" s="231">
        <v>9</v>
      </c>
      <c r="AB877" s="231" t="s">
        <v>239</v>
      </c>
      <c r="AC877" s="231">
        <v>9</v>
      </c>
      <c r="AD877" s="231" t="s">
        <v>239</v>
      </c>
      <c r="AE877" s="231">
        <v>9</v>
      </c>
      <c r="AF877" s="231" t="s">
        <v>239</v>
      </c>
      <c r="AG877" s="231">
        <v>9</v>
      </c>
      <c r="AH877" s="231" t="s">
        <v>239</v>
      </c>
      <c r="AI877" s="231">
        <v>9</v>
      </c>
      <c r="AJ877" s="231" t="s">
        <v>239</v>
      </c>
      <c r="AK877" s="231">
        <v>9</v>
      </c>
      <c r="AL877" s="232" t="s">
        <v>239</v>
      </c>
      <c r="AM877" s="232">
        <v>0</v>
      </c>
    </row>
    <row r="878" spans="1:39" ht="15.75" outlineLevel="1">
      <c r="A878" s="412"/>
      <c r="B878" s="10">
        <v>129434</v>
      </c>
      <c r="C878" s="218" t="s">
        <v>1489</v>
      </c>
      <c r="D878" s="218" t="s">
        <v>1490</v>
      </c>
      <c r="E878" s="23" t="s">
        <v>138</v>
      </c>
      <c r="F878" s="17" t="s">
        <v>45</v>
      </c>
      <c r="G878" s="11" t="s">
        <v>1432</v>
      </c>
      <c r="H878" s="12">
        <v>15</v>
      </c>
      <c r="I878" s="11" t="s">
        <v>1433</v>
      </c>
      <c r="J878" s="193" t="s">
        <v>1452</v>
      </c>
      <c r="K878" s="17" t="s">
        <v>233</v>
      </c>
      <c r="L878" s="17" t="s">
        <v>233</v>
      </c>
      <c r="M878" s="231">
        <v>8944</v>
      </c>
      <c r="N878" s="232">
        <v>8835.4198400000005</v>
      </c>
      <c r="O878" s="132">
        <v>471</v>
      </c>
      <c r="P878" s="231" t="s">
        <v>239</v>
      </c>
      <c r="Q878" s="232">
        <v>471</v>
      </c>
      <c r="R878" s="231" t="s">
        <v>239</v>
      </c>
      <c r="S878" s="232">
        <v>425</v>
      </c>
      <c r="T878" s="231" t="s">
        <v>239</v>
      </c>
      <c r="U878" s="232">
        <v>400</v>
      </c>
      <c r="V878" s="231" t="s">
        <v>239</v>
      </c>
      <c r="W878" s="232">
        <v>428</v>
      </c>
      <c r="X878" s="231" t="s">
        <v>239</v>
      </c>
      <c r="Y878" s="232">
        <v>305</v>
      </c>
      <c r="Z878" s="231" t="s">
        <v>239</v>
      </c>
      <c r="AA878" s="232">
        <v>307</v>
      </c>
      <c r="AB878" s="231" t="s">
        <v>239</v>
      </c>
      <c r="AC878" s="232">
        <v>355</v>
      </c>
      <c r="AD878" s="231" t="s">
        <v>239</v>
      </c>
      <c r="AE878" s="232">
        <v>348</v>
      </c>
      <c r="AF878" s="231" t="s">
        <v>239</v>
      </c>
      <c r="AG878" s="232">
        <v>302</v>
      </c>
      <c r="AH878" s="231" t="s">
        <v>239</v>
      </c>
      <c r="AI878" s="232">
        <v>603</v>
      </c>
      <c r="AJ878" s="231" t="s">
        <v>239</v>
      </c>
      <c r="AK878" s="232">
        <v>813</v>
      </c>
      <c r="AL878" s="232" t="s">
        <v>239</v>
      </c>
      <c r="AM878" s="232">
        <v>5228</v>
      </c>
    </row>
    <row r="879" spans="1:39" ht="15.75" outlineLevel="1">
      <c r="A879" s="411">
        <v>435</v>
      </c>
      <c r="B879" s="10">
        <v>129435</v>
      </c>
      <c r="C879" s="218" t="s">
        <v>1489</v>
      </c>
      <c r="D879" s="218" t="s">
        <v>1490</v>
      </c>
      <c r="E879" s="23" t="s">
        <v>44</v>
      </c>
      <c r="F879" s="17" t="s">
        <v>45</v>
      </c>
      <c r="G879" s="11" t="s">
        <v>1432</v>
      </c>
      <c r="H879" s="12">
        <v>19</v>
      </c>
      <c r="I879" s="11" t="s">
        <v>1433</v>
      </c>
      <c r="J879" s="193" t="s">
        <v>216</v>
      </c>
      <c r="K879" s="17" t="s">
        <v>233</v>
      </c>
      <c r="L879" s="17" t="s">
        <v>233</v>
      </c>
      <c r="M879" s="231">
        <v>28.5</v>
      </c>
      <c r="N879" s="232">
        <v>0</v>
      </c>
      <c r="O879" s="132">
        <v>0</v>
      </c>
      <c r="P879" s="231" t="s">
        <v>239</v>
      </c>
      <c r="Q879" s="232">
        <v>0</v>
      </c>
      <c r="R879" s="231" t="s">
        <v>239</v>
      </c>
      <c r="S879" s="232">
        <v>0</v>
      </c>
      <c r="T879" s="231" t="s">
        <v>239</v>
      </c>
      <c r="U879" s="232">
        <v>0</v>
      </c>
      <c r="V879" s="231" t="s">
        <v>239</v>
      </c>
      <c r="W879" s="232">
        <v>0</v>
      </c>
      <c r="X879" s="231" t="s">
        <v>239</v>
      </c>
      <c r="Y879" s="232">
        <v>0</v>
      </c>
      <c r="Z879" s="231" t="s">
        <v>239</v>
      </c>
      <c r="AA879" s="232">
        <v>0</v>
      </c>
      <c r="AB879" s="231" t="s">
        <v>239</v>
      </c>
      <c r="AC879" s="232">
        <v>0</v>
      </c>
      <c r="AD879" s="231" t="s">
        <v>239</v>
      </c>
      <c r="AE879" s="232">
        <v>0</v>
      </c>
      <c r="AF879" s="231" t="s">
        <v>239</v>
      </c>
      <c r="AG879" s="232">
        <v>0</v>
      </c>
      <c r="AH879" s="231" t="s">
        <v>239</v>
      </c>
      <c r="AI879" s="232">
        <v>0</v>
      </c>
      <c r="AJ879" s="231" t="s">
        <v>239</v>
      </c>
      <c r="AK879" s="232">
        <v>0</v>
      </c>
      <c r="AL879" s="232" t="s">
        <v>239</v>
      </c>
      <c r="AM879" s="232">
        <v>0</v>
      </c>
    </row>
    <row r="880" spans="1:39" ht="15.75" outlineLevel="1">
      <c r="A880" s="412"/>
      <c r="B880" s="10">
        <v>129435</v>
      </c>
      <c r="C880" s="218" t="s">
        <v>1489</v>
      </c>
      <c r="D880" s="218" t="s">
        <v>1490</v>
      </c>
      <c r="E880" s="23" t="s">
        <v>44</v>
      </c>
      <c r="F880" s="17" t="s">
        <v>45</v>
      </c>
      <c r="G880" s="11" t="s">
        <v>1432</v>
      </c>
      <c r="H880" s="12">
        <v>22</v>
      </c>
      <c r="I880" s="11" t="s">
        <v>1433</v>
      </c>
      <c r="J880" s="193" t="s">
        <v>1453</v>
      </c>
      <c r="K880" s="17" t="s">
        <v>233</v>
      </c>
      <c r="L880" s="17" t="s">
        <v>233</v>
      </c>
      <c r="M880" s="231">
        <v>13446</v>
      </c>
      <c r="N880" s="232">
        <v>13282.76556</v>
      </c>
      <c r="O880" s="132">
        <v>1913</v>
      </c>
      <c r="P880" s="231" t="s">
        <v>239</v>
      </c>
      <c r="Q880" s="232">
        <v>1913</v>
      </c>
      <c r="R880" s="231" t="s">
        <v>239</v>
      </c>
      <c r="S880" s="232">
        <v>1713</v>
      </c>
      <c r="T880" s="231" t="s">
        <v>239</v>
      </c>
      <c r="U880" s="232">
        <v>1743</v>
      </c>
      <c r="V880" s="230" t="s">
        <v>239</v>
      </c>
      <c r="W880" s="232">
        <v>1649</v>
      </c>
      <c r="X880" s="231" t="s">
        <v>239</v>
      </c>
      <c r="Y880" s="232">
        <v>1649</v>
      </c>
      <c r="Z880" s="231" t="s">
        <v>239</v>
      </c>
      <c r="AA880" s="232">
        <v>1577</v>
      </c>
      <c r="AB880" s="231" t="s">
        <v>239</v>
      </c>
      <c r="AC880" s="232">
        <v>1450</v>
      </c>
      <c r="AD880" s="231" t="s">
        <v>239</v>
      </c>
      <c r="AE880" s="232">
        <v>1659</v>
      </c>
      <c r="AF880" s="231" t="s">
        <v>239</v>
      </c>
      <c r="AG880" s="232">
        <v>1405</v>
      </c>
      <c r="AH880" s="231" t="s">
        <v>239</v>
      </c>
      <c r="AI880" s="232">
        <v>908</v>
      </c>
      <c r="AJ880" s="231" t="s">
        <v>239</v>
      </c>
      <c r="AK880" s="232">
        <v>1254</v>
      </c>
      <c r="AL880" s="232" t="s">
        <v>239</v>
      </c>
      <c r="AM880" s="232">
        <v>18833</v>
      </c>
    </row>
    <row r="881" spans="1:39" ht="15.75" outlineLevel="1">
      <c r="A881" s="411">
        <v>436</v>
      </c>
      <c r="B881" s="10">
        <v>129436</v>
      </c>
      <c r="C881" s="218" t="s">
        <v>1489</v>
      </c>
      <c r="D881" s="218" t="s">
        <v>1490</v>
      </c>
      <c r="E881" s="23" t="s">
        <v>138</v>
      </c>
      <c r="F881" s="17" t="s">
        <v>45</v>
      </c>
      <c r="G881" s="11" t="s">
        <v>1432</v>
      </c>
      <c r="H881" s="12">
        <v>15</v>
      </c>
      <c r="I881" s="11" t="s">
        <v>1433</v>
      </c>
      <c r="J881" s="193" t="s">
        <v>1454</v>
      </c>
      <c r="K881" s="17" t="s">
        <v>233</v>
      </c>
      <c r="L881" s="17" t="s">
        <v>233</v>
      </c>
      <c r="M881" s="231">
        <v>6</v>
      </c>
      <c r="N881" s="231">
        <v>6</v>
      </c>
      <c r="O881" s="231">
        <v>6</v>
      </c>
      <c r="P881" s="231" t="s">
        <v>239</v>
      </c>
      <c r="Q881" s="231">
        <v>6</v>
      </c>
      <c r="R881" s="231" t="s">
        <v>239</v>
      </c>
      <c r="S881" s="231">
        <v>6</v>
      </c>
      <c r="T881" s="231" t="s">
        <v>239</v>
      </c>
      <c r="U881" s="231">
        <v>6</v>
      </c>
      <c r="V881" s="231" t="s">
        <v>239</v>
      </c>
      <c r="W881" s="231">
        <v>6</v>
      </c>
      <c r="X881" s="231" t="s">
        <v>239</v>
      </c>
      <c r="Y881" s="231">
        <v>6</v>
      </c>
      <c r="Z881" s="231" t="s">
        <v>239</v>
      </c>
      <c r="AA881" s="231">
        <v>6</v>
      </c>
      <c r="AB881" s="231" t="s">
        <v>239</v>
      </c>
      <c r="AC881" s="231">
        <v>6</v>
      </c>
      <c r="AD881" s="231" t="s">
        <v>239</v>
      </c>
      <c r="AE881" s="231">
        <v>6</v>
      </c>
      <c r="AF881" s="231" t="s">
        <v>239</v>
      </c>
      <c r="AG881" s="231">
        <v>6</v>
      </c>
      <c r="AH881" s="231" t="s">
        <v>239</v>
      </c>
      <c r="AI881" s="231">
        <v>6</v>
      </c>
      <c r="AJ881" s="231" t="s">
        <v>239</v>
      </c>
      <c r="AK881" s="231">
        <v>6</v>
      </c>
      <c r="AL881" s="232" t="s">
        <v>239</v>
      </c>
      <c r="AM881" s="232">
        <v>0</v>
      </c>
    </row>
    <row r="882" spans="1:39" ht="15.75" outlineLevel="1">
      <c r="A882" s="412"/>
      <c r="B882" s="10">
        <v>129436</v>
      </c>
      <c r="C882" s="218" t="s">
        <v>1489</v>
      </c>
      <c r="D882" s="218" t="s">
        <v>1490</v>
      </c>
      <c r="E882" s="23" t="s">
        <v>44</v>
      </c>
      <c r="F882" s="17" t="s">
        <v>45</v>
      </c>
      <c r="G882" s="11" t="s">
        <v>1432</v>
      </c>
      <c r="H882" s="12">
        <v>19</v>
      </c>
      <c r="I882" s="11" t="s">
        <v>1433</v>
      </c>
      <c r="J882" s="191" t="s">
        <v>216</v>
      </c>
      <c r="K882" s="17" t="s">
        <v>233</v>
      </c>
      <c r="L882" s="17" t="s">
        <v>233</v>
      </c>
      <c r="M882" s="231">
        <v>3113</v>
      </c>
      <c r="N882" s="232">
        <v>3075.2081800000001</v>
      </c>
      <c r="O882" s="132">
        <v>370</v>
      </c>
      <c r="P882" s="231" t="s">
        <v>239</v>
      </c>
      <c r="Q882" s="232">
        <v>370</v>
      </c>
      <c r="R882" s="231" t="s">
        <v>239</v>
      </c>
      <c r="S882" s="232">
        <v>331</v>
      </c>
      <c r="T882" s="231" t="s">
        <v>239</v>
      </c>
      <c r="U882" s="232">
        <v>359</v>
      </c>
      <c r="V882" s="231" t="s">
        <v>239</v>
      </c>
      <c r="W882" s="232">
        <v>351</v>
      </c>
      <c r="X882" s="231" t="s">
        <v>239</v>
      </c>
      <c r="Y882" s="232">
        <v>389</v>
      </c>
      <c r="Z882" s="231" t="s">
        <v>239</v>
      </c>
      <c r="AA882" s="232">
        <v>336</v>
      </c>
      <c r="AB882" s="231" t="s">
        <v>239</v>
      </c>
      <c r="AC882" s="232">
        <v>1354</v>
      </c>
      <c r="AD882" s="231" t="s">
        <v>239</v>
      </c>
      <c r="AE882" s="232">
        <v>1436</v>
      </c>
      <c r="AF882" s="231" t="s">
        <v>239</v>
      </c>
      <c r="AG882" s="232">
        <v>1438</v>
      </c>
      <c r="AH882" s="231" t="s">
        <v>239</v>
      </c>
      <c r="AI882" s="232">
        <v>1418</v>
      </c>
      <c r="AJ882" s="231" t="s">
        <v>239</v>
      </c>
      <c r="AK882" s="232">
        <v>1509</v>
      </c>
      <c r="AL882" s="232" t="s">
        <v>239</v>
      </c>
      <c r="AM882" s="232">
        <v>9661</v>
      </c>
    </row>
    <row r="883" spans="1:39" ht="15.75" outlineLevel="1">
      <c r="A883" s="411">
        <v>437</v>
      </c>
      <c r="B883" s="10">
        <v>129437</v>
      </c>
      <c r="C883" s="218" t="s">
        <v>1489</v>
      </c>
      <c r="D883" s="218" t="s">
        <v>1490</v>
      </c>
      <c r="E883" s="23" t="s">
        <v>138</v>
      </c>
      <c r="F883" s="17" t="s">
        <v>45</v>
      </c>
      <c r="G883" s="11" t="s">
        <v>1432</v>
      </c>
      <c r="H883" s="12">
        <v>22</v>
      </c>
      <c r="I883" s="11" t="s">
        <v>1433</v>
      </c>
      <c r="J883" s="192" t="s">
        <v>1434</v>
      </c>
      <c r="K883" s="17" t="s">
        <v>233</v>
      </c>
      <c r="L883" s="17" t="s">
        <v>233</v>
      </c>
      <c r="M883" s="231">
        <v>12</v>
      </c>
      <c r="N883" s="232">
        <v>0</v>
      </c>
      <c r="O883" s="132">
        <v>0</v>
      </c>
      <c r="P883" s="231" t="s">
        <v>239</v>
      </c>
      <c r="Q883" s="232">
        <v>0</v>
      </c>
      <c r="R883" s="231" t="s">
        <v>239</v>
      </c>
      <c r="S883" s="232">
        <v>0</v>
      </c>
      <c r="T883" s="231" t="s">
        <v>239</v>
      </c>
      <c r="U883" s="232">
        <v>0</v>
      </c>
      <c r="V883" s="230" t="s">
        <v>239</v>
      </c>
      <c r="W883" s="232">
        <v>0</v>
      </c>
      <c r="X883" s="231" t="s">
        <v>239</v>
      </c>
      <c r="Y883" s="232">
        <v>0</v>
      </c>
      <c r="Z883" s="231" t="s">
        <v>239</v>
      </c>
      <c r="AA883" s="232">
        <v>0</v>
      </c>
      <c r="AB883" s="231" t="s">
        <v>239</v>
      </c>
      <c r="AC883" s="232">
        <v>0</v>
      </c>
      <c r="AD883" s="231" t="s">
        <v>239</v>
      </c>
      <c r="AE883" s="232">
        <v>0</v>
      </c>
      <c r="AF883" s="231" t="s">
        <v>239</v>
      </c>
      <c r="AG883" s="232">
        <v>0</v>
      </c>
      <c r="AH883" s="231" t="s">
        <v>239</v>
      </c>
      <c r="AI883" s="232">
        <v>0</v>
      </c>
      <c r="AJ883" s="231" t="s">
        <v>239</v>
      </c>
      <c r="AK883" s="232">
        <v>0</v>
      </c>
      <c r="AL883" s="232" t="s">
        <v>239</v>
      </c>
      <c r="AM883" s="232">
        <v>0</v>
      </c>
    </row>
    <row r="884" spans="1:39" ht="15.75" outlineLevel="1">
      <c r="A884" s="412"/>
      <c r="B884" s="10">
        <v>129437</v>
      </c>
      <c r="C884" s="218" t="s">
        <v>1489</v>
      </c>
      <c r="D884" s="218" t="s">
        <v>1490</v>
      </c>
      <c r="E884" s="23" t="s">
        <v>44</v>
      </c>
      <c r="F884" s="17" t="s">
        <v>45</v>
      </c>
      <c r="G884" s="11" t="s">
        <v>1432</v>
      </c>
      <c r="H884" s="12">
        <v>24</v>
      </c>
      <c r="I884" s="11" t="s">
        <v>1433</v>
      </c>
      <c r="J884" s="192" t="s">
        <v>1480</v>
      </c>
      <c r="K884" s="17" t="s">
        <v>233</v>
      </c>
      <c r="L884" s="17" t="s">
        <v>233</v>
      </c>
      <c r="M884" s="231">
        <v>3305</v>
      </c>
      <c r="N884" s="232">
        <v>3264.8772999999997</v>
      </c>
      <c r="O884" s="132">
        <v>718</v>
      </c>
      <c r="P884" s="231" t="s">
        <v>239</v>
      </c>
      <c r="Q884" s="232">
        <v>718</v>
      </c>
      <c r="R884" s="231" t="s">
        <v>239</v>
      </c>
      <c r="S884" s="232">
        <v>611</v>
      </c>
      <c r="T884" s="231" t="s">
        <v>239</v>
      </c>
      <c r="U884" s="232">
        <v>638</v>
      </c>
      <c r="V884" s="231" t="s">
        <v>239</v>
      </c>
      <c r="W884" s="232">
        <v>598</v>
      </c>
      <c r="X884" s="231" t="s">
        <v>239</v>
      </c>
      <c r="Y884" s="232">
        <v>574</v>
      </c>
      <c r="Z884" s="231" t="s">
        <v>239</v>
      </c>
      <c r="AA884" s="232">
        <v>614</v>
      </c>
      <c r="AB884" s="231" t="s">
        <v>239</v>
      </c>
      <c r="AC884" s="232">
        <v>404</v>
      </c>
      <c r="AD884" s="231" t="s">
        <v>239</v>
      </c>
      <c r="AE884" s="232">
        <v>375</v>
      </c>
      <c r="AF884" s="231" t="s">
        <v>239</v>
      </c>
      <c r="AG884" s="232">
        <v>502</v>
      </c>
      <c r="AH884" s="231" t="s">
        <v>239</v>
      </c>
      <c r="AI884" s="232">
        <v>430</v>
      </c>
      <c r="AJ884" s="231" t="s">
        <v>239</v>
      </c>
      <c r="AK884" s="232">
        <v>611</v>
      </c>
      <c r="AL884" s="232" t="s">
        <v>239</v>
      </c>
      <c r="AM884" s="232">
        <v>6793</v>
      </c>
    </row>
    <row r="885" spans="1:39" ht="15.75" outlineLevel="1">
      <c r="A885" s="411">
        <v>438</v>
      </c>
      <c r="B885" s="10">
        <v>129438</v>
      </c>
      <c r="C885" s="218" t="s">
        <v>1489</v>
      </c>
      <c r="D885" s="218" t="s">
        <v>1490</v>
      </c>
      <c r="E885" s="23" t="s">
        <v>44</v>
      </c>
      <c r="F885" s="17" t="s">
        <v>45</v>
      </c>
      <c r="G885" s="11" t="s">
        <v>1432</v>
      </c>
      <c r="H885" s="12">
        <v>16</v>
      </c>
      <c r="I885" s="11" t="s">
        <v>1433</v>
      </c>
      <c r="J885" s="192" t="s">
        <v>1452</v>
      </c>
      <c r="K885" s="17" t="s">
        <v>233</v>
      </c>
      <c r="L885" s="17" t="s">
        <v>233</v>
      </c>
      <c r="M885" s="231">
        <v>21.5</v>
      </c>
      <c r="N885" s="231">
        <v>21.5</v>
      </c>
      <c r="O885" s="231">
        <v>21.5</v>
      </c>
      <c r="P885" s="231" t="s">
        <v>239</v>
      </c>
      <c r="Q885" s="231">
        <v>21.5</v>
      </c>
      <c r="R885" s="231" t="s">
        <v>239</v>
      </c>
      <c r="S885" s="231">
        <v>21.5</v>
      </c>
      <c r="T885" s="231" t="s">
        <v>239</v>
      </c>
      <c r="U885" s="231">
        <v>21.5</v>
      </c>
      <c r="V885" s="231" t="s">
        <v>239</v>
      </c>
      <c r="W885" s="231">
        <v>21.5</v>
      </c>
      <c r="X885" s="231" t="s">
        <v>239</v>
      </c>
      <c r="Y885" s="231">
        <v>21.5</v>
      </c>
      <c r="Z885" s="231" t="s">
        <v>239</v>
      </c>
      <c r="AA885" s="231">
        <v>21.5</v>
      </c>
      <c r="AB885" s="231" t="s">
        <v>239</v>
      </c>
      <c r="AC885" s="231">
        <v>21.5</v>
      </c>
      <c r="AD885" s="231" t="s">
        <v>239</v>
      </c>
      <c r="AE885" s="231">
        <v>21.5</v>
      </c>
      <c r="AF885" s="231" t="s">
        <v>239</v>
      </c>
      <c r="AG885" s="231">
        <v>21.5</v>
      </c>
      <c r="AH885" s="231" t="s">
        <v>239</v>
      </c>
      <c r="AI885" s="231">
        <v>21.5</v>
      </c>
      <c r="AJ885" s="231" t="s">
        <v>239</v>
      </c>
      <c r="AK885" s="231">
        <v>21.5</v>
      </c>
      <c r="AL885" s="232" t="s">
        <v>239</v>
      </c>
      <c r="AM885" s="232">
        <v>0</v>
      </c>
    </row>
    <row r="886" spans="1:39" ht="15.75" outlineLevel="1">
      <c r="A886" s="412"/>
      <c r="B886" s="10">
        <v>129438</v>
      </c>
      <c r="C886" s="218" t="s">
        <v>1489</v>
      </c>
      <c r="D886" s="218" t="s">
        <v>1490</v>
      </c>
      <c r="E886" s="23" t="s">
        <v>138</v>
      </c>
      <c r="F886" s="17" t="s">
        <v>45</v>
      </c>
      <c r="G886" s="11" t="s">
        <v>1432</v>
      </c>
      <c r="H886" s="12">
        <v>5</v>
      </c>
      <c r="I886" s="11" t="s">
        <v>1433</v>
      </c>
      <c r="J886" s="374" t="s">
        <v>207</v>
      </c>
      <c r="K886" s="17" t="s">
        <v>233</v>
      </c>
      <c r="L886" s="17" t="s">
        <v>233</v>
      </c>
      <c r="M886" s="231">
        <v>8765</v>
      </c>
      <c r="N886" s="232">
        <v>8658.5928999999996</v>
      </c>
      <c r="O886" s="132">
        <v>1237</v>
      </c>
      <c r="P886" s="231" t="s">
        <v>239</v>
      </c>
      <c r="Q886" s="232">
        <v>1237</v>
      </c>
      <c r="R886" s="231" t="s">
        <v>239</v>
      </c>
      <c r="S886" s="232">
        <v>1155</v>
      </c>
      <c r="T886" s="231" t="s">
        <v>239</v>
      </c>
      <c r="U886" s="232">
        <v>978</v>
      </c>
      <c r="V886" s="230" t="s">
        <v>239</v>
      </c>
      <c r="W886" s="232">
        <v>944</v>
      </c>
      <c r="X886" s="231" t="s">
        <v>239</v>
      </c>
      <c r="Y886" s="232">
        <v>504</v>
      </c>
      <c r="Z886" s="231" t="s">
        <v>239</v>
      </c>
      <c r="AA886" s="232">
        <v>745</v>
      </c>
      <c r="AB886" s="231" t="s">
        <v>239</v>
      </c>
      <c r="AC886" s="232">
        <v>928</v>
      </c>
      <c r="AD886" s="231" t="s">
        <v>239</v>
      </c>
      <c r="AE886" s="232">
        <v>902</v>
      </c>
      <c r="AF886" s="231" t="s">
        <v>239</v>
      </c>
      <c r="AG886" s="232">
        <v>1151</v>
      </c>
      <c r="AH886" s="231" t="s">
        <v>239</v>
      </c>
      <c r="AI886" s="232">
        <v>1138</v>
      </c>
      <c r="AJ886" s="231" t="s">
        <v>239</v>
      </c>
      <c r="AK886" s="232">
        <v>1147</v>
      </c>
      <c r="AL886" s="232" t="s">
        <v>239</v>
      </c>
      <c r="AM886" s="232">
        <v>12066</v>
      </c>
    </row>
    <row r="887" spans="1:39" ht="15.75" outlineLevel="1">
      <c r="A887" s="411">
        <v>439</v>
      </c>
      <c r="B887" s="10">
        <v>129439</v>
      </c>
      <c r="C887" s="218" t="s">
        <v>1489</v>
      </c>
      <c r="D887" s="218" t="s">
        <v>1490</v>
      </c>
      <c r="E887" s="23" t="s">
        <v>44</v>
      </c>
      <c r="F887" s="17" t="s">
        <v>45</v>
      </c>
      <c r="G887" s="11" t="s">
        <v>1432</v>
      </c>
      <c r="H887" s="12">
        <v>17</v>
      </c>
      <c r="I887" s="11" t="s">
        <v>1433</v>
      </c>
      <c r="J887" s="375"/>
      <c r="K887" s="17" t="s">
        <v>233</v>
      </c>
      <c r="L887" s="17" t="s">
        <v>233</v>
      </c>
      <c r="M887" s="231">
        <v>35</v>
      </c>
      <c r="N887" s="231">
        <v>35</v>
      </c>
      <c r="O887" s="231">
        <v>35</v>
      </c>
      <c r="P887" s="231" t="s">
        <v>239</v>
      </c>
      <c r="Q887" s="231">
        <v>35</v>
      </c>
      <c r="R887" s="231" t="s">
        <v>239</v>
      </c>
      <c r="S887" s="231">
        <v>35</v>
      </c>
      <c r="T887" s="231" t="s">
        <v>239</v>
      </c>
      <c r="U887" s="231">
        <v>35</v>
      </c>
      <c r="V887" s="231" t="s">
        <v>239</v>
      </c>
      <c r="W887" s="231">
        <v>35</v>
      </c>
      <c r="X887" s="231" t="s">
        <v>239</v>
      </c>
      <c r="Y887" s="231">
        <v>35</v>
      </c>
      <c r="Z887" s="231" t="s">
        <v>239</v>
      </c>
      <c r="AA887" s="231">
        <v>35</v>
      </c>
      <c r="AB887" s="231" t="s">
        <v>239</v>
      </c>
      <c r="AC887" s="231">
        <v>35</v>
      </c>
      <c r="AD887" s="231" t="s">
        <v>239</v>
      </c>
      <c r="AE887" s="231">
        <v>35</v>
      </c>
      <c r="AF887" s="231" t="s">
        <v>239</v>
      </c>
      <c r="AG887" s="231">
        <v>35</v>
      </c>
      <c r="AH887" s="231" t="s">
        <v>239</v>
      </c>
      <c r="AI887" s="231">
        <v>35</v>
      </c>
      <c r="AJ887" s="231" t="s">
        <v>239</v>
      </c>
      <c r="AK887" s="231">
        <v>35</v>
      </c>
      <c r="AL887" s="232" t="s">
        <v>239</v>
      </c>
      <c r="AM887" s="232">
        <v>0</v>
      </c>
    </row>
    <row r="888" spans="1:39" ht="15.75" outlineLevel="1">
      <c r="A888" s="412"/>
      <c r="B888" s="10">
        <v>129439</v>
      </c>
      <c r="C888" s="218" t="s">
        <v>1489</v>
      </c>
      <c r="D888" s="218" t="s">
        <v>1490</v>
      </c>
      <c r="E888" s="23" t="s">
        <v>138</v>
      </c>
      <c r="F888" s="17" t="s">
        <v>45</v>
      </c>
      <c r="G888" s="11" t="s">
        <v>1432</v>
      </c>
      <c r="H888" s="12">
        <v>19</v>
      </c>
      <c r="I888" s="11" t="s">
        <v>1433</v>
      </c>
      <c r="J888" s="193" t="s">
        <v>1460</v>
      </c>
      <c r="K888" s="17" t="s">
        <v>233</v>
      </c>
      <c r="L888" s="17" t="s">
        <v>233</v>
      </c>
      <c r="M888" s="231">
        <v>7427</v>
      </c>
      <c r="N888" s="232">
        <v>7336.8362200000001</v>
      </c>
      <c r="O888" s="132">
        <v>1292</v>
      </c>
      <c r="P888" s="231" t="s">
        <v>239</v>
      </c>
      <c r="Q888" s="232">
        <v>1292</v>
      </c>
      <c r="R888" s="231" t="s">
        <v>239</v>
      </c>
      <c r="S888" s="232">
        <v>1256</v>
      </c>
      <c r="T888" s="231" t="s">
        <v>239</v>
      </c>
      <c r="U888" s="232">
        <v>1252</v>
      </c>
      <c r="V888" s="231" t="s">
        <v>239</v>
      </c>
      <c r="W888" s="232">
        <v>1088</v>
      </c>
      <c r="X888" s="231" t="s">
        <v>239</v>
      </c>
      <c r="Y888" s="232">
        <v>959</v>
      </c>
      <c r="Z888" s="231" t="s">
        <v>239</v>
      </c>
      <c r="AA888" s="232">
        <v>1274</v>
      </c>
      <c r="AB888" s="231" t="s">
        <v>239</v>
      </c>
      <c r="AC888" s="232">
        <v>1060</v>
      </c>
      <c r="AD888" s="231" t="s">
        <v>239</v>
      </c>
      <c r="AE888" s="232">
        <v>1235</v>
      </c>
      <c r="AF888" s="231" t="s">
        <v>239</v>
      </c>
      <c r="AG888" s="232">
        <v>967</v>
      </c>
      <c r="AH888" s="231" t="s">
        <v>239</v>
      </c>
      <c r="AI888" s="232">
        <v>1029</v>
      </c>
      <c r="AJ888" s="231" t="s">
        <v>239</v>
      </c>
      <c r="AK888" s="232">
        <v>1197</v>
      </c>
      <c r="AL888" s="232" t="s">
        <v>239</v>
      </c>
      <c r="AM888" s="232">
        <v>13901</v>
      </c>
    </row>
    <row r="889" spans="1:39" ht="15.75" outlineLevel="1">
      <c r="A889" s="411">
        <v>440</v>
      </c>
      <c r="B889" s="10">
        <v>129440</v>
      </c>
      <c r="C889" s="218" t="s">
        <v>1489</v>
      </c>
      <c r="D889" s="218" t="s">
        <v>1490</v>
      </c>
      <c r="E889" s="23" t="s">
        <v>44</v>
      </c>
      <c r="F889" s="17" t="s">
        <v>45</v>
      </c>
      <c r="G889" s="11" t="s">
        <v>1432</v>
      </c>
      <c r="H889" s="12">
        <v>21</v>
      </c>
      <c r="I889" s="11" t="s">
        <v>1433</v>
      </c>
      <c r="J889" s="193" t="s">
        <v>1442</v>
      </c>
      <c r="K889" s="17" t="s">
        <v>233</v>
      </c>
      <c r="L889" s="17" t="s">
        <v>233</v>
      </c>
      <c r="M889" s="231">
        <v>35</v>
      </c>
      <c r="N889" s="231">
        <v>35</v>
      </c>
      <c r="O889" s="231">
        <v>35</v>
      </c>
      <c r="P889" s="231" t="s">
        <v>239</v>
      </c>
      <c r="Q889" s="231">
        <v>35</v>
      </c>
      <c r="R889" s="231" t="s">
        <v>239</v>
      </c>
      <c r="S889" s="231">
        <v>35</v>
      </c>
      <c r="T889" s="231" t="s">
        <v>239</v>
      </c>
      <c r="U889" s="231">
        <v>35</v>
      </c>
      <c r="V889" s="230" t="s">
        <v>239</v>
      </c>
      <c r="W889" s="231">
        <v>35</v>
      </c>
      <c r="X889" s="231" t="s">
        <v>239</v>
      </c>
      <c r="Y889" s="231">
        <v>35</v>
      </c>
      <c r="Z889" s="231" t="s">
        <v>239</v>
      </c>
      <c r="AA889" s="231">
        <v>35</v>
      </c>
      <c r="AB889" s="231" t="s">
        <v>239</v>
      </c>
      <c r="AC889" s="231">
        <v>35</v>
      </c>
      <c r="AD889" s="231" t="s">
        <v>239</v>
      </c>
      <c r="AE889" s="231">
        <v>35</v>
      </c>
      <c r="AF889" s="231" t="s">
        <v>239</v>
      </c>
      <c r="AG889" s="231">
        <v>35</v>
      </c>
      <c r="AH889" s="231" t="s">
        <v>239</v>
      </c>
      <c r="AI889" s="231">
        <v>35</v>
      </c>
      <c r="AJ889" s="231" t="s">
        <v>239</v>
      </c>
      <c r="AK889" s="231">
        <v>35</v>
      </c>
      <c r="AL889" s="232" t="s">
        <v>239</v>
      </c>
      <c r="AM889" s="232">
        <v>0</v>
      </c>
    </row>
    <row r="890" spans="1:39" ht="15.75" outlineLevel="1">
      <c r="A890" s="412"/>
      <c r="B890" s="10">
        <v>129440</v>
      </c>
      <c r="C890" s="218" t="s">
        <v>1489</v>
      </c>
      <c r="D890" s="218" t="s">
        <v>1490</v>
      </c>
      <c r="E890" s="23" t="s">
        <v>44</v>
      </c>
      <c r="F890" s="17" t="s">
        <v>45</v>
      </c>
      <c r="G890" s="11" t="s">
        <v>1432</v>
      </c>
      <c r="H890" s="12">
        <v>19</v>
      </c>
      <c r="I890" s="11" t="s">
        <v>1433</v>
      </c>
      <c r="J890" s="193" t="s">
        <v>1460</v>
      </c>
      <c r="K890" s="17" t="s">
        <v>233</v>
      </c>
      <c r="L890" s="17" t="s">
        <v>233</v>
      </c>
      <c r="M890" s="231">
        <v>0</v>
      </c>
      <c r="N890" s="232">
        <v>0</v>
      </c>
      <c r="O890" s="132">
        <v>0</v>
      </c>
      <c r="P890" s="231" t="s">
        <v>239</v>
      </c>
      <c r="Q890" s="232">
        <v>0</v>
      </c>
      <c r="R890" s="231" t="s">
        <v>239</v>
      </c>
      <c r="S890" s="232">
        <v>0</v>
      </c>
      <c r="T890" s="231" t="s">
        <v>239</v>
      </c>
      <c r="U890" s="232">
        <v>0</v>
      </c>
      <c r="V890" s="231" t="s">
        <v>239</v>
      </c>
      <c r="W890" s="232">
        <v>0</v>
      </c>
      <c r="X890" s="231" t="s">
        <v>239</v>
      </c>
      <c r="Y890" s="232">
        <v>0</v>
      </c>
      <c r="Z890" s="231" t="s">
        <v>239</v>
      </c>
      <c r="AA890" s="232">
        <v>0</v>
      </c>
      <c r="AB890" s="231" t="s">
        <v>239</v>
      </c>
      <c r="AC890" s="232">
        <v>0</v>
      </c>
      <c r="AD890" s="231" t="s">
        <v>239</v>
      </c>
      <c r="AE890" s="232">
        <v>0</v>
      </c>
      <c r="AF890" s="231" t="s">
        <v>239</v>
      </c>
      <c r="AG890" s="232">
        <v>0</v>
      </c>
      <c r="AH890" s="231" t="s">
        <v>239</v>
      </c>
      <c r="AI890" s="232">
        <v>0</v>
      </c>
      <c r="AJ890" s="231" t="s">
        <v>239</v>
      </c>
      <c r="AK890" s="232">
        <v>0</v>
      </c>
      <c r="AL890" s="232" t="s">
        <v>239</v>
      </c>
      <c r="AM890" s="232">
        <v>0</v>
      </c>
    </row>
    <row r="891" spans="1:39" ht="15.75" outlineLevel="1">
      <c r="A891" s="411">
        <v>441</v>
      </c>
      <c r="B891" s="10">
        <v>129441</v>
      </c>
      <c r="C891" s="218" t="s">
        <v>1489</v>
      </c>
      <c r="D891" s="218" t="s">
        <v>1490</v>
      </c>
      <c r="E891" s="23" t="s">
        <v>138</v>
      </c>
      <c r="F891" s="17" t="s">
        <v>45</v>
      </c>
      <c r="G891" s="11" t="s">
        <v>1432</v>
      </c>
      <c r="H891" s="12">
        <v>30</v>
      </c>
      <c r="I891" s="11" t="s">
        <v>1433</v>
      </c>
      <c r="J891" s="193" t="s">
        <v>1451</v>
      </c>
      <c r="K891" s="17" t="s">
        <v>233</v>
      </c>
      <c r="L891" s="17" t="s">
        <v>233</v>
      </c>
      <c r="M891" s="231">
        <v>23.5</v>
      </c>
      <c r="N891" s="231">
        <v>23.5</v>
      </c>
      <c r="O891" s="231">
        <v>23.5</v>
      </c>
      <c r="P891" s="231" t="s">
        <v>239</v>
      </c>
      <c r="Q891" s="231">
        <v>23.5</v>
      </c>
      <c r="R891" s="231" t="s">
        <v>239</v>
      </c>
      <c r="S891" s="231">
        <v>23.5</v>
      </c>
      <c r="T891" s="231" t="s">
        <v>239</v>
      </c>
      <c r="U891" s="231">
        <v>23.5</v>
      </c>
      <c r="V891" s="231" t="s">
        <v>239</v>
      </c>
      <c r="W891" s="231">
        <v>23.5</v>
      </c>
      <c r="X891" s="231" t="s">
        <v>239</v>
      </c>
      <c r="Y891" s="231">
        <v>23.5</v>
      </c>
      <c r="Z891" s="231" t="s">
        <v>239</v>
      </c>
      <c r="AA891" s="231">
        <v>23.5</v>
      </c>
      <c r="AB891" s="231" t="s">
        <v>239</v>
      </c>
      <c r="AC891" s="231">
        <v>23.5</v>
      </c>
      <c r="AD891" s="231" t="s">
        <v>239</v>
      </c>
      <c r="AE891" s="231">
        <v>23.5</v>
      </c>
      <c r="AF891" s="231" t="s">
        <v>239</v>
      </c>
      <c r="AG891" s="231">
        <v>23.5</v>
      </c>
      <c r="AH891" s="231" t="s">
        <v>239</v>
      </c>
      <c r="AI891" s="231">
        <v>23.5</v>
      </c>
      <c r="AJ891" s="231" t="s">
        <v>239</v>
      </c>
      <c r="AK891" s="231">
        <v>23.5</v>
      </c>
      <c r="AL891" s="232" t="s">
        <v>239</v>
      </c>
      <c r="AM891" s="232">
        <v>0</v>
      </c>
    </row>
    <row r="892" spans="1:39" ht="15.75" outlineLevel="1">
      <c r="A892" s="412"/>
      <c r="B892" s="10">
        <v>129441</v>
      </c>
      <c r="C892" s="218" t="s">
        <v>1489</v>
      </c>
      <c r="D892" s="218" t="s">
        <v>1490</v>
      </c>
      <c r="E892" s="23" t="s">
        <v>44</v>
      </c>
      <c r="F892" s="17" t="s">
        <v>45</v>
      </c>
      <c r="G892" s="11" t="s">
        <v>1432</v>
      </c>
      <c r="H892" s="12">
        <v>33</v>
      </c>
      <c r="I892" s="11" t="s">
        <v>1433</v>
      </c>
      <c r="J892" s="193" t="s">
        <v>208</v>
      </c>
      <c r="K892" s="17" t="s">
        <v>233</v>
      </c>
      <c r="L892" s="17" t="s">
        <v>233</v>
      </c>
      <c r="M892" s="231">
        <v>8100</v>
      </c>
      <c r="N892" s="232">
        <v>8001.6659999999993</v>
      </c>
      <c r="O892" s="132">
        <v>615</v>
      </c>
      <c r="P892" s="231" t="s">
        <v>239</v>
      </c>
      <c r="Q892" s="232">
        <v>615</v>
      </c>
      <c r="R892" s="231" t="s">
        <v>239</v>
      </c>
      <c r="S892" s="232">
        <v>627</v>
      </c>
      <c r="T892" s="231" t="s">
        <v>239</v>
      </c>
      <c r="U892" s="232">
        <v>641</v>
      </c>
      <c r="V892" s="230" t="s">
        <v>239</v>
      </c>
      <c r="W892" s="232">
        <v>647</v>
      </c>
      <c r="X892" s="231" t="s">
        <v>239</v>
      </c>
      <c r="Y892" s="232">
        <v>556</v>
      </c>
      <c r="Z892" s="231" t="s">
        <v>239</v>
      </c>
      <c r="AA892" s="232">
        <v>408</v>
      </c>
      <c r="AB892" s="231" t="s">
        <v>239</v>
      </c>
      <c r="AC892" s="232">
        <v>380</v>
      </c>
      <c r="AD892" s="231" t="s">
        <v>239</v>
      </c>
      <c r="AE892" s="232">
        <v>474</v>
      </c>
      <c r="AF892" s="231" t="s">
        <v>239</v>
      </c>
      <c r="AG892" s="232">
        <v>450</v>
      </c>
      <c r="AH892" s="231" t="s">
        <v>239</v>
      </c>
      <c r="AI892" s="232">
        <v>450</v>
      </c>
      <c r="AJ892" s="231" t="s">
        <v>239</v>
      </c>
      <c r="AK892" s="232">
        <v>469</v>
      </c>
      <c r="AL892" s="232" t="s">
        <v>239</v>
      </c>
      <c r="AM892" s="232">
        <v>6332</v>
      </c>
    </row>
    <row r="893" spans="1:39" ht="15.75" outlineLevel="1">
      <c r="A893" s="411">
        <v>442</v>
      </c>
      <c r="B893" s="10">
        <v>129442</v>
      </c>
      <c r="C893" s="218" t="s">
        <v>1489</v>
      </c>
      <c r="D893" s="218" t="s">
        <v>1490</v>
      </c>
      <c r="E893" s="23" t="s">
        <v>138</v>
      </c>
      <c r="F893" s="17" t="s">
        <v>45</v>
      </c>
      <c r="G893" s="11" t="s">
        <v>1432</v>
      </c>
      <c r="H893" s="12">
        <v>19</v>
      </c>
      <c r="I893" s="11" t="s">
        <v>1433</v>
      </c>
      <c r="J893" s="193" t="s">
        <v>1452</v>
      </c>
      <c r="K893" s="17" t="s">
        <v>233</v>
      </c>
      <c r="L893" s="17" t="s">
        <v>233</v>
      </c>
      <c r="M893" s="231">
        <v>14</v>
      </c>
      <c r="N893" s="231">
        <v>14</v>
      </c>
      <c r="O893" s="231">
        <v>14</v>
      </c>
      <c r="P893" s="231" t="s">
        <v>239</v>
      </c>
      <c r="Q893" s="231">
        <v>14</v>
      </c>
      <c r="R893" s="231" t="s">
        <v>239</v>
      </c>
      <c r="S893" s="231">
        <v>14</v>
      </c>
      <c r="T893" s="231" t="s">
        <v>239</v>
      </c>
      <c r="U893" s="231">
        <v>14</v>
      </c>
      <c r="V893" s="231" t="s">
        <v>239</v>
      </c>
      <c r="W893" s="231">
        <v>14</v>
      </c>
      <c r="X893" s="231" t="s">
        <v>239</v>
      </c>
      <c r="Y893" s="231">
        <v>14</v>
      </c>
      <c r="Z893" s="231" t="s">
        <v>239</v>
      </c>
      <c r="AA893" s="231">
        <v>14</v>
      </c>
      <c r="AB893" s="231" t="s">
        <v>239</v>
      </c>
      <c r="AC893" s="231">
        <v>14</v>
      </c>
      <c r="AD893" s="231" t="s">
        <v>239</v>
      </c>
      <c r="AE893" s="231">
        <v>14</v>
      </c>
      <c r="AF893" s="231" t="s">
        <v>239</v>
      </c>
      <c r="AG893" s="231">
        <v>14</v>
      </c>
      <c r="AH893" s="231" t="s">
        <v>239</v>
      </c>
      <c r="AI893" s="231">
        <v>14</v>
      </c>
      <c r="AJ893" s="231" t="s">
        <v>239</v>
      </c>
      <c r="AK893" s="231">
        <v>14</v>
      </c>
      <c r="AL893" s="232" t="s">
        <v>239</v>
      </c>
      <c r="AM893" s="232">
        <v>0</v>
      </c>
    </row>
    <row r="894" spans="1:39" ht="15.75" outlineLevel="1">
      <c r="A894" s="412"/>
      <c r="B894" s="10">
        <v>129442</v>
      </c>
      <c r="C894" s="218" t="s">
        <v>1489</v>
      </c>
      <c r="D894" s="218" t="s">
        <v>1490</v>
      </c>
      <c r="E894" s="23" t="s">
        <v>44</v>
      </c>
      <c r="F894" s="17" t="s">
        <v>45</v>
      </c>
      <c r="G894" s="11" t="s">
        <v>1432</v>
      </c>
      <c r="H894" s="12">
        <v>6</v>
      </c>
      <c r="I894" s="11" t="s">
        <v>1433</v>
      </c>
      <c r="J894" s="193" t="s">
        <v>216</v>
      </c>
      <c r="K894" s="17" t="s">
        <v>233</v>
      </c>
      <c r="L894" s="17" t="s">
        <v>233</v>
      </c>
      <c r="M894" s="231">
        <v>12567</v>
      </c>
      <c r="N894" s="232">
        <v>12414.43662</v>
      </c>
      <c r="O894" s="132">
        <v>2008</v>
      </c>
      <c r="P894" s="231" t="s">
        <v>239</v>
      </c>
      <c r="Q894" s="232">
        <v>2008</v>
      </c>
      <c r="R894" s="231" t="s">
        <v>239</v>
      </c>
      <c r="S894" s="232">
        <v>2184</v>
      </c>
      <c r="T894" s="231" t="s">
        <v>239</v>
      </c>
      <c r="U894" s="232">
        <v>1793</v>
      </c>
      <c r="V894" s="231" t="s">
        <v>239</v>
      </c>
      <c r="W894" s="232">
        <v>1706</v>
      </c>
      <c r="X894" s="231" t="s">
        <v>239</v>
      </c>
      <c r="Y894" s="232">
        <v>1971</v>
      </c>
      <c r="Z894" s="231" t="s">
        <v>239</v>
      </c>
      <c r="AA894" s="232">
        <v>314</v>
      </c>
      <c r="AB894" s="231" t="s">
        <v>239</v>
      </c>
      <c r="AC894" s="232">
        <v>308</v>
      </c>
      <c r="AD894" s="231" t="s">
        <v>239</v>
      </c>
      <c r="AE894" s="232">
        <v>572</v>
      </c>
      <c r="AF894" s="231" t="s">
        <v>239</v>
      </c>
      <c r="AG894" s="232">
        <v>792</v>
      </c>
      <c r="AH894" s="231" t="s">
        <v>239</v>
      </c>
      <c r="AI894" s="232">
        <v>797</v>
      </c>
      <c r="AJ894" s="231" t="s">
        <v>239</v>
      </c>
      <c r="AK894" s="232">
        <v>831</v>
      </c>
      <c r="AL894" s="232" t="s">
        <v>239</v>
      </c>
      <c r="AM894" s="232">
        <v>15284</v>
      </c>
    </row>
    <row r="895" spans="1:39" ht="15.75" outlineLevel="1">
      <c r="A895" s="411">
        <v>443</v>
      </c>
      <c r="B895" s="10">
        <v>129443</v>
      </c>
      <c r="C895" s="218" t="s">
        <v>1489</v>
      </c>
      <c r="D895" s="218" t="s">
        <v>1490</v>
      </c>
      <c r="E895" s="23" t="s">
        <v>44</v>
      </c>
      <c r="F895" s="17" t="s">
        <v>45</v>
      </c>
      <c r="G895" s="11" t="s">
        <v>1432</v>
      </c>
      <c r="H895" s="12">
        <v>15</v>
      </c>
      <c r="I895" s="11" t="s">
        <v>1433</v>
      </c>
      <c r="J895" s="193" t="s">
        <v>1453</v>
      </c>
      <c r="K895" s="17" t="s">
        <v>233</v>
      </c>
      <c r="L895" s="17" t="s">
        <v>233</v>
      </c>
      <c r="M895" s="231">
        <v>33</v>
      </c>
      <c r="N895" s="231">
        <v>33</v>
      </c>
      <c r="O895" s="231">
        <v>33</v>
      </c>
      <c r="P895" s="231" t="s">
        <v>239</v>
      </c>
      <c r="Q895" s="231">
        <v>33</v>
      </c>
      <c r="R895" s="231" t="s">
        <v>239</v>
      </c>
      <c r="S895" s="231">
        <v>33</v>
      </c>
      <c r="T895" s="231" t="s">
        <v>239</v>
      </c>
      <c r="U895" s="231">
        <v>33</v>
      </c>
      <c r="V895" s="230" t="s">
        <v>239</v>
      </c>
      <c r="W895" s="231">
        <v>33</v>
      </c>
      <c r="X895" s="231" t="s">
        <v>239</v>
      </c>
      <c r="Y895" s="231">
        <v>33</v>
      </c>
      <c r="Z895" s="231" t="s">
        <v>239</v>
      </c>
      <c r="AA895" s="231">
        <v>33</v>
      </c>
      <c r="AB895" s="231" t="s">
        <v>239</v>
      </c>
      <c r="AC895" s="231">
        <v>33</v>
      </c>
      <c r="AD895" s="231" t="s">
        <v>239</v>
      </c>
      <c r="AE895" s="231">
        <v>33</v>
      </c>
      <c r="AF895" s="231" t="s">
        <v>239</v>
      </c>
      <c r="AG895" s="231">
        <v>33</v>
      </c>
      <c r="AH895" s="231" t="s">
        <v>239</v>
      </c>
      <c r="AI895" s="231">
        <v>33</v>
      </c>
      <c r="AJ895" s="231" t="s">
        <v>239</v>
      </c>
      <c r="AK895" s="231">
        <v>33</v>
      </c>
      <c r="AL895" s="232" t="s">
        <v>239</v>
      </c>
      <c r="AM895" s="232">
        <v>0</v>
      </c>
    </row>
    <row r="896" spans="1:39" ht="15.75" outlineLevel="1">
      <c r="A896" s="412"/>
      <c r="B896" s="10">
        <v>129443</v>
      </c>
      <c r="C896" s="218" t="s">
        <v>1489</v>
      </c>
      <c r="D896" s="218" t="s">
        <v>1490</v>
      </c>
      <c r="E896" s="23" t="s">
        <v>138</v>
      </c>
      <c r="F896" s="17" t="s">
        <v>45</v>
      </c>
      <c r="G896" s="11" t="s">
        <v>1432</v>
      </c>
      <c r="H896" s="12">
        <v>19</v>
      </c>
      <c r="I896" s="11" t="s">
        <v>1433</v>
      </c>
      <c r="J896" s="193" t="s">
        <v>1454</v>
      </c>
      <c r="K896" s="17" t="s">
        <v>233</v>
      </c>
      <c r="L896" s="17" t="s">
        <v>233</v>
      </c>
      <c r="M896" s="231">
        <v>6611</v>
      </c>
      <c r="N896" s="232">
        <v>6530.7424599999995</v>
      </c>
      <c r="O896" s="132">
        <v>799</v>
      </c>
      <c r="P896" s="231" t="s">
        <v>239</v>
      </c>
      <c r="Q896" s="232">
        <v>799</v>
      </c>
      <c r="R896" s="231" t="s">
        <v>239</v>
      </c>
      <c r="S896" s="232">
        <v>726</v>
      </c>
      <c r="T896" s="231" t="s">
        <v>239</v>
      </c>
      <c r="U896" s="232">
        <v>660</v>
      </c>
      <c r="V896" s="231" t="s">
        <v>239</v>
      </c>
      <c r="W896" s="232">
        <v>640</v>
      </c>
      <c r="X896" s="231" t="s">
        <v>239</v>
      </c>
      <c r="Y896" s="232">
        <v>611</v>
      </c>
      <c r="Z896" s="231" t="s">
        <v>239</v>
      </c>
      <c r="AA896" s="232">
        <v>521</v>
      </c>
      <c r="AB896" s="231" t="s">
        <v>239</v>
      </c>
      <c r="AC896" s="232">
        <v>558</v>
      </c>
      <c r="AD896" s="231" t="s">
        <v>239</v>
      </c>
      <c r="AE896" s="232">
        <v>859</v>
      </c>
      <c r="AF896" s="231" t="s">
        <v>239</v>
      </c>
      <c r="AG896" s="232">
        <v>781</v>
      </c>
      <c r="AH896" s="231" t="s">
        <v>239</v>
      </c>
      <c r="AI896" s="232">
        <v>647</v>
      </c>
      <c r="AJ896" s="231" t="s">
        <v>239</v>
      </c>
      <c r="AK896" s="232">
        <v>650</v>
      </c>
      <c r="AL896" s="232" t="s">
        <v>239</v>
      </c>
      <c r="AM896" s="232">
        <v>8251</v>
      </c>
    </row>
    <row r="897" spans="1:39" ht="15.75" outlineLevel="1">
      <c r="A897" s="411">
        <v>444</v>
      </c>
      <c r="B897" s="10">
        <v>129444</v>
      </c>
      <c r="C897" s="218" t="s">
        <v>1489</v>
      </c>
      <c r="D897" s="218" t="s">
        <v>1490</v>
      </c>
      <c r="E897" s="23" t="s">
        <v>44</v>
      </c>
      <c r="F897" s="17" t="s">
        <v>45</v>
      </c>
      <c r="G897" s="11" t="s">
        <v>1432</v>
      </c>
      <c r="H897" s="12">
        <v>22</v>
      </c>
      <c r="I897" s="11" t="s">
        <v>1433</v>
      </c>
      <c r="J897" s="191" t="s">
        <v>216</v>
      </c>
      <c r="K897" s="17" t="s">
        <v>233</v>
      </c>
      <c r="L897" s="17" t="s">
        <v>233</v>
      </c>
      <c r="M897" s="231">
        <v>21</v>
      </c>
      <c r="N897" s="231">
        <v>21</v>
      </c>
      <c r="O897" s="231">
        <v>21</v>
      </c>
      <c r="P897" s="231" t="s">
        <v>239</v>
      </c>
      <c r="Q897" s="231">
        <v>21</v>
      </c>
      <c r="R897" s="231" t="s">
        <v>239</v>
      </c>
      <c r="S897" s="231">
        <v>21</v>
      </c>
      <c r="T897" s="231" t="s">
        <v>239</v>
      </c>
      <c r="U897" s="231">
        <v>21</v>
      </c>
      <c r="V897" s="231" t="s">
        <v>239</v>
      </c>
      <c r="W897" s="231">
        <v>21</v>
      </c>
      <c r="X897" s="231" t="s">
        <v>239</v>
      </c>
      <c r="Y897" s="231">
        <v>21</v>
      </c>
      <c r="Z897" s="231" t="s">
        <v>239</v>
      </c>
      <c r="AA897" s="231">
        <v>21</v>
      </c>
      <c r="AB897" s="231" t="s">
        <v>239</v>
      </c>
      <c r="AC897" s="231">
        <v>21</v>
      </c>
      <c r="AD897" s="231" t="s">
        <v>239</v>
      </c>
      <c r="AE897" s="231">
        <v>21</v>
      </c>
      <c r="AF897" s="231" t="s">
        <v>239</v>
      </c>
      <c r="AG897" s="231">
        <v>21</v>
      </c>
      <c r="AH897" s="231" t="s">
        <v>239</v>
      </c>
      <c r="AI897" s="231">
        <v>21</v>
      </c>
      <c r="AJ897" s="231" t="s">
        <v>239</v>
      </c>
      <c r="AK897" s="231">
        <v>21</v>
      </c>
      <c r="AL897" s="232" t="s">
        <v>239</v>
      </c>
      <c r="AM897" s="232">
        <v>0</v>
      </c>
    </row>
    <row r="898" spans="1:39" ht="15.75" outlineLevel="1">
      <c r="A898" s="412"/>
      <c r="B898" s="10">
        <v>129444</v>
      </c>
      <c r="C898" s="218" t="s">
        <v>1489</v>
      </c>
      <c r="D898" s="218" t="s">
        <v>1490</v>
      </c>
      <c r="E898" s="23" t="s">
        <v>138</v>
      </c>
      <c r="F898" s="17" t="s">
        <v>45</v>
      </c>
      <c r="G898" s="11" t="s">
        <v>1432</v>
      </c>
      <c r="H898" s="12">
        <v>24</v>
      </c>
      <c r="I898" s="11" t="s">
        <v>1433</v>
      </c>
      <c r="J898" s="192" t="s">
        <v>1434</v>
      </c>
      <c r="K898" s="17" t="s">
        <v>233</v>
      </c>
      <c r="L898" s="17" t="s">
        <v>233</v>
      </c>
      <c r="M898" s="231">
        <v>1346</v>
      </c>
      <c r="N898" s="232">
        <v>1329.6595600000001</v>
      </c>
      <c r="O898" s="132">
        <v>336</v>
      </c>
      <c r="P898" s="231" t="s">
        <v>239</v>
      </c>
      <c r="Q898" s="232">
        <v>336</v>
      </c>
      <c r="R898" s="231" t="s">
        <v>239</v>
      </c>
      <c r="S898" s="232">
        <v>336</v>
      </c>
      <c r="T898" s="231" t="s">
        <v>239</v>
      </c>
      <c r="U898" s="232">
        <v>336</v>
      </c>
      <c r="V898" s="230" t="s">
        <v>239</v>
      </c>
      <c r="W898" s="232">
        <v>336</v>
      </c>
      <c r="X898" s="231" t="s">
        <v>239</v>
      </c>
      <c r="Y898" s="232">
        <v>336</v>
      </c>
      <c r="Z898" s="231" t="s">
        <v>239</v>
      </c>
      <c r="AA898" s="232">
        <v>336</v>
      </c>
      <c r="AB898" s="231" t="s">
        <v>239</v>
      </c>
      <c r="AC898" s="232">
        <v>569</v>
      </c>
      <c r="AD898" s="231" t="s">
        <v>239</v>
      </c>
      <c r="AE898" s="232">
        <v>569</v>
      </c>
      <c r="AF898" s="231" t="s">
        <v>239</v>
      </c>
      <c r="AG898" s="232">
        <v>569</v>
      </c>
      <c r="AH898" s="231" t="s">
        <v>239</v>
      </c>
      <c r="AI898" s="232">
        <v>569</v>
      </c>
      <c r="AJ898" s="231" t="s">
        <v>239</v>
      </c>
      <c r="AK898" s="232">
        <v>569</v>
      </c>
      <c r="AL898" s="232" t="s">
        <v>239</v>
      </c>
      <c r="AM898" s="232">
        <v>5197</v>
      </c>
    </row>
    <row r="899" spans="1:39" ht="15.75" outlineLevel="1">
      <c r="A899" s="411">
        <v>445</v>
      </c>
      <c r="B899" s="10">
        <v>129445</v>
      </c>
      <c r="C899" s="218" t="s">
        <v>1489</v>
      </c>
      <c r="D899" s="218" t="s">
        <v>1490</v>
      </c>
      <c r="E899" s="23" t="s">
        <v>44</v>
      </c>
      <c r="F899" s="17" t="s">
        <v>45</v>
      </c>
      <c r="G899" s="11" t="s">
        <v>1432</v>
      </c>
      <c r="H899" s="12">
        <v>16</v>
      </c>
      <c r="I899" s="11" t="s">
        <v>1433</v>
      </c>
      <c r="J899" s="192" t="s">
        <v>1480</v>
      </c>
      <c r="K899" s="17" t="s">
        <v>233</v>
      </c>
      <c r="L899" s="17" t="s">
        <v>233</v>
      </c>
      <c r="M899" s="231">
        <v>44.6</v>
      </c>
      <c r="N899" s="231">
        <v>44.6</v>
      </c>
      <c r="O899" s="231">
        <v>44.6</v>
      </c>
      <c r="P899" s="231" t="s">
        <v>239</v>
      </c>
      <c r="Q899" s="231">
        <v>44.6</v>
      </c>
      <c r="R899" s="231" t="s">
        <v>239</v>
      </c>
      <c r="S899" s="231">
        <v>44.6</v>
      </c>
      <c r="T899" s="231" t="s">
        <v>239</v>
      </c>
      <c r="U899" s="231">
        <v>44.6</v>
      </c>
      <c r="V899" s="231" t="s">
        <v>239</v>
      </c>
      <c r="W899" s="231">
        <v>44.6</v>
      </c>
      <c r="X899" s="231" t="s">
        <v>239</v>
      </c>
      <c r="Y899" s="231">
        <v>44.6</v>
      </c>
      <c r="Z899" s="231" t="s">
        <v>239</v>
      </c>
      <c r="AA899" s="231">
        <v>44.6</v>
      </c>
      <c r="AB899" s="231" t="s">
        <v>239</v>
      </c>
      <c r="AC899" s="231">
        <v>44.6</v>
      </c>
      <c r="AD899" s="231" t="s">
        <v>239</v>
      </c>
      <c r="AE899" s="231">
        <v>44.6</v>
      </c>
      <c r="AF899" s="231" t="s">
        <v>239</v>
      </c>
      <c r="AG899" s="231">
        <v>44.6</v>
      </c>
      <c r="AH899" s="231" t="s">
        <v>239</v>
      </c>
      <c r="AI899" s="231">
        <v>44.6</v>
      </c>
      <c r="AJ899" s="231" t="s">
        <v>239</v>
      </c>
      <c r="AK899" s="231">
        <v>44.6</v>
      </c>
      <c r="AL899" s="232" t="s">
        <v>239</v>
      </c>
      <c r="AM899" s="232">
        <v>0</v>
      </c>
    </row>
    <row r="900" spans="1:39" ht="15.75" outlineLevel="1">
      <c r="A900" s="412"/>
      <c r="B900" s="10">
        <v>129445</v>
      </c>
      <c r="C900" s="218" t="s">
        <v>1489</v>
      </c>
      <c r="D900" s="218" t="s">
        <v>1490</v>
      </c>
      <c r="E900" s="23" t="s">
        <v>44</v>
      </c>
      <c r="F900" s="17" t="s">
        <v>45</v>
      </c>
      <c r="G900" s="11" t="s">
        <v>1432</v>
      </c>
      <c r="H900" s="12">
        <v>5</v>
      </c>
      <c r="I900" s="11" t="s">
        <v>1433</v>
      </c>
      <c r="J900" s="192" t="s">
        <v>1452</v>
      </c>
      <c r="K900" s="17" t="s">
        <v>233</v>
      </c>
      <c r="L900" s="17" t="s">
        <v>233</v>
      </c>
      <c r="M900" s="231">
        <v>49197</v>
      </c>
      <c r="N900" s="232">
        <v>48599.748419999996</v>
      </c>
      <c r="O900" s="132">
        <v>2034</v>
      </c>
      <c r="P900" s="231" t="s">
        <v>239</v>
      </c>
      <c r="Q900" s="232">
        <v>2034</v>
      </c>
      <c r="R900" s="231" t="s">
        <v>239</v>
      </c>
      <c r="S900" s="232">
        <v>2134</v>
      </c>
      <c r="T900" s="231" t="s">
        <v>239</v>
      </c>
      <c r="U900" s="232">
        <v>2134</v>
      </c>
      <c r="V900" s="231" t="s">
        <v>239</v>
      </c>
      <c r="W900" s="232">
        <v>1834</v>
      </c>
      <c r="X900" s="231" t="s">
        <v>239</v>
      </c>
      <c r="Y900" s="232">
        <v>2834</v>
      </c>
      <c r="Z900" s="231" t="s">
        <v>239</v>
      </c>
      <c r="AA900" s="232">
        <v>2134</v>
      </c>
      <c r="AB900" s="231" t="s">
        <v>239</v>
      </c>
      <c r="AC900" s="232">
        <v>3634</v>
      </c>
      <c r="AD900" s="231" t="s">
        <v>239</v>
      </c>
      <c r="AE900" s="232">
        <v>3634</v>
      </c>
      <c r="AF900" s="231" t="s">
        <v>239</v>
      </c>
      <c r="AG900" s="232">
        <v>3634</v>
      </c>
      <c r="AH900" s="231" t="s">
        <v>239</v>
      </c>
      <c r="AI900" s="232">
        <v>3634</v>
      </c>
      <c r="AJ900" s="231" t="s">
        <v>239</v>
      </c>
      <c r="AK900" s="232">
        <v>3634</v>
      </c>
      <c r="AL900" s="232" t="s">
        <v>239</v>
      </c>
      <c r="AM900" s="232">
        <v>33308</v>
      </c>
    </row>
    <row r="901" spans="1:39" ht="15.75" outlineLevel="1">
      <c r="A901" s="411">
        <v>446</v>
      </c>
      <c r="B901" s="10">
        <v>129446</v>
      </c>
      <c r="C901" s="218" t="s">
        <v>1489</v>
      </c>
      <c r="D901" s="218" t="s">
        <v>1490</v>
      </c>
      <c r="E901" s="23" t="s">
        <v>138</v>
      </c>
      <c r="F901" s="17" t="s">
        <v>45</v>
      </c>
      <c r="G901" s="11" t="s">
        <v>1432</v>
      </c>
      <c r="H901" s="12">
        <v>17</v>
      </c>
      <c r="I901" s="11" t="s">
        <v>1433</v>
      </c>
      <c r="J901" s="374" t="s">
        <v>207</v>
      </c>
      <c r="K901" s="17" t="s">
        <v>233</v>
      </c>
      <c r="L901" s="17" t="s">
        <v>233</v>
      </c>
      <c r="M901" s="231">
        <v>44.6</v>
      </c>
      <c r="N901" s="231">
        <v>44.6</v>
      </c>
      <c r="O901" s="231">
        <v>44.6</v>
      </c>
      <c r="P901" s="231" t="s">
        <v>239</v>
      </c>
      <c r="Q901" s="231">
        <v>44.6</v>
      </c>
      <c r="R901" s="231" t="s">
        <v>239</v>
      </c>
      <c r="S901" s="231">
        <v>44.6</v>
      </c>
      <c r="T901" s="231" t="s">
        <v>239</v>
      </c>
      <c r="U901" s="231">
        <v>44.6</v>
      </c>
      <c r="V901" s="230" t="s">
        <v>239</v>
      </c>
      <c r="W901" s="231">
        <v>44.6</v>
      </c>
      <c r="X901" s="231" t="s">
        <v>239</v>
      </c>
      <c r="Y901" s="231">
        <v>44.6</v>
      </c>
      <c r="Z901" s="231" t="s">
        <v>239</v>
      </c>
      <c r="AA901" s="231">
        <v>44.6</v>
      </c>
      <c r="AB901" s="231" t="s">
        <v>239</v>
      </c>
      <c r="AC901" s="231">
        <v>44.6</v>
      </c>
      <c r="AD901" s="231" t="s">
        <v>239</v>
      </c>
      <c r="AE901" s="231">
        <v>44.6</v>
      </c>
      <c r="AF901" s="231" t="s">
        <v>239</v>
      </c>
      <c r="AG901" s="231">
        <v>44.6</v>
      </c>
      <c r="AH901" s="231" t="s">
        <v>239</v>
      </c>
      <c r="AI901" s="231">
        <v>44.6</v>
      </c>
      <c r="AJ901" s="231" t="s">
        <v>239</v>
      </c>
      <c r="AK901" s="231">
        <v>44.6</v>
      </c>
      <c r="AL901" s="232" t="s">
        <v>239</v>
      </c>
      <c r="AM901" s="232">
        <v>0</v>
      </c>
    </row>
    <row r="902" spans="1:39" ht="15.75" outlineLevel="1">
      <c r="A902" s="412"/>
      <c r="B902" s="10">
        <v>129446</v>
      </c>
      <c r="C902" s="218" t="s">
        <v>1489</v>
      </c>
      <c r="D902" s="218" t="s">
        <v>1490</v>
      </c>
      <c r="E902" s="23" t="s">
        <v>44</v>
      </c>
      <c r="F902" s="17" t="s">
        <v>45</v>
      </c>
      <c r="G902" s="11" t="s">
        <v>1432</v>
      </c>
      <c r="H902" s="12">
        <v>19</v>
      </c>
      <c r="I902" s="11" t="s">
        <v>1433</v>
      </c>
      <c r="J902" s="375"/>
      <c r="K902" s="17" t="s">
        <v>233</v>
      </c>
      <c r="L902" s="17" t="s">
        <v>233</v>
      </c>
      <c r="M902" s="231">
        <v>0</v>
      </c>
      <c r="N902" s="232">
        <v>0</v>
      </c>
      <c r="O902" s="132">
        <v>0</v>
      </c>
      <c r="P902" s="231" t="s">
        <v>239</v>
      </c>
      <c r="Q902" s="232">
        <v>0</v>
      </c>
      <c r="R902" s="231" t="s">
        <v>239</v>
      </c>
      <c r="S902" s="232">
        <v>0</v>
      </c>
      <c r="T902" s="231" t="s">
        <v>239</v>
      </c>
      <c r="U902" s="232">
        <v>0</v>
      </c>
      <c r="V902" s="231" t="s">
        <v>239</v>
      </c>
      <c r="W902" s="232">
        <v>0</v>
      </c>
      <c r="X902" s="231" t="s">
        <v>239</v>
      </c>
      <c r="Y902" s="232">
        <v>0</v>
      </c>
      <c r="Z902" s="231" t="s">
        <v>239</v>
      </c>
      <c r="AA902" s="232">
        <v>0</v>
      </c>
      <c r="AB902" s="231" t="s">
        <v>239</v>
      </c>
      <c r="AC902" s="232">
        <v>0</v>
      </c>
      <c r="AD902" s="231" t="s">
        <v>239</v>
      </c>
      <c r="AE902" s="232">
        <v>0</v>
      </c>
      <c r="AF902" s="231" t="s">
        <v>239</v>
      </c>
      <c r="AG902" s="232">
        <v>0</v>
      </c>
      <c r="AH902" s="231" t="s">
        <v>239</v>
      </c>
      <c r="AI902" s="232">
        <v>0</v>
      </c>
      <c r="AJ902" s="231" t="s">
        <v>239</v>
      </c>
      <c r="AK902" s="232">
        <v>0</v>
      </c>
      <c r="AL902" s="232" t="s">
        <v>239</v>
      </c>
      <c r="AM902" s="232">
        <v>0</v>
      </c>
    </row>
    <row r="903" spans="1:39" ht="15.75" outlineLevel="1">
      <c r="A903" s="411">
        <v>447</v>
      </c>
      <c r="B903" s="10">
        <v>129447</v>
      </c>
      <c r="C903" s="218" t="s">
        <v>1489</v>
      </c>
      <c r="D903" s="218" t="s">
        <v>1490</v>
      </c>
      <c r="E903" s="23" t="s">
        <v>138</v>
      </c>
      <c r="F903" s="17" t="s">
        <v>45</v>
      </c>
      <c r="G903" s="11" t="s">
        <v>1432</v>
      </c>
      <c r="H903" s="12">
        <v>18</v>
      </c>
      <c r="I903" s="11" t="s">
        <v>1433</v>
      </c>
      <c r="J903" s="193" t="s">
        <v>1460</v>
      </c>
      <c r="K903" s="17" t="s">
        <v>233</v>
      </c>
      <c r="L903" s="17" t="s">
        <v>233</v>
      </c>
      <c r="M903" s="231">
        <v>12</v>
      </c>
      <c r="N903" s="231">
        <v>12</v>
      </c>
      <c r="O903" s="231">
        <v>12</v>
      </c>
      <c r="P903" s="231" t="s">
        <v>239</v>
      </c>
      <c r="Q903" s="231">
        <v>12</v>
      </c>
      <c r="R903" s="231" t="s">
        <v>239</v>
      </c>
      <c r="S903" s="231">
        <v>12</v>
      </c>
      <c r="T903" s="231" t="s">
        <v>239</v>
      </c>
      <c r="U903" s="231">
        <v>12</v>
      </c>
      <c r="V903" s="231" t="s">
        <v>239</v>
      </c>
      <c r="W903" s="231">
        <v>12</v>
      </c>
      <c r="X903" s="231" t="s">
        <v>239</v>
      </c>
      <c r="Y903" s="231">
        <v>12</v>
      </c>
      <c r="Z903" s="231" t="s">
        <v>239</v>
      </c>
      <c r="AA903" s="231">
        <v>12</v>
      </c>
      <c r="AB903" s="231" t="s">
        <v>239</v>
      </c>
      <c r="AC903" s="231">
        <v>12</v>
      </c>
      <c r="AD903" s="231" t="s">
        <v>239</v>
      </c>
      <c r="AE903" s="231">
        <v>12</v>
      </c>
      <c r="AF903" s="231" t="s">
        <v>239</v>
      </c>
      <c r="AG903" s="231">
        <v>12</v>
      </c>
      <c r="AH903" s="231" t="s">
        <v>239</v>
      </c>
      <c r="AI903" s="231">
        <v>12</v>
      </c>
      <c r="AJ903" s="231" t="s">
        <v>239</v>
      </c>
      <c r="AK903" s="231">
        <v>12</v>
      </c>
      <c r="AL903" s="232" t="s">
        <v>239</v>
      </c>
      <c r="AM903" s="232">
        <v>0</v>
      </c>
    </row>
    <row r="904" spans="1:39" ht="15.75" outlineLevel="1">
      <c r="A904" s="412"/>
      <c r="B904" s="10">
        <v>129447</v>
      </c>
      <c r="C904" s="218" t="s">
        <v>1489</v>
      </c>
      <c r="D904" s="218" t="s">
        <v>1490</v>
      </c>
      <c r="E904" s="23" t="s">
        <v>44</v>
      </c>
      <c r="F904" s="17" t="s">
        <v>45</v>
      </c>
      <c r="G904" s="11" t="s">
        <v>1432</v>
      </c>
      <c r="H904" s="12">
        <v>13</v>
      </c>
      <c r="I904" s="11" t="s">
        <v>1433</v>
      </c>
      <c r="J904" s="193" t="s">
        <v>1442</v>
      </c>
      <c r="K904" s="17" t="s">
        <v>233</v>
      </c>
      <c r="L904" s="17" t="s">
        <v>233</v>
      </c>
      <c r="M904" s="231">
        <v>4005</v>
      </c>
      <c r="N904" s="232">
        <v>3956.3793000000001</v>
      </c>
      <c r="O904" s="132">
        <v>451</v>
      </c>
      <c r="P904" s="231" t="s">
        <v>239</v>
      </c>
      <c r="Q904" s="232">
        <v>451</v>
      </c>
      <c r="R904" s="231" t="s">
        <v>239</v>
      </c>
      <c r="S904" s="232">
        <v>431</v>
      </c>
      <c r="T904" s="231" t="s">
        <v>239</v>
      </c>
      <c r="U904" s="232">
        <v>476</v>
      </c>
      <c r="V904" s="230" t="s">
        <v>239</v>
      </c>
      <c r="W904" s="232">
        <v>430</v>
      </c>
      <c r="X904" s="231" t="s">
        <v>239</v>
      </c>
      <c r="Y904" s="232">
        <v>397</v>
      </c>
      <c r="Z904" s="231" t="s">
        <v>239</v>
      </c>
      <c r="AA904" s="232">
        <v>414</v>
      </c>
      <c r="AB904" s="231" t="s">
        <v>239</v>
      </c>
      <c r="AC904" s="232">
        <v>382</v>
      </c>
      <c r="AD904" s="231" t="s">
        <v>239</v>
      </c>
      <c r="AE904" s="232">
        <v>409</v>
      </c>
      <c r="AF904" s="231" t="s">
        <v>239</v>
      </c>
      <c r="AG904" s="232">
        <v>399</v>
      </c>
      <c r="AH904" s="231" t="s">
        <v>239</v>
      </c>
      <c r="AI904" s="232">
        <v>581</v>
      </c>
      <c r="AJ904" s="231" t="s">
        <v>239</v>
      </c>
      <c r="AK904" s="232">
        <v>446</v>
      </c>
      <c r="AL904" s="232" t="s">
        <v>239</v>
      </c>
      <c r="AM904" s="232">
        <v>5267</v>
      </c>
    </row>
    <row r="905" spans="1:39" ht="15.75" outlineLevel="1">
      <c r="A905" s="411">
        <v>448</v>
      </c>
      <c r="B905" s="10">
        <v>129448</v>
      </c>
      <c r="C905" s="218" t="s">
        <v>1489</v>
      </c>
      <c r="D905" s="218" t="s">
        <v>1490</v>
      </c>
      <c r="E905" s="23" t="s">
        <v>44</v>
      </c>
      <c r="F905" s="17" t="s">
        <v>45</v>
      </c>
      <c r="G905" s="11" t="s">
        <v>1432</v>
      </c>
      <c r="H905" s="12">
        <v>44</v>
      </c>
      <c r="I905" s="11" t="s">
        <v>1433</v>
      </c>
      <c r="J905" s="193" t="s">
        <v>1460</v>
      </c>
      <c r="K905" s="17" t="s">
        <v>233</v>
      </c>
      <c r="L905" s="17" t="s">
        <v>233</v>
      </c>
      <c r="M905" s="231">
        <v>12</v>
      </c>
      <c r="N905" s="231">
        <v>12</v>
      </c>
      <c r="O905" s="231">
        <v>12</v>
      </c>
      <c r="P905" s="231" t="s">
        <v>239</v>
      </c>
      <c r="Q905" s="231">
        <v>12</v>
      </c>
      <c r="R905" s="231" t="s">
        <v>239</v>
      </c>
      <c r="S905" s="231">
        <v>12</v>
      </c>
      <c r="T905" s="231" t="s">
        <v>239</v>
      </c>
      <c r="U905" s="231">
        <v>12</v>
      </c>
      <c r="V905" s="231" t="s">
        <v>239</v>
      </c>
      <c r="W905" s="231">
        <v>12</v>
      </c>
      <c r="X905" s="231" t="s">
        <v>239</v>
      </c>
      <c r="Y905" s="231">
        <v>12</v>
      </c>
      <c r="Z905" s="231" t="s">
        <v>239</v>
      </c>
      <c r="AA905" s="231">
        <v>12</v>
      </c>
      <c r="AB905" s="231" t="s">
        <v>239</v>
      </c>
      <c r="AC905" s="231">
        <v>12</v>
      </c>
      <c r="AD905" s="231" t="s">
        <v>239</v>
      </c>
      <c r="AE905" s="231">
        <v>12</v>
      </c>
      <c r="AF905" s="231" t="s">
        <v>239</v>
      </c>
      <c r="AG905" s="231">
        <v>12</v>
      </c>
      <c r="AH905" s="231" t="s">
        <v>239</v>
      </c>
      <c r="AI905" s="231">
        <v>12</v>
      </c>
      <c r="AJ905" s="231" t="s">
        <v>239</v>
      </c>
      <c r="AK905" s="231">
        <v>12</v>
      </c>
      <c r="AL905" s="232" t="s">
        <v>239</v>
      </c>
      <c r="AM905" s="232">
        <v>0</v>
      </c>
    </row>
    <row r="906" spans="1:39" ht="15.75" outlineLevel="1">
      <c r="A906" s="412"/>
      <c r="B906" s="10">
        <v>129448</v>
      </c>
      <c r="C906" s="218" t="s">
        <v>1489</v>
      </c>
      <c r="D906" s="218" t="s">
        <v>1490</v>
      </c>
      <c r="E906" s="23" t="s">
        <v>138</v>
      </c>
      <c r="F906" s="17" t="s">
        <v>45</v>
      </c>
      <c r="G906" s="11" t="s">
        <v>1432</v>
      </c>
      <c r="H906" s="12">
        <v>21</v>
      </c>
      <c r="I906" s="11" t="s">
        <v>1433</v>
      </c>
      <c r="J906" s="193" t="s">
        <v>1451</v>
      </c>
      <c r="K906" s="17" t="s">
        <v>233</v>
      </c>
      <c r="L906" s="17" t="s">
        <v>233</v>
      </c>
      <c r="M906" s="231">
        <v>0</v>
      </c>
      <c r="N906" s="232">
        <v>0</v>
      </c>
      <c r="O906" s="132">
        <v>0</v>
      </c>
      <c r="P906" s="231" t="s">
        <v>239</v>
      </c>
      <c r="Q906" s="232">
        <v>0</v>
      </c>
      <c r="R906" s="231" t="s">
        <v>239</v>
      </c>
      <c r="S906" s="232">
        <v>0</v>
      </c>
      <c r="T906" s="231" t="s">
        <v>239</v>
      </c>
      <c r="U906" s="232">
        <v>0</v>
      </c>
      <c r="V906" s="231" t="s">
        <v>239</v>
      </c>
      <c r="W906" s="232">
        <v>0</v>
      </c>
      <c r="X906" s="231" t="s">
        <v>239</v>
      </c>
      <c r="Y906" s="232">
        <v>0</v>
      </c>
      <c r="Z906" s="231" t="s">
        <v>239</v>
      </c>
      <c r="AA906" s="232">
        <v>0</v>
      </c>
      <c r="AB906" s="231" t="s">
        <v>239</v>
      </c>
      <c r="AC906" s="232">
        <v>0</v>
      </c>
      <c r="AD906" s="231" t="s">
        <v>239</v>
      </c>
      <c r="AE906" s="232">
        <v>0</v>
      </c>
      <c r="AF906" s="231" t="s">
        <v>239</v>
      </c>
      <c r="AG906" s="232">
        <v>0</v>
      </c>
      <c r="AH906" s="231" t="s">
        <v>239</v>
      </c>
      <c r="AI906" s="232">
        <v>0</v>
      </c>
      <c r="AJ906" s="231" t="s">
        <v>239</v>
      </c>
      <c r="AK906" s="232">
        <v>0</v>
      </c>
      <c r="AL906" s="232" t="s">
        <v>239</v>
      </c>
      <c r="AM906" s="232">
        <v>0</v>
      </c>
    </row>
    <row r="907" spans="1:39" ht="15.75" outlineLevel="1">
      <c r="A907" s="411">
        <v>449</v>
      </c>
      <c r="B907" s="10">
        <v>129449</v>
      </c>
      <c r="C907" s="218" t="s">
        <v>1489</v>
      </c>
      <c r="D907" s="218" t="s">
        <v>1490</v>
      </c>
      <c r="E907" s="23" t="s">
        <v>44</v>
      </c>
      <c r="F907" s="17" t="s">
        <v>45</v>
      </c>
      <c r="G907" s="11" t="s">
        <v>1432</v>
      </c>
      <c r="H907" s="12">
        <v>19</v>
      </c>
      <c r="I907" s="11" t="s">
        <v>1433</v>
      </c>
      <c r="J907" s="193" t="s">
        <v>208</v>
      </c>
      <c r="K907" s="17" t="s">
        <v>233</v>
      </c>
      <c r="L907" s="17" t="s">
        <v>233</v>
      </c>
      <c r="M907" s="231">
        <v>20</v>
      </c>
      <c r="N907" s="231">
        <v>20</v>
      </c>
      <c r="O907" s="231">
        <v>20</v>
      </c>
      <c r="P907" s="231" t="s">
        <v>239</v>
      </c>
      <c r="Q907" s="231">
        <v>20</v>
      </c>
      <c r="R907" s="231" t="s">
        <v>239</v>
      </c>
      <c r="S907" s="231">
        <v>20</v>
      </c>
      <c r="T907" s="231" t="s">
        <v>239</v>
      </c>
      <c r="U907" s="231">
        <v>20</v>
      </c>
      <c r="V907" s="230" t="s">
        <v>239</v>
      </c>
      <c r="W907" s="231">
        <v>20</v>
      </c>
      <c r="X907" s="231" t="s">
        <v>239</v>
      </c>
      <c r="Y907" s="231">
        <v>20</v>
      </c>
      <c r="Z907" s="231" t="s">
        <v>239</v>
      </c>
      <c r="AA907" s="231">
        <v>20</v>
      </c>
      <c r="AB907" s="231" t="s">
        <v>239</v>
      </c>
      <c r="AC907" s="231">
        <v>20</v>
      </c>
      <c r="AD907" s="231" t="s">
        <v>239</v>
      </c>
      <c r="AE907" s="231">
        <v>20</v>
      </c>
      <c r="AF907" s="231" t="s">
        <v>239</v>
      </c>
      <c r="AG907" s="231">
        <v>20</v>
      </c>
      <c r="AH907" s="231" t="s">
        <v>239</v>
      </c>
      <c r="AI907" s="231">
        <v>20</v>
      </c>
      <c r="AJ907" s="231" t="s">
        <v>239</v>
      </c>
      <c r="AK907" s="231">
        <v>20</v>
      </c>
      <c r="AL907" s="232" t="s">
        <v>239</v>
      </c>
      <c r="AM907" s="232">
        <v>0</v>
      </c>
    </row>
    <row r="908" spans="1:39" ht="15.75" outlineLevel="1">
      <c r="A908" s="412"/>
      <c r="B908" s="10">
        <v>129449</v>
      </c>
      <c r="C908" s="218" t="s">
        <v>1489</v>
      </c>
      <c r="D908" s="218" t="s">
        <v>1490</v>
      </c>
      <c r="E908" s="23" t="s">
        <v>138</v>
      </c>
      <c r="F908" s="17" t="s">
        <v>45</v>
      </c>
      <c r="G908" s="11" t="s">
        <v>1432</v>
      </c>
      <c r="H908" s="12">
        <v>30</v>
      </c>
      <c r="I908" s="11" t="s">
        <v>1433</v>
      </c>
      <c r="J908" s="193" t="s">
        <v>1452</v>
      </c>
      <c r="K908" s="17" t="s">
        <v>233</v>
      </c>
      <c r="L908" s="17" t="s">
        <v>233</v>
      </c>
      <c r="M908" s="231">
        <v>2434</v>
      </c>
      <c r="N908" s="232">
        <v>2404.4512399999999</v>
      </c>
      <c r="O908" s="132">
        <v>237</v>
      </c>
      <c r="P908" s="231" t="s">
        <v>239</v>
      </c>
      <c r="Q908" s="232">
        <v>237</v>
      </c>
      <c r="R908" s="231" t="s">
        <v>239</v>
      </c>
      <c r="S908" s="232">
        <v>198</v>
      </c>
      <c r="T908" s="231" t="s">
        <v>239</v>
      </c>
      <c r="U908" s="232">
        <v>218</v>
      </c>
      <c r="V908" s="231" t="s">
        <v>239</v>
      </c>
      <c r="W908" s="232">
        <v>164</v>
      </c>
      <c r="X908" s="231" t="s">
        <v>239</v>
      </c>
      <c r="Y908" s="232">
        <v>171</v>
      </c>
      <c r="Z908" s="231" t="s">
        <v>239</v>
      </c>
      <c r="AA908" s="232">
        <v>164</v>
      </c>
      <c r="AB908" s="231" t="s">
        <v>239</v>
      </c>
      <c r="AC908" s="232">
        <v>205</v>
      </c>
      <c r="AD908" s="231" t="s">
        <v>239</v>
      </c>
      <c r="AE908" s="232">
        <v>167</v>
      </c>
      <c r="AF908" s="231" t="s">
        <v>239</v>
      </c>
      <c r="AG908" s="232">
        <v>152</v>
      </c>
      <c r="AH908" s="231" t="s">
        <v>239</v>
      </c>
      <c r="AI908" s="232">
        <v>277</v>
      </c>
      <c r="AJ908" s="231" t="s">
        <v>239</v>
      </c>
      <c r="AK908" s="232">
        <v>276</v>
      </c>
      <c r="AL908" s="232" t="s">
        <v>239</v>
      </c>
      <c r="AM908" s="232">
        <v>2466</v>
      </c>
    </row>
    <row r="909" spans="1:39" ht="15.75" outlineLevel="1">
      <c r="A909" s="411">
        <v>450</v>
      </c>
      <c r="B909" s="10">
        <v>129450</v>
      </c>
      <c r="C909" s="218" t="s">
        <v>1489</v>
      </c>
      <c r="D909" s="218" t="s">
        <v>1490</v>
      </c>
      <c r="E909" s="23" t="s">
        <v>44</v>
      </c>
      <c r="F909" s="17" t="s">
        <v>45</v>
      </c>
      <c r="G909" s="11" t="s">
        <v>1432</v>
      </c>
      <c r="H909" s="12">
        <v>33</v>
      </c>
      <c r="I909" s="11" t="s">
        <v>1433</v>
      </c>
      <c r="J909" s="193" t="s">
        <v>216</v>
      </c>
      <c r="K909" s="17" t="s">
        <v>233</v>
      </c>
      <c r="L909" s="17" t="s">
        <v>233</v>
      </c>
      <c r="M909" s="231">
        <v>22</v>
      </c>
      <c r="N909" s="231">
        <v>22</v>
      </c>
      <c r="O909" s="231">
        <v>22</v>
      </c>
      <c r="P909" s="231" t="s">
        <v>239</v>
      </c>
      <c r="Q909" s="231">
        <v>22</v>
      </c>
      <c r="R909" s="231" t="s">
        <v>239</v>
      </c>
      <c r="S909" s="231">
        <v>22</v>
      </c>
      <c r="T909" s="231" t="s">
        <v>239</v>
      </c>
      <c r="U909" s="231">
        <v>22</v>
      </c>
      <c r="V909" s="231" t="s">
        <v>239</v>
      </c>
      <c r="W909" s="231">
        <v>22</v>
      </c>
      <c r="X909" s="231" t="s">
        <v>239</v>
      </c>
      <c r="Y909" s="231">
        <v>22</v>
      </c>
      <c r="Z909" s="231" t="s">
        <v>239</v>
      </c>
      <c r="AA909" s="231">
        <v>22</v>
      </c>
      <c r="AB909" s="231" t="s">
        <v>239</v>
      </c>
      <c r="AC909" s="231">
        <v>22</v>
      </c>
      <c r="AD909" s="231" t="s">
        <v>239</v>
      </c>
      <c r="AE909" s="231">
        <v>22</v>
      </c>
      <c r="AF909" s="231" t="s">
        <v>239</v>
      </c>
      <c r="AG909" s="231">
        <v>22</v>
      </c>
      <c r="AH909" s="231" t="s">
        <v>239</v>
      </c>
      <c r="AI909" s="231">
        <v>22</v>
      </c>
      <c r="AJ909" s="231" t="s">
        <v>239</v>
      </c>
      <c r="AK909" s="231">
        <v>22</v>
      </c>
      <c r="AL909" s="232" t="s">
        <v>239</v>
      </c>
      <c r="AM909" s="232">
        <v>0</v>
      </c>
    </row>
    <row r="910" spans="1:39" ht="15.75" outlineLevel="1">
      <c r="A910" s="412"/>
      <c r="B910" s="10">
        <v>129450</v>
      </c>
      <c r="C910" s="218" t="s">
        <v>1489</v>
      </c>
      <c r="D910" s="218" t="s">
        <v>1490</v>
      </c>
      <c r="E910" s="23" t="s">
        <v>44</v>
      </c>
      <c r="F910" s="17" t="s">
        <v>45</v>
      </c>
      <c r="G910" s="11" t="s">
        <v>1432</v>
      </c>
      <c r="H910" s="12">
        <v>19</v>
      </c>
      <c r="I910" s="11" t="s">
        <v>1433</v>
      </c>
      <c r="J910" s="193" t="s">
        <v>1453</v>
      </c>
      <c r="K910" s="17" t="s">
        <v>233</v>
      </c>
      <c r="L910" s="17" t="s">
        <v>233</v>
      </c>
      <c r="M910" s="231">
        <v>0</v>
      </c>
      <c r="N910" s="232">
        <v>0</v>
      </c>
      <c r="O910" s="132">
        <v>416</v>
      </c>
      <c r="P910" s="231" t="s">
        <v>239</v>
      </c>
      <c r="Q910" s="232">
        <v>416</v>
      </c>
      <c r="R910" s="231" t="s">
        <v>239</v>
      </c>
      <c r="S910" s="232">
        <v>448</v>
      </c>
      <c r="T910" s="231" t="s">
        <v>239</v>
      </c>
      <c r="U910" s="232">
        <v>554</v>
      </c>
      <c r="V910" s="230" t="s">
        <v>239</v>
      </c>
      <c r="W910" s="232">
        <v>22</v>
      </c>
      <c r="X910" s="231" t="s">
        <v>239</v>
      </c>
      <c r="Y910" s="232">
        <v>84</v>
      </c>
      <c r="Z910" s="231" t="s">
        <v>239</v>
      </c>
      <c r="AA910" s="232">
        <v>8</v>
      </c>
      <c r="AB910" s="231" t="s">
        <v>239</v>
      </c>
      <c r="AC910" s="232">
        <v>424</v>
      </c>
      <c r="AD910" s="231" t="s">
        <v>239</v>
      </c>
      <c r="AE910" s="232">
        <v>268</v>
      </c>
      <c r="AF910" s="231" t="s">
        <v>239</v>
      </c>
      <c r="AG910" s="232">
        <v>287</v>
      </c>
      <c r="AH910" s="231" t="s">
        <v>239</v>
      </c>
      <c r="AI910" s="232">
        <v>14</v>
      </c>
      <c r="AJ910" s="231" t="s">
        <v>239</v>
      </c>
      <c r="AK910" s="232">
        <v>269</v>
      </c>
      <c r="AL910" s="232" t="s">
        <v>239</v>
      </c>
      <c r="AM910" s="232">
        <v>3210</v>
      </c>
    </row>
    <row r="911" spans="1:39" ht="15.75" outlineLevel="1">
      <c r="A911" s="411">
        <v>451</v>
      </c>
      <c r="B911" s="10">
        <v>129451</v>
      </c>
      <c r="C911" s="218" t="s">
        <v>1489</v>
      </c>
      <c r="D911" s="218" t="s">
        <v>1490</v>
      </c>
      <c r="E911" s="23" t="s">
        <v>138</v>
      </c>
      <c r="F911" s="17" t="s">
        <v>45</v>
      </c>
      <c r="G911" s="11" t="s">
        <v>1432</v>
      </c>
      <c r="H911" s="12">
        <v>6</v>
      </c>
      <c r="I911" s="11" t="s">
        <v>1433</v>
      </c>
      <c r="J911" s="193" t="s">
        <v>1454</v>
      </c>
      <c r="K911" s="17" t="s">
        <v>233</v>
      </c>
      <c r="L911" s="17" t="s">
        <v>233</v>
      </c>
      <c r="M911" s="231">
        <v>22</v>
      </c>
      <c r="N911" s="231">
        <v>22</v>
      </c>
      <c r="O911" s="231">
        <v>22</v>
      </c>
      <c r="P911" s="231" t="s">
        <v>239</v>
      </c>
      <c r="Q911" s="231">
        <v>22</v>
      </c>
      <c r="R911" s="231" t="s">
        <v>239</v>
      </c>
      <c r="S911" s="231">
        <v>22</v>
      </c>
      <c r="T911" s="231" t="s">
        <v>239</v>
      </c>
      <c r="U911" s="231">
        <v>22</v>
      </c>
      <c r="V911" s="231" t="s">
        <v>239</v>
      </c>
      <c r="W911" s="231">
        <v>22</v>
      </c>
      <c r="X911" s="231" t="s">
        <v>239</v>
      </c>
      <c r="Y911" s="231">
        <v>22</v>
      </c>
      <c r="Z911" s="231" t="s">
        <v>239</v>
      </c>
      <c r="AA911" s="231">
        <v>22</v>
      </c>
      <c r="AB911" s="231" t="s">
        <v>239</v>
      </c>
      <c r="AC911" s="231">
        <v>22</v>
      </c>
      <c r="AD911" s="231" t="s">
        <v>239</v>
      </c>
      <c r="AE911" s="231">
        <v>22</v>
      </c>
      <c r="AF911" s="231" t="s">
        <v>239</v>
      </c>
      <c r="AG911" s="231">
        <v>22</v>
      </c>
      <c r="AH911" s="231" t="s">
        <v>239</v>
      </c>
      <c r="AI911" s="231">
        <v>22</v>
      </c>
      <c r="AJ911" s="231" t="s">
        <v>239</v>
      </c>
      <c r="AK911" s="231">
        <v>22</v>
      </c>
      <c r="AL911" s="232" t="s">
        <v>239</v>
      </c>
      <c r="AM911" s="232">
        <v>0</v>
      </c>
    </row>
    <row r="912" spans="1:39" ht="15.75" outlineLevel="1">
      <c r="A912" s="412"/>
      <c r="B912" s="10">
        <v>129451</v>
      </c>
      <c r="C912" s="218" t="s">
        <v>1489</v>
      </c>
      <c r="D912" s="218" t="s">
        <v>1490</v>
      </c>
      <c r="E912" s="23" t="s">
        <v>44</v>
      </c>
      <c r="F912" s="17" t="s">
        <v>45</v>
      </c>
      <c r="G912" s="11" t="s">
        <v>1432</v>
      </c>
      <c r="H912" s="12">
        <v>15</v>
      </c>
      <c r="I912" s="11" t="s">
        <v>1433</v>
      </c>
      <c r="J912" s="191" t="s">
        <v>216</v>
      </c>
      <c r="K912" s="17" t="s">
        <v>233</v>
      </c>
      <c r="L912" s="17" t="s">
        <v>233</v>
      </c>
      <c r="M912" s="231">
        <v>0</v>
      </c>
      <c r="N912" s="232">
        <v>0</v>
      </c>
      <c r="O912" s="132">
        <v>0</v>
      </c>
      <c r="P912" s="231" t="s">
        <v>239</v>
      </c>
      <c r="Q912" s="232">
        <v>0</v>
      </c>
      <c r="R912" s="231" t="s">
        <v>239</v>
      </c>
      <c r="S912" s="232">
        <v>0</v>
      </c>
      <c r="T912" s="231" t="s">
        <v>239</v>
      </c>
      <c r="U912" s="232">
        <v>0</v>
      </c>
      <c r="V912" s="231" t="s">
        <v>239</v>
      </c>
      <c r="W912" s="232">
        <v>0</v>
      </c>
      <c r="X912" s="231" t="s">
        <v>239</v>
      </c>
      <c r="Y912" s="232">
        <v>0</v>
      </c>
      <c r="Z912" s="231" t="s">
        <v>239</v>
      </c>
      <c r="AA912" s="232">
        <v>0</v>
      </c>
      <c r="AB912" s="231" t="s">
        <v>239</v>
      </c>
      <c r="AC912" s="232">
        <v>0</v>
      </c>
      <c r="AD912" s="231" t="s">
        <v>239</v>
      </c>
      <c r="AE912" s="232">
        <v>0</v>
      </c>
      <c r="AF912" s="231" t="s">
        <v>239</v>
      </c>
      <c r="AG912" s="232">
        <v>0</v>
      </c>
      <c r="AH912" s="231" t="s">
        <v>239</v>
      </c>
      <c r="AI912" s="232">
        <v>0</v>
      </c>
      <c r="AJ912" s="231" t="s">
        <v>239</v>
      </c>
      <c r="AK912" s="232">
        <v>0</v>
      </c>
      <c r="AL912" s="232" t="s">
        <v>239</v>
      </c>
      <c r="AM912" s="232">
        <v>0</v>
      </c>
    </row>
    <row r="913" spans="1:39" ht="15.75" outlineLevel="1">
      <c r="A913" s="411">
        <v>452</v>
      </c>
      <c r="B913" s="10">
        <v>129452</v>
      </c>
      <c r="C913" s="218" t="s">
        <v>1489</v>
      </c>
      <c r="D913" s="218" t="s">
        <v>1490</v>
      </c>
      <c r="E913" s="23" t="s">
        <v>138</v>
      </c>
      <c r="F913" s="17" t="s">
        <v>45</v>
      </c>
      <c r="G913" s="11" t="s">
        <v>1432</v>
      </c>
      <c r="H913" s="12">
        <v>19</v>
      </c>
      <c r="I913" s="11" t="s">
        <v>1433</v>
      </c>
      <c r="J913" s="192" t="s">
        <v>1434</v>
      </c>
      <c r="K913" s="17" t="s">
        <v>233</v>
      </c>
      <c r="L913" s="17" t="s">
        <v>233</v>
      </c>
      <c r="M913" s="231">
        <v>22</v>
      </c>
      <c r="N913" s="231">
        <v>22</v>
      </c>
      <c r="O913" s="231">
        <v>22</v>
      </c>
      <c r="P913" s="231" t="s">
        <v>239</v>
      </c>
      <c r="Q913" s="231">
        <v>22</v>
      </c>
      <c r="R913" s="231" t="s">
        <v>239</v>
      </c>
      <c r="S913" s="231">
        <v>22</v>
      </c>
      <c r="T913" s="231" t="s">
        <v>239</v>
      </c>
      <c r="U913" s="231">
        <v>22</v>
      </c>
      <c r="V913" s="230" t="s">
        <v>239</v>
      </c>
      <c r="W913" s="231">
        <v>22</v>
      </c>
      <c r="X913" s="231" t="s">
        <v>239</v>
      </c>
      <c r="Y913" s="231">
        <v>22</v>
      </c>
      <c r="Z913" s="231" t="s">
        <v>239</v>
      </c>
      <c r="AA913" s="231">
        <v>22</v>
      </c>
      <c r="AB913" s="231" t="s">
        <v>239</v>
      </c>
      <c r="AC913" s="231">
        <v>22</v>
      </c>
      <c r="AD913" s="231" t="s">
        <v>239</v>
      </c>
      <c r="AE913" s="231">
        <v>22</v>
      </c>
      <c r="AF913" s="231" t="s">
        <v>239</v>
      </c>
      <c r="AG913" s="231">
        <v>22</v>
      </c>
      <c r="AH913" s="231" t="s">
        <v>239</v>
      </c>
      <c r="AI913" s="231">
        <v>22</v>
      </c>
      <c r="AJ913" s="231" t="s">
        <v>239</v>
      </c>
      <c r="AK913" s="231">
        <v>22</v>
      </c>
      <c r="AL913" s="232" t="s">
        <v>239</v>
      </c>
      <c r="AM913" s="232">
        <v>0</v>
      </c>
    </row>
    <row r="914" spans="1:39" ht="15.75" outlineLevel="1">
      <c r="A914" s="412"/>
      <c r="B914" s="10">
        <v>129452</v>
      </c>
      <c r="C914" s="218" t="s">
        <v>1489</v>
      </c>
      <c r="D914" s="218" t="s">
        <v>1490</v>
      </c>
      <c r="E914" s="23" t="s">
        <v>44</v>
      </c>
      <c r="F914" s="17" t="s">
        <v>45</v>
      </c>
      <c r="G914" s="11" t="s">
        <v>1432</v>
      </c>
      <c r="H914" s="12">
        <v>22</v>
      </c>
      <c r="I914" s="11" t="s">
        <v>1433</v>
      </c>
      <c r="J914" s="192" t="s">
        <v>1480</v>
      </c>
      <c r="K914" s="17" t="s">
        <v>233</v>
      </c>
      <c r="L914" s="17" t="s">
        <v>233</v>
      </c>
      <c r="M914" s="231">
        <v>0</v>
      </c>
      <c r="N914" s="232">
        <v>0</v>
      </c>
      <c r="O914" s="132">
        <v>361</v>
      </c>
      <c r="P914" s="231" t="s">
        <v>239</v>
      </c>
      <c r="Q914" s="232">
        <v>361</v>
      </c>
      <c r="R914" s="231" t="s">
        <v>239</v>
      </c>
      <c r="S914" s="232">
        <v>389</v>
      </c>
      <c r="T914" s="231" t="s">
        <v>239</v>
      </c>
      <c r="U914" s="232">
        <v>481</v>
      </c>
      <c r="V914" s="231" t="s">
        <v>239</v>
      </c>
      <c r="W914" s="232">
        <v>20</v>
      </c>
      <c r="X914" s="231" t="s">
        <v>239</v>
      </c>
      <c r="Y914" s="232">
        <v>72</v>
      </c>
      <c r="Z914" s="231" t="s">
        <v>239</v>
      </c>
      <c r="AA914" s="232">
        <v>7</v>
      </c>
      <c r="AB914" s="231" t="s">
        <v>239</v>
      </c>
      <c r="AC914" s="232">
        <v>368</v>
      </c>
      <c r="AD914" s="231" t="s">
        <v>239</v>
      </c>
      <c r="AE914" s="232">
        <v>233</v>
      </c>
      <c r="AF914" s="231" t="s">
        <v>239</v>
      </c>
      <c r="AG914" s="232">
        <v>210</v>
      </c>
      <c r="AH914" s="231" t="s">
        <v>239</v>
      </c>
      <c r="AI914" s="232">
        <v>4</v>
      </c>
      <c r="AJ914" s="231" t="s">
        <v>239</v>
      </c>
      <c r="AK914" s="232">
        <v>234</v>
      </c>
      <c r="AL914" s="232" t="s">
        <v>239</v>
      </c>
      <c r="AM914" s="232">
        <v>2740</v>
      </c>
    </row>
    <row r="915" spans="1:39" ht="15.75" outlineLevel="1">
      <c r="A915" s="411">
        <v>453</v>
      </c>
      <c r="B915" s="10">
        <v>129453</v>
      </c>
      <c r="C915" s="218" t="s">
        <v>1489</v>
      </c>
      <c r="D915" s="218" t="s">
        <v>1490</v>
      </c>
      <c r="E915" s="23" t="s">
        <v>44</v>
      </c>
      <c r="F915" s="17" t="s">
        <v>45</v>
      </c>
      <c r="G915" s="11" t="s">
        <v>1432</v>
      </c>
      <c r="H915" s="12">
        <v>24</v>
      </c>
      <c r="I915" s="11" t="s">
        <v>1433</v>
      </c>
      <c r="J915" s="192" t="s">
        <v>1452</v>
      </c>
      <c r="K915" s="17" t="s">
        <v>233</v>
      </c>
      <c r="L915" s="17" t="s">
        <v>233</v>
      </c>
      <c r="M915" s="231">
        <v>22</v>
      </c>
      <c r="N915" s="231">
        <v>22</v>
      </c>
      <c r="O915" s="231">
        <v>22</v>
      </c>
      <c r="P915" s="231" t="s">
        <v>239</v>
      </c>
      <c r="Q915" s="231">
        <v>22</v>
      </c>
      <c r="R915" s="231" t="s">
        <v>239</v>
      </c>
      <c r="S915" s="231">
        <v>22</v>
      </c>
      <c r="T915" s="231" t="s">
        <v>239</v>
      </c>
      <c r="U915" s="231">
        <v>22</v>
      </c>
      <c r="V915" s="231" t="s">
        <v>239</v>
      </c>
      <c r="W915" s="231">
        <v>22</v>
      </c>
      <c r="X915" s="231" t="s">
        <v>239</v>
      </c>
      <c r="Y915" s="231">
        <v>22</v>
      </c>
      <c r="Z915" s="231" t="s">
        <v>239</v>
      </c>
      <c r="AA915" s="231">
        <v>22</v>
      </c>
      <c r="AB915" s="231" t="s">
        <v>239</v>
      </c>
      <c r="AC915" s="231">
        <v>22</v>
      </c>
      <c r="AD915" s="231" t="s">
        <v>239</v>
      </c>
      <c r="AE915" s="231">
        <v>22</v>
      </c>
      <c r="AF915" s="231" t="s">
        <v>239</v>
      </c>
      <c r="AG915" s="231">
        <v>22</v>
      </c>
      <c r="AH915" s="231" t="s">
        <v>239</v>
      </c>
      <c r="AI915" s="231">
        <v>22</v>
      </c>
      <c r="AJ915" s="231" t="s">
        <v>239</v>
      </c>
      <c r="AK915" s="231">
        <v>22</v>
      </c>
      <c r="AL915" s="232" t="s">
        <v>239</v>
      </c>
      <c r="AM915" s="232">
        <v>0</v>
      </c>
    </row>
    <row r="916" spans="1:39" ht="15.75" outlineLevel="1">
      <c r="A916" s="412"/>
      <c r="B916" s="10">
        <v>129453</v>
      </c>
      <c r="C916" s="218" t="s">
        <v>1489</v>
      </c>
      <c r="D916" s="218" t="s">
        <v>1490</v>
      </c>
      <c r="E916" s="23" t="s">
        <v>138</v>
      </c>
      <c r="F916" s="17" t="s">
        <v>45</v>
      </c>
      <c r="G916" s="11" t="s">
        <v>1432</v>
      </c>
      <c r="H916" s="12">
        <v>16</v>
      </c>
      <c r="I916" s="11" t="s">
        <v>1433</v>
      </c>
      <c r="J916" s="374" t="s">
        <v>207</v>
      </c>
      <c r="K916" s="17" t="s">
        <v>233</v>
      </c>
      <c r="L916" s="17" t="s">
        <v>233</v>
      </c>
      <c r="M916" s="231">
        <v>0</v>
      </c>
      <c r="N916" s="232">
        <v>0</v>
      </c>
      <c r="O916" s="132">
        <v>0</v>
      </c>
      <c r="P916" s="231" t="s">
        <v>239</v>
      </c>
      <c r="Q916" s="232">
        <v>0</v>
      </c>
      <c r="R916" s="231" t="s">
        <v>239</v>
      </c>
      <c r="S916" s="232">
        <v>0</v>
      </c>
      <c r="T916" s="231" t="s">
        <v>239</v>
      </c>
      <c r="U916" s="232">
        <v>0</v>
      </c>
      <c r="V916" s="230" t="s">
        <v>239</v>
      </c>
      <c r="W916" s="232">
        <v>0</v>
      </c>
      <c r="X916" s="231" t="s">
        <v>239</v>
      </c>
      <c r="Y916" s="232">
        <v>0</v>
      </c>
      <c r="Z916" s="231" t="s">
        <v>239</v>
      </c>
      <c r="AA916" s="232">
        <v>0</v>
      </c>
      <c r="AB916" s="231" t="s">
        <v>239</v>
      </c>
      <c r="AC916" s="232">
        <v>0</v>
      </c>
      <c r="AD916" s="231" t="s">
        <v>239</v>
      </c>
      <c r="AE916" s="232">
        <v>0</v>
      </c>
      <c r="AF916" s="231" t="s">
        <v>239</v>
      </c>
      <c r="AG916" s="232">
        <v>0</v>
      </c>
      <c r="AH916" s="231" t="s">
        <v>239</v>
      </c>
      <c r="AI916" s="232">
        <v>0</v>
      </c>
      <c r="AJ916" s="231" t="s">
        <v>239</v>
      </c>
      <c r="AK916" s="232">
        <v>0</v>
      </c>
      <c r="AL916" s="232" t="s">
        <v>239</v>
      </c>
      <c r="AM916" s="232">
        <v>0</v>
      </c>
    </row>
    <row r="917" spans="1:39" ht="15.75" outlineLevel="1">
      <c r="A917" s="411">
        <v>454</v>
      </c>
      <c r="B917" s="10">
        <v>129454</v>
      </c>
      <c r="C917" s="218" t="s">
        <v>1489</v>
      </c>
      <c r="D917" s="218" t="s">
        <v>1490</v>
      </c>
      <c r="E917" s="23" t="s">
        <v>44</v>
      </c>
      <c r="F917" s="17" t="s">
        <v>45</v>
      </c>
      <c r="G917" s="11" t="s">
        <v>1432</v>
      </c>
      <c r="H917" s="12">
        <v>40</v>
      </c>
      <c r="I917" s="11" t="s">
        <v>1433</v>
      </c>
      <c r="J917" s="375"/>
      <c r="K917" s="17" t="s">
        <v>233</v>
      </c>
      <c r="L917" s="17" t="s">
        <v>233</v>
      </c>
      <c r="M917" s="231">
        <v>18.5</v>
      </c>
      <c r="N917" s="231">
        <v>18.5</v>
      </c>
      <c r="O917" s="231">
        <v>18.5</v>
      </c>
      <c r="P917" s="231" t="s">
        <v>239</v>
      </c>
      <c r="Q917" s="231">
        <v>18.5</v>
      </c>
      <c r="R917" s="231" t="s">
        <v>239</v>
      </c>
      <c r="S917" s="231">
        <v>18.5</v>
      </c>
      <c r="T917" s="231" t="s">
        <v>239</v>
      </c>
      <c r="U917" s="231">
        <v>18.5</v>
      </c>
      <c r="V917" s="231" t="s">
        <v>239</v>
      </c>
      <c r="W917" s="231">
        <v>18.5</v>
      </c>
      <c r="X917" s="231" t="s">
        <v>239</v>
      </c>
      <c r="Y917" s="231">
        <v>18.5</v>
      </c>
      <c r="Z917" s="231" t="s">
        <v>239</v>
      </c>
      <c r="AA917" s="231">
        <v>18.5</v>
      </c>
      <c r="AB917" s="231" t="s">
        <v>239</v>
      </c>
      <c r="AC917" s="231">
        <v>18.5</v>
      </c>
      <c r="AD917" s="231" t="s">
        <v>239</v>
      </c>
      <c r="AE917" s="231">
        <v>18.5</v>
      </c>
      <c r="AF917" s="231" t="s">
        <v>239</v>
      </c>
      <c r="AG917" s="231">
        <v>18.5</v>
      </c>
      <c r="AH917" s="231" t="s">
        <v>239</v>
      </c>
      <c r="AI917" s="231">
        <v>18.5</v>
      </c>
      <c r="AJ917" s="231" t="s">
        <v>239</v>
      </c>
      <c r="AK917" s="231">
        <v>18.5</v>
      </c>
      <c r="AL917" s="232" t="s">
        <v>239</v>
      </c>
      <c r="AM917" s="232">
        <v>0</v>
      </c>
    </row>
    <row r="918" spans="1:39" ht="15.75" outlineLevel="1">
      <c r="A918" s="412"/>
      <c r="B918" s="10">
        <v>129454</v>
      </c>
      <c r="C918" s="218" t="s">
        <v>1489</v>
      </c>
      <c r="D918" s="218" t="s">
        <v>1490</v>
      </c>
      <c r="E918" s="23" t="s">
        <v>138</v>
      </c>
      <c r="F918" s="17" t="s">
        <v>45</v>
      </c>
      <c r="G918" s="11" t="s">
        <v>1432</v>
      </c>
      <c r="H918" s="12">
        <v>16</v>
      </c>
      <c r="I918" s="11" t="s">
        <v>1433</v>
      </c>
      <c r="J918" s="193" t="s">
        <v>1451</v>
      </c>
      <c r="K918" s="17" t="s">
        <v>233</v>
      </c>
      <c r="L918" s="17" t="s">
        <v>233</v>
      </c>
      <c r="M918" s="231">
        <v>7162</v>
      </c>
      <c r="N918" s="232">
        <v>7075.05332</v>
      </c>
      <c r="O918" s="132">
        <v>518</v>
      </c>
      <c r="P918" s="231" t="s">
        <v>239</v>
      </c>
      <c r="Q918" s="232">
        <v>518</v>
      </c>
      <c r="R918" s="231" t="s">
        <v>239</v>
      </c>
      <c r="S918" s="232">
        <v>468</v>
      </c>
      <c r="T918" s="231" t="s">
        <v>239</v>
      </c>
      <c r="U918" s="232">
        <v>342</v>
      </c>
      <c r="V918" s="231" t="s">
        <v>239</v>
      </c>
      <c r="W918" s="232">
        <v>19</v>
      </c>
      <c r="X918" s="231" t="s">
        <v>239</v>
      </c>
      <c r="Y918" s="232">
        <v>156</v>
      </c>
      <c r="Z918" s="231" t="s">
        <v>239</v>
      </c>
      <c r="AA918" s="232">
        <v>0</v>
      </c>
      <c r="AB918" s="231" t="s">
        <v>239</v>
      </c>
      <c r="AC918" s="232">
        <v>4</v>
      </c>
      <c r="AD918" s="231" t="s">
        <v>239</v>
      </c>
      <c r="AE918" s="232">
        <v>23</v>
      </c>
      <c r="AF918" s="231" t="s">
        <v>239</v>
      </c>
      <c r="AG918" s="232">
        <v>4</v>
      </c>
      <c r="AH918" s="231" t="s">
        <v>239</v>
      </c>
      <c r="AI918" s="232">
        <v>4</v>
      </c>
      <c r="AJ918" s="231" t="s">
        <v>239</v>
      </c>
      <c r="AK918" s="232">
        <v>12</v>
      </c>
      <c r="AL918" s="232" t="s">
        <v>239</v>
      </c>
      <c r="AM918" s="232">
        <v>2068</v>
      </c>
    </row>
    <row r="919" spans="1:39" ht="15.75" outlineLevel="1">
      <c r="A919" s="411">
        <v>455</v>
      </c>
      <c r="B919" s="10">
        <v>129455</v>
      </c>
      <c r="C919" s="218" t="s">
        <v>1489</v>
      </c>
      <c r="D919" s="218" t="s">
        <v>1490</v>
      </c>
      <c r="E919" s="23" t="s">
        <v>44</v>
      </c>
      <c r="F919" s="17" t="s">
        <v>45</v>
      </c>
      <c r="G919" s="11" t="s">
        <v>1432</v>
      </c>
      <c r="H919" s="12">
        <v>28</v>
      </c>
      <c r="I919" s="11" t="s">
        <v>1433</v>
      </c>
      <c r="J919" s="193" t="s">
        <v>208</v>
      </c>
      <c r="K919" s="17" t="s">
        <v>233</v>
      </c>
      <c r="L919" s="17" t="s">
        <v>233</v>
      </c>
      <c r="M919" s="231">
        <v>18.5</v>
      </c>
      <c r="N919" s="231">
        <v>18.5</v>
      </c>
      <c r="O919" s="231">
        <v>18.5</v>
      </c>
      <c r="P919" s="231" t="s">
        <v>239</v>
      </c>
      <c r="Q919" s="231">
        <v>18.5</v>
      </c>
      <c r="R919" s="231" t="s">
        <v>239</v>
      </c>
      <c r="S919" s="231">
        <v>18.5</v>
      </c>
      <c r="T919" s="231" t="s">
        <v>239</v>
      </c>
      <c r="U919" s="231">
        <v>18.5</v>
      </c>
      <c r="V919" s="230" t="s">
        <v>239</v>
      </c>
      <c r="W919" s="231">
        <v>18.5</v>
      </c>
      <c r="X919" s="231" t="s">
        <v>239</v>
      </c>
      <c r="Y919" s="231">
        <v>18.5</v>
      </c>
      <c r="Z919" s="231" t="s">
        <v>239</v>
      </c>
      <c r="AA919" s="231">
        <v>18.5</v>
      </c>
      <c r="AB919" s="231" t="s">
        <v>239</v>
      </c>
      <c r="AC919" s="231">
        <v>18.5</v>
      </c>
      <c r="AD919" s="231" t="s">
        <v>239</v>
      </c>
      <c r="AE919" s="231">
        <v>18.5</v>
      </c>
      <c r="AF919" s="231" t="s">
        <v>239</v>
      </c>
      <c r="AG919" s="231">
        <v>18.5</v>
      </c>
      <c r="AH919" s="231" t="s">
        <v>239</v>
      </c>
      <c r="AI919" s="231">
        <v>18.5</v>
      </c>
      <c r="AJ919" s="231" t="s">
        <v>239</v>
      </c>
      <c r="AK919" s="231">
        <v>18.5</v>
      </c>
      <c r="AL919" s="232" t="s">
        <v>239</v>
      </c>
      <c r="AM919" s="232">
        <v>0</v>
      </c>
    </row>
    <row r="920" spans="1:39" ht="15.75" outlineLevel="1">
      <c r="A920" s="412"/>
      <c r="B920" s="10">
        <v>129455</v>
      </c>
      <c r="C920" s="218" t="s">
        <v>1489</v>
      </c>
      <c r="D920" s="218" t="s">
        <v>1490</v>
      </c>
      <c r="E920" s="23" t="s">
        <v>44</v>
      </c>
      <c r="F920" s="17" t="s">
        <v>45</v>
      </c>
      <c r="G920" s="11" t="s">
        <v>1432</v>
      </c>
      <c r="H920" s="12">
        <v>27</v>
      </c>
      <c r="I920" s="11" t="s">
        <v>1433</v>
      </c>
      <c r="J920" s="193" t="s">
        <v>1452</v>
      </c>
      <c r="K920" s="17" t="s">
        <v>233</v>
      </c>
      <c r="L920" s="17" t="s">
        <v>233</v>
      </c>
      <c r="M920" s="231">
        <v>0</v>
      </c>
      <c r="N920" s="232">
        <v>0</v>
      </c>
      <c r="O920" s="132">
        <v>0</v>
      </c>
      <c r="P920" s="231" t="s">
        <v>239</v>
      </c>
      <c r="Q920" s="232">
        <v>0</v>
      </c>
      <c r="R920" s="231" t="s">
        <v>239</v>
      </c>
      <c r="S920" s="232">
        <v>0</v>
      </c>
      <c r="T920" s="231" t="s">
        <v>239</v>
      </c>
      <c r="U920" s="232">
        <v>0</v>
      </c>
      <c r="V920" s="231" t="s">
        <v>239</v>
      </c>
      <c r="W920" s="232">
        <v>0</v>
      </c>
      <c r="X920" s="231" t="s">
        <v>239</v>
      </c>
      <c r="Y920" s="232">
        <v>0</v>
      </c>
      <c r="Z920" s="231" t="s">
        <v>239</v>
      </c>
      <c r="AA920" s="232">
        <v>0</v>
      </c>
      <c r="AB920" s="231" t="s">
        <v>239</v>
      </c>
      <c r="AC920" s="232">
        <v>0</v>
      </c>
      <c r="AD920" s="231" t="s">
        <v>239</v>
      </c>
      <c r="AE920" s="232">
        <v>0</v>
      </c>
      <c r="AF920" s="231" t="s">
        <v>239</v>
      </c>
      <c r="AG920" s="232">
        <v>0</v>
      </c>
      <c r="AH920" s="231" t="s">
        <v>239</v>
      </c>
      <c r="AI920" s="232">
        <v>0</v>
      </c>
      <c r="AJ920" s="231" t="s">
        <v>239</v>
      </c>
      <c r="AK920" s="232">
        <v>0</v>
      </c>
      <c r="AL920" s="232" t="s">
        <v>239</v>
      </c>
      <c r="AM920" s="232">
        <v>0</v>
      </c>
    </row>
    <row r="921" spans="1:39" ht="15.75" outlineLevel="1">
      <c r="A921" s="411">
        <v>456</v>
      </c>
      <c r="B921" s="10">
        <v>129456</v>
      </c>
      <c r="C921" s="218" t="s">
        <v>1489</v>
      </c>
      <c r="D921" s="218" t="s">
        <v>1490</v>
      </c>
      <c r="E921" s="23" t="s">
        <v>138</v>
      </c>
      <c r="F921" s="17" t="s">
        <v>45</v>
      </c>
      <c r="G921" s="11" t="s">
        <v>1432</v>
      </c>
      <c r="H921" s="12">
        <v>29</v>
      </c>
      <c r="I921" s="11" t="s">
        <v>1433</v>
      </c>
      <c r="J921" s="193" t="s">
        <v>216</v>
      </c>
      <c r="K921" s="17" t="s">
        <v>233</v>
      </c>
      <c r="L921" s="17" t="s">
        <v>233</v>
      </c>
      <c r="M921" s="231">
        <v>1</v>
      </c>
      <c r="N921" s="231">
        <v>1</v>
      </c>
      <c r="O921" s="231">
        <v>1</v>
      </c>
      <c r="P921" s="231" t="s">
        <v>239</v>
      </c>
      <c r="Q921" s="231">
        <v>1</v>
      </c>
      <c r="R921" s="231" t="s">
        <v>239</v>
      </c>
      <c r="S921" s="231">
        <v>1</v>
      </c>
      <c r="T921" s="231" t="s">
        <v>239</v>
      </c>
      <c r="U921" s="231">
        <v>1</v>
      </c>
      <c r="V921" s="231" t="s">
        <v>239</v>
      </c>
      <c r="W921" s="231">
        <v>1</v>
      </c>
      <c r="X921" s="231" t="s">
        <v>239</v>
      </c>
      <c r="Y921" s="231">
        <v>1</v>
      </c>
      <c r="Z921" s="231" t="s">
        <v>239</v>
      </c>
      <c r="AA921" s="231">
        <v>1</v>
      </c>
      <c r="AB921" s="231" t="s">
        <v>239</v>
      </c>
      <c r="AC921" s="231">
        <v>1</v>
      </c>
      <c r="AD921" s="231" t="s">
        <v>239</v>
      </c>
      <c r="AE921" s="231">
        <v>1</v>
      </c>
      <c r="AF921" s="231" t="s">
        <v>239</v>
      </c>
      <c r="AG921" s="231">
        <v>1</v>
      </c>
      <c r="AH921" s="231" t="s">
        <v>239</v>
      </c>
      <c r="AI921" s="231">
        <v>1</v>
      </c>
      <c r="AJ921" s="231" t="s">
        <v>239</v>
      </c>
      <c r="AK921" s="231">
        <v>1</v>
      </c>
      <c r="AL921" s="232" t="s">
        <v>239</v>
      </c>
      <c r="AM921" s="232">
        <v>0</v>
      </c>
    </row>
    <row r="922" spans="1:39" ht="15.75" outlineLevel="1">
      <c r="A922" s="412"/>
      <c r="B922" s="10">
        <v>129456</v>
      </c>
      <c r="C922" s="218" t="s">
        <v>1489</v>
      </c>
      <c r="D922" s="218" t="s">
        <v>1490</v>
      </c>
      <c r="E922" s="23" t="s">
        <v>44</v>
      </c>
      <c r="F922" s="17" t="s">
        <v>45</v>
      </c>
      <c r="G922" s="11" t="s">
        <v>1432</v>
      </c>
      <c r="H922" s="12">
        <v>24</v>
      </c>
      <c r="I922" s="11" t="s">
        <v>1433</v>
      </c>
      <c r="J922" s="193" t="s">
        <v>1453</v>
      </c>
      <c r="K922" s="17" t="s">
        <v>233</v>
      </c>
      <c r="L922" s="17" t="s">
        <v>233</v>
      </c>
      <c r="M922" s="231">
        <v>2870</v>
      </c>
      <c r="N922" s="232">
        <v>2835.1581999999999</v>
      </c>
      <c r="O922" s="132">
        <v>54</v>
      </c>
      <c r="P922" s="231" t="s">
        <v>239</v>
      </c>
      <c r="Q922" s="232">
        <v>54</v>
      </c>
      <c r="R922" s="231" t="s">
        <v>239</v>
      </c>
      <c r="S922" s="232">
        <v>182</v>
      </c>
      <c r="T922" s="231" t="s">
        <v>239</v>
      </c>
      <c r="U922" s="232">
        <v>242</v>
      </c>
      <c r="V922" s="230" t="s">
        <v>239</v>
      </c>
      <c r="W922" s="232">
        <v>14</v>
      </c>
      <c r="X922" s="231" t="s">
        <v>239</v>
      </c>
      <c r="Y922" s="232">
        <v>154</v>
      </c>
      <c r="Z922" s="231" t="s">
        <v>239</v>
      </c>
      <c r="AA922" s="232">
        <v>58</v>
      </c>
      <c r="AB922" s="231" t="s">
        <v>239</v>
      </c>
      <c r="AC922" s="232">
        <v>154</v>
      </c>
      <c r="AD922" s="231" t="s">
        <v>239</v>
      </c>
      <c r="AE922" s="232">
        <v>148</v>
      </c>
      <c r="AF922" s="231" t="s">
        <v>239</v>
      </c>
      <c r="AG922" s="232">
        <v>143</v>
      </c>
      <c r="AH922" s="231" t="s">
        <v>239</v>
      </c>
      <c r="AI922" s="232">
        <v>194</v>
      </c>
      <c r="AJ922" s="231" t="s">
        <v>239</v>
      </c>
      <c r="AK922" s="232">
        <v>244</v>
      </c>
      <c r="AL922" s="232" t="s">
        <v>239</v>
      </c>
      <c r="AM922" s="232">
        <v>1641</v>
      </c>
    </row>
    <row r="923" spans="1:39" ht="15.75" outlineLevel="1">
      <c r="A923" s="411">
        <v>457</v>
      </c>
      <c r="B923" s="10">
        <v>129457</v>
      </c>
      <c r="C923" s="218" t="s">
        <v>1489</v>
      </c>
      <c r="D923" s="218" t="s">
        <v>1490</v>
      </c>
      <c r="E923" s="23" t="s">
        <v>138</v>
      </c>
      <c r="F923" s="17" t="s">
        <v>45</v>
      </c>
      <c r="G923" s="11" t="s">
        <v>1432</v>
      </c>
      <c r="H923" s="12">
        <v>10</v>
      </c>
      <c r="I923" s="11" t="s">
        <v>1433</v>
      </c>
      <c r="J923" s="193" t="s">
        <v>1454</v>
      </c>
      <c r="K923" s="17" t="s">
        <v>233</v>
      </c>
      <c r="L923" s="17" t="s">
        <v>233</v>
      </c>
      <c r="M923" s="231">
        <v>0.9</v>
      </c>
      <c r="N923" s="231">
        <v>0.9</v>
      </c>
      <c r="O923" s="231">
        <v>0.9</v>
      </c>
      <c r="P923" s="231" t="s">
        <v>239</v>
      </c>
      <c r="Q923" s="231">
        <v>0.9</v>
      </c>
      <c r="R923" s="231" t="s">
        <v>239</v>
      </c>
      <c r="S923" s="231">
        <v>0.9</v>
      </c>
      <c r="T923" s="231" t="s">
        <v>239</v>
      </c>
      <c r="U923" s="231">
        <v>0.9</v>
      </c>
      <c r="V923" s="231" t="s">
        <v>239</v>
      </c>
      <c r="W923" s="231">
        <v>0.9</v>
      </c>
      <c r="X923" s="231" t="s">
        <v>239</v>
      </c>
      <c r="Y923" s="231">
        <v>0.9</v>
      </c>
      <c r="Z923" s="231" t="s">
        <v>239</v>
      </c>
      <c r="AA923" s="231">
        <v>0.9</v>
      </c>
      <c r="AB923" s="231" t="s">
        <v>239</v>
      </c>
      <c r="AC923" s="231">
        <v>0.9</v>
      </c>
      <c r="AD923" s="231" t="s">
        <v>239</v>
      </c>
      <c r="AE923" s="231">
        <v>0.9</v>
      </c>
      <c r="AF923" s="231" t="s">
        <v>239</v>
      </c>
      <c r="AG923" s="231">
        <v>0.9</v>
      </c>
      <c r="AH923" s="231" t="s">
        <v>239</v>
      </c>
      <c r="AI923" s="231">
        <v>0.9</v>
      </c>
      <c r="AJ923" s="231" t="s">
        <v>239</v>
      </c>
      <c r="AK923" s="231">
        <v>0.9</v>
      </c>
      <c r="AL923" s="232" t="s">
        <v>239</v>
      </c>
      <c r="AM923" s="232">
        <v>0</v>
      </c>
    </row>
    <row r="924" spans="1:39" ht="15.75" outlineLevel="1">
      <c r="A924" s="412"/>
      <c r="B924" s="10">
        <v>129457</v>
      </c>
      <c r="C924" s="218" t="s">
        <v>1489</v>
      </c>
      <c r="D924" s="218" t="s">
        <v>1490</v>
      </c>
      <c r="E924" s="23" t="s">
        <v>44</v>
      </c>
      <c r="F924" s="17" t="s">
        <v>45</v>
      </c>
      <c r="G924" s="11" t="s">
        <v>1432</v>
      </c>
      <c r="H924" s="12">
        <v>17</v>
      </c>
      <c r="I924" s="11" t="s">
        <v>1433</v>
      </c>
      <c r="J924" s="191" t="s">
        <v>216</v>
      </c>
      <c r="K924" s="17" t="s">
        <v>233</v>
      </c>
      <c r="L924" s="17" t="s">
        <v>233</v>
      </c>
      <c r="M924" s="231">
        <v>8869</v>
      </c>
      <c r="N924" s="232">
        <v>8761.3303400000004</v>
      </c>
      <c r="O924" s="132">
        <v>1325</v>
      </c>
      <c r="P924" s="231" t="s">
        <v>239</v>
      </c>
      <c r="Q924" s="232">
        <v>1325</v>
      </c>
      <c r="R924" s="231" t="s">
        <v>239</v>
      </c>
      <c r="S924" s="232">
        <v>1241</v>
      </c>
      <c r="T924" s="231" t="s">
        <v>239</v>
      </c>
      <c r="U924" s="232">
        <v>11196</v>
      </c>
      <c r="V924" s="231" t="s">
        <v>239</v>
      </c>
      <c r="W924" s="232">
        <v>1060</v>
      </c>
      <c r="X924" s="231" t="s">
        <v>239</v>
      </c>
      <c r="Y924" s="232">
        <v>961</v>
      </c>
      <c r="Z924" s="231" t="s">
        <v>239</v>
      </c>
      <c r="AA924" s="232">
        <v>906</v>
      </c>
      <c r="AB924" s="231" t="s">
        <v>239</v>
      </c>
      <c r="AC924" s="232">
        <v>1150</v>
      </c>
      <c r="AD924" s="231" t="s">
        <v>239</v>
      </c>
      <c r="AE924" s="232">
        <v>1137</v>
      </c>
      <c r="AF924" s="231" t="s">
        <v>239</v>
      </c>
      <c r="AG924" s="232">
        <v>1435</v>
      </c>
      <c r="AH924" s="231" t="s">
        <v>239</v>
      </c>
      <c r="AI924" s="232">
        <v>1530</v>
      </c>
      <c r="AJ924" s="231" t="s">
        <v>239</v>
      </c>
      <c r="AK924" s="232">
        <v>1600</v>
      </c>
      <c r="AL924" s="232" t="s">
        <v>239</v>
      </c>
      <c r="AM924" s="232">
        <v>24866</v>
      </c>
    </row>
    <row r="925" spans="1:39" ht="15.75" outlineLevel="1">
      <c r="A925" s="411">
        <v>458</v>
      </c>
      <c r="B925" s="10">
        <v>129458</v>
      </c>
      <c r="C925" s="218" t="s">
        <v>1489</v>
      </c>
      <c r="D925" s="218" t="s">
        <v>1490</v>
      </c>
      <c r="E925" s="23" t="s">
        <v>44</v>
      </c>
      <c r="F925" s="17" t="s">
        <v>45</v>
      </c>
      <c r="G925" s="11" t="s">
        <v>1432</v>
      </c>
      <c r="H925" s="12">
        <v>32</v>
      </c>
      <c r="I925" s="11" t="s">
        <v>1433</v>
      </c>
      <c r="J925" s="192" t="s">
        <v>1434</v>
      </c>
      <c r="K925" s="17" t="s">
        <v>233</v>
      </c>
      <c r="L925" s="17" t="s">
        <v>233</v>
      </c>
      <c r="M925" s="231">
        <v>0.9</v>
      </c>
      <c r="N925" s="231">
        <v>0.9</v>
      </c>
      <c r="O925" s="231">
        <v>0.9</v>
      </c>
      <c r="P925" s="231" t="s">
        <v>239</v>
      </c>
      <c r="Q925" s="231">
        <v>0.9</v>
      </c>
      <c r="R925" s="231" t="s">
        <v>239</v>
      </c>
      <c r="S925" s="231">
        <v>0.9</v>
      </c>
      <c r="T925" s="231" t="s">
        <v>239</v>
      </c>
      <c r="U925" s="231">
        <v>0.9</v>
      </c>
      <c r="V925" s="230" t="s">
        <v>239</v>
      </c>
      <c r="W925" s="231">
        <v>0.9</v>
      </c>
      <c r="X925" s="231" t="s">
        <v>239</v>
      </c>
      <c r="Y925" s="231">
        <v>0.9</v>
      </c>
      <c r="Z925" s="231" t="s">
        <v>239</v>
      </c>
      <c r="AA925" s="231">
        <v>0.9</v>
      </c>
      <c r="AB925" s="231" t="s">
        <v>239</v>
      </c>
      <c r="AC925" s="231">
        <v>0.9</v>
      </c>
      <c r="AD925" s="231" t="s">
        <v>239</v>
      </c>
      <c r="AE925" s="231">
        <v>0.9</v>
      </c>
      <c r="AF925" s="231" t="s">
        <v>239</v>
      </c>
      <c r="AG925" s="231">
        <v>0.9</v>
      </c>
      <c r="AH925" s="231" t="s">
        <v>239</v>
      </c>
      <c r="AI925" s="231">
        <v>0.9</v>
      </c>
      <c r="AJ925" s="231" t="s">
        <v>239</v>
      </c>
      <c r="AK925" s="231">
        <v>0.9</v>
      </c>
      <c r="AL925" s="232" t="s">
        <v>239</v>
      </c>
      <c r="AM925" s="232">
        <v>0</v>
      </c>
    </row>
    <row r="926" spans="1:39" ht="15.75" outlineLevel="1">
      <c r="A926" s="412"/>
      <c r="B926" s="10">
        <v>129458</v>
      </c>
      <c r="C926" s="218" t="s">
        <v>1489</v>
      </c>
      <c r="D926" s="218" t="s">
        <v>1490</v>
      </c>
      <c r="E926" s="23" t="s">
        <v>138</v>
      </c>
      <c r="F926" s="17" t="s">
        <v>45</v>
      </c>
      <c r="G926" s="11" t="s">
        <v>1432</v>
      </c>
      <c r="H926" s="12">
        <v>8</v>
      </c>
      <c r="I926" s="11" t="s">
        <v>1433</v>
      </c>
      <c r="J926" s="192" t="s">
        <v>1480</v>
      </c>
      <c r="K926" s="17" t="s">
        <v>233</v>
      </c>
      <c r="L926" s="17" t="s">
        <v>233</v>
      </c>
      <c r="M926" s="231">
        <v>0</v>
      </c>
      <c r="N926" s="232">
        <v>0</v>
      </c>
      <c r="O926" s="132">
        <v>0</v>
      </c>
      <c r="P926" s="231" t="s">
        <v>239</v>
      </c>
      <c r="Q926" s="232">
        <v>0</v>
      </c>
      <c r="R926" s="231" t="s">
        <v>239</v>
      </c>
      <c r="S926" s="232">
        <v>0</v>
      </c>
      <c r="T926" s="231" t="s">
        <v>239</v>
      </c>
      <c r="U926" s="232">
        <v>0</v>
      </c>
      <c r="V926" s="231" t="s">
        <v>239</v>
      </c>
      <c r="W926" s="232">
        <v>0</v>
      </c>
      <c r="X926" s="231" t="s">
        <v>239</v>
      </c>
      <c r="Y926" s="232">
        <v>0</v>
      </c>
      <c r="Z926" s="231" t="s">
        <v>239</v>
      </c>
      <c r="AA926" s="232">
        <v>0</v>
      </c>
      <c r="AB926" s="231" t="s">
        <v>239</v>
      </c>
      <c r="AC926" s="232">
        <v>0</v>
      </c>
      <c r="AD926" s="231" t="s">
        <v>239</v>
      </c>
      <c r="AE926" s="232">
        <v>0</v>
      </c>
      <c r="AF926" s="231" t="s">
        <v>239</v>
      </c>
      <c r="AG926" s="232">
        <v>0</v>
      </c>
      <c r="AH926" s="231" t="s">
        <v>239</v>
      </c>
      <c r="AI926" s="232">
        <v>0</v>
      </c>
      <c r="AJ926" s="231" t="s">
        <v>239</v>
      </c>
      <c r="AK926" s="232">
        <v>0</v>
      </c>
      <c r="AL926" s="232" t="s">
        <v>239</v>
      </c>
      <c r="AM926" s="232">
        <v>0</v>
      </c>
    </row>
    <row r="927" spans="1:39" ht="15.75" outlineLevel="1">
      <c r="A927" s="411">
        <v>459</v>
      </c>
      <c r="B927" s="10">
        <v>129459</v>
      </c>
      <c r="C927" s="218" t="s">
        <v>1489</v>
      </c>
      <c r="D927" s="218" t="s">
        <v>1490</v>
      </c>
      <c r="E927" s="23" t="s">
        <v>44</v>
      </c>
      <c r="F927" s="17" t="s">
        <v>45</v>
      </c>
      <c r="G927" s="11" t="s">
        <v>1432</v>
      </c>
      <c r="H927" s="12">
        <v>12</v>
      </c>
      <c r="I927" s="11" t="s">
        <v>1433</v>
      </c>
      <c r="J927" s="192" t="s">
        <v>1452</v>
      </c>
      <c r="K927" s="17" t="s">
        <v>233</v>
      </c>
      <c r="L927" s="17" t="s">
        <v>233</v>
      </c>
      <c r="M927" s="231">
        <v>9</v>
      </c>
      <c r="N927" s="231">
        <v>9</v>
      </c>
      <c r="O927" s="231">
        <v>9</v>
      </c>
      <c r="P927" s="231" t="s">
        <v>239</v>
      </c>
      <c r="Q927" s="231">
        <v>9</v>
      </c>
      <c r="R927" s="231" t="s">
        <v>239</v>
      </c>
      <c r="S927" s="231">
        <v>9</v>
      </c>
      <c r="T927" s="231" t="s">
        <v>239</v>
      </c>
      <c r="U927" s="231">
        <v>9</v>
      </c>
      <c r="V927" s="231" t="s">
        <v>239</v>
      </c>
      <c r="W927" s="231">
        <v>9</v>
      </c>
      <c r="X927" s="231" t="s">
        <v>239</v>
      </c>
      <c r="Y927" s="231">
        <v>9</v>
      </c>
      <c r="Z927" s="231" t="s">
        <v>239</v>
      </c>
      <c r="AA927" s="231">
        <v>9</v>
      </c>
      <c r="AB927" s="231" t="s">
        <v>239</v>
      </c>
      <c r="AC927" s="231">
        <v>9</v>
      </c>
      <c r="AD927" s="231" t="s">
        <v>239</v>
      </c>
      <c r="AE927" s="231">
        <v>9</v>
      </c>
      <c r="AF927" s="231" t="s">
        <v>239</v>
      </c>
      <c r="AG927" s="231">
        <v>9</v>
      </c>
      <c r="AH927" s="231" t="s">
        <v>239</v>
      </c>
      <c r="AI927" s="231">
        <v>9</v>
      </c>
      <c r="AJ927" s="231" t="s">
        <v>239</v>
      </c>
      <c r="AK927" s="231">
        <v>9</v>
      </c>
      <c r="AL927" s="232" t="s">
        <v>239</v>
      </c>
      <c r="AM927" s="232">
        <v>0</v>
      </c>
    </row>
    <row r="928" spans="1:39" ht="15.75" outlineLevel="1">
      <c r="A928" s="412"/>
      <c r="B928" s="10">
        <v>129459</v>
      </c>
      <c r="C928" s="218" t="s">
        <v>1489</v>
      </c>
      <c r="D928" s="218" t="s">
        <v>1490</v>
      </c>
      <c r="E928" s="23" t="s">
        <v>44</v>
      </c>
      <c r="F928" s="17" t="s">
        <v>45</v>
      </c>
      <c r="G928" s="11" t="s">
        <v>1432</v>
      </c>
      <c r="H928" s="12">
        <v>18</v>
      </c>
      <c r="I928" s="11" t="s">
        <v>1433</v>
      </c>
      <c r="J928" s="374" t="s">
        <v>207</v>
      </c>
      <c r="K928" s="17" t="s">
        <v>233</v>
      </c>
      <c r="L928" s="17" t="s">
        <v>233</v>
      </c>
      <c r="M928" s="231">
        <v>492</v>
      </c>
      <c r="N928" s="232">
        <v>486.02711999999997</v>
      </c>
      <c r="O928" s="132">
        <v>228</v>
      </c>
      <c r="P928" s="231" t="s">
        <v>239</v>
      </c>
      <c r="Q928" s="232">
        <v>228</v>
      </c>
      <c r="R928" s="231" t="s">
        <v>239</v>
      </c>
      <c r="S928" s="232">
        <v>244</v>
      </c>
      <c r="T928" s="231" t="s">
        <v>239</v>
      </c>
      <c r="U928" s="232">
        <v>241</v>
      </c>
      <c r="V928" s="230" t="s">
        <v>239</v>
      </c>
      <c r="W928" s="232">
        <v>224</v>
      </c>
      <c r="X928" s="231" t="s">
        <v>239</v>
      </c>
      <c r="Y928" s="232">
        <v>236</v>
      </c>
      <c r="Z928" s="231" t="s">
        <v>239</v>
      </c>
      <c r="AA928" s="232">
        <v>208</v>
      </c>
      <c r="AB928" s="231" t="s">
        <v>239</v>
      </c>
      <c r="AC928" s="232">
        <v>189</v>
      </c>
      <c r="AD928" s="231" t="s">
        <v>239</v>
      </c>
      <c r="AE928" s="232">
        <v>211</v>
      </c>
      <c r="AF928" s="231" t="s">
        <v>239</v>
      </c>
      <c r="AG928" s="232">
        <v>206</v>
      </c>
      <c r="AH928" s="231" t="s">
        <v>239</v>
      </c>
      <c r="AI928" s="232">
        <v>207</v>
      </c>
      <c r="AJ928" s="231" t="s">
        <v>239</v>
      </c>
      <c r="AK928" s="232">
        <v>226</v>
      </c>
      <c r="AL928" s="232" t="s">
        <v>239</v>
      </c>
      <c r="AM928" s="232">
        <v>2648</v>
      </c>
    </row>
    <row r="929" spans="1:39" ht="15.75" outlineLevel="1">
      <c r="A929" s="411">
        <v>460</v>
      </c>
      <c r="B929" s="10">
        <v>129460</v>
      </c>
      <c r="C929" s="218" t="s">
        <v>1489</v>
      </c>
      <c r="D929" s="218" t="s">
        <v>1490</v>
      </c>
      <c r="E929" s="23" t="s">
        <v>138</v>
      </c>
      <c r="F929" s="17" t="s">
        <v>45</v>
      </c>
      <c r="G929" s="11" t="s">
        <v>1432</v>
      </c>
      <c r="H929" s="12">
        <v>17</v>
      </c>
      <c r="I929" s="11" t="s">
        <v>1433</v>
      </c>
      <c r="J929" s="375"/>
      <c r="K929" s="17" t="s">
        <v>233</v>
      </c>
      <c r="L929" s="17" t="s">
        <v>233</v>
      </c>
      <c r="M929" s="231">
        <v>0</v>
      </c>
      <c r="N929" s="232">
        <v>0</v>
      </c>
      <c r="O929" s="132">
        <v>0</v>
      </c>
      <c r="P929" s="231" t="s">
        <v>239</v>
      </c>
      <c r="Q929" s="232">
        <v>0</v>
      </c>
      <c r="R929" s="231" t="s">
        <v>239</v>
      </c>
      <c r="S929" s="232">
        <v>0</v>
      </c>
      <c r="T929" s="231" t="s">
        <v>239</v>
      </c>
      <c r="U929" s="232">
        <v>0</v>
      </c>
      <c r="V929" s="231" t="s">
        <v>239</v>
      </c>
      <c r="W929" s="232">
        <v>0</v>
      </c>
      <c r="X929" s="231" t="s">
        <v>239</v>
      </c>
      <c r="Y929" s="232">
        <v>0</v>
      </c>
      <c r="Z929" s="231" t="s">
        <v>239</v>
      </c>
      <c r="AA929" s="232">
        <v>0</v>
      </c>
      <c r="AB929" s="231" t="s">
        <v>239</v>
      </c>
      <c r="AC929" s="232">
        <v>0</v>
      </c>
      <c r="AD929" s="231" t="s">
        <v>239</v>
      </c>
      <c r="AE929" s="232">
        <v>0</v>
      </c>
      <c r="AF929" s="231" t="s">
        <v>239</v>
      </c>
      <c r="AG929" s="232">
        <v>0</v>
      </c>
      <c r="AH929" s="231" t="s">
        <v>239</v>
      </c>
      <c r="AI929" s="232">
        <v>0</v>
      </c>
      <c r="AJ929" s="231" t="s">
        <v>239</v>
      </c>
      <c r="AK929" s="232">
        <v>0</v>
      </c>
      <c r="AL929" s="232" t="s">
        <v>239</v>
      </c>
      <c r="AM929" s="232">
        <v>0</v>
      </c>
    </row>
    <row r="930" spans="1:39" ht="15.75" outlineLevel="1">
      <c r="A930" s="412"/>
      <c r="B930" s="10">
        <v>129460</v>
      </c>
      <c r="C930" s="218" t="s">
        <v>1489</v>
      </c>
      <c r="D930" s="218" t="s">
        <v>1490</v>
      </c>
      <c r="E930" s="23" t="s">
        <v>44</v>
      </c>
      <c r="F930" s="17" t="s">
        <v>45</v>
      </c>
      <c r="G930" s="11" t="s">
        <v>1432</v>
      </c>
      <c r="H930" s="12">
        <v>25</v>
      </c>
      <c r="I930" s="11" t="s">
        <v>1433</v>
      </c>
      <c r="J930" s="193" t="s">
        <v>1460</v>
      </c>
      <c r="K930" s="17" t="s">
        <v>233</v>
      </c>
      <c r="L930" s="17" t="s">
        <v>233</v>
      </c>
      <c r="M930" s="231">
        <v>6000</v>
      </c>
      <c r="N930" s="232">
        <v>5927.16</v>
      </c>
      <c r="O930" s="132">
        <v>958</v>
      </c>
      <c r="P930" s="231" t="s">
        <v>239</v>
      </c>
      <c r="Q930" s="232">
        <v>958</v>
      </c>
      <c r="R930" s="231" t="s">
        <v>239</v>
      </c>
      <c r="S930" s="232">
        <v>686</v>
      </c>
      <c r="T930" s="231" t="s">
        <v>239</v>
      </c>
      <c r="U930" s="232">
        <v>640</v>
      </c>
      <c r="V930" s="231" t="s">
        <v>239</v>
      </c>
      <c r="W930" s="232">
        <v>625</v>
      </c>
      <c r="X930" s="231" t="s">
        <v>239</v>
      </c>
      <c r="Y930" s="232">
        <v>380</v>
      </c>
      <c r="Z930" s="231" t="s">
        <v>239</v>
      </c>
      <c r="AA930" s="232">
        <v>118</v>
      </c>
      <c r="AB930" s="231" t="s">
        <v>239</v>
      </c>
      <c r="AC930" s="232">
        <v>542</v>
      </c>
      <c r="AD930" s="231" t="s">
        <v>239</v>
      </c>
      <c r="AE930" s="232">
        <v>400</v>
      </c>
      <c r="AF930" s="231" t="s">
        <v>239</v>
      </c>
      <c r="AG930" s="232">
        <v>539</v>
      </c>
      <c r="AH930" s="231" t="s">
        <v>239</v>
      </c>
      <c r="AI930" s="232">
        <v>645</v>
      </c>
      <c r="AJ930" s="231" t="s">
        <v>239</v>
      </c>
      <c r="AK930" s="232">
        <v>736</v>
      </c>
      <c r="AL930" s="232" t="s">
        <v>239</v>
      </c>
      <c r="AM930" s="232">
        <v>7227</v>
      </c>
    </row>
    <row r="931" spans="1:39" ht="15.75" outlineLevel="1">
      <c r="A931" s="411">
        <v>461</v>
      </c>
      <c r="B931" s="10">
        <v>129461</v>
      </c>
      <c r="C931" s="218" t="s">
        <v>1489</v>
      </c>
      <c r="D931" s="218" t="s">
        <v>1490</v>
      </c>
      <c r="E931" s="23" t="s">
        <v>138</v>
      </c>
      <c r="F931" s="17" t="s">
        <v>45</v>
      </c>
      <c r="G931" s="11" t="s">
        <v>1432</v>
      </c>
      <c r="H931" s="12">
        <v>13</v>
      </c>
      <c r="I931" s="11" t="s">
        <v>1433</v>
      </c>
      <c r="J931" s="193" t="s">
        <v>1442</v>
      </c>
      <c r="K931" s="17" t="s">
        <v>233</v>
      </c>
      <c r="L931" s="17" t="s">
        <v>233</v>
      </c>
      <c r="M931" s="231">
        <v>0</v>
      </c>
      <c r="N931" s="232">
        <v>0</v>
      </c>
      <c r="O931" s="132">
        <v>0</v>
      </c>
      <c r="P931" s="231" t="s">
        <v>239</v>
      </c>
      <c r="Q931" s="232">
        <v>0</v>
      </c>
      <c r="R931" s="231" t="s">
        <v>239</v>
      </c>
      <c r="S931" s="232">
        <v>0</v>
      </c>
      <c r="T931" s="231" t="s">
        <v>239</v>
      </c>
      <c r="U931" s="232">
        <v>0</v>
      </c>
      <c r="V931" s="230" t="s">
        <v>239</v>
      </c>
      <c r="W931" s="232">
        <v>0</v>
      </c>
      <c r="X931" s="231" t="s">
        <v>239</v>
      </c>
      <c r="Y931" s="232">
        <v>0</v>
      </c>
      <c r="Z931" s="231" t="s">
        <v>239</v>
      </c>
      <c r="AA931" s="232">
        <v>0</v>
      </c>
      <c r="AB931" s="231" t="s">
        <v>239</v>
      </c>
      <c r="AC931" s="232">
        <v>0</v>
      </c>
      <c r="AD931" s="231" t="s">
        <v>239</v>
      </c>
      <c r="AE931" s="232">
        <v>0</v>
      </c>
      <c r="AF931" s="231" t="s">
        <v>239</v>
      </c>
      <c r="AG931" s="232">
        <v>0</v>
      </c>
      <c r="AH931" s="231" t="s">
        <v>239</v>
      </c>
      <c r="AI931" s="232">
        <v>0</v>
      </c>
      <c r="AJ931" s="231" t="s">
        <v>239</v>
      </c>
      <c r="AK931" s="232">
        <v>0</v>
      </c>
      <c r="AL931" s="232" t="s">
        <v>239</v>
      </c>
      <c r="AM931" s="232">
        <v>0</v>
      </c>
    </row>
    <row r="932" spans="1:39" ht="15.75" outlineLevel="1">
      <c r="A932" s="412"/>
      <c r="B932" s="10">
        <v>129461</v>
      </c>
      <c r="C932" s="218" t="s">
        <v>1489</v>
      </c>
      <c r="D932" s="218" t="s">
        <v>1490</v>
      </c>
      <c r="E932" s="23" t="s">
        <v>44</v>
      </c>
      <c r="F932" s="17" t="s">
        <v>45</v>
      </c>
      <c r="G932" s="11" t="s">
        <v>1432</v>
      </c>
      <c r="H932" s="12">
        <v>5</v>
      </c>
      <c r="I932" s="11" t="s">
        <v>1433</v>
      </c>
      <c r="J932" s="193" t="s">
        <v>1451</v>
      </c>
      <c r="K932" s="17" t="s">
        <v>233</v>
      </c>
      <c r="L932" s="17" t="s">
        <v>233</v>
      </c>
      <c r="M932" s="231">
        <v>0</v>
      </c>
      <c r="N932" s="232">
        <v>0</v>
      </c>
      <c r="O932" s="132">
        <v>0</v>
      </c>
      <c r="P932" s="231" t="s">
        <v>239</v>
      </c>
      <c r="Q932" s="232">
        <v>0</v>
      </c>
      <c r="R932" s="231" t="s">
        <v>239</v>
      </c>
      <c r="S932" s="232">
        <v>0</v>
      </c>
      <c r="T932" s="231" t="s">
        <v>239</v>
      </c>
      <c r="U932" s="232">
        <v>0</v>
      </c>
      <c r="V932" s="231" t="s">
        <v>239</v>
      </c>
      <c r="W932" s="232">
        <v>0</v>
      </c>
      <c r="X932" s="231" t="s">
        <v>239</v>
      </c>
      <c r="Y932" s="232">
        <v>0</v>
      </c>
      <c r="Z932" s="231" t="s">
        <v>239</v>
      </c>
      <c r="AA932" s="232">
        <v>0</v>
      </c>
      <c r="AB932" s="231" t="s">
        <v>239</v>
      </c>
      <c r="AC932" s="232">
        <v>0</v>
      </c>
      <c r="AD932" s="231" t="s">
        <v>239</v>
      </c>
      <c r="AE932" s="232">
        <v>0</v>
      </c>
      <c r="AF932" s="231" t="s">
        <v>239</v>
      </c>
      <c r="AG932" s="232">
        <v>0</v>
      </c>
      <c r="AH932" s="231" t="s">
        <v>239</v>
      </c>
      <c r="AI932" s="232">
        <v>0</v>
      </c>
      <c r="AJ932" s="231" t="s">
        <v>239</v>
      </c>
      <c r="AK932" s="232">
        <v>0</v>
      </c>
      <c r="AL932" s="232" t="s">
        <v>239</v>
      </c>
      <c r="AM932" s="232">
        <v>0</v>
      </c>
    </row>
    <row r="933" spans="1:39" ht="15.75" outlineLevel="1">
      <c r="A933" s="411">
        <v>462</v>
      </c>
      <c r="B933" s="10">
        <v>129462</v>
      </c>
      <c r="C933" s="218" t="s">
        <v>1489</v>
      </c>
      <c r="D933" s="218" t="s">
        <v>1490</v>
      </c>
      <c r="E933" s="23" t="s">
        <v>44</v>
      </c>
      <c r="F933" s="17" t="s">
        <v>45</v>
      </c>
      <c r="G933" s="11" t="s">
        <v>1432</v>
      </c>
      <c r="H933" s="12">
        <v>4</v>
      </c>
      <c r="I933" s="11" t="s">
        <v>1433</v>
      </c>
      <c r="J933" s="193" t="s">
        <v>208</v>
      </c>
      <c r="K933" s="17" t="s">
        <v>233</v>
      </c>
      <c r="L933" s="17" t="s">
        <v>233</v>
      </c>
      <c r="M933" s="231">
        <v>2</v>
      </c>
      <c r="N933" s="231">
        <v>2</v>
      </c>
      <c r="O933" s="231">
        <v>2</v>
      </c>
      <c r="P933" s="231" t="s">
        <v>239</v>
      </c>
      <c r="Q933" s="231">
        <v>2</v>
      </c>
      <c r="R933" s="231" t="s">
        <v>239</v>
      </c>
      <c r="S933" s="231">
        <v>2</v>
      </c>
      <c r="T933" s="231" t="s">
        <v>239</v>
      </c>
      <c r="U933" s="231">
        <v>2</v>
      </c>
      <c r="V933" s="231" t="s">
        <v>239</v>
      </c>
      <c r="W933" s="231">
        <v>2</v>
      </c>
      <c r="X933" s="231" t="s">
        <v>239</v>
      </c>
      <c r="Y933" s="231">
        <v>2</v>
      </c>
      <c r="Z933" s="231" t="s">
        <v>239</v>
      </c>
      <c r="AA933" s="231">
        <v>2</v>
      </c>
      <c r="AB933" s="231" t="s">
        <v>239</v>
      </c>
      <c r="AC933" s="231">
        <v>2</v>
      </c>
      <c r="AD933" s="231" t="s">
        <v>239</v>
      </c>
      <c r="AE933" s="231">
        <v>2</v>
      </c>
      <c r="AF933" s="231" t="s">
        <v>239</v>
      </c>
      <c r="AG933" s="231">
        <v>2</v>
      </c>
      <c r="AH933" s="231" t="s">
        <v>239</v>
      </c>
      <c r="AI933" s="231">
        <v>2</v>
      </c>
      <c r="AJ933" s="231" t="s">
        <v>239</v>
      </c>
      <c r="AK933" s="231">
        <v>2</v>
      </c>
      <c r="AL933" s="232" t="s">
        <v>239</v>
      </c>
      <c r="AM933" s="232">
        <v>0</v>
      </c>
    </row>
    <row r="934" spans="1:39" ht="15.75" outlineLevel="1">
      <c r="A934" s="412"/>
      <c r="B934" s="10">
        <v>129462</v>
      </c>
      <c r="C934" s="218" t="s">
        <v>1489</v>
      </c>
      <c r="D934" s="218" t="s">
        <v>1490</v>
      </c>
      <c r="E934" s="23" t="s">
        <v>138</v>
      </c>
      <c r="F934" s="17" t="s">
        <v>45</v>
      </c>
      <c r="G934" s="11" t="s">
        <v>1432</v>
      </c>
      <c r="H934" s="12">
        <v>18</v>
      </c>
      <c r="I934" s="11" t="s">
        <v>1433</v>
      </c>
      <c r="J934" s="193" t="s">
        <v>1452</v>
      </c>
      <c r="K934" s="17" t="s">
        <v>233</v>
      </c>
      <c r="L934" s="17" t="s">
        <v>233</v>
      </c>
      <c r="M934" s="231">
        <v>24559</v>
      </c>
      <c r="N934" s="232">
        <v>24260.853739999999</v>
      </c>
      <c r="O934" s="132">
        <v>2416</v>
      </c>
      <c r="P934" s="231" t="s">
        <v>239</v>
      </c>
      <c r="Q934" s="232">
        <v>2416</v>
      </c>
      <c r="R934" s="231" t="s">
        <v>239</v>
      </c>
      <c r="S934" s="232">
        <v>1861</v>
      </c>
      <c r="T934" s="231" t="s">
        <v>239</v>
      </c>
      <c r="U934" s="232">
        <v>1702</v>
      </c>
      <c r="V934" s="230" t="s">
        <v>239</v>
      </c>
      <c r="W934" s="232">
        <v>1533</v>
      </c>
      <c r="X934" s="231" t="s">
        <v>239</v>
      </c>
      <c r="Y934" s="232">
        <v>2645</v>
      </c>
      <c r="Z934" s="231" t="s">
        <v>239</v>
      </c>
      <c r="AA934" s="232">
        <v>2267</v>
      </c>
      <c r="AB934" s="231" t="s">
        <v>239</v>
      </c>
      <c r="AC934" s="232">
        <v>2115</v>
      </c>
      <c r="AD934" s="231" t="s">
        <v>239</v>
      </c>
      <c r="AE934" s="232">
        <v>2011</v>
      </c>
      <c r="AF934" s="231" t="s">
        <v>239</v>
      </c>
      <c r="AG934" s="232">
        <v>2297</v>
      </c>
      <c r="AH934" s="231" t="s">
        <v>239</v>
      </c>
      <c r="AI934" s="232">
        <v>2266</v>
      </c>
      <c r="AJ934" s="231" t="s">
        <v>239</v>
      </c>
      <c r="AK934" s="232">
        <v>2258</v>
      </c>
      <c r="AL934" s="232" t="s">
        <v>239</v>
      </c>
      <c r="AM934" s="232">
        <v>25787</v>
      </c>
    </row>
    <row r="935" spans="1:39" ht="15.75" outlineLevel="1">
      <c r="A935" s="411">
        <v>463</v>
      </c>
      <c r="B935" s="10">
        <v>129463</v>
      </c>
      <c r="C935" s="218" t="s">
        <v>1489</v>
      </c>
      <c r="D935" s="218" t="s">
        <v>1490</v>
      </c>
      <c r="E935" s="23" t="s">
        <v>44</v>
      </c>
      <c r="F935" s="17" t="s">
        <v>45</v>
      </c>
      <c r="G935" s="11" t="s">
        <v>1432</v>
      </c>
      <c r="H935" s="12">
        <v>17</v>
      </c>
      <c r="I935" s="11" t="s">
        <v>1433</v>
      </c>
      <c r="J935" s="193" t="s">
        <v>216</v>
      </c>
      <c r="K935" s="17" t="s">
        <v>233</v>
      </c>
      <c r="L935" s="17" t="s">
        <v>233</v>
      </c>
      <c r="M935" s="231">
        <v>2</v>
      </c>
      <c r="N935" s="231">
        <v>2</v>
      </c>
      <c r="O935" s="231">
        <v>2</v>
      </c>
      <c r="P935" s="231" t="s">
        <v>239</v>
      </c>
      <c r="Q935" s="231">
        <v>2</v>
      </c>
      <c r="R935" s="231" t="s">
        <v>239</v>
      </c>
      <c r="S935" s="231">
        <v>2</v>
      </c>
      <c r="T935" s="231" t="s">
        <v>239</v>
      </c>
      <c r="U935" s="231">
        <v>2</v>
      </c>
      <c r="V935" s="231" t="s">
        <v>239</v>
      </c>
      <c r="W935" s="231">
        <v>2</v>
      </c>
      <c r="X935" s="231" t="s">
        <v>239</v>
      </c>
      <c r="Y935" s="231">
        <v>2</v>
      </c>
      <c r="Z935" s="231" t="s">
        <v>239</v>
      </c>
      <c r="AA935" s="231">
        <v>2</v>
      </c>
      <c r="AB935" s="231" t="s">
        <v>239</v>
      </c>
      <c r="AC935" s="231">
        <v>2</v>
      </c>
      <c r="AD935" s="231" t="s">
        <v>239</v>
      </c>
      <c r="AE935" s="231">
        <v>2</v>
      </c>
      <c r="AF935" s="231" t="s">
        <v>239</v>
      </c>
      <c r="AG935" s="231">
        <v>2</v>
      </c>
      <c r="AH935" s="231" t="s">
        <v>239</v>
      </c>
      <c r="AI935" s="231">
        <v>2</v>
      </c>
      <c r="AJ935" s="231" t="s">
        <v>239</v>
      </c>
      <c r="AK935" s="231">
        <v>2</v>
      </c>
      <c r="AL935" s="232" t="s">
        <v>239</v>
      </c>
      <c r="AM935" s="232">
        <v>0</v>
      </c>
    </row>
    <row r="936" spans="1:39" ht="15.75" outlineLevel="1">
      <c r="A936" s="412"/>
      <c r="B936" s="10">
        <v>129463</v>
      </c>
      <c r="C936" s="218" t="s">
        <v>1489</v>
      </c>
      <c r="D936" s="218" t="s">
        <v>1490</v>
      </c>
      <c r="E936" s="23" t="s">
        <v>138</v>
      </c>
      <c r="F936" s="17" t="s">
        <v>45</v>
      </c>
      <c r="G936" s="11" t="s">
        <v>1432</v>
      </c>
      <c r="H936" s="12">
        <v>28</v>
      </c>
      <c r="I936" s="11" t="s">
        <v>1433</v>
      </c>
      <c r="J936" s="193" t="s">
        <v>1453</v>
      </c>
      <c r="K936" s="17" t="s">
        <v>233</v>
      </c>
      <c r="L936" s="17" t="s">
        <v>233</v>
      </c>
      <c r="M936" s="231">
        <v>0</v>
      </c>
      <c r="N936" s="232">
        <v>0</v>
      </c>
      <c r="O936" s="132">
        <v>0</v>
      </c>
      <c r="P936" s="231" t="s">
        <v>239</v>
      </c>
      <c r="Q936" s="232">
        <v>0</v>
      </c>
      <c r="R936" s="231" t="s">
        <v>239</v>
      </c>
      <c r="S936" s="232">
        <v>0</v>
      </c>
      <c r="T936" s="231" t="s">
        <v>239</v>
      </c>
      <c r="U936" s="232">
        <v>0</v>
      </c>
      <c r="V936" s="231" t="s">
        <v>239</v>
      </c>
      <c r="W936" s="232">
        <v>0</v>
      </c>
      <c r="X936" s="231" t="s">
        <v>239</v>
      </c>
      <c r="Y936" s="232">
        <v>0</v>
      </c>
      <c r="Z936" s="231" t="s">
        <v>239</v>
      </c>
      <c r="AA936" s="232">
        <v>0</v>
      </c>
      <c r="AB936" s="231" t="s">
        <v>239</v>
      </c>
      <c r="AC936" s="232">
        <v>0</v>
      </c>
      <c r="AD936" s="231" t="s">
        <v>239</v>
      </c>
      <c r="AE936" s="232">
        <v>0</v>
      </c>
      <c r="AF936" s="231" t="s">
        <v>239</v>
      </c>
      <c r="AG936" s="232">
        <v>0</v>
      </c>
      <c r="AH936" s="231" t="s">
        <v>239</v>
      </c>
      <c r="AI936" s="232">
        <v>0</v>
      </c>
      <c r="AJ936" s="231" t="s">
        <v>239</v>
      </c>
      <c r="AK936" s="232">
        <v>0</v>
      </c>
      <c r="AL936" s="232" t="s">
        <v>239</v>
      </c>
      <c r="AM936" s="232">
        <v>0</v>
      </c>
    </row>
    <row r="937" spans="1:39" ht="15.75" outlineLevel="1">
      <c r="A937" s="411">
        <v>464</v>
      </c>
      <c r="B937" s="10">
        <v>129464</v>
      </c>
      <c r="C937" s="218" t="s">
        <v>1489</v>
      </c>
      <c r="D937" s="218" t="s">
        <v>1490</v>
      </c>
      <c r="E937" s="23" t="s">
        <v>44</v>
      </c>
      <c r="F937" s="17" t="s">
        <v>45</v>
      </c>
      <c r="G937" s="11" t="s">
        <v>1432</v>
      </c>
      <c r="H937" s="12">
        <v>33</v>
      </c>
      <c r="I937" s="11" t="s">
        <v>1433</v>
      </c>
      <c r="J937" s="193" t="s">
        <v>1454</v>
      </c>
      <c r="K937" s="17" t="s">
        <v>233</v>
      </c>
      <c r="L937" s="17" t="s">
        <v>233</v>
      </c>
      <c r="M937" s="231">
        <v>23</v>
      </c>
      <c r="N937" s="231">
        <v>23</v>
      </c>
      <c r="O937" s="231">
        <v>23</v>
      </c>
      <c r="P937" s="231" t="s">
        <v>239</v>
      </c>
      <c r="Q937" s="231">
        <v>23</v>
      </c>
      <c r="R937" s="231" t="s">
        <v>239</v>
      </c>
      <c r="S937" s="231">
        <v>23</v>
      </c>
      <c r="T937" s="231" t="s">
        <v>239</v>
      </c>
      <c r="U937" s="231">
        <v>23</v>
      </c>
      <c r="V937" s="230" t="s">
        <v>239</v>
      </c>
      <c r="W937" s="231">
        <v>23</v>
      </c>
      <c r="X937" s="231" t="s">
        <v>239</v>
      </c>
      <c r="Y937" s="231">
        <v>23</v>
      </c>
      <c r="Z937" s="231" t="s">
        <v>239</v>
      </c>
      <c r="AA937" s="231">
        <v>23</v>
      </c>
      <c r="AB937" s="231" t="s">
        <v>239</v>
      </c>
      <c r="AC937" s="231">
        <v>23</v>
      </c>
      <c r="AD937" s="231" t="s">
        <v>239</v>
      </c>
      <c r="AE937" s="231">
        <v>23</v>
      </c>
      <c r="AF937" s="231" t="s">
        <v>239</v>
      </c>
      <c r="AG937" s="231">
        <v>23</v>
      </c>
      <c r="AH937" s="231" t="s">
        <v>239</v>
      </c>
      <c r="AI937" s="231">
        <v>23</v>
      </c>
      <c r="AJ937" s="231" t="s">
        <v>239</v>
      </c>
      <c r="AK937" s="231">
        <v>23</v>
      </c>
      <c r="AL937" s="232" t="s">
        <v>239</v>
      </c>
      <c r="AM937" s="232">
        <v>0</v>
      </c>
    </row>
    <row r="938" spans="1:39" ht="15.75" outlineLevel="1">
      <c r="A938" s="412"/>
      <c r="B938" s="10">
        <v>129464</v>
      </c>
      <c r="C938" s="218" t="s">
        <v>1489</v>
      </c>
      <c r="D938" s="218" t="s">
        <v>1490</v>
      </c>
      <c r="E938" s="23" t="s">
        <v>44</v>
      </c>
      <c r="F938" s="17" t="s">
        <v>45</v>
      </c>
      <c r="G938" s="11" t="s">
        <v>1432</v>
      </c>
      <c r="H938" s="12">
        <v>25</v>
      </c>
      <c r="I938" s="11" t="s">
        <v>1433</v>
      </c>
      <c r="J938" s="191" t="s">
        <v>216</v>
      </c>
      <c r="K938" s="17" t="s">
        <v>233</v>
      </c>
      <c r="L938" s="17" t="s">
        <v>233</v>
      </c>
      <c r="M938" s="231">
        <v>811</v>
      </c>
      <c r="N938" s="232">
        <v>801.15445999999997</v>
      </c>
      <c r="O938" s="132">
        <v>563</v>
      </c>
      <c r="P938" s="231" t="s">
        <v>239</v>
      </c>
      <c r="Q938" s="232">
        <v>563</v>
      </c>
      <c r="R938" s="231" t="s">
        <v>239</v>
      </c>
      <c r="S938" s="232">
        <v>574</v>
      </c>
      <c r="T938" s="231" t="s">
        <v>239</v>
      </c>
      <c r="U938" s="232">
        <v>643</v>
      </c>
      <c r="V938" s="231" t="s">
        <v>239</v>
      </c>
      <c r="W938" s="232">
        <v>169</v>
      </c>
      <c r="X938" s="231" t="s">
        <v>239</v>
      </c>
      <c r="Y938" s="232">
        <v>0</v>
      </c>
      <c r="Z938" s="231" t="s">
        <v>239</v>
      </c>
      <c r="AA938" s="232">
        <v>0</v>
      </c>
      <c r="AB938" s="231" t="s">
        <v>239</v>
      </c>
      <c r="AC938" s="232">
        <v>4</v>
      </c>
      <c r="AD938" s="231" t="s">
        <v>239</v>
      </c>
      <c r="AE938" s="232">
        <v>4</v>
      </c>
      <c r="AF938" s="231" t="s">
        <v>239</v>
      </c>
      <c r="AG938" s="232">
        <v>146</v>
      </c>
      <c r="AH938" s="231" t="s">
        <v>239</v>
      </c>
      <c r="AI938" s="232">
        <v>160</v>
      </c>
      <c r="AJ938" s="231" t="s">
        <v>239</v>
      </c>
      <c r="AK938" s="232">
        <v>4</v>
      </c>
      <c r="AL938" s="232" t="s">
        <v>239</v>
      </c>
      <c r="AM938" s="232">
        <v>2830</v>
      </c>
    </row>
    <row r="939" spans="1:39" ht="15.75" outlineLevel="1">
      <c r="A939" s="411">
        <v>465</v>
      </c>
      <c r="B939" s="10">
        <v>129465</v>
      </c>
      <c r="C939" s="218" t="s">
        <v>1489</v>
      </c>
      <c r="D939" s="218" t="s">
        <v>1490</v>
      </c>
      <c r="E939" s="23" t="s">
        <v>138</v>
      </c>
      <c r="F939" s="17" t="s">
        <v>45</v>
      </c>
      <c r="G939" s="11" t="s">
        <v>1432</v>
      </c>
      <c r="H939" s="12">
        <v>9</v>
      </c>
      <c r="I939" s="11" t="s">
        <v>1433</v>
      </c>
      <c r="J939" s="192" t="s">
        <v>1434</v>
      </c>
      <c r="K939" s="17" t="s">
        <v>233</v>
      </c>
      <c r="L939" s="17" t="s">
        <v>233</v>
      </c>
      <c r="M939" s="231">
        <v>6.8</v>
      </c>
      <c r="N939" s="231">
        <v>6.8</v>
      </c>
      <c r="O939" s="231">
        <v>6.8</v>
      </c>
      <c r="P939" s="231" t="s">
        <v>239</v>
      </c>
      <c r="Q939" s="231">
        <v>6.8</v>
      </c>
      <c r="R939" s="231" t="s">
        <v>239</v>
      </c>
      <c r="S939" s="231">
        <v>6.8</v>
      </c>
      <c r="T939" s="231" t="s">
        <v>239</v>
      </c>
      <c r="U939" s="231">
        <v>6.8</v>
      </c>
      <c r="V939" s="231" t="s">
        <v>239</v>
      </c>
      <c r="W939" s="231">
        <v>6.8</v>
      </c>
      <c r="X939" s="231" t="s">
        <v>239</v>
      </c>
      <c r="Y939" s="231">
        <v>6.8</v>
      </c>
      <c r="Z939" s="231" t="s">
        <v>239</v>
      </c>
      <c r="AA939" s="231">
        <v>6.8</v>
      </c>
      <c r="AB939" s="231" t="s">
        <v>239</v>
      </c>
      <c r="AC939" s="231">
        <v>6.8</v>
      </c>
      <c r="AD939" s="231" t="s">
        <v>239</v>
      </c>
      <c r="AE939" s="231">
        <v>6.8</v>
      </c>
      <c r="AF939" s="231" t="s">
        <v>239</v>
      </c>
      <c r="AG939" s="231">
        <v>6.8</v>
      </c>
      <c r="AH939" s="231" t="s">
        <v>239</v>
      </c>
      <c r="AI939" s="231">
        <v>6.8</v>
      </c>
      <c r="AJ939" s="231" t="s">
        <v>239</v>
      </c>
      <c r="AK939" s="231">
        <v>6.8</v>
      </c>
      <c r="AL939" s="232" t="s">
        <v>239</v>
      </c>
      <c r="AM939" s="232">
        <v>0</v>
      </c>
    </row>
    <row r="940" spans="1:39" ht="15.75" outlineLevel="1">
      <c r="A940" s="412"/>
      <c r="B940" s="10">
        <v>129465</v>
      </c>
      <c r="C940" s="218" t="s">
        <v>1489</v>
      </c>
      <c r="D940" s="218" t="s">
        <v>1490</v>
      </c>
      <c r="E940" s="23" t="s">
        <v>44</v>
      </c>
      <c r="F940" s="17" t="s">
        <v>45</v>
      </c>
      <c r="G940" s="11" t="s">
        <v>1432</v>
      </c>
      <c r="H940" s="12">
        <v>24</v>
      </c>
      <c r="I940" s="11" t="s">
        <v>1433</v>
      </c>
      <c r="J940" s="192" t="s">
        <v>1480</v>
      </c>
      <c r="K940" s="17" t="s">
        <v>233</v>
      </c>
      <c r="L940" s="17" t="s">
        <v>233</v>
      </c>
      <c r="M940" s="231">
        <v>1247</v>
      </c>
      <c r="N940" s="232">
        <v>1231.86142</v>
      </c>
      <c r="O940" s="132">
        <v>261</v>
      </c>
      <c r="P940" s="231" t="s">
        <v>239</v>
      </c>
      <c r="Q940" s="232">
        <v>261</v>
      </c>
      <c r="R940" s="231" t="s">
        <v>239</v>
      </c>
      <c r="S940" s="232">
        <v>250</v>
      </c>
      <c r="T940" s="231" t="s">
        <v>239</v>
      </c>
      <c r="U940" s="232">
        <v>249</v>
      </c>
      <c r="V940" s="230" t="s">
        <v>239</v>
      </c>
      <c r="W940" s="232">
        <v>256</v>
      </c>
      <c r="X940" s="231" t="s">
        <v>239</v>
      </c>
      <c r="Y940" s="232">
        <v>239</v>
      </c>
      <c r="Z940" s="231" t="s">
        <v>239</v>
      </c>
      <c r="AA940" s="232">
        <v>216</v>
      </c>
      <c r="AB940" s="231" t="s">
        <v>239</v>
      </c>
      <c r="AC940" s="232">
        <v>203</v>
      </c>
      <c r="AD940" s="231" t="s">
        <v>239</v>
      </c>
      <c r="AE940" s="232">
        <v>213</v>
      </c>
      <c r="AF940" s="231" t="s">
        <v>239</v>
      </c>
      <c r="AG940" s="232">
        <v>395</v>
      </c>
      <c r="AH940" s="231" t="s">
        <v>239</v>
      </c>
      <c r="AI940" s="232">
        <v>449</v>
      </c>
      <c r="AJ940" s="231" t="s">
        <v>239</v>
      </c>
      <c r="AK940" s="232">
        <v>287</v>
      </c>
      <c r="AL940" s="232" t="s">
        <v>239</v>
      </c>
      <c r="AM940" s="232">
        <v>3279</v>
      </c>
    </row>
    <row r="941" spans="1:39" ht="15.75" outlineLevel="1">
      <c r="A941" s="411">
        <v>466</v>
      </c>
      <c r="B941" s="10">
        <v>129466</v>
      </c>
      <c r="C941" s="218" t="s">
        <v>1489</v>
      </c>
      <c r="D941" s="218" t="s">
        <v>1490</v>
      </c>
      <c r="E941" s="23" t="s">
        <v>138</v>
      </c>
      <c r="F941" s="17" t="s">
        <v>45</v>
      </c>
      <c r="G941" s="11" t="s">
        <v>1432</v>
      </c>
      <c r="H941" s="12">
        <v>36</v>
      </c>
      <c r="I941" s="11" t="s">
        <v>1433</v>
      </c>
      <c r="J941" s="192" t="s">
        <v>1452</v>
      </c>
      <c r="K941" s="17" t="s">
        <v>233</v>
      </c>
      <c r="L941" s="17" t="s">
        <v>233</v>
      </c>
      <c r="M941" s="231">
        <v>6</v>
      </c>
      <c r="N941" s="231">
        <v>6</v>
      </c>
      <c r="O941" s="231">
        <v>6</v>
      </c>
      <c r="P941" s="231" t="s">
        <v>239</v>
      </c>
      <c r="Q941" s="231">
        <v>6</v>
      </c>
      <c r="R941" s="231" t="s">
        <v>239</v>
      </c>
      <c r="S941" s="231">
        <v>6</v>
      </c>
      <c r="T941" s="231" t="s">
        <v>239</v>
      </c>
      <c r="U941" s="231">
        <v>6</v>
      </c>
      <c r="V941" s="231" t="s">
        <v>239</v>
      </c>
      <c r="W941" s="231">
        <v>6</v>
      </c>
      <c r="X941" s="231" t="s">
        <v>239</v>
      </c>
      <c r="Y941" s="231">
        <v>6</v>
      </c>
      <c r="Z941" s="231" t="s">
        <v>239</v>
      </c>
      <c r="AA941" s="231">
        <v>6</v>
      </c>
      <c r="AB941" s="231" t="s">
        <v>239</v>
      </c>
      <c r="AC941" s="231">
        <v>6</v>
      </c>
      <c r="AD941" s="231" t="s">
        <v>239</v>
      </c>
      <c r="AE941" s="231">
        <v>6</v>
      </c>
      <c r="AF941" s="231" t="s">
        <v>239</v>
      </c>
      <c r="AG941" s="231">
        <v>6</v>
      </c>
      <c r="AH941" s="231" t="s">
        <v>239</v>
      </c>
      <c r="AI941" s="231">
        <v>6</v>
      </c>
      <c r="AJ941" s="231" t="s">
        <v>239</v>
      </c>
      <c r="AK941" s="231">
        <v>6</v>
      </c>
      <c r="AL941" s="232" t="s">
        <v>239</v>
      </c>
      <c r="AM941" s="232">
        <v>0</v>
      </c>
    </row>
    <row r="942" spans="1:39" ht="15.75" outlineLevel="1">
      <c r="A942" s="412"/>
      <c r="B942" s="10">
        <v>129466</v>
      </c>
      <c r="C942" s="218" t="s">
        <v>1489</v>
      </c>
      <c r="D942" s="218" t="s">
        <v>1490</v>
      </c>
      <c r="E942" s="23" t="s">
        <v>44</v>
      </c>
      <c r="F942" s="17" t="s">
        <v>45</v>
      </c>
      <c r="G942" s="11" t="s">
        <v>1432</v>
      </c>
      <c r="H942" s="12">
        <v>34</v>
      </c>
      <c r="I942" s="11" t="s">
        <v>1433</v>
      </c>
      <c r="J942" s="374" t="s">
        <v>207</v>
      </c>
      <c r="K942" s="17" t="s">
        <v>233</v>
      </c>
      <c r="L942" s="17" t="s">
        <v>233</v>
      </c>
      <c r="M942" s="231">
        <v>533</v>
      </c>
      <c r="N942" s="232">
        <v>526.52937999999995</v>
      </c>
      <c r="O942" s="132">
        <v>47</v>
      </c>
      <c r="P942" s="231" t="s">
        <v>239</v>
      </c>
      <c r="Q942" s="232"/>
      <c r="R942" s="231" t="s">
        <v>239</v>
      </c>
      <c r="S942" s="232"/>
      <c r="T942" s="231" t="s">
        <v>239</v>
      </c>
      <c r="U942" s="232"/>
      <c r="V942" s="231" t="s">
        <v>239</v>
      </c>
      <c r="W942" s="232"/>
      <c r="X942" s="231" t="s">
        <v>239</v>
      </c>
      <c r="Y942" s="232"/>
      <c r="Z942" s="231" t="s">
        <v>239</v>
      </c>
      <c r="AA942" s="232"/>
      <c r="AB942" s="231" t="s">
        <v>239</v>
      </c>
      <c r="AC942" s="232"/>
      <c r="AD942" s="231" t="s">
        <v>239</v>
      </c>
      <c r="AE942" s="232"/>
      <c r="AF942" s="231" t="s">
        <v>239</v>
      </c>
      <c r="AG942" s="232"/>
      <c r="AH942" s="231" t="s">
        <v>239</v>
      </c>
      <c r="AI942" s="232"/>
      <c r="AJ942" s="231" t="s">
        <v>239</v>
      </c>
      <c r="AK942" s="232">
        <v>0</v>
      </c>
      <c r="AL942" s="232" t="s">
        <v>239</v>
      </c>
      <c r="AM942" s="232">
        <v>47</v>
      </c>
    </row>
    <row r="943" spans="1:39" ht="15.75" outlineLevel="1">
      <c r="A943" s="411">
        <v>467</v>
      </c>
      <c r="B943" s="10">
        <v>129467</v>
      </c>
      <c r="C943" s="218" t="s">
        <v>1489</v>
      </c>
      <c r="D943" s="218" t="s">
        <v>1490</v>
      </c>
      <c r="E943" s="23" t="s">
        <v>44</v>
      </c>
      <c r="F943" s="17" t="s">
        <v>45</v>
      </c>
      <c r="G943" s="11" t="s">
        <v>1432</v>
      </c>
      <c r="H943" s="12">
        <v>7</v>
      </c>
      <c r="I943" s="11" t="s">
        <v>1433</v>
      </c>
      <c r="J943" s="375"/>
      <c r="K943" s="17" t="s">
        <v>233</v>
      </c>
      <c r="L943" s="17" t="s">
        <v>233</v>
      </c>
      <c r="M943" s="231">
        <v>57</v>
      </c>
      <c r="N943" s="231">
        <v>57</v>
      </c>
      <c r="O943" s="231">
        <v>57</v>
      </c>
      <c r="P943" s="231" t="s">
        <v>239</v>
      </c>
      <c r="Q943" s="231">
        <v>57</v>
      </c>
      <c r="R943" s="231" t="s">
        <v>239</v>
      </c>
      <c r="S943" s="231">
        <v>57</v>
      </c>
      <c r="T943" s="231" t="s">
        <v>239</v>
      </c>
      <c r="U943" s="231">
        <v>57</v>
      </c>
      <c r="V943" s="230" t="s">
        <v>239</v>
      </c>
      <c r="W943" s="231">
        <v>57</v>
      </c>
      <c r="X943" s="231" t="s">
        <v>239</v>
      </c>
      <c r="Y943" s="231">
        <v>57</v>
      </c>
      <c r="Z943" s="231" t="s">
        <v>239</v>
      </c>
      <c r="AA943" s="231">
        <v>57</v>
      </c>
      <c r="AB943" s="231" t="s">
        <v>239</v>
      </c>
      <c r="AC943" s="231">
        <v>57</v>
      </c>
      <c r="AD943" s="231" t="s">
        <v>239</v>
      </c>
      <c r="AE943" s="231">
        <v>57</v>
      </c>
      <c r="AF943" s="231" t="s">
        <v>239</v>
      </c>
      <c r="AG943" s="231">
        <v>57</v>
      </c>
      <c r="AH943" s="231" t="s">
        <v>239</v>
      </c>
      <c r="AI943" s="231">
        <v>57</v>
      </c>
      <c r="AJ943" s="231" t="s">
        <v>239</v>
      </c>
      <c r="AK943" s="231">
        <v>57</v>
      </c>
      <c r="AL943" s="232" t="s">
        <v>239</v>
      </c>
      <c r="AM943" s="232">
        <v>0</v>
      </c>
    </row>
    <row r="944" spans="1:39" ht="15.75" outlineLevel="1">
      <c r="A944" s="412"/>
      <c r="B944" s="10">
        <v>129467</v>
      </c>
      <c r="C944" s="218" t="s">
        <v>1489</v>
      </c>
      <c r="D944" s="218" t="s">
        <v>1490</v>
      </c>
      <c r="E944" s="23" t="s">
        <v>138</v>
      </c>
      <c r="F944" s="17" t="s">
        <v>45</v>
      </c>
      <c r="G944" s="11" t="s">
        <v>1432</v>
      </c>
      <c r="H944" s="12">
        <v>5</v>
      </c>
      <c r="I944" s="11" t="s">
        <v>1433</v>
      </c>
      <c r="J944" s="193" t="s">
        <v>1460</v>
      </c>
      <c r="K944" s="17" t="s">
        <v>233</v>
      </c>
      <c r="L944" s="17" t="s">
        <v>233</v>
      </c>
      <c r="M944" s="231">
        <v>11844</v>
      </c>
      <c r="N944" s="232">
        <v>11700.21384</v>
      </c>
      <c r="O944" s="132">
        <v>1362</v>
      </c>
      <c r="P944" s="231" t="s">
        <v>239</v>
      </c>
      <c r="Q944" s="232">
        <v>1681.3889999999999</v>
      </c>
      <c r="R944" s="231" t="s">
        <v>239</v>
      </c>
      <c r="S944" s="232">
        <v>2075.6747204999997</v>
      </c>
      <c r="T944" s="231" t="s">
        <v>239</v>
      </c>
      <c r="U944" s="232">
        <v>2562.4204424572495</v>
      </c>
      <c r="V944" s="231" t="s">
        <v>239</v>
      </c>
      <c r="W944" s="232">
        <v>3163.3080362134742</v>
      </c>
      <c r="X944" s="231" t="s">
        <v>239</v>
      </c>
      <c r="Y944" s="232">
        <v>3905.1037707055339</v>
      </c>
      <c r="Z944" s="231" t="s">
        <v>239</v>
      </c>
      <c r="AA944" s="232">
        <v>4820.8506049359812</v>
      </c>
      <c r="AB944" s="231" t="s">
        <v>239</v>
      </c>
      <c r="AC944" s="232">
        <v>5951.3400717934683</v>
      </c>
      <c r="AD944" s="231" t="s">
        <v>239</v>
      </c>
      <c r="AE944" s="232">
        <v>7346.9293186290361</v>
      </c>
      <c r="AF944" s="231" t="s">
        <v>239</v>
      </c>
      <c r="AG944" s="232">
        <v>9069.7842438475436</v>
      </c>
      <c r="AH944" s="231" t="s">
        <v>239</v>
      </c>
      <c r="AI944" s="232">
        <v>11196.648649029792</v>
      </c>
      <c r="AJ944" s="231" t="s">
        <v>239</v>
      </c>
      <c r="AK944" s="232">
        <v>13822.262757227278</v>
      </c>
      <c r="AL944" s="232" t="s">
        <v>239</v>
      </c>
      <c r="AM944" s="232">
        <v>66957.711615339358</v>
      </c>
    </row>
    <row r="945" spans="1:39" ht="15.75" outlineLevel="1">
      <c r="A945" s="411">
        <v>468</v>
      </c>
      <c r="B945" s="10">
        <v>129468</v>
      </c>
      <c r="C945" s="218" t="s">
        <v>1489</v>
      </c>
      <c r="D945" s="218" t="s">
        <v>1490</v>
      </c>
      <c r="E945" s="23" t="s">
        <v>44</v>
      </c>
      <c r="F945" s="17" t="s">
        <v>45</v>
      </c>
      <c r="G945" s="11" t="s">
        <v>1432</v>
      </c>
      <c r="H945" s="12">
        <v>24</v>
      </c>
      <c r="I945" s="11" t="s">
        <v>1433</v>
      </c>
      <c r="J945" s="193" t="s">
        <v>1442</v>
      </c>
      <c r="K945" s="17" t="s">
        <v>233</v>
      </c>
      <c r="L945" s="17" t="s">
        <v>233</v>
      </c>
      <c r="M945" s="231">
        <v>19.5</v>
      </c>
      <c r="N945" s="231">
        <v>19.5</v>
      </c>
      <c r="O945" s="231">
        <v>19.5</v>
      </c>
      <c r="P945" s="231" t="s">
        <v>239</v>
      </c>
      <c r="Q945" s="231">
        <v>19.5</v>
      </c>
      <c r="R945" s="231" t="s">
        <v>239</v>
      </c>
      <c r="S945" s="231">
        <v>19.5</v>
      </c>
      <c r="T945" s="231" t="s">
        <v>239</v>
      </c>
      <c r="U945" s="231">
        <v>19.5</v>
      </c>
      <c r="V945" s="231" t="s">
        <v>239</v>
      </c>
      <c r="W945" s="231">
        <v>19.5</v>
      </c>
      <c r="X945" s="231" t="s">
        <v>239</v>
      </c>
      <c r="Y945" s="231">
        <v>19.5</v>
      </c>
      <c r="Z945" s="231" t="s">
        <v>239</v>
      </c>
      <c r="AA945" s="231">
        <v>19.5</v>
      </c>
      <c r="AB945" s="231" t="s">
        <v>239</v>
      </c>
      <c r="AC945" s="231">
        <v>19.5</v>
      </c>
      <c r="AD945" s="231" t="s">
        <v>239</v>
      </c>
      <c r="AE945" s="231">
        <v>19.5</v>
      </c>
      <c r="AF945" s="231" t="s">
        <v>239</v>
      </c>
      <c r="AG945" s="231">
        <v>19.5</v>
      </c>
      <c r="AH945" s="231" t="s">
        <v>239</v>
      </c>
      <c r="AI945" s="231">
        <v>19.5</v>
      </c>
      <c r="AJ945" s="231" t="s">
        <v>239</v>
      </c>
      <c r="AK945" s="231">
        <v>19.5</v>
      </c>
      <c r="AL945" s="232" t="s">
        <v>239</v>
      </c>
      <c r="AM945" s="232">
        <v>0</v>
      </c>
    </row>
    <row r="946" spans="1:39" ht="15.75" outlineLevel="1">
      <c r="A946" s="412"/>
      <c r="B946" s="10">
        <v>129468</v>
      </c>
      <c r="C946" s="218" t="s">
        <v>1489</v>
      </c>
      <c r="D946" s="218" t="s">
        <v>1490</v>
      </c>
      <c r="E946" s="23" t="s">
        <v>138</v>
      </c>
      <c r="F946" s="17" t="s">
        <v>45</v>
      </c>
      <c r="G946" s="11" t="s">
        <v>1432</v>
      </c>
      <c r="H946" s="12">
        <v>10</v>
      </c>
      <c r="I946" s="11" t="s">
        <v>1433</v>
      </c>
      <c r="J946" s="193" t="s">
        <v>1451</v>
      </c>
      <c r="K946" s="17" t="s">
        <v>233</v>
      </c>
      <c r="L946" s="17" t="s">
        <v>233</v>
      </c>
      <c r="M946" s="231">
        <v>3665</v>
      </c>
      <c r="N946" s="232">
        <v>3620.5068999999999</v>
      </c>
      <c r="O946" s="132">
        <v>28</v>
      </c>
      <c r="P946" s="231" t="s">
        <v>239</v>
      </c>
      <c r="Q946" s="232">
        <v>34.565999999999995</v>
      </c>
      <c r="R946" s="231" t="s">
        <v>239</v>
      </c>
      <c r="S946" s="232">
        <v>42.67172699999999</v>
      </c>
      <c r="T946" s="231" t="s">
        <v>239</v>
      </c>
      <c r="U946" s="232">
        <v>52.678246981499981</v>
      </c>
      <c r="V946" s="230" t="s">
        <v>239</v>
      </c>
      <c r="W946" s="232">
        <v>65.031295898661725</v>
      </c>
      <c r="X946" s="231" t="s">
        <v>239</v>
      </c>
      <c r="Y946" s="232">
        <v>80.281134786897894</v>
      </c>
      <c r="Z946" s="231" t="s">
        <v>239</v>
      </c>
      <c r="AA946" s="232">
        <v>99.107060894425445</v>
      </c>
      <c r="AB946" s="231" t="s">
        <v>239</v>
      </c>
      <c r="AC946" s="232">
        <v>122.34766667416821</v>
      </c>
      <c r="AD946" s="231" t="s">
        <v>239</v>
      </c>
      <c r="AE946" s="232">
        <v>151.03819450926065</v>
      </c>
      <c r="AF946" s="231" t="s">
        <v>239</v>
      </c>
      <c r="AG946" s="232">
        <v>186.45665112168226</v>
      </c>
      <c r="AH946" s="231" t="s">
        <v>239</v>
      </c>
      <c r="AI946" s="232">
        <v>230.18073580971674</v>
      </c>
      <c r="AJ946" s="231" t="s">
        <v>239</v>
      </c>
      <c r="AK946" s="232">
        <v>284.1581183570953</v>
      </c>
      <c r="AL946" s="232" t="s">
        <v>239</v>
      </c>
      <c r="AM946" s="232">
        <v>1376.5168320334083</v>
      </c>
    </row>
    <row r="947" spans="1:39" ht="15.75" outlineLevel="1">
      <c r="A947" s="411">
        <v>469</v>
      </c>
      <c r="B947" s="10">
        <v>129469</v>
      </c>
      <c r="C947" s="218" t="s">
        <v>1489</v>
      </c>
      <c r="D947" s="218" t="s">
        <v>1490</v>
      </c>
      <c r="E947" s="23" t="s">
        <v>44</v>
      </c>
      <c r="F947" s="17" t="s">
        <v>45</v>
      </c>
      <c r="G947" s="11" t="s">
        <v>1432</v>
      </c>
      <c r="H947" s="12">
        <v>17</v>
      </c>
      <c r="I947" s="11" t="s">
        <v>1433</v>
      </c>
      <c r="J947" s="193" t="s">
        <v>208</v>
      </c>
      <c r="K947" s="17" t="s">
        <v>233</v>
      </c>
      <c r="L947" s="17" t="s">
        <v>233</v>
      </c>
      <c r="M947" s="231">
        <v>0.8</v>
      </c>
      <c r="N947" s="231">
        <v>0.8</v>
      </c>
      <c r="O947" s="231">
        <v>0.8</v>
      </c>
      <c r="P947" s="231" t="s">
        <v>239</v>
      </c>
      <c r="Q947" s="231">
        <v>0.8</v>
      </c>
      <c r="R947" s="231" t="s">
        <v>239</v>
      </c>
      <c r="S947" s="231">
        <v>0.8</v>
      </c>
      <c r="T947" s="231" t="s">
        <v>239</v>
      </c>
      <c r="U947" s="231">
        <v>0.8</v>
      </c>
      <c r="V947" s="231" t="s">
        <v>239</v>
      </c>
      <c r="W947" s="231">
        <v>0.8</v>
      </c>
      <c r="X947" s="231" t="s">
        <v>239</v>
      </c>
      <c r="Y947" s="231">
        <v>0.8</v>
      </c>
      <c r="Z947" s="231" t="s">
        <v>239</v>
      </c>
      <c r="AA947" s="231">
        <v>0.8</v>
      </c>
      <c r="AB947" s="231" t="s">
        <v>239</v>
      </c>
      <c r="AC947" s="231">
        <v>0.8</v>
      </c>
      <c r="AD947" s="231" t="s">
        <v>239</v>
      </c>
      <c r="AE947" s="231">
        <v>0.8</v>
      </c>
      <c r="AF947" s="231" t="s">
        <v>239</v>
      </c>
      <c r="AG947" s="231">
        <v>0.8</v>
      </c>
      <c r="AH947" s="231" t="s">
        <v>239</v>
      </c>
      <c r="AI947" s="231">
        <v>0.8</v>
      </c>
      <c r="AJ947" s="231" t="s">
        <v>239</v>
      </c>
      <c r="AK947" s="231">
        <v>0.8</v>
      </c>
      <c r="AL947" s="232" t="s">
        <v>239</v>
      </c>
      <c r="AM947" s="232">
        <v>0</v>
      </c>
    </row>
    <row r="948" spans="1:39" ht="15.75" outlineLevel="1">
      <c r="A948" s="412"/>
      <c r="B948" s="10">
        <v>129469</v>
      </c>
      <c r="C948" s="218" t="s">
        <v>1489</v>
      </c>
      <c r="D948" s="218" t="s">
        <v>1490</v>
      </c>
      <c r="E948" s="23" t="s">
        <v>44</v>
      </c>
      <c r="F948" s="17" t="s">
        <v>45</v>
      </c>
      <c r="G948" s="11" t="s">
        <v>1432</v>
      </c>
      <c r="H948" s="12">
        <v>32</v>
      </c>
      <c r="I948" s="11" t="s">
        <v>1433</v>
      </c>
      <c r="J948" s="193" t="s">
        <v>1452</v>
      </c>
      <c r="K948" s="17" t="s">
        <v>233</v>
      </c>
      <c r="L948" s="17" t="s">
        <v>233</v>
      </c>
      <c r="M948" s="231">
        <v>4070</v>
      </c>
      <c r="N948" s="232">
        <v>4020.5901999999996</v>
      </c>
      <c r="O948" s="132">
        <v>25</v>
      </c>
      <c r="P948" s="231" t="s">
        <v>239</v>
      </c>
      <c r="Q948" s="232">
        <v>30.862499999999997</v>
      </c>
      <c r="R948" s="231" t="s">
        <v>239</v>
      </c>
      <c r="S948" s="232">
        <v>38.099756249999992</v>
      </c>
      <c r="T948" s="231" t="s">
        <v>239</v>
      </c>
      <c r="U948" s="232">
        <v>47.034149090624986</v>
      </c>
      <c r="V948" s="231" t="s">
        <v>239</v>
      </c>
      <c r="W948" s="232">
        <v>58.063657052376541</v>
      </c>
      <c r="X948" s="231" t="s">
        <v>239</v>
      </c>
      <c r="Y948" s="232">
        <v>71.679584631158832</v>
      </c>
      <c r="Z948" s="231" t="s">
        <v>239</v>
      </c>
      <c r="AA948" s="232">
        <v>88.48844722716558</v>
      </c>
      <c r="AB948" s="231" t="s">
        <v>239</v>
      </c>
      <c r="AC948" s="232">
        <v>109.2389881019359</v>
      </c>
      <c r="AD948" s="231" t="s">
        <v>239</v>
      </c>
      <c r="AE948" s="232">
        <v>134.85553081183986</v>
      </c>
      <c r="AF948" s="231" t="s">
        <v>239</v>
      </c>
      <c r="AG948" s="232">
        <v>166.47915278721629</v>
      </c>
      <c r="AH948" s="231" t="s">
        <v>239</v>
      </c>
      <c r="AI948" s="232">
        <v>205.5185141158185</v>
      </c>
      <c r="AJ948" s="231" t="s">
        <v>239</v>
      </c>
      <c r="AK948" s="232">
        <v>253.71260567597793</v>
      </c>
      <c r="AL948" s="232" t="s">
        <v>239</v>
      </c>
      <c r="AM948" s="232">
        <v>1229.0328857441145</v>
      </c>
    </row>
    <row r="949" spans="1:39" ht="15.75" outlineLevel="1">
      <c r="A949" s="411">
        <v>470</v>
      </c>
      <c r="B949" s="10">
        <v>129470</v>
      </c>
      <c r="C949" s="218" t="s">
        <v>1489</v>
      </c>
      <c r="D949" s="218" t="s">
        <v>1490</v>
      </c>
      <c r="E949" s="23" t="s">
        <v>138</v>
      </c>
      <c r="F949" s="17" t="s">
        <v>45</v>
      </c>
      <c r="G949" s="11" t="s">
        <v>1432</v>
      </c>
      <c r="H949" s="12">
        <v>8</v>
      </c>
      <c r="I949" s="11" t="s">
        <v>1433</v>
      </c>
      <c r="J949" s="193" t="s">
        <v>216</v>
      </c>
      <c r="K949" s="17" t="s">
        <v>233</v>
      </c>
      <c r="L949" s="17" t="s">
        <v>233</v>
      </c>
      <c r="M949" s="231">
        <v>1</v>
      </c>
      <c r="N949" s="231">
        <v>1</v>
      </c>
      <c r="O949" s="231">
        <v>1</v>
      </c>
      <c r="P949" s="231" t="s">
        <v>239</v>
      </c>
      <c r="Q949" s="231">
        <v>1</v>
      </c>
      <c r="R949" s="231" t="s">
        <v>239</v>
      </c>
      <c r="S949" s="231">
        <v>1</v>
      </c>
      <c r="T949" s="231" t="s">
        <v>239</v>
      </c>
      <c r="U949" s="231">
        <v>1</v>
      </c>
      <c r="V949" s="230" t="s">
        <v>239</v>
      </c>
      <c r="W949" s="231">
        <v>1</v>
      </c>
      <c r="X949" s="231" t="s">
        <v>239</v>
      </c>
      <c r="Y949" s="231">
        <v>1</v>
      </c>
      <c r="Z949" s="231" t="s">
        <v>239</v>
      </c>
      <c r="AA949" s="231">
        <v>1</v>
      </c>
      <c r="AB949" s="231" t="s">
        <v>239</v>
      </c>
      <c r="AC949" s="231">
        <v>1</v>
      </c>
      <c r="AD949" s="231" t="s">
        <v>239</v>
      </c>
      <c r="AE949" s="231">
        <v>1</v>
      </c>
      <c r="AF949" s="231" t="s">
        <v>239</v>
      </c>
      <c r="AG949" s="231">
        <v>1</v>
      </c>
      <c r="AH949" s="231" t="s">
        <v>239</v>
      </c>
      <c r="AI949" s="231">
        <v>1</v>
      </c>
      <c r="AJ949" s="231" t="s">
        <v>239</v>
      </c>
      <c r="AK949" s="231">
        <v>1</v>
      </c>
      <c r="AL949" s="232" t="s">
        <v>239</v>
      </c>
      <c r="AM949" s="232">
        <v>0</v>
      </c>
    </row>
    <row r="950" spans="1:39" ht="15.75" outlineLevel="1">
      <c r="A950" s="412"/>
      <c r="B950" s="10">
        <v>129470</v>
      </c>
      <c r="C950" s="218" t="s">
        <v>1489</v>
      </c>
      <c r="D950" s="218" t="s">
        <v>1490</v>
      </c>
      <c r="E950" s="23" t="s">
        <v>44</v>
      </c>
      <c r="F950" s="17" t="s">
        <v>45</v>
      </c>
      <c r="G950" s="11" t="s">
        <v>1432</v>
      </c>
      <c r="H950" s="12">
        <v>12</v>
      </c>
      <c r="I950" s="11" t="s">
        <v>1433</v>
      </c>
      <c r="J950" s="193" t="s">
        <v>1453</v>
      </c>
      <c r="K950" s="17" t="s">
        <v>233</v>
      </c>
      <c r="L950" s="17" t="s">
        <v>233</v>
      </c>
      <c r="M950" s="231">
        <v>1474</v>
      </c>
      <c r="N950" s="232">
        <v>1456.10564</v>
      </c>
      <c r="O950" s="132">
        <v>107</v>
      </c>
      <c r="P950" s="231" t="s">
        <v>239</v>
      </c>
      <c r="Q950" s="232">
        <v>132.0915</v>
      </c>
      <c r="R950" s="231" t="s">
        <v>239</v>
      </c>
      <c r="S950" s="232">
        <v>163.06695674999997</v>
      </c>
      <c r="T950" s="231" t="s">
        <v>239</v>
      </c>
      <c r="U950" s="232">
        <v>201.30615810787495</v>
      </c>
      <c r="V950" s="231" t="s">
        <v>239</v>
      </c>
      <c r="W950" s="232">
        <v>248.51245218417162</v>
      </c>
      <c r="X950" s="231" t="s">
        <v>239</v>
      </c>
      <c r="Y950" s="232">
        <v>306.78862222135984</v>
      </c>
      <c r="Z950" s="231" t="s">
        <v>239</v>
      </c>
      <c r="AA950" s="232">
        <v>378.73055413226871</v>
      </c>
      <c r="AB950" s="231" t="s">
        <v>239</v>
      </c>
      <c r="AC950" s="232">
        <v>467.54286907628568</v>
      </c>
      <c r="AD950" s="231" t="s">
        <v>239</v>
      </c>
      <c r="AE950" s="232">
        <v>577.18167187467463</v>
      </c>
      <c r="AF950" s="231" t="s">
        <v>239</v>
      </c>
      <c r="AG950" s="232">
        <v>712.53077392928583</v>
      </c>
      <c r="AH950" s="231" t="s">
        <v>239</v>
      </c>
      <c r="AI950" s="232">
        <v>879.6192404157033</v>
      </c>
      <c r="AJ950" s="231" t="s">
        <v>239</v>
      </c>
      <c r="AK950" s="232">
        <v>1085.8899522931856</v>
      </c>
      <c r="AL950" s="232" t="s">
        <v>239</v>
      </c>
      <c r="AM950" s="232">
        <v>5260.2607509848094</v>
      </c>
    </row>
    <row r="951" spans="1:39" ht="15.75" outlineLevel="1">
      <c r="A951" s="411">
        <v>471</v>
      </c>
      <c r="B951" s="10">
        <v>129471</v>
      </c>
      <c r="C951" s="218" t="s">
        <v>1489</v>
      </c>
      <c r="D951" s="218" t="s">
        <v>1490</v>
      </c>
      <c r="E951" s="23" t="s">
        <v>138</v>
      </c>
      <c r="F951" s="17" t="s">
        <v>45</v>
      </c>
      <c r="G951" s="11" t="s">
        <v>1432</v>
      </c>
      <c r="H951" s="12">
        <v>18</v>
      </c>
      <c r="I951" s="11" t="s">
        <v>1433</v>
      </c>
      <c r="J951" s="193" t="s">
        <v>1454</v>
      </c>
      <c r="K951" s="17" t="s">
        <v>233</v>
      </c>
      <c r="L951" s="17" t="s">
        <v>233</v>
      </c>
      <c r="M951" s="231">
        <v>37</v>
      </c>
      <c r="N951" s="231">
        <v>37</v>
      </c>
      <c r="O951" s="231">
        <v>37</v>
      </c>
      <c r="P951" s="231" t="s">
        <v>239</v>
      </c>
      <c r="Q951" s="231">
        <v>37</v>
      </c>
      <c r="R951" s="231" t="s">
        <v>239</v>
      </c>
      <c r="S951" s="231">
        <v>37</v>
      </c>
      <c r="T951" s="231" t="s">
        <v>239</v>
      </c>
      <c r="U951" s="231">
        <v>37</v>
      </c>
      <c r="V951" s="231" t="s">
        <v>239</v>
      </c>
      <c r="W951" s="231">
        <v>37</v>
      </c>
      <c r="X951" s="231" t="s">
        <v>239</v>
      </c>
      <c r="Y951" s="231">
        <v>37</v>
      </c>
      <c r="Z951" s="231" t="s">
        <v>239</v>
      </c>
      <c r="AA951" s="231">
        <v>37</v>
      </c>
      <c r="AB951" s="231" t="s">
        <v>239</v>
      </c>
      <c r="AC951" s="231">
        <v>37</v>
      </c>
      <c r="AD951" s="231" t="s">
        <v>239</v>
      </c>
      <c r="AE951" s="231">
        <v>37</v>
      </c>
      <c r="AF951" s="231" t="s">
        <v>239</v>
      </c>
      <c r="AG951" s="231">
        <v>37</v>
      </c>
      <c r="AH951" s="231" t="s">
        <v>239</v>
      </c>
      <c r="AI951" s="231">
        <v>37</v>
      </c>
      <c r="AJ951" s="231" t="s">
        <v>239</v>
      </c>
      <c r="AK951" s="231">
        <v>37</v>
      </c>
      <c r="AL951" s="232" t="s">
        <v>239</v>
      </c>
      <c r="AM951" s="232">
        <v>0</v>
      </c>
    </row>
    <row r="952" spans="1:39" ht="15.75" outlineLevel="1">
      <c r="A952" s="412"/>
      <c r="B952" s="10">
        <v>129471</v>
      </c>
      <c r="C952" s="218" t="s">
        <v>1489</v>
      </c>
      <c r="D952" s="218" t="s">
        <v>1490</v>
      </c>
      <c r="E952" s="23" t="s">
        <v>44</v>
      </c>
      <c r="F952" s="17" t="s">
        <v>45</v>
      </c>
      <c r="G952" s="11" t="s">
        <v>1432</v>
      </c>
      <c r="H952" s="12">
        <v>17</v>
      </c>
      <c r="I952" s="11" t="s">
        <v>1433</v>
      </c>
      <c r="J952" s="191" t="s">
        <v>216</v>
      </c>
      <c r="K952" s="17" t="s">
        <v>233</v>
      </c>
      <c r="L952" s="17" t="s">
        <v>233</v>
      </c>
      <c r="M952" s="231">
        <v>9108</v>
      </c>
      <c r="N952" s="232">
        <v>8997.4288799999995</v>
      </c>
      <c r="O952" s="132">
        <v>759</v>
      </c>
      <c r="P952" s="231" t="s">
        <v>239</v>
      </c>
      <c r="Q952" s="232">
        <v>936.9855</v>
      </c>
      <c r="R952" s="231" t="s">
        <v>239</v>
      </c>
      <c r="S952" s="232">
        <v>1156.7085997499998</v>
      </c>
      <c r="T952" s="231" t="s">
        <v>239</v>
      </c>
      <c r="U952" s="232">
        <v>1427.9567663913747</v>
      </c>
      <c r="V952" s="230" t="s">
        <v>239</v>
      </c>
      <c r="W952" s="232">
        <v>1762.812628110152</v>
      </c>
      <c r="X952" s="231" t="s">
        <v>239</v>
      </c>
      <c r="Y952" s="232">
        <v>2176.1921894019824</v>
      </c>
      <c r="Z952" s="231" t="s">
        <v>239</v>
      </c>
      <c r="AA952" s="232">
        <v>2686.5092578167473</v>
      </c>
      <c r="AB952" s="231" t="s">
        <v>239</v>
      </c>
      <c r="AC952" s="232">
        <v>3316.4956787747742</v>
      </c>
      <c r="AD952" s="231" t="s">
        <v>239</v>
      </c>
      <c r="AE952" s="232">
        <v>4094.2139154474585</v>
      </c>
      <c r="AF952" s="231" t="s">
        <v>239</v>
      </c>
      <c r="AG952" s="232">
        <v>5054.3070786198869</v>
      </c>
      <c r="AH952" s="231" t="s">
        <v>239</v>
      </c>
      <c r="AI952" s="232">
        <v>6239.5420885562498</v>
      </c>
      <c r="AJ952" s="231" t="s">
        <v>239</v>
      </c>
      <c r="AK952" s="232">
        <v>7702.7147083226901</v>
      </c>
      <c r="AL952" s="232" t="s">
        <v>239</v>
      </c>
      <c r="AM952" s="232">
        <v>37313.438411191317</v>
      </c>
    </row>
    <row r="953" spans="1:39" ht="15.75" outlineLevel="1">
      <c r="A953" s="411">
        <v>472</v>
      </c>
      <c r="B953" s="10">
        <v>129472</v>
      </c>
      <c r="C953" s="218" t="s">
        <v>1489</v>
      </c>
      <c r="D953" s="218" t="s">
        <v>1490</v>
      </c>
      <c r="E953" s="23" t="s">
        <v>44</v>
      </c>
      <c r="F953" s="17" t="s">
        <v>45</v>
      </c>
      <c r="G953" s="11" t="s">
        <v>1432</v>
      </c>
      <c r="H953" s="12">
        <v>25</v>
      </c>
      <c r="I953" s="11" t="s">
        <v>1433</v>
      </c>
      <c r="J953" s="192" t="s">
        <v>1434</v>
      </c>
      <c r="K953" s="17" t="s">
        <v>233</v>
      </c>
      <c r="L953" s="17" t="s">
        <v>233</v>
      </c>
      <c r="M953" s="231">
        <v>1</v>
      </c>
      <c r="N953" s="231">
        <v>1</v>
      </c>
      <c r="O953" s="231">
        <v>1</v>
      </c>
      <c r="P953" s="231" t="s">
        <v>239</v>
      </c>
      <c r="Q953" s="231">
        <v>1</v>
      </c>
      <c r="R953" s="231" t="s">
        <v>239</v>
      </c>
      <c r="S953" s="231">
        <v>1</v>
      </c>
      <c r="T953" s="231" t="s">
        <v>239</v>
      </c>
      <c r="U953" s="231">
        <v>1</v>
      </c>
      <c r="V953" s="231" t="s">
        <v>239</v>
      </c>
      <c r="W953" s="231">
        <v>1</v>
      </c>
      <c r="X953" s="231" t="s">
        <v>239</v>
      </c>
      <c r="Y953" s="231">
        <v>1</v>
      </c>
      <c r="Z953" s="231" t="s">
        <v>239</v>
      </c>
      <c r="AA953" s="231">
        <v>1</v>
      </c>
      <c r="AB953" s="231" t="s">
        <v>239</v>
      </c>
      <c r="AC953" s="231">
        <v>1</v>
      </c>
      <c r="AD953" s="231" t="s">
        <v>239</v>
      </c>
      <c r="AE953" s="231">
        <v>1</v>
      </c>
      <c r="AF953" s="231" t="s">
        <v>239</v>
      </c>
      <c r="AG953" s="231">
        <v>1</v>
      </c>
      <c r="AH953" s="231" t="s">
        <v>239</v>
      </c>
      <c r="AI953" s="231">
        <v>1</v>
      </c>
      <c r="AJ953" s="231" t="s">
        <v>239</v>
      </c>
      <c r="AK953" s="231">
        <v>1</v>
      </c>
      <c r="AL953" s="232" t="s">
        <v>239</v>
      </c>
      <c r="AM953" s="232">
        <v>0</v>
      </c>
    </row>
    <row r="954" spans="1:39" ht="15.75" outlineLevel="1">
      <c r="A954" s="412"/>
      <c r="B954" s="10">
        <v>129472</v>
      </c>
      <c r="C954" s="218" t="s">
        <v>1489</v>
      </c>
      <c r="D954" s="218" t="s">
        <v>1490</v>
      </c>
      <c r="E954" s="23" t="s">
        <v>138</v>
      </c>
      <c r="F954" s="17" t="s">
        <v>45</v>
      </c>
      <c r="G954" s="11" t="s">
        <v>1432</v>
      </c>
      <c r="H954" s="12">
        <v>13</v>
      </c>
      <c r="I954" s="11" t="s">
        <v>1433</v>
      </c>
      <c r="J954" s="192" t="s">
        <v>1480</v>
      </c>
      <c r="K954" s="17" t="s">
        <v>233</v>
      </c>
      <c r="L954" s="17" t="s">
        <v>233</v>
      </c>
      <c r="M954" s="231">
        <v>2590</v>
      </c>
      <c r="N954" s="232">
        <v>2558.5573999999997</v>
      </c>
      <c r="O954" s="132">
        <v>217</v>
      </c>
      <c r="P954" s="231" t="s">
        <v>239</v>
      </c>
      <c r="Q954" s="232">
        <v>267.88650000000001</v>
      </c>
      <c r="R954" s="231" t="s">
        <v>239</v>
      </c>
      <c r="S954" s="232">
        <v>330.70588425</v>
      </c>
      <c r="T954" s="231" t="s">
        <v>239</v>
      </c>
      <c r="U954" s="232">
        <v>408.25641410662496</v>
      </c>
      <c r="V954" s="231" t="s">
        <v>239</v>
      </c>
      <c r="W954" s="232">
        <v>503.99254321462848</v>
      </c>
      <c r="X954" s="231" t="s">
        <v>239</v>
      </c>
      <c r="Y954" s="232">
        <v>622.17879459845881</v>
      </c>
      <c r="Z954" s="231" t="s">
        <v>239</v>
      </c>
      <c r="AA954" s="232">
        <v>768.07972193179739</v>
      </c>
      <c r="AB954" s="231" t="s">
        <v>239</v>
      </c>
      <c r="AC954" s="232">
        <v>948.19441672480389</v>
      </c>
      <c r="AD954" s="231" t="s">
        <v>239</v>
      </c>
      <c r="AE954" s="232">
        <v>1170.5460074467703</v>
      </c>
      <c r="AF954" s="231" t="s">
        <v>239</v>
      </c>
      <c r="AG954" s="232">
        <v>1445.0390461930378</v>
      </c>
      <c r="AH954" s="231" t="s">
        <v>239</v>
      </c>
      <c r="AI954" s="232">
        <v>1783.9007025253052</v>
      </c>
      <c r="AJ954" s="231" t="s">
        <v>239</v>
      </c>
      <c r="AK954" s="232">
        <v>2202.2254172674893</v>
      </c>
      <c r="AL954" s="232" t="s">
        <v>239</v>
      </c>
      <c r="AM954" s="232">
        <v>10668.005448258917</v>
      </c>
    </row>
    <row r="955" spans="1:39" ht="15.75" outlineLevel="1">
      <c r="A955" s="411">
        <v>473</v>
      </c>
      <c r="B955" s="10">
        <v>129473</v>
      </c>
      <c r="C955" s="218" t="s">
        <v>1489</v>
      </c>
      <c r="D955" s="218" t="s">
        <v>1490</v>
      </c>
      <c r="E955" s="23" t="s">
        <v>44</v>
      </c>
      <c r="F955" s="17" t="s">
        <v>45</v>
      </c>
      <c r="G955" s="11" t="s">
        <v>1432</v>
      </c>
      <c r="H955" s="12">
        <v>5</v>
      </c>
      <c r="I955" s="11" t="s">
        <v>1433</v>
      </c>
      <c r="J955" s="192" t="s">
        <v>1452</v>
      </c>
      <c r="K955" s="17" t="s">
        <v>233</v>
      </c>
      <c r="L955" s="17" t="s">
        <v>233</v>
      </c>
      <c r="M955" s="231">
        <v>41.5</v>
      </c>
      <c r="N955" s="231">
        <v>41.5</v>
      </c>
      <c r="O955" s="231">
        <v>41.5</v>
      </c>
      <c r="P955" s="231" t="s">
        <v>239</v>
      </c>
      <c r="Q955" s="231">
        <v>41.5</v>
      </c>
      <c r="R955" s="231" t="s">
        <v>239</v>
      </c>
      <c r="S955" s="231">
        <v>41.5</v>
      </c>
      <c r="T955" s="231" t="s">
        <v>239</v>
      </c>
      <c r="U955" s="231">
        <v>41.5</v>
      </c>
      <c r="V955" s="230" t="s">
        <v>239</v>
      </c>
      <c r="W955" s="231">
        <v>41.5</v>
      </c>
      <c r="X955" s="231" t="s">
        <v>239</v>
      </c>
      <c r="Y955" s="231">
        <v>41.5</v>
      </c>
      <c r="Z955" s="231" t="s">
        <v>239</v>
      </c>
      <c r="AA955" s="231">
        <v>41.5</v>
      </c>
      <c r="AB955" s="231" t="s">
        <v>239</v>
      </c>
      <c r="AC955" s="231">
        <v>41.5</v>
      </c>
      <c r="AD955" s="231" t="s">
        <v>239</v>
      </c>
      <c r="AE955" s="231">
        <v>41.5</v>
      </c>
      <c r="AF955" s="231" t="s">
        <v>239</v>
      </c>
      <c r="AG955" s="231">
        <v>41.5</v>
      </c>
      <c r="AH955" s="231" t="s">
        <v>239</v>
      </c>
      <c r="AI955" s="231">
        <v>41.5</v>
      </c>
      <c r="AJ955" s="231" t="s">
        <v>239</v>
      </c>
      <c r="AK955" s="231">
        <v>41.5</v>
      </c>
      <c r="AL955" s="232" t="s">
        <v>239</v>
      </c>
      <c r="AM955" s="232">
        <v>0</v>
      </c>
    </row>
    <row r="956" spans="1:39" ht="15.75" outlineLevel="1">
      <c r="A956" s="412"/>
      <c r="B956" s="10">
        <v>129473</v>
      </c>
      <c r="C956" s="218" t="s">
        <v>1489</v>
      </c>
      <c r="D956" s="218" t="s">
        <v>1490</v>
      </c>
      <c r="E956" s="23" t="s">
        <v>138</v>
      </c>
      <c r="F956" s="17" t="s">
        <v>45</v>
      </c>
      <c r="G956" s="11" t="s">
        <v>1432</v>
      </c>
      <c r="H956" s="12">
        <v>4</v>
      </c>
      <c r="I956" s="11" t="s">
        <v>1433</v>
      </c>
      <c r="J956" s="193" t="s">
        <v>1451</v>
      </c>
      <c r="K956" s="17" t="s">
        <v>233</v>
      </c>
      <c r="L956" s="17" t="s">
        <v>233</v>
      </c>
      <c r="M956" s="231">
        <v>22098</v>
      </c>
      <c r="N956" s="232">
        <v>21829.73028</v>
      </c>
      <c r="O956" s="132">
        <v>660</v>
      </c>
      <c r="P956" s="231" t="s">
        <v>239</v>
      </c>
      <c r="Q956" s="232">
        <v>814.77</v>
      </c>
      <c r="R956" s="231" t="s">
        <v>239</v>
      </c>
      <c r="S956" s="232">
        <v>1005.8335649999999</v>
      </c>
      <c r="T956" s="231" t="s">
        <v>239</v>
      </c>
      <c r="U956" s="232">
        <v>1241.7015359924999</v>
      </c>
      <c r="V956" s="231" t="s">
        <v>239</v>
      </c>
      <c r="W956" s="232">
        <v>1532.880546182741</v>
      </c>
      <c r="X956" s="231" t="s">
        <v>239</v>
      </c>
      <c r="Y956" s="232">
        <v>1892.3410342625937</v>
      </c>
      <c r="Z956" s="231" t="s">
        <v>239</v>
      </c>
      <c r="AA956" s="232">
        <v>2336.0950067971717</v>
      </c>
      <c r="AB956" s="231" t="s">
        <v>239</v>
      </c>
      <c r="AC956" s="232">
        <v>2883.9092858911081</v>
      </c>
      <c r="AD956" s="231" t="s">
        <v>239</v>
      </c>
      <c r="AE956" s="232">
        <v>3560.1860134325725</v>
      </c>
      <c r="AF956" s="231" t="s">
        <v>239</v>
      </c>
      <c r="AG956" s="232">
        <v>4395.0496335825101</v>
      </c>
      <c r="AH956" s="231" t="s">
        <v>239</v>
      </c>
      <c r="AI956" s="232">
        <v>5425.6887726576088</v>
      </c>
      <c r="AJ956" s="231" t="s">
        <v>239</v>
      </c>
      <c r="AK956" s="232">
        <v>6698.0127898458177</v>
      </c>
      <c r="AL956" s="232" t="s">
        <v>239</v>
      </c>
      <c r="AM956" s="232">
        <v>32446.468183644625</v>
      </c>
    </row>
    <row r="957" spans="1:39" ht="15.75" outlineLevel="1">
      <c r="A957" s="411">
        <v>474</v>
      </c>
      <c r="B957" s="10">
        <v>129474</v>
      </c>
      <c r="C957" s="218" t="s">
        <v>1489</v>
      </c>
      <c r="D957" s="218" t="s">
        <v>1490</v>
      </c>
      <c r="E957" s="23" t="s">
        <v>44</v>
      </c>
      <c r="F957" s="17" t="s">
        <v>45</v>
      </c>
      <c r="G957" s="11" t="s">
        <v>1432</v>
      </c>
      <c r="H957" s="12">
        <v>18</v>
      </c>
      <c r="I957" s="11" t="s">
        <v>1433</v>
      </c>
      <c r="J957" s="193" t="s">
        <v>208</v>
      </c>
      <c r="K957" s="17" t="s">
        <v>233</v>
      </c>
      <c r="L957" s="17" t="s">
        <v>233</v>
      </c>
      <c r="M957" s="231">
        <v>41.5</v>
      </c>
      <c r="N957" s="231">
        <v>41.5</v>
      </c>
      <c r="O957" s="231">
        <v>41.5</v>
      </c>
      <c r="P957" s="231" t="s">
        <v>239</v>
      </c>
      <c r="Q957" s="231">
        <v>41.5</v>
      </c>
      <c r="R957" s="231" t="s">
        <v>239</v>
      </c>
      <c r="S957" s="231">
        <v>41.5</v>
      </c>
      <c r="T957" s="231" t="s">
        <v>239</v>
      </c>
      <c r="U957" s="231">
        <v>41.5</v>
      </c>
      <c r="V957" s="231" t="s">
        <v>239</v>
      </c>
      <c r="W957" s="231">
        <v>41.5</v>
      </c>
      <c r="X957" s="231" t="s">
        <v>239</v>
      </c>
      <c r="Y957" s="231">
        <v>41.5</v>
      </c>
      <c r="Z957" s="231" t="s">
        <v>239</v>
      </c>
      <c r="AA957" s="231">
        <v>41.5</v>
      </c>
      <c r="AB957" s="231" t="s">
        <v>239</v>
      </c>
      <c r="AC957" s="231">
        <v>41.5</v>
      </c>
      <c r="AD957" s="231" t="s">
        <v>239</v>
      </c>
      <c r="AE957" s="231">
        <v>41.5</v>
      </c>
      <c r="AF957" s="231" t="s">
        <v>239</v>
      </c>
      <c r="AG957" s="231">
        <v>41.5</v>
      </c>
      <c r="AH957" s="231" t="s">
        <v>239</v>
      </c>
      <c r="AI957" s="231">
        <v>41.5</v>
      </c>
      <c r="AJ957" s="231" t="s">
        <v>239</v>
      </c>
      <c r="AK957" s="231">
        <v>41.5</v>
      </c>
      <c r="AL957" s="232" t="s">
        <v>239</v>
      </c>
      <c r="AM957" s="232">
        <v>0</v>
      </c>
    </row>
    <row r="958" spans="1:39" ht="15.75" outlineLevel="1">
      <c r="A958" s="412"/>
      <c r="B958" s="10">
        <v>129474</v>
      </c>
      <c r="C958" s="218" t="s">
        <v>1489</v>
      </c>
      <c r="D958" s="218" t="s">
        <v>1490</v>
      </c>
      <c r="E958" s="23" t="s">
        <v>44</v>
      </c>
      <c r="F958" s="17" t="s">
        <v>45</v>
      </c>
      <c r="G958" s="11" t="s">
        <v>1432</v>
      </c>
      <c r="H958" s="12">
        <v>17</v>
      </c>
      <c r="I958" s="11" t="s">
        <v>1433</v>
      </c>
      <c r="J958" s="193" t="s">
        <v>1452</v>
      </c>
      <c r="K958" s="17" t="s">
        <v>233</v>
      </c>
      <c r="L958" s="17" t="s">
        <v>233</v>
      </c>
      <c r="M958" s="231">
        <v>0</v>
      </c>
      <c r="N958" s="232">
        <v>0</v>
      </c>
      <c r="O958" s="132">
        <v>0</v>
      </c>
      <c r="P958" s="231" t="s">
        <v>239</v>
      </c>
      <c r="Q958" s="232">
        <v>0</v>
      </c>
      <c r="R958" s="231" t="s">
        <v>239</v>
      </c>
      <c r="S958" s="232">
        <v>0</v>
      </c>
      <c r="T958" s="231" t="s">
        <v>239</v>
      </c>
      <c r="U958" s="232">
        <v>0</v>
      </c>
      <c r="V958" s="230" t="s">
        <v>239</v>
      </c>
      <c r="W958" s="232">
        <v>0</v>
      </c>
      <c r="X958" s="231" t="s">
        <v>239</v>
      </c>
      <c r="Y958" s="232">
        <v>0</v>
      </c>
      <c r="Z958" s="231" t="s">
        <v>239</v>
      </c>
      <c r="AA958" s="232">
        <v>0</v>
      </c>
      <c r="AB958" s="231" t="s">
        <v>239</v>
      </c>
      <c r="AC958" s="232">
        <v>0</v>
      </c>
      <c r="AD958" s="231" t="s">
        <v>239</v>
      </c>
      <c r="AE958" s="232">
        <v>0</v>
      </c>
      <c r="AF958" s="231" t="s">
        <v>239</v>
      </c>
      <c r="AG958" s="232">
        <v>0</v>
      </c>
      <c r="AH958" s="231" t="s">
        <v>239</v>
      </c>
      <c r="AI958" s="232">
        <v>0</v>
      </c>
      <c r="AJ958" s="231" t="s">
        <v>239</v>
      </c>
      <c r="AK958" s="232">
        <v>0</v>
      </c>
      <c r="AL958" s="232" t="s">
        <v>239</v>
      </c>
      <c r="AM958" s="232">
        <v>0</v>
      </c>
    </row>
    <row r="959" spans="1:39" ht="15.75" outlineLevel="1">
      <c r="A959" s="411">
        <v>475</v>
      </c>
      <c r="B959" s="10">
        <v>129475</v>
      </c>
      <c r="C959" s="218" t="s">
        <v>1489</v>
      </c>
      <c r="D959" s="218" t="s">
        <v>1490</v>
      </c>
      <c r="E959" s="23" t="s">
        <v>138</v>
      </c>
      <c r="F959" s="17" t="s">
        <v>45</v>
      </c>
      <c r="G959" s="11" t="s">
        <v>1432</v>
      </c>
      <c r="H959" s="12">
        <v>28</v>
      </c>
      <c r="I959" s="11" t="s">
        <v>1433</v>
      </c>
      <c r="J959" s="193" t="s">
        <v>216</v>
      </c>
      <c r="K959" s="17" t="s">
        <v>233</v>
      </c>
      <c r="L959" s="17" t="s">
        <v>233</v>
      </c>
      <c r="M959" s="231">
        <v>20</v>
      </c>
      <c r="N959" s="231">
        <v>20</v>
      </c>
      <c r="O959" s="231">
        <v>20</v>
      </c>
      <c r="P959" s="231" t="s">
        <v>239</v>
      </c>
      <c r="Q959" s="231">
        <v>20</v>
      </c>
      <c r="R959" s="231" t="s">
        <v>239</v>
      </c>
      <c r="S959" s="231">
        <v>20</v>
      </c>
      <c r="T959" s="231" t="s">
        <v>239</v>
      </c>
      <c r="U959" s="231">
        <v>20</v>
      </c>
      <c r="V959" s="231" t="s">
        <v>239</v>
      </c>
      <c r="W959" s="231">
        <v>20</v>
      </c>
      <c r="X959" s="231" t="s">
        <v>239</v>
      </c>
      <c r="Y959" s="231">
        <v>20</v>
      </c>
      <c r="Z959" s="231" t="s">
        <v>239</v>
      </c>
      <c r="AA959" s="231">
        <v>20</v>
      </c>
      <c r="AB959" s="231" t="s">
        <v>239</v>
      </c>
      <c r="AC959" s="231">
        <v>20</v>
      </c>
      <c r="AD959" s="231" t="s">
        <v>239</v>
      </c>
      <c r="AE959" s="231">
        <v>20</v>
      </c>
      <c r="AF959" s="231" t="s">
        <v>239</v>
      </c>
      <c r="AG959" s="231">
        <v>20</v>
      </c>
      <c r="AH959" s="231" t="s">
        <v>239</v>
      </c>
      <c r="AI959" s="231">
        <v>20</v>
      </c>
      <c r="AJ959" s="231" t="s">
        <v>239</v>
      </c>
      <c r="AK959" s="231">
        <v>20</v>
      </c>
      <c r="AL959" s="232" t="s">
        <v>239</v>
      </c>
      <c r="AM959" s="232">
        <v>0</v>
      </c>
    </row>
    <row r="960" spans="1:39" ht="15.75" outlineLevel="1">
      <c r="A960" s="412"/>
      <c r="B960" s="10">
        <v>129475</v>
      </c>
      <c r="C960" s="218" t="s">
        <v>1489</v>
      </c>
      <c r="D960" s="218" t="s">
        <v>1490</v>
      </c>
      <c r="E960" s="23" t="s">
        <v>44</v>
      </c>
      <c r="F960" s="17" t="s">
        <v>45</v>
      </c>
      <c r="G960" s="11" t="s">
        <v>1432</v>
      </c>
      <c r="H960" s="12">
        <v>33</v>
      </c>
      <c r="I960" s="11" t="s">
        <v>1433</v>
      </c>
      <c r="J960" s="193" t="s">
        <v>1453</v>
      </c>
      <c r="K960" s="17" t="s">
        <v>233</v>
      </c>
      <c r="L960" s="17" t="s">
        <v>233</v>
      </c>
      <c r="M960" s="231">
        <v>4978</v>
      </c>
      <c r="N960" s="232">
        <v>4917.5670799999998</v>
      </c>
      <c r="O960" s="132">
        <v>75</v>
      </c>
      <c r="P960" s="231" t="s">
        <v>239</v>
      </c>
      <c r="Q960" s="232">
        <v>92.587499999999991</v>
      </c>
      <c r="R960" s="231" t="s">
        <v>239</v>
      </c>
      <c r="S960" s="232">
        <v>114.29926874999998</v>
      </c>
      <c r="T960" s="231" t="s">
        <v>239</v>
      </c>
      <c r="U960" s="232">
        <v>141.10244727187498</v>
      </c>
      <c r="V960" s="231" t="s">
        <v>239</v>
      </c>
      <c r="W960" s="232">
        <v>174.19097115712964</v>
      </c>
      <c r="X960" s="231" t="s">
        <v>239</v>
      </c>
      <c r="Y960" s="232">
        <v>215.03875389347652</v>
      </c>
      <c r="Z960" s="231" t="s">
        <v>239</v>
      </c>
      <c r="AA960" s="232">
        <v>265.46534168149674</v>
      </c>
      <c r="AB960" s="231" t="s">
        <v>239</v>
      </c>
      <c r="AC960" s="232">
        <v>327.71696430580772</v>
      </c>
      <c r="AD960" s="231" t="s">
        <v>239</v>
      </c>
      <c r="AE960" s="232">
        <v>404.56659243551962</v>
      </c>
      <c r="AF960" s="231" t="s">
        <v>239</v>
      </c>
      <c r="AG960" s="232">
        <v>499.43745836164896</v>
      </c>
      <c r="AH960" s="231" t="s">
        <v>239</v>
      </c>
      <c r="AI960" s="232">
        <v>616.55554234745557</v>
      </c>
      <c r="AJ960" s="231" t="s">
        <v>239</v>
      </c>
      <c r="AK960" s="232">
        <v>761.13781702793381</v>
      </c>
      <c r="AL960" s="232" t="s">
        <v>239</v>
      </c>
      <c r="AM960" s="232">
        <v>3687.0986572323436</v>
      </c>
    </row>
    <row r="961" spans="1:39" ht="15.75" outlineLevel="1">
      <c r="A961" s="411">
        <v>476</v>
      </c>
      <c r="B961" s="10">
        <v>129476</v>
      </c>
      <c r="C961" s="218" t="s">
        <v>1489</v>
      </c>
      <c r="D961" s="218" t="s">
        <v>1490</v>
      </c>
      <c r="E961" s="23" t="s">
        <v>138</v>
      </c>
      <c r="F961" s="17" t="s">
        <v>45</v>
      </c>
      <c r="G961" s="11" t="s">
        <v>1432</v>
      </c>
      <c r="H961" s="12">
        <v>25</v>
      </c>
      <c r="I961" s="11" t="s">
        <v>1433</v>
      </c>
      <c r="J961" s="193" t="s">
        <v>1454</v>
      </c>
      <c r="K961" s="17" t="s">
        <v>233</v>
      </c>
      <c r="L961" s="17" t="s">
        <v>233</v>
      </c>
      <c r="M961" s="231">
        <v>20</v>
      </c>
      <c r="N961" s="231">
        <v>20</v>
      </c>
      <c r="O961" s="231">
        <v>20</v>
      </c>
      <c r="P961" s="231" t="s">
        <v>239</v>
      </c>
      <c r="Q961" s="231">
        <v>20</v>
      </c>
      <c r="R961" s="231" t="s">
        <v>239</v>
      </c>
      <c r="S961" s="231">
        <v>20</v>
      </c>
      <c r="T961" s="231" t="s">
        <v>239</v>
      </c>
      <c r="U961" s="231">
        <v>20</v>
      </c>
      <c r="V961" s="230" t="s">
        <v>239</v>
      </c>
      <c r="W961" s="231">
        <v>20</v>
      </c>
      <c r="X961" s="231" t="s">
        <v>239</v>
      </c>
      <c r="Y961" s="231">
        <v>20</v>
      </c>
      <c r="Z961" s="231" t="s">
        <v>239</v>
      </c>
      <c r="AA961" s="231">
        <v>20</v>
      </c>
      <c r="AB961" s="231" t="s">
        <v>239</v>
      </c>
      <c r="AC961" s="231">
        <v>20</v>
      </c>
      <c r="AD961" s="231" t="s">
        <v>239</v>
      </c>
      <c r="AE961" s="231">
        <v>20</v>
      </c>
      <c r="AF961" s="231" t="s">
        <v>239</v>
      </c>
      <c r="AG961" s="231">
        <v>20</v>
      </c>
      <c r="AH961" s="231" t="s">
        <v>239</v>
      </c>
      <c r="AI961" s="231">
        <v>20</v>
      </c>
      <c r="AJ961" s="231" t="s">
        <v>239</v>
      </c>
      <c r="AK961" s="231">
        <v>20</v>
      </c>
      <c r="AL961" s="232" t="s">
        <v>239</v>
      </c>
      <c r="AM961" s="232">
        <v>0</v>
      </c>
    </row>
    <row r="962" spans="1:39" ht="15.75" outlineLevel="1">
      <c r="A962" s="412"/>
      <c r="B962" s="10">
        <v>129476</v>
      </c>
      <c r="C962" s="218" t="s">
        <v>1489</v>
      </c>
      <c r="D962" s="218" t="s">
        <v>1490</v>
      </c>
      <c r="E962" s="23" t="s">
        <v>44</v>
      </c>
      <c r="F962" s="17" t="s">
        <v>45</v>
      </c>
      <c r="G962" s="11" t="s">
        <v>1432</v>
      </c>
      <c r="H962" s="12">
        <v>9</v>
      </c>
      <c r="I962" s="11" t="s">
        <v>1433</v>
      </c>
      <c r="J962" s="191" t="s">
        <v>216</v>
      </c>
      <c r="K962" s="17" t="s">
        <v>233</v>
      </c>
      <c r="L962" s="17" t="s">
        <v>233</v>
      </c>
      <c r="M962" s="231">
        <v>0</v>
      </c>
      <c r="N962" s="232">
        <v>0</v>
      </c>
      <c r="O962" s="132"/>
      <c r="P962" s="231" t="s">
        <v>239</v>
      </c>
      <c r="Q962" s="232">
        <v>0</v>
      </c>
      <c r="R962" s="231" t="s">
        <v>239</v>
      </c>
      <c r="S962" s="232">
        <v>0</v>
      </c>
      <c r="T962" s="231" t="s">
        <v>239</v>
      </c>
      <c r="U962" s="232">
        <v>0</v>
      </c>
      <c r="V962" s="231" t="s">
        <v>239</v>
      </c>
      <c r="W962" s="232">
        <v>0</v>
      </c>
      <c r="X962" s="231" t="s">
        <v>239</v>
      </c>
      <c r="Y962" s="232">
        <v>0</v>
      </c>
      <c r="Z962" s="231" t="s">
        <v>239</v>
      </c>
      <c r="AA962" s="232">
        <v>0</v>
      </c>
      <c r="AB962" s="231" t="s">
        <v>239</v>
      </c>
      <c r="AC962" s="232">
        <v>0</v>
      </c>
      <c r="AD962" s="231" t="s">
        <v>239</v>
      </c>
      <c r="AE962" s="232">
        <v>0</v>
      </c>
      <c r="AF962" s="231" t="s">
        <v>239</v>
      </c>
      <c r="AG962" s="232">
        <v>0</v>
      </c>
      <c r="AH962" s="231" t="s">
        <v>239</v>
      </c>
      <c r="AI962" s="232">
        <v>0</v>
      </c>
      <c r="AJ962" s="231" t="s">
        <v>239</v>
      </c>
      <c r="AK962" s="232">
        <v>0</v>
      </c>
      <c r="AL962" s="232" t="s">
        <v>239</v>
      </c>
      <c r="AM962" s="232">
        <v>0</v>
      </c>
    </row>
    <row r="963" spans="1:39" ht="15.75" outlineLevel="1">
      <c r="A963" s="411">
        <v>477</v>
      </c>
      <c r="B963" s="10">
        <v>129477</v>
      </c>
      <c r="C963" s="218" t="s">
        <v>1489</v>
      </c>
      <c r="D963" s="218" t="s">
        <v>1490</v>
      </c>
      <c r="E963" s="23" t="s">
        <v>44</v>
      </c>
      <c r="F963" s="17" t="s">
        <v>45</v>
      </c>
      <c r="G963" s="11" t="s">
        <v>1432</v>
      </c>
      <c r="H963" s="12">
        <v>24</v>
      </c>
      <c r="I963" s="11" t="s">
        <v>1433</v>
      </c>
      <c r="J963" s="192" t="s">
        <v>1434</v>
      </c>
      <c r="K963" s="17" t="s">
        <v>233</v>
      </c>
      <c r="L963" s="17" t="s">
        <v>233</v>
      </c>
      <c r="M963" s="231">
        <v>41.5</v>
      </c>
      <c r="N963" s="231">
        <v>41.5</v>
      </c>
      <c r="O963" s="231">
        <v>41.5</v>
      </c>
      <c r="P963" s="231" t="s">
        <v>239</v>
      </c>
      <c r="Q963" s="231">
        <v>41.5</v>
      </c>
      <c r="R963" s="231" t="s">
        <v>239</v>
      </c>
      <c r="S963" s="231">
        <v>41.5</v>
      </c>
      <c r="T963" s="231" t="s">
        <v>239</v>
      </c>
      <c r="U963" s="231">
        <v>41.5</v>
      </c>
      <c r="V963" s="231" t="s">
        <v>239</v>
      </c>
      <c r="W963" s="231">
        <v>41.5</v>
      </c>
      <c r="X963" s="231" t="s">
        <v>239</v>
      </c>
      <c r="Y963" s="231">
        <v>41.5</v>
      </c>
      <c r="Z963" s="231" t="s">
        <v>239</v>
      </c>
      <c r="AA963" s="231">
        <v>41.5</v>
      </c>
      <c r="AB963" s="231" t="s">
        <v>239</v>
      </c>
      <c r="AC963" s="231">
        <v>41.5</v>
      </c>
      <c r="AD963" s="231" t="s">
        <v>239</v>
      </c>
      <c r="AE963" s="231">
        <v>41.5</v>
      </c>
      <c r="AF963" s="231" t="s">
        <v>239</v>
      </c>
      <c r="AG963" s="231">
        <v>41.5</v>
      </c>
      <c r="AH963" s="231" t="s">
        <v>239</v>
      </c>
      <c r="AI963" s="231">
        <v>41.5</v>
      </c>
      <c r="AJ963" s="231" t="s">
        <v>239</v>
      </c>
      <c r="AK963" s="231">
        <v>41.5</v>
      </c>
      <c r="AL963" s="232" t="s">
        <v>239</v>
      </c>
      <c r="AM963" s="232">
        <v>0</v>
      </c>
    </row>
    <row r="964" spans="1:39" ht="15.75" outlineLevel="1">
      <c r="A964" s="412"/>
      <c r="B964" s="10">
        <v>129477</v>
      </c>
      <c r="C964" s="218" t="s">
        <v>1489</v>
      </c>
      <c r="D964" s="218" t="s">
        <v>1490</v>
      </c>
      <c r="E964" s="23" t="s">
        <v>138</v>
      </c>
      <c r="F964" s="17" t="s">
        <v>45</v>
      </c>
      <c r="G964" s="11" t="s">
        <v>1432</v>
      </c>
      <c r="H964" s="12">
        <v>36</v>
      </c>
      <c r="I964" s="11" t="s">
        <v>1433</v>
      </c>
      <c r="J964" s="192" t="s">
        <v>1480</v>
      </c>
      <c r="K964" s="17" t="s">
        <v>233</v>
      </c>
      <c r="L964" s="17" t="s">
        <v>233</v>
      </c>
      <c r="M964" s="231">
        <v>0</v>
      </c>
      <c r="N964" s="232">
        <v>0</v>
      </c>
      <c r="O964" s="132">
        <v>0</v>
      </c>
      <c r="P964" s="231" t="s">
        <v>239</v>
      </c>
      <c r="Q964" s="232">
        <v>0</v>
      </c>
      <c r="R964" s="231" t="s">
        <v>239</v>
      </c>
      <c r="S964" s="232">
        <v>0</v>
      </c>
      <c r="T964" s="231" t="s">
        <v>239</v>
      </c>
      <c r="U964" s="232">
        <v>0</v>
      </c>
      <c r="V964" s="230" t="s">
        <v>239</v>
      </c>
      <c r="W964" s="232">
        <v>0</v>
      </c>
      <c r="X964" s="231" t="s">
        <v>239</v>
      </c>
      <c r="Y964" s="232">
        <v>0</v>
      </c>
      <c r="Z964" s="231" t="s">
        <v>239</v>
      </c>
      <c r="AA964" s="232">
        <v>0</v>
      </c>
      <c r="AB964" s="231" t="s">
        <v>239</v>
      </c>
      <c r="AC964" s="232">
        <v>0</v>
      </c>
      <c r="AD964" s="231" t="s">
        <v>239</v>
      </c>
      <c r="AE964" s="232">
        <v>0</v>
      </c>
      <c r="AF964" s="231" t="s">
        <v>239</v>
      </c>
      <c r="AG964" s="232">
        <v>0</v>
      </c>
      <c r="AH964" s="231" t="s">
        <v>239</v>
      </c>
      <c r="AI964" s="232">
        <v>0</v>
      </c>
      <c r="AJ964" s="231" t="s">
        <v>239</v>
      </c>
      <c r="AK964" s="232">
        <v>0</v>
      </c>
      <c r="AL964" s="232" t="s">
        <v>239</v>
      </c>
      <c r="AM964" s="232">
        <v>0</v>
      </c>
    </row>
    <row r="965" spans="1:39" ht="15.75" outlineLevel="1">
      <c r="A965" s="411">
        <v>478</v>
      </c>
      <c r="B965" s="10">
        <v>129478</v>
      </c>
      <c r="C965" s="218" t="s">
        <v>1489</v>
      </c>
      <c r="D965" s="218" t="s">
        <v>1490</v>
      </c>
      <c r="E965" s="23" t="s">
        <v>44</v>
      </c>
      <c r="F965" s="17" t="s">
        <v>45</v>
      </c>
      <c r="G965" s="11" t="s">
        <v>1432</v>
      </c>
      <c r="H965" s="12">
        <v>34</v>
      </c>
      <c r="I965" s="11" t="s">
        <v>1433</v>
      </c>
      <c r="J965" s="192" t="s">
        <v>1452</v>
      </c>
      <c r="K965" s="17" t="s">
        <v>233</v>
      </c>
      <c r="L965" s="17" t="s">
        <v>233</v>
      </c>
      <c r="M965" s="231">
        <v>22</v>
      </c>
      <c r="N965" s="231">
        <v>22</v>
      </c>
      <c r="O965" s="231">
        <v>22</v>
      </c>
      <c r="P965" s="231" t="s">
        <v>239</v>
      </c>
      <c r="Q965" s="231">
        <v>22</v>
      </c>
      <c r="R965" s="231" t="s">
        <v>239</v>
      </c>
      <c r="S965" s="231">
        <v>22</v>
      </c>
      <c r="T965" s="231" t="s">
        <v>239</v>
      </c>
      <c r="U965" s="231">
        <v>22</v>
      </c>
      <c r="V965" s="231" t="s">
        <v>239</v>
      </c>
      <c r="W965" s="231">
        <v>22</v>
      </c>
      <c r="X965" s="231" t="s">
        <v>239</v>
      </c>
      <c r="Y965" s="231">
        <v>22</v>
      </c>
      <c r="Z965" s="231" t="s">
        <v>239</v>
      </c>
      <c r="AA965" s="231">
        <v>22</v>
      </c>
      <c r="AB965" s="231" t="s">
        <v>239</v>
      </c>
      <c r="AC965" s="231">
        <v>22</v>
      </c>
      <c r="AD965" s="231" t="s">
        <v>239</v>
      </c>
      <c r="AE965" s="231">
        <v>22</v>
      </c>
      <c r="AF965" s="231" t="s">
        <v>239</v>
      </c>
      <c r="AG965" s="231">
        <v>22</v>
      </c>
      <c r="AH965" s="231" t="s">
        <v>239</v>
      </c>
      <c r="AI965" s="231">
        <v>22</v>
      </c>
      <c r="AJ965" s="231" t="s">
        <v>239</v>
      </c>
      <c r="AK965" s="231">
        <v>22</v>
      </c>
      <c r="AL965" s="232" t="s">
        <v>239</v>
      </c>
      <c r="AM965" s="232">
        <v>0</v>
      </c>
    </row>
    <row r="966" spans="1:39" ht="15.75" outlineLevel="1">
      <c r="A966" s="412"/>
      <c r="B966" s="10">
        <v>129478</v>
      </c>
      <c r="C966" s="218" t="s">
        <v>1489</v>
      </c>
      <c r="D966" s="218" t="s">
        <v>1490</v>
      </c>
      <c r="E966" s="23" t="s">
        <v>138</v>
      </c>
      <c r="F966" s="17" t="s">
        <v>45</v>
      </c>
      <c r="G966" s="11" t="s">
        <v>1432</v>
      </c>
      <c r="H966" s="12">
        <v>7</v>
      </c>
      <c r="I966" s="11" t="s">
        <v>1433</v>
      </c>
      <c r="J966" s="374" t="s">
        <v>207</v>
      </c>
      <c r="K966" s="17" t="s">
        <v>233</v>
      </c>
      <c r="L966" s="17" t="s">
        <v>233</v>
      </c>
      <c r="M966" s="231">
        <v>5358</v>
      </c>
      <c r="N966" s="232">
        <v>5292.95388</v>
      </c>
      <c r="O966" s="132">
        <v>520</v>
      </c>
      <c r="P966" s="231" t="s">
        <v>239</v>
      </c>
      <c r="Q966" s="232">
        <v>641.93999999999994</v>
      </c>
      <c r="R966" s="231" t="s">
        <v>239</v>
      </c>
      <c r="S966" s="232">
        <v>792.47492999999986</v>
      </c>
      <c r="T966" s="231" t="s">
        <v>239</v>
      </c>
      <c r="U966" s="232">
        <v>978.31030108499976</v>
      </c>
      <c r="V966" s="231" t="s">
        <v>239</v>
      </c>
      <c r="W966" s="232">
        <v>1207.7240666894322</v>
      </c>
      <c r="X966" s="231" t="s">
        <v>239</v>
      </c>
      <c r="Y966" s="232">
        <v>1490.935360328104</v>
      </c>
      <c r="Z966" s="231" t="s">
        <v>239</v>
      </c>
      <c r="AA966" s="232">
        <v>1840.5597023250443</v>
      </c>
      <c r="AB966" s="231" t="s">
        <v>239</v>
      </c>
      <c r="AC966" s="232">
        <v>2272.1709525202673</v>
      </c>
      <c r="AD966" s="231" t="s">
        <v>239</v>
      </c>
      <c r="AE966" s="232">
        <v>2804.9950408862696</v>
      </c>
      <c r="AF966" s="231" t="s">
        <v>239</v>
      </c>
      <c r="AG966" s="232">
        <v>3462.7663779740997</v>
      </c>
      <c r="AH966" s="231" t="s">
        <v>239</v>
      </c>
      <c r="AI966" s="232">
        <v>4274.7850936090254</v>
      </c>
      <c r="AJ966" s="231" t="s">
        <v>239</v>
      </c>
      <c r="AK966" s="232">
        <v>5277.2221980603417</v>
      </c>
      <c r="AL966" s="232" t="s">
        <v>239</v>
      </c>
      <c r="AM966" s="232">
        <v>25563.884023477585</v>
      </c>
    </row>
    <row r="967" spans="1:39" ht="15.75" outlineLevel="1">
      <c r="A967" s="411">
        <v>479</v>
      </c>
      <c r="B967" s="10">
        <v>129479</v>
      </c>
      <c r="C967" s="218" t="s">
        <v>1489</v>
      </c>
      <c r="D967" s="218" t="s">
        <v>1490</v>
      </c>
      <c r="E967" s="23" t="s">
        <v>44</v>
      </c>
      <c r="F967" s="17" t="s">
        <v>45</v>
      </c>
      <c r="G967" s="11" t="s">
        <v>1432</v>
      </c>
      <c r="H967" s="12">
        <v>5</v>
      </c>
      <c r="I967" s="11" t="s">
        <v>1433</v>
      </c>
      <c r="J967" s="375"/>
      <c r="K967" s="17" t="s">
        <v>233</v>
      </c>
      <c r="L967" s="17" t="s">
        <v>233</v>
      </c>
      <c r="M967" s="231">
        <v>2</v>
      </c>
      <c r="N967" s="231">
        <v>2</v>
      </c>
      <c r="O967" s="231">
        <v>2</v>
      </c>
      <c r="P967" s="231" t="s">
        <v>239</v>
      </c>
      <c r="Q967" s="231">
        <v>2</v>
      </c>
      <c r="R967" s="231" t="s">
        <v>239</v>
      </c>
      <c r="S967" s="231">
        <v>2</v>
      </c>
      <c r="T967" s="231" t="s">
        <v>239</v>
      </c>
      <c r="U967" s="231">
        <v>2</v>
      </c>
      <c r="V967" s="230" t="s">
        <v>239</v>
      </c>
      <c r="W967" s="231">
        <v>2</v>
      </c>
      <c r="X967" s="231" t="s">
        <v>239</v>
      </c>
      <c r="Y967" s="231">
        <v>2</v>
      </c>
      <c r="Z967" s="231" t="s">
        <v>239</v>
      </c>
      <c r="AA967" s="231">
        <v>2</v>
      </c>
      <c r="AB967" s="231" t="s">
        <v>239</v>
      </c>
      <c r="AC967" s="231">
        <v>2</v>
      </c>
      <c r="AD967" s="231" t="s">
        <v>239</v>
      </c>
      <c r="AE967" s="231">
        <v>2</v>
      </c>
      <c r="AF967" s="231" t="s">
        <v>239</v>
      </c>
      <c r="AG967" s="231">
        <v>2</v>
      </c>
      <c r="AH967" s="231" t="s">
        <v>239</v>
      </c>
      <c r="AI967" s="231">
        <v>2</v>
      </c>
      <c r="AJ967" s="231" t="s">
        <v>239</v>
      </c>
      <c r="AK967" s="231">
        <v>2</v>
      </c>
      <c r="AL967" s="232" t="s">
        <v>239</v>
      </c>
      <c r="AM967" s="232">
        <v>0</v>
      </c>
    </row>
    <row r="968" spans="1:39" ht="15.75" outlineLevel="1">
      <c r="A968" s="412"/>
      <c r="B968" s="10">
        <v>129479</v>
      </c>
      <c r="C968" s="218" t="s">
        <v>1489</v>
      </c>
      <c r="D968" s="218" t="s">
        <v>1490</v>
      </c>
      <c r="E968" s="23" t="s">
        <v>44</v>
      </c>
      <c r="F968" s="17" t="s">
        <v>45</v>
      </c>
      <c r="G968" s="11" t="s">
        <v>1432</v>
      </c>
      <c r="H968" s="12">
        <v>24</v>
      </c>
      <c r="I968" s="11" t="s">
        <v>1433</v>
      </c>
      <c r="J968" s="193" t="s">
        <v>1460</v>
      </c>
      <c r="K968" s="17" t="s">
        <v>233</v>
      </c>
      <c r="L968" s="17" t="s">
        <v>233</v>
      </c>
      <c r="M968" s="231">
        <v>8063</v>
      </c>
      <c r="N968" s="232">
        <v>7965.1151799999998</v>
      </c>
      <c r="O968" s="132">
        <v>18</v>
      </c>
      <c r="P968" s="231" t="s">
        <v>239</v>
      </c>
      <c r="Q968" s="232">
        <v>22.221</v>
      </c>
      <c r="R968" s="231" t="s">
        <v>239</v>
      </c>
      <c r="S968" s="232">
        <v>27.431824499999998</v>
      </c>
      <c r="T968" s="231" t="s">
        <v>239</v>
      </c>
      <c r="U968" s="232">
        <v>33.864587345249994</v>
      </c>
      <c r="V968" s="231" t="s">
        <v>239</v>
      </c>
      <c r="W968" s="232">
        <v>41.805833077711114</v>
      </c>
      <c r="X968" s="231" t="s">
        <v>239</v>
      </c>
      <c r="Y968" s="232">
        <v>51.609300934434366</v>
      </c>
      <c r="Z968" s="231" t="s">
        <v>239</v>
      </c>
      <c r="AA968" s="232">
        <v>63.711682003559218</v>
      </c>
      <c r="AB968" s="231" t="s">
        <v>239</v>
      </c>
      <c r="AC968" s="232">
        <v>78.652071433393857</v>
      </c>
      <c r="AD968" s="231" t="s">
        <v>239</v>
      </c>
      <c r="AE968" s="232">
        <v>97.095982184524715</v>
      </c>
      <c r="AF968" s="231" t="s">
        <v>239</v>
      </c>
      <c r="AG968" s="232">
        <v>119.86499000679575</v>
      </c>
      <c r="AH968" s="231" t="s">
        <v>239</v>
      </c>
      <c r="AI968" s="232">
        <v>147.97333016338933</v>
      </c>
      <c r="AJ968" s="231" t="s">
        <v>239</v>
      </c>
      <c r="AK968" s="232">
        <v>182.67307608670413</v>
      </c>
      <c r="AL968" s="232" t="s">
        <v>239</v>
      </c>
      <c r="AM968" s="232">
        <v>884.90367773576247</v>
      </c>
    </row>
    <row r="969" spans="1:39" ht="15.75" outlineLevel="1">
      <c r="A969" s="411">
        <v>480</v>
      </c>
      <c r="B969" s="10">
        <v>129480</v>
      </c>
      <c r="C969" s="218" t="s">
        <v>1489</v>
      </c>
      <c r="D969" s="218" t="s">
        <v>1490</v>
      </c>
      <c r="E969" s="23" t="s">
        <v>138</v>
      </c>
      <c r="F969" s="17" t="s">
        <v>45</v>
      </c>
      <c r="G969" s="11" t="s">
        <v>1432</v>
      </c>
      <c r="H969" s="12">
        <v>10</v>
      </c>
      <c r="I969" s="11" t="s">
        <v>1433</v>
      </c>
      <c r="J969" s="193" t="s">
        <v>1442</v>
      </c>
      <c r="K969" s="17" t="s">
        <v>233</v>
      </c>
      <c r="L969" s="17" t="s">
        <v>233</v>
      </c>
      <c r="M969" s="231">
        <v>22</v>
      </c>
      <c r="N969" s="231">
        <v>22</v>
      </c>
      <c r="O969" s="231">
        <v>22</v>
      </c>
      <c r="P969" s="231" t="s">
        <v>239</v>
      </c>
      <c r="Q969" s="231">
        <v>22</v>
      </c>
      <c r="R969" s="231" t="s">
        <v>239</v>
      </c>
      <c r="S969" s="231">
        <v>22</v>
      </c>
      <c r="T969" s="231" t="s">
        <v>239</v>
      </c>
      <c r="U969" s="231">
        <v>22</v>
      </c>
      <c r="V969" s="231" t="s">
        <v>239</v>
      </c>
      <c r="W969" s="231">
        <v>22</v>
      </c>
      <c r="X969" s="231" t="s">
        <v>239</v>
      </c>
      <c r="Y969" s="231">
        <v>22</v>
      </c>
      <c r="Z969" s="231" t="s">
        <v>239</v>
      </c>
      <c r="AA969" s="231">
        <v>22</v>
      </c>
      <c r="AB969" s="231" t="s">
        <v>239</v>
      </c>
      <c r="AC969" s="231">
        <v>22</v>
      </c>
      <c r="AD969" s="231" t="s">
        <v>239</v>
      </c>
      <c r="AE969" s="231">
        <v>22</v>
      </c>
      <c r="AF969" s="231" t="s">
        <v>239</v>
      </c>
      <c r="AG969" s="231">
        <v>22</v>
      </c>
      <c r="AH969" s="231" t="s">
        <v>239</v>
      </c>
      <c r="AI969" s="231">
        <v>22</v>
      </c>
      <c r="AJ969" s="231" t="s">
        <v>239</v>
      </c>
      <c r="AK969" s="231">
        <v>22</v>
      </c>
      <c r="AL969" s="232" t="s">
        <v>239</v>
      </c>
      <c r="AM969" s="232">
        <v>0</v>
      </c>
    </row>
    <row r="970" spans="1:39" ht="15.75" outlineLevel="1">
      <c r="A970" s="412"/>
      <c r="B970" s="10">
        <v>129480</v>
      </c>
      <c r="C970" s="218" t="s">
        <v>1489</v>
      </c>
      <c r="D970" s="218" t="s">
        <v>1490</v>
      </c>
      <c r="E970" s="23" t="s">
        <v>44</v>
      </c>
      <c r="F970" s="17" t="s">
        <v>45</v>
      </c>
      <c r="G970" s="11" t="s">
        <v>1432</v>
      </c>
      <c r="H970" s="12">
        <v>17</v>
      </c>
      <c r="I970" s="11" t="s">
        <v>1433</v>
      </c>
      <c r="J970" s="193" t="s">
        <v>1460</v>
      </c>
      <c r="K970" s="17" t="s">
        <v>233</v>
      </c>
      <c r="L970" s="17" t="s">
        <v>233</v>
      </c>
      <c r="M970" s="231">
        <v>0</v>
      </c>
      <c r="N970" s="232">
        <v>0</v>
      </c>
      <c r="O970" s="132">
        <v>0</v>
      </c>
      <c r="P970" s="231" t="s">
        <v>239</v>
      </c>
      <c r="Q970" s="232">
        <v>0</v>
      </c>
      <c r="R970" s="231" t="s">
        <v>239</v>
      </c>
      <c r="S970" s="232">
        <v>0</v>
      </c>
      <c r="T970" s="231" t="s">
        <v>239</v>
      </c>
      <c r="U970" s="232">
        <v>0</v>
      </c>
      <c r="V970" s="230" t="s">
        <v>239</v>
      </c>
      <c r="W970" s="232">
        <v>0</v>
      </c>
      <c r="X970" s="231" t="s">
        <v>239</v>
      </c>
      <c r="Y970" s="232">
        <v>0</v>
      </c>
      <c r="Z970" s="231" t="s">
        <v>239</v>
      </c>
      <c r="AA970" s="232">
        <v>0</v>
      </c>
      <c r="AB970" s="231" t="s">
        <v>239</v>
      </c>
      <c r="AC970" s="232">
        <v>0</v>
      </c>
      <c r="AD970" s="231" t="s">
        <v>239</v>
      </c>
      <c r="AE970" s="232">
        <v>0</v>
      </c>
      <c r="AF970" s="231" t="s">
        <v>239</v>
      </c>
      <c r="AG970" s="232">
        <v>0</v>
      </c>
      <c r="AH970" s="231" t="s">
        <v>239</v>
      </c>
      <c r="AI970" s="232">
        <v>0</v>
      </c>
      <c r="AJ970" s="231" t="s">
        <v>239</v>
      </c>
      <c r="AK970" s="232">
        <v>0</v>
      </c>
      <c r="AL970" s="232" t="s">
        <v>239</v>
      </c>
      <c r="AM970" s="232">
        <v>0</v>
      </c>
    </row>
    <row r="971" spans="1:39" ht="15.75" outlineLevel="1">
      <c r="A971" s="411">
        <v>481</v>
      </c>
      <c r="B971" s="10">
        <v>129481</v>
      </c>
      <c r="C971" s="218" t="s">
        <v>1489</v>
      </c>
      <c r="D971" s="218" t="s">
        <v>1490</v>
      </c>
      <c r="E971" s="23" t="s">
        <v>138</v>
      </c>
      <c r="F971" s="17" t="s">
        <v>45</v>
      </c>
      <c r="G971" s="11" t="s">
        <v>1432</v>
      </c>
      <c r="H971" s="12">
        <v>32</v>
      </c>
      <c r="I971" s="11" t="s">
        <v>1433</v>
      </c>
      <c r="J971" s="193" t="s">
        <v>1453</v>
      </c>
      <c r="K971" s="17" t="s">
        <v>233</v>
      </c>
      <c r="L971" s="17" t="s">
        <v>233</v>
      </c>
      <c r="M971" s="231">
        <v>2</v>
      </c>
      <c r="N971" s="231">
        <v>2</v>
      </c>
      <c r="O971" s="231">
        <v>2</v>
      </c>
      <c r="P971" s="231" t="s">
        <v>239</v>
      </c>
      <c r="Q971" s="231">
        <v>2</v>
      </c>
      <c r="R971" s="231" t="s">
        <v>239</v>
      </c>
      <c r="S971" s="231">
        <v>2</v>
      </c>
      <c r="T971" s="231" t="s">
        <v>239</v>
      </c>
      <c r="U971" s="231">
        <v>2</v>
      </c>
      <c r="V971" s="231" t="s">
        <v>239</v>
      </c>
      <c r="W971" s="231">
        <v>2</v>
      </c>
      <c r="X971" s="231" t="s">
        <v>239</v>
      </c>
      <c r="Y971" s="231">
        <v>2</v>
      </c>
      <c r="Z971" s="231" t="s">
        <v>239</v>
      </c>
      <c r="AA971" s="231">
        <v>2</v>
      </c>
      <c r="AB971" s="231" t="s">
        <v>239</v>
      </c>
      <c r="AC971" s="231">
        <v>2</v>
      </c>
      <c r="AD971" s="231" t="s">
        <v>239</v>
      </c>
      <c r="AE971" s="231">
        <v>2</v>
      </c>
      <c r="AF971" s="231" t="s">
        <v>239</v>
      </c>
      <c r="AG971" s="231">
        <v>2</v>
      </c>
      <c r="AH971" s="231" t="s">
        <v>239</v>
      </c>
      <c r="AI971" s="231">
        <v>2</v>
      </c>
      <c r="AJ971" s="231" t="s">
        <v>239</v>
      </c>
      <c r="AK971" s="231">
        <v>2</v>
      </c>
      <c r="AL971" s="232" t="s">
        <v>239</v>
      </c>
      <c r="AM971" s="232">
        <v>0</v>
      </c>
    </row>
    <row r="972" spans="1:39" ht="15.75" outlineLevel="1">
      <c r="A972" s="412"/>
      <c r="B972" s="10">
        <v>129481</v>
      </c>
      <c r="C972" s="218" t="s">
        <v>1489</v>
      </c>
      <c r="D972" s="218" t="s">
        <v>1490</v>
      </c>
      <c r="E972" s="23" t="s">
        <v>44</v>
      </c>
      <c r="F972" s="17" t="s">
        <v>45</v>
      </c>
      <c r="G972" s="11" t="s">
        <v>1432</v>
      </c>
      <c r="H972" s="12">
        <v>8</v>
      </c>
      <c r="I972" s="11" t="s">
        <v>1433</v>
      </c>
      <c r="J972" s="193" t="s">
        <v>1451</v>
      </c>
      <c r="K972" s="17" t="s">
        <v>233</v>
      </c>
      <c r="L972" s="17" t="s">
        <v>233</v>
      </c>
      <c r="M972" s="231">
        <v>0</v>
      </c>
      <c r="N972" s="232">
        <v>0</v>
      </c>
      <c r="O972" s="132">
        <v>0</v>
      </c>
      <c r="P972" s="231" t="s">
        <v>239</v>
      </c>
      <c r="Q972" s="232">
        <v>0</v>
      </c>
      <c r="R972" s="231" t="s">
        <v>239</v>
      </c>
      <c r="S972" s="232">
        <v>0</v>
      </c>
      <c r="T972" s="231" t="s">
        <v>239</v>
      </c>
      <c r="U972" s="232">
        <v>0</v>
      </c>
      <c r="V972" s="231" t="s">
        <v>239</v>
      </c>
      <c r="W972" s="232">
        <v>0</v>
      </c>
      <c r="X972" s="231" t="s">
        <v>239</v>
      </c>
      <c r="Y972" s="232">
        <v>0</v>
      </c>
      <c r="Z972" s="231" t="s">
        <v>239</v>
      </c>
      <c r="AA972" s="232">
        <v>0</v>
      </c>
      <c r="AB972" s="231" t="s">
        <v>239</v>
      </c>
      <c r="AC972" s="232">
        <v>0</v>
      </c>
      <c r="AD972" s="231" t="s">
        <v>239</v>
      </c>
      <c r="AE972" s="232">
        <v>0</v>
      </c>
      <c r="AF972" s="231" t="s">
        <v>239</v>
      </c>
      <c r="AG972" s="232">
        <v>0</v>
      </c>
      <c r="AH972" s="231" t="s">
        <v>239</v>
      </c>
      <c r="AI972" s="232">
        <v>0</v>
      </c>
      <c r="AJ972" s="231" t="s">
        <v>239</v>
      </c>
      <c r="AK972" s="232">
        <v>0</v>
      </c>
      <c r="AL972" s="232" t="s">
        <v>239</v>
      </c>
      <c r="AM972" s="232">
        <v>0</v>
      </c>
    </row>
    <row r="973" spans="1:39" ht="15.75" outlineLevel="1">
      <c r="A973" s="411">
        <v>482</v>
      </c>
      <c r="B973" s="10">
        <v>129482</v>
      </c>
      <c r="C973" s="218" t="s">
        <v>1489</v>
      </c>
      <c r="D973" s="218" t="s">
        <v>1490</v>
      </c>
      <c r="E973" s="23" t="s">
        <v>138</v>
      </c>
      <c r="F973" s="17" t="s">
        <v>45</v>
      </c>
      <c r="G973" s="11" t="s">
        <v>1432</v>
      </c>
      <c r="H973" s="12">
        <v>12</v>
      </c>
      <c r="I973" s="11" t="s">
        <v>1433</v>
      </c>
      <c r="J973" s="193" t="s">
        <v>208</v>
      </c>
      <c r="K973" s="17" t="s">
        <v>233</v>
      </c>
      <c r="L973" s="17" t="s">
        <v>233</v>
      </c>
      <c r="M973" s="231">
        <v>6</v>
      </c>
      <c r="N973" s="231">
        <v>6</v>
      </c>
      <c r="O973" s="231">
        <v>6</v>
      </c>
      <c r="P973" s="231" t="s">
        <v>239</v>
      </c>
      <c r="Q973" s="231">
        <v>6</v>
      </c>
      <c r="R973" s="231" t="s">
        <v>239</v>
      </c>
      <c r="S973" s="231">
        <v>6</v>
      </c>
      <c r="T973" s="231" t="s">
        <v>239</v>
      </c>
      <c r="U973" s="231">
        <v>6</v>
      </c>
      <c r="V973" s="230" t="s">
        <v>239</v>
      </c>
      <c r="W973" s="231">
        <v>6</v>
      </c>
      <c r="X973" s="231" t="s">
        <v>239</v>
      </c>
      <c r="Y973" s="231">
        <v>6</v>
      </c>
      <c r="Z973" s="231" t="s">
        <v>239</v>
      </c>
      <c r="AA973" s="231">
        <v>6</v>
      </c>
      <c r="AB973" s="231" t="s">
        <v>239</v>
      </c>
      <c r="AC973" s="231">
        <v>6</v>
      </c>
      <c r="AD973" s="231" t="s">
        <v>239</v>
      </c>
      <c r="AE973" s="231">
        <v>6</v>
      </c>
      <c r="AF973" s="231" t="s">
        <v>239</v>
      </c>
      <c r="AG973" s="231">
        <v>6</v>
      </c>
      <c r="AH973" s="231" t="s">
        <v>239</v>
      </c>
      <c r="AI973" s="231">
        <v>6</v>
      </c>
      <c r="AJ973" s="231" t="s">
        <v>239</v>
      </c>
      <c r="AK973" s="231">
        <v>6</v>
      </c>
      <c r="AL973" s="232" t="s">
        <v>239</v>
      </c>
      <c r="AM973" s="232">
        <v>0</v>
      </c>
    </row>
    <row r="974" spans="1:39" ht="15.75" outlineLevel="1">
      <c r="A974" s="412"/>
      <c r="B974" s="10">
        <v>129482</v>
      </c>
      <c r="C974" s="218" t="s">
        <v>1489</v>
      </c>
      <c r="D974" s="218" t="s">
        <v>1490</v>
      </c>
      <c r="E974" s="23" t="s">
        <v>44</v>
      </c>
      <c r="F974" s="17" t="s">
        <v>45</v>
      </c>
      <c r="G974" s="11" t="s">
        <v>1432</v>
      </c>
      <c r="H974" s="12">
        <v>18</v>
      </c>
      <c r="I974" s="11" t="s">
        <v>1433</v>
      </c>
      <c r="J974" s="193" t="s">
        <v>1452</v>
      </c>
      <c r="K974" s="17" t="s">
        <v>233</v>
      </c>
      <c r="L974" s="17" t="s">
        <v>233</v>
      </c>
      <c r="M974" s="231">
        <v>882</v>
      </c>
      <c r="N974" s="232">
        <v>871.29251999999997</v>
      </c>
      <c r="O974" s="132">
        <v>542</v>
      </c>
      <c r="P974" s="231" t="s">
        <v>239</v>
      </c>
      <c r="Q974" s="232">
        <v>669.09899999999993</v>
      </c>
      <c r="R974" s="231" t="s">
        <v>239</v>
      </c>
      <c r="S974" s="232">
        <v>826.00271549999991</v>
      </c>
      <c r="T974" s="231" t="s">
        <v>239</v>
      </c>
      <c r="U974" s="232">
        <v>1019.7003522847498</v>
      </c>
      <c r="V974" s="231" t="s">
        <v>239</v>
      </c>
      <c r="W974" s="232">
        <v>1258.8200848955235</v>
      </c>
      <c r="X974" s="231" t="s">
        <v>239</v>
      </c>
      <c r="Y974" s="232">
        <v>1554.0133948035236</v>
      </c>
      <c r="Z974" s="231" t="s">
        <v>239</v>
      </c>
      <c r="AA974" s="232">
        <v>1918.4295358849497</v>
      </c>
      <c r="AB974" s="231" t="s">
        <v>239</v>
      </c>
      <c r="AC974" s="232">
        <v>2368.3012620499703</v>
      </c>
      <c r="AD974" s="231" t="s">
        <v>239</v>
      </c>
      <c r="AE974" s="232">
        <v>2923.6679080006884</v>
      </c>
      <c r="AF974" s="231" t="s">
        <v>239</v>
      </c>
      <c r="AG974" s="232">
        <v>3609.2680324268495</v>
      </c>
      <c r="AH974" s="231" t="s">
        <v>239</v>
      </c>
      <c r="AI974" s="232">
        <v>4455.6413860309458</v>
      </c>
      <c r="AJ974" s="231" t="s">
        <v>239</v>
      </c>
      <c r="AK974" s="232">
        <v>5500.4892910552026</v>
      </c>
      <c r="AL974" s="232" t="s">
        <v>239</v>
      </c>
      <c r="AM974" s="232">
        <v>26645.432962932398</v>
      </c>
    </row>
    <row r="975" spans="1:39" ht="15.75" outlineLevel="1">
      <c r="A975" s="411">
        <v>483</v>
      </c>
      <c r="B975" s="10">
        <v>129483</v>
      </c>
      <c r="C975" s="218" t="s">
        <v>1489</v>
      </c>
      <c r="D975" s="218" t="s">
        <v>1490</v>
      </c>
      <c r="E975" s="23" t="s">
        <v>138</v>
      </c>
      <c r="F975" s="17" t="s">
        <v>45</v>
      </c>
      <c r="G975" s="11" t="s">
        <v>1432</v>
      </c>
      <c r="H975" s="12">
        <v>17</v>
      </c>
      <c r="I975" s="11" t="s">
        <v>1433</v>
      </c>
      <c r="J975" s="193" t="s">
        <v>216</v>
      </c>
      <c r="K975" s="17" t="s">
        <v>233</v>
      </c>
      <c r="L975" s="17" t="s">
        <v>233</v>
      </c>
      <c r="M975" s="231">
        <v>6</v>
      </c>
      <c r="N975" s="231">
        <v>6</v>
      </c>
      <c r="O975" s="231">
        <v>6</v>
      </c>
      <c r="P975" s="231" t="s">
        <v>239</v>
      </c>
      <c r="Q975" s="231">
        <v>6</v>
      </c>
      <c r="R975" s="231" t="s">
        <v>239</v>
      </c>
      <c r="S975" s="231">
        <v>6</v>
      </c>
      <c r="T975" s="231" t="s">
        <v>239</v>
      </c>
      <c r="U975" s="231">
        <v>6</v>
      </c>
      <c r="V975" s="231" t="s">
        <v>239</v>
      </c>
      <c r="W975" s="231">
        <v>6</v>
      </c>
      <c r="X975" s="231" t="s">
        <v>239</v>
      </c>
      <c r="Y975" s="231">
        <v>6</v>
      </c>
      <c r="Z975" s="231" t="s">
        <v>239</v>
      </c>
      <c r="AA975" s="231">
        <v>6</v>
      </c>
      <c r="AB975" s="231" t="s">
        <v>239</v>
      </c>
      <c r="AC975" s="231">
        <v>6</v>
      </c>
      <c r="AD975" s="231" t="s">
        <v>239</v>
      </c>
      <c r="AE975" s="231">
        <v>6</v>
      </c>
      <c r="AF975" s="231" t="s">
        <v>239</v>
      </c>
      <c r="AG975" s="231">
        <v>6</v>
      </c>
      <c r="AH975" s="231" t="s">
        <v>239</v>
      </c>
      <c r="AI975" s="231">
        <v>6</v>
      </c>
      <c r="AJ975" s="231" t="s">
        <v>239</v>
      </c>
      <c r="AK975" s="231">
        <v>6</v>
      </c>
      <c r="AL975" s="232" t="s">
        <v>239</v>
      </c>
      <c r="AM975" s="232">
        <v>0</v>
      </c>
    </row>
    <row r="976" spans="1:39" ht="15.75" outlineLevel="1">
      <c r="A976" s="412"/>
      <c r="B976" s="10">
        <v>129483</v>
      </c>
      <c r="C976" s="218" t="s">
        <v>1489</v>
      </c>
      <c r="D976" s="218" t="s">
        <v>1490</v>
      </c>
      <c r="E976" s="23" t="s">
        <v>44</v>
      </c>
      <c r="F976" s="17" t="s">
        <v>45</v>
      </c>
      <c r="G976" s="11" t="s">
        <v>1432</v>
      </c>
      <c r="H976" s="12">
        <v>25</v>
      </c>
      <c r="I976" s="11" t="s">
        <v>1433</v>
      </c>
      <c r="J976" s="193" t="s">
        <v>1453</v>
      </c>
      <c r="K976" s="17" t="s">
        <v>233</v>
      </c>
      <c r="L976" s="17" t="s">
        <v>233</v>
      </c>
      <c r="M976" s="231">
        <v>0</v>
      </c>
      <c r="N976" s="232">
        <v>0</v>
      </c>
      <c r="O976" s="132"/>
      <c r="P976" s="231" t="s">
        <v>239</v>
      </c>
      <c r="Q976" s="232">
        <v>0</v>
      </c>
      <c r="R976" s="231" t="s">
        <v>239</v>
      </c>
      <c r="S976" s="232">
        <v>0</v>
      </c>
      <c r="T976" s="231" t="s">
        <v>239</v>
      </c>
      <c r="U976" s="232">
        <v>0</v>
      </c>
      <c r="V976" s="230" t="s">
        <v>239</v>
      </c>
      <c r="W976" s="232">
        <v>0</v>
      </c>
      <c r="X976" s="231" t="s">
        <v>239</v>
      </c>
      <c r="Y976" s="232">
        <v>0</v>
      </c>
      <c r="Z976" s="231" t="s">
        <v>239</v>
      </c>
      <c r="AA976" s="232">
        <v>0</v>
      </c>
      <c r="AB976" s="231" t="s">
        <v>239</v>
      </c>
      <c r="AC976" s="232">
        <v>0</v>
      </c>
      <c r="AD976" s="231" t="s">
        <v>239</v>
      </c>
      <c r="AE976" s="232">
        <v>0</v>
      </c>
      <c r="AF976" s="231" t="s">
        <v>239</v>
      </c>
      <c r="AG976" s="232">
        <v>0</v>
      </c>
      <c r="AH976" s="231" t="s">
        <v>239</v>
      </c>
      <c r="AI976" s="232">
        <v>0</v>
      </c>
      <c r="AJ976" s="231" t="s">
        <v>239</v>
      </c>
      <c r="AK976" s="232">
        <v>0</v>
      </c>
      <c r="AL976" s="232" t="s">
        <v>239</v>
      </c>
      <c r="AM976" s="232">
        <v>0</v>
      </c>
    </row>
    <row r="977" spans="1:39" ht="15.75" outlineLevel="1">
      <c r="A977" s="411">
        <v>484</v>
      </c>
      <c r="B977" s="10">
        <v>129484</v>
      </c>
      <c r="C977" s="218" t="s">
        <v>1489</v>
      </c>
      <c r="D977" s="218" t="s">
        <v>1490</v>
      </c>
      <c r="E977" s="23" t="s">
        <v>44</v>
      </c>
      <c r="F977" s="17" t="s">
        <v>45</v>
      </c>
      <c r="G977" s="11" t="s">
        <v>1432</v>
      </c>
      <c r="H977" s="12">
        <v>13</v>
      </c>
      <c r="I977" s="11" t="s">
        <v>1433</v>
      </c>
      <c r="J977" s="193" t="s">
        <v>1454</v>
      </c>
      <c r="K977" s="17" t="s">
        <v>233</v>
      </c>
      <c r="L977" s="17" t="s">
        <v>233</v>
      </c>
      <c r="M977" s="231">
        <v>6</v>
      </c>
      <c r="N977" s="231">
        <v>6</v>
      </c>
      <c r="O977" s="231">
        <v>6</v>
      </c>
      <c r="P977" s="231" t="s">
        <v>239</v>
      </c>
      <c r="Q977" s="231">
        <v>6</v>
      </c>
      <c r="R977" s="231" t="s">
        <v>239</v>
      </c>
      <c r="S977" s="231">
        <v>6</v>
      </c>
      <c r="T977" s="231" t="s">
        <v>239</v>
      </c>
      <c r="U977" s="231">
        <v>6</v>
      </c>
      <c r="V977" s="231" t="s">
        <v>239</v>
      </c>
      <c r="W977" s="231">
        <v>6</v>
      </c>
      <c r="X977" s="231" t="s">
        <v>239</v>
      </c>
      <c r="Y977" s="231">
        <v>6</v>
      </c>
      <c r="Z977" s="231" t="s">
        <v>239</v>
      </c>
      <c r="AA977" s="231">
        <v>6</v>
      </c>
      <c r="AB977" s="231" t="s">
        <v>239</v>
      </c>
      <c r="AC977" s="231">
        <v>6</v>
      </c>
      <c r="AD977" s="231" t="s">
        <v>239</v>
      </c>
      <c r="AE977" s="231">
        <v>6</v>
      </c>
      <c r="AF977" s="231" t="s">
        <v>239</v>
      </c>
      <c r="AG977" s="231">
        <v>6</v>
      </c>
      <c r="AH977" s="231" t="s">
        <v>239</v>
      </c>
      <c r="AI977" s="231">
        <v>6</v>
      </c>
      <c r="AJ977" s="231" t="s">
        <v>239</v>
      </c>
      <c r="AK977" s="231">
        <v>6</v>
      </c>
      <c r="AL977" s="232" t="s">
        <v>239</v>
      </c>
      <c r="AM977" s="232">
        <v>0</v>
      </c>
    </row>
    <row r="978" spans="1:39" ht="15.75" outlineLevel="1">
      <c r="A978" s="412"/>
      <c r="B978" s="10">
        <v>129484</v>
      </c>
      <c r="C978" s="218" t="s">
        <v>1489</v>
      </c>
      <c r="D978" s="218" t="s">
        <v>1490</v>
      </c>
      <c r="E978" s="23" t="s">
        <v>138</v>
      </c>
      <c r="F978" s="17" t="s">
        <v>45</v>
      </c>
      <c r="G978" s="11" t="s">
        <v>1432</v>
      </c>
      <c r="H978" s="12">
        <v>5</v>
      </c>
      <c r="I978" s="11" t="s">
        <v>1433</v>
      </c>
      <c r="J978" s="191" t="s">
        <v>216</v>
      </c>
      <c r="K978" s="17" t="s">
        <v>233</v>
      </c>
      <c r="L978" s="17" t="s">
        <v>233</v>
      </c>
      <c r="M978" s="231">
        <v>0</v>
      </c>
      <c r="N978" s="232">
        <v>0</v>
      </c>
      <c r="O978" s="132"/>
      <c r="P978" s="231" t="s">
        <v>239</v>
      </c>
      <c r="Q978" s="232">
        <v>0</v>
      </c>
      <c r="R978" s="231" t="s">
        <v>239</v>
      </c>
      <c r="S978" s="232">
        <v>0</v>
      </c>
      <c r="T978" s="231" t="s">
        <v>239</v>
      </c>
      <c r="U978" s="232">
        <v>0</v>
      </c>
      <c r="V978" s="231" t="s">
        <v>239</v>
      </c>
      <c r="W978" s="232">
        <v>0</v>
      </c>
      <c r="X978" s="231" t="s">
        <v>239</v>
      </c>
      <c r="Y978" s="232">
        <v>0</v>
      </c>
      <c r="Z978" s="231" t="s">
        <v>239</v>
      </c>
      <c r="AA978" s="232">
        <v>0</v>
      </c>
      <c r="AB978" s="231" t="s">
        <v>239</v>
      </c>
      <c r="AC978" s="232">
        <v>0</v>
      </c>
      <c r="AD978" s="231" t="s">
        <v>239</v>
      </c>
      <c r="AE978" s="232">
        <v>0</v>
      </c>
      <c r="AF978" s="231" t="s">
        <v>239</v>
      </c>
      <c r="AG978" s="232">
        <v>0</v>
      </c>
      <c r="AH978" s="231" t="s">
        <v>239</v>
      </c>
      <c r="AI978" s="232">
        <v>0</v>
      </c>
      <c r="AJ978" s="231" t="s">
        <v>239</v>
      </c>
      <c r="AK978" s="232">
        <v>0</v>
      </c>
      <c r="AL978" s="232" t="s">
        <v>239</v>
      </c>
      <c r="AM978" s="232">
        <v>0</v>
      </c>
    </row>
    <row r="979" spans="1:39" ht="15.75" outlineLevel="1">
      <c r="A979" s="411">
        <v>485</v>
      </c>
      <c r="B979" s="10">
        <v>129485</v>
      </c>
      <c r="C979" s="218" t="s">
        <v>1489</v>
      </c>
      <c r="D979" s="218" t="s">
        <v>1490</v>
      </c>
      <c r="E979" s="23" t="s">
        <v>44</v>
      </c>
      <c r="F979" s="17" t="s">
        <v>45</v>
      </c>
      <c r="G979" s="11" t="s">
        <v>1432</v>
      </c>
      <c r="H979" s="12">
        <v>4</v>
      </c>
      <c r="I979" s="11" t="s">
        <v>1433</v>
      </c>
      <c r="J979" s="192" t="s">
        <v>1434</v>
      </c>
      <c r="K979" s="17" t="s">
        <v>233</v>
      </c>
      <c r="L979" s="17" t="s">
        <v>233</v>
      </c>
      <c r="M979" s="231">
        <v>57</v>
      </c>
      <c r="N979" s="231">
        <v>57</v>
      </c>
      <c r="O979" s="231">
        <v>57</v>
      </c>
      <c r="P979" s="231" t="s">
        <v>239</v>
      </c>
      <c r="Q979" s="231">
        <v>57</v>
      </c>
      <c r="R979" s="231" t="s">
        <v>239</v>
      </c>
      <c r="S979" s="231">
        <v>57</v>
      </c>
      <c r="T979" s="231" t="s">
        <v>239</v>
      </c>
      <c r="U979" s="231">
        <v>57</v>
      </c>
      <c r="V979" s="230" t="s">
        <v>239</v>
      </c>
      <c r="W979" s="231">
        <v>57</v>
      </c>
      <c r="X979" s="231" t="s">
        <v>239</v>
      </c>
      <c r="Y979" s="231">
        <v>57</v>
      </c>
      <c r="Z979" s="231" t="s">
        <v>239</v>
      </c>
      <c r="AA979" s="231">
        <v>57</v>
      </c>
      <c r="AB979" s="231" t="s">
        <v>239</v>
      </c>
      <c r="AC979" s="231">
        <v>57</v>
      </c>
      <c r="AD979" s="231" t="s">
        <v>239</v>
      </c>
      <c r="AE979" s="231">
        <v>57</v>
      </c>
      <c r="AF979" s="231" t="s">
        <v>239</v>
      </c>
      <c r="AG979" s="231">
        <v>57</v>
      </c>
      <c r="AH979" s="231" t="s">
        <v>239</v>
      </c>
      <c r="AI979" s="231">
        <v>57</v>
      </c>
      <c r="AJ979" s="231" t="s">
        <v>239</v>
      </c>
      <c r="AK979" s="231">
        <v>57</v>
      </c>
      <c r="AL979" s="232" t="s">
        <v>239</v>
      </c>
      <c r="AM979" s="232">
        <v>0</v>
      </c>
    </row>
    <row r="980" spans="1:39" ht="15.75" outlineLevel="1">
      <c r="A980" s="412"/>
      <c r="B980" s="10">
        <v>129485</v>
      </c>
      <c r="C980" s="218" t="s">
        <v>1489</v>
      </c>
      <c r="D980" s="218" t="s">
        <v>1490</v>
      </c>
      <c r="E980" s="23" t="s">
        <v>138</v>
      </c>
      <c r="F980" s="17" t="s">
        <v>45</v>
      </c>
      <c r="G980" s="11" t="s">
        <v>1432</v>
      </c>
      <c r="H980" s="12">
        <v>18</v>
      </c>
      <c r="I980" s="11" t="s">
        <v>1433</v>
      </c>
      <c r="J980" s="192" t="s">
        <v>1480</v>
      </c>
      <c r="K980" s="17" t="s">
        <v>233</v>
      </c>
      <c r="L980" s="17" t="s">
        <v>233</v>
      </c>
      <c r="M980" s="231">
        <v>15630</v>
      </c>
      <c r="N980" s="232">
        <v>15440.2518</v>
      </c>
      <c r="O980" s="132">
        <v>1542</v>
      </c>
      <c r="P980" s="231" t="s">
        <v>239</v>
      </c>
      <c r="Q980" s="232">
        <v>1903.5989999999999</v>
      </c>
      <c r="R980" s="231" t="s">
        <v>239</v>
      </c>
      <c r="S980" s="232">
        <v>2349.9929654999996</v>
      </c>
      <c r="T980" s="231" t="s">
        <v>239</v>
      </c>
      <c r="U980" s="232">
        <v>2901.0663159097494</v>
      </c>
      <c r="V980" s="231" t="s">
        <v>239</v>
      </c>
      <c r="W980" s="232">
        <v>3581.3663669905854</v>
      </c>
      <c r="X980" s="231" t="s">
        <v>239</v>
      </c>
      <c r="Y980" s="232">
        <v>4421.1967800498778</v>
      </c>
      <c r="Z980" s="231" t="s">
        <v>239</v>
      </c>
      <c r="AA980" s="232">
        <v>5457.9674249715736</v>
      </c>
      <c r="AB980" s="231" t="s">
        <v>239</v>
      </c>
      <c r="AC980" s="232">
        <v>6737.8607861274068</v>
      </c>
      <c r="AD980" s="231" t="s">
        <v>239</v>
      </c>
      <c r="AE980" s="232">
        <v>8317.8891404742826</v>
      </c>
      <c r="AF980" s="231" t="s">
        <v>239</v>
      </c>
      <c r="AG980" s="232">
        <v>10268.434143915501</v>
      </c>
      <c r="AH980" s="231" t="s">
        <v>239</v>
      </c>
      <c r="AI980" s="232">
        <v>12676.381950663686</v>
      </c>
      <c r="AJ980" s="231" t="s">
        <v>239</v>
      </c>
      <c r="AK980" s="232">
        <v>15648.993518094319</v>
      </c>
      <c r="AL980" s="232" t="s">
        <v>239</v>
      </c>
      <c r="AM980" s="232">
        <v>75806.748392696987</v>
      </c>
    </row>
    <row r="981" spans="1:39" ht="15.75" outlineLevel="1">
      <c r="A981" s="411">
        <v>486</v>
      </c>
      <c r="B981" s="10">
        <v>129486</v>
      </c>
      <c r="C981" s="218" t="s">
        <v>1489</v>
      </c>
      <c r="D981" s="218" t="s">
        <v>1490</v>
      </c>
      <c r="E981" s="23" t="s">
        <v>44</v>
      </c>
      <c r="F981" s="17" t="s">
        <v>45</v>
      </c>
      <c r="G981" s="11" t="s">
        <v>1432</v>
      </c>
      <c r="H981" s="12">
        <v>17</v>
      </c>
      <c r="I981" s="11" t="s">
        <v>1433</v>
      </c>
      <c r="J981" s="192" t="s">
        <v>1452</v>
      </c>
      <c r="K981" s="17" t="s">
        <v>233</v>
      </c>
      <c r="L981" s="17" t="s">
        <v>233</v>
      </c>
      <c r="M981" s="231">
        <v>16.5</v>
      </c>
      <c r="N981" s="231">
        <v>16.5</v>
      </c>
      <c r="O981" s="231">
        <v>16.5</v>
      </c>
      <c r="P981" s="231" t="s">
        <v>239</v>
      </c>
      <c r="Q981" s="231">
        <v>16.5</v>
      </c>
      <c r="R981" s="231" t="s">
        <v>239</v>
      </c>
      <c r="S981" s="231">
        <v>16.5</v>
      </c>
      <c r="T981" s="231" t="s">
        <v>239</v>
      </c>
      <c r="U981" s="231">
        <v>16.5</v>
      </c>
      <c r="V981" s="231" t="s">
        <v>239</v>
      </c>
      <c r="W981" s="231">
        <v>16.5</v>
      </c>
      <c r="X981" s="231" t="s">
        <v>239</v>
      </c>
      <c r="Y981" s="231">
        <v>16.5</v>
      </c>
      <c r="Z981" s="231" t="s">
        <v>239</v>
      </c>
      <c r="AA981" s="231">
        <v>16.5</v>
      </c>
      <c r="AB981" s="231" t="s">
        <v>239</v>
      </c>
      <c r="AC981" s="231">
        <v>16.5</v>
      </c>
      <c r="AD981" s="231" t="s">
        <v>239</v>
      </c>
      <c r="AE981" s="231">
        <v>16.5</v>
      </c>
      <c r="AF981" s="231" t="s">
        <v>239</v>
      </c>
      <c r="AG981" s="231">
        <v>16.5</v>
      </c>
      <c r="AH981" s="231" t="s">
        <v>239</v>
      </c>
      <c r="AI981" s="231">
        <v>16.5</v>
      </c>
      <c r="AJ981" s="231" t="s">
        <v>239</v>
      </c>
      <c r="AK981" s="231">
        <v>16.5</v>
      </c>
      <c r="AL981" s="232" t="s">
        <v>239</v>
      </c>
      <c r="AM981" s="232">
        <v>0</v>
      </c>
    </row>
    <row r="982" spans="1:39" ht="15.75" outlineLevel="1">
      <c r="A982" s="412"/>
      <c r="B982" s="10">
        <v>129486</v>
      </c>
      <c r="C982" s="218" t="s">
        <v>1489</v>
      </c>
      <c r="D982" s="218" t="s">
        <v>1490</v>
      </c>
      <c r="E982" s="23" t="s">
        <v>44</v>
      </c>
      <c r="F982" s="17" t="s">
        <v>45</v>
      </c>
      <c r="G982" s="11" t="s">
        <v>1432</v>
      </c>
      <c r="H982" s="12">
        <v>28</v>
      </c>
      <c r="I982" s="11" t="s">
        <v>1433</v>
      </c>
      <c r="J982" s="374" t="s">
        <v>207</v>
      </c>
      <c r="K982" s="17" t="s">
        <v>233</v>
      </c>
      <c r="L982" s="17" t="s">
        <v>233</v>
      </c>
      <c r="M982" s="231">
        <v>4591</v>
      </c>
      <c r="N982" s="232">
        <v>4535.2652600000001</v>
      </c>
      <c r="O982" s="132">
        <v>434</v>
      </c>
      <c r="P982" s="231" t="s">
        <v>239</v>
      </c>
      <c r="Q982" s="232">
        <v>535.77300000000002</v>
      </c>
      <c r="R982" s="231" t="s">
        <v>239</v>
      </c>
      <c r="S982" s="232">
        <v>661.41176849999999</v>
      </c>
      <c r="T982" s="231" t="s">
        <v>239</v>
      </c>
      <c r="U982" s="232">
        <v>816.51282821324992</v>
      </c>
      <c r="V982" s="230" t="s">
        <v>239</v>
      </c>
      <c r="W982" s="232">
        <v>1007.985086429257</v>
      </c>
      <c r="X982" s="231" t="s">
        <v>239</v>
      </c>
      <c r="Y982" s="232">
        <v>1244.3575891969176</v>
      </c>
      <c r="Z982" s="231" t="s">
        <v>239</v>
      </c>
      <c r="AA982" s="232">
        <v>1536.1594438635948</v>
      </c>
      <c r="AB982" s="231" t="s">
        <v>239</v>
      </c>
      <c r="AC982" s="232">
        <v>1896.3888334496078</v>
      </c>
      <c r="AD982" s="231" t="s">
        <v>239</v>
      </c>
      <c r="AE982" s="232">
        <v>2341.0920148935406</v>
      </c>
      <c r="AF982" s="231" t="s">
        <v>239</v>
      </c>
      <c r="AG982" s="232">
        <v>2890.0780923860757</v>
      </c>
      <c r="AH982" s="231" t="s">
        <v>239</v>
      </c>
      <c r="AI982" s="232">
        <v>3567.8014050506104</v>
      </c>
      <c r="AJ982" s="231" t="s">
        <v>239</v>
      </c>
      <c r="AK982" s="232">
        <v>4404.4508345349786</v>
      </c>
      <c r="AL982" s="232" t="s">
        <v>239</v>
      </c>
      <c r="AM982" s="232">
        <v>21336.010896517833</v>
      </c>
    </row>
    <row r="983" spans="1:39" ht="15.75" outlineLevel="1">
      <c r="A983" s="411">
        <v>487</v>
      </c>
      <c r="B983" s="10">
        <v>129487</v>
      </c>
      <c r="C983" s="218" t="s">
        <v>1489</v>
      </c>
      <c r="D983" s="218" t="s">
        <v>1490</v>
      </c>
      <c r="E983" s="23" t="s">
        <v>138</v>
      </c>
      <c r="F983" s="17" t="s">
        <v>45</v>
      </c>
      <c r="G983" s="11" t="s">
        <v>1432</v>
      </c>
      <c r="H983" s="12">
        <v>33</v>
      </c>
      <c r="I983" s="11" t="s">
        <v>1433</v>
      </c>
      <c r="J983" s="375"/>
      <c r="K983" s="17" t="s">
        <v>233</v>
      </c>
      <c r="L983" s="17" t="s">
        <v>233</v>
      </c>
      <c r="M983" s="231">
        <v>20</v>
      </c>
      <c r="N983" s="231">
        <v>20</v>
      </c>
      <c r="O983" s="231">
        <v>20</v>
      </c>
      <c r="P983" s="231" t="s">
        <v>239</v>
      </c>
      <c r="Q983" s="231">
        <v>20</v>
      </c>
      <c r="R983" s="231" t="s">
        <v>239</v>
      </c>
      <c r="S983" s="231">
        <v>20</v>
      </c>
      <c r="T983" s="231" t="s">
        <v>239</v>
      </c>
      <c r="U983" s="231">
        <v>20</v>
      </c>
      <c r="V983" s="231" t="s">
        <v>239</v>
      </c>
      <c r="W983" s="231">
        <v>20</v>
      </c>
      <c r="X983" s="231" t="s">
        <v>239</v>
      </c>
      <c r="Y983" s="231">
        <v>20</v>
      </c>
      <c r="Z983" s="231" t="s">
        <v>239</v>
      </c>
      <c r="AA983" s="231">
        <v>20</v>
      </c>
      <c r="AB983" s="231" t="s">
        <v>239</v>
      </c>
      <c r="AC983" s="231">
        <v>20</v>
      </c>
      <c r="AD983" s="231" t="s">
        <v>239</v>
      </c>
      <c r="AE983" s="231">
        <v>20</v>
      </c>
      <c r="AF983" s="231" t="s">
        <v>239</v>
      </c>
      <c r="AG983" s="231">
        <v>20</v>
      </c>
      <c r="AH983" s="231" t="s">
        <v>239</v>
      </c>
      <c r="AI983" s="231">
        <v>20</v>
      </c>
      <c r="AJ983" s="231" t="s">
        <v>239</v>
      </c>
      <c r="AK983" s="231">
        <v>20</v>
      </c>
      <c r="AL983" s="232" t="s">
        <v>239</v>
      </c>
      <c r="AM983" s="232">
        <v>0</v>
      </c>
    </row>
    <row r="984" spans="1:39" ht="15.75" outlineLevel="1">
      <c r="A984" s="412"/>
      <c r="B984" s="10">
        <v>129487</v>
      </c>
      <c r="C984" s="218" t="s">
        <v>1489</v>
      </c>
      <c r="D984" s="218" t="s">
        <v>1490</v>
      </c>
      <c r="E984" s="23" t="s">
        <v>44</v>
      </c>
      <c r="F984" s="17" t="s">
        <v>45</v>
      </c>
      <c r="G984" s="11" t="s">
        <v>1432</v>
      </c>
      <c r="H984" s="12">
        <v>25</v>
      </c>
      <c r="I984" s="11" t="s">
        <v>1433</v>
      </c>
      <c r="J984" s="193" t="s">
        <v>1460</v>
      </c>
      <c r="K984" s="17" t="s">
        <v>233</v>
      </c>
      <c r="L984" s="17" t="s">
        <v>233</v>
      </c>
      <c r="M984" s="231">
        <v>6141</v>
      </c>
      <c r="N984" s="232">
        <v>6066.4482600000001</v>
      </c>
      <c r="O984" s="132">
        <v>357</v>
      </c>
      <c r="P984" s="231" t="s">
        <v>239</v>
      </c>
      <c r="Q984" s="232">
        <v>440.7165</v>
      </c>
      <c r="R984" s="231" t="s">
        <v>239</v>
      </c>
      <c r="S984" s="232">
        <v>544.06451924999999</v>
      </c>
      <c r="T984" s="231" t="s">
        <v>239</v>
      </c>
      <c r="U984" s="232">
        <v>671.64764901412491</v>
      </c>
      <c r="V984" s="231" t="s">
        <v>239</v>
      </c>
      <c r="W984" s="232">
        <v>829.14902270793721</v>
      </c>
      <c r="X984" s="231" t="s">
        <v>239</v>
      </c>
      <c r="Y984" s="232">
        <v>1023.5844685329484</v>
      </c>
      <c r="Z984" s="231" t="s">
        <v>239</v>
      </c>
      <c r="AA984" s="232">
        <v>1263.6150264039247</v>
      </c>
      <c r="AB984" s="231" t="s">
        <v>239</v>
      </c>
      <c r="AC984" s="232">
        <v>1559.9327500956449</v>
      </c>
      <c r="AD984" s="231" t="s">
        <v>239</v>
      </c>
      <c r="AE984" s="232">
        <v>1925.7369799930734</v>
      </c>
      <c r="AF984" s="231" t="s">
        <v>239</v>
      </c>
      <c r="AG984" s="232">
        <v>2377.3223018014492</v>
      </c>
      <c r="AH984" s="231" t="s">
        <v>239</v>
      </c>
      <c r="AI984" s="232">
        <v>2934.8043815738888</v>
      </c>
      <c r="AJ984" s="231" t="s">
        <v>239</v>
      </c>
      <c r="AK984" s="232">
        <v>3623.0160090529657</v>
      </c>
      <c r="AL984" s="232" t="s">
        <v>239</v>
      </c>
      <c r="AM984" s="232">
        <v>17550.589608425958</v>
      </c>
    </row>
    <row r="985" spans="1:39" ht="15.75" outlineLevel="1">
      <c r="A985" s="411">
        <v>488</v>
      </c>
      <c r="B985" s="10">
        <v>129488</v>
      </c>
      <c r="C985" s="218" t="s">
        <v>1489</v>
      </c>
      <c r="D985" s="218" t="s">
        <v>1490</v>
      </c>
      <c r="E985" s="23" t="s">
        <v>138</v>
      </c>
      <c r="F985" s="17" t="s">
        <v>45</v>
      </c>
      <c r="G985" s="11" t="s">
        <v>1432</v>
      </c>
      <c r="H985" s="12">
        <v>9</v>
      </c>
      <c r="I985" s="11" t="s">
        <v>1433</v>
      </c>
      <c r="J985" s="193" t="s">
        <v>1442</v>
      </c>
      <c r="K985" s="17" t="s">
        <v>233</v>
      </c>
      <c r="L985" s="17" t="s">
        <v>233</v>
      </c>
      <c r="M985" s="231">
        <v>14.5</v>
      </c>
      <c r="N985" s="231">
        <v>14.5</v>
      </c>
      <c r="O985" s="231">
        <v>14.5</v>
      </c>
      <c r="P985" s="231" t="s">
        <v>239</v>
      </c>
      <c r="Q985" s="231">
        <v>14.5</v>
      </c>
      <c r="R985" s="231" t="s">
        <v>239</v>
      </c>
      <c r="S985" s="231">
        <v>14.5</v>
      </c>
      <c r="T985" s="231" t="s">
        <v>239</v>
      </c>
      <c r="U985" s="231">
        <v>14.5</v>
      </c>
      <c r="V985" s="230" t="s">
        <v>239</v>
      </c>
      <c r="W985" s="231">
        <v>14.5</v>
      </c>
      <c r="X985" s="231" t="s">
        <v>239</v>
      </c>
      <c r="Y985" s="231">
        <v>14.5</v>
      </c>
      <c r="Z985" s="231" t="s">
        <v>239</v>
      </c>
      <c r="AA985" s="231">
        <v>14.5</v>
      </c>
      <c r="AB985" s="231" t="s">
        <v>239</v>
      </c>
      <c r="AC985" s="231">
        <v>14.5</v>
      </c>
      <c r="AD985" s="231" t="s">
        <v>239</v>
      </c>
      <c r="AE985" s="231">
        <v>14.5</v>
      </c>
      <c r="AF985" s="231" t="s">
        <v>239</v>
      </c>
      <c r="AG985" s="231">
        <v>14.5</v>
      </c>
      <c r="AH985" s="231" t="s">
        <v>239</v>
      </c>
      <c r="AI985" s="231">
        <v>14.5</v>
      </c>
      <c r="AJ985" s="231" t="s">
        <v>239</v>
      </c>
      <c r="AK985" s="231">
        <v>14.5</v>
      </c>
      <c r="AL985" s="232" t="s">
        <v>239</v>
      </c>
      <c r="AM985" s="232">
        <v>0</v>
      </c>
    </row>
    <row r="986" spans="1:39" ht="15.75" outlineLevel="1">
      <c r="A986" s="412"/>
      <c r="B986" s="10">
        <v>129488</v>
      </c>
      <c r="C986" s="218" t="s">
        <v>1489</v>
      </c>
      <c r="D986" s="218" t="s">
        <v>1490</v>
      </c>
      <c r="E986" s="23" t="s">
        <v>44</v>
      </c>
      <c r="F986" s="17" t="s">
        <v>45</v>
      </c>
      <c r="G986" s="11" t="s">
        <v>1432</v>
      </c>
      <c r="H986" s="12">
        <v>24</v>
      </c>
      <c r="I986" s="11" t="s">
        <v>1433</v>
      </c>
      <c r="J986" s="193" t="s">
        <v>1451</v>
      </c>
      <c r="K986" s="17" t="s">
        <v>233</v>
      </c>
      <c r="L986" s="17" t="s">
        <v>233</v>
      </c>
      <c r="M986" s="231">
        <v>21550</v>
      </c>
      <c r="N986" s="232">
        <v>21288.382999999998</v>
      </c>
      <c r="O986" s="132">
        <v>241</v>
      </c>
      <c r="P986" s="231" t="s">
        <v>239</v>
      </c>
      <c r="Q986" s="232">
        <v>297.5145</v>
      </c>
      <c r="R986" s="231" t="s">
        <v>239</v>
      </c>
      <c r="S986" s="232">
        <v>367.28165024999998</v>
      </c>
      <c r="T986" s="231" t="s">
        <v>239</v>
      </c>
      <c r="U986" s="232">
        <v>453.40919723362498</v>
      </c>
      <c r="V986" s="231" t="s">
        <v>239</v>
      </c>
      <c r="W986" s="232">
        <v>559.73365398491001</v>
      </c>
      <c r="X986" s="231" t="s">
        <v>239</v>
      </c>
      <c r="Y986" s="232">
        <v>690.99119584437142</v>
      </c>
      <c r="Z986" s="231" t="s">
        <v>239</v>
      </c>
      <c r="AA986" s="232">
        <v>853.02863126987643</v>
      </c>
      <c r="AB986" s="231" t="s">
        <v>239</v>
      </c>
      <c r="AC986" s="232">
        <v>1053.0638453026625</v>
      </c>
      <c r="AD986" s="231" t="s">
        <v>239</v>
      </c>
      <c r="AE986" s="232">
        <v>1300.0073170261367</v>
      </c>
      <c r="AF986" s="231" t="s">
        <v>239</v>
      </c>
      <c r="AG986" s="232">
        <v>1604.8590328687656</v>
      </c>
      <c r="AH986" s="231" t="s">
        <v>239</v>
      </c>
      <c r="AI986" s="232">
        <v>1981.198476076491</v>
      </c>
      <c r="AJ986" s="231" t="s">
        <v>239</v>
      </c>
      <c r="AK986" s="232">
        <v>2445.7895187164281</v>
      </c>
      <c r="AL986" s="232" t="s">
        <v>239</v>
      </c>
      <c r="AM986" s="232">
        <v>11847.877018573268</v>
      </c>
    </row>
    <row r="987" spans="1:39" ht="15.75" outlineLevel="1">
      <c r="A987" s="411">
        <v>489</v>
      </c>
      <c r="B987" s="10">
        <v>129489</v>
      </c>
      <c r="C987" s="218" t="s">
        <v>1489</v>
      </c>
      <c r="D987" s="218" t="s">
        <v>1490</v>
      </c>
      <c r="E987" s="23" t="s">
        <v>44</v>
      </c>
      <c r="F987" s="17" t="s">
        <v>45</v>
      </c>
      <c r="G987" s="11" t="s">
        <v>1432</v>
      </c>
      <c r="H987" s="12">
        <v>36</v>
      </c>
      <c r="I987" s="11" t="s">
        <v>1433</v>
      </c>
      <c r="J987" s="193" t="s">
        <v>208</v>
      </c>
      <c r="K987" s="17" t="s">
        <v>233</v>
      </c>
      <c r="L987" s="17" t="s">
        <v>233</v>
      </c>
      <c r="M987" s="231">
        <v>12</v>
      </c>
      <c r="N987" s="231">
        <v>12</v>
      </c>
      <c r="O987" s="231">
        <v>12</v>
      </c>
      <c r="P987" s="231" t="s">
        <v>239</v>
      </c>
      <c r="Q987" s="231">
        <v>12</v>
      </c>
      <c r="R987" s="231" t="s">
        <v>239</v>
      </c>
      <c r="S987" s="231">
        <v>12</v>
      </c>
      <c r="T987" s="231" t="s">
        <v>239</v>
      </c>
      <c r="U987" s="231">
        <v>12</v>
      </c>
      <c r="V987" s="231" t="s">
        <v>239</v>
      </c>
      <c r="W987" s="231">
        <v>12</v>
      </c>
      <c r="X987" s="231" t="s">
        <v>239</v>
      </c>
      <c r="Y987" s="231">
        <v>12</v>
      </c>
      <c r="Z987" s="231" t="s">
        <v>239</v>
      </c>
      <c r="AA987" s="231">
        <v>12</v>
      </c>
      <c r="AB987" s="231" t="s">
        <v>239</v>
      </c>
      <c r="AC987" s="231">
        <v>12</v>
      </c>
      <c r="AD987" s="231" t="s">
        <v>239</v>
      </c>
      <c r="AE987" s="231">
        <v>12</v>
      </c>
      <c r="AF987" s="231" t="s">
        <v>239</v>
      </c>
      <c r="AG987" s="231">
        <v>12</v>
      </c>
      <c r="AH987" s="231" t="s">
        <v>239</v>
      </c>
      <c r="AI987" s="231">
        <v>12</v>
      </c>
      <c r="AJ987" s="231" t="s">
        <v>239</v>
      </c>
      <c r="AK987" s="231">
        <v>12</v>
      </c>
      <c r="AL987" s="232" t="s">
        <v>239</v>
      </c>
      <c r="AM987" s="232">
        <v>0</v>
      </c>
    </row>
    <row r="988" spans="1:39" ht="15.75" outlineLevel="1">
      <c r="A988" s="412"/>
      <c r="B988" s="10">
        <v>129489</v>
      </c>
      <c r="C988" s="218" t="s">
        <v>1489</v>
      </c>
      <c r="D988" s="218" t="s">
        <v>1490</v>
      </c>
      <c r="E988" s="23" t="s">
        <v>138</v>
      </c>
      <c r="F988" s="17" t="s">
        <v>45</v>
      </c>
      <c r="G988" s="11" t="s">
        <v>1432</v>
      </c>
      <c r="H988" s="12">
        <v>34</v>
      </c>
      <c r="I988" s="11" t="s">
        <v>1433</v>
      </c>
      <c r="J988" s="193" t="s">
        <v>1452</v>
      </c>
      <c r="K988" s="17" t="s">
        <v>233</v>
      </c>
      <c r="L988" s="17" t="s">
        <v>233</v>
      </c>
      <c r="M988" s="231">
        <v>9788</v>
      </c>
      <c r="N988" s="232">
        <v>9669.1736799999999</v>
      </c>
      <c r="O988" s="132">
        <v>708</v>
      </c>
      <c r="P988" s="231" t="s">
        <v>239</v>
      </c>
      <c r="Q988" s="232">
        <v>874.02599999999995</v>
      </c>
      <c r="R988" s="231" t="s">
        <v>239</v>
      </c>
      <c r="S988" s="232">
        <v>1078.9850969999998</v>
      </c>
      <c r="T988" s="231" t="s">
        <v>239</v>
      </c>
      <c r="U988" s="232">
        <v>1332.0071022464997</v>
      </c>
      <c r="V988" s="230" t="s">
        <v>239</v>
      </c>
      <c r="W988" s="232">
        <v>1644.3627677233037</v>
      </c>
      <c r="X988" s="231" t="s">
        <v>239</v>
      </c>
      <c r="Y988" s="232">
        <v>2029.9658367544182</v>
      </c>
      <c r="Z988" s="231" t="s">
        <v>239</v>
      </c>
      <c r="AA988" s="232">
        <v>2505.992825473329</v>
      </c>
      <c r="AB988" s="231" t="s">
        <v>239</v>
      </c>
      <c r="AC988" s="232">
        <v>3093.6481430468243</v>
      </c>
      <c r="AD988" s="231" t="s">
        <v>239</v>
      </c>
      <c r="AE988" s="232">
        <v>3819.1086325913043</v>
      </c>
      <c r="AF988" s="231" t="s">
        <v>239</v>
      </c>
      <c r="AG988" s="232">
        <v>4714.6896069339646</v>
      </c>
      <c r="AH988" s="231" t="s">
        <v>239</v>
      </c>
      <c r="AI988" s="232">
        <v>5820.2843197599786</v>
      </c>
      <c r="AJ988" s="231" t="s">
        <v>239</v>
      </c>
      <c r="AK988" s="232">
        <v>7185.1409927436935</v>
      </c>
      <c r="AL988" s="232" t="s">
        <v>239</v>
      </c>
      <c r="AM988" s="232">
        <v>34806.211324273318</v>
      </c>
    </row>
    <row r="989" spans="1:39" ht="15.75" outlineLevel="1">
      <c r="A989" s="411">
        <v>490</v>
      </c>
      <c r="B989" s="10">
        <v>129490</v>
      </c>
      <c r="C989" s="218" t="s">
        <v>1489</v>
      </c>
      <c r="D989" s="218" t="s">
        <v>1490</v>
      </c>
      <c r="E989" s="23" t="s">
        <v>44</v>
      </c>
      <c r="F989" s="17" t="s">
        <v>45</v>
      </c>
      <c r="G989" s="11" t="s">
        <v>1432</v>
      </c>
      <c r="H989" s="12">
        <v>7</v>
      </c>
      <c r="I989" s="11" t="s">
        <v>1433</v>
      </c>
      <c r="J989" s="193" t="s">
        <v>216</v>
      </c>
      <c r="K989" s="17" t="s">
        <v>233</v>
      </c>
      <c r="L989" s="17" t="s">
        <v>233</v>
      </c>
      <c r="M989" s="231">
        <v>24</v>
      </c>
      <c r="N989" s="231">
        <v>24</v>
      </c>
      <c r="O989" s="231">
        <v>24</v>
      </c>
      <c r="P989" s="231" t="s">
        <v>239</v>
      </c>
      <c r="Q989" s="231">
        <v>24</v>
      </c>
      <c r="R989" s="231" t="s">
        <v>239</v>
      </c>
      <c r="S989" s="231">
        <v>24</v>
      </c>
      <c r="T989" s="231" t="s">
        <v>239</v>
      </c>
      <c r="U989" s="231">
        <v>24</v>
      </c>
      <c r="V989" s="231" t="s">
        <v>239</v>
      </c>
      <c r="W989" s="231">
        <v>24</v>
      </c>
      <c r="X989" s="231" t="s">
        <v>239</v>
      </c>
      <c r="Y989" s="231">
        <v>24</v>
      </c>
      <c r="Z989" s="231" t="s">
        <v>239</v>
      </c>
      <c r="AA989" s="231">
        <v>24</v>
      </c>
      <c r="AB989" s="231" t="s">
        <v>239</v>
      </c>
      <c r="AC989" s="231">
        <v>24</v>
      </c>
      <c r="AD989" s="231" t="s">
        <v>239</v>
      </c>
      <c r="AE989" s="231">
        <v>24</v>
      </c>
      <c r="AF989" s="231" t="s">
        <v>239</v>
      </c>
      <c r="AG989" s="231">
        <v>24</v>
      </c>
      <c r="AH989" s="231" t="s">
        <v>239</v>
      </c>
      <c r="AI989" s="231">
        <v>24</v>
      </c>
      <c r="AJ989" s="231" t="s">
        <v>239</v>
      </c>
      <c r="AK989" s="231">
        <v>24</v>
      </c>
      <c r="AL989" s="232" t="s">
        <v>239</v>
      </c>
      <c r="AM989" s="232">
        <v>0</v>
      </c>
    </row>
    <row r="990" spans="1:39" ht="15.75" outlineLevel="1">
      <c r="A990" s="412"/>
      <c r="B990" s="10">
        <v>129490</v>
      </c>
      <c r="C990" s="218" t="s">
        <v>1489</v>
      </c>
      <c r="D990" s="218" t="s">
        <v>1490</v>
      </c>
      <c r="E990" s="23" t="s">
        <v>138</v>
      </c>
      <c r="F990" s="17" t="s">
        <v>45</v>
      </c>
      <c r="G990" s="11" t="s">
        <v>1432</v>
      </c>
      <c r="H990" s="12">
        <v>5</v>
      </c>
      <c r="I990" s="11" t="s">
        <v>1433</v>
      </c>
      <c r="J990" s="193" t="s">
        <v>1453</v>
      </c>
      <c r="K990" s="17" t="s">
        <v>233</v>
      </c>
      <c r="L990" s="17" t="s">
        <v>233</v>
      </c>
      <c r="M990" s="231">
        <v>4999</v>
      </c>
      <c r="N990" s="232">
        <v>4938.31214</v>
      </c>
      <c r="O990" s="132">
        <v>661</v>
      </c>
      <c r="P990" s="231" t="s">
        <v>239</v>
      </c>
      <c r="Q990" s="232">
        <v>816.00450000000001</v>
      </c>
      <c r="R990" s="231" t="s">
        <v>239</v>
      </c>
      <c r="S990" s="232">
        <v>1007.3575552499999</v>
      </c>
      <c r="T990" s="231" t="s">
        <v>239</v>
      </c>
      <c r="U990" s="232">
        <v>1243.5829019561247</v>
      </c>
      <c r="V990" s="231" t="s">
        <v>239</v>
      </c>
      <c r="W990" s="232">
        <v>1535.2030924648359</v>
      </c>
      <c r="X990" s="231" t="s">
        <v>239</v>
      </c>
      <c r="Y990" s="232">
        <v>1895.2082176478398</v>
      </c>
      <c r="Z990" s="231" t="s">
        <v>239</v>
      </c>
      <c r="AA990" s="232">
        <v>2339.6345446862579</v>
      </c>
      <c r="AB990" s="231" t="s">
        <v>239</v>
      </c>
      <c r="AC990" s="232">
        <v>2888.2788454151851</v>
      </c>
      <c r="AD990" s="231" t="s">
        <v>239</v>
      </c>
      <c r="AE990" s="232">
        <v>3565.5802346650457</v>
      </c>
      <c r="AF990" s="231" t="s">
        <v>239</v>
      </c>
      <c r="AG990" s="232">
        <v>4401.708799693999</v>
      </c>
      <c r="AH990" s="231" t="s">
        <v>239</v>
      </c>
      <c r="AI990" s="232">
        <v>5433.9095132222419</v>
      </c>
      <c r="AJ990" s="231" t="s">
        <v>239</v>
      </c>
      <c r="AK990" s="232">
        <v>6708.1612940728573</v>
      </c>
      <c r="AL990" s="232" t="s">
        <v>239</v>
      </c>
      <c r="AM990" s="232">
        <v>32495.629499074385</v>
      </c>
    </row>
    <row r="991" spans="1:39" ht="15.75" outlineLevel="1">
      <c r="A991" s="411">
        <v>491</v>
      </c>
      <c r="B991" s="10">
        <v>129491</v>
      </c>
      <c r="C991" s="218" t="s">
        <v>1489</v>
      </c>
      <c r="D991" s="218" t="s">
        <v>1490</v>
      </c>
      <c r="E991" s="23" t="s">
        <v>44</v>
      </c>
      <c r="F991" s="17" t="s">
        <v>45</v>
      </c>
      <c r="G991" s="11" t="s">
        <v>1432</v>
      </c>
      <c r="H991" s="12">
        <v>24</v>
      </c>
      <c r="I991" s="11" t="s">
        <v>1433</v>
      </c>
      <c r="J991" s="193" t="s">
        <v>1454</v>
      </c>
      <c r="K991" s="17" t="s">
        <v>233</v>
      </c>
      <c r="L991" s="17" t="s">
        <v>233</v>
      </c>
      <c r="M991" s="231">
        <v>34</v>
      </c>
      <c r="N991" s="231">
        <v>34</v>
      </c>
      <c r="O991" s="231">
        <v>34</v>
      </c>
      <c r="P991" s="231" t="s">
        <v>239</v>
      </c>
      <c r="Q991" s="231">
        <v>34</v>
      </c>
      <c r="R991" s="231" t="s">
        <v>239</v>
      </c>
      <c r="S991" s="231">
        <v>34</v>
      </c>
      <c r="T991" s="231" t="s">
        <v>239</v>
      </c>
      <c r="U991" s="231">
        <v>34</v>
      </c>
      <c r="V991" s="230" t="s">
        <v>239</v>
      </c>
      <c r="W991" s="231">
        <v>34</v>
      </c>
      <c r="X991" s="231" t="s">
        <v>239</v>
      </c>
      <c r="Y991" s="231">
        <v>34</v>
      </c>
      <c r="Z991" s="231" t="s">
        <v>239</v>
      </c>
      <c r="AA991" s="231">
        <v>34</v>
      </c>
      <c r="AB991" s="231" t="s">
        <v>239</v>
      </c>
      <c r="AC991" s="231">
        <v>34</v>
      </c>
      <c r="AD991" s="231" t="s">
        <v>239</v>
      </c>
      <c r="AE991" s="231">
        <v>34</v>
      </c>
      <c r="AF991" s="231" t="s">
        <v>239</v>
      </c>
      <c r="AG991" s="231">
        <v>34</v>
      </c>
      <c r="AH991" s="231" t="s">
        <v>239</v>
      </c>
      <c r="AI991" s="231">
        <v>34</v>
      </c>
      <c r="AJ991" s="231" t="s">
        <v>239</v>
      </c>
      <c r="AK991" s="231">
        <v>34</v>
      </c>
      <c r="AL991" s="232" t="s">
        <v>239</v>
      </c>
      <c r="AM991" s="232">
        <v>0</v>
      </c>
    </row>
    <row r="992" spans="1:39" ht="15.75" outlineLevel="1">
      <c r="A992" s="412"/>
      <c r="B992" s="10">
        <v>129491</v>
      </c>
      <c r="C992" s="218" t="s">
        <v>1489</v>
      </c>
      <c r="D992" s="218" t="s">
        <v>1490</v>
      </c>
      <c r="E992" s="23" t="s">
        <v>44</v>
      </c>
      <c r="F992" s="17" t="s">
        <v>45</v>
      </c>
      <c r="G992" s="11" t="s">
        <v>1432</v>
      </c>
      <c r="H992" s="12">
        <v>10</v>
      </c>
      <c r="I992" s="11" t="s">
        <v>1433</v>
      </c>
      <c r="J992" s="191" t="s">
        <v>216</v>
      </c>
      <c r="K992" s="17" t="s">
        <v>233</v>
      </c>
      <c r="L992" s="17" t="s">
        <v>233</v>
      </c>
      <c r="M992" s="231">
        <v>12244</v>
      </c>
      <c r="N992" s="232">
        <v>12095.357839999999</v>
      </c>
      <c r="O992" s="132">
        <v>212</v>
      </c>
      <c r="P992" s="231" t="s">
        <v>239</v>
      </c>
      <c r="Q992" s="232">
        <v>261.714</v>
      </c>
      <c r="R992" s="231" t="s">
        <v>239</v>
      </c>
      <c r="S992" s="232">
        <v>323.08593299999995</v>
      </c>
      <c r="T992" s="231" t="s">
        <v>239</v>
      </c>
      <c r="U992" s="232">
        <v>398.8495842884999</v>
      </c>
      <c r="V992" s="231" t="s">
        <v>239</v>
      </c>
      <c r="W992" s="232">
        <v>492.37981180415312</v>
      </c>
      <c r="X992" s="231" t="s">
        <v>239</v>
      </c>
      <c r="Y992" s="232">
        <v>607.84287767222702</v>
      </c>
      <c r="Z992" s="231" t="s">
        <v>239</v>
      </c>
      <c r="AA992" s="232">
        <v>750.38203248636421</v>
      </c>
      <c r="AB992" s="231" t="s">
        <v>239</v>
      </c>
      <c r="AC992" s="232">
        <v>926.34661910441662</v>
      </c>
      <c r="AD992" s="231" t="s">
        <v>239</v>
      </c>
      <c r="AE992" s="232">
        <v>1143.5749012844024</v>
      </c>
      <c r="AF992" s="231" t="s">
        <v>239</v>
      </c>
      <c r="AG992" s="232">
        <v>1411.7432156355947</v>
      </c>
      <c r="AH992" s="231" t="s">
        <v>239</v>
      </c>
      <c r="AI992" s="232">
        <v>1742.7969997021414</v>
      </c>
      <c r="AJ992" s="231" t="s">
        <v>239</v>
      </c>
      <c r="AK992" s="232">
        <v>2151.4828961322933</v>
      </c>
      <c r="AL992" s="232" t="s">
        <v>239</v>
      </c>
      <c r="AM992" s="232">
        <v>10422.198871110091</v>
      </c>
    </row>
    <row r="993" spans="1:39" ht="15.75" outlineLevel="1">
      <c r="A993" s="411">
        <v>492</v>
      </c>
      <c r="B993" s="10">
        <v>129492</v>
      </c>
      <c r="C993" s="218" t="s">
        <v>1489</v>
      </c>
      <c r="D993" s="218" t="s">
        <v>1490</v>
      </c>
      <c r="E993" s="23" t="s">
        <v>138</v>
      </c>
      <c r="F993" s="17" t="s">
        <v>45</v>
      </c>
      <c r="G993" s="11" t="s">
        <v>1432</v>
      </c>
      <c r="H993" s="12">
        <v>17</v>
      </c>
      <c r="I993" s="11" t="s">
        <v>1433</v>
      </c>
      <c r="J993" s="192" t="s">
        <v>1434</v>
      </c>
      <c r="K993" s="17" t="s">
        <v>233</v>
      </c>
      <c r="L993" s="17" t="s">
        <v>233</v>
      </c>
      <c r="M993" s="231">
        <v>34</v>
      </c>
      <c r="N993" s="231">
        <v>34</v>
      </c>
      <c r="O993" s="231">
        <v>34</v>
      </c>
      <c r="P993" s="231" t="s">
        <v>239</v>
      </c>
      <c r="Q993" s="231">
        <v>34</v>
      </c>
      <c r="R993" s="231" t="s">
        <v>239</v>
      </c>
      <c r="S993" s="231">
        <v>34</v>
      </c>
      <c r="T993" s="231" t="s">
        <v>239</v>
      </c>
      <c r="U993" s="231">
        <v>34</v>
      </c>
      <c r="V993" s="231" t="s">
        <v>239</v>
      </c>
      <c r="W993" s="231">
        <v>34</v>
      </c>
      <c r="X993" s="231" t="s">
        <v>239</v>
      </c>
      <c r="Y993" s="231">
        <v>34</v>
      </c>
      <c r="Z993" s="231" t="s">
        <v>239</v>
      </c>
      <c r="AA993" s="231">
        <v>34</v>
      </c>
      <c r="AB993" s="231" t="s">
        <v>239</v>
      </c>
      <c r="AC993" s="231">
        <v>34</v>
      </c>
      <c r="AD993" s="231" t="s">
        <v>239</v>
      </c>
      <c r="AE993" s="231">
        <v>34</v>
      </c>
      <c r="AF993" s="231" t="s">
        <v>239</v>
      </c>
      <c r="AG993" s="231">
        <v>34</v>
      </c>
      <c r="AH993" s="231" t="s">
        <v>239</v>
      </c>
      <c r="AI993" s="231">
        <v>34</v>
      </c>
      <c r="AJ993" s="231" t="s">
        <v>239</v>
      </c>
      <c r="AK993" s="231">
        <v>34</v>
      </c>
      <c r="AL993" s="232" t="s">
        <v>239</v>
      </c>
      <c r="AM993" s="232">
        <v>0</v>
      </c>
    </row>
    <row r="994" spans="1:39" ht="15.75" outlineLevel="1">
      <c r="A994" s="412"/>
      <c r="B994" s="10">
        <v>129492</v>
      </c>
      <c r="C994" s="218" t="s">
        <v>1489</v>
      </c>
      <c r="D994" s="218" t="s">
        <v>1490</v>
      </c>
      <c r="E994" s="23" t="s">
        <v>44</v>
      </c>
      <c r="F994" s="17" t="s">
        <v>45</v>
      </c>
      <c r="G994" s="11" t="s">
        <v>1432</v>
      </c>
      <c r="H994" s="12">
        <v>32</v>
      </c>
      <c r="I994" s="11" t="s">
        <v>1433</v>
      </c>
      <c r="J994" s="192" t="s">
        <v>1480</v>
      </c>
      <c r="K994" s="17" t="s">
        <v>233</v>
      </c>
      <c r="L994" s="17" t="s">
        <v>233</v>
      </c>
      <c r="M994" s="231">
        <v>0</v>
      </c>
      <c r="N994" s="232">
        <v>0</v>
      </c>
      <c r="O994" s="132"/>
      <c r="P994" s="231" t="s">
        <v>239</v>
      </c>
      <c r="Q994" s="232">
        <v>0</v>
      </c>
      <c r="R994" s="231" t="s">
        <v>239</v>
      </c>
      <c r="S994" s="232">
        <v>0</v>
      </c>
      <c r="T994" s="231" t="s">
        <v>239</v>
      </c>
      <c r="U994" s="232">
        <v>0</v>
      </c>
      <c r="V994" s="230" t="s">
        <v>239</v>
      </c>
      <c r="W994" s="232">
        <v>0</v>
      </c>
      <c r="X994" s="231" t="s">
        <v>239</v>
      </c>
      <c r="Y994" s="232">
        <v>0</v>
      </c>
      <c r="Z994" s="231" t="s">
        <v>239</v>
      </c>
      <c r="AA994" s="232">
        <v>0</v>
      </c>
      <c r="AB994" s="231" t="s">
        <v>239</v>
      </c>
      <c r="AC994" s="232">
        <v>0</v>
      </c>
      <c r="AD994" s="231" t="s">
        <v>239</v>
      </c>
      <c r="AE994" s="232">
        <v>0</v>
      </c>
      <c r="AF994" s="231" t="s">
        <v>239</v>
      </c>
      <c r="AG994" s="232">
        <v>0</v>
      </c>
      <c r="AH994" s="231" t="s">
        <v>239</v>
      </c>
      <c r="AI994" s="232">
        <v>0</v>
      </c>
      <c r="AJ994" s="231" t="s">
        <v>239</v>
      </c>
      <c r="AK994" s="232">
        <v>0</v>
      </c>
      <c r="AL994" s="232" t="s">
        <v>239</v>
      </c>
      <c r="AM994" s="232">
        <v>0</v>
      </c>
    </row>
    <row r="995" spans="1:39" ht="15.75" outlineLevel="1">
      <c r="A995" s="411">
        <v>493</v>
      </c>
      <c r="B995" s="10">
        <v>129493</v>
      </c>
      <c r="C995" s="218" t="s">
        <v>1489</v>
      </c>
      <c r="D995" s="218" t="s">
        <v>1490</v>
      </c>
      <c r="E995" s="23" t="s">
        <v>138</v>
      </c>
      <c r="F995" s="17" t="s">
        <v>45</v>
      </c>
      <c r="G995" s="11" t="s">
        <v>1432</v>
      </c>
      <c r="H995" s="12">
        <v>8</v>
      </c>
      <c r="I995" s="11" t="s">
        <v>1433</v>
      </c>
      <c r="J995" s="192" t="s">
        <v>1452</v>
      </c>
      <c r="K995" s="17" t="s">
        <v>233</v>
      </c>
      <c r="L995" s="17" t="s">
        <v>233</v>
      </c>
      <c r="M995" s="231">
        <v>34</v>
      </c>
      <c r="N995" s="231">
        <v>34</v>
      </c>
      <c r="O995" s="231">
        <v>34</v>
      </c>
      <c r="P995" s="231" t="s">
        <v>239</v>
      </c>
      <c r="Q995" s="231">
        <v>34</v>
      </c>
      <c r="R995" s="231" t="s">
        <v>239</v>
      </c>
      <c r="S995" s="231">
        <v>34</v>
      </c>
      <c r="T995" s="231" t="s">
        <v>239</v>
      </c>
      <c r="U995" s="231">
        <v>34</v>
      </c>
      <c r="V995" s="231" t="s">
        <v>239</v>
      </c>
      <c r="W995" s="231">
        <v>34</v>
      </c>
      <c r="X995" s="231" t="s">
        <v>239</v>
      </c>
      <c r="Y995" s="231">
        <v>34</v>
      </c>
      <c r="Z995" s="231" t="s">
        <v>239</v>
      </c>
      <c r="AA995" s="231">
        <v>34</v>
      </c>
      <c r="AB995" s="231" t="s">
        <v>239</v>
      </c>
      <c r="AC995" s="231">
        <v>34</v>
      </c>
      <c r="AD995" s="231" t="s">
        <v>239</v>
      </c>
      <c r="AE995" s="231">
        <v>34</v>
      </c>
      <c r="AF995" s="231" t="s">
        <v>239</v>
      </c>
      <c r="AG995" s="231">
        <v>34</v>
      </c>
      <c r="AH995" s="231" t="s">
        <v>239</v>
      </c>
      <c r="AI995" s="231">
        <v>34</v>
      </c>
      <c r="AJ995" s="231" t="s">
        <v>239</v>
      </c>
      <c r="AK995" s="231">
        <v>34</v>
      </c>
      <c r="AL995" s="232" t="s">
        <v>239</v>
      </c>
      <c r="AM995" s="232">
        <v>0</v>
      </c>
    </row>
    <row r="996" spans="1:39" ht="15.75" outlineLevel="1">
      <c r="A996" s="412"/>
      <c r="B996" s="10">
        <v>129493</v>
      </c>
      <c r="C996" s="218" t="s">
        <v>1489</v>
      </c>
      <c r="D996" s="218" t="s">
        <v>1490</v>
      </c>
      <c r="E996" s="23" t="s">
        <v>44</v>
      </c>
      <c r="F996" s="17" t="s">
        <v>45</v>
      </c>
      <c r="G996" s="11" t="s">
        <v>1432</v>
      </c>
      <c r="H996" s="12">
        <v>12</v>
      </c>
      <c r="I996" s="11" t="s">
        <v>1433</v>
      </c>
      <c r="J996" s="374" t="s">
        <v>207</v>
      </c>
      <c r="K996" s="17" t="s">
        <v>233</v>
      </c>
      <c r="L996" s="17" t="s">
        <v>233</v>
      </c>
      <c r="M996" s="231">
        <v>0</v>
      </c>
      <c r="N996" s="232">
        <v>0</v>
      </c>
      <c r="O996" s="132"/>
      <c r="P996" s="231" t="s">
        <v>239</v>
      </c>
      <c r="Q996" s="232">
        <v>0</v>
      </c>
      <c r="R996" s="231" t="s">
        <v>239</v>
      </c>
      <c r="S996" s="232">
        <v>0</v>
      </c>
      <c r="T996" s="231" t="s">
        <v>239</v>
      </c>
      <c r="U996" s="232">
        <v>0</v>
      </c>
      <c r="V996" s="231" t="s">
        <v>239</v>
      </c>
      <c r="W996" s="232">
        <v>0</v>
      </c>
      <c r="X996" s="231" t="s">
        <v>239</v>
      </c>
      <c r="Y996" s="232">
        <v>0</v>
      </c>
      <c r="Z996" s="231" t="s">
        <v>239</v>
      </c>
      <c r="AA996" s="232">
        <v>0</v>
      </c>
      <c r="AB996" s="231" t="s">
        <v>239</v>
      </c>
      <c r="AC996" s="232">
        <v>0</v>
      </c>
      <c r="AD996" s="231" t="s">
        <v>239</v>
      </c>
      <c r="AE996" s="232">
        <v>0</v>
      </c>
      <c r="AF996" s="231" t="s">
        <v>239</v>
      </c>
      <c r="AG996" s="232">
        <v>0</v>
      </c>
      <c r="AH996" s="231" t="s">
        <v>239</v>
      </c>
      <c r="AI996" s="232">
        <v>0</v>
      </c>
      <c r="AJ996" s="231" t="s">
        <v>239</v>
      </c>
      <c r="AK996" s="232">
        <v>0</v>
      </c>
      <c r="AL996" s="232" t="s">
        <v>239</v>
      </c>
      <c r="AM996" s="232">
        <v>0</v>
      </c>
    </row>
    <row r="997" spans="1:39" ht="15.75" outlineLevel="1">
      <c r="A997" s="411">
        <v>494</v>
      </c>
      <c r="B997" s="10">
        <v>129494</v>
      </c>
      <c r="C997" s="218" t="s">
        <v>1489</v>
      </c>
      <c r="D997" s="218" t="s">
        <v>1490</v>
      </c>
      <c r="E997" s="23" t="s">
        <v>44</v>
      </c>
      <c r="F997" s="17" t="s">
        <v>45</v>
      </c>
      <c r="G997" s="11" t="s">
        <v>1432</v>
      </c>
      <c r="H997" s="12">
        <v>18</v>
      </c>
      <c r="I997" s="11" t="s">
        <v>1433</v>
      </c>
      <c r="J997" s="375"/>
      <c r="K997" s="17" t="s">
        <v>233</v>
      </c>
      <c r="L997" s="17" t="s">
        <v>233</v>
      </c>
      <c r="M997" s="231">
        <v>34</v>
      </c>
      <c r="N997" s="231">
        <v>34</v>
      </c>
      <c r="O997" s="231">
        <v>34</v>
      </c>
      <c r="P997" s="231" t="s">
        <v>239</v>
      </c>
      <c r="Q997" s="231">
        <v>34</v>
      </c>
      <c r="R997" s="231" t="s">
        <v>239</v>
      </c>
      <c r="S997" s="231">
        <v>34</v>
      </c>
      <c r="T997" s="231" t="s">
        <v>239</v>
      </c>
      <c r="U997" s="231">
        <v>34</v>
      </c>
      <c r="V997" s="230" t="s">
        <v>239</v>
      </c>
      <c r="W997" s="231">
        <v>34</v>
      </c>
      <c r="X997" s="231" t="s">
        <v>239</v>
      </c>
      <c r="Y997" s="231">
        <v>34</v>
      </c>
      <c r="Z997" s="231" t="s">
        <v>239</v>
      </c>
      <c r="AA997" s="231">
        <v>34</v>
      </c>
      <c r="AB997" s="231" t="s">
        <v>239</v>
      </c>
      <c r="AC997" s="231">
        <v>34</v>
      </c>
      <c r="AD997" s="231" t="s">
        <v>239</v>
      </c>
      <c r="AE997" s="231">
        <v>34</v>
      </c>
      <c r="AF997" s="231" t="s">
        <v>239</v>
      </c>
      <c r="AG997" s="231">
        <v>34</v>
      </c>
      <c r="AH997" s="231" t="s">
        <v>239</v>
      </c>
      <c r="AI997" s="231">
        <v>34</v>
      </c>
      <c r="AJ997" s="231" t="s">
        <v>239</v>
      </c>
      <c r="AK997" s="231">
        <v>34</v>
      </c>
      <c r="AL997" s="232" t="s">
        <v>239</v>
      </c>
      <c r="AM997" s="232">
        <v>0</v>
      </c>
    </row>
    <row r="998" spans="1:39" ht="15.75" outlineLevel="1">
      <c r="A998" s="412"/>
      <c r="B998" s="10">
        <v>129494</v>
      </c>
      <c r="C998" s="218" t="s">
        <v>1489</v>
      </c>
      <c r="D998" s="218" t="s">
        <v>1490</v>
      </c>
      <c r="E998" s="23" t="s">
        <v>138</v>
      </c>
      <c r="F998" s="17" t="s">
        <v>45</v>
      </c>
      <c r="G998" s="11" t="s">
        <v>1432</v>
      </c>
      <c r="H998" s="12">
        <v>17</v>
      </c>
      <c r="I998" s="11" t="s">
        <v>1433</v>
      </c>
      <c r="J998" s="193" t="s">
        <v>1460</v>
      </c>
      <c r="K998" s="17" t="s">
        <v>233</v>
      </c>
      <c r="L998" s="17" t="s">
        <v>233</v>
      </c>
      <c r="M998" s="231">
        <v>0</v>
      </c>
      <c r="N998" s="232">
        <v>0</v>
      </c>
      <c r="O998" s="132"/>
      <c r="P998" s="231" t="s">
        <v>239</v>
      </c>
      <c r="Q998" s="232">
        <v>0</v>
      </c>
      <c r="R998" s="231" t="s">
        <v>239</v>
      </c>
      <c r="S998" s="232">
        <v>0</v>
      </c>
      <c r="T998" s="231" t="s">
        <v>239</v>
      </c>
      <c r="U998" s="232">
        <v>0</v>
      </c>
      <c r="V998" s="231" t="s">
        <v>239</v>
      </c>
      <c r="W998" s="232">
        <v>0</v>
      </c>
      <c r="X998" s="231" t="s">
        <v>239</v>
      </c>
      <c r="Y998" s="232">
        <v>0</v>
      </c>
      <c r="Z998" s="231" t="s">
        <v>239</v>
      </c>
      <c r="AA998" s="232">
        <v>0</v>
      </c>
      <c r="AB998" s="231" t="s">
        <v>239</v>
      </c>
      <c r="AC998" s="232">
        <v>0</v>
      </c>
      <c r="AD998" s="231" t="s">
        <v>239</v>
      </c>
      <c r="AE998" s="232">
        <v>0</v>
      </c>
      <c r="AF998" s="231" t="s">
        <v>239</v>
      </c>
      <c r="AG998" s="232">
        <v>0</v>
      </c>
      <c r="AH998" s="231" t="s">
        <v>239</v>
      </c>
      <c r="AI998" s="232">
        <v>0</v>
      </c>
      <c r="AJ998" s="231" t="s">
        <v>239</v>
      </c>
      <c r="AK998" s="232">
        <v>0</v>
      </c>
      <c r="AL998" s="232" t="s">
        <v>239</v>
      </c>
      <c r="AM998" s="232">
        <v>0</v>
      </c>
    </row>
    <row r="999" spans="1:39" ht="15.75" outlineLevel="1">
      <c r="A999" s="411">
        <v>495</v>
      </c>
      <c r="B999" s="10">
        <v>129495</v>
      </c>
      <c r="C999" s="218" t="s">
        <v>1489</v>
      </c>
      <c r="D999" s="218" t="s">
        <v>1490</v>
      </c>
      <c r="E999" s="23" t="s">
        <v>44</v>
      </c>
      <c r="F999" s="17" t="s">
        <v>45</v>
      </c>
      <c r="G999" s="11" t="s">
        <v>1432</v>
      </c>
      <c r="H999" s="12">
        <v>25</v>
      </c>
      <c r="I999" s="11" t="s">
        <v>1433</v>
      </c>
      <c r="J999" s="193" t="s">
        <v>1442</v>
      </c>
      <c r="K999" s="17" t="s">
        <v>233</v>
      </c>
      <c r="L999" s="17" t="s">
        <v>233</v>
      </c>
      <c r="M999" s="231">
        <v>11</v>
      </c>
      <c r="N999" s="231">
        <v>11</v>
      </c>
      <c r="O999" s="231">
        <v>11</v>
      </c>
      <c r="P999" s="231" t="s">
        <v>239</v>
      </c>
      <c r="Q999" s="231">
        <v>11</v>
      </c>
      <c r="R999" s="231" t="s">
        <v>239</v>
      </c>
      <c r="S999" s="231">
        <v>11</v>
      </c>
      <c r="T999" s="231" t="s">
        <v>239</v>
      </c>
      <c r="U999" s="231">
        <v>11</v>
      </c>
      <c r="V999" s="231" t="s">
        <v>239</v>
      </c>
      <c r="W999" s="231">
        <v>11</v>
      </c>
      <c r="X999" s="231" t="s">
        <v>239</v>
      </c>
      <c r="Y999" s="231">
        <v>11</v>
      </c>
      <c r="Z999" s="231" t="s">
        <v>239</v>
      </c>
      <c r="AA999" s="231">
        <v>11</v>
      </c>
      <c r="AB999" s="231" t="s">
        <v>239</v>
      </c>
      <c r="AC999" s="231">
        <v>11</v>
      </c>
      <c r="AD999" s="231" t="s">
        <v>239</v>
      </c>
      <c r="AE999" s="231">
        <v>11</v>
      </c>
      <c r="AF999" s="231" t="s">
        <v>239</v>
      </c>
      <c r="AG999" s="231">
        <v>11</v>
      </c>
      <c r="AH999" s="231" t="s">
        <v>239</v>
      </c>
      <c r="AI999" s="231">
        <v>11</v>
      </c>
      <c r="AJ999" s="231" t="s">
        <v>239</v>
      </c>
      <c r="AK999" s="231">
        <v>11</v>
      </c>
      <c r="AL999" s="232" t="s">
        <v>239</v>
      </c>
      <c r="AM999" s="232">
        <v>0</v>
      </c>
    </row>
    <row r="1000" spans="1:39" ht="15.75" outlineLevel="1">
      <c r="A1000" s="412"/>
      <c r="B1000" s="10">
        <v>129495</v>
      </c>
      <c r="C1000" s="218" t="s">
        <v>1489</v>
      </c>
      <c r="D1000" s="218" t="s">
        <v>1490</v>
      </c>
      <c r="E1000" s="23" t="s">
        <v>138</v>
      </c>
      <c r="F1000" s="17" t="s">
        <v>45</v>
      </c>
      <c r="G1000" s="11" t="s">
        <v>1432</v>
      </c>
      <c r="H1000" s="12">
        <v>13</v>
      </c>
      <c r="I1000" s="11" t="s">
        <v>1433</v>
      </c>
      <c r="J1000" s="193" t="s">
        <v>1451</v>
      </c>
      <c r="K1000" s="17" t="s">
        <v>233</v>
      </c>
      <c r="L1000" s="17" t="s">
        <v>233</v>
      </c>
      <c r="M1000" s="231">
        <v>5868</v>
      </c>
      <c r="N1000" s="232">
        <v>5796.7624799999994</v>
      </c>
      <c r="O1000" s="132">
        <v>263</v>
      </c>
      <c r="P1000" s="231" t="s">
        <v>239</v>
      </c>
      <c r="Q1000" s="232">
        <v>324.67349999999999</v>
      </c>
      <c r="R1000" s="231" t="s">
        <v>239</v>
      </c>
      <c r="S1000" s="232">
        <v>400.80943574999998</v>
      </c>
      <c r="T1000" s="231" t="s">
        <v>239</v>
      </c>
      <c r="U1000" s="232">
        <v>494.79924843337494</v>
      </c>
      <c r="V1000" s="230" t="s">
        <v>239</v>
      </c>
      <c r="W1000" s="232">
        <v>610.82967219100135</v>
      </c>
      <c r="X1000" s="231" t="s">
        <v>239</v>
      </c>
      <c r="Y1000" s="232">
        <v>754.06923031979113</v>
      </c>
      <c r="Z1000" s="231" t="s">
        <v>239</v>
      </c>
      <c r="AA1000" s="232">
        <v>930.89846482978214</v>
      </c>
      <c r="AB1000" s="231" t="s">
        <v>239</v>
      </c>
      <c r="AC1000" s="232">
        <v>1149.1941548323659</v>
      </c>
      <c r="AD1000" s="231" t="s">
        <v>239</v>
      </c>
      <c r="AE1000" s="232">
        <v>1418.6801841405556</v>
      </c>
      <c r="AF1000" s="231" t="s">
        <v>239</v>
      </c>
      <c r="AG1000" s="232">
        <v>1751.3606873215158</v>
      </c>
      <c r="AH1000" s="231" t="s">
        <v>239</v>
      </c>
      <c r="AI1000" s="232">
        <v>2162.0547684984112</v>
      </c>
      <c r="AJ1000" s="231" t="s">
        <v>239</v>
      </c>
      <c r="AK1000" s="232">
        <v>2669.0566117112885</v>
      </c>
      <c r="AL1000" s="232" t="s">
        <v>239</v>
      </c>
      <c r="AM1000" s="232">
        <v>12929.425958028087</v>
      </c>
    </row>
    <row r="1001" spans="1:39" ht="15.75" outlineLevel="1">
      <c r="A1001" s="411">
        <v>496</v>
      </c>
      <c r="B1001" s="10">
        <v>129496</v>
      </c>
      <c r="C1001" s="218" t="s">
        <v>1489</v>
      </c>
      <c r="D1001" s="218" t="s">
        <v>1490</v>
      </c>
      <c r="E1001" s="23" t="s">
        <v>44</v>
      </c>
      <c r="F1001" s="17" t="s">
        <v>45</v>
      </c>
      <c r="G1001" s="11" t="s">
        <v>1432</v>
      </c>
      <c r="H1001" s="12">
        <v>5</v>
      </c>
      <c r="I1001" s="11" t="s">
        <v>1433</v>
      </c>
      <c r="J1001" s="193" t="s">
        <v>208</v>
      </c>
      <c r="K1001" s="17" t="s">
        <v>233</v>
      </c>
      <c r="L1001" s="17" t="s">
        <v>233</v>
      </c>
      <c r="M1001" s="231">
        <v>46</v>
      </c>
      <c r="N1001" s="231">
        <v>46</v>
      </c>
      <c r="O1001" s="231">
        <v>46</v>
      </c>
      <c r="P1001" s="231" t="s">
        <v>239</v>
      </c>
      <c r="Q1001" s="231">
        <v>46</v>
      </c>
      <c r="R1001" s="231" t="s">
        <v>239</v>
      </c>
      <c r="S1001" s="231">
        <v>46</v>
      </c>
      <c r="T1001" s="231" t="s">
        <v>239</v>
      </c>
      <c r="U1001" s="231">
        <v>46</v>
      </c>
      <c r="V1001" s="231" t="s">
        <v>239</v>
      </c>
      <c r="W1001" s="231">
        <v>46</v>
      </c>
      <c r="X1001" s="231" t="s">
        <v>239</v>
      </c>
      <c r="Y1001" s="231">
        <v>46</v>
      </c>
      <c r="Z1001" s="231" t="s">
        <v>239</v>
      </c>
      <c r="AA1001" s="231">
        <v>46</v>
      </c>
      <c r="AB1001" s="231" t="s">
        <v>239</v>
      </c>
      <c r="AC1001" s="231">
        <v>46</v>
      </c>
      <c r="AD1001" s="231" t="s">
        <v>239</v>
      </c>
      <c r="AE1001" s="231">
        <v>46</v>
      </c>
      <c r="AF1001" s="231" t="s">
        <v>239</v>
      </c>
      <c r="AG1001" s="231">
        <v>46</v>
      </c>
      <c r="AH1001" s="231" t="s">
        <v>239</v>
      </c>
      <c r="AI1001" s="231">
        <v>46</v>
      </c>
      <c r="AJ1001" s="231" t="s">
        <v>239</v>
      </c>
      <c r="AK1001" s="231">
        <v>46</v>
      </c>
      <c r="AL1001" s="232" t="s">
        <v>239</v>
      </c>
      <c r="AM1001" s="232">
        <v>0</v>
      </c>
    </row>
    <row r="1002" spans="1:39" ht="15.75" outlineLevel="1">
      <c r="A1002" s="412"/>
      <c r="B1002" s="10">
        <v>129496</v>
      </c>
      <c r="C1002" s="218" t="s">
        <v>1489</v>
      </c>
      <c r="D1002" s="218" t="s">
        <v>1490</v>
      </c>
      <c r="E1002" s="23" t="s">
        <v>44</v>
      </c>
      <c r="F1002" s="17" t="s">
        <v>45</v>
      </c>
      <c r="G1002" s="11" t="s">
        <v>1432</v>
      </c>
      <c r="H1002" s="12">
        <v>24</v>
      </c>
      <c r="I1002" s="11" t="s">
        <v>1433</v>
      </c>
      <c r="J1002" s="193" t="s">
        <v>1452</v>
      </c>
      <c r="K1002" s="17" t="s">
        <v>233</v>
      </c>
      <c r="L1002" s="17" t="s">
        <v>233</v>
      </c>
      <c r="M1002" s="231">
        <v>24036</v>
      </c>
      <c r="N1002" s="232">
        <v>23744.202959999999</v>
      </c>
      <c r="O1002" s="132">
        <v>1022</v>
      </c>
      <c r="P1002" s="231" t="s">
        <v>239</v>
      </c>
      <c r="Q1002" s="232">
        <v>1261.6589999999999</v>
      </c>
      <c r="R1002" s="231" t="s">
        <v>239</v>
      </c>
      <c r="S1002" s="232">
        <v>1557.5180354999998</v>
      </c>
      <c r="T1002" s="231" t="s">
        <v>239</v>
      </c>
      <c r="U1002" s="232">
        <v>1922.7560148247496</v>
      </c>
      <c r="V1002" s="231" t="s">
        <v>239</v>
      </c>
      <c r="W1002" s="232">
        <v>2373.6423003011532</v>
      </c>
      <c r="X1002" s="231" t="s">
        <v>239</v>
      </c>
      <c r="Y1002" s="232">
        <v>2930.2614197217736</v>
      </c>
      <c r="Z1002" s="231" t="s">
        <v>239</v>
      </c>
      <c r="AA1002" s="232">
        <v>3617.4077226465292</v>
      </c>
      <c r="AB1002" s="231" t="s">
        <v>239</v>
      </c>
      <c r="AC1002" s="232">
        <v>4465.6898336071399</v>
      </c>
      <c r="AD1002" s="231" t="s">
        <v>239</v>
      </c>
      <c r="AE1002" s="232">
        <v>5512.8940995880139</v>
      </c>
      <c r="AF1002" s="231" t="s">
        <v>239</v>
      </c>
      <c r="AG1002" s="232">
        <v>6805.6677659414026</v>
      </c>
      <c r="AH1002" s="231" t="s">
        <v>239</v>
      </c>
      <c r="AI1002" s="232">
        <v>8401.5968570546611</v>
      </c>
      <c r="AJ1002" s="231" t="s">
        <v>239</v>
      </c>
      <c r="AK1002" s="232">
        <v>10371.771320033979</v>
      </c>
      <c r="AL1002" s="232" t="s">
        <v>239</v>
      </c>
      <c r="AM1002" s="232">
        <v>50242.864369219402</v>
      </c>
    </row>
    <row r="1003" spans="1:39" ht="15.75" outlineLevel="1">
      <c r="A1003" s="411">
        <v>497</v>
      </c>
      <c r="B1003" s="10">
        <v>129497</v>
      </c>
      <c r="C1003" s="218" t="s">
        <v>1489</v>
      </c>
      <c r="D1003" s="218" t="s">
        <v>1490</v>
      </c>
      <c r="E1003" s="23" t="s">
        <v>138</v>
      </c>
      <c r="F1003" s="17" t="s">
        <v>45</v>
      </c>
      <c r="G1003" s="11" t="s">
        <v>1432</v>
      </c>
      <c r="H1003" s="12">
        <v>10</v>
      </c>
      <c r="I1003" s="11" t="s">
        <v>1433</v>
      </c>
      <c r="J1003" s="193" t="s">
        <v>216</v>
      </c>
      <c r="K1003" s="17" t="s">
        <v>233</v>
      </c>
      <c r="L1003" s="17" t="s">
        <v>233</v>
      </c>
      <c r="M1003" s="231">
        <v>40</v>
      </c>
      <c r="N1003" s="231">
        <v>40</v>
      </c>
      <c r="O1003" s="231">
        <v>40</v>
      </c>
      <c r="P1003" s="231" t="s">
        <v>239</v>
      </c>
      <c r="Q1003" s="231">
        <v>40</v>
      </c>
      <c r="R1003" s="231" t="s">
        <v>239</v>
      </c>
      <c r="S1003" s="231">
        <v>40</v>
      </c>
      <c r="T1003" s="231" t="s">
        <v>239</v>
      </c>
      <c r="U1003" s="231">
        <v>40</v>
      </c>
      <c r="V1003" s="230" t="s">
        <v>239</v>
      </c>
      <c r="W1003" s="231">
        <v>40</v>
      </c>
      <c r="X1003" s="231" t="s">
        <v>239</v>
      </c>
      <c r="Y1003" s="231">
        <v>40</v>
      </c>
      <c r="Z1003" s="231" t="s">
        <v>239</v>
      </c>
      <c r="AA1003" s="231">
        <v>40</v>
      </c>
      <c r="AB1003" s="231" t="s">
        <v>239</v>
      </c>
      <c r="AC1003" s="231">
        <v>40</v>
      </c>
      <c r="AD1003" s="231" t="s">
        <v>239</v>
      </c>
      <c r="AE1003" s="231">
        <v>40</v>
      </c>
      <c r="AF1003" s="231" t="s">
        <v>239</v>
      </c>
      <c r="AG1003" s="231">
        <v>40</v>
      </c>
      <c r="AH1003" s="231" t="s">
        <v>239</v>
      </c>
      <c r="AI1003" s="231">
        <v>40</v>
      </c>
      <c r="AJ1003" s="231" t="s">
        <v>239</v>
      </c>
      <c r="AK1003" s="231">
        <v>40</v>
      </c>
      <c r="AL1003" s="232" t="s">
        <v>239</v>
      </c>
      <c r="AM1003" s="232">
        <v>0</v>
      </c>
    </row>
    <row r="1004" spans="1:39" ht="15.75" outlineLevel="1">
      <c r="A1004" s="412"/>
      <c r="B1004" s="10">
        <v>129497</v>
      </c>
      <c r="C1004" s="218" t="s">
        <v>1489</v>
      </c>
      <c r="D1004" s="218" t="s">
        <v>1490</v>
      </c>
      <c r="E1004" s="23" t="s">
        <v>44</v>
      </c>
      <c r="F1004" s="17" t="s">
        <v>45</v>
      </c>
      <c r="G1004" s="11" t="s">
        <v>1432</v>
      </c>
      <c r="H1004" s="12">
        <v>17</v>
      </c>
      <c r="I1004" s="11" t="s">
        <v>1433</v>
      </c>
      <c r="J1004" s="193" t="s">
        <v>1453</v>
      </c>
      <c r="K1004" s="17" t="s">
        <v>233</v>
      </c>
      <c r="L1004" s="17" t="s">
        <v>233</v>
      </c>
      <c r="M1004" s="231">
        <v>16440</v>
      </c>
      <c r="N1004" s="232">
        <v>16240.418399999999</v>
      </c>
      <c r="O1004" s="132">
        <v>757</v>
      </c>
      <c r="P1004" s="231" t="s">
        <v>239</v>
      </c>
      <c r="Q1004" s="232">
        <v>934.51649999999995</v>
      </c>
      <c r="R1004" s="231" t="s">
        <v>239</v>
      </c>
      <c r="S1004" s="232">
        <v>1153.6606192499999</v>
      </c>
      <c r="T1004" s="231" t="s">
        <v>239</v>
      </c>
      <c r="U1004" s="232">
        <v>1424.1940344641248</v>
      </c>
      <c r="V1004" s="231" t="s">
        <v>239</v>
      </c>
      <c r="W1004" s="232">
        <v>1758.167535545962</v>
      </c>
      <c r="X1004" s="231" t="s">
        <v>239</v>
      </c>
      <c r="Y1004" s="232">
        <v>2170.4578226314898</v>
      </c>
      <c r="Z1004" s="231" t="s">
        <v>239</v>
      </c>
      <c r="AA1004" s="232">
        <v>2679.430182038574</v>
      </c>
      <c r="AB1004" s="231" t="s">
        <v>239</v>
      </c>
      <c r="AC1004" s="232">
        <v>3307.7565597266193</v>
      </c>
      <c r="AD1004" s="231" t="s">
        <v>239</v>
      </c>
      <c r="AE1004" s="232">
        <v>4083.4254729825116</v>
      </c>
      <c r="AF1004" s="231" t="s">
        <v>239</v>
      </c>
      <c r="AG1004" s="232">
        <v>5040.9887463969098</v>
      </c>
      <c r="AH1004" s="231" t="s">
        <v>239</v>
      </c>
      <c r="AI1004" s="232">
        <v>6223.1006074269844</v>
      </c>
      <c r="AJ1004" s="231" t="s">
        <v>239</v>
      </c>
      <c r="AK1004" s="232">
        <v>7682.4176998686116</v>
      </c>
      <c r="AL1004" s="232" t="s">
        <v>239</v>
      </c>
      <c r="AM1004" s="232">
        <v>37215.115780331784</v>
      </c>
    </row>
    <row r="1005" spans="1:39" ht="15.75" outlineLevel="1">
      <c r="A1005" s="411">
        <v>498</v>
      </c>
      <c r="B1005" s="10">
        <v>129498</v>
      </c>
      <c r="C1005" s="218" t="s">
        <v>1489</v>
      </c>
      <c r="D1005" s="218" t="s">
        <v>1490</v>
      </c>
      <c r="E1005" s="23" t="s">
        <v>138</v>
      </c>
      <c r="F1005" s="17" t="s">
        <v>45</v>
      </c>
      <c r="G1005" s="11" t="s">
        <v>1432</v>
      </c>
      <c r="H1005" s="12">
        <v>32</v>
      </c>
      <c r="I1005" s="11" t="s">
        <v>1433</v>
      </c>
      <c r="J1005" s="193" t="s">
        <v>1454</v>
      </c>
      <c r="K1005" s="17" t="s">
        <v>233</v>
      </c>
      <c r="L1005" s="17" t="s">
        <v>233</v>
      </c>
      <c r="M1005" s="231">
        <v>117</v>
      </c>
      <c r="N1005" s="231">
        <v>117</v>
      </c>
      <c r="O1005" s="231">
        <v>117</v>
      </c>
      <c r="P1005" s="231" t="s">
        <v>239</v>
      </c>
      <c r="Q1005" s="231">
        <v>117</v>
      </c>
      <c r="R1005" s="231" t="s">
        <v>239</v>
      </c>
      <c r="S1005" s="231">
        <v>117</v>
      </c>
      <c r="T1005" s="231" t="s">
        <v>239</v>
      </c>
      <c r="U1005" s="231">
        <v>117</v>
      </c>
      <c r="V1005" s="231" t="s">
        <v>239</v>
      </c>
      <c r="W1005" s="231">
        <v>117</v>
      </c>
      <c r="X1005" s="231" t="s">
        <v>239</v>
      </c>
      <c r="Y1005" s="231">
        <v>117</v>
      </c>
      <c r="Z1005" s="231" t="s">
        <v>239</v>
      </c>
      <c r="AA1005" s="231">
        <v>117</v>
      </c>
      <c r="AB1005" s="231" t="s">
        <v>239</v>
      </c>
      <c r="AC1005" s="231">
        <v>117</v>
      </c>
      <c r="AD1005" s="231" t="s">
        <v>239</v>
      </c>
      <c r="AE1005" s="231">
        <v>117</v>
      </c>
      <c r="AF1005" s="231" t="s">
        <v>239</v>
      </c>
      <c r="AG1005" s="231">
        <v>117</v>
      </c>
      <c r="AH1005" s="231" t="s">
        <v>239</v>
      </c>
      <c r="AI1005" s="231">
        <v>117</v>
      </c>
      <c r="AJ1005" s="231" t="s">
        <v>239</v>
      </c>
      <c r="AK1005" s="231">
        <v>117</v>
      </c>
      <c r="AL1005" s="232" t="s">
        <v>239</v>
      </c>
      <c r="AM1005" s="232">
        <v>0</v>
      </c>
    </row>
    <row r="1006" spans="1:39" ht="15.75" outlineLevel="1">
      <c r="A1006" s="412"/>
      <c r="B1006" s="10">
        <v>129498</v>
      </c>
      <c r="C1006" s="218" t="s">
        <v>1489</v>
      </c>
      <c r="D1006" s="218" t="s">
        <v>1490</v>
      </c>
      <c r="E1006" s="23" t="s">
        <v>44</v>
      </c>
      <c r="F1006" s="17" t="s">
        <v>45</v>
      </c>
      <c r="G1006" s="11" t="s">
        <v>1432</v>
      </c>
      <c r="H1006" s="12">
        <v>8</v>
      </c>
      <c r="I1006" s="11" t="s">
        <v>1433</v>
      </c>
      <c r="J1006" s="191" t="s">
        <v>216</v>
      </c>
      <c r="K1006" s="17" t="s">
        <v>233</v>
      </c>
      <c r="L1006" s="17" t="s">
        <v>233</v>
      </c>
      <c r="M1006" s="231">
        <v>32551</v>
      </c>
      <c r="N1006" s="232">
        <v>32155.830859999998</v>
      </c>
      <c r="O1006" s="132">
        <v>414</v>
      </c>
      <c r="P1006" s="231" t="s">
        <v>239</v>
      </c>
      <c r="Q1006" s="232">
        <v>511.08299999999997</v>
      </c>
      <c r="R1006" s="231" t="s">
        <v>239</v>
      </c>
      <c r="S1006" s="232">
        <v>630.93196349999994</v>
      </c>
      <c r="T1006" s="231" t="s">
        <v>239</v>
      </c>
      <c r="U1006" s="232">
        <v>778.8855089407499</v>
      </c>
      <c r="V1006" s="230" t="s">
        <v>239</v>
      </c>
      <c r="W1006" s="232">
        <v>961.53416078735575</v>
      </c>
      <c r="X1006" s="231" t="s">
        <v>239</v>
      </c>
      <c r="Y1006" s="232">
        <v>1187.0139214919907</v>
      </c>
      <c r="Z1006" s="231" t="s">
        <v>239</v>
      </c>
      <c r="AA1006" s="232">
        <v>1465.3686860818625</v>
      </c>
      <c r="AB1006" s="231" t="s">
        <v>239</v>
      </c>
      <c r="AC1006" s="232">
        <v>1808.9976429680592</v>
      </c>
      <c r="AD1006" s="231" t="s">
        <v>239</v>
      </c>
      <c r="AE1006" s="232">
        <v>2233.2075902440688</v>
      </c>
      <c r="AF1006" s="231" t="s">
        <v>239</v>
      </c>
      <c r="AG1006" s="232">
        <v>2756.8947701563029</v>
      </c>
      <c r="AH1006" s="231" t="s">
        <v>239</v>
      </c>
      <c r="AI1006" s="232">
        <v>3403.3865937579558</v>
      </c>
      <c r="AJ1006" s="231" t="s">
        <v>239</v>
      </c>
      <c r="AK1006" s="232">
        <v>4201.4807499941962</v>
      </c>
      <c r="AL1006" s="232" t="s">
        <v>239</v>
      </c>
      <c r="AM1006" s="232">
        <v>20352.784587922542</v>
      </c>
    </row>
    <row r="1007" spans="1:39" ht="15.75" outlineLevel="1">
      <c r="A1007" s="411">
        <v>499</v>
      </c>
      <c r="B1007" s="10">
        <v>129499</v>
      </c>
      <c r="C1007" s="218" t="s">
        <v>1489</v>
      </c>
      <c r="D1007" s="218" t="s">
        <v>1490</v>
      </c>
      <c r="E1007" s="23" t="s">
        <v>44</v>
      </c>
      <c r="F1007" s="17" t="s">
        <v>45</v>
      </c>
      <c r="G1007" s="11" t="s">
        <v>1432</v>
      </c>
      <c r="H1007" s="12">
        <v>12</v>
      </c>
      <c r="I1007" s="11" t="s">
        <v>1433</v>
      </c>
      <c r="J1007" s="192" t="s">
        <v>1434</v>
      </c>
      <c r="K1007" s="17" t="s">
        <v>233</v>
      </c>
      <c r="L1007" s="17" t="s">
        <v>233</v>
      </c>
      <c r="M1007" s="231">
        <v>43</v>
      </c>
      <c r="N1007" s="231">
        <v>43</v>
      </c>
      <c r="O1007" s="231">
        <v>43</v>
      </c>
      <c r="P1007" s="231" t="s">
        <v>239</v>
      </c>
      <c r="Q1007" s="231">
        <v>43</v>
      </c>
      <c r="R1007" s="231" t="s">
        <v>239</v>
      </c>
      <c r="S1007" s="231">
        <v>43</v>
      </c>
      <c r="T1007" s="231" t="s">
        <v>239</v>
      </c>
      <c r="U1007" s="231">
        <v>43</v>
      </c>
      <c r="V1007" s="231" t="s">
        <v>239</v>
      </c>
      <c r="W1007" s="231">
        <v>43</v>
      </c>
      <c r="X1007" s="231" t="s">
        <v>239</v>
      </c>
      <c r="Y1007" s="231">
        <v>43</v>
      </c>
      <c r="Z1007" s="231" t="s">
        <v>239</v>
      </c>
      <c r="AA1007" s="231">
        <v>43</v>
      </c>
      <c r="AB1007" s="231" t="s">
        <v>239</v>
      </c>
      <c r="AC1007" s="231">
        <v>43</v>
      </c>
      <c r="AD1007" s="231" t="s">
        <v>239</v>
      </c>
      <c r="AE1007" s="231">
        <v>43</v>
      </c>
      <c r="AF1007" s="231" t="s">
        <v>239</v>
      </c>
      <c r="AG1007" s="231">
        <v>43</v>
      </c>
      <c r="AH1007" s="231" t="s">
        <v>239</v>
      </c>
      <c r="AI1007" s="231">
        <v>43</v>
      </c>
      <c r="AJ1007" s="231" t="s">
        <v>239</v>
      </c>
      <c r="AK1007" s="231">
        <v>43</v>
      </c>
      <c r="AL1007" s="232" t="s">
        <v>239</v>
      </c>
      <c r="AM1007" s="232">
        <v>0</v>
      </c>
    </row>
    <row r="1008" spans="1:39" ht="15.75" outlineLevel="1">
      <c r="A1008" s="412"/>
      <c r="B1008" s="10">
        <v>129499</v>
      </c>
      <c r="C1008" s="218" t="s">
        <v>1489</v>
      </c>
      <c r="D1008" s="218" t="s">
        <v>1490</v>
      </c>
      <c r="E1008" s="23" t="s">
        <v>138</v>
      </c>
      <c r="F1008" s="17" t="s">
        <v>45</v>
      </c>
      <c r="G1008" s="11" t="s">
        <v>1432</v>
      </c>
      <c r="H1008" s="12">
        <v>18</v>
      </c>
      <c r="I1008" s="11" t="s">
        <v>1433</v>
      </c>
      <c r="J1008" s="192" t="s">
        <v>1480</v>
      </c>
      <c r="K1008" s="17" t="s">
        <v>233</v>
      </c>
      <c r="L1008" s="17" t="s">
        <v>233</v>
      </c>
      <c r="M1008" s="231">
        <v>9723</v>
      </c>
      <c r="N1008" s="232">
        <v>9604.9627799999998</v>
      </c>
      <c r="O1008" s="132">
        <v>148</v>
      </c>
      <c r="P1008" s="231" t="s">
        <v>239</v>
      </c>
      <c r="Q1008" s="232">
        <v>182.70599999999999</v>
      </c>
      <c r="R1008" s="231" t="s">
        <v>239</v>
      </c>
      <c r="S1008" s="232">
        <v>225.55055699999997</v>
      </c>
      <c r="T1008" s="231" t="s">
        <v>239</v>
      </c>
      <c r="U1008" s="232">
        <v>278.44216261649996</v>
      </c>
      <c r="V1008" s="231" t="s">
        <v>239</v>
      </c>
      <c r="W1008" s="232">
        <v>343.73684975006915</v>
      </c>
      <c r="X1008" s="231" t="s">
        <v>239</v>
      </c>
      <c r="Y1008" s="232">
        <v>424.34314101646032</v>
      </c>
      <c r="Z1008" s="231" t="s">
        <v>239</v>
      </c>
      <c r="AA1008" s="232">
        <v>523.85160758482027</v>
      </c>
      <c r="AB1008" s="231" t="s">
        <v>239</v>
      </c>
      <c r="AC1008" s="232">
        <v>646.69480956346058</v>
      </c>
      <c r="AD1008" s="231" t="s">
        <v>239</v>
      </c>
      <c r="AE1008" s="232">
        <v>798.344742406092</v>
      </c>
      <c r="AF1008" s="231" t="s">
        <v>239</v>
      </c>
      <c r="AG1008" s="232">
        <v>985.55658450032047</v>
      </c>
      <c r="AH1008" s="231" t="s">
        <v>239</v>
      </c>
      <c r="AI1008" s="232">
        <v>1216.6696035656455</v>
      </c>
      <c r="AJ1008" s="231" t="s">
        <v>239</v>
      </c>
      <c r="AK1008" s="232">
        <v>1501.9786256017892</v>
      </c>
      <c r="AL1008" s="232" t="s">
        <v>239</v>
      </c>
      <c r="AM1008" s="232">
        <v>7275.874683605156</v>
      </c>
    </row>
    <row r="1009" spans="1:39" ht="15.75" outlineLevel="1">
      <c r="A1009" s="411">
        <v>500</v>
      </c>
      <c r="B1009" s="10">
        <v>129500</v>
      </c>
      <c r="C1009" s="218" t="s">
        <v>1489</v>
      </c>
      <c r="D1009" s="218" t="s">
        <v>1490</v>
      </c>
      <c r="E1009" s="23" t="s">
        <v>44</v>
      </c>
      <c r="F1009" s="17" t="s">
        <v>45</v>
      </c>
      <c r="G1009" s="11" t="s">
        <v>1432</v>
      </c>
      <c r="H1009" s="12">
        <v>17</v>
      </c>
      <c r="I1009" s="11" t="s">
        <v>1433</v>
      </c>
      <c r="J1009" s="192" t="s">
        <v>1452</v>
      </c>
      <c r="K1009" s="17" t="s">
        <v>233</v>
      </c>
      <c r="L1009" s="17" t="s">
        <v>233</v>
      </c>
      <c r="M1009" s="231">
        <v>36</v>
      </c>
      <c r="N1009" s="231">
        <v>36</v>
      </c>
      <c r="O1009" s="231">
        <v>36</v>
      </c>
      <c r="P1009" s="231" t="s">
        <v>239</v>
      </c>
      <c r="Q1009" s="231">
        <v>36</v>
      </c>
      <c r="R1009" s="231" t="s">
        <v>239</v>
      </c>
      <c r="S1009" s="231">
        <v>36</v>
      </c>
      <c r="T1009" s="231" t="s">
        <v>239</v>
      </c>
      <c r="U1009" s="231">
        <v>36</v>
      </c>
      <c r="V1009" s="230" t="s">
        <v>239</v>
      </c>
      <c r="W1009" s="231">
        <v>36</v>
      </c>
      <c r="X1009" s="231" t="s">
        <v>239</v>
      </c>
      <c r="Y1009" s="231">
        <v>36</v>
      </c>
      <c r="Z1009" s="231" t="s">
        <v>239</v>
      </c>
      <c r="AA1009" s="231">
        <v>36</v>
      </c>
      <c r="AB1009" s="231" t="s">
        <v>239</v>
      </c>
      <c r="AC1009" s="231">
        <v>36</v>
      </c>
      <c r="AD1009" s="231" t="s">
        <v>239</v>
      </c>
      <c r="AE1009" s="231">
        <v>36</v>
      </c>
      <c r="AF1009" s="231" t="s">
        <v>239</v>
      </c>
      <c r="AG1009" s="231">
        <v>36</v>
      </c>
      <c r="AH1009" s="231" t="s">
        <v>239</v>
      </c>
      <c r="AI1009" s="231">
        <v>36</v>
      </c>
      <c r="AJ1009" s="231" t="s">
        <v>239</v>
      </c>
      <c r="AK1009" s="231">
        <v>36</v>
      </c>
      <c r="AL1009" s="232" t="s">
        <v>239</v>
      </c>
      <c r="AM1009" s="232">
        <v>0</v>
      </c>
    </row>
    <row r="1010" spans="1:39" ht="15.75" outlineLevel="1">
      <c r="A1010" s="412"/>
      <c r="B1010" s="10">
        <v>129500</v>
      </c>
      <c r="C1010" s="218" t="s">
        <v>1489</v>
      </c>
      <c r="D1010" s="218" t="s">
        <v>1490</v>
      </c>
      <c r="E1010" s="23" t="s">
        <v>138</v>
      </c>
      <c r="F1010" s="17" t="s">
        <v>45</v>
      </c>
      <c r="G1010" s="11" t="s">
        <v>1432</v>
      </c>
      <c r="H1010" s="12">
        <v>25</v>
      </c>
      <c r="I1010" s="11" t="s">
        <v>1433</v>
      </c>
      <c r="J1010" s="374" t="s">
        <v>207</v>
      </c>
      <c r="K1010" s="17" t="s">
        <v>233</v>
      </c>
      <c r="L1010" s="17" t="s">
        <v>233</v>
      </c>
      <c r="M1010" s="231">
        <v>6488</v>
      </c>
      <c r="N1010" s="232">
        <v>6409.2356799999998</v>
      </c>
      <c r="O1010" s="132">
        <v>304</v>
      </c>
      <c r="P1010" s="231" t="s">
        <v>239</v>
      </c>
      <c r="Q1010" s="232">
        <v>375.28799999999995</v>
      </c>
      <c r="R1010" s="231" t="s">
        <v>239</v>
      </c>
      <c r="S1010" s="232">
        <v>463.29303599999992</v>
      </c>
      <c r="T1010" s="231" t="s">
        <v>239</v>
      </c>
      <c r="U1010" s="232">
        <v>571.93525294199992</v>
      </c>
      <c r="V1010" s="231" t="s">
        <v>239</v>
      </c>
      <c r="W1010" s="232">
        <v>706.05406975689891</v>
      </c>
      <c r="X1010" s="231" t="s">
        <v>239</v>
      </c>
      <c r="Y1010" s="232">
        <v>871.62374911489167</v>
      </c>
      <c r="Z1010" s="231" t="s">
        <v>239</v>
      </c>
      <c r="AA1010" s="232">
        <v>1076.0195182823336</v>
      </c>
      <c r="AB1010" s="231" t="s">
        <v>239</v>
      </c>
      <c r="AC1010" s="232">
        <v>1328.3460953195408</v>
      </c>
      <c r="AD1010" s="231" t="s">
        <v>239</v>
      </c>
      <c r="AE1010" s="232">
        <v>1639.843254671973</v>
      </c>
      <c r="AF1010" s="231" t="s">
        <v>239</v>
      </c>
      <c r="AG1010" s="232">
        <v>2024.3864978925506</v>
      </c>
      <c r="AH1010" s="231" t="s">
        <v>239</v>
      </c>
      <c r="AI1010" s="232">
        <v>2499.1051316483536</v>
      </c>
      <c r="AJ1010" s="231" t="s">
        <v>239</v>
      </c>
      <c r="AK1010" s="232">
        <v>3085.1452850198925</v>
      </c>
      <c r="AL1010" s="232" t="s">
        <v>239</v>
      </c>
      <c r="AM1010" s="232">
        <v>14945.039890648435</v>
      </c>
    </row>
    <row r="1011" spans="1:39" ht="15.75" outlineLevel="1">
      <c r="A1011" s="411">
        <v>501</v>
      </c>
      <c r="B1011" s="10">
        <v>129501</v>
      </c>
      <c r="C1011" s="218" t="s">
        <v>1489</v>
      </c>
      <c r="D1011" s="218" t="s">
        <v>1490</v>
      </c>
      <c r="E1011" s="23" t="s">
        <v>44</v>
      </c>
      <c r="F1011" s="17" t="s">
        <v>45</v>
      </c>
      <c r="G1011" s="11" t="s">
        <v>1432</v>
      </c>
      <c r="H1011" s="12">
        <v>13</v>
      </c>
      <c r="I1011" s="11" t="s">
        <v>1433</v>
      </c>
      <c r="J1011" s="375"/>
      <c r="K1011" s="17" t="s">
        <v>233</v>
      </c>
      <c r="L1011" s="17" t="s">
        <v>233</v>
      </c>
      <c r="M1011" s="231">
        <v>65</v>
      </c>
      <c r="N1011" s="231">
        <v>65</v>
      </c>
      <c r="O1011" s="231">
        <v>65</v>
      </c>
      <c r="P1011" s="231" t="s">
        <v>239</v>
      </c>
      <c r="Q1011" s="231">
        <v>65</v>
      </c>
      <c r="R1011" s="231" t="s">
        <v>239</v>
      </c>
      <c r="S1011" s="231">
        <v>65</v>
      </c>
      <c r="T1011" s="231" t="s">
        <v>239</v>
      </c>
      <c r="U1011" s="231">
        <v>65</v>
      </c>
      <c r="V1011" s="231" t="s">
        <v>239</v>
      </c>
      <c r="W1011" s="231">
        <v>65</v>
      </c>
      <c r="X1011" s="231" t="s">
        <v>239</v>
      </c>
      <c r="Y1011" s="231">
        <v>65</v>
      </c>
      <c r="Z1011" s="231" t="s">
        <v>239</v>
      </c>
      <c r="AA1011" s="231">
        <v>65</v>
      </c>
      <c r="AB1011" s="231" t="s">
        <v>239</v>
      </c>
      <c r="AC1011" s="231">
        <v>65</v>
      </c>
      <c r="AD1011" s="231" t="s">
        <v>239</v>
      </c>
      <c r="AE1011" s="231">
        <v>65</v>
      </c>
      <c r="AF1011" s="231" t="s">
        <v>239</v>
      </c>
      <c r="AG1011" s="231">
        <v>65</v>
      </c>
      <c r="AH1011" s="231" t="s">
        <v>239</v>
      </c>
      <c r="AI1011" s="231">
        <v>65</v>
      </c>
      <c r="AJ1011" s="231" t="s">
        <v>239</v>
      </c>
      <c r="AK1011" s="231">
        <v>65</v>
      </c>
      <c r="AL1011" s="232" t="s">
        <v>239</v>
      </c>
      <c r="AM1011" s="232">
        <v>0</v>
      </c>
    </row>
    <row r="1012" spans="1:39" ht="15.75" outlineLevel="1">
      <c r="A1012" s="412"/>
      <c r="B1012" s="10">
        <v>129501</v>
      </c>
      <c r="C1012" s="218" t="s">
        <v>1489</v>
      </c>
      <c r="D1012" s="218" t="s">
        <v>1490</v>
      </c>
      <c r="E1012" s="23" t="s">
        <v>44</v>
      </c>
      <c r="F1012" s="17" t="s">
        <v>45</v>
      </c>
      <c r="G1012" s="11" t="s">
        <v>1432</v>
      </c>
      <c r="H1012" s="12">
        <v>5</v>
      </c>
      <c r="I1012" s="11" t="s">
        <v>1433</v>
      </c>
      <c r="J1012" s="193" t="s">
        <v>1460</v>
      </c>
      <c r="K1012" s="17" t="s">
        <v>233</v>
      </c>
      <c r="L1012" s="17" t="s">
        <v>233</v>
      </c>
      <c r="M1012" s="231">
        <v>46774</v>
      </c>
      <c r="N1012" s="232">
        <v>46206.163639999999</v>
      </c>
      <c r="O1012" s="132">
        <v>677</v>
      </c>
      <c r="P1012" s="231" t="s">
        <v>239</v>
      </c>
      <c r="Q1012" s="232">
        <v>835.75649999999996</v>
      </c>
      <c r="R1012" s="231" t="s">
        <v>239</v>
      </c>
      <c r="S1012" s="232">
        <v>1031.7413992499999</v>
      </c>
      <c r="T1012" s="231" t="s">
        <v>239</v>
      </c>
      <c r="U1012" s="232">
        <v>1273.6847573741247</v>
      </c>
      <c r="V1012" s="230" t="s">
        <v>239</v>
      </c>
      <c r="W1012" s="232">
        <v>1572.3638329783569</v>
      </c>
      <c r="X1012" s="231" t="s">
        <v>239</v>
      </c>
      <c r="Y1012" s="232">
        <v>1941.0831518117814</v>
      </c>
      <c r="Z1012" s="231" t="s">
        <v>239</v>
      </c>
      <c r="AA1012" s="232">
        <v>2396.267150911644</v>
      </c>
      <c r="AB1012" s="231" t="s">
        <v>239</v>
      </c>
      <c r="AC1012" s="232">
        <v>2958.1917978004244</v>
      </c>
      <c r="AD1012" s="231" t="s">
        <v>239</v>
      </c>
      <c r="AE1012" s="232">
        <v>3651.8877743846238</v>
      </c>
      <c r="AF1012" s="231" t="s">
        <v>239</v>
      </c>
      <c r="AG1012" s="232">
        <v>4508.2554574778178</v>
      </c>
      <c r="AH1012" s="231" t="s">
        <v>239</v>
      </c>
      <c r="AI1012" s="232">
        <v>5565.4413622563661</v>
      </c>
      <c r="AJ1012" s="231" t="s">
        <v>239</v>
      </c>
      <c r="AK1012" s="232">
        <v>6870.5373617054838</v>
      </c>
      <c r="AL1012" s="232" t="s">
        <v>239</v>
      </c>
      <c r="AM1012" s="232">
        <v>33282.21054595062</v>
      </c>
    </row>
    <row r="1013" spans="1:39" ht="15.75" outlineLevel="1">
      <c r="A1013" s="411">
        <v>502</v>
      </c>
      <c r="B1013" s="10">
        <v>129502</v>
      </c>
      <c r="C1013" s="218" t="s">
        <v>1489</v>
      </c>
      <c r="D1013" s="218" t="s">
        <v>1490</v>
      </c>
      <c r="E1013" s="23" t="s">
        <v>138</v>
      </c>
      <c r="F1013" s="17" t="s">
        <v>45</v>
      </c>
      <c r="G1013" s="11" t="s">
        <v>1432</v>
      </c>
      <c r="H1013" s="12">
        <v>4</v>
      </c>
      <c r="I1013" s="11" t="s">
        <v>1433</v>
      </c>
      <c r="J1013" s="193" t="s">
        <v>1451</v>
      </c>
      <c r="K1013" s="17" t="s">
        <v>233</v>
      </c>
      <c r="L1013" s="17" t="s">
        <v>233</v>
      </c>
      <c r="M1013" s="231">
        <v>53</v>
      </c>
      <c r="N1013" s="231">
        <v>53</v>
      </c>
      <c r="O1013" s="231">
        <v>53</v>
      </c>
      <c r="P1013" s="231" t="s">
        <v>239</v>
      </c>
      <c r="Q1013" s="231">
        <v>53</v>
      </c>
      <c r="R1013" s="231" t="s">
        <v>239</v>
      </c>
      <c r="S1013" s="231">
        <v>53</v>
      </c>
      <c r="T1013" s="231" t="s">
        <v>239</v>
      </c>
      <c r="U1013" s="231">
        <v>53</v>
      </c>
      <c r="V1013" s="231" t="s">
        <v>239</v>
      </c>
      <c r="W1013" s="231">
        <v>53</v>
      </c>
      <c r="X1013" s="231" t="s">
        <v>239</v>
      </c>
      <c r="Y1013" s="231">
        <v>53</v>
      </c>
      <c r="Z1013" s="231" t="s">
        <v>239</v>
      </c>
      <c r="AA1013" s="231">
        <v>53</v>
      </c>
      <c r="AB1013" s="231" t="s">
        <v>239</v>
      </c>
      <c r="AC1013" s="231">
        <v>53</v>
      </c>
      <c r="AD1013" s="231" t="s">
        <v>239</v>
      </c>
      <c r="AE1013" s="231">
        <v>53</v>
      </c>
      <c r="AF1013" s="231" t="s">
        <v>239</v>
      </c>
      <c r="AG1013" s="231">
        <v>53</v>
      </c>
      <c r="AH1013" s="231" t="s">
        <v>239</v>
      </c>
      <c r="AI1013" s="231">
        <v>53</v>
      </c>
      <c r="AJ1013" s="231" t="s">
        <v>239</v>
      </c>
      <c r="AK1013" s="231">
        <v>53</v>
      </c>
      <c r="AL1013" s="232" t="s">
        <v>239</v>
      </c>
      <c r="AM1013" s="232">
        <v>0</v>
      </c>
    </row>
    <row r="1014" spans="1:39" ht="15.75" outlineLevel="1">
      <c r="A1014" s="412"/>
      <c r="B1014" s="10">
        <v>129502</v>
      </c>
      <c r="C1014" s="218" t="s">
        <v>1489</v>
      </c>
      <c r="D1014" s="218" t="s">
        <v>1490</v>
      </c>
      <c r="E1014" s="23" t="s">
        <v>44</v>
      </c>
      <c r="F1014" s="17" t="s">
        <v>45</v>
      </c>
      <c r="G1014" s="11" t="s">
        <v>1432</v>
      </c>
      <c r="H1014" s="12">
        <v>18</v>
      </c>
      <c r="I1014" s="11" t="s">
        <v>1433</v>
      </c>
      <c r="J1014" s="193" t="s">
        <v>208</v>
      </c>
      <c r="K1014" s="17" t="s">
        <v>233</v>
      </c>
      <c r="L1014" s="17" t="s">
        <v>233</v>
      </c>
      <c r="M1014" s="231">
        <v>26601</v>
      </c>
      <c r="N1014" s="232">
        <v>26278.063859999998</v>
      </c>
      <c r="O1014" s="132">
        <v>590</v>
      </c>
      <c r="P1014" s="231" t="s">
        <v>239</v>
      </c>
      <c r="Q1014" s="232">
        <v>728.3549999999999</v>
      </c>
      <c r="R1014" s="231" t="s">
        <v>239</v>
      </c>
      <c r="S1014" s="232">
        <v>899.15424749999988</v>
      </c>
      <c r="T1014" s="231" t="s">
        <v>239</v>
      </c>
      <c r="U1014" s="232">
        <v>1110.0059185387497</v>
      </c>
      <c r="V1014" s="231" t="s">
        <v>239</v>
      </c>
      <c r="W1014" s="232">
        <v>1370.3023064360864</v>
      </c>
      <c r="X1014" s="231" t="s">
        <v>239</v>
      </c>
      <c r="Y1014" s="232">
        <v>1691.6381972953486</v>
      </c>
      <c r="Z1014" s="231" t="s">
        <v>239</v>
      </c>
      <c r="AA1014" s="232">
        <v>2088.3273545611078</v>
      </c>
      <c r="AB1014" s="231" t="s">
        <v>239</v>
      </c>
      <c r="AC1014" s="232">
        <v>2578.0401192056875</v>
      </c>
      <c r="AD1014" s="231" t="s">
        <v>239</v>
      </c>
      <c r="AE1014" s="232">
        <v>3182.5905271594211</v>
      </c>
      <c r="AF1014" s="231" t="s">
        <v>239</v>
      </c>
      <c r="AG1014" s="232">
        <v>3928.9080057783049</v>
      </c>
      <c r="AH1014" s="231" t="s">
        <v>239</v>
      </c>
      <c r="AI1014" s="232">
        <v>4850.2369331333175</v>
      </c>
      <c r="AJ1014" s="231" t="s">
        <v>239</v>
      </c>
      <c r="AK1014" s="232">
        <v>5987.6174939530802</v>
      </c>
      <c r="AL1014" s="232" t="s">
        <v>239</v>
      </c>
      <c r="AM1014" s="232">
        <v>29005.176103561102</v>
      </c>
    </row>
    <row r="1015" spans="1:39" ht="15.75" outlineLevel="1">
      <c r="A1015" s="411">
        <v>503</v>
      </c>
      <c r="B1015" s="10">
        <v>129503</v>
      </c>
      <c r="C1015" s="218" t="s">
        <v>1489</v>
      </c>
      <c r="D1015" s="218" t="s">
        <v>1490</v>
      </c>
      <c r="E1015" s="23" t="s">
        <v>138</v>
      </c>
      <c r="F1015" s="17" t="s">
        <v>45</v>
      </c>
      <c r="G1015" s="11" t="s">
        <v>1432</v>
      </c>
      <c r="H1015" s="12">
        <v>17</v>
      </c>
      <c r="I1015" s="11" t="s">
        <v>1433</v>
      </c>
      <c r="J1015" s="193" t="s">
        <v>1452</v>
      </c>
      <c r="K1015" s="17" t="s">
        <v>233</v>
      </c>
      <c r="L1015" s="17" t="s">
        <v>233</v>
      </c>
      <c r="M1015" s="231">
        <v>58</v>
      </c>
      <c r="N1015" s="231">
        <v>58</v>
      </c>
      <c r="O1015" s="231">
        <v>58</v>
      </c>
      <c r="P1015" s="231" t="s">
        <v>239</v>
      </c>
      <c r="Q1015" s="231">
        <v>58</v>
      </c>
      <c r="R1015" s="231" t="s">
        <v>239</v>
      </c>
      <c r="S1015" s="231">
        <v>58</v>
      </c>
      <c r="T1015" s="231" t="s">
        <v>239</v>
      </c>
      <c r="U1015" s="231">
        <v>58</v>
      </c>
      <c r="V1015" s="230" t="s">
        <v>239</v>
      </c>
      <c r="W1015" s="231">
        <v>58</v>
      </c>
      <c r="X1015" s="231" t="s">
        <v>239</v>
      </c>
      <c r="Y1015" s="231">
        <v>58</v>
      </c>
      <c r="Z1015" s="231" t="s">
        <v>239</v>
      </c>
      <c r="AA1015" s="231">
        <v>58</v>
      </c>
      <c r="AB1015" s="231" t="s">
        <v>239</v>
      </c>
      <c r="AC1015" s="231">
        <v>58</v>
      </c>
      <c r="AD1015" s="231" t="s">
        <v>239</v>
      </c>
      <c r="AE1015" s="231">
        <v>58</v>
      </c>
      <c r="AF1015" s="231" t="s">
        <v>239</v>
      </c>
      <c r="AG1015" s="231">
        <v>58</v>
      </c>
      <c r="AH1015" s="231" t="s">
        <v>239</v>
      </c>
      <c r="AI1015" s="231">
        <v>58</v>
      </c>
      <c r="AJ1015" s="231" t="s">
        <v>239</v>
      </c>
      <c r="AK1015" s="231">
        <v>58</v>
      </c>
      <c r="AL1015" s="232" t="s">
        <v>239</v>
      </c>
      <c r="AM1015" s="232">
        <v>0</v>
      </c>
    </row>
    <row r="1016" spans="1:39" ht="15.75" outlineLevel="1">
      <c r="A1016" s="412"/>
      <c r="B1016" s="10">
        <v>129503</v>
      </c>
      <c r="C1016" s="218" t="s">
        <v>1489</v>
      </c>
      <c r="D1016" s="218" t="s">
        <v>1490</v>
      </c>
      <c r="E1016" s="23" t="s">
        <v>44</v>
      </c>
      <c r="F1016" s="17" t="s">
        <v>45</v>
      </c>
      <c r="G1016" s="11" t="s">
        <v>1432</v>
      </c>
      <c r="H1016" s="12">
        <v>28</v>
      </c>
      <c r="I1016" s="11" t="s">
        <v>1433</v>
      </c>
      <c r="J1016" s="193" t="s">
        <v>216</v>
      </c>
      <c r="K1016" s="17" t="s">
        <v>233</v>
      </c>
      <c r="L1016" s="17" t="s">
        <v>233</v>
      </c>
      <c r="M1016" s="231">
        <v>18101</v>
      </c>
      <c r="N1016" s="232">
        <v>17881.253860000001</v>
      </c>
      <c r="O1016" s="132">
        <v>670</v>
      </c>
      <c r="P1016" s="231" t="s">
        <v>239</v>
      </c>
      <c r="Q1016" s="232">
        <v>827.11500000000001</v>
      </c>
      <c r="R1016" s="231" t="s">
        <v>239</v>
      </c>
      <c r="S1016" s="232">
        <v>1021.0734675</v>
      </c>
      <c r="T1016" s="231" t="s">
        <v>239</v>
      </c>
      <c r="U1016" s="232">
        <v>1260.51519562875</v>
      </c>
      <c r="V1016" s="231" t="s">
        <v>239</v>
      </c>
      <c r="W1016" s="232">
        <v>1556.1060090036917</v>
      </c>
      <c r="X1016" s="231" t="s">
        <v>239</v>
      </c>
      <c r="Y1016" s="232">
        <v>1921.0128681150572</v>
      </c>
      <c r="Z1016" s="231" t="s">
        <v>239</v>
      </c>
      <c r="AA1016" s="232">
        <v>2371.4903856880383</v>
      </c>
      <c r="AB1016" s="231" t="s">
        <v>239</v>
      </c>
      <c r="AC1016" s="232">
        <v>2927.6048811318828</v>
      </c>
      <c r="AD1016" s="231" t="s">
        <v>239</v>
      </c>
      <c r="AE1016" s="232">
        <v>3614.1282257573093</v>
      </c>
      <c r="AF1016" s="231" t="s">
        <v>239</v>
      </c>
      <c r="AG1016" s="232">
        <v>4461.6412946973978</v>
      </c>
      <c r="AH1016" s="231" t="s">
        <v>239</v>
      </c>
      <c r="AI1016" s="232">
        <v>5507.8961783039376</v>
      </c>
      <c r="AJ1016" s="231" t="s">
        <v>239</v>
      </c>
      <c r="AK1016" s="232">
        <v>6799.4978321162107</v>
      </c>
      <c r="AL1016" s="232" t="s">
        <v>239</v>
      </c>
      <c r="AM1016" s="232">
        <v>32938.081337942276</v>
      </c>
    </row>
    <row r="1017" spans="1:39" ht="15.75" outlineLevel="1">
      <c r="A1017" s="411">
        <v>504</v>
      </c>
      <c r="B1017" s="10">
        <v>129504</v>
      </c>
      <c r="C1017" s="218" t="s">
        <v>1489</v>
      </c>
      <c r="D1017" s="218" t="s">
        <v>1490</v>
      </c>
      <c r="E1017" s="23" t="s">
        <v>44</v>
      </c>
      <c r="F1017" s="17" t="s">
        <v>45</v>
      </c>
      <c r="G1017" s="11" t="s">
        <v>1432</v>
      </c>
      <c r="H1017" s="12">
        <v>33</v>
      </c>
      <c r="I1017" s="11" t="s">
        <v>1433</v>
      </c>
      <c r="J1017" s="193" t="s">
        <v>1453</v>
      </c>
      <c r="K1017" s="17" t="s">
        <v>233</v>
      </c>
      <c r="L1017" s="17" t="s">
        <v>233</v>
      </c>
      <c r="M1017" s="231">
        <v>0.7</v>
      </c>
      <c r="N1017" s="231">
        <v>0.7</v>
      </c>
      <c r="O1017" s="231">
        <v>0.7</v>
      </c>
      <c r="P1017" s="231" t="s">
        <v>239</v>
      </c>
      <c r="Q1017" s="231">
        <v>0.7</v>
      </c>
      <c r="R1017" s="231" t="s">
        <v>239</v>
      </c>
      <c r="S1017" s="231">
        <v>0.7</v>
      </c>
      <c r="T1017" s="231" t="s">
        <v>239</v>
      </c>
      <c r="U1017" s="231">
        <v>0.7</v>
      </c>
      <c r="V1017" s="231" t="s">
        <v>239</v>
      </c>
      <c r="W1017" s="231">
        <v>0.7</v>
      </c>
      <c r="X1017" s="231" t="s">
        <v>239</v>
      </c>
      <c r="Y1017" s="231">
        <v>0.7</v>
      </c>
      <c r="Z1017" s="231" t="s">
        <v>239</v>
      </c>
      <c r="AA1017" s="231">
        <v>0.7</v>
      </c>
      <c r="AB1017" s="231" t="s">
        <v>239</v>
      </c>
      <c r="AC1017" s="231">
        <v>0.7</v>
      </c>
      <c r="AD1017" s="231" t="s">
        <v>239</v>
      </c>
      <c r="AE1017" s="231">
        <v>0.7</v>
      </c>
      <c r="AF1017" s="231" t="s">
        <v>239</v>
      </c>
      <c r="AG1017" s="231">
        <v>0.7</v>
      </c>
      <c r="AH1017" s="231" t="s">
        <v>239</v>
      </c>
      <c r="AI1017" s="231">
        <v>0.7</v>
      </c>
      <c r="AJ1017" s="231" t="s">
        <v>239</v>
      </c>
      <c r="AK1017" s="231">
        <v>0.7</v>
      </c>
      <c r="AL1017" s="232" t="s">
        <v>239</v>
      </c>
      <c r="AM1017" s="232">
        <v>0</v>
      </c>
    </row>
    <row r="1018" spans="1:39" ht="15.75" outlineLevel="1">
      <c r="A1018" s="412"/>
      <c r="B1018" s="10">
        <v>129504</v>
      </c>
      <c r="C1018" s="218" t="s">
        <v>1489</v>
      </c>
      <c r="D1018" s="218" t="s">
        <v>1490</v>
      </c>
      <c r="E1018" s="23" t="s">
        <v>44</v>
      </c>
      <c r="F1018" s="17" t="s">
        <v>45</v>
      </c>
      <c r="G1018" s="11" t="s">
        <v>1432</v>
      </c>
      <c r="H1018" s="12">
        <v>24</v>
      </c>
      <c r="I1018" s="11" t="s">
        <v>1433</v>
      </c>
      <c r="J1018" s="193" t="s">
        <v>1454</v>
      </c>
      <c r="K1018" s="17" t="s">
        <v>233</v>
      </c>
      <c r="L1018" s="17" t="s">
        <v>233</v>
      </c>
      <c r="M1018" s="231">
        <v>1904</v>
      </c>
      <c r="N1018" s="232">
        <v>1880.88544</v>
      </c>
      <c r="O1018" s="132"/>
      <c r="P1018" s="231" t="s">
        <v>239</v>
      </c>
      <c r="Q1018" s="232">
        <v>0</v>
      </c>
      <c r="R1018" s="231" t="s">
        <v>239</v>
      </c>
      <c r="S1018" s="232">
        <v>0</v>
      </c>
      <c r="T1018" s="231" t="s">
        <v>239</v>
      </c>
      <c r="U1018" s="232">
        <v>0</v>
      </c>
      <c r="V1018" s="230" t="s">
        <v>239</v>
      </c>
      <c r="W1018" s="232">
        <v>0</v>
      </c>
      <c r="X1018" s="231" t="s">
        <v>239</v>
      </c>
      <c r="Y1018" s="232">
        <v>0</v>
      </c>
      <c r="Z1018" s="231" t="s">
        <v>239</v>
      </c>
      <c r="AA1018" s="232">
        <v>0</v>
      </c>
      <c r="AB1018" s="231" t="s">
        <v>239</v>
      </c>
      <c r="AC1018" s="232">
        <v>0</v>
      </c>
      <c r="AD1018" s="231" t="s">
        <v>239</v>
      </c>
      <c r="AE1018" s="232">
        <v>0</v>
      </c>
      <c r="AF1018" s="231" t="s">
        <v>239</v>
      </c>
      <c r="AG1018" s="232">
        <v>0</v>
      </c>
      <c r="AH1018" s="231" t="s">
        <v>239</v>
      </c>
      <c r="AI1018" s="232">
        <v>0</v>
      </c>
      <c r="AJ1018" s="231" t="s">
        <v>239</v>
      </c>
      <c r="AK1018" s="232">
        <v>0</v>
      </c>
      <c r="AL1018" s="232" t="s">
        <v>239</v>
      </c>
      <c r="AM1018" s="232">
        <v>0</v>
      </c>
    </row>
    <row r="1019" spans="1:39" ht="15.75" outlineLevel="1">
      <c r="A1019" s="411">
        <v>505</v>
      </c>
      <c r="B1019" s="10">
        <v>129505</v>
      </c>
      <c r="C1019" s="218" t="s">
        <v>1489</v>
      </c>
      <c r="D1019" s="218" t="s">
        <v>1490</v>
      </c>
      <c r="E1019" s="23" t="s">
        <v>138</v>
      </c>
      <c r="F1019" s="17" t="s">
        <v>45</v>
      </c>
      <c r="G1019" s="11" t="s">
        <v>1432</v>
      </c>
      <c r="H1019" s="12">
        <v>10</v>
      </c>
      <c r="I1019" s="11" t="s">
        <v>1433</v>
      </c>
      <c r="J1019" s="191" t="s">
        <v>216</v>
      </c>
      <c r="K1019" s="17" t="s">
        <v>233</v>
      </c>
      <c r="L1019" s="17" t="s">
        <v>233</v>
      </c>
      <c r="M1019" s="231">
        <v>43</v>
      </c>
      <c r="N1019" s="231">
        <v>43</v>
      </c>
      <c r="O1019" s="231">
        <v>43</v>
      </c>
      <c r="P1019" s="231" t="s">
        <v>239</v>
      </c>
      <c r="Q1019" s="231">
        <v>43</v>
      </c>
      <c r="R1019" s="231" t="s">
        <v>239</v>
      </c>
      <c r="S1019" s="231">
        <v>43</v>
      </c>
      <c r="T1019" s="231" t="s">
        <v>239</v>
      </c>
      <c r="U1019" s="231">
        <v>43</v>
      </c>
      <c r="V1019" s="231" t="s">
        <v>239</v>
      </c>
      <c r="W1019" s="231">
        <v>43</v>
      </c>
      <c r="X1019" s="231" t="s">
        <v>239</v>
      </c>
      <c r="Y1019" s="231">
        <v>43</v>
      </c>
      <c r="Z1019" s="231" t="s">
        <v>239</v>
      </c>
      <c r="AA1019" s="231">
        <v>43</v>
      </c>
      <c r="AB1019" s="231" t="s">
        <v>239</v>
      </c>
      <c r="AC1019" s="231">
        <v>43</v>
      </c>
      <c r="AD1019" s="231" t="s">
        <v>239</v>
      </c>
      <c r="AE1019" s="231">
        <v>43</v>
      </c>
      <c r="AF1019" s="231" t="s">
        <v>239</v>
      </c>
      <c r="AG1019" s="231">
        <v>43</v>
      </c>
      <c r="AH1019" s="231" t="s">
        <v>239</v>
      </c>
      <c r="AI1019" s="231">
        <v>43</v>
      </c>
      <c r="AJ1019" s="231" t="s">
        <v>239</v>
      </c>
      <c r="AK1019" s="231">
        <v>43</v>
      </c>
      <c r="AL1019" s="232" t="s">
        <v>239</v>
      </c>
      <c r="AM1019" s="232">
        <v>0</v>
      </c>
    </row>
    <row r="1020" spans="1:39" ht="15.75" outlineLevel="1">
      <c r="A1020" s="412"/>
      <c r="B1020" s="10">
        <v>129505</v>
      </c>
      <c r="C1020" s="218" t="s">
        <v>1489</v>
      </c>
      <c r="D1020" s="218" t="s">
        <v>1490</v>
      </c>
      <c r="E1020" s="23" t="s">
        <v>44</v>
      </c>
      <c r="F1020" s="17" t="s">
        <v>45</v>
      </c>
      <c r="G1020" s="11" t="s">
        <v>1432</v>
      </c>
      <c r="H1020" s="12">
        <v>17</v>
      </c>
      <c r="I1020" s="11" t="s">
        <v>1433</v>
      </c>
      <c r="J1020" s="192" t="s">
        <v>1434</v>
      </c>
      <c r="K1020" s="17" t="s">
        <v>233</v>
      </c>
      <c r="L1020" s="17" t="s">
        <v>233</v>
      </c>
      <c r="M1020" s="231">
        <v>6781</v>
      </c>
      <c r="N1020" s="232">
        <v>6698.6786599999996</v>
      </c>
      <c r="O1020" s="132">
        <v>1180</v>
      </c>
      <c r="P1020" s="231" t="s">
        <v>239</v>
      </c>
      <c r="Q1020" s="232">
        <v>1180</v>
      </c>
      <c r="R1020" s="231" t="s">
        <v>239</v>
      </c>
      <c r="S1020" s="232">
        <v>1050</v>
      </c>
      <c r="T1020" s="231" t="s">
        <v>239</v>
      </c>
      <c r="U1020" s="232">
        <v>1065</v>
      </c>
      <c r="V1020" s="231" t="s">
        <v>239</v>
      </c>
      <c r="W1020" s="232">
        <v>947</v>
      </c>
      <c r="X1020" s="231" t="s">
        <v>239</v>
      </c>
      <c r="Y1020" s="232">
        <v>758</v>
      </c>
      <c r="Z1020" s="231" t="s">
        <v>239</v>
      </c>
      <c r="AA1020" s="232">
        <v>512</v>
      </c>
      <c r="AB1020" s="231" t="s">
        <v>239</v>
      </c>
      <c r="AC1020" s="232">
        <v>313</v>
      </c>
      <c r="AD1020" s="231" t="s">
        <v>239</v>
      </c>
      <c r="AE1020" s="232">
        <v>255</v>
      </c>
      <c r="AF1020" s="231" t="s">
        <v>239</v>
      </c>
      <c r="AG1020" s="232">
        <v>391</v>
      </c>
      <c r="AH1020" s="231" t="s">
        <v>239</v>
      </c>
      <c r="AI1020" s="232">
        <v>412</v>
      </c>
      <c r="AJ1020" s="231" t="s">
        <v>239</v>
      </c>
      <c r="AK1020" s="232">
        <v>465</v>
      </c>
      <c r="AL1020" s="232" t="s">
        <v>239</v>
      </c>
      <c r="AM1020" s="232">
        <v>8528</v>
      </c>
    </row>
    <row r="1021" spans="1:39" ht="15.75" outlineLevel="1">
      <c r="A1021" s="411">
        <v>506</v>
      </c>
      <c r="B1021" s="10">
        <v>129506</v>
      </c>
      <c r="C1021" s="218" t="s">
        <v>1489</v>
      </c>
      <c r="D1021" s="218" t="s">
        <v>1490</v>
      </c>
      <c r="E1021" s="23" t="s">
        <v>138</v>
      </c>
      <c r="F1021" s="17" t="s">
        <v>45</v>
      </c>
      <c r="G1021" s="11" t="s">
        <v>1432</v>
      </c>
      <c r="H1021" s="12">
        <v>32</v>
      </c>
      <c r="I1021" s="11" t="s">
        <v>1433</v>
      </c>
      <c r="J1021" s="192" t="s">
        <v>1480</v>
      </c>
      <c r="K1021" s="17" t="s">
        <v>233</v>
      </c>
      <c r="L1021" s="17" t="s">
        <v>233</v>
      </c>
      <c r="M1021" s="231">
        <v>0.8</v>
      </c>
      <c r="N1021" s="231">
        <v>0.8</v>
      </c>
      <c r="O1021" s="231">
        <v>0.8</v>
      </c>
      <c r="P1021" s="231" t="s">
        <v>239</v>
      </c>
      <c r="Q1021" s="231">
        <v>0.8</v>
      </c>
      <c r="R1021" s="231" t="s">
        <v>239</v>
      </c>
      <c r="S1021" s="231">
        <v>0.8</v>
      </c>
      <c r="T1021" s="231" t="s">
        <v>239</v>
      </c>
      <c r="U1021" s="231">
        <v>0.8</v>
      </c>
      <c r="V1021" s="230" t="s">
        <v>239</v>
      </c>
      <c r="W1021" s="231">
        <v>0.8</v>
      </c>
      <c r="X1021" s="231" t="s">
        <v>239</v>
      </c>
      <c r="Y1021" s="231">
        <v>0.8</v>
      </c>
      <c r="Z1021" s="231" t="s">
        <v>239</v>
      </c>
      <c r="AA1021" s="231">
        <v>0.8</v>
      </c>
      <c r="AB1021" s="231" t="s">
        <v>239</v>
      </c>
      <c r="AC1021" s="231">
        <v>0.8</v>
      </c>
      <c r="AD1021" s="231" t="s">
        <v>239</v>
      </c>
      <c r="AE1021" s="231">
        <v>0.8</v>
      </c>
      <c r="AF1021" s="231" t="s">
        <v>239</v>
      </c>
      <c r="AG1021" s="231">
        <v>0.8</v>
      </c>
      <c r="AH1021" s="231" t="s">
        <v>239</v>
      </c>
      <c r="AI1021" s="231">
        <v>0.8</v>
      </c>
      <c r="AJ1021" s="231" t="s">
        <v>239</v>
      </c>
      <c r="AK1021" s="231">
        <v>0.8</v>
      </c>
      <c r="AL1021" s="232" t="s">
        <v>239</v>
      </c>
      <c r="AM1021" s="232">
        <v>0</v>
      </c>
    </row>
    <row r="1022" spans="1:39" ht="15.75" outlineLevel="1">
      <c r="A1022" s="412"/>
      <c r="B1022" s="10">
        <v>129506</v>
      </c>
      <c r="C1022" s="218" t="s">
        <v>1489</v>
      </c>
      <c r="D1022" s="218" t="s">
        <v>1490</v>
      </c>
      <c r="E1022" s="23" t="s">
        <v>44</v>
      </c>
      <c r="F1022" s="17" t="s">
        <v>45</v>
      </c>
      <c r="G1022" s="11" t="s">
        <v>1432</v>
      </c>
      <c r="H1022" s="12">
        <v>8</v>
      </c>
      <c r="I1022" s="11" t="s">
        <v>1433</v>
      </c>
      <c r="J1022" s="192" t="s">
        <v>1452</v>
      </c>
      <c r="K1022" s="17" t="s">
        <v>233</v>
      </c>
      <c r="L1022" s="17" t="s">
        <v>233</v>
      </c>
      <c r="M1022" s="231">
        <v>4449</v>
      </c>
      <c r="N1022" s="232">
        <v>4394.9891399999997</v>
      </c>
      <c r="O1022" s="132">
        <v>891</v>
      </c>
      <c r="P1022" s="231" t="s">
        <v>239</v>
      </c>
      <c r="Q1022" s="232">
        <v>891</v>
      </c>
      <c r="R1022" s="231" t="s">
        <v>239</v>
      </c>
      <c r="S1022" s="232">
        <v>868</v>
      </c>
      <c r="T1022" s="231" t="s">
        <v>239</v>
      </c>
      <c r="U1022" s="232">
        <v>879</v>
      </c>
      <c r="V1022" s="231" t="s">
        <v>239</v>
      </c>
      <c r="W1022" s="232">
        <v>910</v>
      </c>
      <c r="X1022" s="231" t="s">
        <v>239</v>
      </c>
      <c r="Y1022" s="232">
        <v>859</v>
      </c>
      <c r="Z1022" s="231" t="s">
        <v>239</v>
      </c>
      <c r="AA1022" s="232">
        <v>848</v>
      </c>
      <c r="AB1022" s="231" t="s">
        <v>239</v>
      </c>
      <c r="AC1022" s="232">
        <v>812</v>
      </c>
      <c r="AD1022" s="231" t="s">
        <v>239</v>
      </c>
      <c r="AE1022" s="232">
        <v>749</v>
      </c>
      <c r="AF1022" s="231" t="s">
        <v>239</v>
      </c>
      <c r="AG1022" s="232">
        <v>908</v>
      </c>
      <c r="AH1022" s="231" t="s">
        <v>239</v>
      </c>
      <c r="AI1022" s="232">
        <v>850</v>
      </c>
      <c r="AJ1022" s="231" t="s">
        <v>239</v>
      </c>
      <c r="AK1022" s="232">
        <v>850</v>
      </c>
      <c r="AL1022" s="232" t="s">
        <v>239</v>
      </c>
      <c r="AM1022" s="232">
        <v>10315</v>
      </c>
    </row>
    <row r="1023" spans="1:39" ht="15.75" outlineLevel="1">
      <c r="A1023" s="411">
        <v>507</v>
      </c>
      <c r="B1023" s="10">
        <v>129507</v>
      </c>
      <c r="C1023" s="218" t="s">
        <v>1489</v>
      </c>
      <c r="D1023" s="218" t="s">
        <v>1490</v>
      </c>
      <c r="E1023" s="23" t="s">
        <v>44</v>
      </c>
      <c r="F1023" s="17" t="s">
        <v>45</v>
      </c>
      <c r="G1023" s="11" t="s">
        <v>1432</v>
      </c>
      <c r="H1023" s="12">
        <v>12</v>
      </c>
      <c r="I1023" s="11" t="s">
        <v>1433</v>
      </c>
      <c r="J1023" s="374" t="s">
        <v>207</v>
      </c>
      <c r="K1023" s="17" t="s">
        <v>233</v>
      </c>
      <c r="L1023" s="17" t="s">
        <v>233</v>
      </c>
      <c r="M1023" s="231">
        <v>17</v>
      </c>
      <c r="N1023" s="231">
        <v>17</v>
      </c>
      <c r="O1023" s="231">
        <v>17</v>
      </c>
      <c r="P1023" s="231" t="s">
        <v>239</v>
      </c>
      <c r="Q1023" s="231">
        <v>17</v>
      </c>
      <c r="R1023" s="231" t="s">
        <v>239</v>
      </c>
      <c r="S1023" s="231">
        <v>17</v>
      </c>
      <c r="T1023" s="231" t="s">
        <v>239</v>
      </c>
      <c r="U1023" s="231">
        <v>17</v>
      </c>
      <c r="V1023" s="231" t="s">
        <v>239</v>
      </c>
      <c r="W1023" s="231">
        <v>17</v>
      </c>
      <c r="X1023" s="231" t="s">
        <v>239</v>
      </c>
      <c r="Y1023" s="231">
        <v>17</v>
      </c>
      <c r="Z1023" s="231" t="s">
        <v>239</v>
      </c>
      <c r="AA1023" s="231">
        <v>17</v>
      </c>
      <c r="AB1023" s="231" t="s">
        <v>239</v>
      </c>
      <c r="AC1023" s="231">
        <v>17</v>
      </c>
      <c r="AD1023" s="231" t="s">
        <v>239</v>
      </c>
      <c r="AE1023" s="231">
        <v>17</v>
      </c>
      <c r="AF1023" s="231" t="s">
        <v>239</v>
      </c>
      <c r="AG1023" s="231">
        <v>17</v>
      </c>
      <c r="AH1023" s="231" t="s">
        <v>239</v>
      </c>
      <c r="AI1023" s="231">
        <v>17</v>
      </c>
      <c r="AJ1023" s="231" t="s">
        <v>239</v>
      </c>
      <c r="AK1023" s="231">
        <v>17</v>
      </c>
      <c r="AL1023" s="232" t="s">
        <v>239</v>
      </c>
      <c r="AM1023" s="232">
        <v>0</v>
      </c>
    </row>
    <row r="1024" spans="1:39" ht="15.75" outlineLevel="1">
      <c r="A1024" s="412"/>
      <c r="B1024" s="10">
        <v>129507</v>
      </c>
      <c r="C1024" s="218" t="s">
        <v>1489</v>
      </c>
      <c r="D1024" s="218" t="s">
        <v>1490</v>
      </c>
      <c r="E1024" s="23" t="s">
        <v>138</v>
      </c>
      <c r="F1024" s="17" t="s">
        <v>45</v>
      </c>
      <c r="G1024" s="11" t="s">
        <v>1432</v>
      </c>
      <c r="H1024" s="12">
        <v>18</v>
      </c>
      <c r="I1024" s="11" t="s">
        <v>1433</v>
      </c>
      <c r="J1024" s="375"/>
      <c r="K1024" s="17" t="s">
        <v>233</v>
      </c>
      <c r="L1024" s="17" t="s">
        <v>233</v>
      </c>
      <c r="M1024" s="231">
        <v>7689</v>
      </c>
      <c r="N1024" s="232">
        <v>7595.6555399999997</v>
      </c>
      <c r="O1024" s="132">
        <v>691</v>
      </c>
      <c r="P1024" s="231" t="s">
        <v>239</v>
      </c>
      <c r="Q1024" s="232">
        <v>691</v>
      </c>
      <c r="R1024" s="231" t="s">
        <v>239</v>
      </c>
      <c r="S1024" s="232">
        <v>612</v>
      </c>
      <c r="T1024" s="231" t="s">
        <v>239</v>
      </c>
      <c r="U1024" s="232">
        <v>561</v>
      </c>
      <c r="V1024" s="230" t="s">
        <v>239</v>
      </c>
      <c r="W1024" s="232">
        <v>435</v>
      </c>
      <c r="X1024" s="231" t="s">
        <v>239</v>
      </c>
      <c r="Y1024" s="232">
        <v>154</v>
      </c>
      <c r="Z1024" s="231" t="s">
        <v>239</v>
      </c>
      <c r="AA1024" s="232">
        <v>590</v>
      </c>
      <c r="AB1024" s="231" t="s">
        <v>239</v>
      </c>
      <c r="AC1024" s="232">
        <v>439</v>
      </c>
      <c r="AD1024" s="231" t="s">
        <v>239</v>
      </c>
      <c r="AE1024" s="232">
        <v>369</v>
      </c>
      <c r="AF1024" s="231" t="s">
        <v>239</v>
      </c>
      <c r="AG1024" s="232">
        <v>154</v>
      </c>
      <c r="AH1024" s="231" t="s">
        <v>239</v>
      </c>
      <c r="AI1024" s="232">
        <v>179</v>
      </c>
      <c r="AJ1024" s="231" t="s">
        <v>239</v>
      </c>
      <c r="AK1024" s="232">
        <v>756</v>
      </c>
      <c r="AL1024" s="232" t="s">
        <v>239</v>
      </c>
      <c r="AM1024" s="232">
        <v>5631</v>
      </c>
    </row>
    <row r="1025" spans="1:39" ht="15.75" outlineLevel="1">
      <c r="A1025" s="411">
        <v>508</v>
      </c>
      <c r="B1025" s="10">
        <v>129508</v>
      </c>
      <c r="C1025" s="218" t="s">
        <v>1489</v>
      </c>
      <c r="D1025" s="218" t="s">
        <v>1490</v>
      </c>
      <c r="E1025" s="23" t="s">
        <v>44</v>
      </c>
      <c r="F1025" s="17" t="s">
        <v>45</v>
      </c>
      <c r="G1025" s="11" t="s">
        <v>1432</v>
      </c>
      <c r="H1025" s="12">
        <v>17</v>
      </c>
      <c r="I1025" s="11" t="s">
        <v>1433</v>
      </c>
      <c r="J1025" s="193" t="s">
        <v>1460</v>
      </c>
      <c r="K1025" s="17" t="s">
        <v>233</v>
      </c>
      <c r="L1025" s="17" t="s">
        <v>233</v>
      </c>
      <c r="M1025" s="231">
        <v>17</v>
      </c>
      <c r="N1025" s="231">
        <v>17</v>
      </c>
      <c r="O1025" s="231">
        <v>17</v>
      </c>
      <c r="P1025" s="231" t="s">
        <v>239</v>
      </c>
      <c r="Q1025" s="231">
        <v>17</v>
      </c>
      <c r="R1025" s="231" t="s">
        <v>239</v>
      </c>
      <c r="S1025" s="231">
        <v>17</v>
      </c>
      <c r="T1025" s="231" t="s">
        <v>239</v>
      </c>
      <c r="U1025" s="231">
        <v>17</v>
      </c>
      <c r="V1025" s="231" t="s">
        <v>239</v>
      </c>
      <c r="W1025" s="231">
        <v>17</v>
      </c>
      <c r="X1025" s="231" t="s">
        <v>239</v>
      </c>
      <c r="Y1025" s="231">
        <v>17</v>
      </c>
      <c r="Z1025" s="231" t="s">
        <v>239</v>
      </c>
      <c r="AA1025" s="231">
        <v>17</v>
      </c>
      <c r="AB1025" s="231" t="s">
        <v>239</v>
      </c>
      <c r="AC1025" s="231">
        <v>17</v>
      </c>
      <c r="AD1025" s="231" t="s">
        <v>239</v>
      </c>
      <c r="AE1025" s="231">
        <v>17</v>
      </c>
      <c r="AF1025" s="231" t="s">
        <v>239</v>
      </c>
      <c r="AG1025" s="231">
        <v>17</v>
      </c>
      <c r="AH1025" s="231" t="s">
        <v>239</v>
      </c>
      <c r="AI1025" s="231">
        <v>17</v>
      </c>
      <c r="AJ1025" s="231" t="s">
        <v>239</v>
      </c>
      <c r="AK1025" s="231">
        <v>17</v>
      </c>
      <c r="AL1025" s="232" t="s">
        <v>239</v>
      </c>
      <c r="AM1025" s="232">
        <v>0</v>
      </c>
    </row>
    <row r="1026" spans="1:39" ht="15.75" outlineLevel="1">
      <c r="A1026" s="412"/>
      <c r="B1026" s="10">
        <v>129508</v>
      </c>
      <c r="C1026" s="218" t="s">
        <v>1489</v>
      </c>
      <c r="D1026" s="218" t="s">
        <v>1490</v>
      </c>
      <c r="E1026" s="23" t="s">
        <v>138</v>
      </c>
      <c r="F1026" s="17" t="s">
        <v>45</v>
      </c>
      <c r="G1026" s="11" t="s">
        <v>1432</v>
      </c>
      <c r="H1026" s="12">
        <v>25</v>
      </c>
      <c r="I1026" s="11" t="s">
        <v>1433</v>
      </c>
      <c r="J1026" s="193" t="s">
        <v>1442</v>
      </c>
      <c r="K1026" s="17" t="s">
        <v>233</v>
      </c>
      <c r="L1026" s="17" t="s">
        <v>233</v>
      </c>
      <c r="M1026" s="231">
        <v>0</v>
      </c>
      <c r="N1026" s="232">
        <v>0</v>
      </c>
      <c r="O1026" s="132">
        <v>0</v>
      </c>
      <c r="P1026" s="231" t="s">
        <v>239</v>
      </c>
      <c r="Q1026" s="232">
        <v>0</v>
      </c>
      <c r="R1026" s="231" t="s">
        <v>239</v>
      </c>
      <c r="S1026" s="232">
        <v>0</v>
      </c>
      <c r="T1026" s="231" t="s">
        <v>239</v>
      </c>
      <c r="U1026" s="232">
        <v>0</v>
      </c>
      <c r="V1026" s="231" t="s">
        <v>239</v>
      </c>
      <c r="W1026" s="232">
        <v>0</v>
      </c>
      <c r="X1026" s="231" t="s">
        <v>239</v>
      </c>
      <c r="Y1026" s="232">
        <v>0</v>
      </c>
      <c r="Z1026" s="231" t="s">
        <v>239</v>
      </c>
      <c r="AA1026" s="232">
        <v>0</v>
      </c>
      <c r="AB1026" s="231" t="s">
        <v>239</v>
      </c>
      <c r="AC1026" s="232">
        <v>0</v>
      </c>
      <c r="AD1026" s="231" t="s">
        <v>239</v>
      </c>
      <c r="AE1026" s="232">
        <v>0</v>
      </c>
      <c r="AF1026" s="231" t="s">
        <v>239</v>
      </c>
      <c r="AG1026" s="232">
        <v>0</v>
      </c>
      <c r="AH1026" s="231" t="s">
        <v>239</v>
      </c>
      <c r="AI1026" s="232">
        <v>0</v>
      </c>
      <c r="AJ1026" s="231" t="s">
        <v>239</v>
      </c>
      <c r="AK1026" s="232">
        <v>0</v>
      </c>
      <c r="AL1026" s="232" t="s">
        <v>239</v>
      </c>
      <c r="AM1026" s="232">
        <v>0</v>
      </c>
    </row>
    <row r="1027" spans="1:39" ht="15.75" outlineLevel="1">
      <c r="A1027" s="411">
        <v>509</v>
      </c>
      <c r="B1027" s="10">
        <v>129509</v>
      </c>
      <c r="C1027" s="218" t="s">
        <v>1489</v>
      </c>
      <c r="D1027" s="218" t="s">
        <v>1490</v>
      </c>
      <c r="E1027" s="23" t="s">
        <v>44</v>
      </c>
      <c r="F1027" s="17" t="s">
        <v>45</v>
      </c>
      <c r="G1027" s="11" t="s">
        <v>1432</v>
      </c>
      <c r="H1027" s="12">
        <v>13</v>
      </c>
      <c r="I1027" s="11" t="s">
        <v>1433</v>
      </c>
      <c r="J1027" s="193" t="s">
        <v>1460</v>
      </c>
      <c r="K1027" s="17" t="s">
        <v>233</v>
      </c>
      <c r="L1027" s="17" t="s">
        <v>233</v>
      </c>
      <c r="M1027" s="231">
        <v>50</v>
      </c>
      <c r="N1027" s="231">
        <v>50</v>
      </c>
      <c r="O1027" s="231">
        <v>50</v>
      </c>
      <c r="P1027" s="231" t="s">
        <v>239</v>
      </c>
      <c r="Q1027" s="231">
        <v>50</v>
      </c>
      <c r="R1027" s="231" t="s">
        <v>239</v>
      </c>
      <c r="S1027" s="231">
        <v>50</v>
      </c>
      <c r="T1027" s="231" t="s">
        <v>239</v>
      </c>
      <c r="U1027" s="231">
        <v>50</v>
      </c>
      <c r="V1027" s="230" t="s">
        <v>239</v>
      </c>
      <c r="W1027" s="231">
        <v>50</v>
      </c>
      <c r="X1027" s="231" t="s">
        <v>239</v>
      </c>
      <c r="Y1027" s="231">
        <v>50</v>
      </c>
      <c r="Z1027" s="231" t="s">
        <v>239</v>
      </c>
      <c r="AA1027" s="231">
        <v>50</v>
      </c>
      <c r="AB1027" s="231" t="s">
        <v>239</v>
      </c>
      <c r="AC1027" s="231">
        <v>50</v>
      </c>
      <c r="AD1027" s="231" t="s">
        <v>239</v>
      </c>
      <c r="AE1027" s="231">
        <v>50</v>
      </c>
      <c r="AF1027" s="231" t="s">
        <v>239</v>
      </c>
      <c r="AG1027" s="231">
        <v>50</v>
      </c>
      <c r="AH1027" s="231" t="s">
        <v>239</v>
      </c>
      <c r="AI1027" s="231">
        <v>50</v>
      </c>
      <c r="AJ1027" s="231" t="s">
        <v>239</v>
      </c>
      <c r="AK1027" s="231">
        <v>50</v>
      </c>
      <c r="AL1027" s="232" t="s">
        <v>239</v>
      </c>
      <c r="AM1027" s="232">
        <v>0</v>
      </c>
    </row>
    <row r="1028" spans="1:39" ht="15.75" outlineLevel="1">
      <c r="A1028" s="412"/>
      <c r="B1028" s="10">
        <v>129509</v>
      </c>
      <c r="C1028" s="218" t="s">
        <v>1489</v>
      </c>
      <c r="D1028" s="218" t="s">
        <v>1490</v>
      </c>
      <c r="E1028" s="23" t="s">
        <v>44</v>
      </c>
      <c r="F1028" s="17" t="s">
        <v>45</v>
      </c>
      <c r="G1028" s="11" t="s">
        <v>1432</v>
      </c>
      <c r="H1028" s="12">
        <v>5</v>
      </c>
      <c r="I1028" s="11" t="s">
        <v>1433</v>
      </c>
      <c r="J1028" s="193" t="s">
        <v>1450</v>
      </c>
      <c r="K1028" s="17" t="s">
        <v>233</v>
      </c>
      <c r="L1028" s="17" t="s">
        <v>233</v>
      </c>
      <c r="M1028" s="231">
        <v>31422</v>
      </c>
      <c r="N1028" s="232">
        <v>31040.536919999999</v>
      </c>
      <c r="O1028" s="132">
        <v>1235</v>
      </c>
      <c r="P1028" s="231" t="s">
        <v>239</v>
      </c>
      <c r="Q1028" s="232">
        <v>1235</v>
      </c>
      <c r="R1028" s="231" t="s">
        <v>239</v>
      </c>
      <c r="S1028" s="232">
        <v>1182</v>
      </c>
      <c r="T1028" s="231" t="s">
        <v>239</v>
      </c>
      <c r="U1028" s="232">
        <v>1179</v>
      </c>
      <c r="V1028" s="231" t="s">
        <v>239</v>
      </c>
      <c r="W1028" s="232">
        <v>1290</v>
      </c>
      <c r="X1028" s="231" t="s">
        <v>239</v>
      </c>
      <c r="Y1028" s="232">
        <v>1307</v>
      </c>
      <c r="Z1028" s="231" t="s">
        <v>239</v>
      </c>
      <c r="AA1028" s="232">
        <v>1623</v>
      </c>
      <c r="AB1028" s="231" t="s">
        <v>239</v>
      </c>
      <c r="AC1028" s="232">
        <v>1574</v>
      </c>
      <c r="AD1028" s="231" t="s">
        <v>239</v>
      </c>
      <c r="AE1028" s="232">
        <v>905</v>
      </c>
      <c r="AF1028" s="231" t="s">
        <v>239</v>
      </c>
      <c r="AG1028" s="232">
        <v>1034</v>
      </c>
      <c r="AH1028" s="231" t="s">
        <v>239</v>
      </c>
      <c r="AI1028" s="232">
        <v>1125</v>
      </c>
      <c r="AJ1028" s="231" t="s">
        <v>239</v>
      </c>
      <c r="AK1028" s="232">
        <v>1266</v>
      </c>
      <c r="AL1028" s="232" t="s">
        <v>239</v>
      </c>
      <c r="AM1028" s="232">
        <v>14955</v>
      </c>
    </row>
    <row r="1029" spans="1:39" ht="15.75" outlineLevel="1">
      <c r="A1029" s="411">
        <v>510</v>
      </c>
      <c r="B1029" s="10">
        <v>129510</v>
      </c>
      <c r="C1029" s="218" t="s">
        <v>1489</v>
      </c>
      <c r="D1029" s="218" t="s">
        <v>1490</v>
      </c>
      <c r="E1029" s="23" t="s">
        <v>138</v>
      </c>
      <c r="F1029" s="17" t="s">
        <v>45</v>
      </c>
      <c r="G1029" s="11" t="s">
        <v>1432</v>
      </c>
      <c r="H1029" s="12">
        <v>4</v>
      </c>
      <c r="I1029" s="11" t="s">
        <v>1433</v>
      </c>
      <c r="J1029" s="193" t="s">
        <v>1451</v>
      </c>
      <c r="K1029" s="17" t="s">
        <v>233</v>
      </c>
      <c r="L1029" s="17" t="s">
        <v>233</v>
      </c>
      <c r="M1029" s="231">
        <v>2.8</v>
      </c>
      <c r="N1029" s="231">
        <v>2.8</v>
      </c>
      <c r="O1029" s="231">
        <v>2.8</v>
      </c>
      <c r="P1029" s="231" t="s">
        <v>239</v>
      </c>
      <c r="Q1029" s="231">
        <v>2.8</v>
      </c>
      <c r="R1029" s="231" t="s">
        <v>239</v>
      </c>
      <c r="S1029" s="231">
        <v>2.8</v>
      </c>
      <c r="T1029" s="231" t="s">
        <v>239</v>
      </c>
      <c r="U1029" s="231">
        <v>2.8</v>
      </c>
      <c r="V1029" s="231" t="s">
        <v>239</v>
      </c>
      <c r="W1029" s="231">
        <v>2.8</v>
      </c>
      <c r="X1029" s="231" t="s">
        <v>239</v>
      </c>
      <c r="Y1029" s="231">
        <v>2.8</v>
      </c>
      <c r="Z1029" s="231" t="s">
        <v>239</v>
      </c>
      <c r="AA1029" s="231">
        <v>2.8</v>
      </c>
      <c r="AB1029" s="231" t="s">
        <v>239</v>
      </c>
      <c r="AC1029" s="231">
        <v>2.8</v>
      </c>
      <c r="AD1029" s="231" t="s">
        <v>239</v>
      </c>
      <c r="AE1029" s="231">
        <v>2.8</v>
      </c>
      <c r="AF1029" s="231" t="s">
        <v>239</v>
      </c>
      <c r="AG1029" s="231">
        <v>2.8</v>
      </c>
      <c r="AH1029" s="231" t="s">
        <v>239</v>
      </c>
      <c r="AI1029" s="231">
        <v>2.8</v>
      </c>
      <c r="AJ1029" s="231" t="s">
        <v>239</v>
      </c>
      <c r="AK1029" s="231">
        <v>2.8</v>
      </c>
      <c r="AL1029" s="232" t="s">
        <v>239</v>
      </c>
      <c r="AM1029" s="232">
        <v>0</v>
      </c>
    </row>
    <row r="1030" spans="1:39" ht="15.75" outlineLevel="1">
      <c r="A1030" s="412"/>
      <c r="B1030" s="10">
        <v>129510</v>
      </c>
      <c r="C1030" s="218" t="s">
        <v>1489</v>
      </c>
      <c r="D1030" s="218" t="s">
        <v>1490</v>
      </c>
      <c r="E1030" s="23" t="s">
        <v>44</v>
      </c>
      <c r="F1030" s="17" t="s">
        <v>45</v>
      </c>
      <c r="G1030" s="11" t="s">
        <v>1432</v>
      </c>
      <c r="H1030" s="12">
        <v>18</v>
      </c>
      <c r="I1030" s="11" t="s">
        <v>1433</v>
      </c>
      <c r="J1030" s="193" t="s">
        <v>208</v>
      </c>
      <c r="K1030" s="17" t="s">
        <v>233</v>
      </c>
      <c r="L1030" s="17" t="s">
        <v>233</v>
      </c>
      <c r="M1030" s="231">
        <v>7071</v>
      </c>
      <c r="N1030" s="232">
        <v>6985.1580599999998</v>
      </c>
      <c r="O1030" s="132">
        <v>563</v>
      </c>
      <c r="P1030" s="231" t="s">
        <v>239</v>
      </c>
      <c r="Q1030" s="232">
        <v>563</v>
      </c>
      <c r="R1030" s="231" t="s">
        <v>239</v>
      </c>
      <c r="S1030" s="232">
        <v>519</v>
      </c>
      <c r="T1030" s="231" t="s">
        <v>239</v>
      </c>
      <c r="U1030" s="232">
        <v>548</v>
      </c>
      <c r="V1030" s="230" t="s">
        <v>239</v>
      </c>
      <c r="W1030" s="232">
        <v>676</v>
      </c>
      <c r="X1030" s="231" t="s">
        <v>239</v>
      </c>
      <c r="Y1030" s="232">
        <v>682</v>
      </c>
      <c r="Z1030" s="231" t="s">
        <v>239</v>
      </c>
      <c r="AA1030" s="232">
        <v>769</v>
      </c>
      <c r="AB1030" s="231" t="s">
        <v>239</v>
      </c>
      <c r="AC1030" s="232">
        <v>619</v>
      </c>
      <c r="AD1030" s="231" t="s">
        <v>239</v>
      </c>
      <c r="AE1030" s="232">
        <v>580</v>
      </c>
      <c r="AF1030" s="231" t="s">
        <v>239</v>
      </c>
      <c r="AG1030" s="232">
        <v>630</v>
      </c>
      <c r="AH1030" s="231" t="s">
        <v>239</v>
      </c>
      <c r="AI1030" s="232">
        <v>650</v>
      </c>
      <c r="AJ1030" s="231" t="s">
        <v>239</v>
      </c>
      <c r="AK1030" s="232">
        <v>819</v>
      </c>
      <c r="AL1030" s="232" t="s">
        <v>239</v>
      </c>
      <c r="AM1030" s="232">
        <v>7618</v>
      </c>
    </row>
    <row r="1031" spans="1:39" ht="15.75" outlineLevel="1">
      <c r="A1031" s="411">
        <v>511</v>
      </c>
      <c r="B1031" s="10">
        <v>129511</v>
      </c>
      <c r="C1031" s="218" t="s">
        <v>1489</v>
      </c>
      <c r="D1031" s="218" t="s">
        <v>1490</v>
      </c>
      <c r="E1031" s="23" t="s">
        <v>138</v>
      </c>
      <c r="F1031" s="17" t="s">
        <v>45</v>
      </c>
      <c r="G1031" s="11" t="s">
        <v>1432</v>
      </c>
      <c r="H1031" s="12">
        <v>17</v>
      </c>
      <c r="I1031" s="11" t="s">
        <v>1433</v>
      </c>
      <c r="J1031" s="193" t="s">
        <v>1451</v>
      </c>
      <c r="K1031" s="17" t="s">
        <v>233</v>
      </c>
      <c r="L1031" s="17" t="s">
        <v>233</v>
      </c>
      <c r="M1031" s="231">
        <v>2.8</v>
      </c>
      <c r="N1031" s="231">
        <v>2.8</v>
      </c>
      <c r="O1031" s="231">
        <v>2.8</v>
      </c>
      <c r="P1031" s="231" t="s">
        <v>239</v>
      </c>
      <c r="Q1031" s="231">
        <v>2.8</v>
      </c>
      <c r="R1031" s="231" t="s">
        <v>239</v>
      </c>
      <c r="S1031" s="231">
        <v>2.8</v>
      </c>
      <c r="T1031" s="231" t="s">
        <v>239</v>
      </c>
      <c r="U1031" s="231">
        <v>2.8</v>
      </c>
      <c r="V1031" s="231" t="s">
        <v>239</v>
      </c>
      <c r="W1031" s="231">
        <v>2.8</v>
      </c>
      <c r="X1031" s="231" t="s">
        <v>239</v>
      </c>
      <c r="Y1031" s="231">
        <v>2.8</v>
      </c>
      <c r="Z1031" s="231" t="s">
        <v>239</v>
      </c>
      <c r="AA1031" s="231">
        <v>2.8</v>
      </c>
      <c r="AB1031" s="231" t="s">
        <v>239</v>
      </c>
      <c r="AC1031" s="231">
        <v>2.8</v>
      </c>
      <c r="AD1031" s="231" t="s">
        <v>239</v>
      </c>
      <c r="AE1031" s="231">
        <v>2.8</v>
      </c>
      <c r="AF1031" s="231" t="s">
        <v>239</v>
      </c>
      <c r="AG1031" s="231">
        <v>2.8</v>
      </c>
      <c r="AH1031" s="231" t="s">
        <v>239</v>
      </c>
      <c r="AI1031" s="231">
        <v>2.8</v>
      </c>
      <c r="AJ1031" s="231" t="s">
        <v>239</v>
      </c>
      <c r="AK1031" s="231">
        <v>2.8</v>
      </c>
      <c r="AL1031" s="232" t="s">
        <v>239</v>
      </c>
      <c r="AM1031" s="232">
        <v>0</v>
      </c>
    </row>
    <row r="1032" spans="1:39" ht="15.75" outlineLevel="1">
      <c r="A1032" s="412"/>
      <c r="B1032" s="10">
        <v>129511</v>
      </c>
      <c r="C1032" s="218" t="s">
        <v>1489</v>
      </c>
      <c r="D1032" s="218" t="s">
        <v>1490</v>
      </c>
      <c r="E1032" s="23" t="s">
        <v>44</v>
      </c>
      <c r="F1032" s="17" t="s">
        <v>45</v>
      </c>
      <c r="G1032" s="11" t="s">
        <v>1432</v>
      </c>
      <c r="H1032" s="12">
        <v>28</v>
      </c>
      <c r="I1032" s="11" t="s">
        <v>1433</v>
      </c>
      <c r="J1032" s="193" t="s">
        <v>208</v>
      </c>
      <c r="K1032" s="17" t="s">
        <v>233</v>
      </c>
      <c r="L1032" s="17" t="s">
        <v>233</v>
      </c>
      <c r="M1032" s="231">
        <v>0</v>
      </c>
      <c r="N1032" s="232">
        <v>0</v>
      </c>
      <c r="O1032" s="132">
        <v>0</v>
      </c>
      <c r="P1032" s="231" t="s">
        <v>239</v>
      </c>
      <c r="Q1032" s="232">
        <v>0</v>
      </c>
      <c r="R1032" s="231" t="s">
        <v>239</v>
      </c>
      <c r="S1032" s="232">
        <v>0</v>
      </c>
      <c r="T1032" s="231" t="s">
        <v>239</v>
      </c>
      <c r="U1032" s="232">
        <v>0</v>
      </c>
      <c r="V1032" s="231" t="s">
        <v>239</v>
      </c>
      <c r="W1032" s="232">
        <v>0</v>
      </c>
      <c r="X1032" s="231" t="s">
        <v>239</v>
      </c>
      <c r="Y1032" s="232">
        <v>0</v>
      </c>
      <c r="Z1032" s="231" t="s">
        <v>239</v>
      </c>
      <c r="AA1032" s="232">
        <v>0</v>
      </c>
      <c r="AB1032" s="231" t="s">
        <v>239</v>
      </c>
      <c r="AC1032" s="232">
        <v>0</v>
      </c>
      <c r="AD1032" s="231" t="s">
        <v>239</v>
      </c>
      <c r="AE1032" s="232">
        <v>0</v>
      </c>
      <c r="AF1032" s="231" t="s">
        <v>239</v>
      </c>
      <c r="AG1032" s="232">
        <v>0</v>
      </c>
      <c r="AH1032" s="231" t="s">
        <v>239</v>
      </c>
      <c r="AI1032" s="232">
        <v>0</v>
      </c>
      <c r="AJ1032" s="231" t="s">
        <v>239</v>
      </c>
      <c r="AK1032" s="232">
        <v>0</v>
      </c>
      <c r="AL1032" s="232" t="s">
        <v>239</v>
      </c>
      <c r="AM1032" s="232">
        <v>0</v>
      </c>
    </row>
    <row r="1033" spans="1:39" ht="15.75" outlineLevel="1">
      <c r="A1033" s="411">
        <v>512</v>
      </c>
      <c r="B1033" s="10">
        <v>129512</v>
      </c>
      <c r="C1033" s="218" t="s">
        <v>1489</v>
      </c>
      <c r="D1033" s="218" t="s">
        <v>1490</v>
      </c>
      <c r="E1033" s="23" t="s">
        <v>44</v>
      </c>
      <c r="F1033" s="17" t="s">
        <v>45</v>
      </c>
      <c r="G1033" s="11" t="s">
        <v>1432</v>
      </c>
      <c r="H1033" s="12">
        <v>24</v>
      </c>
      <c r="I1033" s="11" t="s">
        <v>1433</v>
      </c>
      <c r="J1033" s="193" t="s">
        <v>1452</v>
      </c>
      <c r="K1033" s="17" t="s">
        <v>233</v>
      </c>
      <c r="L1033" s="17" t="s">
        <v>233</v>
      </c>
      <c r="M1033" s="231">
        <v>58</v>
      </c>
      <c r="N1033" s="231">
        <v>58</v>
      </c>
      <c r="O1033" s="231">
        <v>58</v>
      </c>
      <c r="P1033" s="231" t="s">
        <v>239</v>
      </c>
      <c r="Q1033" s="231">
        <v>58</v>
      </c>
      <c r="R1033" s="231" t="s">
        <v>239</v>
      </c>
      <c r="S1033" s="231">
        <v>58</v>
      </c>
      <c r="T1033" s="231" t="s">
        <v>239</v>
      </c>
      <c r="U1033" s="231">
        <v>58</v>
      </c>
      <c r="V1033" s="230" t="s">
        <v>239</v>
      </c>
      <c r="W1033" s="231">
        <v>58</v>
      </c>
      <c r="X1033" s="231" t="s">
        <v>239</v>
      </c>
      <c r="Y1033" s="231">
        <v>58</v>
      </c>
      <c r="Z1033" s="231" t="s">
        <v>239</v>
      </c>
      <c r="AA1033" s="231">
        <v>58</v>
      </c>
      <c r="AB1033" s="231" t="s">
        <v>239</v>
      </c>
      <c r="AC1033" s="231">
        <v>58</v>
      </c>
      <c r="AD1033" s="231" t="s">
        <v>239</v>
      </c>
      <c r="AE1033" s="231">
        <v>58</v>
      </c>
      <c r="AF1033" s="231" t="s">
        <v>239</v>
      </c>
      <c r="AG1033" s="231">
        <v>58</v>
      </c>
      <c r="AH1033" s="231" t="s">
        <v>239</v>
      </c>
      <c r="AI1033" s="231">
        <v>58</v>
      </c>
      <c r="AJ1033" s="231" t="s">
        <v>239</v>
      </c>
      <c r="AK1033" s="231">
        <v>58</v>
      </c>
      <c r="AL1033" s="232" t="s">
        <v>239</v>
      </c>
      <c r="AM1033" s="232">
        <v>0</v>
      </c>
    </row>
    <row r="1034" spans="1:39" ht="15.75" outlineLevel="1">
      <c r="A1034" s="412"/>
      <c r="B1034" s="10">
        <v>129512</v>
      </c>
      <c r="C1034" s="218" t="s">
        <v>1489</v>
      </c>
      <c r="D1034" s="218" t="s">
        <v>1490</v>
      </c>
      <c r="E1034" s="23" t="s">
        <v>138</v>
      </c>
      <c r="F1034" s="17" t="s">
        <v>45</v>
      </c>
      <c r="G1034" s="11" t="s">
        <v>1432</v>
      </c>
      <c r="H1034" s="12">
        <v>10</v>
      </c>
      <c r="I1034" s="11" t="s">
        <v>1433</v>
      </c>
      <c r="J1034" s="193" t="s">
        <v>216</v>
      </c>
      <c r="K1034" s="17" t="s">
        <v>233</v>
      </c>
      <c r="L1034" s="17" t="s">
        <v>233</v>
      </c>
      <c r="M1034" s="231">
        <v>34133</v>
      </c>
      <c r="N1034" s="232">
        <v>33718.625379999998</v>
      </c>
      <c r="O1034" s="132">
        <v>2958</v>
      </c>
      <c r="P1034" s="231" t="s">
        <v>239</v>
      </c>
      <c r="Q1034" s="232">
        <v>2958</v>
      </c>
      <c r="R1034" s="231" t="s">
        <v>239</v>
      </c>
      <c r="S1034" s="232">
        <v>2813</v>
      </c>
      <c r="T1034" s="231" t="s">
        <v>239</v>
      </c>
      <c r="U1034" s="232">
        <v>2572</v>
      </c>
      <c r="V1034" s="231" t="s">
        <v>239</v>
      </c>
      <c r="W1034" s="232">
        <v>2486</v>
      </c>
      <c r="X1034" s="231" t="s">
        <v>239</v>
      </c>
      <c r="Y1034" s="232">
        <v>2311</v>
      </c>
      <c r="Z1034" s="231" t="s">
        <v>239</v>
      </c>
      <c r="AA1034" s="232">
        <v>2313</v>
      </c>
      <c r="AB1034" s="231" t="s">
        <v>239</v>
      </c>
      <c r="AC1034" s="232">
        <v>309</v>
      </c>
      <c r="AD1034" s="231" t="s">
        <v>239</v>
      </c>
      <c r="AE1034" s="232">
        <v>1002</v>
      </c>
      <c r="AF1034" s="231" t="s">
        <v>239</v>
      </c>
      <c r="AG1034" s="232">
        <v>1248</v>
      </c>
      <c r="AH1034" s="231" t="s">
        <v>239</v>
      </c>
      <c r="AI1034" s="232">
        <v>1067</v>
      </c>
      <c r="AJ1034" s="231" t="s">
        <v>239</v>
      </c>
      <c r="AK1034" s="232">
        <v>580</v>
      </c>
      <c r="AL1034" s="232" t="s">
        <v>239</v>
      </c>
      <c r="AM1034" s="232">
        <v>22617</v>
      </c>
    </row>
    <row r="1035" spans="1:39" ht="15.75" outlineLevel="1">
      <c r="A1035" s="411">
        <v>513</v>
      </c>
      <c r="B1035" s="10">
        <v>129513</v>
      </c>
      <c r="C1035" s="218" t="s">
        <v>1489</v>
      </c>
      <c r="D1035" s="218" t="s">
        <v>1490</v>
      </c>
      <c r="E1035" s="23" t="s">
        <v>44</v>
      </c>
      <c r="F1035" s="17" t="s">
        <v>45</v>
      </c>
      <c r="G1035" s="11" t="s">
        <v>1432</v>
      </c>
      <c r="H1035" s="12">
        <v>17</v>
      </c>
      <c r="I1035" s="11" t="s">
        <v>1433</v>
      </c>
      <c r="J1035" s="193" t="s">
        <v>1453</v>
      </c>
      <c r="K1035" s="17" t="s">
        <v>233</v>
      </c>
      <c r="L1035" s="17" t="s">
        <v>233</v>
      </c>
      <c r="M1035" s="231">
        <v>1</v>
      </c>
      <c r="N1035" s="231">
        <v>1</v>
      </c>
      <c r="O1035" s="231">
        <v>1</v>
      </c>
      <c r="P1035" s="231" t="s">
        <v>239</v>
      </c>
      <c r="Q1035" s="231">
        <v>1</v>
      </c>
      <c r="R1035" s="231" t="s">
        <v>239</v>
      </c>
      <c r="S1035" s="231">
        <v>1</v>
      </c>
      <c r="T1035" s="231" t="s">
        <v>239</v>
      </c>
      <c r="U1035" s="231">
        <v>1</v>
      </c>
      <c r="V1035" s="231" t="s">
        <v>239</v>
      </c>
      <c r="W1035" s="231">
        <v>1</v>
      </c>
      <c r="X1035" s="231" t="s">
        <v>239</v>
      </c>
      <c r="Y1035" s="231">
        <v>1</v>
      </c>
      <c r="Z1035" s="231" t="s">
        <v>239</v>
      </c>
      <c r="AA1035" s="231">
        <v>1</v>
      </c>
      <c r="AB1035" s="231" t="s">
        <v>239</v>
      </c>
      <c r="AC1035" s="231">
        <v>1</v>
      </c>
      <c r="AD1035" s="231" t="s">
        <v>239</v>
      </c>
      <c r="AE1035" s="231">
        <v>1</v>
      </c>
      <c r="AF1035" s="231" t="s">
        <v>239</v>
      </c>
      <c r="AG1035" s="231">
        <v>1</v>
      </c>
      <c r="AH1035" s="231" t="s">
        <v>239</v>
      </c>
      <c r="AI1035" s="231">
        <v>1</v>
      </c>
      <c r="AJ1035" s="231" t="s">
        <v>239</v>
      </c>
      <c r="AK1035" s="231">
        <v>1</v>
      </c>
      <c r="AL1035" s="232" t="s">
        <v>239</v>
      </c>
      <c r="AM1035" s="232">
        <v>0</v>
      </c>
    </row>
    <row r="1036" spans="1:39" ht="15.75" outlineLevel="1">
      <c r="A1036" s="412"/>
      <c r="B1036" s="10">
        <v>129513</v>
      </c>
      <c r="C1036" s="218" t="s">
        <v>1489</v>
      </c>
      <c r="D1036" s="218" t="s">
        <v>1490</v>
      </c>
      <c r="E1036" s="23" t="s">
        <v>138</v>
      </c>
      <c r="F1036" s="17" t="s">
        <v>45</v>
      </c>
      <c r="G1036" s="11" t="s">
        <v>1432</v>
      </c>
      <c r="H1036" s="12">
        <v>32</v>
      </c>
      <c r="I1036" s="11" t="s">
        <v>1433</v>
      </c>
      <c r="J1036" s="193" t="s">
        <v>1454</v>
      </c>
      <c r="K1036" s="17" t="s">
        <v>233</v>
      </c>
      <c r="L1036" s="17" t="s">
        <v>233</v>
      </c>
      <c r="M1036" s="231">
        <v>24900</v>
      </c>
      <c r="N1036" s="232">
        <v>24597.714</v>
      </c>
      <c r="O1036" s="132">
        <v>1038</v>
      </c>
      <c r="P1036" s="231" t="s">
        <v>239</v>
      </c>
      <c r="Q1036" s="232">
        <v>1038</v>
      </c>
      <c r="R1036" s="231" t="s">
        <v>239</v>
      </c>
      <c r="S1036" s="232">
        <v>492</v>
      </c>
      <c r="T1036" s="231" t="s">
        <v>239</v>
      </c>
      <c r="U1036" s="232">
        <v>342</v>
      </c>
      <c r="V1036" s="230" t="s">
        <v>239</v>
      </c>
      <c r="W1036" s="232">
        <v>1090</v>
      </c>
      <c r="X1036" s="231" t="s">
        <v>239</v>
      </c>
      <c r="Y1036" s="232">
        <v>107</v>
      </c>
      <c r="Z1036" s="231" t="s">
        <v>239</v>
      </c>
      <c r="AA1036" s="232">
        <v>281</v>
      </c>
      <c r="AB1036" s="231" t="s">
        <v>239</v>
      </c>
      <c r="AC1036" s="232">
        <v>161</v>
      </c>
      <c r="AD1036" s="231" t="s">
        <v>239</v>
      </c>
      <c r="AE1036" s="232">
        <v>184</v>
      </c>
      <c r="AF1036" s="231" t="s">
        <v>239</v>
      </c>
      <c r="AG1036" s="232">
        <v>226</v>
      </c>
      <c r="AH1036" s="231" t="s">
        <v>239</v>
      </c>
      <c r="AI1036" s="232">
        <v>211</v>
      </c>
      <c r="AJ1036" s="231" t="s">
        <v>239</v>
      </c>
      <c r="AK1036" s="232">
        <v>338</v>
      </c>
      <c r="AL1036" s="232" t="s">
        <v>239</v>
      </c>
      <c r="AM1036" s="232">
        <v>5508</v>
      </c>
    </row>
    <row r="1037" spans="1:39" ht="15.75" outlineLevel="1">
      <c r="A1037" s="411">
        <v>514</v>
      </c>
      <c r="B1037" s="10">
        <v>129514</v>
      </c>
      <c r="C1037" s="218" t="s">
        <v>1489</v>
      </c>
      <c r="D1037" s="218" t="s">
        <v>1490</v>
      </c>
      <c r="E1037" s="23" t="s">
        <v>44</v>
      </c>
      <c r="F1037" s="17" t="s">
        <v>45</v>
      </c>
      <c r="G1037" s="11" t="s">
        <v>1432</v>
      </c>
      <c r="H1037" s="12">
        <v>8</v>
      </c>
      <c r="I1037" s="11" t="s">
        <v>1433</v>
      </c>
      <c r="J1037" s="191" t="s">
        <v>216</v>
      </c>
      <c r="K1037" s="17" t="s">
        <v>233</v>
      </c>
      <c r="L1037" s="17" t="s">
        <v>233</v>
      </c>
      <c r="M1037" s="231">
        <v>24.2</v>
      </c>
      <c r="N1037" s="231">
        <v>24.2</v>
      </c>
      <c r="O1037" s="231">
        <v>24.2</v>
      </c>
      <c r="P1037" s="231" t="s">
        <v>239</v>
      </c>
      <c r="Q1037" s="231">
        <v>24.2</v>
      </c>
      <c r="R1037" s="231" t="s">
        <v>239</v>
      </c>
      <c r="S1037" s="231">
        <v>24.2</v>
      </c>
      <c r="T1037" s="231" t="s">
        <v>239</v>
      </c>
      <c r="U1037" s="231">
        <v>24.2</v>
      </c>
      <c r="V1037" s="231" t="s">
        <v>239</v>
      </c>
      <c r="W1037" s="231">
        <v>24.2</v>
      </c>
      <c r="X1037" s="231" t="s">
        <v>239</v>
      </c>
      <c r="Y1037" s="231">
        <v>24.2</v>
      </c>
      <c r="Z1037" s="231" t="s">
        <v>239</v>
      </c>
      <c r="AA1037" s="231">
        <v>24.2</v>
      </c>
      <c r="AB1037" s="231" t="s">
        <v>239</v>
      </c>
      <c r="AC1037" s="231">
        <v>24.2</v>
      </c>
      <c r="AD1037" s="231" t="s">
        <v>239</v>
      </c>
      <c r="AE1037" s="231">
        <v>24.2</v>
      </c>
      <c r="AF1037" s="231" t="s">
        <v>239</v>
      </c>
      <c r="AG1037" s="231">
        <v>24.2</v>
      </c>
      <c r="AH1037" s="231" t="s">
        <v>239</v>
      </c>
      <c r="AI1037" s="231">
        <v>24.2</v>
      </c>
      <c r="AJ1037" s="231" t="s">
        <v>239</v>
      </c>
      <c r="AK1037" s="231">
        <v>24.2</v>
      </c>
      <c r="AL1037" s="232" t="s">
        <v>239</v>
      </c>
      <c r="AM1037" s="232">
        <v>0</v>
      </c>
    </row>
    <row r="1038" spans="1:39" ht="15.75" outlineLevel="1">
      <c r="A1038" s="412"/>
      <c r="B1038" s="10">
        <v>129514</v>
      </c>
      <c r="C1038" s="218" t="s">
        <v>1489</v>
      </c>
      <c r="D1038" s="218" t="s">
        <v>1490</v>
      </c>
      <c r="E1038" s="23" t="s">
        <v>44</v>
      </c>
      <c r="F1038" s="17" t="s">
        <v>45</v>
      </c>
      <c r="G1038" s="11" t="s">
        <v>1432</v>
      </c>
      <c r="H1038" s="12">
        <v>12</v>
      </c>
      <c r="I1038" s="11" t="s">
        <v>1433</v>
      </c>
      <c r="J1038" s="192" t="s">
        <v>1434</v>
      </c>
      <c r="K1038" s="17" t="s">
        <v>233</v>
      </c>
      <c r="L1038" s="17" t="s">
        <v>233</v>
      </c>
      <c r="M1038" s="231">
        <v>64209</v>
      </c>
      <c r="N1038" s="232">
        <v>63429.502739999996</v>
      </c>
      <c r="O1038" s="132">
        <v>494</v>
      </c>
      <c r="P1038" s="231" t="s">
        <v>239</v>
      </c>
      <c r="Q1038" s="232">
        <v>494</v>
      </c>
      <c r="R1038" s="231" t="s">
        <v>239</v>
      </c>
      <c r="S1038" s="232">
        <v>451</v>
      </c>
      <c r="T1038" s="231" t="s">
        <v>239</v>
      </c>
      <c r="U1038" s="232">
        <v>415</v>
      </c>
      <c r="V1038" s="231" t="s">
        <v>239</v>
      </c>
      <c r="W1038" s="232">
        <v>231</v>
      </c>
      <c r="X1038" s="231" t="s">
        <v>239</v>
      </c>
      <c r="Y1038" s="232">
        <v>237</v>
      </c>
      <c r="Z1038" s="231" t="s">
        <v>239</v>
      </c>
      <c r="AA1038" s="232">
        <v>563</v>
      </c>
      <c r="AB1038" s="231" t="s">
        <v>239</v>
      </c>
      <c r="AC1038" s="232">
        <v>453</v>
      </c>
      <c r="AD1038" s="231" t="s">
        <v>239</v>
      </c>
      <c r="AE1038" s="232">
        <v>450</v>
      </c>
      <c r="AF1038" s="231" t="s">
        <v>239</v>
      </c>
      <c r="AG1038" s="232">
        <v>342</v>
      </c>
      <c r="AH1038" s="231" t="s">
        <v>239</v>
      </c>
      <c r="AI1038" s="232">
        <v>333</v>
      </c>
      <c r="AJ1038" s="231" t="s">
        <v>239</v>
      </c>
      <c r="AK1038" s="232">
        <v>375</v>
      </c>
      <c r="AL1038" s="232" t="s">
        <v>239</v>
      </c>
      <c r="AM1038" s="232">
        <v>4838</v>
      </c>
    </row>
    <row r="1039" spans="1:39" ht="15.75" outlineLevel="1">
      <c r="A1039" s="411">
        <v>515</v>
      </c>
      <c r="B1039" s="10">
        <v>129515</v>
      </c>
      <c r="C1039" s="218" t="s">
        <v>1489</v>
      </c>
      <c r="D1039" s="218" t="s">
        <v>1490</v>
      </c>
      <c r="E1039" s="23" t="s">
        <v>138</v>
      </c>
      <c r="F1039" s="17" t="s">
        <v>45</v>
      </c>
      <c r="G1039" s="11" t="s">
        <v>1432</v>
      </c>
      <c r="H1039" s="12">
        <v>18</v>
      </c>
      <c r="I1039" s="11" t="s">
        <v>1433</v>
      </c>
      <c r="J1039" s="192" t="s">
        <v>1480</v>
      </c>
      <c r="K1039" s="17" t="s">
        <v>233</v>
      </c>
      <c r="L1039" s="17" t="s">
        <v>233</v>
      </c>
      <c r="M1039" s="231">
        <v>47.5</v>
      </c>
      <c r="N1039" s="231">
        <v>47.5</v>
      </c>
      <c r="O1039" s="231">
        <v>47.5</v>
      </c>
      <c r="P1039" s="231" t="s">
        <v>239</v>
      </c>
      <c r="Q1039" s="231">
        <v>47.5</v>
      </c>
      <c r="R1039" s="231" t="s">
        <v>239</v>
      </c>
      <c r="S1039" s="231">
        <v>47.5</v>
      </c>
      <c r="T1039" s="231" t="s">
        <v>239</v>
      </c>
      <c r="U1039" s="231">
        <v>47.5</v>
      </c>
      <c r="V1039" s="230" t="s">
        <v>239</v>
      </c>
      <c r="W1039" s="231">
        <v>47.5</v>
      </c>
      <c r="X1039" s="231" t="s">
        <v>239</v>
      </c>
      <c r="Y1039" s="231">
        <v>47.5</v>
      </c>
      <c r="Z1039" s="231" t="s">
        <v>239</v>
      </c>
      <c r="AA1039" s="231">
        <v>47.5</v>
      </c>
      <c r="AB1039" s="231" t="s">
        <v>239</v>
      </c>
      <c r="AC1039" s="231">
        <v>47.5</v>
      </c>
      <c r="AD1039" s="231" t="s">
        <v>239</v>
      </c>
      <c r="AE1039" s="231">
        <v>47.5</v>
      </c>
      <c r="AF1039" s="231" t="s">
        <v>239</v>
      </c>
      <c r="AG1039" s="231">
        <v>47.5</v>
      </c>
      <c r="AH1039" s="231" t="s">
        <v>239</v>
      </c>
      <c r="AI1039" s="231">
        <v>47.5</v>
      </c>
      <c r="AJ1039" s="231" t="s">
        <v>239</v>
      </c>
      <c r="AK1039" s="231">
        <v>47.5</v>
      </c>
      <c r="AL1039" s="232" t="s">
        <v>239</v>
      </c>
      <c r="AM1039" s="232">
        <v>0</v>
      </c>
    </row>
    <row r="1040" spans="1:39" ht="15.75" outlineLevel="1">
      <c r="A1040" s="412"/>
      <c r="B1040" s="10">
        <v>129515</v>
      </c>
      <c r="C1040" s="218" t="s">
        <v>1489</v>
      </c>
      <c r="D1040" s="218" t="s">
        <v>1490</v>
      </c>
      <c r="E1040" s="23" t="s">
        <v>44</v>
      </c>
      <c r="F1040" s="17" t="s">
        <v>45</v>
      </c>
      <c r="G1040" s="11" t="s">
        <v>1432</v>
      </c>
      <c r="H1040" s="12">
        <v>17</v>
      </c>
      <c r="I1040" s="11" t="s">
        <v>1433</v>
      </c>
      <c r="J1040" s="192" t="s">
        <v>1452</v>
      </c>
      <c r="K1040" s="17" t="s">
        <v>233</v>
      </c>
      <c r="L1040" s="17" t="s">
        <v>233</v>
      </c>
      <c r="M1040" s="231">
        <v>20238</v>
      </c>
      <c r="N1040" s="232">
        <v>19992.310679999999</v>
      </c>
      <c r="O1040" s="132">
        <v>1808</v>
      </c>
      <c r="P1040" s="231" t="s">
        <v>239</v>
      </c>
      <c r="Q1040" s="232">
        <v>1808</v>
      </c>
      <c r="R1040" s="231" t="s">
        <v>239</v>
      </c>
      <c r="S1040" s="232">
        <v>1586</v>
      </c>
      <c r="T1040" s="231" t="s">
        <v>239</v>
      </c>
      <c r="U1040" s="232">
        <v>1477</v>
      </c>
      <c r="V1040" s="231" t="s">
        <v>239</v>
      </c>
      <c r="W1040" s="232">
        <v>1474</v>
      </c>
      <c r="X1040" s="231" t="s">
        <v>239</v>
      </c>
      <c r="Y1040" s="232">
        <v>1434</v>
      </c>
      <c r="Z1040" s="231" t="s">
        <v>239</v>
      </c>
      <c r="AA1040" s="232">
        <v>1387</v>
      </c>
      <c r="AB1040" s="231" t="s">
        <v>239</v>
      </c>
      <c r="AC1040" s="232">
        <v>1287</v>
      </c>
      <c r="AD1040" s="231" t="s">
        <v>239</v>
      </c>
      <c r="AE1040" s="232">
        <v>1943</v>
      </c>
      <c r="AF1040" s="231" t="s">
        <v>239</v>
      </c>
      <c r="AG1040" s="232">
        <v>1533</v>
      </c>
      <c r="AH1040" s="231" t="s">
        <v>239</v>
      </c>
      <c r="AI1040" s="232">
        <v>1316</v>
      </c>
      <c r="AJ1040" s="231" t="s">
        <v>239</v>
      </c>
      <c r="AK1040" s="232">
        <v>1151</v>
      </c>
      <c r="AL1040" s="232" t="s">
        <v>239</v>
      </c>
      <c r="AM1040" s="232">
        <v>18204</v>
      </c>
    </row>
    <row r="1041" spans="1:39" ht="15.75" outlineLevel="1">
      <c r="A1041" s="411">
        <v>516</v>
      </c>
      <c r="B1041" s="10">
        <v>129516</v>
      </c>
      <c r="C1041" s="218" t="s">
        <v>1489</v>
      </c>
      <c r="D1041" s="218" t="s">
        <v>1490</v>
      </c>
      <c r="E1041" s="23" t="s">
        <v>138</v>
      </c>
      <c r="F1041" s="17" t="s">
        <v>45</v>
      </c>
      <c r="G1041" s="11" t="s">
        <v>1432</v>
      </c>
      <c r="H1041" s="12">
        <v>25</v>
      </c>
      <c r="I1041" s="11" t="s">
        <v>1433</v>
      </c>
      <c r="J1041" s="193" t="s">
        <v>1451</v>
      </c>
      <c r="K1041" s="17" t="s">
        <v>233</v>
      </c>
      <c r="L1041" s="17" t="s">
        <v>233</v>
      </c>
      <c r="M1041" s="231">
        <v>23</v>
      </c>
      <c r="N1041" s="231">
        <v>23</v>
      </c>
      <c r="O1041" s="231">
        <v>23</v>
      </c>
      <c r="P1041" s="231" t="s">
        <v>239</v>
      </c>
      <c r="Q1041" s="231">
        <v>23</v>
      </c>
      <c r="R1041" s="231" t="s">
        <v>239</v>
      </c>
      <c r="S1041" s="231">
        <v>23</v>
      </c>
      <c r="T1041" s="231" t="s">
        <v>239</v>
      </c>
      <c r="U1041" s="231">
        <v>23</v>
      </c>
      <c r="V1041" s="231" t="s">
        <v>239</v>
      </c>
      <c r="W1041" s="231">
        <v>23</v>
      </c>
      <c r="X1041" s="231" t="s">
        <v>239</v>
      </c>
      <c r="Y1041" s="231">
        <v>23</v>
      </c>
      <c r="Z1041" s="231" t="s">
        <v>239</v>
      </c>
      <c r="AA1041" s="231">
        <v>23</v>
      </c>
      <c r="AB1041" s="231" t="s">
        <v>239</v>
      </c>
      <c r="AC1041" s="231">
        <v>23</v>
      </c>
      <c r="AD1041" s="231" t="s">
        <v>239</v>
      </c>
      <c r="AE1041" s="231">
        <v>23</v>
      </c>
      <c r="AF1041" s="231" t="s">
        <v>239</v>
      </c>
      <c r="AG1041" s="231">
        <v>23</v>
      </c>
      <c r="AH1041" s="231" t="s">
        <v>239</v>
      </c>
      <c r="AI1041" s="231">
        <v>23</v>
      </c>
      <c r="AJ1041" s="231" t="s">
        <v>239</v>
      </c>
      <c r="AK1041" s="231">
        <v>23</v>
      </c>
      <c r="AL1041" s="232" t="s">
        <v>239</v>
      </c>
      <c r="AM1041" s="232">
        <v>0</v>
      </c>
    </row>
    <row r="1042" spans="1:39" ht="15.75" outlineLevel="1">
      <c r="A1042" s="412"/>
      <c r="B1042" s="10">
        <v>129516</v>
      </c>
      <c r="C1042" s="218" t="s">
        <v>1489</v>
      </c>
      <c r="D1042" s="218" t="s">
        <v>1490</v>
      </c>
      <c r="E1042" s="23" t="s">
        <v>44</v>
      </c>
      <c r="F1042" s="17" t="s">
        <v>45</v>
      </c>
      <c r="G1042" s="11" t="s">
        <v>1432</v>
      </c>
      <c r="H1042" s="12">
        <v>13</v>
      </c>
      <c r="I1042" s="11" t="s">
        <v>1433</v>
      </c>
      <c r="J1042" s="193" t="s">
        <v>208</v>
      </c>
      <c r="K1042" s="17" t="s">
        <v>233</v>
      </c>
      <c r="L1042" s="17" t="s">
        <v>233</v>
      </c>
      <c r="M1042" s="231">
        <v>10089</v>
      </c>
      <c r="N1042" s="232">
        <v>9966.5195399999993</v>
      </c>
      <c r="O1042" s="132">
        <v>1282</v>
      </c>
      <c r="P1042" s="231" t="s">
        <v>239</v>
      </c>
      <c r="Q1042" s="232">
        <v>1282</v>
      </c>
      <c r="R1042" s="231" t="s">
        <v>239</v>
      </c>
      <c r="S1042" s="232">
        <v>1064</v>
      </c>
      <c r="T1042" s="231" t="s">
        <v>239</v>
      </c>
      <c r="U1042" s="232">
        <v>1055</v>
      </c>
      <c r="V1042" s="230" t="s">
        <v>239</v>
      </c>
      <c r="W1042" s="232">
        <v>969</v>
      </c>
      <c r="X1042" s="231" t="s">
        <v>239</v>
      </c>
      <c r="Y1042" s="232">
        <v>1075</v>
      </c>
      <c r="Z1042" s="231" t="s">
        <v>239</v>
      </c>
      <c r="AA1042" s="232">
        <v>1316</v>
      </c>
      <c r="AB1042" s="231" t="s">
        <v>239</v>
      </c>
      <c r="AC1042" s="232">
        <v>1119</v>
      </c>
      <c r="AD1042" s="231" t="s">
        <v>239</v>
      </c>
      <c r="AE1042" s="232">
        <v>1086</v>
      </c>
      <c r="AF1042" s="231" t="s">
        <v>239</v>
      </c>
      <c r="AG1042" s="232">
        <v>1142</v>
      </c>
      <c r="AH1042" s="231" t="s">
        <v>239</v>
      </c>
      <c r="AI1042" s="232">
        <v>1129</v>
      </c>
      <c r="AJ1042" s="231" t="s">
        <v>239</v>
      </c>
      <c r="AK1042" s="232">
        <v>1214</v>
      </c>
      <c r="AL1042" s="232" t="s">
        <v>239</v>
      </c>
      <c r="AM1042" s="232">
        <v>13733</v>
      </c>
    </row>
    <row r="1043" spans="1:39" ht="15.75" outlineLevel="1">
      <c r="A1043" s="411">
        <v>517</v>
      </c>
      <c r="B1043" s="10">
        <v>129517</v>
      </c>
      <c r="C1043" s="218" t="s">
        <v>1489</v>
      </c>
      <c r="D1043" s="218" t="s">
        <v>1490</v>
      </c>
      <c r="E1043" s="23" t="s">
        <v>44</v>
      </c>
      <c r="F1043" s="17" t="s">
        <v>45</v>
      </c>
      <c r="G1043" s="11" t="s">
        <v>1432</v>
      </c>
      <c r="H1043" s="12">
        <v>5</v>
      </c>
      <c r="I1043" s="11" t="s">
        <v>1433</v>
      </c>
      <c r="J1043" s="193" t="s">
        <v>1452</v>
      </c>
      <c r="K1043" s="17" t="s">
        <v>233</v>
      </c>
      <c r="L1043" s="17" t="s">
        <v>233</v>
      </c>
      <c r="M1043" s="231">
        <v>39</v>
      </c>
      <c r="N1043" s="231">
        <v>39</v>
      </c>
      <c r="O1043" s="231">
        <v>39</v>
      </c>
      <c r="P1043" s="231" t="s">
        <v>239</v>
      </c>
      <c r="Q1043" s="231">
        <v>39</v>
      </c>
      <c r="R1043" s="231" t="s">
        <v>239</v>
      </c>
      <c r="S1043" s="231">
        <v>39</v>
      </c>
      <c r="T1043" s="231" t="s">
        <v>239</v>
      </c>
      <c r="U1043" s="231">
        <v>39</v>
      </c>
      <c r="V1043" s="231" t="s">
        <v>239</v>
      </c>
      <c r="W1043" s="231">
        <v>39</v>
      </c>
      <c r="X1043" s="231" t="s">
        <v>239</v>
      </c>
      <c r="Y1043" s="231">
        <v>39</v>
      </c>
      <c r="Z1043" s="231" t="s">
        <v>239</v>
      </c>
      <c r="AA1043" s="231">
        <v>39</v>
      </c>
      <c r="AB1043" s="231" t="s">
        <v>239</v>
      </c>
      <c r="AC1043" s="231">
        <v>39</v>
      </c>
      <c r="AD1043" s="231" t="s">
        <v>239</v>
      </c>
      <c r="AE1043" s="231">
        <v>39</v>
      </c>
      <c r="AF1043" s="231" t="s">
        <v>239</v>
      </c>
      <c r="AG1043" s="231">
        <v>39</v>
      </c>
      <c r="AH1043" s="231" t="s">
        <v>239</v>
      </c>
      <c r="AI1043" s="231">
        <v>39</v>
      </c>
      <c r="AJ1043" s="231" t="s">
        <v>239</v>
      </c>
      <c r="AK1043" s="231">
        <v>39</v>
      </c>
      <c r="AL1043" s="232" t="s">
        <v>239</v>
      </c>
      <c r="AM1043" s="232">
        <v>0</v>
      </c>
    </row>
    <row r="1044" spans="1:39" ht="15.75" outlineLevel="1">
      <c r="A1044" s="412"/>
      <c r="B1044" s="10">
        <v>129517</v>
      </c>
      <c r="C1044" s="218" t="s">
        <v>1489</v>
      </c>
      <c r="D1044" s="218" t="s">
        <v>1490</v>
      </c>
      <c r="E1044" s="23" t="s">
        <v>138</v>
      </c>
      <c r="F1044" s="17" t="s">
        <v>45</v>
      </c>
      <c r="G1044" s="11" t="s">
        <v>1432</v>
      </c>
      <c r="H1044" s="12">
        <v>4</v>
      </c>
      <c r="I1044" s="11" t="s">
        <v>1433</v>
      </c>
      <c r="J1044" s="193" t="s">
        <v>216</v>
      </c>
      <c r="K1044" s="17" t="s">
        <v>233</v>
      </c>
      <c r="L1044" s="17" t="s">
        <v>233</v>
      </c>
      <c r="M1044" s="231">
        <v>12594</v>
      </c>
      <c r="N1044" s="232">
        <v>12441.108839999999</v>
      </c>
      <c r="O1044" s="132">
        <v>1780</v>
      </c>
      <c r="P1044" s="231" t="s">
        <v>239</v>
      </c>
      <c r="Q1044" s="232">
        <v>1780</v>
      </c>
      <c r="R1044" s="231" t="s">
        <v>239</v>
      </c>
      <c r="S1044" s="232">
        <v>1080</v>
      </c>
      <c r="T1044" s="231" t="s">
        <v>239</v>
      </c>
      <c r="U1044" s="232">
        <v>1061</v>
      </c>
      <c r="V1044" s="231" t="s">
        <v>239</v>
      </c>
      <c r="W1044" s="232">
        <v>994</v>
      </c>
      <c r="X1044" s="231" t="s">
        <v>239</v>
      </c>
      <c r="Y1044" s="232">
        <v>482</v>
      </c>
      <c r="Z1044" s="231" t="s">
        <v>239</v>
      </c>
      <c r="AA1044" s="232">
        <v>463</v>
      </c>
      <c r="AB1044" s="231" t="s">
        <v>239</v>
      </c>
      <c r="AC1044" s="232">
        <v>499</v>
      </c>
      <c r="AD1044" s="231" t="s">
        <v>239</v>
      </c>
      <c r="AE1044" s="232">
        <v>314</v>
      </c>
      <c r="AF1044" s="231" t="s">
        <v>239</v>
      </c>
      <c r="AG1044" s="232">
        <v>376</v>
      </c>
      <c r="AH1044" s="231" t="s">
        <v>239</v>
      </c>
      <c r="AI1044" s="232">
        <v>590</v>
      </c>
      <c r="AJ1044" s="231" t="s">
        <v>239</v>
      </c>
      <c r="AK1044" s="232">
        <v>611</v>
      </c>
      <c r="AL1044" s="232" t="s">
        <v>239</v>
      </c>
      <c r="AM1044" s="232">
        <v>10030</v>
      </c>
    </row>
    <row r="1045" spans="1:39" ht="15.75" outlineLevel="1">
      <c r="A1045" s="411">
        <v>518</v>
      </c>
      <c r="B1045" s="10">
        <v>129518</v>
      </c>
      <c r="C1045" s="218" t="s">
        <v>1489</v>
      </c>
      <c r="D1045" s="218" t="s">
        <v>1490</v>
      </c>
      <c r="E1045" s="23" t="s">
        <v>44</v>
      </c>
      <c r="F1045" s="17" t="s">
        <v>45</v>
      </c>
      <c r="G1045" s="11" t="s">
        <v>1432</v>
      </c>
      <c r="H1045" s="12">
        <v>18</v>
      </c>
      <c r="I1045" s="11" t="s">
        <v>1433</v>
      </c>
      <c r="J1045" s="193" t="s">
        <v>1453</v>
      </c>
      <c r="K1045" s="17" t="s">
        <v>233</v>
      </c>
      <c r="L1045" s="17" t="s">
        <v>233</v>
      </c>
      <c r="M1045" s="231">
        <v>51</v>
      </c>
      <c r="N1045" s="231">
        <v>51</v>
      </c>
      <c r="O1045" s="231">
        <v>51</v>
      </c>
      <c r="P1045" s="231" t="s">
        <v>239</v>
      </c>
      <c r="Q1045" s="231">
        <v>51</v>
      </c>
      <c r="R1045" s="231" t="s">
        <v>239</v>
      </c>
      <c r="S1045" s="231">
        <v>51</v>
      </c>
      <c r="T1045" s="231" t="s">
        <v>239</v>
      </c>
      <c r="U1045" s="231">
        <v>51</v>
      </c>
      <c r="V1045" s="230" t="s">
        <v>239</v>
      </c>
      <c r="W1045" s="231">
        <v>51</v>
      </c>
      <c r="X1045" s="231" t="s">
        <v>239</v>
      </c>
      <c r="Y1045" s="231">
        <v>51</v>
      </c>
      <c r="Z1045" s="231" t="s">
        <v>239</v>
      </c>
      <c r="AA1045" s="231">
        <v>51</v>
      </c>
      <c r="AB1045" s="231" t="s">
        <v>239</v>
      </c>
      <c r="AC1045" s="231">
        <v>51</v>
      </c>
      <c r="AD1045" s="231" t="s">
        <v>239</v>
      </c>
      <c r="AE1045" s="231">
        <v>51</v>
      </c>
      <c r="AF1045" s="231" t="s">
        <v>239</v>
      </c>
      <c r="AG1045" s="231">
        <v>51</v>
      </c>
      <c r="AH1045" s="231" t="s">
        <v>239</v>
      </c>
      <c r="AI1045" s="231">
        <v>51</v>
      </c>
      <c r="AJ1045" s="231" t="s">
        <v>239</v>
      </c>
      <c r="AK1045" s="231">
        <v>51</v>
      </c>
      <c r="AL1045" s="232" t="s">
        <v>239</v>
      </c>
      <c r="AM1045" s="232">
        <v>0</v>
      </c>
    </row>
    <row r="1046" spans="1:39" ht="15.75" outlineLevel="1">
      <c r="A1046" s="412"/>
      <c r="B1046" s="10">
        <v>129518</v>
      </c>
      <c r="C1046" s="218" t="s">
        <v>1489</v>
      </c>
      <c r="D1046" s="218" t="s">
        <v>1490</v>
      </c>
      <c r="E1046" s="23" t="s">
        <v>138</v>
      </c>
      <c r="F1046" s="17" t="s">
        <v>45</v>
      </c>
      <c r="G1046" s="11" t="s">
        <v>1432</v>
      </c>
      <c r="H1046" s="12">
        <v>17</v>
      </c>
      <c r="I1046" s="11" t="s">
        <v>1433</v>
      </c>
      <c r="J1046" s="193" t="s">
        <v>1454</v>
      </c>
      <c r="K1046" s="17" t="s">
        <v>233</v>
      </c>
      <c r="L1046" s="17" t="s">
        <v>233</v>
      </c>
      <c r="M1046" s="231">
        <v>21883</v>
      </c>
      <c r="N1046" s="232">
        <v>21617.340379999998</v>
      </c>
      <c r="O1046" s="132">
        <v>1165</v>
      </c>
      <c r="P1046" s="231" t="s">
        <v>239</v>
      </c>
      <c r="Q1046" s="232">
        <v>1165</v>
      </c>
      <c r="R1046" s="231" t="s">
        <v>239</v>
      </c>
      <c r="S1046" s="232">
        <v>1042</v>
      </c>
      <c r="T1046" s="231" t="s">
        <v>239</v>
      </c>
      <c r="U1046" s="232">
        <v>1299</v>
      </c>
      <c r="V1046" s="231" t="s">
        <v>239</v>
      </c>
      <c r="W1046" s="232">
        <v>986</v>
      </c>
      <c r="X1046" s="231" t="s">
        <v>239</v>
      </c>
      <c r="Y1046" s="232">
        <v>671</v>
      </c>
      <c r="Z1046" s="231" t="s">
        <v>239</v>
      </c>
      <c r="AA1046" s="232">
        <v>1148</v>
      </c>
      <c r="AB1046" s="231" t="s">
        <v>239</v>
      </c>
      <c r="AC1046" s="232">
        <v>1151</v>
      </c>
      <c r="AD1046" s="231" t="s">
        <v>239</v>
      </c>
      <c r="AE1046" s="232">
        <v>1055</v>
      </c>
      <c r="AF1046" s="231" t="s">
        <v>239</v>
      </c>
      <c r="AG1046" s="232">
        <v>661</v>
      </c>
      <c r="AH1046" s="231" t="s">
        <v>239</v>
      </c>
      <c r="AI1046" s="232">
        <v>647</v>
      </c>
      <c r="AJ1046" s="231" t="s">
        <v>239</v>
      </c>
      <c r="AK1046" s="232">
        <v>1209</v>
      </c>
      <c r="AL1046" s="232" t="s">
        <v>239</v>
      </c>
      <c r="AM1046" s="232">
        <v>12199</v>
      </c>
    </row>
    <row r="1047" spans="1:39" ht="15.75" outlineLevel="1">
      <c r="A1047" s="411">
        <v>519</v>
      </c>
      <c r="B1047" s="10">
        <v>129519</v>
      </c>
      <c r="C1047" s="218" t="s">
        <v>1489</v>
      </c>
      <c r="D1047" s="218" t="s">
        <v>1490</v>
      </c>
      <c r="E1047" s="23" t="s">
        <v>44</v>
      </c>
      <c r="F1047" s="17" t="s">
        <v>45</v>
      </c>
      <c r="G1047" s="11" t="s">
        <v>1432</v>
      </c>
      <c r="H1047" s="12">
        <v>28</v>
      </c>
      <c r="I1047" s="11" t="s">
        <v>1433</v>
      </c>
      <c r="J1047" s="191" t="s">
        <v>216</v>
      </c>
      <c r="K1047" s="17" t="s">
        <v>233</v>
      </c>
      <c r="L1047" s="17" t="s">
        <v>233</v>
      </c>
      <c r="M1047" s="231">
        <v>20</v>
      </c>
      <c r="N1047" s="231">
        <v>20</v>
      </c>
      <c r="O1047" s="231">
        <v>20</v>
      </c>
      <c r="P1047" s="231" t="s">
        <v>239</v>
      </c>
      <c r="Q1047" s="231">
        <v>20</v>
      </c>
      <c r="R1047" s="231" t="s">
        <v>239</v>
      </c>
      <c r="S1047" s="231">
        <v>20</v>
      </c>
      <c r="T1047" s="231" t="s">
        <v>239</v>
      </c>
      <c r="U1047" s="231">
        <v>20</v>
      </c>
      <c r="V1047" s="231" t="s">
        <v>239</v>
      </c>
      <c r="W1047" s="231">
        <v>20</v>
      </c>
      <c r="X1047" s="231" t="s">
        <v>239</v>
      </c>
      <c r="Y1047" s="231">
        <v>20</v>
      </c>
      <c r="Z1047" s="231" t="s">
        <v>239</v>
      </c>
      <c r="AA1047" s="231">
        <v>20</v>
      </c>
      <c r="AB1047" s="231" t="s">
        <v>239</v>
      </c>
      <c r="AC1047" s="231">
        <v>20</v>
      </c>
      <c r="AD1047" s="231" t="s">
        <v>239</v>
      </c>
      <c r="AE1047" s="231">
        <v>20</v>
      </c>
      <c r="AF1047" s="231" t="s">
        <v>239</v>
      </c>
      <c r="AG1047" s="231">
        <v>20</v>
      </c>
      <c r="AH1047" s="231" t="s">
        <v>239</v>
      </c>
      <c r="AI1047" s="231">
        <v>20</v>
      </c>
      <c r="AJ1047" s="231" t="s">
        <v>239</v>
      </c>
      <c r="AK1047" s="231">
        <v>20</v>
      </c>
      <c r="AL1047" s="232" t="s">
        <v>239</v>
      </c>
      <c r="AM1047" s="232">
        <v>0</v>
      </c>
    </row>
    <row r="1048" spans="1:39" ht="15.75" outlineLevel="1">
      <c r="A1048" s="412"/>
      <c r="B1048" s="10">
        <v>129519</v>
      </c>
      <c r="C1048" s="218" t="s">
        <v>1489</v>
      </c>
      <c r="D1048" s="218" t="s">
        <v>1490</v>
      </c>
      <c r="E1048" s="23" t="s">
        <v>44</v>
      </c>
      <c r="F1048" s="17" t="s">
        <v>45</v>
      </c>
      <c r="G1048" s="11" t="s">
        <v>1432</v>
      </c>
      <c r="H1048" s="12">
        <v>33</v>
      </c>
      <c r="I1048" s="11" t="s">
        <v>1433</v>
      </c>
      <c r="J1048" s="192" t="s">
        <v>1434</v>
      </c>
      <c r="K1048" s="17" t="s">
        <v>233</v>
      </c>
      <c r="L1048" s="17" t="s">
        <v>233</v>
      </c>
      <c r="M1048" s="231">
        <v>15457</v>
      </c>
      <c r="N1048" s="232">
        <v>15269.35202</v>
      </c>
      <c r="O1048" s="132">
        <v>485</v>
      </c>
      <c r="P1048" s="231" t="s">
        <v>239</v>
      </c>
      <c r="Q1048" s="232">
        <v>485</v>
      </c>
      <c r="R1048" s="231" t="s">
        <v>239</v>
      </c>
      <c r="S1048" s="232">
        <v>449</v>
      </c>
      <c r="T1048" s="231" t="s">
        <v>239</v>
      </c>
      <c r="U1048" s="232">
        <v>79</v>
      </c>
      <c r="V1048" s="230" t="s">
        <v>239</v>
      </c>
      <c r="W1048" s="232">
        <v>896</v>
      </c>
      <c r="X1048" s="231" t="s">
        <v>239</v>
      </c>
      <c r="Y1048" s="232">
        <v>155</v>
      </c>
      <c r="Z1048" s="231" t="s">
        <v>239</v>
      </c>
      <c r="AA1048" s="232">
        <v>1338</v>
      </c>
      <c r="AB1048" s="231" t="s">
        <v>239</v>
      </c>
      <c r="AC1048" s="232">
        <v>295</v>
      </c>
      <c r="AD1048" s="231" t="s">
        <v>239</v>
      </c>
      <c r="AE1048" s="232">
        <v>455</v>
      </c>
      <c r="AF1048" s="231" t="s">
        <v>239</v>
      </c>
      <c r="AG1048" s="232">
        <v>154</v>
      </c>
      <c r="AH1048" s="231" t="s">
        <v>239</v>
      </c>
      <c r="AI1048" s="232">
        <v>1129</v>
      </c>
      <c r="AJ1048" s="231" t="s">
        <v>239</v>
      </c>
      <c r="AK1048" s="232">
        <v>856</v>
      </c>
      <c r="AL1048" s="232" t="s">
        <v>239</v>
      </c>
      <c r="AM1048" s="232">
        <v>6776</v>
      </c>
    </row>
    <row r="1049" spans="1:39" ht="15.75" outlineLevel="1">
      <c r="A1049" s="411">
        <v>520</v>
      </c>
      <c r="B1049" s="10">
        <v>129520</v>
      </c>
      <c r="C1049" s="218" t="s">
        <v>1489</v>
      </c>
      <c r="D1049" s="218" t="s">
        <v>1490</v>
      </c>
      <c r="E1049" s="23" t="s">
        <v>138</v>
      </c>
      <c r="F1049" s="17" t="s">
        <v>45</v>
      </c>
      <c r="G1049" s="11" t="s">
        <v>1432</v>
      </c>
      <c r="H1049" s="12">
        <v>24</v>
      </c>
      <c r="I1049" s="11" t="s">
        <v>1433</v>
      </c>
      <c r="J1049" s="192" t="s">
        <v>1480</v>
      </c>
      <c r="K1049" s="17" t="s">
        <v>233</v>
      </c>
      <c r="L1049" s="17" t="s">
        <v>233</v>
      </c>
      <c r="M1049" s="231">
        <v>51</v>
      </c>
      <c r="N1049" s="231">
        <v>51</v>
      </c>
      <c r="O1049" s="231">
        <v>51</v>
      </c>
      <c r="P1049" s="231" t="s">
        <v>239</v>
      </c>
      <c r="Q1049" s="231">
        <v>51</v>
      </c>
      <c r="R1049" s="231" t="s">
        <v>239</v>
      </c>
      <c r="S1049" s="231">
        <v>51</v>
      </c>
      <c r="T1049" s="231" t="s">
        <v>239</v>
      </c>
      <c r="U1049" s="231">
        <v>51</v>
      </c>
      <c r="V1049" s="231" t="s">
        <v>239</v>
      </c>
      <c r="W1049" s="231">
        <v>51</v>
      </c>
      <c r="X1049" s="231" t="s">
        <v>239</v>
      </c>
      <c r="Y1049" s="231">
        <v>51</v>
      </c>
      <c r="Z1049" s="231" t="s">
        <v>239</v>
      </c>
      <c r="AA1049" s="231">
        <v>51</v>
      </c>
      <c r="AB1049" s="231" t="s">
        <v>239</v>
      </c>
      <c r="AC1049" s="231">
        <v>51</v>
      </c>
      <c r="AD1049" s="231" t="s">
        <v>239</v>
      </c>
      <c r="AE1049" s="231">
        <v>51</v>
      </c>
      <c r="AF1049" s="231" t="s">
        <v>239</v>
      </c>
      <c r="AG1049" s="231">
        <v>51</v>
      </c>
      <c r="AH1049" s="231" t="s">
        <v>239</v>
      </c>
      <c r="AI1049" s="231">
        <v>51</v>
      </c>
      <c r="AJ1049" s="231" t="s">
        <v>239</v>
      </c>
      <c r="AK1049" s="231">
        <v>51</v>
      </c>
      <c r="AL1049" s="232" t="s">
        <v>239</v>
      </c>
      <c r="AM1049" s="232">
        <v>0</v>
      </c>
    </row>
    <row r="1050" spans="1:39" ht="15.75" outlineLevel="1">
      <c r="A1050" s="412"/>
      <c r="B1050" s="10">
        <v>129520</v>
      </c>
      <c r="C1050" s="218" t="s">
        <v>1489</v>
      </c>
      <c r="D1050" s="218" t="s">
        <v>1490</v>
      </c>
      <c r="E1050" s="23" t="s">
        <v>44</v>
      </c>
      <c r="F1050" s="17" t="s">
        <v>45</v>
      </c>
      <c r="G1050" s="11" t="s">
        <v>1432</v>
      </c>
      <c r="H1050" s="12">
        <v>10</v>
      </c>
      <c r="I1050" s="11" t="s">
        <v>1433</v>
      </c>
      <c r="J1050" s="192" t="s">
        <v>1452</v>
      </c>
      <c r="K1050" s="17" t="s">
        <v>233</v>
      </c>
      <c r="L1050" s="17" t="s">
        <v>233</v>
      </c>
      <c r="M1050" s="231">
        <v>0</v>
      </c>
      <c r="N1050" s="232">
        <v>0</v>
      </c>
      <c r="O1050" s="132">
        <v>554</v>
      </c>
      <c r="P1050" s="231" t="s">
        <v>239</v>
      </c>
      <c r="Q1050" s="232">
        <v>554</v>
      </c>
      <c r="R1050" s="231" t="s">
        <v>239</v>
      </c>
      <c r="S1050" s="232">
        <v>459</v>
      </c>
      <c r="T1050" s="231" t="s">
        <v>239</v>
      </c>
      <c r="U1050" s="232">
        <v>573</v>
      </c>
      <c r="V1050" s="231" t="s">
        <v>239</v>
      </c>
      <c r="W1050" s="232">
        <v>380</v>
      </c>
      <c r="X1050" s="231" t="s">
        <v>239</v>
      </c>
      <c r="Y1050" s="232">
        <v>59</v>
      </c>
      <c r="Z1050" s="231" t="s">
        <v>239</v>
      </c>
      <c r="AA1050" s="232">
        <v>1153</v>
      </c>
      <c r="AB1050" s="231" t="s">
        <v>239</v>
      </c>
      <c r="AC1050" s="232">
        <v>484</v>
      </c>
      <c r="AD1050" s="231" t="s">
        <v>239</v>
      </c>
      <c r="AE1050" s="232">
        <v>427</v>
      </c>
      <c r="AF1050" s="231" t="s">
        <v>239</v>
      </c>
      <c r="AG1050" s="232">
        <v>51</v>
      </c>
      <c r="AH1050" s="231" t="s">
        <v>239</v>
      </c>
      <c r="AI1050" s="232">
        <v>58</v>
      </c>
      <c r="AJ1050" s="231" t="s">
        <v>239</v>
      </c>
      <c r="AK1050" s="232">
        <v>469</v>
      </c>
      <c r="AL1050" s="232" t="s">
        <v>239</v>
      </c>
      <c r="AM1050" s="232">
        <v>5221</v>
      </c>
    </row>
    <row r="1051" spans="1:39" ht="15.75" outlineLevel="1">
      <c r="A1051" s="411">
        <v>521</v>
      </c>
      <c r="B1051" s="10">
        <v>129521</v>
      </c>
      <c r="C1051" s="218" t="s">
        <v>1489</v>
      </c>
      <c r="D1051" s="218" t="s">
        <v>1490</v>
      </c>
      <c r="E1051" s="23" t="s">
        <v>138</v>
      </c>
      <c r="F1051" s="17" t="s">
        <v>45</v>
      </c>
      <c r="G1051" s="11" t="s">
        <v>1432</v>
      </c>
      <c r="H1051" s="12">
        <v>17</v>
      </c>
      <c r="I1051" s="11" t="s">
        <v>1433</v>
      </c>
      <c r="J1051" s="374" t="s">
        <v>207</v>
      </c>
      <c r="K1051" s="17" t="s">
        <v>233</v>
      </c>
      <c r="L1051" s="17" t="s">
        <v>233</v>
      </c>
      <c r="M1051" s="231">
        <v>24.2</v>
      </c>
      <c r="N1051" s="231">
        <v>24.2</v>
      </c>
      <c r="O1051" s="231">
        <v>24.2</v>
      </c>
      <c r="P1051" s="231" t="s">
        <v>239</v>
      </c>
      <c r="Q1051" s="231">
        <v>24.2</v>
      </c>
      <c r="R1051" s="231" t="s">
        <v>239</v>
      </c>
      <c r="S1051" s="231">
        <v>24.2</v>
      </c>
      <c r="T1051" s="231" t="s">
        <v>239</v>
      </c>
      <c r="U1051" s="231">
        <v>24.2</v>
      </c>
      <c r="V1051" s="230" t="s">
        <v>239</v>
      </c>
      <c r="W1051" s="231">
        <v>24.2</v>
      </c>
      <c r="X1051" s="231" t="s">
        <v>239</v>
      </c>
      <c r="Y1051" s="231">
        <v>24.2</v>
      </c>
      <c r="Z1051" s="231" t="s">
        <v>239</v>
      </c>
      <c r="AA1051" s="231">
        <v>24.2</v>
      </c>
      <c r="AB1051" s="231" t="s">
        <v>239</v>
      </c>
      <c r="AC1051" s="231">
        <v>24.2</v>
      </c>
      <c r="AD1051" s="231" t="s">
        <v>239</v>
      </c>
      <c r="AE1051" s="231">
        <v>24.2</v>
      </c>
      <c r="AF1051" s="231" t="s">
        <v>239</v>
      </c>
      <c r="AG1051" s="231">
        <v>24.2</v>
      </c>
      <c r="AH1051" s="231" t="s">
        <v>239</v>
      </c>
      <c r="AI1051" s="231">
        <v>24.2</v>
      </c>
      <c r="AJ1051" s="231" t="s">
        <v>239</v>
      </c>
      <c r="AK1051" s="231">
        <v>24.2</v>
      </c>
      <c r="AL1051" s="232" t="s">
        <v>239</v>
      </c>
      <c r="AM1051" s="232">
        <v>0</v>
      </c>
    </row>
    <row r="1052" spans="1:39" ht="15.75" outlineLevel="1">
      <c r="A1052" s="412"/>
      <c r="B1052" s="10">
        <v>129521</v>
      </c>
      <c r="C1052" s="218" t="s">
        <v>1489</v>
      </c>
      <c r="D1052" s="218" t="s">
        <v>1490</v>
      </c>
      <c r="E1052" s="23" t="s">
        <v>44</v>
      </c>
      <c r="F1052" s="17" t="s">
        <v>45</v>
      </c>
      <c r="G1052" s="11" t="s">
        <v>1432</v>
      </c>
      <c r="H1052" s="12">
        <v>32</v>
      </c>
      <c r="I1052" s="11" t="s">
        <v>1433</v>
      </c>
      <c r="J1052" s="375"/>
      <c r="K1052" s="17" t="s">
        <v>233</v>
      </c>
      <c r="L1052" s="17" t="s">
        <v>233</v>
      </c>
      <c r="M1052" s="231">
        <v>0</v>
      </c>
      <c r="N1052" s="232">
        <v>0</v>
      </c>
      <c r="O1052" s="132">
        <v>788</v>
      </c>
      <c r="P1052" s="231" t="s">
        <v>239</v>
      </c>
      <c r="Q1052" s="232">
        <v>788</v>
      </c>
      <c r="R1052" s="231" t="s">
        <v>239</v>
      </c>
      <c r="S1052" s="232">
        <v>663</v>
      </c>
      <c r="T1052" s="231" t="s">
        <v>239</v>
      </c>
      <c r="U1052" s="232">
        <v>667</v>
      </c>
      <c r="V1052" s="231" t="s">
        <v>239</v>
      </c>
      <c r="W1052" s="232">
        <v>258</v>
      </c>
      <c r="X1052" s="231" t="s">
        <v>239</v>
      </c>
      <c r="Y1052" s="232">
        <v>161</v>
      </c>
      <c r="Z1052" s="231" t="s">
        <v>239</v>
      </c>
      <c r="AA1052" s="232">
        <v>1047</v>
      </c>
      <c r="AB1052" s="231" t="s">
        <v>239</v>
      </c>
      <c r="AC1052" s="232">
        <v>759</v>
      </c>
      <c r="AD1052" s="231" t="s">
        <v>239</v>
      </c>
      <c r="AE1052" s="232">
        <v>746</v>
      </c>
      <c r="AF1052" s="231" t="s">
        <v>239</v>
      </c>
      <c r="AG1052" s="232">
        <v>625</v>
      </c>
      <c r="AH1052" s="231" t="s">
        <v>239</v>
      </c>
      <c r="AI1052" s="232">
        <v>622</v>
      </c>
      <c r="AJ1052" s="231" t="s">
        <v>239</v>
      </c>
      <c r="AK1052" s="232">
        <v>678</v>
      </c>
      <c r="AL1052" s="232" t="s">
        <v>239</v>
      </c>
      <c r="AM1052" s="232">
        <v>7802</v>
      </c>
    </row>
    <row r="1053" spans="1:39" ht="15.75" outlineLevel="1">
      <c r="A1053" s="411">
        <v>522</v>
      </c>
      <c r="B1053" s="10">
        <v>129522</v>
      </c>
      <c r="C1053" s="218" t="s">
        <v>1489</v>
      </c>
      <c r="D1053" s="218" t="s">
        <v>1490</v>
      </c>
      <c r="E1053" s="23" t="s">
        <v>44</v>
      </c>
      <c r="F1053" s="17" t="s">
        <v>45</v>
      </c>
      <c r="G1053" s="11" t="s">
        <v>1432</v>
      </c>
      <c r="H1053" s="12">
        <v>8</v>
      </c>
      <c r="I1053" s="11" t="s">
        <v>1433</v>
      </c>
      <c r="J1053" s="193" t="s">
        <v>1451</v>
      </c>
      <c r="K1053" s="17" t="s">
        <v>233</v>
      </c>
      <c r="L1053" s="17" t="s">
        <v>233</v>
      </c>
      <c r="M1053" s="231">
        <v>39</v>
      </c>
      <c r="N1053" s="231">
        <v>39</v>
      </c>
      <c r="O1053" s="231">
        <v>39</v>
      </c>
      <c r="P1053" s="231" t="s">
        <v>239</v>
      </c>
      <c r="Q1053" s="231">
        <v>39</v>
      </c>
      <c r="R1053" s="231" t="s">
        <v>239</v>
      </c>
      <c r="S1053" s="231">
        <v>39</v>
      </c>
      <c r="T1053" s="231" t="s">
        <v>239</v>
      </c>
      <c r="U1053" s="231">
        <v>39</v>
      </c>
      <c r="V1053" s="231" t="s">
        <v>239</v>
      </c>
      <c r="W1053" s="231">
        <v>39</v>
      </c>
      <c r="X1053" s="231" t="s">
        <v>239</v>
      </c>
      <c r="Y1053" s="231">
        <v>39</v>
      </c>
      <c r="Z1053" s="231" t="s">
        <v>239</v>
      </c>
      <c r="AA1053" s="231">
        <v>39</v>
      </c>
      <c r="AB1053" s="231" t="s">
        <v>239</v>
      </c>
      <c r="AC1053" s="231">
        <v>39</v>
      </c>
      <c r="AD1053" s="231" t="s">
        <v>239</v>
      </c>
      <c r="AE1053" s="231">
        <v>39</v>
      </c>
      <c r="AF1053" s="231" t="s">
        <v>239</v>
      </c>
      <c r="AG1053" s="231">
        <v>39</v>
      </c>
      <c r="AH1053" s="231" t="s">
        <v>239</v>
      </c>
      <c r="AI1053" s="231">
        <v>39</v>
      </c>
      <c r="AJ1053" s="231" t="s">
        <v>239</v>
      </c>
      <c r="AK1053" s="231">
        <v>39</v>
      </c>
      <c r="AL1053" s="232" t="s">
        <v>239</v>
      </c>
      <c r="AM1053" s="232">
        <v>0</v>
      </c>
    </row>
    <row r="1054" spans="1:39" ht="15.75" outlineLevel="1">
      <c r="A1054" s="412"/>
      <c r="B1054" s="10">
        <v>129522</v>
      </c>
      <c r="C1054" s="218" t="s">
        <v>1489</v>
      </c>
      <c r="D1054" s="218" t="s">
        <v>1490</v>
      </c>
      <c r="E1054" s="23" t="s">
        <v>138</v>
      </c>
      <c r="F1054" s="17" t="s">
        <v>45</v>
      </c>
      <c r="G1054" s="11" t="s">
        <v>1432</v>
      </c>
      <c r="H1054" s="12">
        <v>12</v>
      </c>
      <c r="I1054" s="11" t="s">
        <v>1433</v>
      </c>
      <c r="J1054" s="193" t="s">
        <v>208</v>
      </c>
      <c r="K1054" s="17" t="s">
        <v>233</v>
      </c>
      <c r="L1054" s="17" t="s">
        <v>233</v>
      </c>
      <c r="M1054" s="231">
        <v>8135</v>
      </c>
      <c r="N1054" s="232">
        <v>8036.2410999999993</v>
      </c>
      <c r="O1054" s="132">
        <v>1006</v>
      </c>
      <c r="P1054" s="231" t="s">
        <v>239</v>
      </c>
      <c r="Q1054" s="232">
        <v>1006</v>
      </c>
      <c r="R1054" s="231" t="s">
        <v>239</v>
      </c>
      <c r="S1054" s="232">
        <v>927</v>
      </c>
      <c r="T1054" s="231" t="s">
        <v>239</v>
      </c>
      <c r="U1054" s="232">
        <v>958</v>
      </c>
      <c r="V1054" s="230" t="s">
        <v>239</v>
      </c>
      <c r="W1054" s="232">
        <v>954</v>
      </c>
      <c r="X1054" s="231" t="s">
        <v>239</v>
      </c>
      <c r="Y1054" s="232">
        <v>858</v>
      </c>
      <c r="Z1054" s="231" t="s">
        <v>239</v>
      </c>
      <c r="AA1054" s="232">
        <v>823</v>
      </c>
      <c r="AB1054" s="231" t="s">
        <v>239</v>
      </c>
      <c r="AC1054" s="232">
        <v>771</v>
      </c>
      <c r="AD1054" s="231" t="s">
        <v>239</v>
      </c>
      <c r="AE1054" s="232">
        <v>871</v>
      </c>
      <c r="AF1054" s="231" t="s">
        <v>239</v>
      </c>
      <c r="AG1054" s="232">
        <v>852</v>
      </c>
      <c r="AH1054" s="231" t="s">
        <v>239</v>
      </c>
      <c r="AI1054" s="232">
        <v>718</v>
      </c>
      <c r="AJ1054" s="231" t="s">
        <v>239</v>
      </c>
      <c r="AK1054" s="232">
        <v>1001</v>
      </c>
      <c r="AL1054" s="232" t="s">
        <v>239</v>
      </c>
      <c r="AM1054" s="232">
        <v>10745</v>
      </c>
    </row>
    <row r="1055" spans="1:39" ht="15.75" outlineLevel="1">
      <c r="A1055" s="411">
        <v>523</v>
      </c>
      <c r="B1055" s="10">
        <v>129523</v>
      </c>
      <c r="C1055" s="218" t="s">
        <v>1489</v>
      </c>
      <c r="D1055" s="218" t="s">
        <v>1490</v>
      </c>
      <c r="E1055" s="23" t="s">
        <v>44</v>
      </c>
      <c r="F1055" s="17" t="s">
        <v>45</v>
      </c>
      <c r="G1055" s="11" t="s">
        <v>1432</v>
      </c>
      <c r="H1055" s="12">
        <v>18</v>
      </c>
      <c r="I1055" s="11" t="s">
        <v>1433</v>
      </c>
      <c r="J1055" s="193" t="s">
        <v>1452</v>
      </c>
      <c r="K1055" s="17" t="s">
        <v>233</v>
      </c>
      <c r="L1055" s="17" t="s">
        <v>233</v>
      </c>
      <c r="M1055" s="231">
        <v>51</v>
      </c>
      <c r="N1055" s="231">
        <v>51</v>
      </c>
      <c r="O1055" s="231">
        <v>51</v>
      </c>
      <c r="P1055" s="231" t="s">
        <v>239</v>
      </c>
      <c r="Q1055" s="231">
        <v>51</v>
      </c>
      <c r="R1055" s="231" t="s">
        <v>239</v>
      </c>
      <c r="S1055" s="231">
        <v>51</v>
      </c>
      <c r="T1055" s="231" t="s">
        <v>239</v>
      </c>
      <c r="U1055" s="231">
        <v>51</v>
      </c>
      <c r="V1055" s="231" t="s">
        <v>239</v>
      </c>
      <c r="W1055" s="231">
        <v>51</v>
      </c>
      <c r="X1055" s="231" t="s">
        <v>239</v>
      </c>
      <c r="Y1055" s="231">
        <v>51</v>
      </c>
      <c r="Z1055" s="231" t="s">
        <v>239</v>
      </c>
      <c r="AA1055" s="231">
        <v>51</v>
      </c>
      <c r="AB1055" s="231" t="s">
        <v>239</v>
      </c>
      <c r="AC1055" s="231">
        <v>51</v>
      </c>
      <c r="AD1055" s="231" t="s">
        <v>239</v>
      </c>
      <c r="AE1055" s="231">
        <v>51</v>
      </c>
      <c r="AF1055" s="231" t="s">
        <v>239</v>
      </c>
      <c r="AG1055" s="231">
        <v>51</v>
      </c>
      <c r="AH1055" s="231" t="s">
        <v>239</v>
      </c>
      <c r="AI1055" s="231">
        <v>51</v>
      </c>
      <c r="AJ1055" s="231" t="s">
        <v>239</v>
      </c>
      <c r="AK1055" s="231">
        <v>51</v>
      </c>
      <c r="AL1055" s="232" t="s">
        <v>239</v>
      </c>
      <c r="AM1055" s="232">
        <v>0</v>
      </c>
    </row>
    <row r="1056" spans="1:39" ht="15.75" outlineLevel="1">
      <c r="A1056" s="412"/>
      <c r="B1056" s="10">
        <v>129523</v>
      </c>
      <c r="C1056" s="218" t="s">
        <v>1489</v>
      </c>
      <c r="D1056" s="218" t="s">
        <v>1490</v>
      </c>
      <c r="E1056" s="23" t="s">
        <v>138</v>
      </c>
      <c r="F1056" s="17" t="s">
        <v>45</v>
      </c>
      <c r="G1056" s="11" t="s">
        <v>1432</v>
      </c>
      <c r="H1056" s="12">
        <v>17</v>
      </c>
      <c r="I1056" s="11" t="s">
        <v>1433</v>
      </c>
      <c r="J1056" s="193" t="s">
        <v>216</v>
      </c>
      <c r="K1056" s="17" t="s">
        <v>233</v>
      </c>
      <c r="L1056" s="17" t="s">
        <v>233</v>
      </c>
      <c r="M1056" s="231">
        <v>4324</v>
      </c>
      <c r="N1056" s="232">
        <v>4271.5066399999996</v>
      </c>
      <c r="O1056" s="132">
        <v>778</v>
      </c>
      <c r="P1056" s="231" t="s">
        <v>239</v>
      </c>
      <c r="Q1056" s="232">
        <v>778</v>
      </c>
      <c r="R1056" s="231" t="s">
        <v>239</v>
      </c>
      <c r="S1056" s="232">
        <v>714</v>
      </c>
      <c r="T1056" s="231" t="s">
        <v>239</v>
      </c>
      <c r="U1056" s="232">
        <v>7960</v>
      </c>
      <c r="V1056" s="231" t="s">
        <v>239</v>
      </c>
      <c r="W1056" s="232">
        <v>762</v>
      </c>
      <c r="X1056" s="231" t="s">
        <v>239</v>
      </c>
      <c r="Y1056" s="232">
        <v>663</v>
      </c>
      <c r="Z1056" s="231" t="s">
        <v>239</v>
      </c>
      <c r="AA1056" s="232">
        <v>555</v>
      </c>
      <c r="AB1056" s="231" t="s">
        <v>239</v>
      </c>
      <c r="AC1056" s="232">
        <v>554</v>
      </c>
      <c r="AD1056" s="231" t="s">
        <v>239</v>
      </c>
      <c r="AE1056" s="232">
        <v>523</v>
      </c>
      <c r="AF1056" s="231" t="s">
        <v>239</v>
      </c>
      <c r="AG1056" s="232">
        <v>664</v>
      </c>
      <c r="AH1056" s="231" t="s">
        <v>239</v>
      </c>
      <c r="AI1056" s="232">
        <v>743</v>
      </c>
      <c r="AJ1056" s="231" t="s">
        <v>239</v>
      </c>
      <c r="AK1056" s="232">
        <v>831</v>
      </c>
      <c r="AL1056" s="232" t="s">
        <v>239</v>
      </c>
      <c r="AM1056" s="232">
        <v>15525</v>
      </c>
    </row>
    <row r="1057" spans="1:39" ht="15.75" outlineLevel="1">
      <c r="A1057" s="411">
        <v>524</v>
      </c>
      <c r="B1057" s="10">
        <v>129524</v>
      </c>
      <c r="C1057" s="218" t="s">
        <v>1489</v>
      </c>
      <c r="D1057" s="218" t="s">
        <v>1490</v>
      </c>
      <c r="E1057" s="23" t="s">
        <v>44</v>
      </c>
      <c r="F1057" s="17" t="s">
        <v>45</v>
      </c>
      <c r="G1057" s="11" t="s">
        <v>1432</v>
      </c>
      <c r="H1057" s="12">
        <v>25</v>
      </c>
      <c r="I1057" s="11" t="s">
        <v>1433</v>
      </c>
      <c r="J1057" s="193" t="s">
        <v>1453</v>
      </c>
      <c r="K1057" s="17" t="s">
        <v>233</v>
      </c>
      <c r="L1057" s="17" t="s">
        <v>233</v>
      </c>
      <c r="M1057" s="231">
        <v>45</v>
      </c>
      <c r="N1057" s="231">
        <v>45</v>
      </c>
      <c r="O1057" s="231">
        <v>45</v>
      </c>
      <c r="P1057" s="231" t="s">
        <v>239</v>
      </c>
      <c r="Q1057" s="231">
        <v>45</v>
      </c>
      <c r="R1057" s="231" t="s">
        <v>239</v>
      </c>
      <c r="S1057" s="231">
        <v>45</v>
      </c>
      <c r="T1057" s="231" t="s">
        <v>239</v>
      </c>
      <c r="U1057" s="231">
        <v>45</v>
      </c>
      <c r="V1057" s="230" t="s">
        <v>239</v>
      </c>
      <c r="W1057" s="231">
        <v>45</v>
      </c>
      <c r="X1057" s="231" t="s">
        <v>239</v>
      </c>
      <c r="Y1057" s="231">
        <v>45</v>
      </c>
      <c r="Z1057" s="231" t="s">
        <v>239</v>
      </c>
      <c r="AA1057" s="231">
        <v>45</v>
      </c>
      <c r="AB1057" s="231" t="s">
        <v>239</v>
      </c>
      <c r="AC1057" s="231">
        <v>45</v>
      </c>
      <c r="AD1057" s="231" t="s">
        <v>239</v>
      </c>
      <c r="AE1057" s="231">
        <v>45</v>
      </c>
      <c r="AF1057" s="231" t="s">
        <v>239</v>
      </c>
      <c r="AG1057" s="231">
        <v>45</v>
      </c>
      <c r="AH1057" s="231" t="s">
        <v>239</v>
      </c>
      <c r="AI1057" s="231">
        <v>45</v>
      </c>
      <c r="AJ1057" s="231" t="s">
        <v>239</v>
      </c>
      <c r="AK1057" s="231">
        <v>45</v>
      </c>
      <c r="AL1057" s="232" t="s">
        <v>239</v>
      </c>
      <c r="AM1057" s="232">
        <v>0</v>
      </c>
    </row>
    <row r="1058" spans="1:39" ht="15.75" outlineLevel="1">
      <c r="A1058" s="412"/>
      <c r="B1058" s="10">
        <v>129524</v>
      </c>
      <c r="C1058" s="218" t="s">
        <v>1489</v>
      </c>
      <c r="D1058" s="218" t="s">
        <v>1490</v>
      </c>
      <c r="E1058" s="23" t="s">
        <v>44</v>
      </c>
      <c r="F1058" s="17" t="s">
        <v>45</v>
      </c>
      <c r="G1058" s="11" t="s">
        <v>1432</v>
      </c>
      <c r="H1058" s="12">
        <v>13</v>
      </c>
      <c r="I1058" s="11" t="s">
        <v>1433</v>
      </c>
      <c r="J1058" s="193" t="s">
        <v>1454</v>
      </c>
      <c r="K1058" s="17" t="s">
        <v>233</v>
      </c>
      <c r="L1058" s="17" t="s">
        <v>233</v>
      </c>
      <c r="M1058" s="231">
        <v>6029</v>
      </c>
      <c r="N1058" s="232">
        <v>5955.8079399999997</v>
      </c>
      <c r="O1058" s="132">
        <v>1717</v>
      </c>
      <c r="P1058" s="231" t="s">
        <v>239</v>
      </c>
      <c r="Q1058" s="232">
        <v>1717</v>
      </c>
      <c r="R1058" s="231" t="s">
        <v>239</v>
      </c>
      <c r="S1058" s="232">
        <v>1715</v>
      </c>
      <c r="T1058" s="231" t="s">
        <v>239</v>
      </c>
      <c r="U1058" s="232">
        <v>1740</v>
      </c>
      <c r="V1058" s="231" t="s">
        <v>239</v>
      </c>
      <c r="W1058" s="232">
        <v>1792</v>
      </c>
      <c r="X1058" s="231" t="s">
        <v>239</v>
      </c>
      <c r="Y1058" s="232">
        <v>1474</v>
      </c>
      <c r="Z1058" s="231" t="s">
        <v>239</v>
      </c>
      <c r="AA1058" s="232">
        <v>1959</v>
      </c>
      <c r="AB1058" s="231" t="s">
        <v>239</v>
      </c>
      <c r="AC1058" s="232">
        <v>1656</v>
      </c>
      <c r="AD1058" s="231" t="s">
        <v>239</v>
      </c>
      <c r="AE1058" s="232">
        <v>1654</v>
      </c>
      <c r="AF1058" s="231" t="s">
        <v>239</v>
      </c>
      <c r="AG1058" s="232">
        <v>1454</v>
      </c>
      <c r="AH1058" s="231" t="s">
        <v>239</v>
      </c>
      <c r="AI1058" s="232">
        <v>1628</v>
      </c>
      <c r="AJ1058" s="231" t="s">
        <v>239</v>
      </c>
      <c r="AK1058" s="232">
        <v>1476</v>
      </c>
      <c r="AL1058" s="232" t="s">
        <v>239</v>
      </c>
      <c r="AM1058" s="232">
        <v>19982</v>
      </c>
    </row>
    <row r="1059" spans="1:39" ht="15.75" outlineLevel="1">
      <c r="A1059" s="411">
        <v>525</v>
      </c>
      <c r="B1059" s="10">
        <v>129525</v>
      </c>
      <c r="C1059" s="218" t="s">
        <v>1489</v>
      </c>
      <c r="D1059" s="218" t="s">
        <v>1490</v>
      </c>
      <c r="E1059" s="23" t="s">
        <v>138</v>
      </c>
      <c r="F1059" s="17" t="s">
        <v>45</v>
      </c>
      <c r="G1059" s="11" t="s">
        <v>1432</v>
      </c>
      <c r="H1059" s="12">
        <v>5</v>
      </c>
      <c r="I1059" s="11" t="s">
        <v>1433</v>
      </c>
      <c r="J1059" s="191" t="s">
        <v>216</v>
      </c>
      <c r="K1059" s="17" t="s">
        <v>233</v>
      </c>
      <c r="L1059" s="17" t="s">
        <v>233</v>
      </c>
      <c r="M1059" s="231">
        <v>66</v>
      </c>
      <c r="N1059" s="231">
        <v>66</v>
      </c>
      <c r="O1059" s="231">
        <v>66</v>
      </c>
      <c r="P1059" s="231" t="s">
        <v>239</v>
      </c>
      <c r="Q1059" s="231">
        <v>66</v>
      </c>
      <c r="R1059" s="231" t="s">
        <v>239</v>
      </c>
      <c r="S1059" s="231">
        <v>66</v>
      </c>
      <c r="T1059" s="231" t="s">
        <v>239</v>
      </c>
      <c r="U1059" s="231">
        <v>66</v>
      </c>
      <c r="V1059" s="231" t="s">
        <v>239</v>
      </c>
      <c r="W1059" s="231">
        <v>66</v>
      </c>
      <c r="X1059" s="231" t="s">
        <v>239</v>
      </c>
      <c r="Y1059" s="231">
        <v>66</v>
      </c>
      <c r="Z1059" s="231" t="s">
        <v>239</v>
      </c>
      <c r="AA1059" s="231">
        <v>66</v>
      </c>
      <c r="AB1059" s="231" t="s">
        <v>239</v>
      </c>
      <c r="AC1059" s="231">
        <v>66</v>
      </c>
      <c r="AD1059" s="231" t="s">
        <v>239</v>
      </c>
      <c r="AE1059" s="231">
        <v>66</v>
      </c>
      <c r="AF1059" s="231" t="s">
        <v>239</v>
      </c>
      <c r="AG1059" s="231">
        <v>66</v>
      </c>
      <c r="AH1059" s="231" t="s">
        <v>239</v>
      </c>
      <c r="AI1059" s="231">
        <v>66</v>
      </c>
      <c r="AJ1059" s="231" t="s">
        <v>239</v>
      </c>
      <c r="AK1059" s="231">
        <v>66</v>
      </c>
      <c r="AL1059" s="232" t="s">
        <v>239</v>
      </c>
      <c r="AM1059" s="232">
        <v>0</v>
      </c>
    </row>
    <row r="1060" spans="1:39" ht="15.75" outlineLevel="1">
      <c r="A1060" s="412"/>
      <c r="B1060" s="10">
        <v>129525</v>
      </c>
      <c r="C1060" s="218" t="s">
        <v>1489</v>
      </c>
      <c r="D1060" s="218" t="s">
        <v>1490</v>
      </c>
      <c r="E1060" s="23" t="s">
        <v>44</v>
      </c>
      <c r="F1060" s="17" t="s">
        <v>45</v>
      </c>
      <c r="G1060" s="11" t="s">
        <v>1432</v>
      </c>
      <c r="H1060" s="12">
        <v>4</v>
      </c>
      <c r="I1060" s="11" t="s">
        <v>1433</v>
      </c>
      <c r="J1060" s="192" t="s">
        <v>1434</v>
      </c>
      <c r="K1060" s="17" t="s">
        <v>233</v>
      </c>
      <c r="L1060" s="17" t="s">
        <v>233</v>
      </c>
      <c r="M1060" s="231">
        <v>18664</v>
      </c>
      <c r="N1060" s="232">
        <v>18437.419040000001</v>
      </c>
      <c r="O1060" s="132">
        <v>1692</v>
      </c>
      <c r="P1060" s="231" t="s">
        <v>239</v>
      </c>
      <c r="Q1060" s="232">
        <v>1692</v>
      </c>
      <c r="R1060" s="231" t="s">
        <v>239</v>
      </c>
      <c r="S1060" s="232">
        <v>1553</v>
      </c>
      <c r="T1060" s="231" t="s">
        <v>239</v>
      </c>
      <c r="U1060" s="232">
        <v>1609</v>
      </c>
      <c r="V1060" s="230" t="s">
        <v>239</v>
      </c>
      <c r="W1060" s="232">
        <v>1658</v>
      </c>
      <c r="X1060" s="231" t="s">
        <v>239</v>
      </c>
      <c r="Y1060" s="232">
        <v>1633</v>
      </c>
      <c r="Z1060" s="231" t="s">
        <v>239</v>
      </c>
      <c r="AA1060" s="232">
        <v>1895</v>
      </c>
      <c r="AB1060" s="231" t="s">
        <v>239</v>
      </c>
      <c r="AC1060" s="232">
        <v>1653</v>
      </c>
      <c r="AD1060" s="231" t="s">
        <v>239</v>
      </c>
      <c r="AE1060" s="232">
        <v>11604</v>
      </c>
      <c r="AF1060" s="231" t="s">
        <v>239</v>
      </c>
      <c r="AG1060" s="232">
        <v>1650</v>
      </c>
      <c r="AH1060" s="231" t="s">
        <v>239</v>
      </c>
      <c r="AI1060" s="232">
        <v>1762</v>
      </c>
      <c r="AJ1060" s="231" t="s">
        <v>239</v>
      </c>
      <c r="AK1060" s="232">
        <v>1816</v>
      </c>
      <c r="AL1060" s="232" t="s">
        <v>239</v>
      </c>
      <c r="AM1060" s="232">
        <v>30217</v>
      </c>
    </row>
    <row r="1061" spans="1:39" ht="15.75" outlineLevel="1">
      <c r="A1061" s="411">
        <v>526</v>
      </c>
      <c r="B1061" s="10">
        <v>129526</v>
      </c>
      <c r="C1061" s="218" t="s">
        <v>1489</v>
      </c>
      <c r="D1061" s="218" t="s">
        <v>1490</v>
      </c>
      <c r="E1061" s="23" t="s">
        <v>138</v>
      </c>
      <c r="F1061" s="17" t="s">
        <v>45</v>
      </c>
      <c r="G1061" s="11" t="s">
        <v>1432</v>
      </c>
      <c r="H1061" s="12">
        <v>18</v>
      </c>
      <c r="I1061" s="11" t="s">
        <v>1433</v>
      </c>
      <c r="J1061" s="192" t="s">
        <v>1480</v>
      </c>
      <c r="K1061" s="17" t="s">
        <v>233</v>
      </c>
      <c r="L1061" s="17" t="s">
        <v>233</v>
      </c>
      <c r="M1061" s="231">
        <v>12.5</v>
      </c>
      <c r="N1061" s="231">
        <v>12.5</v>
      </c>
      <c r="O1061" s="231">
        <v>12.5</v>
      </c>
      <c r="P1061" s="231" t="s">
        <v>239</v>
      </c>
      <c r="Q1061" s="231">
        <v>12.5</v>
      </c>
      <c r="R1061" s="231" t="s">
        <v>239</v>
      </c>
      <c r="S1061" s="231">
        <v>12.5</v>
      </c>
      <c r="T1061" s="231" t="s">
        <v>239</v>
      </c>
      <c r="U1061" s="231">
        <v>12.5</v>
      </c>
      <c r="V1061" s="231" t="s">
        <v>239</v>
      </c>
      <c r="W1061" s="231">
        <v>12.5</v>
      </c>
      <c r="X1061" s="231" t="s">
        <v>239</v>
      </c>
      <c r="Y1061" s="231">
        <v>12.5</v>
      </c>
      <c r="Z1061" s="231" t="s">
        <v>239</v>
      </c>
      <c r="AA1061" s="231">
        <v>12.5</v>
      </c>
      <c r="AB1061" s="231" t="s">
        <v>239</v>
      </c>
      <c r="AC1061" s="231">
        <v>12.5</v>
      </c>
      <c r="AD1061" s="231" t="s">
        <v>239</v>
      </c>
      <c r="AE1061" s="231">
        <v>12.5</v>
      </c>
      <c r="AF1061" s="231" t="s">
        <v>239</v>
      </c>
      <c r="AG1061" s="231">
        <v>12.5</v>
      </c>
      <c r="AH1061" s="231" t="s">
        <v>239</v>
      </c>
      <c r="AI1061" s="231">
        <v>12.5</v>
      </c>
      <c r="AJ1061" s="231" t="s">
        <v>239</v>
      </c>
      <c r="AK1061" s="231">
        <v>12.5</v>
      </c>
      <c r="AL1061" s="232" t="s">
        <v>239</v>
      </c>
      <c r="AM1061" s="232">
        <v>0</v>
      </c>
    </row>
    <row r="1062" spans="1:39" ht="15.75" outlineLevel="1">
      <c r="A1062" s="412"/>
      <c r="B1062" s="10">
        <v>129526</v>
      </c>
      <c r="C1062" s="218" t="s">
        <v>1489</v>
      </c>
      <c r="D1062" s="218" t="s">
        <v>1490</v>
      </c>
      <c r="E1062" s="23" t="s">
        <v>44</v>
      </c>
      <c r="F1062" s="17" t="s">
        <v>45</v>
      </c>
      <c r="G1062" s="11" t="s">
        <v>1432</v>
      </c>
      <c r="H1062" s="12">
        <v>17</v>
      </c>
      <c r="I1062" s="11" t="s">
        <v>1433</v>
      </c>
      <c r="J1062" s="192" t="s">
        <v>1452</v>
      </c>
      <c r="K1062" s="17" t="s">
        <v>233</v>
      </c>
      <c r="L1062" s="17" t="s">
        <v>233</v>
      </c>
      <c r="M1062" s="231">
        <v>42843</v>
      </c>
      <c r="N1062" s="232">
        <v>42322.885979999999</v>
      </c>
      <c r="O1062" s="132">
        <v>2919</v>
      </c>
      <c r="P1062" s="231" t="s">
        <v>239</v>
      </c>
      <c r="Q1062" s="232">
        <v>2919</v>
      </c>
      <c r="R1062" s="231" t="s">
        <v>239</v>
      </c>
      <c r="S1062" s="232">
        <v>2349</v>
      </c>
      <c r="T1062" s="231" t="s">
        <v>239</v>
      </c>
      <c r="U1062" s="232">
        <v>2429</v>
      </c>
      <c r="V1062" s="231" t="s">
        <v>239</v>
      </c>
      <c r="W1062" s="232">
        <v>2182</v>
      </c>
      <c r="X1062" s="231" t="s">
        <v>239</v>
      </c>
      <c r="Y1062" s="232">
        <v>2091</v>
      </c>
      <c r="Z1062" s="231" t="s">
        <v>239</v>
      </c>
      <c r="AA1062" s="232">
        <v>2320</v>
      </c>
      <c r="AB1062" s="231" t="s">
        <v>239</v>
      </c>
      <c r="AC1062" s="232">
        <v>2386</v>
      </c>
      <c r="AD1062" s="231" t="s">
        <v>239</v>
      </c>
      <c r="AE1062" s="232">
        <v>2305</v>
      </c>
      <c r="AF1062" s="231" t="s">
        <v>239</v>
      </c>
      <c r="AG1062" s="232">
        <v>2557</v>
      </c>
      <c r="AH1062" s="231" t="s">
        <v>239</v>
      </c>
      <c r="AI1062" s="232">
        <v>2259</v>
      </c>
      <c r="AJ1062" s="231" t="s">
        <v>239</v>
      </c>
      <c r="AK1062" s="232">
        <v>2119</v>
      </c>
      <c r="AL1062" s="232" t="s">
        <v>239</v>
      </c>
      <c r="AM1062" s="232">
        <v>28835</v>
      </c>
    </row>
    <row r="1063" spans="1:39" ht="15.75" outlineLevel="1">
      <c r="A1063" s="411">
        <v>527</v>
      </c>
      <c r="B1063" s="10">
        <v>129527</v>
      </c>
      <c r="C1063" s="218" t="s">
        <v>1489</v>
      </c>
      <c r="D1063" s="218" t="s">
        <v>1490</v>
      </c>
      <c r="E1063" s="23" t="s">
        <v>138</v>
      </c>
      <c r="F1063" s="17" t="s">
        <v>45</v>
      </c>
      <c r="G1063" s="11" t="s">
        <v>1432</v>
      </c>
      <c r="H1063" s="12">
        <v>28</v>
      </c>
      <c r="I1063" s="11" t="s">
        <v>1433</v>
      </c>
      <c r="J1063" s="374" t="s">
        <v>207</v>
      </c>
      <c r="K1063" s="17" t="s">
        <v>233</v>
      </c>
      <c r="L1063" s="17" t="s">
        <v>233</v>
      </c>
      <c r="M1063" s="231">
        <v>12.5</v>
      </c>
      <c r="N1063" s="231">
        <v>12.5</v>
      </c>
      <c r="O1063" s="231">
        <v>12.5</v>
      </c>
      <c r="P1063" s="231" t="s">
        <v>239</v>
      </c>
      <c r="Q1063" s="231">
        <v>12.5</v>
      </c>
      <c r="R1063" s="231" t="s">
        <v>239</v>
      </c>
      <c r="S1063" s="231">
        <v>12.5</v>
      </c>
      <c r="T1063" s="231" t="s">
        <v>239</v>
      </c>
      <c r="U1063" s="231">
        <v>12.5</v>
      </c>
      <c r="V1063" s="230" t="s">
        <v>239</v>
      </c>
      <c r="W1063" s="231">
        <v>12.5</v>
      </c>
      <c r="X1063" s="231" t="s">
        <v>239</v>
      </c>
      <c r="Y1063" s="231">
        <v>12.5</v>
      </c>
      <c r="Z1063" s="231" t="s">
        <v>239</v>
      </c>
      <c r="AA1063" s="231">
        <v>12.5</v>
      </c>
      <c r="AB1063" s="231" t="s">
        <v>239</v>
      </c>
      <c r="AC1063" s="231">
        <v>12.5</v>
      </c>
      <c r="AD1063" s="231" t="s">
        <v>239</v>
      </c>
      <c r="AE1063" s="231">
        <v>12.5</v>
      </c>
      <c r="AF1063" s="231" t="s">
        <v>239</v>
      </c>
      <c r="AG1063" s="231">
        <v>12.5</v>
      </c>
      <c r="AH1063" s="231" t="s">
        <v>239</v>
      </c>
      <c r="AI1063" s="231">
        <v>12.5</v>
      </c>
      <c r="AJ1063" s="231" t="s">
        <v>239</v>
      </c>
      <c r="AK1063" s="231">
        <v>12.5</v>
      </c>
      <c r="AL1063" s="232" t="s">
        <v>239</v>
      </c>
      <c r="AM1063" s="232">
        <v>0</v>
      </c>
    </row>
    <row r="1064" spans="1:39" ht="15.75" outlineLevel="1">
      <c r="A1064" s="412"/>
      <c r="B1064" s="10">
        <v>129527</v>
      </c>
      <c r="C1064" s="218" t="s">
        <v>1489</v>
      </c>
      <c r="D1064" s="218" t="s">
        <v>1490</v>
      </c>
      <c r="E1064" s="23" t="s">
        <v>44</v>
      </c>
      <c r="F1064" s="17" t="s">
        <v>45</v>
      </c>
      <c r="G1064" s="11" t="s">
        <v>1432</v>
      </c>
      <c r="H1064" s="12">
        <v>33</v>
      </c>
      <c r="I1064" s="11" t="s">
        <v>1433</v>
      </c>
      <c r="J1064" s="375"/>
      <c r="K1064" s="17" t="s">
        <v>233</v>
      </c>
      <c r="L1064" s="17" t="s">
        <v>233</v>
      </c>
      <c r="M1064" s="231">
        <v>0</v>
      </c>
      <c r="N1064" s="232">
        <v>0</v>
      </c>
      <c r="O1064" s="132">
        <v>0</v>
      </c>
      <c r="P1064" s="231" t="s">
        <v>239</v>
      </c>
      <c r="Q1064" s="232">
        <v>0</v>
      </c>
      <c r="R1064" s="231" t="s">
        <v>239</v>
      </c>
      <c r="S1064" s="232">
        <v>0</v>
      </c>
      <c r="T1064" s="231" t="s">
        <v>239</v>
      </c>
      <c r="U1064" s="232">
        <v>0</v>
      </c>
      <c r="V1064" s="231" t="s">
        <v>239</v>
      </c>
      <c r="W1064" s="232">
        <v>0</v>
      </c>
      <c r="X1064" s="231" t="s">
        <v>239</v>
      </c>
      <c r="Y1064" s="232">
        <v>0</v>
      </c>
      <c r="Z1064" s="231" t="s">
        <v>239</v>
      </c>
      <c r="AA1064" s="232">
        <v>0</v>
      </c>
      <c r="AB1064" s="231" t="s">
        <v>239</v>
      </c>
      <c r="AC1064" s="232">
        <v>0</v>
      </c>
      <c r="AD1064" s="231" t="s">
        <v>239</v>
      </c>
      <c r="AE1064" s="232">
        <v>0</v>
      </c>
      <c r="AF1064" s="231" t="s">
        <v>239</v>
      </c>
      <c r="AG1064" s="232">
        <v>0</v>
      </c>
      <c r="AH1064" s="231" t="s">
        <v>239</v>
      </c>
      <c r="AI1064" s="232">
        <v>0</v>
      </c>
      <c r="AJ1064" s="231" t="s">
        <v>239</v>
      </c>
      <c r="AK1064" s="232">
        <v>0</v>
      </c>
      <c r="AL1064" s="232" t="s">
        <v>239</v>
      </c>
      <c r="AM1064" s="232">
        <v>0</v>
      </c>
    </row>
    <row r="1065" spans="1:39" ht="15.75" outlineLevel="1">
      <c r="A1065" s="411">
        <v>528</v>
      </c>
      <c r="B1065" s="10">
        <v>129528</v>
      </c>
      <c r="C1065" s="218" t="s">
        <v>1489</v>
      </c>
      <c r="D1065" s="218" t="s">
        <v>1490</v>
      </c>
      <c r="E1065" s="23" t="s">
        <v>138</v>
      </c>
      <c r="F1065" s="17" t="s">
        <v>45</v>
      </c>
      <c r="G1065" s="11" t="s">
        <v>1432</v>
      </c>
      <c r="H1065" s="12">
        <v>25</v>
      </c>
      <c r="I1065" s="11" t="s">
        <v>1433</v>
      </c>
      <c r="J1065" s="193" t="s">
        <v>1460</v>
      </c>
      <c r="K1065" s="17" t="s">
        <v>233</v>
      </c>
      <c r="L1065" s="17" t="s">
        <v>233</v>
      </c>
      <c r="M1065" s="231">
        <v>7</v>
      </c>
      <c r="N1065" s="231">
        <v>7</v>
      </c>
      <c r="O1065" s="231">
        <v>7</v>
      </c>
      <c r="P1065" s="231" t="s">
        <v>239</v>
      </c>
      <c r="Q1065" s="231">
        <v>7</v>
      </c>
      <c r="R1065" s="231" t="s">
        <v>239</v>
      </c>
      <c r="S1065" s="231">
        <v>7</v>
      </c>
      <c r="T1065" s="231" t="s">
        <v>239</v>
      </c>
      <c r="U1065" s="231">
        <v>7</v>
      </c>
      <c r="V1065" s="231" t="s">
        <v>239</v>
      </c>
      <c r="W1065" s="231">
        <v>7</v>
      </c>
      <c r="X1065" s="231" t="s">
        <v>239</v>
      </c>
      <c r="Y1065" s="231">
        <v>7</v>
      </c>
      <c r="Z1065" s="231" t="s">
        <v>239</v>
      </c>
      <c r="AA1065" s="231">
        <v>7</v>
      </c>
      <c r="AB1065" s="231" t="s">
        <v>239</v>
      </c>
      <c r="AC1065" s="231">
        <v>7</v>
      </c>
      <c r="AD1065" s="231" t="s">
        <v>239</v>
      </c>
      <c r="AE1065" s="231">
        <v>7</v>
      </c>
      <c r="AF1065" s="231" t="s">
        <v>239</v>
      </c>
      <c r="AG1065" s="231">
        <v>7</v>
      </c>
      <c r="AH1065" s="231" t="s">
        <v>239</v>
      </c>
      <c r="AI1065" s="231">
        <v>7</v>
      </c>
      <c r="AJ1065" s="231" t="s">
        <v>239</v>
      </c>
      <c r="AK1065" s="231">
        <v>7</v>
      </c>
      <c r="AL1065" s="232" t="s">
        <v>239</v>
      </c>
      <c r="AM1065" s="232">
        <v>0</v>
      </c>
    </row>
    <row r="1066" spans="1:39" ht="15.75" outlineLevel="1">
      <c r="A1066" s="412"/>
      <c r="B1066" s="10">
        <v>129528</v>
      </c>
      <c r="C1066" s="218" t="s">
        <v>1489</v>
      </c>
      <c r="D1066" s="218" t="s">
        <v>1490</v>
      </c>
      <c r="E1066" s="23" t="s">
        <v>44</v>
      </c>
      <c r="F1066" s="17" t="s">
        <v>45</v>
      </c>
      <c r="G1066" s="11" t="s">
        <v>1432</v>
      </c>
      <c r="H1066" s="12">
        <v>9</v>
      </c>
      <c r="I1066" s="11" t="s">
        <v>1433</v>
      </c>
      <c r="J1066" s="193" t="s">
        <v>1442</v>
      </c>
      <c r="K1066" s="17" t="s">
        <v>233</v>
      </c>
      <c r="L1066" s="17" t="s">
        <v>233</v>
      </c>
      <c r="M1066" s="231">
        <v>29254</v>
      </c>
      <c r="N1066" s="232">
        <v>28898.85644</v>
      </c>
      <c r="O1066" s="132">
        <v>16825</v>
      </c>
      <c r="P1066" s="231" t="s">
        <v>239</v>
      </c>
      <c r="Q1066" s="232">
        <v>1682</v>
      </c>
      <c r="R1066" s="231" t="s">
        <v>239</v>
      </c>
      <c r="S1066" s="232">
        <v>1663</v>
      </c>
      <c r="T1066" s="231" t="s">
        <v>239</v>
      </c>
      <c r="U1066" s="232">
        <v>1647</v>
      </c>
      <c r="V1066" s="230" t="s">
        <v>239</v>
      </c>
      <c r="W1066" s="232">
        <v>1627</v>
      </c>
      <c r="X1066" s="231" t="s">
        <v>239</v>
      </c>
      <c r="Y1066" s="232">
        <v>1977</v>
      </c>
      <c r="Z1066" s="231" t="s">
        <v>239</v>
      </c>
      <c r="AA1066" s="232">
        <v>1887</v>
      </c>
      <c r="AB1066" s="231" t="s">
        <v>239</v>
      </c>
      <c r="AC1066" s="232">
        <v>1401</v>
      </c>
      <c r="AD1066" s="231" t="s">
        <v>239</v>
      </c>
      <c r="AE1066" s="232">
        <v>1399</v>
      </c>
      <c r="AF1066" s="231" t="s">
        <v>239</v>
      </c>
      <c r="AG1066" s="232">
        <v>1570</v>
      </c>
      <c r="AH1066" s="231" t="s">
        <v>239</v>
      </c>
      <c r="AI1066" s="232">
        <v>1642</v>
      </c>
      <c r="AJ1066" s="231" t="s">
        <v>239</v>
      </c>
      <c r="AK1066" s="232">
        <v>1502</v>
      </c>
      <c r="AL1066" s="232" t="s">
        <v>239</v>
      </c>
      <c r="AM1066" s="232">
        <v>34822</v>
      </c>
    </row>
    <row r="1067" spans="1:39" ht="15.75" outlineLevel="1">
      <c r="A1067" s="411">
        <v>529</v>
      </c>
      <c r="B1067" s="10">
        <v>129529</v>
      </c>
      <c r="C1067" s="218" t="s">
        <v>1489</v>
      </c>
      <c r="D1067" s="218" t="s">
        <v>1490</v>
      </c>
      <c r="E1067" s="23" t="s">
        <v>44</v>
      </c>
      <c r="F1067" s="17" t="s">
        <v>45</v>
      </c>
      <c r="G1067" s="11" t="s">
        <v>1432</v>
      </c>
      <c r="H1067" s="12">
        <v>24</v>
      </c>
      <c r="I1067" s="11" t="s">
        <v>1433</v>
      </c>
      <c r="J1067" s="193" t="s">
        <v>1460</v>
      </c>
      <c r="K1067" s="17" t="s">
        <v>233</v>
      </c>
      <c r="L1067" s="17" t="s">
        <v>233</v>
      </c>
      <c r="M1067" s="231">
        <v>30</v>
      </c>
      <c r="N1067" s="231">
        <v>30</v>
      </c>
      <c r="O1067" s="231">
        <v>30</v>
      </c>
      <c r="P1067" s="231" t="s">
        <v>239</v>
      </c>
      <c r="Q1067" s="231">
        <v>30</v>
      </c>
      <c r="R1067" s="231" t="s">
        <v>239</v>
      </c>
      <c r="S1067" s="231">
        <v>30</v>
      </c>
      <c r="T1067" s="231" t="s">
        <v>239</v>
      </c>
      <c r="U1067" s="231">
        <v>30</v>
      </c>
      <c r="V1067" s="231" t="s">
        <v>239</v>
      </c>
      <c r="W1067" s="231">
        <v>30</v>
      </c>
      <c r="X1067" s="231" t="s">
        <v>239</v>
      </c>
      <c r="Y1067" s="231">
        <v>30</v>
      </c>
      <c r="Z1067" s="231" t="s">
        <v>239</v>
      </c>
      <c r="AA1067" s="231">
        <v>30</v>
      </c>
      <c r="AB1067" s="231" t="s">
        <v>239</v>
      </c>
      <c r="AC1067" s="231">
        <v>30</v>
      </c>
      <c r="AD1067" s="231" t="s">
        <v>239</v>
      </c>
      <c r="AE1067" s="231">
        <v>30</v>
      </c>
      <c r="AF1067" s="231" t="s">
        <v>239</v>
      </c>
      <c r="AG1067" s="231">
        <v>30</v>
      </c>
      <c r="AH1067" s="231" t="s">
        <v>239</v>
      </c>
      <c r="AI1067" s="231">
        <v>30</v>
      </c>
      <c r="AJ1067" s="231" t="s">
        <v>239</v>
      </c>
      <c r="AK1067" s="231">
        <v>30</v>
      </c>
      <c r="AL1067" s="232" t="s">
        <v>239</v>
      </c>
      <c r="AM1067" s="232">
        <v>0</v>
      </c>
    </row>
    <row r="1068" spans="1:39" ht="15.75" outlineLevel="1">
      <c r="A1068" s="412"/>
      <c r="B1068" s="10">
        <v>129529</v>
      </c>
      <c r="C1068" s="218" t="s">
        <v>1489</v>
      </c>
      <c r="D1068" s="218" t="s">
        <v>1490</v>
      </c>
      <c r="E1068" s="23" t="s">
        <v>138</v>
      </c>
      <c r="F1068" s="17" t="s">
        <v>45</v>
      </c>
      <c r="G1068" s="11" t="s">
        <v>1432</v>
      </c>
      <c r="H1068" s="12">
        <v>10</v>
      </c>
      <c r="I1068" s="11" t="s">
        <v>1433</v>
      </c>
      <c r="J1068" s="193" t="s">
        <v>216</v>
      </c>
      <c r="K1068" s="17" t="s">
        <v>233</v>
      </c>
      <c r="L1068" s="17" t="s">
        <v>233</v>
      </c>
      <c r="M1068" s="231">
        <v>13212</v>
      </c>
      <c r="N1068" s="232">
        <v>13051.606319999999</v>
      </c>
      <c r="O1068" s="132">
        <v>892</v>
      </c>
      <c r="P1068" s="231" t="s">
        <v>239</v>
      </c>
      <c r="Q1068" s="232">
        <v>892</v>
      </c>
      <c r="R1068" s="231" t="s">
        <v>239</v>
      </c>
      <c r="S1068" s="232">
        <v>680</v>
      </c>
      <c r="T1068" s="231" t="s">
        <v>239</v>
      </c>
      <c r="U1068" s="232">
        <v>811</v>
      </c>
      <c r="V1068" s="231" t="s">
        <v>239</v>
      </c>
      <c r="W1068" s="232">
        <v>810</v>
      </c>
      <c r="X1068" s="231" t="s">
        <v>239</v>
      </c>
      <c r="Y1068" s="232">
        <v>8363</v>
      </c>
      <c r="Z1068" s="231" t="s">
        <v>239</v>
      </c>
      <c r="AA1068" s="232">
        <v>825</v>
      </c>
      <c r="AB1068" s="231" t="s">
        <v>239</v>
      </c>
      <c r="AC1068" s="232">
        <v>842</v>
      </c>
      <c r="AD1068" s="231" t="s">
        <v>239</v>
      </c>
      <c r="AE1068" s="232">
        <v>897</v>
      </c>
      <c r="AF1068" s="231" t="s">
        <v>239</v>
      </c>
      <c r="AG1068" s="232">
        <v>865</v>
      </c>
      <c r="AH1068" s="231" t="s">
        <v>239</v>
      </c>
      <c r="AI1068" s="232">
        <v>850</v>
      </c>
      <c r="AJ1068" s="231" t="s">
        <v>239</v>
      </c>
      <c r="AK1068" s="232">
        <v>858</v>
      </c>
      <c r="AL1068" s="232" t="s">
        <v>239</v>
      </c>
      <c r="AM1068" s="232">
        <v>17585</v>
      </c>
    </row>
    <row r="1069" spans="1:39" ht="15.75" outlineLevel="1">
      <c r="A1069" s="411">
        <v>530</v>
      </c>
      <c r="B1069" s="10">
        <v>129530</v>
      </c>
      <c r="C1069" s="218" t="s">
        <v>1489</v>
      </c>
      <c r="D1069" s="218" t="s">
        <v>1490</v>
      </c>
      <c r="E1069" s="23" t="s">
        <v>44</v>
      </c>
      <c r="F1069" s="17" t="s">
        <v>45</v>
      </c>
      <c r="G1069" s="11" t="s">
        <v>1432</v>
      </c>
      <c r="H1069" s="12">
        <v>17</v>
      </c>
      <c r="I1069" s="11" t="s">
        <v>1433</v>
      </c>
      <c r="J1069" s="193" t="s">
        <v>1449</v>
      </c>
      <c r="K1069" s="17" t="s">
        <v>233</v>
      </c>
      <c r="L1069" s="17" t="s">
        <v>233</v>
      </c>
      <c r="M1069" s="231">
        <v>30</v>
      </c>
      <c r="N1069" s="231">
        <v>30</v>
      </c>
      <c r="O1069" s="231">
        <v>30</v>
      </c>
      <c r="P1069" s="231" t="s">
        <v>239</v>
      </c>
      <c r="Q1069" s="231">
        <v>30</v>
      </c>
      <c r="R1069" s="231" t="s">
        <v>239</v>
      </c>
      <c r="S1069" s="231">
        <v>30</v>
      </c>
      <c r="T1069" s="231" t="s">
        <v>239</v>
      </c>
      <c r="U1069" s="231">
        <v>30</v>
      </c>
      <c r="V1069" s="230" t="s">
        <v>239</v>
      </c>
      <c r="W1069" s="231">
        <v>30</v>
      </c>
      <c r="X1069" s="231" t="s">
        <v>239</v>
      </c>
      <c r="Y1069" s="231">
        <v>30</v>
      </c>
      <c r="Z1069" s="231" t="s">
        <v>239</v>
      </c>
      <c r="AA1069" s="231">
        <v>30</v>
      </c>
      <c r="AB1069" s="231" t="s">
        <v>239</v>
      </c>
      <c r="AC1069" s="231">
        <v>30</v>
      </c>
      <c r="AD1069" s="231" t="s">
        <v>239</v>
      </c>
      <c r="AE1069" s="231">
        <v>30</v>
      </c>
      <c r="AF1069" s="231" t="s">
        <v>239</v>
      </c>
      <c r="AG1069" s="231">
        <v>30</v>
      </c>
      <c r="AH1069" s="231" t="s">
        <v>239</v>
      </c>
      <c r="AI1069" s="231">
        <v>30</v>
      </c>
      <c r="AJ1069" s="231" t="s">
        <v>239</v>
      </c>
      <c r="AK1069" s="231">
        <v>30</v>
      </c>
      <c r="AL1069" s="232" t="s">
        <v>239</v>
      </c>
      <c r="AM1069" s="232">
        <v>0</v>
      </c>
    </row>
    <row r="1070" spans="1:39" ht="15.75" outlineLevel="1">
      <c r="A1070" s="412"/>
      <c r="B1070" s="10">
        <v>129530</v>
      </c>
      <c r="C1070" s="218" t="s">
        <v>1489</v>
      </c>
      <c r="D1070" s="218" t="s">
        <v>1490</v>
      </c>
      <c r="E1070" s="23" t="s">
        <v>138</v>
      </c>
      <c r="F1070" s="17" t="s">
        <v>45</v>
      </c>
      <c r="G1070" s="11" t="s">
        <v>1432</v>
      </c>
      <c r="H1070" s="12">
        <v>32</v>
      </c>
      <c r="I1070" s="11" t="s">
        <v>1433</v>
      </c>
      <c r="J1070" s="193" t="s">
        <v>1450</v>
      </c>
      <c r="K1070" s="17" t="s">
        <v>233</v>
      </c>
      <c r="L1070" s="17" t="s">
        <v>233</v>
      </c>
      <c r="M1070" s="231">
        <v>0</v>
      </c>
      <c r="N1070" s="232">
        <v>0</v>
      </c>
      <c r="O1070" s="132">
        <v>0</v>
      </c>
      <c r="P1070" s="231" t="s">
        <v>239</v>
      </c>
      <c r="Q1070" s="232">
        <v>0</v>
      </c>
      <c r="R1070" s="231" t="s">
        <v>239</v>
      </c>
      <c r="S1070" s="232">
        <v>0</v>
      </c>
      <c r="T1070" s="231" t="s">
        <v>239</v>
      </c>
      <c r="U1070" s="232">
        <v>0</v>
      </c>
      <c r="V1070" s="231" t="s">
        <v>239</v>
      </c>
      <c r="W1070" s="232">
        <v>0</v>
      </c>
      <c r="X1070" s="231" t="s">
        <v>239</v>
      </c>
      <c r="Y1070" s="232">
        <v>0</v>
      </c>
      <c r="Z1070" s="231" t="s">
        <v>239</v>
      </c>
      <c r="AA1070" s="232">
        <v>0</v>
      </c>
      <c r="AB1070" s="231" t="s">
        <v>239</v>
      </c>
      <c r="AC1070" s="232">
        <v>0</v>
      </c>
      <c r="AD1070" s="231" t="s">
        <v>239</v>
      </c>
      <c r="AE1070" s="232">
        <v>0</v>
      </c>
      <c r="AF1070" s="231" t="s">
        <v>239</v>
      </c>
      <c r="AG1070" s="232">
        <v>0</v>
      </c>
      <c r="AH1070" s="231" t="s">
        <v>239</v>
      </c>
      <c r="AI1070" s="232">
        <v>0</v>
      </c>
      <c r="AJ1070" s="231" t="s">
        <v>239</v>
      </c>
      <c r="AK1070" s="232">
        <v>0</v>
      </c>
      <c r="AL1070" s="232" t="s">
        <v>239</v>
      </c>
      <c r="AM1070" s="232">
        <v>0</v>
      </c>
    </row>
    <row r="1071" spans="1:39" ht="15.75" outlineLevel="1">
      <c r="A1071" s="411">
        <v>531</v>
      </c>
      <c r="B1071" s="10">
        <v>129531</v>
      </c>
      <c r="C1071" s="218" t="s">
        <v>1489</v>
      </c>
      <c r="D1071" s="218" t="s">
        <v>1490</v>
      </c>
      <c r="E1071" s="23" t="s">
        <v>44</v>
      </c>
      <c r="F1071" s="17" t="s">
        <v>45</v>
      </c>
      <c r="G1071" s="11" t="s">
        <v>1432</v>
      </c>
      <c r="H1071" s="12">
        <v>8</v>
      </c>
      <c r="I1071" s="11" t="s">
        <v>1433</v>
      </c>
      <c r="J1071" s="193" t="s">
        <v>1451</v>
      </c>
      <c r="K1071" s="17" t="s">
        <v>233</v>
      </c>
      <c r="L1071" s="17" t="s">
        <v>233</v>
      </c>
      <c r="M1071" s="231">
        <v>30</v>
      </c>
      <c r="N1071" s="231">
        <v>30</v>
      </c>
      <c r="O1071" s="231">
        <v>30</v>
      </c>
      <c r="P1071" s="231" t="s">
        <v>239</v>
      </c>
      <c r="Q1071" s="231">
        <v>30</v>
      </c>
      <c r="R1071" s="231" t="s">
        <v>239</v>
      </c>
      <c r="S1071" s="231">
        <v>30</v>
      </c>
      <c r="T1071" s="231" t="s">
        <v>239</v>
      </c>
      <c r="U1071" s="231">
        <v>30</v>
      </c>
      <c r="V1071" s="231" t="s">
        <v>239</v>
      </c>
      <c r="W1071" s="231">
        <v>30</v>
      </c>
      <c r="X1071" s="231" t="s">
        <v>239</v>
      </c>
      <c r="Y1071" s="231">
        <v>30</v>
      </c>
      <c r="Z1071" s="231" t="s">
        <v>239</v>
      </c>
      <c r="AA1071" s="231">
        <v>30</v>
      </c>
      <c r="AB1071" s="231" t="s">
        <v>239</v>
      </c>
      <c r="AC1071" s="231">
        <v>30</v>
      </c>
      <c r="AD1071" s="231" t="s">
        <v>239</v>
      </c>
      <c r="AE1071" s="231">
        <v>30</v>
      </c>
      <c r="AF1071" s="231" t="s">
        <v>239</v>
      </c>
      <c r="AG1071" s="231">
        <v>30</v>
      </c>
      <c r="AH1071" s="231" t="s">
        <v>239</v>
      </c>
      <c r="AI1071" s="231">
        <v>30</v>
      </c>
      <c r="AJ1071" s="231" t="s">
        <v>239</v>
      </c>
      <c r="AK1071" s="231">
        <v>30</v>
      </c>
      <c r="AL1071" s="232" t="s">
        <v>239</v>
      </c>
      <c r="AM1071" s="232">
        <v>0</v>
      </c>
    </row>
    <row r="1072" spans="1:39" ht="15.75" outlineLevel="1">
      <c r="A1072" s="412"/>
      <c r="B1072" s="10">
        <v>129531</v>
      </c>
      <c r="C1072" s="218" t="s">
        <v>1489</v>
      </c>
      <c r="D1072" s="218" t="s">
        <v>1490</v>
      </c>
      <c r="E1072" s="23" t="s">
        <v>44</v>
      </c>
      <c r="F1072" s="17" t="s">
        <v>45</v>
      </c>
      <c r="G1072" s="11" t="s">
        <v>1432</v>
      </c>
      <c r="H1072" s="12">
        <v>12</v>
      </c>
      <c r="I1072" s="11" t="s">
        <v>1433</v>
      </c>
      <c r="J1072" s="193" t="s">
        <v>208</v>
      </c>
      <c r="K1072" s="17" t="s">
        <v>233</v>
      </c>
      <c r="L1072" s="17" t="s">
        <v>233</v>
      </c>
      <c r="M1072" s="231">
        <v>0</v>
      </c>
      <c r="N1072" s="232">
        <v>0</v>
      </c>
      <c r="O1072" s="132">
        <v>0</v>
      </c>
      <c r="P1072" s="231" t="s">
        <v>239</v>
      </c>
      <c r="Q1072" s="232">
        <v>0</v>
      </c>
      <c r="R1072" s="231" t="s">
        <v>239</v>
      </c>
      <c r="S1072" s="232">
        <v>0</v>
      </c>
      <c r="T1072" s="231" t="s">
        <v>239</v>
      </c>
      <c r="U1072" s="232">
        <v>0</v>
      </c>
      <c r="V1072" s="230" t="s">
        <v>239</v>
      </c>
      <c r="W1072" s="232">
        <v>0</v>
      </c>
      <c r="X1072" s="231" t="s">
        <v>239</v>
      </c>
      <c r="Y1072" s="232">
        <v>0</v>
      </c>
      <c r="Z1072" s="231" t="s">
        <v>239</v>
      </c>
      <c r="AA1072" s="232">
        <v>0</v>
      </c>
      <c r="AB1072" s="231" t="s">
        <v>239</v>
      </c>
      <c r="AC1072" s="232">
        <v>0</v>
      </c>
      <c r="AD1072" s="231" t="s">
        <v>239</v>
      </c>
      <c r="AE1072" s="232">
        <v>0</v>
      </c>
      <c r="AF1072" s="231" t="s">
        <v>239</v>
      </c>
      <c r="AG1072" s="232">
        <v>0</v>
      </c>
      <c r="AH1072" s="231" t="s">
        <v>239</v>
      </c>
      <c r="AI1072" s="232">
        <v>0</v>
      </c>
      <c r="AJ1072" s="231" t="s">
        <v>239</v>
      </c>
      <c r="AK1072" s="232">
        <v>0</v>
      </c>
      <c r="AL1072" s="232" t="s">
        <v>239</v>
      </c>
      <c r="AM1072" s="232">
        <v>0</v>
      </c>
    </row>
    <row r="1073" spans="1:39" ht="15.75" outlineLevel="1">
      <c r="A1073" s="411">
        <v>532</v>
      </c>
      <c r="B1073" s="10">
        <v>129532</v>
      </c>
      <c r="C1073" s="218" t="s">
        <v>1489</v>
      </c>
      <c r="D1073" s="218" t="s">
        <v>1490</v>
      </c>
      <c r="E1073" s="23" t="s">
        <v>138</v>
      </c>
      <c r="F1073" s="17" t="s">
        <v>45</v>
      </c>
      <c r="G1073" s="11" t="s">
        <v>1432</v>
      </c>
      <c r="H1073" s="12">
        <v>18</v>
      </c>
      <c r="I1073" s="11" t="s">
        <v>1433</v>
      </c>
      <c r="J1073" s="193" t="s">
        <v>1451</v>
      </c>
      <c r="K1073" s="17" t="s">
        <v>233</v>
      </c>
      <c r="L1073" s="17" t="s">
        <v>233</v>
      </c>
      <c r="M1073" s="231">
        <v>59</v>
      </c>
      <c r="N1073" s="231">
        <v>59</v>
      </c>
      <c r="O1073" s="231">
        <v>59</v>
      </c>
      <c r="P1073" s="231" t="s">
        <v>239</v>
      </c>
      <c r="Q1073" s="231">
        <v>59</v>
      </c>
      <c r="R1073" s="231" t="s">
        <v>239</v>
      </c>
      <c r="S1073" s="231">
        <v>59</v>
      </c>
      <c r="T1073" s="231" t="s">
        <v>239</v>
      </c>
      <c r="U1073" s="231">
        <v>59</v>
      </c>
      <c r="V1073" s="231" t="s">
        <v>239</v>
      </c>
      <c r="W1073" s="231">
        <v>59</v>
      </c>
      <c r="X1073" s="231" t="s">
        <v>239</v>
      </c>
      <c r="Y1073" s="231">
        <v>59</v>
      </c>
      <c r="Z1073" s="231" t="s">
        <v>239</v>
      </c>
      <c r="AA1073" s="231">
        <v>59</v>
      </c>
      <c r="AB1073" s="231" t="s">
        <v>239</v>
      </c>
      <c r="AC1073" s="231">
        <v>59</v>
      </c>
      <c r="AD1073" s="231" t="s">
        <v>239</v>
      </c>
      <c r="AE1073" s="231">
        <v>59</v>
      </c>
      <c r="AF1073" s="231" t="s">
        <v>239</v>
      </c>
      <c r="AG1073" s="231">
        <v>59</v>
      </c>
      <c r="AH1073" s="231" t="s">
        <v>239</v>
      </c>
      <c r="AI1073" s="231">
        <v>59</v>
      </c>
      <c r="AJ1073" s="231" t="s">
        <v>239</v>
      </c>
      <c r="AK1073" s="231">
        <v>59</v>
      </c>
      <c r="AL1073" s="232" t="s">
        <v>239</v>
      </c>
      <c r="AM1073" s="232">
        <v>0</v>
      </c>
    </row>
    <row r="1074" spans="1:39" ht="15.75" outlineLevel="1">
      <c r="A1074" s="412"/>
      <c r="B1074" s="10">
        <v>129532</v>
      </c>
      <c r="C1074" s="218" t="s">
        <v>1489</v>
      </c>
      <c r="D1074" s="218" t="s">
        <v>1490</v>
      </c>
      <c r="E1074" s="23" t="s">
        <v>44</v>
      </c>
      <c r="F1074" s="17" t="s">
        <v>45</v>
      </c>
      <c r="G1074" s="11" t="s">
        <v>1432</v>
      </c>
      <c r="H1074" s="12">
        <v>17</v>
      </c>
      <c r="I1074" s="11" t="s">
        <v>1433</v>
      </c>
      <c r="J1074" s="193" t="s">
        <v>208</v>
      </c>
      <c r="K1074" s="17" t="s">
        <v>233</v>
      </c>
      <c r="L1074" s="17" t="s">
        <v>233</v>
      </c>
      <c r="M1074" s="231">
        <v>14949</v>
      </c>
      <c r="N1074" s="232">
        <v>14767.519139999999</v>
      </c>
      <c r="O1074" s="132">
        <v>995</v>
      </c>
      <c r="P1074" s="231" t="s">
        <v>239</v>
      </c>
      <c r="Q1074" s="232">
        <v>995</v>
      </c>
      <c r="R1074" s="231" t="s">
        <v>239</v>
      </c>
      <c r="S1074" s="232">
        <v>852</v>
      </c>
      <c r="T1074" s="231" t="s">
        <v>239</v>
      </c>
      <c r="U1074" s="232">
        <v>920</v>
      </c>
      <c r="V1074" s="231" t="s">
        <v>239</v>
      </c>
      <c r="W1074" s="232">
        <v>821</v>
      </c>
      <c r="X1074" s="231" t="s">
        <v>239</v>
      </c>
      <c r="Y1074" s="232">
        <v>741</v>
      </c>
      <c r="Z1074" s="231" t="s">
        <v>239</v>
      </c>
      <c r="AA1074" s="232">
        <v>802</v>
      </c>
      <c r="AB1074" s="231" t="s">
        <v>239</v>
      </c>
      <c r="AC1074" s="232">
        <v>802</v>
      </c>
      <c r="AD1074" s="231" t="s">
        <v>239</v>
      </c>
      <c r="AE1074" s="232">
        <v>761</v>
      </c>
      <c r="AF1074" s="231" t="s">
        <v>239</v>
      </c>
      <c r="AG1074" s="232">
        <v>753</v>
      </c>
      <c r="AH1074" s="231" t="s">
        <v>239</v>
      </c>
      <c r="AI1074" s="232">
        <v>810</v>
      </c>
      <c r="AJ1074" s="231" t="s">
        <v>239</v>
      </c>
      <c r="AK1074" s="232">
        <v>882</v>
      </c>
      <c r="AL1074" s="232" t="s">
        <v>239</v>
      </c>
      <c r="AM1074" s="232">
        <v>10134</v>
      </c>
    </row>
    <row r="1075" spans="1:39" ht="15.75" outlineLevel="1">
      <c r="A1075" s="411">
        <v>533</v>
      </c>
      <c r="B1075" s="10">
        <v>129533</v>
      </c>
      <c r="C1075" s="218" t="s">
        <v>1489</v>
      </c>
      <c r="D1075" s="218" t="s">
        <v>1490</v>
      </c>
      <c r="E1075" s="23" t="s">
        <v>138</v>
      </c>
      <c r="F1075" s="17" t="s">
        <v>45</v>
      </c>
      <c r="G1075" s="11" t="s">
        <v>1432</v>
      </c>
      <c r="H1075" s="12">
        <v>25</v>
      </c>
      <c r="I1075" s="11" t="s">
        <v>1433</v>
      </c>
      <c r="J1075" s="193" t="s">
        <v>1452</v>
      </c>
      <c r="K1075" s="17" t="s">
        <v>233</v>
      </c>
      <c r="L1075" s="17" t="s">
        <v>233</v>
      </c>
      <c r="M1075" s="231">
        <v>0</v>
      </c>
      <c r="N1075" s="232">
        <v>0</v>
      </c>
      <c r="O1075" s="132">
        <v>0</v>
      </c>
      <c r="P1075" s="231" t="s">
        <v>239</v>
      </c>
      <c r="Q1075" s="232">
        <v>0</v>
      </c>
      <c r="R1075" s="231" t="s">
        <v>239</v>
      </c>
      <c r="S1075" s="232">
        <v>0</v>
      </c>
      <c r="T1075" s="231" t="s">
        <v>239</v>
      </c>
      <c r="U1075" s="232">
        <v>0</v>
      </c>
      <c r="V1075" s="230" t="s">
        <v>239</v>
      </c>
      <c r="W1075" s="232">
        <v>0</v>
      </c>
      <c r="X1075" s="231" t="s">
        <v>239</v>
      </c>
      <c r="Y1075" s="232">
        <v>0</v>
      </c>
      <c r="Z1075" s="231" t="s">
        <v>239</v>
      </c>
      <c r="AA1075" s="232">
        <v>0</v>
      </c>
      <c r="AB1075" s="231" t="s">
        <v>239</v>
      </c>
      <c r="AC1075" s="232">
        <v>0</v>
      </c>
      <c r="AD1075" s="231" t="s">
        <v>239</v>
      </c>
      <c r="AE1075" s="232">
        <v>0</v>
      </c>
      <c r="AF1075" s="231" t="s">
        <v>239</v>
      </c>
      <c r="AG1075" s="232">
        <v>0</v>
      </c>
      <c r="AH1075" s="231" t="s">
        <v>239</v>
      </c>
      <c r="AI1075" s="232">
        <v>0</v>
      </c>
      <c r="AJ1075" s="231" t="s">
        <v>239</v>
      </c>
      <c r="AK1075" s="232">
        <v>0</v>
      </c>
      <c r="AL1075" s="232" t="s">
        <v>239</v>
      </c>
      <c r="AM1075" s="232">
        <v>0</v>
      </c>
    </row>
    <row r="1076" spans="1:39" ht="15.75" outlineLevel="1">
      <c r="A1076" s="412"/>
      <c r="B1076" s="10">
        <v>129533</v>
      </c>
      <c r="C1076" s="218" t="s">
        <v>1489</v>
      </c>
      <c r="D1076" s="218" t="s">
        <v>1490</v>
      </c>
      <c r="E1076" s="23" t="s">
        <v>44</v>
      </c>
      <c r="F1076" s="17" t="s">
        <v>45</v>
      </c>
      <c r="G1076" s="11" t="s">
        <v>1432</v>
      </c>
      <c r="H1076" s="12">
        <v>13</v>
      </c>
      <c r="I1076" s="11" t="s">
        <v>1433</v>
      </c>
      <c r="J1076" s="193" t="s">
        <v>216</v>
      </c>
      <c r="K1076" s="17" t="s">
        <v>233</v>
      </c>
      <c r="L1076" s="17" t="s">
        <v>233</v>
      </c>
      <c r="M1076" s="231">
        <v>0</v>
      </c>
      <c r="N1076" s="232">
        <v>0</v>
      </c>
      <c r="O1076" s="132">
        <v>2125</v>
      </c>
      <c r="P1076" s="231" t="s">
        <v>239</v>
      </c>
      <c r="Q1076" s="232">
        <v>2125</v>
      </c>
      <c r="R1076" s="231" t="s">
        <v>239</v>
      </c>
      <c r="S1076" s="232">
        <v>1816</v>
      </c>
      <c r="T1076" s="231" t="s">
        <v>239</v>
      </c>
      <c r="U1076" s="232">
        <v>1689</v>
      </c>
      <c r="V1076" s="231" t="s">
        <v>239</v>
      </c>
      <c r="W1076" s="232">
        <v>1147</v>
      </c>
      <c r="X1076" s="231" t="s">
        <v>239</v>
      </c>
      <c r="Y1076" s="232">
        <v>1213</v>
      </c>
      <c r="Z1076" s="231" t="s">
        <v>239</v>
      </c>
      <c r="AA1076" s="232">
        <v>2044</v>
      </c>
      <c r="AB1076" s="231" t="s">
        <v>239</v>
      </c>
      <c r="AC1076" s="232">
        <v>805</v>
      </c>
      <c r="AD1076" s="231" t="s">
        <v>239</v>
      </c>
      <c r="AE1076" s="232">
        <v>612</v>
      </c>
      <c r="AF1076" s="231" t="s">
        <v>239</v>
      </c>
      <c r="AG1076" s="232">
        <v>273</v>
      </c>
      <c r="AH1076" s="231" t="s">
        <v>239</v>
      </c>
      <c r="AI1076" s="232">
        <v>1483</v>
      </c>
      <c r="AJ1076" s="231" t="s">
        <v>239</v>
      </c>
      <c r="AK1076" s="232">
        <v>1450</v>
      </c>
      <c r="AL1076" s="232" t="s">
        <v>239</v>
      </c>
      <c r="AM1076" s="232">
        <v>16782</v>
      </c>
    </row>
    <row r="1077" spans="1:39" ht="15" customHeight="1" outlineLevel="1">
      <c r="A1077" s="411">
        <v>534</v>
      </c>
      <c r="B1077" s="10">
        <v>129534</v>
      </c>
      <c r="C1077" s="218" t="s">
        <v>1489</v>
      </c>
      <c r="D1077" s="218" t="s">
        <v>1490</v>
      </c>
      <c r="E1077" s="23" t="s">
        <v>44</v>
      </c>
      <c r="F1077" s="17" t="s">
        <v>45</v>
      </c>
      <c r="G1077" s="11" t="s">
        <v>1432</v>
      </c>
      <c r="H1077" s="12">
        <v>5</v>
      </c>
      <c r="I1077" s="11" t="s">
        <v>1433</v>
      </c>
      <c r="J1077" s="193" t="s">
        <v>1453</v>
      </c>
      <c r="K1077" s="17" t="s">
        <v>233</v>
      </c>
      <c r="L1077" s="17" t="s">
        <v>233</v>
      </c>
      <c r="M1077" s="231">
        <v>0</v>
      </c>
      <c r="N1077" s="232">
        <v>0</v>
      </c>
      <c r="O1077" s="132">
        <v>0</v>
      </c>
      <c r="P1077" s="231" t="s">
        <v>239</v>
      </c>
      <c r="Q1077" s="232">
        <v>0</v>
      </c>
      <c r="R1077" s="231" t="s">
        <v>239</v>
      </c>
      <c r="S1077" s="232">
        <v>0</v>
      </c>
      <c r="T1077" s="231" t="s">
        <v>239</v>
      </c>
      <c r="U1077" s="232">
        <v>0</v>
      </c>
      <c r="V1077" s="231" t="s">
        <v>239</v>
      </c>
      <c r="W1077" s="232">
        <v>0</v>
      </c>
      <c r="X1077" s="231" t="s">
        <v>239</v>
      </c>
      <c r="Y1077" s="232">
        <v>0</v>
      </c>
      <c r="Z1077" s="231" t="s">
        <v>239</v>
      </c>
      <c r="AA1077" s="232">
        <v>0</v>
      </c>
      <c r="AB1077" s="231" t="s">
        <v>239</v>
      </c>
      <c r="AC1077" s="232">
        <v>0</v>
      </c>
      <c r="AD1077" s="231" t="s">
        <v>239</v>
      </c>
      <c r="AE1077" s="232">
        <v>0</v>
      </c>
      <c r="AF1077" s="231" t="s">
        <v>239</v>
      </c>
      <c r="AG1077" s="232">
        <v>0</v>
      </c>
      <c r="AH1077" s="231" t="s">
        <v>239</v>
      </c>
      <c r="AI1077" s="232">
        <v>0</v>
      </c>
      <c r="AJ1077" s="231" t="s">
        <v>239</v>
      </c>
      <c r="AK1077" s="232">
        <v>0</v>
      </c>
      <c r="AL1077" s="232" t="s">
        <v>239</v>
      </c>
      <c r="AM1077" s="232">
        <v>0</v>
      </c>
    </row>
    <row r="1078" spans="1:39" ht="15" customHeight="1" outlineLevel="1">
      <c r="A1078" s="412"/>
      <c r="B1078" s="10">
        <v>129534</v>
      </c>
      <c r="C1078" s="218" t="s">
        <v>1489</v>
      </c>
      <c r="D1078" s="218" t="s">
        <v>1490</v>
      </c>
      <c r="E1078" s="23" t="s">
        <v>138</v>
      </c>
      <c r="F1078" s="17" t="s">
        <v>45</v>
      </c>
      <c r="G1078" s="11" t="s">
        <v>1432</v>
      </c>
      <c r="H1078" s="12">
        <v>4</v>
      </c>
      <c r="I1078" s="11" t="s">
        <v>1433</v>
      </c>
      <c r="J1078" s="193" t="s">
        <v>1454</v>
      </c>
      <c r="K1078" s="17" t="s">
        <v>233</v>
      </c>
      <c r="L1078" s="17" t="s">
        <v>233</v>
      </c>
      <c r="M1078" s="231">
        <v>0</v>
      </c>
      <c r="N1078" s="232">
        <v>0</v>
      </c>
      <c r="O1078" s="132">
        <v>0</v>
      </c>
      <c r="P1078" s="231" t="s">
        <v>239</v>
      </c>
      <c r="Q1078" s="232">
        <v>0</v>
      </c>
      <c r="R1078" s="231" t="s">
        <v>239</v>
      </c>
      <c r="S1078" s="232">
        <v>0</v>
      </c>
      <c r="T1078" s="231" t="s">
        <v>239</v>
      </c>
      <c r="U1078" s="232">
        <v>0</v>
      </c>
      <c r="V1078" s="230" t="s">
        <v>239</v>
      </c>
      <c r="W1078" s="232">
        <v>0</v>
      </c>
      <c r="X1078" s="231" t="s">
        <v>239</v>
      </c>
      <c r="Y1078" s="232">
        <v>0</v>
      </c>
      <c r="Z1078" s="231" t="s">
        <v>239</v>
      </c>
      <c r="AA1078" s="232">
        <v>0</v>
      </c>
      <c r="AB1078" s="231" t="s">
        <v>239</v>
      </c>
      <c r="AC1078" s="232">
        <v>0</v>
      </c>
      <c r="AD1078" s="231" t="s">
        <v>239</v>
      </c>
      <c r="AE1078" s="232">
        <v>0</v>
      </c>
      <c r="AF1078" s="231" t="s">
        <v>239</v>
      </c>
      <c r="AG1078" s="232">
        <v>0</v>
      </c>
      <c r="AH1078" s="231" t="s">
        <v>239</v>
      </c>
      <c r="AI1078" s="232">
        <v>0</v>
      </c>
      <c r="AJ1078" s="231" t="s">
        <v>239</v>
      </c>
      <c r="AK1078" s="232">
        <v>0</v>
      </c>
      <c r="AL1078" s="232" t="s">
        <v>239</v>
      </c>
      <c r="AM1078" s="232">
        <v>0</v>
      </c>
    </row>
    <row r="1079" spans="1:39" ht="15" customHeight="1" outlineLevel="1">
      <c r="A1079" s="411">
        <v>535</v>
      </c>
      <c r="B1079" s="10">
        <v>129535</v>
      </c>
      <c r="C1079" s="218" t="s">
        <v>1489</v>
      </c>
      <c r="D1079" s="218" t="s">
        <v>1490</v>
      </c>
      <c r="E1079" s="23" t="s">
        <v>44</v>
      </c>
      <c r="F1079" s="17" t="s">
        <v>45</v>
      </c>
      <c r="G1079" s="11" t="s">
        <v>1432</v>
      </c>
      <c r="H1079" s="12">
        <v>18</v>
      </c>
      <c r="I1079" s="11" t="s">
        <v>1433</v>
      </c>
      <c r="J1079" s="191" t="s">
        <v>216</v>
      </c>
      <c r="K1079" s="17" t="s">
        <v>233</v>
      </c>
      <c r="L1079" s="17" t="s">
        <v>233</v>
      </c>
      <c r="M1079" s="231">
        <v>0</v>
      </c>
      <c r="N1079" s="232">
        <v>0</v>
      </c>
      <c r="O1079" s="132">
        <v>0</v>
      </c>
      <c r="P1079" s="231" t="s">
        <v>239</v>
      </c>
      <c r="Q1079" s="232">
        <v>0</v>
      </c>
      <c r="R1079" s="231" t="s">
        <v>239</v>
      </c>
      <c r="S1079" s="232">
        <v>0</v>
      </c>
      <c r="T1079" s="231" t="s">
        <v>239</v>
      </c>
      <c r="U1079" s="232">
        <v>0</v>
      </c>
      <c r="V1079" s="231" t="s">
        <v>239</v>
      </c>
      <c r="W1079" s="232">
        <v>0</v>
      </c>
      <c r="X1079" s="231" t="s">
        <v>239</v>
      </c>
      <c r="Y1079" s="232">
        <v>0</v>
      </c>
      <c r="Z1079" s="231" t="s">
        <v>239</v>
      </c>
      <c r="AA1079" s="232">
        <v>0</v>
      </c>
      <c r="AB1079" s="231" t="s">
        <v>239</v>
      </c>
      <c r="AC1079" s="232">
        <v>0</v>
      </c>
      <c r="AD1079" s="231" t="s">
        <v>239</v>
      </c>
      <c r="AE1079" s="232">
        <v>0</v>
      </c>
      <c r="AF1079" s="231" t="s">
        <v>239</v>
      </c>
      <c r="AG1079" s="232">
        <v>0</v>
      </c>
      <c r="AH1079" s="231" t="s">
        <v>239</v>
      </c>
      <c r="AI1079" s="232">
        <v>0</v>
      </c>
      <c r="AJ1079" s="231" t="s">
        <v>239</v>
      </c>
      <c r="AK1079" s="232">
        <v>0</v>
      </c>
      <c r="AL1079" s="232" t="s">
        <v>239</v>
      </c>
      <c r="AM1079" s="232">
        <v>0</v>
      </c>
    </row>
    <row r="1080" spans="1:39" ht="15" customHeight="1" outlineLevel="1">
      <c r="A1080" s="412"/>
      <c r="B1080" s="10">
        <v>129535</v>
      </c>
      <c r="C1080" s="218" t="s">
        <v>1489</v>
      </c>
      <c r="D1080" s="218" t="s">
        <v>1490</v>
      </c>
      <c r="E1080" s="23" t="s">
        <v>138</v>
      </c>
      <c r="F1080" s="17" t="s">
        <v>45</v>
      </c>
      <c r="G1080" s="11" t="s">
        <v>1432</v>
      </c>
      <c r="H1080" s="12">
        <v>17</v>
      </c>
      <c r="I1080" s="11" t="s">
        <v>1433</v>
      </c>
      <c r="J1080" s="192" t="s">
        <v>1434</v>
      </c>
      <c r="K1080" s="17" t="s">
        <v>233</v>
      </c>
      <c r="L1080" s="17" t="s">
        <v>233</v>
      </c>
      <c r="M1080" s="231">
        <v>0</v>
      </c>
      <c r="N1080" s="232">
        <v>0</v>
      </c>
      <c r="O1080" s="132">
        <v>0</v>
      </c>
      <c r="P1080" s="231" t="s">
        <v>239</v>
      </c>
      <c r="Q1080" s="232">
        <v>0</v>
      </c>
      <c r="R1080" s="231" t="s">
        <v>239</v>
      </c>
      <c r="S1080" s="232">
        <v>0</v>
      </c>
      <c r="T1080" s="231" t="s">
        <v>239</v>
      </c>
      <c r="U1080" s="232">
        <v>0</v>
      </c>
      <c r="V1080" s="231" t="s">
        <v>239</v>
      </c>
      <c r="W1080" s="232">
        <v>0</v>
      </c>
      <c r="X1080" s="231" t="s">
        <v>239</v>
      </c>
      <c r="Y1080" s="232">
        <v>0</v>
      </c>
      <c r="Z1080" s="231" t="s">
        <v>239</v>
      </c>
      <c r="AA1080" s="232">
        <v>0</v>
      </c>
      <c r="AB1080" s="231" t="s">
        <v>239</v>
      </c>
      <c r="AC1080" s="232">
        <v>0</v>
      </c>
      <c r="AD1080" s="231" t="s">
        <v>239</v>
      </c>
      <c r="AE1080" s="232">
        <v>0</v>
      </c>
      <c r="AF1080" s="231" t="s">
        <v>239</v>
      </c>
      <c r="AG1080" s="232">
        <v>0</v>
      </c>
      <c r="AH1080" s="231" t="s">
        <v>239</v>
      </c>
      <c r="AI1080" s="232">
        <v>0</v>
      </c>
      <c r="AJ1080" s="231" t="s">
        <v>239</v>
      </c>
      <c r="AK1080" s="232">
        <v>0</v>
      </c>
      <c r="AL1080" s="232" t="s">
        <v>239</v>
      </c>
      <c r="AM1080" s="232">
        <v>0</v>
      </c>
    </row>
    <row r="1081" spans="1:39" ht="15" customHeight="1" outlineLevel="1">
      <c r="A1081" s="411">
        <v>536</v>
      </c>
      <c r="B1081" s="10">
        <v>129536</v>
      </c>
      <c r="C1081" s="218" t="s">
        <v>1489</v>
      </c>
      <c r="D1081" s="218" t="s">
        <v>1490</v>
      </c>
      <c r="E1081" s="23" t="s">
        <v>44</v>
      </c>
      <c r="F1081" s="17" t="s">
        <v>45</v>
      </c>
      <c r="G1081" s="11" t="s">
        <v>1432</v>
      </c>
      <c r="H1081" s="12">
        <v>28</v>
      </c>
      <c r="I1081" s="11" t="s">
        <v>1433</v>
      </c>
      <c r="J1081" s="192" t="s">
        <v>1480</v>
      </c>
      <c r="K1081" s="17" t="s">
        <v>233</v>
      </c>
      <c r="L1081" s="17" t="s">
        <v>233</v>
      </c>
      <c r="M1081" s="231">
        <v>40</v>
      </c>
      <c r="N1081" s="231">
        <v>40</v>
      </c>
      <c r="O1081" s="231">
        <v>40</v>
      </c>
      <c r="P1081" s="231" t="s">
        <v>239</v>
      </c>
      <c r="Q1081" s="231">
        <v>40</v>
      </c>
      <c r="R1081" s="231" t="s">
        <v>239</v>
      </c>
      <c r="S1081" s="231">
        <v>40</v>
      </c>
      <c r="T1081" s="231" t="s">
        <v>239</v>
      </c>
      <c r="U1081" s="231">
        <v>40</v>
      </c>
      <c r="V1081" s="230" t="s">
        <v>239</v>
      </c>
      <c r="W1081" s="231">
        <v>40</v>
      </c>
      <c r="X1081" s="231" t="s">
        <v>239</v>
      </c>
      <c r="Y1081" s="231">
        <v>40</v>
      </c>
      <c r="Z1081" s="231" t="s">
        <v>239</v>
      </c>
      <c r="AA1081" s="231">
        <v>40</v>
      </c>
      <c r="AB1081" s="231" t="s">
        <v>239</v>
      </c>
      <c r="AC1081" s="231">
        <v>40</v>
      </c>
      <c r="AD1081" s="231" t="s">
        <v>239</v>
      </c>
      <c r="AE1081" s="231">
        <v>40</v>
      </c>
      <c r="AF1081" s="231" t="s">
        <v>239</v>
      </c>
      <c r="AG1081" s="231">
        <v>40</v>
      </c>
      <c r="AH1081" s="231" t="s">
        <v>239</v>
      </c>
      <c r="AI1081" s="231">
        <v>40</v>
      </c>
      <c r="AJ1081" s="231" t="s">
        <v>239</v>
      </c>
      <c r="AK1081" s="231">
        <v>40</v>
      </c>
      <c r="AL1081" s="232" t="s">
        <v>239</v>
      </c>
      <c r="AM1081" s="232">
        <v>0</v>
      </c>
    </row>
    <row r="1082" spans="1:39" ht="15" customHeight="1" outlineLevel="1">
      <c r="A1082" s="412"/>
      <c r="B1082" s="10">
        <v>129536</v>
      </c>
      <c r="C1082" s="218" t="s">
        <v>1489</v>
      </c>
      <c r="D1082" s="218" t="s">
        <v>1490</v>
      </c>
      <c r="E1082" s="23" t="s">
        <v>44</v>
      </c>
      <c r="F1082" s="17" t="s">
        <v>45</v>
      </c>
      <c r="G1082" s="11" t="s">
        <v>1432</v>
      </c>
      <c r="H1082" s="12">
        <v>33</v>
      </c>
      <c r="I1082" s="11" t="s">
        <v>1433</v>
      </c>
      <c r="J1082" s="192" t="s">
        <v>1452</v>
      </c>
      <c r="K1082" s="17" t="s">
        <v>233</v>
      </c>
      <c r="L1082" s="17" t="s">
        <v>233</v>
      </c>
      <c r="M1082" s="231">
        <v>10272</v>
      </c>
      <c r="N1082" s="232">
        <v>10147.297919999999</v>
      </c>
      <c r="O1082" s="132">
        <v>1119</v>
      </c>
      <c r="P1082" s="231" t="s">
        <v>239</v>
      </c>
      <c r="Q1082" s="232">
        <v>1119</v>
      </c>
      <c r="R1082" s="231" t="s">
        <v>239</v>
      </c>
      <c r="S1082" s="232">
        <v>1095</v>
      </c>
      <c r="T1082" s="231" t="s">
        <v>239</v>
      </c>
      <c r="U1082" s="232">
        <v>1055</v>
      </c>
      <c r="V1082" s="231" t="s">
        <v>239</v>
      </c>
      <c r="W1082" s="232">
        <v>1018</v>
      </c>
      <c r="X1082" s="231" t="s">
        <v>239</v>
      </c>
      <c r="Y1082" s="232">
        <v>941</v>
      </c>
      <c r="Z1082" s="231" t="s">
        <v>239</v>
      </c>
      <c r="AA1082" s="232">
        <v>955</v>
      </c>
      <c r="AB1082" s="231" t="s">
        <v>239</v>
      </c>
      <c r="AC1082" s="232">
        <v>843</v>
      </c>
      <c r="AD1082" s="231" t="s">
        <v>239</v>
      </c>
      <c r="AE1082" s="232">
        <v>1019</v>
      </c>
      <c r="AF1082" s="231" t="s">
        <v>239</v>
      </c>
      <c r="AG1082" s="232">
        <v>971</v>
      </c>
      <c r="AH1082" s="231" t="s">
        <v>239</v>
      </c>
      <c r="AI1082" s="232">
        <v>1098</v>
      </c>
      <c r="AJ1082" s="231" t="s">
        <v>239</v>
      </c>
      <c r="AK1082" s="232">
        <v>980</v>
      </c>
      <c r="AL1082" s="232" t="s">
        <v>239</v>
      </c>
      <c r="AM1082" s="232">
        <v>12213</v>
      </c>
    </row>
    <row r="1083" spans="1:39" ht="15" customHeight="1" outlineLevel="1">
      <c r="A1083" s="411">
        <v>537</v>
      </c>
      <c r="B1083" s="10">
        <v>129537</v>
      </c>
      <c r="C1083" s="218" t="s">
        <v>1489</v>
      </c>
      <c r="D1083" s="218" t="s">
        <v>1490</v>
      </c>
      <c r="E1083" s="23" t="s">
        <v>138</v>
      </c>
      <c r="F1083" s="17" t="s">
        <v>45</v>
      </c>
      <c r="G1083" s="11" t="s">
        <v>1432</v>
      </c>
      <c r="H1083" s="12">
        <v>25</v>
      </c>
      <c r="I1083" s="11" t="s">
        <v>1433</v>
      </c>
      <c r="J1083" s="374" t="s">
        <v>207</v>
      </c>
      <c r="K1083" s="17" t="s">
        <v>233</v>
      </c>
      <c r="L1083" s="17" t="s">
        <v>233</v>
      </c>
      <c r="M1083" s="231">
        <v>20</v>
      </c>
      <c r="N1083" s="231">
        <v>20</v>
      </c>
      <c r="O1083" s="231">
        <v>20</v>
      </c>
      <c r="P1083" s="231" t="s">
        <v>239</v>
      </c>
      <c r="Q1083" s="231">
        <v>20</v>
      </c>
      <c r="R1083" s="231" t="s">
        <v>239</v>
      </c>
      <c r="S1083" s="231">
        <v>20</v>
      </c>
      <c r="T1083" s="231" t="s">
        <v>239</v>
      </c>
      <c r="U1083" s="231">
        <v>20</v>
      </c>
      <c r="V1083" s="231" t="s">
        <v>239</v>
      </c>
      <c r="W1083" s="231">
        <v>20</v>
      </c>
      <c r="X1083" s="231" t="s">
        <v>239</v>
      </c>
      <c r="Y1083" s="231">
        <v>20</v>
      </c>
      <c r="Z1083" s="231" t="s">
        <v>239</v>
      </c>
      <c r="AA1083" s="231">
        <v>20</v>
      </c>
      <c r="AB1083" s="231" t="s">
        <v>239</v>
      </c>
      <c r="AC1083" s="231">
        <v>20</v>
      </c>
      <c r="AD1083" s="231" t="s">
        <v>239</v>
      </c>
      <c r="AE1083" s="231">
        <v>20</v>
      </c>
      <c r="AF1083" s="231" t="s">
        <v>239</v>
      </c>
      <c r="AG1083" s="231">
        <v>20</v>
      </c>
      <c r="AH1083" s="231" t="s">
        <v>239</v>
      </c>
      <c r="AI1083" s="231">
        <v>20</v>
      </c>
      <c r="AJ1083" s="231" t="s">
        <v>239</v>
      </c>
      <c r="AK1083" s="231">
        <v>20</v>
      </c>
      <c r="AL1083" s="232" t="s">
        <v>239</v>
      </c>
      <c r="AM1083" s="232">
        <v>0</v>
      </c>
    </row>
    <row r="1084" spans="1:39" ht="15" customHeight="1" outlineLevel="1">
      <c r="A1084" s="412"/>
      <c r="B1084" s="10">
        <v>129537</v>
      </c>
      <c r="C1084" s="218" t="s">
        <v>1489</v>
      </c>
      <c r="D1084" s="218" t="s">
        <v>1490</v>
      </c>
      <c r="E1084" s="23" t="s">
        <v>44</v>
      </c>
      <c r="F1084" s="17" t="s">
        <v>45</v>
      </c>
      <c r="G1084" s="11" t="s">
        <v>1432</v>
      </c>
      <c r="H1084" s="12">
        <v>9</v>
      </c>
      <c r="I1084" s="11" t="s">
        <v>1433</v>
      </c>
      <c r="J1084" s="375"/>
      <c r="K1084" s="17" t="s">
        <v>233</v>
      </c>
      <c r="L1084" s="17" t="s">
        <v>233</v>
      </c>
      <c r="M1084" s="231">
        <v>9144</v>
      </c>
      <c r="N1084" s="232">
        <v>9032.9918399999988</v>
      </c>
      <c r="O1084" s="132">
        <v>1298</v>
      </c>
      <c r="P1084" s="231" t="s">
        <v>239</v>
      </c>
      <c r="Q1084" s="232">
        <v>1298</v>
      </c>
      <c r="R1084" s="231" t="s">
        <v>239</v>
      </c>
      <c r="S1084" s="232">
        <v>1185</v>
      </c>
      <c r="T1084" s="231" t="s">
        <v>239</v>
      </c>
      <c r="U1084" s="232">
        <v>1128</v>
      </c>
      <c r="V1084" s="230" t="s">
        <v>239</v>
      </c>
      <c r="W1084" s="232">
        <v>935</v>
      </c>
      <c r="X1084" s="231" t="s">
        <v>239</v>
      </c>
      <c r="Y1084" s="232">
        <v>931</v>
      </c>
      <c r="Z1084" s="231" t="s">
        <v>239</v>
      </c>
      <c r="AA1084" s="232">
        <v>950</v>
      </c>
      <c r="AB1084" s="231" t="s">
        <v>239</v>
      </c>
      <c r="AC1084" s="232">
        <v>814</v>
      </c>
      <c r="AD1084" s="231" t="s">
        <v>239</v>
      </c>
      <c r="AE1084" s="232">
        <v>817</v>
      </c>
      <c r="AF1084" s="231" t="s">
        <v>239</v>
      </c>
      <c r="AG1084" s="232">
        <v>896</v>
      </c>
      <c r="AH1084" s="231" t="s">
        <v>239</v>
      </c>
      <c r="AI1084" s="232">
        <v>923</v>
      </c>
      <c r="AJ1084" s="231" t="s">
        <v>239</v>
      </c>
      <c r="AK1084" s="232">
        <v>866</v>
      </c>
      <c r="AL1084" s="232" t="s">
        <v>239</v>
      </c>
      <c r="AM1084" s="232">
        <v>12041</v>
      </c>
    </row>
    <row r="1085" spans="1:39" ht="15" customHeight="1" outlineLevel="1">
      <c r="A1085" s="411">
        <v>538</v>
      </c>
      <c r="B1085" s="10">
        <v>129538</v>
      </c>
      <c r="C1085" s="218" t="s">
        <v>1489</v>
      </c>
      <c r="D1085" s="218" t="s">
        <v>1490</v>
      </c>
      <c r="E1085" s="23" t="s">
        <v>138</v>
      </c>
      <c r="F1085" s="17" t="s">
        <v>45</v>
      </c>
      <c r="G1085" s="11" t="s">
        <v>1432</v>
      </c>
      <c r="H1085" s="12">
        <v>24</v>
      </c>
      <c r="I1085" s="11" t="s">
        <v>1433</v>
      </c>
      <c r="J1085" s="193" t="s">
        <v>1460</v>
      </c>
      <c r="K1085" s="17" t="s">
        <v>233</v>
      </c>
      <c r="L1085" s="17" t="s">
        <v>233</v>
      </c>
      <c r="M1085" s="231">
        <v>19</v>
      </c>
      <c r="N1085" s="231">
        <v>19</v>
      </c>
      <c r="O1085" s="231">
        <v>19</v>
      </c>
      <c r="P1085" s="231" t="s">
        <v>239</v>
      </c>
      <c r="Q1085" s="231">
        <v>19</v>
      </c>
      <c r="R1085" s="231" t="s">
        <v>239</v>
      </c>
      <c r="S1085" s="231">
        <v>19</v>
      </c>
      <c r="T1085" s="231" t="s">
        <v>239</v>
      </c>
      <c r="U1085" s="231">
        <v>19</v>
      </c>
      <c r="V1085" s="231" t="s">
        <v>239</v>
      </c>
      <c r="W1085" s="231">
        <v>19</v>
      </c>
      <c r="X1085" s="231" t="s">
        <v>239</v>
      </c>
      <c r="Y1085" s="231">
        <v>19</v>
      </c>
      <c r="Z1085" s="231" t="s">
        <v>239</v>
      </c>
      <c r="AA1085" s="231">
        <v>19</v>
      </c>
      <c r="AB1085" s="231" t="s">
        <v>239</v>
      </c>
      <c r="AC1085" s="231">
        <v>19</v>
      </c>
      <c r="AD1085" s="231" t="s">
        <v>239</v>
      </c>
      <c r="AE1085" s="231">
        <v>19</v>
      </c>
      <c r="AF1085" s="231" t="s">
        <v>239</v>
      </c>
      <c r="AG1085" s="231">
        <v>19</v>
      </c>
      <c r="AH1085" s="231" t="s">
        <v>239</v>
      </c>
      <c r="AI1085" s="231">
        <v>19</v>
      </c>
      <c r="AJ1085" s="231" t="s">
        <v>239</v>
      </c>
      <c r="AK1085" s="231">
        <v>19</v>
      </c>
      <c r="AL1085" s="232" t="s">
        <v>239</v>
      </c>
      <c r="AM1085" s="232">
        <v>0</v>
      </c>
    </row>
    <row r="1086" spans="1:39" ht="15" customHeight="1" outlineLevel="1">
      <c r="A1086" s="412"/>
      <c r="B1086" s="10">
        <v>129538</v>
      </c>
      <c r="C1086" s="218" t="s">
        <v>1489</v>
      </c>
      <c r="D1086" s="218" t="s">
        <v>1490</v>
      </c>
      <c r="E1086" s="23" t="s">
        <v>44</v>
      </c>
      <c r="F1086" s="17" t="s">
        <v>45</v>
      </c>
      <c r="G1086" s="11" t="s">
        <v>1432</v>
      </c>
      <c r="H1086" s="12">
        <v>10</v>
      </c>
      <c r="I1086" s="11" t="s">
        <v>1433</v>
      </c>
      <c r="J1086" s="193" t="s">
        <v>1442</v>
      </c>
      <c r="K1086" s="17" t="s">
        <v>233</v>
      </c>
      <c r="L1086" s="17" t="s">
        <v>233</v>
      </c>
      <c r="M1086" s="231">
        <v>17327</v>
      </c>
      <c r="N1086" s="232">
        <v>17116.65022</v>
      </c>
      <c r="O1086" s="132">
        <v>1306</v>
      </c>
      <c r="P1086" s="231" t="s">
        <v>239</v>
      </c>
      <c r="Q1086" s="232">
        <v>1306</v>
      </c>
      <c r="R1086" s="231" t="s">
        <v>239</v>
      </c>
      <c r="S1086" s="232">
        <v>1330</v>
      </c>
      <c r="T1086" s="231" t="s">
        <v>239</v>
      </c>
      <c r="U1086" s="232">
        <v>1094</v>
      </c>
      <c r="V1086" s="231" t="s">
        <v>239</v>
      </c>
      <c r="W1086" s="232">
        <v>987</v>
      </c>
      <c r="X1086" s="231" t="s">
        <v>239</v>
      </c>
      <c r="Y1086" s="232">
        <v>1683</v>
      </c>
      <c r="Z1086" s="231" t="s">
        <v>239</v>
      </c>
      <c r="AA1086" s="232">
        <v>1470</v>
      </c>
      <c r="AB1086" s="231" t="s">
        <v>239</v>
      </c>
      <c r="AC1086" s="232">
        <v>1128</v>
      </c>
      <c r="AD1086" s="231" t="s">
        <v>239</v>
      </c>
      <c r="AE1086" s="232">
        <v>1040</v>
      </c>
      <c r="AF1086" s="231" t="s">
        <v>239</v>
      </c>
      <c r="AG1086" s="232">
        <v>1151</v>
      </c>
      <c r="AH1086" s="231" t="s">
        <v>239</v>
      </c>
      <c r="AI1086" s="232">
        <v>1118</v>
      </c>
      <c r="AJ1086" s="231" t="s">
        <v>239</v>
      </c>
      <c r="AK1086" s="232">
        <v>1125</v>
      </c>
      <c r="AL1086" s="232" t="s">
        <v>239</v>
      </c>
      <c r="AM1086" s="232">
        <v>14738</v>
      </c>
    </row>
    <row r="1087" spans="1:39" ht="15" customHeight="1" outlineLevel="1">
      <c r="A1087" s="411">
        <v>539</v>
      </c>
      <c r="B1087" s="10">
        <v>129539</v>
      </c>
      <c r="C1087" s="218" t="s">
        <v>1489</v>
      </c>
      <c r="D1087" s="218" t="s">
        <v>1490</v>
      </c>
      <c r="E1087" s="23" t="s">
        <v>44</v>
      </c>
      <c r="F1087" s="17" t="s">
        <v>45</v>
      </c>
      <c r="G1087" s="11" t="s">
        <v>1432</v>
      </c>
      <c r="H1087" s="12">
        <v>17</v>
      </c>
      <c r="I1087" s="11" t="s">
        <v>1433</v>
      </c>
      <c r="J1087" s="193" t="s">
        <v>1451</v>
      </c>
      <c r="K1087" s="17" t="s">
        <v>233</v>
      </c>
      <c r="L1087" s="17" t="s">
        <v>233</v>
      </c>
      <c r="M1087" s="231">
        <v>19</v>
      </c>
      <c r="N1087" s="231">
        <v>19</v>
      </c>
      <c r="O1087" s="231">
        <v>19</v>
      </c>
      <c r="P1087" s="231" t="s">
        <v>239</v>
      </c>
      <c r="Q1087" s="231">
        <v>19</v>
      </c>
      <c r="R1087" s="231" t="s">
        <v>239</v>
      </c>
      <c r="S1087" s="231">
        <v>19</v>
      </c>
      <c r="T1087" s="231" t="s">
        <v>239</v>
      </c>
      <c r="U1087" s="231">
        <v>19</v>
      </c>
      <c r="V1087" s="230" t="s">
        <v>239</v>
      </c>
      <c r="W1087" s="231">
        <v>19</v>
      </c>
      <c r="X1087" s="231" t="s">
        <v>239</v>
      </c>
      <c r="Y1087" s="231">
        <v>19</v>
      </c>
      <c r="Z1087" s="231" t="s">
        <v>239</v>
      </c>
      <c r="AA1087" s="231">
        <v>19</v>
      </c>
      <c r="AB1087" s="231" t="s">
        <v>239</v>
      </c>
      <c r="AC1087" s="231">
        <v>19</v>
      </c>
      <c r="AD1087" s="231" t="s">
        <v>239</v>
      </c>
      <c r="AE1087" s="231">
        <v>19</v>
      </c>
      <c r="AF1087" s="231" t="s">
        <v>239</v>
      </c>
      <c r="AG1087" s="231">
        <v>19</v>
      </c>
      <c r="AH1087" s="231" t="s">
        <v>239</v>
      </c>
      <c r="AI1087" s="231">
        <v>19</v>
      </c>
      <c r="AJ1087" s="231" t="s">
        <v>239</v>
      </c>
      <c r="AK1087" s="231">
        <v>19</v>
      </c>
      <c r="AL1087" s="232" t="s">
        <v>239</v>
      </c>
      <c r="AM1087" s="232">
        <v>0</v>
      </c>
    </row>
    <row r="1088" spans="1:39" ht="15" customHeight="1" outlineLevel="1">
      <c r="A1088" s="412"/>
      <c r="B1088" s="10">
        <v>129539</v>
      </c>
      <c r="C1088" s="218" t="s">
        <v>1489</v>
      </c>
      <c r="D1088" s="218" t="s">
        <v>1490</v>
      </c>
      <c r="E1088" s="23" t="s">
        <v>138</v>
      </c>
      <c r="F1088" s="17" t="s">
        <v>45</v>
      </c>
      <c r="G1088" s="11" t="s">
        <v>1432</v>
      </c>
      <c r="H1088" s="12">
        <v>32</v>
      </c>
      <c r="I1088" s="11" t="s">
        <v>1433</v>
      </c>
      <c r="J1088" s="193" t="s">
        <v>208</v>
      </c>
      <c r="K1088" s="17" t="s">
        <v>233</v>
      </c>
      <c r="L1088" s="17" t="s">
        <v>233</v>
      </c>
      <c r="M1088" s="231">
        <v>0</v>
      </c>
      <c r="N1088" s="232">
        <v>0</v>
      </c>
      <c r="O1088" s="132">
        <v>0</v>
      </c>
      <c r="P1088" s="231" t="s">
        <v>239</v>
      </c>
      <c r="Q1088" s="232">
        <v>0</v>
      </c>
      <c r="R1088" s="231" t="s">
        <v>239</v>
      </c>
      <c r="S1088" s="232">
        <v>0</v>
      </c>
      <c r="T1088" s="231" t="s">
        <v>239</v>
      </c>
      <c r="U1088" s="232">
        <v>0</v>
      </c>
      <c r="V1088" s="231" t="s">
        <v>239</v>
      </c>
      <c r="W1088" s="232">
        <v>0</v>
      </c>
      <c r="X1088" s="231" t="s">
        <v>239</v>
      </c>
      <c r="Y1088" s="232">
        <v>0</v>
      </c>
      <c r="Z1088" s="231" t="s">
        <v>239</v>
      </c>
      <c r="AA1088" s="232">
        <v>0</v>
      </c>
      <c r="AB1088" s="231" t="s">
        <v>239</v>
      </c>
      <c r="AC1088" s="232">
        <v>0</v>
      </c>
      <c r="AD1088" s="231" t="s">
        <v>239</v>
      </c>
      <c r="AE1088" s="232">
        <v>0</v>
      </c>
      <c r="AF1088" s="231" t="s">
        <v>239</v>
      </c>
      <c r="AG1088" s="232">
        <v>0</v>
      </c>
      <c r="AH1088" s="231" t="s">
        <v>239</v>
      </c>
      <c r="AI1088" s="232">
        <v>0</v>
      </c>
      <c r="AJ1088" s="231" t="s">
        <v>239</v>
      </c>
      <c r="AK1088" s="232">
        <v>0</v>
      </c>
      <c r="AL1088" s="232" t="s">
        <v>239</v>
      </c>
      <c r="AM1088" s="232">
        <v>0</v>
      </c>
    </row>
    <row r="1089" spans="1:39" ht="15" customHeight="1" outlineLevel="1">
      <c r="A1089" s="411">
        <v>540</v>
      </c>
      <c r="B1089" s="10">
        <v>129540</v>
      </c>
      <c r="C1089" s="218" t="s">
        <v>1489</v>
      </c>
      <c r="D1089" s="218" t="s">
        <v>1490</v>
      </c>
      <c r="E1089" s="23" t="s">
        <v>44</v>
      </c>
      <c r="F1089" s="17" t="s">
        <v>45</v>
      </c>
      <c r="G1089" s="11" t="s">
        <v>1432</v>
      </c>
      <c r="H1089" s="12">
        <v>8</v>
      </c>
      <c r="I1089" s="11" t="s">
        <v>1433</v>
      </c>
      <c r="J1089" s="193" t="s">
        <v>1452</v>
      </c>
      <c r="K1089" s="17" t="s">
        <v>233</v>
      </c>
      <c r="L1089" s="17" t="s">
        <v>233</v>
      </c>
      <c r="M1089" s="231">
        <v>55</v>
      </c>
      <c r="N1089" s="231">
        <v>55</v>
      </c>
      <c r="O1089" s="231">
        <v>55</v>
      </c>
      <c r="P1089" s="231" t="s">
        <v>239</v>
      </c>
      <c r="Q1089" s="231">
        <v>55</v>
      </c>
      <c r="R1089" s="231" t="s">
        <v>239</v>
      </c>
      <c r="S1089" s="231">
        <v>55</v>
      </c>
      <c r="T1089" s="231" t="s">
        <v>239</v>
      </c>
      <c r="U1089" s="231">
        <v>55</v>
      </c>
      <c r="V1089" s="231" t="s">
        <v>239</v>
      </c>
      <c r="W1089" s="231">
        <v>55</v>
      </c>
      <c r="X1089" s="231" t="s">
        <v>239</v>
      </c>
      <c r="Y1089" s="231">
        <v>55</v>
      </c>
      <c r="Z1089" s="231" t="s">
        <v>239</v>
      </c>
      <c r="AA1089" s="231">
        <v>55</v>
      </c>
      <c r="AB1089" s="231" t="s">
        <v>239</v>
      </c>
      <c r="AC1089" s="231">
        <v>55</v>
      </c>
      <c r="AD1089" s="231" t="s">
        <v>239</v>
      </c>
      <c r="AE1089" s="231">
        <v>55</v>
      </c>
      <c r="AF1089" s="231" t="s">
        <v>239</v>
      </c>
      <c r="AG1089" s="231">
        <v>55</v>
      </c>
      <c r="AH1089" s="231" t="s">
        <v>239</v>
      </c>
      <c r="AI1089" s="231">
        <v>55</v>
      </c>
      <c r="AJ1089" s="231" t="s">
        <v>239</v>
      </c>
      <c r="AK1089" s="231">
        <v>55</v>
      </c>
      <c r="AL1089" s="232" t="s">
        <v>239</v>
      </c>
      <c r="AM1089" s="232">
        <v>0</v>
      </c>
    </row>
    <row r="1090" spans="1:39" ht="15" customHeight="1" outlineLevel="1">
      <c r="A1090" s="412"/>
      <c r="B1090" s="10">
        <v>129540</v>
      </c>
      <c r="C1090" s="218" t="s">
        <v>1489</v>
      </c>
      <c r="D1090" s="218" t="s">
        <v>1490</v>
      </c>
      <c r="E1090" s="23" t="s">
        <v>138</v>
      </c>
      <c r="F1090" s="17" t="s">
        <v>45</v>
      </c>
      <c r="G1090" s="11" t="s">
        <v>1432</v>
      </c>
      <c r="H1090" s="12">
        <v>12</v>
      </c>
      <c r="I1090" s="11" t="s">
        <v>1433</v>
      </c>
      <c r="J1090" s="193" t="s">
        <v>216</v>
      </c>
      <c r="K1090" s="17" t="s">
        <v>233</v>
      </c>
      <c r="L1090" s="17" t="s">
        <v>233</v>
      </c>
      <c r="M1090" s="231">
        <v>23236</v>
      </c>
      <c r="N1090" s="232">
        <v>22953.914959999998</v>
      </c>
      <c r="O1090" s="132">
        <v>1846</v>
      </c>
      <c r="P1090" s="231" t="s">
        <v>239</v>
      </c>
      <c r="Q1090" s="232">
        <v>1846</v>
      </c>
      <c r="R1090" s="231" t="s">
        <v>239</v>
      </c>
      <c r="S1090" s="232">
        <v>1373</v>
      </c>
      <c r="T1090" s="231" t="s">
        <v>239</v>
      </c>
      <c r="U1090" s="232">
        <v>1299</v>
      </c>
      <c r="V1090" s="230" t="s">
        <v>239</v>
      </c>
      <c r="W1090" s="232">
        <v>1219</v>
      </c>
      <c r="X1090" s="231" t="s">
        <v>239</v>
      </c>
      <c r="Y1090" s="232">
        <v>1442</v>
      </c>
      <c r="Z1090" s="231" t="s">
        <v>239</v>
      </c>
      <c r="AA1090" s="232">
        <v>948</v>
      </c>
      <c r="AB1090" s="231" t="s">
        <v>239</v>
      </c>
      <c r="AC1090" s="232">
        <v>912</v>
      </c>
      <c r="AD1090" s="231" t="s">
        <v>239</v>
      </c>
      <c r="AE1090" s="232">
        <v>1156</v>
      </c>
      <c r="AF1090" s="231" t="s">
        <v>239</v>
      </c>
      <c r="AG1090" s="232">
        <v>1263</v>
      </c>
      <c r="AH1090" s="231" t="s">
        <v>239</v>
      </c>
      <c r="AI1090" s="232">
        <v>1142</v>
      </c>
      <c r="AJ1090" s="231" t="s">
        <v>239</v>
      </c>
      <c r="AK1090" s="232">
        <v>1227</v>
      </c>
      <c r="AL1090" s="232" t="s">
        <v>239</v>
      </c>
      <c r="AM1090" s="232">
        <v>15673</v>
      </c>
    </row>
    <row r="1091" spans="1:39" ht="15" customHeight="1" outlineLevel="1">
      <c r="A1091" s="411">
        <v>541</v>
      </c>
      <c r="B1091" s="10">
        <v>129541</v>
      </c>
      <c r="C1091" s="218" t="s">
        <v>1489</v>
      </c>
      <c r="D1091" s="218" t="s">
        <v>1490</v>
      </c>
      <c r="E1091" s="23" t="s">
        <v>44</v>
      </c>
      <c r="F1091" s="17" t="s">
        <v>45</v>
      </c>
      <c r="G1091" s="11" t="s">
        <v>1432</v>
      </c>
      <c r="H1091" s="12">
        <v>24</v>
      </c>
      <c r="I1091" s="11" t="s">
        <v>1433</v>
      </c>
      <c r="J1091" s="193" t="s">
        <v>1453</v>
      </c>
      <c r="K1091" s="17" t="s">
        <v>233</v>
      </c>
      <c r="L1091" s="17" t="s">
        <v>233</v>
      </c>
      <c r="M1091" s="231">
        <v>50</v>
      </c>
      <c r="N1091" s="231">
        <v>50</v>
      </c>
      <c r="O1091" s="231">
        <v>50</v>
      </c>
      <c r="P1091" s="231" t="s">
        <v>239</v>
      </c>
      <c r="Q1091" s="231">
        <v>50</v>
      </c>
      <c r="R1091" s="231" t="s">
        <v>239</v>
      </c>
      <c r="S1091" s="231">
        <v>50</v>
      </c>
      <c r="T1091" s="231" t="s">
        <v>239</v>
      </c>
      <c r="U1091" s="231">
        <v>50</v>
      </c>
      <c r="V1091" s="231" t="s">
        <v>239</v>
      </c>
      <c r="W1091" s="231">
        <v>50</v>
      </c>
      <c r="X1091" s="231" t="s">
        <v>239</v>
      </c>
      <c r="Y1091" s="231">
        <v>50</v>
      </c>
      <c r="Z1091" s="231" t="s">
        <v>239</v>
      </c>
      <c r="AA1091" s="231">
        <v>50</v>
      </c>
      <c r="AB1091" s="231" t="s">
        <v>239</v>
      </c>
      <c r="AC1091" s="231">
        <v>50</v>
      </c>
      <c r="AD1091" s="231" t="s">
        <v>239</v>
      </c>
      <c r="AE1091" s="231">
        <v>50</v>
      </c>
      <c r="AF1091" s="231" t="s">
        <v>239</v>
      </c>
      <c r="AG1091" s="231">
        <v>50</v>
      </c>
      <c r="AH1091" s="231" t="s">
        <v>239</v>
      </c>
      <c r="AI1091" s="231">
        <v>50</v>
      </c>
      <c r="AJ1091" s="231" t="s">
        <v>239</v>
      </c>
      <c r="AK1091" s="231">
        <v>50</v>
      </c>
      <c r="AL1091" s="232" t="s">
        <v>239</v>
      </c>
      <c r="AM1091" s="232">
        <v>0</v>
      </c>
    </row>
    <row r="1092" spans="1:39" ht="15" customHeight="1" outlineLevel="1">
      <c r="A1092" s="412"/>
      <c r="B1092" s="10">
        <v>129541</v>
      </c>
      <c r="C1092" s="218" t="s">
        <v>1489</v>
      </c>
      <c r="D1092" s="218" t="s">
        <v>1490</v>
      </c>
      <c r="E1092" s="23" t="s">
        <v>44</v>
      </c>
      <c r="F1092" s="17" t="s">
        <v>45</v>
      </c>
      <c r="G1092" s="11" t="s">
        <v>1432</v>
      </c>
      <c r="H1092" s="12">
        <v>10</v>
      </c>
      <c r="I1092" s="11" t="s">
        <v>1433</v>
      </c>
      <c r="J1092" s="193" t="s">
        <v>1454</v>
      </c>
      <c r="K1092" s="17" t="s">
        <v>233</v>
      </c>
      <c r="L1092" s="17" t="s">
        <v>233</v>
      </c>
      <c r="M1092" s="231">
        <v>44470</v>
      </c>
      <c r="N1092" s="232">
        <v>43930.1342</v>
      </c>
      <c r="O1092" s="132">
        <v>2076</v>
      </c>
      <c r="P1092" s="231" t="s">
        <v>239</v>
      </c>
      <c r="Q1092" s="232">
        <v>2076</v>
      </c>
      <c r="R1092" s="231" t="s">
        <v>239</v>
      </c>
      <c r="S1092" s="232">
        <v>2098</v>
      </c>
      <c r="T1092" s="231" t="s">
        <v>239</v>
      </c>
      <c r="U1092" s="232">
        <v>2220</v>
      </c>
      <c r="V1092" s="231" t="s">
        <v>239</v>
      </c>
      <c r="W1092" s="232">
        <v>2182</v>
      </c>
      <c r="X1092" s="231" t="s">
        <v>239</v>
      </c>
      <c r="Y1092" s="232">
        <v>1536</v>
      </c>
      <c r="Z1092" s="231" t="s">
        <v>239</v>
      </c>
      <c r="AA1092" s="232">
        <v>1334</v>
      </c>
      <c r="AB1092" s="231" t="s">
        <v>239</v>
      </c>
      <c r="AC1092" s="232">
        <v>1527</v>
      </c>
      <c r="AD1092" s="231" t="s">
        <v>239</v>
      </c>
      <c r="AE1092" s="232">
        <v>1420</v>
      </c>
      <c r="AF1092" s="231" t="s">
        <v>239</v>
      </c>
      <c r="AG1092" s="232">
        <v>1840</v>
      </c>
      <c r="AH1092" s="231" t="s">
        <v>239</v>
      </c>
      <c r="AI1092" s="232">
        <v>1553</v>
      </c>
      <c r="AJ1092" s="231" t="s">
        <v>239</v>
      </c>
      <c r="AK1092" s="232">
        <v>1419</v>
      </c>
      <c r="AL1092" s="232" t="s">
        <v>239</v>
      </c>
      <c r="AM1092" s="232">
        <v>21281</v>
      </c>
    </row>
    <row r="1093" spans="1:39" ht="15" customHeight="1" outlineLevel="1">
      <c r="A1093" s="411">
        <v>542</v>
      </c>
      <c r="B1093" s="10">
        <v>129542</v>
      </c>
      <c r="C1093" s="218" t="s">
        <v>1489</v>
      </c>
      <c r="D1093" s="218" t="s">
        <v>1490</v>
      </c>
      <c r="E1093" s="23" t="s">
        <v>138</v>
      </c>
      <c r="F1093" s="17" t="s">
        <v>45</v>
      </c>
      <c r="G1093" s="11" t="s">
        <v>1432</v>
      </c>
      <c r="H1093" s="12">
        <v>17</v>
      </c>
      <c r="I1093" s="11" t="s">
        <v>1433</v>
      </c>
      <c r="J1093" s="191" t="s">
        <v>216</v>
      </c>
      <c r="K1093" s="17" t="s">
        <v>233</v>
      </c>
      <c r="L1093" s="17" t="s">
        <v>233</v>
      </c>
      <c r="M1093" s="231">
        <v>2</v>
      </c>
      <c r="N1093" s="231">
        <v>2</v>
      </c>
      <c r="O1093" s="231">
        <v>2</v>
      </c>
      <c r="P1093" s="231" t="s">
        <v>239</v>
      </c>
      <c r="Q1093" s="231">
        <v>2</v>
      </c>
      <c r="R1093" s="231" t="s">
        <v>239</v>
      </c>
      <c r="S1093" s="231">
        <v>2</v>
      </c>
      <c r="T1093" s="231" t="s">
        <v>239</v>
      </c>
      <c r="U1093" s="231">
        <v>2</v>
      </c>
      <c r="V1093" s="230" t="s">
        <v>239</v>
      </c>
      <c r="W1093" s="231">
        <v>2</v>
      </c>
      <c r="X1093" s="231" t="s">
        <v>239</v>
      </c>
      <c r="Y1093" s="231">
        <v>2</v>
      </c>
      <c r="Z1093" s="231" t="s">
        <v>239</v>
      </c>
      <c r="AA1093" s="231">
        <v>2</v>
      </c>
      <c r="AB1093" s="231" t="s">
        <v>239</v>
      </c>
      <c r="AC1093" s="231">
        <v>2</v>
      </c>
      <c r="AD1093" s="231" t="s">
        <v>239</v>
      </c>
      <c r="AE1093" s="231">
        <v>2</v>
      </c>
      <c r="AF1093" s="231" t="s">
        <v>239</v>
      </c>
      <c r="AG1093" s="231">
        <v>2</v>
      </c>
      <c r="AH1093" s="231" t="s">
        <v>239</v>
      </c>
      <c r="AI1093" s="231">
        <v>2</v>
      </c>
      <c r="AJ1093" s="231" t="s">
        <v>239</v>
      </c>
      <c r="AK1093" s="231">
        <v>2</v>
      </c>
      <c r="AL1093" s="232" t="s">
        <v>239</v>
      </c>
      <c r="AM1093" s="232">
        <v>0</v>
      </c>
    </row>
    <row r="1094" spans="1:39" ht="15" customHeight="1" outlineLevel="1">
      <c r="A1094" s="412"/>
      <c r="B1094" s="10">
        <v>129542</v>
      </c>
      <c r="C1094" s="218" t="s">
        <v>1489</v>
      </c>
      <c r="D1094" s="218" t="s">
        <v>1490</v>
      </c>
      <c r="E1094" s="23" t="s">
        <v>44</v>
      </c>
      <c r="F1094" s="17" t="s">
        <v>45</v>
      </c>
      <c r="G1094" s="11" t="s">
        <v>1432</v>
      </c>
      <c r="H1094" s="12">
        <v>32</v>
      </c>
      <c r="I1094" s="11" t="s">
        <v>1433</v>
      </c>
      <c r="J1094" s="192" t="s">
        <v>1434</v>
      </c>
      <c r="K1094" s="17" t="s">
        <v>233</v>
      </c>
      <c r="L1094" s="17" t="s">
        <v>233</v>
      </c>
      <c r="M1094" s="231">
        <v>10294</v>
      </c>
      <c r="N1094" s="232">
        <v>10169.030839999999</v>
      </c>
      <c r="O1094" s="132">
        <v>1820</v>
      </c>
      <c r="P1094" s="231" t="s">
        <v>239</v>
      </c>
      <c r="Q1094" s="232">
        <v>1820</v>
      </c>
      <c r="R1094" s="231" t="s">
        <v>239</v>
      </c>
      <c r="S1094" s="232">
        <v>1532</v>
      </c>
      <c r="T1094" s="231" t="s">
        <v>239</v>
      </c>
      <c r="U1094" s="232">
        <v>1117</v>
      </c>
      <c r="V1094" s="231" t="s">
        <v>239</v>
      </c>
      <c r="W1094" s="232">
        <v>1126</v>
      </c>
      <c r="X1094" s="231" t="s">
        <v>239</v>
      </c>
      <c r="Y1094" s="232">
        <v>905</v>
      </c>
      <c r="Z1094" s="231" t="s">
        <v>239</v>
      </c>
      <c r="AA1094" s="232">
        <v>1191</v>
      </c>
      <c r="AB1094" s="231" t="s">
        <v>239</v>
      </c>
      <c r="AC1094" s="232">
        <v>1518</v>
      </c>
      <c r="AD1094" s="231" t="s">
        <v>239</v>
      </c>
      <c r="AE1094" s="232">
        <v>1648</v>
      </c>
      <c r="AF1094" s="231" t="s">
        <v>239</v>
      </c>
      <c r="AG1094" s="232">
        <v>1462</v>
      </c>
      <c r="AH1094" s="231" t="s">
        <v>239</v>
      </c>
      <c r="AI1094" s="232">
        <v>1909</v>
      </c>
      <c r="AJ1094" s="231" t="s">
        <v>239</v>
      </c>
      <c r="AK1094" s="232">
        <v>1565</v>
      </c>
      <c r="AL1094" s="232" t="s">
        <v>239</v>
      </c>
      <c r="AM1094" s="232">
        <v>17613</v>
      </c>
    </row>
    <row r="1095" spans="1:39" ht="15" customHeight="1" outlineLevel="1">
      <c r="A1095" s="411">
        <v>543</v>
      </c>
      <c r="B1095" s="10">
        <v>129543</v>
      </c>
      <c r="C1095" s="218" t="s">
        <v>1489</v>
      </c>
      <c r="D1095" s="218" t="s">
        <v>1490</v>
      </c>
      <c r="E1095" s="23" t="s">
        <v>138</v>
      </c>
      <c r="F1095" s="17" t="s">
        <v>45</v>
      </c>
      <c r="G1095" s="11" t="s">
        <v>1432</v>
      </c>
      <c r="H1095" s="12">
        <v>8</v>
      </c>
      <c r="I1095" s="11" t="s">
        <v>1433</v>
      </c>
      <c r="J1095" s="192" t="s">
        <v>1480</v>
      </c>
      <c r="K1095" s="17" t="s">
        <v>233</v>
      </c>
      <c r="L1095" s="17" t="s">
        <v>233</v>
      </c>
      <c r="M1095" s="231">
        <v>62</v>
      </c>
      <c r="N1095" s="231">
        <v>62</v>
      </c>
      <c r="O1095" s="231">
        <v>62</v>
      </c>
      <c r="P1095" s="231" t="s">
        <v>239</v>
      </c>
      <c r="Q1095" s="231">
        <v>62</v>
      </c>
      <c r="R1095" s="231" t="s">
        <v>239</v>
      </c>
      <c r="S1095" s="231">
        <v>62</v>
      </c>
      <c r="T1095" s="231" t="s">
        <v>239</v>
      </c>
      <c r="U1095" s="231">
        <v>62</v>
      </c>
      <c r="V1095" s="231" t="s">
        <v>239</v>
      </c>
      <c r="W1095" s="231">
        <v>62</v>
      </c>
      <c r="X1095" s="231" t="s">
        <v>239</v>
      </c>
      <c r="Y1095" s="231">
        <v>62</v>
      </c>
      <c r="Z1095" s="231" t="s">
        <v>239</v>
      </c>
      <c r="AA1095" s="231">
        <v>62</v>
      </c>
      <c r="AB1095" s="231" t="s">
        <v>239</v>
      </c>
      <c r="AC1095" s="231">
        <v>62</v>
      </c>
      <c r="AD1095" s="231" t="s">
        <v>239</v>
      </c>
      <c r="AE1095" s="231">
        <v>62</v>
      </c>
      <c r="AF1095" s="231" t="s">
        <v>239</v>
      </c>
      <c r="AG1095" s="231">
        <v>62</v>
      </c>
      <c r="AH1095" s="231" t="s">
        <v>239</v>
      </c>
      <c r="AI1095" s="231">
        <v>62</v>
      </c>
      <c r="AJ1095" s="231" t="s">
        <v>239</v>
      </c>
      <c r="AK1095" s="231">
        <v>62</v>
      </c>
      <c r="AL1095" s="232" t="s">
        <v>239</v>
      </c>
      <c r="AM1095" s="232">
        <v>0</v>
      </c>
    </row>
    <row r="1096" spans="1:39" ht="15" customHeight="1" outlineLevel="1">
      <c r="A1096" s="412"/>
      <c r="B1096" s="10">
        <v>129543</v>
      </c>
      <c r="C1096" s="218" t="s">
        <v>1489</v>
      </c>
      <c r="D1096" s="218" t="s">
        <v>1490</v>
      </c>
      <c r="E1096" s="23" t="s">
        <v>44</v>
      </c>
      <c r="F1096" s="17" t="s">
        <v>45</v>
      </c>
      <c r="G1096" s="11" t="s">
        <v>1432</v>
      </c>
      <c r="H1096" s="12">
        <v>12</v>
      </c>
      <c r="I1096" s="11" t="s">
        <v>1433</v>
      </c>
      <c r="J1096" s="192" t="s">
        <v>1452</v>
      </c>
      <c r="K1096" s="17" t="s">
        <v>233</v>
      </c>
      <c r="L1096" s="17" t="s">
        <v>233</v>
      </c>
      <c r="M1096" s="231">
        <v>86423</v>
      </c>
      <c r="N1096" s="232">
        <v>85373.824779999995</v>
      </c>
      <c r="O1096" s="132">
        <v>6130</v>
      </c>
      <c r="P1096" s="231" t="s">
        <v>239</v>
      </c>
      <c r="Q1096" s="232">
        <v>6130</v>
      </c>
      <c r="R1096" s="231" t="s">
        <v>239</v>
      </c>
      <c r="S1096" s="232">
        <v>5421</v>
      </c>
      <c r="T1096" s="231" t="s">
        <v>239</v>
      </c>
      <c r="U1096" s="232">
        <v>5874</v>
      </c>
      <c r="V1096" s="230" t="s">
        <v>239</v>
      </c>
      <c r="W1096" s="232">
        <v>5671</v>
      </c>
      <c r="X1096" s="231" t="s">
        <v>239</v>
      </c>
      <c r="Y1096" s="232">
        <v>4081</v>
      </c>
      <c r="Z1096" s="231" t="s">
        <v>239</v>
      </c>
      <c r="AA1096" s="232">
        <v>8658</v>
      </c>
      <c r="AB1096" s="231" t="s">
        <v>239</v>
      </c>
      <c r="AC1096" s="232">
        <v>6709</v>
      </c>
      <c r="AD1096" s="231" t="s">
        <v>239</v>
      </c>
      <c r="AE1096" s="232">
        <v>3978</v>
      </c>
      <c r="AF1096" s="231" t="s">
        <v>239</v>
      </c>
      <c r="AG1096" s="232">
        <v>3873</v>
      </c>
      <c r="AH1096" s="231" t="s">
        <v>239</v>
      </c>
      <c r="AI1096" s="232">
        <v>3919</v>
      </c>
      <c r="AJ1096" s="231" t="s">
        <v>239</v>
      </c>
      <c r="AK1096" s="232">
        <v>3639</v>
      </c>
      <c r="AL1096" s="232" t="s">
        <v>239</v>
      </c>
      <c r="AM1096" s="232">
        <v>64083</v>
      </c>
    </row>
    <row r="1097" spans="1:39" ht="15" customHeight="1" outlineLevel="1">
      <c r="A1097" s="411">
        <v>544</v>
      </c>
      <c r="B1097" s="10">
        <v>129544</v>
      </c>
      <c r="C1097" s="218" t="s">
        <v>1489</v>
      </c>
      <c r="D1097" s="218" t="s">
        <v>1490</v>
      </c>
      <c r="E1097" s="23" t="s">
        <v>44</v>
      </c>
      <c r="F1097" s="17" t="s">
        <v>45</v>
      </c>
      <c r="G1097" s="11" t="s">
        <v>1432</v>
      </c>
      <c r="H1097" s="12">
        <v>18</v>
      </c>
      <c r="I1097" s="11" t="s">
        <v>1433</v>
      </c>
      <c r="J1097" s="374" t="s">
        <v>207</v>
      </c>
      <c r="K1097" s="17" t="s">
        <v>233</v>
      </c>
      <c r="L1097" s="17" t="s">
        <v>233</v>
      </c>
      <c r="M1097" s="231">
        <v>142</v>
      </c>
      <c r="N1097" s="231">
        <v>142</v>
      </c>
      <c r="O1097" s="231">
        <v>142</v>
      </c>
      <c r="P1097" s="231" t="s">
        <v>239</v>
      </c>
      <c r="Q1097" s="231">
        <v>142</v>
      </c>
      <c r="R1097" s="231" t="s">
        <v>239</v>
      </c>
      <c r="S1097" s="231">
        <v>142</v>
      </c>
      <c r="T1097" s="231" t="s">
        <v>239</v>
      </c>
      <c r="U1097" s="231">
        <v>142</v>
      </c>
      <c r="V1097" s="231" t="s">
        <v>239</v>
      </c>
      <c r="W1097" s="231">
        <v>142</v>
      </c>
      <c r="X1097" s="231" t="s">
        <v>239</v>
      </c>
      <c r="Y1097" s="231">
        <v>142</v>
      </c>
      <c r="Z1097" s="231" t="s">
        <v>239</v>
      </c>
      <c r="AA1097" s="231">
        <v>142</v>
      </c>
      <c r="AB1097" s="231" t="s">
        <v>239</v>
      </c>
      <c r="AC1097" s="231">
        <v>142</v>
      </c>
      <c r="AD1097" s="231" t="s">
        <v>239</v>
      </c>
      <c r="AE1097" s="231">
        <v>142</v>
      </c>
      <c r="AF1097" s="231" t="s">
        <v>239</v>
      </c>
      <c r="AG1097" s="231">
        <v>142</v>
      </c>
      <c r="AH1097" s="231" t="s">
        <v>239</v>
      </c>
      <c r="AI1097" s="231">
        <v>142</v>
      </c>
      <c r="AJ1097" s="231" t="s">
        <v>239</v>
      </c>
      <c r="AK1097" s="231">
        <v>142</v>
      </c>
      <c r="AL1097" s="232" t="s">
        <v>239</v>
      </c>
      <c r="AM1097" s="232">
        <v>0</v>
      </c>
    </row>
    <row r="1098" spans="1:39" ht="15" customHeight="1" outlineLevel="1">
      <c r="A1098" s="412"/>
      <c r="B1098" s="10">
        <v>129544</v>
      </c>
      <c r="C1098" s="218" t="s">
        <v>1489</v>
      </c>
      <c r="D1098" s="218" t="s">
        <v>1490</v>
      </c>
      <c r="E1098" s="23" t="s">
        <v>138</v>
      </c>
      <c r="F1098" s="17" t="s">
        <v>45</v>
      </c>
      <c r="G1098" s="11" t="s">
        <v>1432</v>
      </c>
      <c r="H1098" s="12">
        <v>17</v>
      </c>
      <c r="I1098" s="11" t="s">
        <v>1433</v>
      </c>
      <c r="J1098" s="375"/>
      <c r="K1098" s="17" t="s">
        <v>233</v>
      </c>
      <c r="L1098" s="17" t="s">
        <v>233</v>
      </c>
      <c r="M1098" s="231">
        <v>233635</v>
      </c>
      <c r="N1098" s="232">
        <v>230798.67109999998</v>
      </c>
      <c r="O1098" s="132">
        <v>0</v>
      </c>
      <c r="P1098" s="231" t="s">
        <v>239</v>
      </c>
      <c r="Q1098" s="232">
        <v>0</v>
      </c>
      <c r="R1098" s="231" t="s">
        <v>239</v>
      </c>
      <c r="S1098" s="232">
        <v>0</v>
      </c>
      <c r="T1098" s="231" t="s">
        <v>239</v>
      </c>
      <c r="U1098" s="232">
        <v>0</v>
      </c>
      <c r="V1098" s="231" t="s">
        <v>239</v>
      </c>
      <c r="W1098" s="232">
        <v>0</v>
      </c>
      <c r="X1098" s="231" t="s">
        <v>239</v>
      </c>
      <c r="Y1098" s="232">
        <v>0</v>
      </c>
      <c r="Z1098" s="231" t="s">
        <v>239</v>
      </c>
      <c r="AA1098" s="232">
        <v>0</v>
      </c>
      <c r="AB1098" s="231" t="s">
        <v>239</v>
      </c>
      <c r="AC1098" s="232">
        <v>0</v>
      </c>
      <c r="AD1098" s="231" t="s">
        <v>239</v>
      </c>
      <c r="AE1098" s="232">
        <v>0</v>
      </c>
      <c r="AF1098" s="231" t="s">
        <v>239</v>
      </c>
      <c r="AG1098" s="232">
        <v>0</v>
      </c>
      <c r="AH1098" s="231" t="s">
        <v>239</v>
      </c>
      <c r="AI1098" s="232">
        <v>0</v>
      </c>
      <c r="AJ1098" s="231" t="s">
        <v>239</v>
      </c>
      <c r="AK1098" s="232">
        <v>0</v>
      </c>
      <c r="AL1098" s="232" t="s">
        <v>239</v>
      </c>
      <c r="AM1098" s="232">
        <v>0</v>
      </c>
    </row>
    <row r="1099" spans="1:39" ht="15" customHeight="1" outlineLevel="1">
      <c r="A1099" s="411">
        <v>545</v>
      </c>
      <c r="B1099" s="10">
        <v>129545</v>
      </c>
      <c r="C1099" s="218" t="s">
        <v>1489</v>
      </c>
      <c r="D1099" s="218" t="s">
        <v>1490</v>
      </c>
      <c r="E1099" s="23" t="s">
        <v>44</v>
      </c>
      <c r="F1099" s="17" t="s">
        <v>45</v>
      </c>
      <c r="G1099" s="11" t="s">
        <v>1432</v>
      </c>
      <c r="H1099" s="12">
        <v>25</v>
      </c>
      <c r="I1099" s="11" t="s">
        <v>1433</v>
      </c>
      <c r="J1099" s="193" t="s">
        <v>1460</v>
      </c>
      <c r="K1099" s="17" t="s">
        <v>233</v>
      </c>
      <c r="L1099" s="17" t="s">
        <v>233</v>
      </c>
      <c r="M1099" s="231">
        <v>142</v>
      </c>
      <c r="N1099" s="231">
        <v>142</v>
      </c>
      <c r="O1099" s="231">
        <v>142</v>
      </c>
      <c r="P1099" s="231" t="s">
        <v>239</v>
      </c>
      <c r="Q1099" s="231">
        <v>142</v>
      </c>
      <c r="R1099" s="231" t="s">
        <v>239</v>
      </c>
      <c r="S1099" s="231">
        <v>142</v>
      </c>
      <c r="T1099" s="231" t="s">
        <v>239</v>
      </c>
      <c r="U1099" s="231">
        <v>142</v>
      </c>
      <c r="V1099" s="230" t="s">
        <v>239</v>
      </c>
      <c r="W1099" s="231">
        <v>142</v>
      </c>
      <c r="X1099" s="231" t="s">
        <v>239</v>
      </c>
      <c r="Y1099" s="231">
        <v>142</v>
      </c>
      <c r="Z1099" s="231" t="s">
        <v>239</v>
      </c>
      <c r="AA1099" s="231">
        <v>142</v>
      </c>
      <c r="AB1099" s="231" t="s">
        <v>239</v>
      </c>
      <c r="AC1099" s="231">
        <v>142</v>
      </c>
      <c r="AD1099" s="231" t="s">
        <v>239</v>
      </c>
      <c r="AE1099" s="231">
        <v>142</v>
      </c>
      <c r="AF1099" s="231" t="s">
        <v>239</v>
      </c>
      <c r="AG1099" s="231">
        <v>142</v>
      </c>
      <c r="AH1099" s="231" t="s">
        <v>239</v>
      </c>
      <c r="AI1099" s="231">
        <v>142</v>
      </c>
      <c r="AJ1099" s="231" t="s">
        <v>239</v>
      </c>
      <c r="AK1099" s="231">
        <v>142</v>
      </c>
      <c r="AL1099" s="232" t="s">
        <v>239</v>
      </c>
      <c r="AM1099" s="232">
        <v>0</v>
      </c>
    </row>
    <row r="1100" spans="1:39" ht="15" customHeight="1" outlineLevel="1">
      <c r="A1100" s="412"/>
      <c r="B1100" s="10">
        <v>129545</v>
      </c>
      <c r="C1100" s="218" t="s">
        <v>1489</v>
      </c>
      <c r="D1100" s="218" t="s">
        <v>1490</v>
      </c>
      <c r="E1100" s="23" t="s">
        <v>138</v>
      </c>
      <c r="F1100" s="17" t="s">
        <v>45</v>
      </c>
      <c r="G1100" s="11" t="s">
        <v>1432</v>
      </c>
      <c r="H1100" s="12">
        <v>13</v>
      </c>
      <c r="I1100" s="11" t="s">
        <v>1433</v>
      </c>
      <c r="J1100" s="193" t="s">
        <v>1442</v>
      </c>
      <c r="K1100" s="17" t="s">
        <v>233</v>
      </c>
      <c r="L1100" s="17" t="s">
        <v>233</v>
      </c>
      <c r="M1100" s="231">
        <v>0</v>
      </c>
      <c r="N1100" s="232">
        <v>0</v>
      </c>
      <c r="O1100" s="132">
        <v>0</v>
      </c>
      <c r="P1100" s="231" t="s">
        <v>239</v>
      </c>
      <c r="Q1100" s="232">
        <v>0</v>
      </c>
      <c r="R1100" s="231" t="s">
        <v>239</v>
      </c>
      <c r="S1100" s="232">
        <v>0</v>
      </c>
      <c r="T1100" s="231" t="s">
        <v>239</v>
      </c>
      <c r="U1100" s="232">
        <v>0</v>
      </c>
      <c r="V1100" s="231" t="s">
        <v>239</v>
      </c>
      <c r="W1100" s="232">
        <v>0</v>
      </c>
      <c r="X1100" s="231" t="s">
        <v>239</v>
      </c>
      <c r="Y1100" s="232">
        <v>0</v>
      </c>
      <c r="Z1100" s="231" t="s">
        <v>239</v>
      </c>
      <c r="AA1100" s="232">
        <v>0</v>
      </c>
      <c r="AB1100" s="231" t="s">
        <v>239</v>
      </c>
      <c r="AC1100" s="232">
        <v>0</v>
      </c>
      <c r="AD1100" s="231" t="s">
        <v>239</v>
      </c>
      <c r="AE1100" s="232">
        <v>0</v>
      </c>
      <c r="AF1100" s="231" t="s">
        <v>239</v>
      </c>
      <c r="AG1100" s="232">
        <v>0</v>
      </c>
      <c r="AH1100" s="231" t="s">
        <v>239</v>
      </c>
      <c r="AI1100" s="232">
        <v>0</v>
      </c>
      <c r="AJ1100" s="231" t="s">
        <v>239</v>
      </c>
      <c r="AK1100" s="232">
        <v>0</v>
      </c>
      <c r="AL1100" s="232" t="s">
        <v>239</v>
      </c>
      <c r="AM1100" s="232">
        <v>0</v>
      </c>
    </row>
    <row r="1101" spans="1:39" ht="15" customHeight="1" outlineLevel="1">
      <c r="A1101" s="411">
        <v>546</v>
      </c>
      <c r="B1101" s="10">
        <v>129546</v>
      </c>
      <c r="C1101" s="218" t="s">
        <v>1489</v>
      </c>
      <c r="D1101" s="218" t="s">
        <v>1490</v>
      </c>
      <c r="E1101" s="23" t="s">
        <v>44</v>
      </c>
      <c r="F1101" s="17" t="s">
        <v>45</v>
      </c>
      <c r="G1101" s="11" t="s">
        <v>1432</v>
      </c>
      <c r="H1101" s="12">
        <v>5</v>
      </c>
      <c r="I1101" s="11" t="s">
        <v>1433</v>
      </c>
      <c r="J1101" s="193" t="s">
        <v>1451</v>
      </c>
      <c r="K1101" s="17" t="s">
        <v>233</v>
      </c>
      <c r="L1101" s="17" t="s">
        <v>233</v>
      </c>
      <c r="M1101" s="231">
        <v>0.7</v>
      </c>
      <c r="N1101" s="231">
        <v>0.7</v>
      </c>
      <c r="O1101" s="231">
        <v>0.7</v>
      </c>
      <c r="P1101" s="231" t="s">
        <v>239</v>
      </c>
      <c r="Q1101" s="231">
        <v>0.7</v>
      </c>
      <c r="R1101" s="231" t="s">
        <v>239</v>
      </c>
      <c r="S1101" s="231">
        <v>0.7</v>
      </c>
      <c r="T1101" s="231" t="s">
        <v>239</v>
      </c>
      <c r="U1101" s="231">
        <v>0.7</v>
      </c>
      <c r="V1101" s="231" t="s">
        <v>239</v>
      </c>
      <c r="W1101" s="231">
        <v>0.7</v>
      </c>
      <c r="X1101" s="231" t="s">
        <v>239</v>
      </c>
      <c r="Y1101" s="231">
        <v>0.7</v>
      </c>
      <c r="Z1101" s="231" t="s">
        <v>239</v>
      </c>
      <c r="AA1101" s="231">
        <v>0.7</v>
      </c>
      <c r="AB1101" s="231" t="s">
        <v>239</v>
      </c>
      <c r="AC1101" s="231">
        <v>0.7</v>
      </c>
      <c r="AD1101" s="231" t="s">
        <v>239</v>
      </c>
      <c r="AE1101" s="231">
        <v>0.7</v>
      </c>
      <c r="AF1101" s="231" t="s">
        <v>239</v>
      </c>
      <c r="AG1101" s="231">
        <v>0.7</v>
      </c>
      <c r="AH1101" s="231" t="s">
        <v>239</v>
      </c>
      <c r="AI1101" s="231">
        <v>0.7</v>
      </c>
      <c r="AJ1101" s="231" t="s">
        <v>239</v>
      </c>
      <c r="AK1101" s="231">
        <v>0.7</v>
      </c>
      <c r="AL1101" s="232" t="s">
        <v>239</v>
      </c>
      <c r="AM1101" s="232">
        <v>0</v>
      </c>
    </row>
    <row r="1102" spans="1:39" ht="15" customHeight="1" outlineLevel="1">
      <c r="A1102" s="412"/>
      <c r="B1102" s="10">
        <v>129546</v>
      </c>
      <c r="C1102" s="218" t="s">
        <v>1489</v>
      </c>
      <c r="D1102" s="218" t="s">
        <v>1490</v>
      </c>
      <c r="E1102" s="23" t="s">
        <v>44</v>
      </c>
      <c r="F1102" s="17" t="s">
        <v>45</v>
      </c>
      <c r="G1102" s="11" t="s">
        <v>1432</v>
      </c>
      <c r="H1102" s="12">
        <v>4</v>
      </c>
      <c r="I1102" s="11" t="s">
        <v>1433</v>
      </c>
      <c r="J1102" s="193" t="s">
        <v>208</v>
      </c>
      <c r="K1102" s="17" t="s">
        <v>233</v>
      </c>
      <c r="L1102" s="17" t="s">
        <v>233</v>
      </c>
      <c r="M1102" s="231">
        <v>3676</v>
      </c>
      <c r="N1102" s="232">
        <v>3631.37336</v>
      </c>
      <c r="O1102" s="132">
        <v>782</v>
      </c>
      <c r="P1102" s="231" t="s">
        <v>239</v>
      </c>
      <c r="Q1102" s="232">
        <v>782</v>
      </c>
      <c r="R1102" s="231" t="s">
        <v>239</v>
      </c>
      <c r="S1102" s="232">
        <v>639</v>
      </c>
      <c r="T1102" s="231" t="s">
        <v>239</v>
      </c>
      <c r="U1102" s="232">
        <v>764</v>
      </c>
      <c r="V1102" s="230" t="s">
        <v>239</v>
      </c>
      <c r="W1102" s="232">
        <v>786</v>
      </c>
      <c r="X1102" s="231" t="s">
        <v>239</v>
      </c>
      <c r="Y1102" s="232">
        <v>730</v>
      </c>
      <c r="Z1102" s="231" t="s">
        <v>239</v>
      </c>
      <c r="AA1102" s="232">
        <v>724</v>
      </c>
      <c r="AB1102" s="231" t="s">
        <v>239</v>
      </c>
      <c r="AC1102" s="232">
        <v>684</v>
      </c>
      <c r="AD1102" s="231" t="s">
        <v>239</v>
      </c>
      <c r="AE1102" s="232">
        <v>679</v>
      </c>
      <c r="AF1102" s="231" t="s">
        <v>239</v>
      </c>
      <c r="AG1102" s="232">
        <v>703</v>
      </c>
      <c r="AH1102" s="231" t="s">
        <v>239</v>
      </c>
      <c r="AI1102" s="232">
        <v>795</v>
      </c>
      <c r="AJ1102" s="231" t="s">
        <v>239</v>
      </c>
      <c r="AK1102" s="232">
        <v>884</v>
      </c>
      <c r="AL1102" s="232" t="s">
        <v>239</v>
      </c>
      <c r="AM1102" s="232">
        <v>8952</v>
      </c>
    </row>
    <row r="1103" spans="1:39" ht="15" customHeight="1" outlineLevel="1">
      <c r="A1103" s="411">
        <v>547</v>
      </c>
      <c r="B1103" s="10">
        <v>129547</v>
      </c>
      <c r="C1103" s="218" t="s">
        <v>1489</v>
      </c>
      <c r="D1103" s="218" t="s">
        <v>1490</v>
      </c>
      <c r="E1103" s="23" t="s">
        <v>138</v>
      </c>
      <c r="F1103" s="17" t="s">
        <v>45</v>
      </c>
      <c r="G1103" s="11" t="s">
        <v>1432</v>
      </c>
      <c r="H1103" s="12">
        <v>18</v>
      </c>
      <c r="I1103" s="11" t="s">
        <v>1433</v>
      </c>
      <c r="J1103" s="193" t="s">
        <v>1452</v>
      </c>
      <c r="K1103" s="17" t="s">
        <v>233</v>
      </c>
      <c r="L1103" s="17" t="s">
        <v>233</v>
      </c>
      <c r="M1103" s="231">
        <v>0</v>
      </c>
      <c r="N1103" s="232">
        <v>0</v>
      </c>
      <c r="O1103" s="132">
        <v>0</v>
      </c>
      <c r="P1103" s="231" t="s">
        <v>239</v>
      </c>
      <c r="Q1103" s="232">
        <v>0</v>
      </c>
      <c r="R1103" s="231" t="s">
        <v>239</v>
      </c>
      <c r="S1103" s="232">
        <v>0</v>
      </c>
      <c r="T1103" s="231" t="s">
        <v>239</v>
      </c>
      <c r="U1103" s="232">
        <v>0</v>
      </c>
      <c r="V1103" s="231" t="s">
        <v>239</v>
      </c>
      <c r="W1103" s="232">
        <v>0</v>
      </c>
      <c r="X1103" s="231" t="s">
        <v>239</v>
      </c>
      <c r="Y1103" s="232">
        <v>0</v>
      </c>
      <c r="Z1103" s="231" t="s">
        <v>239</v>
      </c>
      <c r="AA1103" s="232">
        <v>0</v>
      </c>
      <c r="AB1103" s="231" t="s">
        <v>239</v>
      </c>
      <c r="AC1103" s="232">
        <v>0</v>
      </c>
      <c r="AD1103" s="231" t="s">
        <v>239</v>
      </c>
      <c r="AE1103" s="232">
        <v>0</v>
      </c>
      <c r="AF1103" s="231" t="s">
        <v>239</v>
      </c>
      <c r="AG1103" s="232">
        <v>0</v>
      </c>
      <c r="AH1103" s="231" t="s">
        <v>239</v>
      </c>
      <c r="AI1103" s="232">
        <v>0</v>
      </c>
      <c r="AJ1103" s="231" t="s">
        <v>239</v>
      </c>
      <c r="AK1103" s="232">
        <v>0</v>
      </c>
      <c r="AL1103" s="232" t="s">
        <v>239</v>
      </c>
      <c r="AM1103" s="232">
        <v>0</v>
      </c>
    </row>
    <row r="1104" spans="1:39" ht="15" customHeight="1" outlineLevel="1">
      <c r="A1104" s="412"/>
      <c r="B1104" s="10">
        <v>129547</v>
      </c>
      <c r="C1104" s="218" t="s">
        <v>1489</v>
      </c>
      <c r="D1104" s="218" t="s">
        <v>1490</v>
      </c>
      <c r="E1104" s="23" t="s">
        <v>44</v>
      </c>
      <c r="F1104" s="17" t="s">
        <v>45</v>
      </c>
      <c r="G1104" s="11" t="s">
        <v>1432</v>
      </c>
      <c r="H1104" s="12">
        <v>17</v>
      </c>
      <c r="I1104" s="11" t="s">
        <v>1433</v>
      </c>
      <c r="J1104" s="193" t="s">
        <v>216</v>
      </c>
      <c r="K1104" s="17" t="s">
        <v>233</v>
      </c>
      <c r="L1104" s="17" t="s">
        <v>233</v>
      </c>
      <c r="M1104" s="231">
        <v>1767</v>
      </c>
      <c r="N1104" s="232">
        <v>1745.54862</v>
      </c>
      <c r="O1104" s="132">
        <v>331</v>
      </c>
      <c r="P1104" s="231" t="s">
        <v>239</v>
      </c>
      <c r="Q1104" s="232">
        <v>331</v>
      </c>
      <c r="R1104" s="231" t="s">
        <v>239</v>
      </c>
      <c r="S1104" s="232">
        <v>303</v>
      </c>
      <c r="T1104" s="231" t="s">
        <v>239</v>
      </c>
      <c r="U1104" s="232">
        <v>341</v>
      </c>
      <c r="V1104" s="231" t="s">
        <v>239</v>
      </c>
      <c r="W1104" s="232">
        <v>316</v>
      </c>
      <c r="X1104" s="231" t="s">
        <v>239</v>
      </c>
      <c r="Y1104" s="232">
        <v>304</v>
      </c>
      <c r="Z1104" s="231" t="s">
        <v>239</v>
      </c>
      <c r="AA1104" s="232">
        <v>392</v>
      </c>
      <c r="AB1104" s="231" t="s">
        <v>239</v>
      </c>
      <c r="AC1104" s="232">
        <v>350</v>
      </c>
      <c r="AD1104" s="231" t="s">
        <v>239</v>
      </c>
      <c r="AE1104" s="232">
        <v>405</v>
      </c>
      <c r="AF1104" s="231" t="s">
        <v>239</v>
      </c>
      <c r="AG1104" s="232">
        <v>300</v>
      </c>
      <c r="AH1104" s="231" t="s">
        <v>239</v>
      </c>
      <c r="AI1104" s="232">
        <v>317</v>
      </c>
      <c r="AJ1104" s="231" t="s">
        <v>239</v>
      </c>
      <c r="AK1104" s="232">
        <v>317</v>
      </c>
      <c r="AL1104" s="232" t="s">
        <v>239</v>
      </c>
      <c r="AM1104" s="232">
        <v>4007</v>
      </c>
    </row>
    <row r="1105" spans="1:39" ht="15" customHeight="1" outlineLevel="1">
      <c r="A1105" s="411">
        <v>548</v>
      </c>
      <c r="B1105" s="10">
        <v>129548</v>
      </c>
      <c r="C1105" s="218" t="s">
        <v>1489</v>
      </c>
      <c r="D1105" s="218" t="s">
        <v>1490</v>
      </c>
      <c r="E1105" s="23" t="s">
        <v>138</v>
      </c>
      <c r="F1105" s="17" t="s">
        <v>45</v>
      </c>
      <c r="G1105" s="11" t="s">
        <v>1432</v>
      </c>
      <c r="H1105" s="12">
        <v>28</v>
      </c>
      <c r="I1105" s="11" t="s">
        <v>1433</v>
      </c>
      <c r="J1105" s="193" t="s">
        <v>1453</v>
      </c>
      <c r="K1105" s="17" t="s">
        <v>233</v>
      </c>
      <c r="L1105" s="17" t="s">
        <v>233</v>
      </c>
      <c r="M1105" s="231">
        <v>0</v>
      </c>
      <c r="N1105" s="232">
        <v>0</v>
      </c>
      <c r="O1105" s="132">
        <v>0</v>
      </c>
      <c r="P1105" s="231" t="s">
        <v>239</v>
      </c>
      <c r="Q1105" s="232">
        <v>0</v>
      </c>
      <c r="R1105" s="231" t="s">
        <v>239</v>
      </c>
      <c r="S1105" s="232">
        <v>0</v>
      </c>
      <c r="T1105" s="231" t="s">
        <v>239</v>
      </c>
      <c r="U1105" s="232">
        <v>0</v>
      </c>
      <c r="V1105" s="230" t="s">
        <v>239</v>
      </c>
      <c r="W1105" s="232">
        <v>0</v>
      </c>
      <c r="X1105" s="231" t="s">
        <v>239</v>
      </c>
      <c r="Y1105" s="232">
        <v>0</v>
      </c>
      <c r="Z1105" s="231" t="s">
        <v>239</v>
      </c>
      <c r="AA1105" s="232">
        <v>0</v>
      </c>
      <c r="AB1105" s="231" t="s">
        <v>239</v>
      </c>
      <c r="AC1105" s="232">
        <v>0</v>
      </c>
      <c r="AD1105" s="231" t="s">
        <v>239</v>
      </c>
      <c r="AE1105" s="232">
        <v>0</v>
      </c>
      <c r="AF1105" s="231" t="s">
        <v>239</v>
      </c>
      <c r="AG1105" s="232">
        <v>0</v>
      </c>
      <c r="AH1105" s="231" t="s">
        <v>239</v>
      </c>
      <c r="AI1105" s="232">
        <v>0</v>
      </c>
      <c r="AJ1105" s="231" t="s">
        <v>239</v>
      </c>
      <c r="AK1105" s="232">
        <v>0</v>
      </c>
      <c r="AL1105" s="232" t="s">
        <v>239</v>
      </c>
      <c r="AM1105" s="232">
        <v>0</v>
      </c>
    </row>
    <row r="1106" spans="1:39" ht="15" customHeight="1" outlineLevel="1">
      <c r="A1106" s="412"/>
      <c r="B1106" s="10">
        <v>129548</v>
      </c>
      <c r="C1106" s="218" t="s">
        <v>1489</v>
      </c>
      <c r="D1106" s="218" t="s">
        <v>1490</v>
      </c>
      <c r="E1106" s="23" t="s">
        <v>44</v>
      </c>
      <c r="F1106" s="17" t="s">
        <v>45</v>
      </c>
      <c r="G1106" s="11" t="s">
        <v>1432</v>
      </c>
      <c r="H1106" s="12">
        <v>33</v>
      </c>
      <c r="I1106" s="11" t="s">
        <v>1433</v>
      </c>
      <c r="J1106" s="193" t="s">
        <v>1454</v>
      </c>
      <c r="K1106" s="17" t="s">
        <v>233</v>
      </c>
      <c r="L1106" s="17" t="s">
        <v>233</v>
      </c>
      <c r="M1106" s="231">
        <v>3356</v>
      </c>
      <c r="N1106" s="232">
        <v>3315.2581599999999</v>
      </c>
      <c r="O1106" s="132">
        <v>268</v>
      </c>
      <c r="P1106" s="231" t="s">
        <v>239</v>
      </c>
      <c r="Q1106" s="232">
        <v>268</v>
      </c>
      <c r="R1106" s="231" t="s">
        <v>239</v>
      </c>
      <c r="S1106" s="232">
        <v>323</v>
      </c>
      <c r="T1106" s="231" t="s">
        <v>239</v>
      </c>
      <c r="U1106" s="232">
        <v>277</v>
      </c>
      <c r="V1106" s="231" t="s">
        <v>239</v>
      </c>
      <c r="W1106" s="232">
        <v>325</v>
      </c>
      <c r="X1106" s="231" t="s">
        <v>239</v>
      </c>
      <c r="Y1106" s="232">
        <v>323</v>
      </c>
      <c r="Z1106" s="231" t="s">
        <v>239</v>
      </c>
      <c r="AA1106" s="232">
        <v>373</v>
      </c>
      <c r="AB1106" s="231" t="s">
        <v>239</v>
      </c>
      <c r="AC1106" s="232">
        <v>348</v>
      </c>
      <c r="AD1106" s="231" t="s">
        <v>239</v>
      </c>
      <c r="AE1106" s="232">
        <v>355</v>
      </c>
      <c r="AF1106" s="231" t="s">
        <v>239</v>
      </c>
      <c r="AG1106" s="232">
        <v>333</v>
      </c>
      <c r="AH1106" s="231" t="s">
        <v>239</v>
      </c>
      <c r="AI1106" s="232">
        <v>375</v>
      </c>
      <c r="AJ1106" s="231" t="s">
        <v>239</v>
      </c>
      <c r="AK1106" s="232">
        <v>407</v>
      </c>
      <c r="AL1106" s="232" t="s">
        <v>239</v>
      </c>
      <c r="AM1106" s="232">
        <v>3975</v>
      </c>
    </row>
    <row r="1107" spans="1:39" ht="15" customHeight="1" outlineLevel="1">
      <c r="A1107" s="411">
        <v>549</v>
      </c>
      <c r="B1107" s="10">
        <v>129549</v>
      </c>
      <c r="C1107" s="218" t="s">
        <v>1489</v>
      </c>
      <c r="D1107" s="218" t="s">
        <v>1490</v>
      </c>
      <c r="E1107" s="23" t="s">
        <v>44</v>
      </c>
      <c r="F1107" s="17" t="s">
        <v>45</v>
      </c>
      <c r="G1107" s="11" t="s">
        <v>1432</v>
      </c>
      <c r="H1107" s="12">
        <v>25</v>
      </c>
      <c r="I1107" s="11" t="s">
        <v>1433</v>
      </c>
      <c r="J1107" s="191" t="s">
        <v>216</v>
      </c>
      <c r="K1107" s="17" t="s">
        <v>233</v>
      </c>
      <c r="L1107" s="17" t="s">
        <v>233</v>
      </c>
      <c r="M1107" s="231">
        <v>0</v>
      </c>
      <c r="N1107" s="232">
        <v>0</v>
      </c>
      <c r="O1107" s="132">
        <v>0</v>
      </c>
      <c r="P1107" s="231" t="s">
        <v>239</v>
      </c>
      <c r="Q1107" s="232">
        <v>0</v>
      </c>
      <c r="R1107" s="231" t="s">
        <v>239</v>
      </c>
      <c r="S1107" s="232">
        <v>0</v>
      </c>
      <c r="T1107" s="231" t="s">
        <v>239</v>
      </c>
      <c r="U1107" s="232">
        <v>0</v>
      </c>
      <c r="V1107" s="231" t="s">
        <v>239</v>
      </c>
      <c r="W1107" s="232">
        <v>0</v>
      </c>
      <c r="X1107" s="231" t="s">
        <v>239</v>
      </c>
      <c r="Y1107" s="232">
        <v>0</v>
      </c>
      <c r="Z1107" s="231" t="s">
        <v>239</v>
      </c>
      <c r="AA1107" s="232">
        <v>0</v>
      </c>
      <c r="AB1107" s="231" t="s">
        <v>239</v>
      </c>
      <c r="AC1107" s="232">
        <v>0</v>
      </c>
      <c r="AD1107" s="231" t="s">
        <v>239</v>
      </c>
      <c r="AE1107" s="232">
        <v>0</v>
      </c>
      <c r="AF1107" s="231" t="s">
        <v>239</v>
      </c>
      <c r="AG1107" s="232">
        <v>0</v>
      </c>
      <c r="AH1107" s="231" t="s">
        <v>239</v>
      </c>
      <c r="AI1107" s="232">
        <v>0</v>
      </c>
      <c r="AJ1107" s="231" t="s">
        <v>239</v>
      </c>
      <c r="AK1107" s="232">
        <v>0</v>
      </c>
      <c r="AL1107" s="232" t="s">
        <v>239</v>
      </c>
      <c r="AM1107" s="232">
        <v>0</v>
      </c>
    </row>
    <row r="1108" spans="1:39" ht="15" customHeight="1" outlineLevel="1">
      <c r="A1108" s="412"/>
      <c r="B1108" s="10">
        <v>129549</v>
      </c>
      <c r="C1108" s="218" t="s">
        <v>1489</v>
      </c>
      <c r="D1108" s="218" t="s">
        <v>1490</v>
      </c>
      <c r="E1108" s="23" t="s">
        <v>138</v>
      </c>
      <c r="F1108" s="17" t="s">
        <v>45</v>
      </c>
      <c r="G1108" s="11" t="s">
        <v>1432</v>
      </c>
      <c r="H1108" s="12">
        <v>24</v>
      </c>
      <c r="I1108" s="11" t="s">
        <v>1433</v>
      </c>
      <c r="J1108" s="192" t="s">
        <v>1434</v>
      </c>
      <c r="K1108" s="17" t="s">
        <v>233</v>
      </c>
      <c r="L1108" s="17" t="s">
        <v>233</v>
      </c>
      <c r="M1108" s="231">
        <v>0</v>
      </c>
      <c r="N1108" s="232">
        <v>0</v>
      </c>
      <c r="O1108" s="132">
        <v>0</v>
      </c>
      <c r="P1108" s="231" t="s">
        <v>239</v>
      </c>
      <c r="Q1108" s="232">
        <v>0</v>
      </c>
      <c r="R1108" s="231" t="s">
        <v>239</v>
      </c>
      <c r="S1108" s="232">
        <v>0</v>
      </c>
      <c r="T1108" s="231" t="s">
        <v>239</v>
      </c>
      <c r="U1108" s="232">
        <v>0</v>
      </c>
      <c r="V1108" s="230" t="s">
        <v>239</v>
      </c>
      <c r="W1108" s="232">
        <v>0</v>
      </c>
      <c r="X1108" s="231" t="s">
        <v>239</v>
      </c>
      <c r="Y1108" s="232">
        <v>0</v>
      </c>
      <c r="Z1108" s="231" t="s">
        <v>239</v>
      </c>
      <c r="AA1108" s="232">
        <v>0</v>
      </c>
      <c r="AB1108" s="231" t="s">
        <v>239</v>
      </c>
      <c r="AC1108" s="232">
        <v>0</v>
      </c>
      <c r="AD1108" s="231" t="s">
        <v>239</v>
      </c>
      <c r="AE1108" s="232">
        <v>0</v>
      </c>
      <c r="AF1108" s="231" t="s">
        <v>239</v>
      </c>
      <c r="AG1108" s="232">
        <v>0</v>
      </c>
      <c r="AH1108" s="231" t="s">
        <v>239</v>
      </c>
      <c r="AI1108" s="232">
        <v>0</v>
      </c>
      <c r="AJ1108" s="231" t="s">
        <v>239</v>
      </c>
      <c r="AK1108" s="232">
        <v>0</v>
      </c>
      <c r="AL1108" s="232" t="s">
        <v>239</v>
      </c>
      <c r="AM1108" s="232">
        <v>0</v>
      </c>
    </row>
    <row r="1109" spans="1:39" ht="15" customHeight="1" outlineLevel="1">
      <c r="A1109" s="411">
        <v>550</v>
      </c>
      <c r="B1109" s="10">
        <v>129550</v>
      </c>
      <c r="C1109" s="218" t="s">
        <v>1489</v>
      </c>
      <c r="D1109" s="218" t="s">
        <v>1490</v>
      </c>
      <c r="E1109" s="23" t="s">
        <v>44</v>
      </c>
      <c r="F1109" s="17" t="s">
        <v>45</v>
      </c>
      <c r="G1109" s="11" t="s">
        <v>1432</v>
      </c>
      <c r="H1109" s="12">
        <v>10</v>
      </c>
      <c r="I1109" s="11" t="s">
        <v>1433</v>
      </c>
      <c r="J1109" s="192" t="s">
        <v>1480</v>
      </c>
      <c r="K1109" s="17" t="s">
        <v>233</v>
      </c>
      <c r="L1109" s="17" t="s">
        <v>233</v>
      </c>
      <c r="M1109" s="231">
        <v>0</v>
      </c>
      <c r="N1109" s="232">
        <v>0</v>
      </c>
      <c r="O1109" s="132">
        <v>0</v>
      </c>
      <c r="P1109" s="231" t="s">
        <v>239</v>
      </c>
      <c r="Q1109" s="232">
        <v>0</v>
      </c>
      <c r="R1109" s="231" t="s">
        <v>239</v>
      </c>
      <c r="S1109" s="232">
        <v>0</v>
      </c>
      <c r="T1109" s="231" t="s">
        <v>239</v>
      </c>
      <c r="U1109" s="232">
        <v>0</v>
      </c>
      <c r="V1109" s="231" t="s">
        <v>239</v>
      </c>
      <c r="W1109" s="232">
        <v>0</v>
      </c>
      <c r="X1109" s="231" t="s">
        <v>239</v>
      </c>
      <c r="Y1109" s="232">
        <v>0</v>
      </c>
      <c r="Z1109" s="231" t="s">
        <v>239</v>
      </c>
      <c r="AA1109" s="232">
        <v>0</v>
      </c>
      <c r="AB1109" s="231" t="s">
        <v>239</v>
      </c>
      <c r="AC1109" s="232">
        <v>0</v>
      </c>
      <c r="AD1109" s="231" t="s">
        <v>239</v>
      </c>
      <c r="AE1109" s="232">
        <v>0</v>
      </c>
      <c r="AF1109" s="231" t="s">
        <v>239</v>
      </c>
      <c r="AG1109" s="232">
        <v>0</v>
      </c>
      <c r="AH1109" s="231" t="s">
        <v>239</v>
      </c>
      <c r="AI1109" s="232">
        <v>0</v>
      </c>
      <c r="AJ1109" s="231" t="s">
        <v>239</v>
      </c>
      <c r="AK1109" s="232">
        <v>0</v>
      </c>
      <c r="AL1109" s="232" t="s">
        <v>239</v>
      </c>
      <c r="AM1109" s="232">
        <v>0</v>
      </c>
    </row>
    <row r="1110" spans="1:39" ht="15" customHeight="1" outlineLevel="1">
      <c r="A1110" s="412"/>
      <c r="B1110" s="10">
        <v>129550</v>
      </c>
      <c r="C1110" s="218" t="s">
        <v>1489</v>
      </c>
      <c r="D1110" s="218" t="s">
        <v>1490</v>
      </c>
      <c r="E1110" s="23" t="s">
        <v>44</v>
      </c>
      <c r="F1110" s="17" t="s">
        <v>45</v>
      </c>
      <c r="G1110" s="11" t="s">
        <v>1432</v>
      </c>
      <c r="H1110" s="12">
        <v>17</v>
      </c>
      <c r="I1110" s="11" t="s">
        <v>1433</v>
      </c>
      <c r="J1110" s="192" t="s">
        <v>1452</v>
      </c>
      <c r="K1110" s="17" t="s">
        <v>233</v>
      </c>
      <c r="L1110" s="17" t="s">
        <v>233</v>
      </c>
      <c r="M1110" s="231">
        <v>0</v>
      </c>
      <c r="N1110" s="232">
        <v>0</v>
      </c>
      <c r="O1110" s="132">
        <v>0</v>
      </c>
      <c r="P1110" s="231" t="s">
        <v>239</v>
      </c>
      <c r="Q1110" s="232">
        <v>0</v>
      </c>
      <c r="R1110" s="231" t="s">
        <v>239</v>
      </c>
      <c r="S1110" s="232">
        <v>0</v>
      </c>
      <c r="T1110" s="231" t="s">
        <v>239</v>
      </c>
      <c r="U1110" s="232">
        <v>0</v>
      </c>
      <c r="V1110" s="231" t="s">
        <v>239</v>
      </c>
      <c r="W1110" s="232">
        <v>0</v>
      </c>
      <c r="X1110" s="231" t="s">
        <v>239</v>
      </c>
      <c r="Y1110" s="232">
        <v>0</v>
      </c>
      <c r="Z1110" s="231" t="s">
        <v>239</v>
      </c>
      <c r="AA1110" s="232">
        <v>0</v>
      </c>
      <c r="AB1110" s="231" t="s">
        <v>239</v>
      </c>
      <c r="AC1110" s="232">
        <v>0</v>
      </c>
      <c r="AD1110" s="231" t="s">
        <v>239</v>
      </c>
      <c r="AE1110" s="232">
        <v>0</v>
      </c>
      <c r="AF1110" s="231" t="s">
        <v>239</v>
      </c>
      <c r="AG1110" s="232">
        <v>0</v>
      </c>
      <c r="AH1110" s="231" t="s">
        <v>239</v>
      </c>
      <c r="AI1110" s="232">
        <v>0</v>
      </c>
      <c r="AJ1110" s="231" t="s">
        <v>239</v>
      </c>
      <c r="AK1110" s="232">
        <v>0</v>
      </c>
      <c r="AL1110" s="232" t="s">
        <v>239</v>
      </c>
      <c r="AM1110" s="232">
        <v>0</v>
      </c>
    </row>
    <row r="1111" spans="1:39" ht="15" customHeight="1" outlineLevel="1">
      <c r="A1111" s="411">
        <v>551</v>
      </c>
      <c r="B1111" s="10">
        <v>129551</v>
      </c>
      <c r="C1111" s="218" t="s">
        <v>1489</v>
      </c>
      <c r="D1111" s="218" t="s">
        <v>1490</v>
      </c>
      <c r="E1111" s="23" t="s">
        <v>138</v>
      </c>
      <c r="F1111" s="17" t="s">
        <v>45</v>
      </c>
      <c r="G1111" s="11" t="s">
        <v>1432</v>
      </c>
      <c r="H1111" s="12">
        <v>32</v>
      </c>
      <c r="I1111" s="11" t="s">
        <v>1433</v>
      </c>
      <c r="J1111" s="193" t="s">
        <v>1451</v>
      </c>
      <c r="K1111" s="17" t="s">
        <v>233</v>
      </c>
      <c r="L1111" s="17" t="s">
        <v>233</v>
      </c>
      <c r="M1111" s="231"/>
      <c r="N1111" s="232">
        <v>0</v>
      </c>
      <c r="O1111" s="132">
        <v>0</v>
      </c>
      <c r="P1111" s="231" t="s">
        <v>239</v>
      </c>
      <c r="Q1111" s="232">
        <v>0</v>
      </c>
      <c r="R1111" s="231" t="s">
        <v>239</v>
      </c>
      <c r="S1111" s="232">
        <v>0</v>
      </c>
      <c r="T1111" s="231" t="s">
        <v>239</v>
      </c>
      <c r="U1111" s="232">
        <v>0</v>
      </c>
      <c r="V1111" s="230" t="s">
        <v>239</v>
      </c>
      <c r="W1111" s="232">
        <v>0</v>
      </c>
      <c r="X1111" s="231" t="s">
        <v>239</v>
      </c>
      <c r="Y1111" s="232">
        <v>0</v>
      </c>
      <c r="Z1111" s="231" t="s">
        <v>239</v>
      </c>
      <c r="AA1111" s="232">
        <v>0</v>
      </c>
      <c r="AB1111" s="231" t="s">
        <v>239</v>
      </c>
      <c r="AC1111" s="232">
        <v>0</v>
      </c>
      <c r="AD1111" s="231" t="s">
        <v>239</v>
      </c>
      <c r="AE1111" s="232">
        <v>0</v>
      </c>
      <c r="AF1111" s="231" t="s">
        <v>239</v>
      </c>
      <c r="AG1111" s="232">
        <v>0</v>
      </c>
      <c r="AH1111" s="231" t="s">
        <v>239</v>
      </c>
      <c r="AI1111" s="232">
        <v>0</v>
      </c>
      <c r="AJ1111" s="231" t="s">
        <v>239</v>
      </c>
      <c r="AK1111" s="232">
        <v>0</v>
      </c>
      <c r="AL1111" s="232" t="s">
        <v>239</v>
      </c>
      <c r="AM1111" s="232">
        <v>0</v>
      </c>
    </row>
    <row r="1112" spans="1:39" ht="15" customHeight="1" outlineLevel="1">
      <c r="A1112" s="412"/>
      <c r="B1112" s="10">
        <v>129551</v>
      </c>
      <c r="C1112" s="218" t="s">
        <v>1489</v>
      </c>
      <c r="D1112" s="218" t="s">
        <v>1490</v>
      </c>
      <c r="E1112" s="23" t="s">
        <v>44</v>
      </c>
      <c r="F1112" s="17" t="s">
        <v>45</v>
      </c>
      <c r="G1112" s="11" t="s">
        <v>1432</v>
      </c>
      <c r="H1112" s="12">
        <v>8</v>
      </c>
      <c r="I1112" s="11" t="s">
        <v>1433</v>
      </c>
      <c r="J1112" s="193" t="s">
        <v>208</v>
      </c>
      <c r="K1112" s="17" t="s">
        <v>233</v>
      </c>
      <c r="L1112" s="17" t="s">
        <v>233</v>
      </c>
      <c r="M1112" s="231">
        <v>0</v>
      </c>
      <c r="N1112" s="232">
        <v>0</v>
      </c>
      <c r="O1112" s="132">
        <v>0</v>
      </c>
      <c r="P1112" s="231" t="s">
        <v>239</v>
      </c>
      <c r="Q1112" s="232">
        <v>0</v>
      </c>
      <c r="R1112" s="231" t="s">
        <v>239</v>
      </c>
      <c r="S1112" s="232">
        <v>0</v>
      </c>
      <c r="T1112" s="231" t="s">
        <v>239</v>
      </c>
      <c r="U1112" s="232">
        <v>0</v>
      </c>
      <c r="V1112" s="231" t="s">
        <v>239</v>
      </c>
      <c r="W1112" s="232">
        <v>0</v>
      </c>
      <c r="X1112" s="231" t="s">
        <v>239</v>
      </c>
      <c r="Y1112" s="232">
        <v>0</v>
      </c>
      <c r="Z1112" s="231" t="s">
        <v>239</v>
      </c>
      <c r="AA1112" s="232">
        <v>0</v>
      </c>
      <c r="AB1112" s="231" t="s">
        <v>239</v>
      </c>
      <c r="AC1112" s="232">
        <v>0</v>
      </c>
      <c r="AD1112" s="231" t="s">
        <v>239</v>
      </c>
      <c r="AE1112" s="232">
        <v>0</v>
      </c>
      <c r="AF1112" s="231" t="s">
        <v>239</v>
      </c>
      <c r="AG1112" s="232">
        <v>0</v>
      </c>
      <c r="AH1112" s="231" t="s">
        <v>239</v>
      </c>
      <c r="AI1112" s="232">
        <v>0</v>
      </c>
      <c r="AJ1112" s="231" t="s">
        <v>239</v>
      </c>
      <c r="AK1112" s="232">
        <v>0</v>
      </c>
      <c r="AL1112" s="232" t="s">
        <v>239</v>
      </c>
      <c r="AM1112" s="232">
        <v>0</v>
      </c>
    </row>
    <row r="1113" spans="1:39" ht="15" customHeight="1" outlineLevel="1">
      <c r="A1113" s="411">
        <v>552</v>
      </c>
      <c r="B1113" s="10">
        <v>129552</v>
      </c>
      <c r="C1113" s="218" t="s">
        <v>1489</v>
      </c>
      <c r="D1113" s="218" t="s">
        <v>1490</v>
      </c>
      <c r="E1113" s="23" t="s">
        <v>138</v>
      </c>
      <c r="F1113" s="17" t="s">
        <v>45</v>
      </c>
      <c r="G1113" s="11" t="s">
        <v>1432</v>
      </c>
      <c r="H1113" s="12">
        <v>12</v>
      </c>
      <c r="I1113" s="11" t="s">
        <v>1433</v>
      </c>
      <c r="J1113" s="193" t="s">
        <v>1452</v>
      </c>
      <c r="K1113" s="17" t="s">
        <v>233</v>
      </c>
      <c r="L1113" s="17" t="s">
        <v>233</v>
      </c>
      <c r="M1113" s="231">
        <v>0</v>
      </c>
      <c r="N1113" s="232">
        <v>0</v>
      </c>
      <c r="O1113" s="132">
        <v>0</v>
      </c>
      <c r="P1113" s="231" t="s">
        <v>239</v>
      </c>
      <c r="Q1113" s="232">
        <v>0</v>
      </c>
      <c r="R1113" s="231" t="s">
        <v>239</v>
      </c>
      <c r="S1113" s="232">
        <v>0</v>
      </c>
      <c r="T1113" s="231" t="s">
        <v>239</v>
      </c>
      <c r="U1113" s="232">
        <v>0</v>
      </c>
      <c r="V1113" s="231" t="s">
        <v>239</v>
      </c>
      <c r="W1113" s="232">
        <v>0</v>
      </c>
      <c r="X1113" s="231" t="s">
        <v>239</v>
      </c>
      <c r="Y1113" s="232">
        <v>0</v>
      </c>
      <c r="Z1113" s="231" t="s">
        <v>239</v>
      </c>
      <c r="AA1113" s="232">
        <v>0</v>
      </c>
      <c r="AB1113" s="231" t="s">
        <v>239</v>
      </c>
      <c r="AC1113" s="232">
        <v>0</v>
      </c>
      <c r="AD1113" s="231" t="s">
        <v>239</v>
      </c>
      <c r="AE1113" s="232">
        <v>0</v>
      </c>
      <c r="AF1113" s="231" t="s">
        <v>239</v>
      </c>
      <c r="AG1113" s="232">
        <v>0</v>
      </c>
      <c r="AH1113" s="231" t="s">
        <v>239</v>
      </c>
      <c r="AI1113" s="232">
        <v>0</v>
      </c>
      <c r="AJ1113" s="231" t="s">
        <v>239</v>
      </c>
      <c r="AK1113" s="232">
        <v>0</v>
      </c>
      <c r="AL1113" s="232" t="s">
        <v>239</v>
      </c>
      <c r="AM1113" s="232">
        <v>0</v>
      </c>
    </row>
    <row r="1114" spans="1:39" ht="15" customHeight="1" outlineLevel="1">
      <c r="A1114" s="412"/>
      <c r="B1114" s="10">
        <v>129552</v>
      </c>
      <c r="C1114" s="218" t="s">
        <v>1489</v>
      </c>
      <c r="D1114" s="218" t="s">
        <v>1490</v>
      </c>
      <c r="E1114" s="23" t="s">
        <v>44</v>
      </c>
      <c r="F1114" s="17" t="s">
        <v>45</v>
      </c>
      <c r="G1114" s="11" t="s">
        <v>1432</v>
      </c>
      <c r="H1114" s="12">
        <v>18</v>
      </c>
      <c r="I1114" s="11" t="s">
        <v>1433</v>
      </c>
      <c r="J1114" s="193" t="s">
        <v>216</v>
      </c>
      <c r="K1114" s="17" t="s">
        <v>233</v>
      </c>
      <c r="L1114" s="17" t="s">
        <v>233</v>
      </c>
      <c r="M1114" s="231">
        <v>0</v>
      </c>
      <c r="N1114" s="232">
        <v>0</v>
      </c>
      <c r="O1114" s="132">
        <v>0</v>
      </c>
      <c r="P1114" s="231" t="s">
        <v>239</v>
      </c>
      <c r="Q1114" s="232">
        <v>0</v>
      </c>
      <c r="R1114" s="231" t="s">
        <v>239</v>
      </c>
      <c r="S1114" s="232">
        <v>0</v>
      </c>
      <c r="T1114" s="231" t="s">
        <v>239</v>
      </c>
      <c r="U1114" s="232">
        <v>0</v>
      </c>
      <c r="V1114" s="230" t="s">
        <v>239</v>
      </c>
      <c r="W1114" s="232">
        <v>0</v>
      </c>
      <c r="X1114" s="231" t="s">
        <v>239</v>
      </c>
      <c r="Y1114" s="232">
        <v>0</v>
      </c>
      <c r="Z1114" s="231" t="s">
        <v>239</v>
      </c>
      <c r="AA1114" s="232">
        <v>0</v>
      </c>
      <c r="AB1114" s="231" t="s">
        <v>239</v>
      </c>
      <c r="AC1114" s="232">
        <v>0</v>
      </c>
      <c r="AD1114" s="231" t="s">
        <v>239</v>
      </c>
      <c r="AE1114" s="232">
        <v>0</v>
      </c>
      <c r="AF1114" s="231" t="s">
        <v>239</v>
      </c>
      <c r="AG1114" s="232">
        <v>0</v>
      </c>
      <c r="AH1114" s="231" t="s">
        <v>239</v>
      </c>
      <c r="AI1114" s="232">
        <v>0</v>
      </c>
      <c r="AJ1114" s="231" t="s">
        <v>239</v>
      </c>
      <c r="AK1114" s="232">
        <v>0</v>
      </c>
      <c r="AL1114" s="232" t="s">
        <v>239</v>
      </c>
      <c r="AM1114" s="232">
        <v>0</v>
      </c>
    </row>
    <row r="1115" spans="1:39" ht="15" customHeight="1" outlineLevel="1">
      <c r="A1115" s="411">
        <v>553</v>
      </c>
      <c r="B1115" s="10">
        <v>129553</v>
      </c>
      <c r="C1115" s="218" t="s">
        <v>1489</v>
      </c>
      <c r="D1115" s="218" t="s">
        <v>1490</v>
      </c>
      <c r="E1115" s="23" t="s">
        <v>44</v>
      </c>
      <c r="F1115" s="17" t="s">
        <v>45</v>
      </c>
      <c r="G1115" s="11" t="s">
        <v>1432</v>
      </c>
      <c r="H1115" s="12">
        <v>17</v>
      </c>
      <c r="I1115" s="11" t="s">
        <v>1433</v>
      </c>
      <c r="J1115" s="193" t="s">
        <v>1453</v>
      </c>
      <c r="K1115" s="17" t="s">
        <v>233</v>
      </c>
      <c r="L1115" s="17" t="s">
        <v>233</v>
      </c>
      <c r="M1115" s="231">
        <v>0</v>
      </c>
      <c r="N1115" s="232">
        <v>0</v>
      </c>
      <c r="O1115" s="132">
        <v>0</v>
      </c>
      <c r="P1115" s="231" t="s">
        <v>239</v>
      </c>
      <c r="Q1115" s="232">
        <v>0</v>
      </c>
      <c r="R1115" s="231" t="s">
        <v>239</v>
      </c>
      <c r="S1115" s="232">
        <v>0</v>
      </c>
      <c r="T1115" s="231" t="s">
        <v>239</v>
      </c>
      <c r="U1115" s="232">
        <v>0</v>
      </c>
      <c r="V1115" s="231" t="s">
        <v>239</v>
      </c>
      <c r="W1115" s="232">
        <v>0</v>
      </c>
      <c r="X1115" s="231" t="s">
        <v>239</v>
      </c>
      <c r="Y1115" s="232">
        <v>0</v>
      </c>
      <c r="Z1115" s="231" t="s">
        <v>239</v>
      </c>
      <c r="AA1115" s="232">
        <v>0</v>
      </c>
      <c r="AB1115" s="231" t="s">
        <v>239</v>
      </c>
      <c r="AC1115" s="232">
        <v>0</v>
      </c>
      <c r="AD1115" s="231" t="s">
        <v>239</v>
      </c>
      <c r="AE1115" s="232">
        <v>0</v>
      </c>
      <c r="AF1115" s="231" t="s">
        <v>239</v>
      </c>
      <c r="AG1115" s="232">
        <v>0</v>
      </c>
      <c r="AH1115" s="231" t="s">
        <v>239</v>
      </c>
      <c r="AI1115" s="232">
        <v>0</v>
      </c>
      <c r="AJ1115" s="231" t="s">
        <v>239</v>
      </c>
      <c r="AK1115" s="232">
        <v>0</v>
      </c>
      <c r="AL1115" s="232" t="s">
        <v>239</v>
      </c>
      <c r="AM1115" s="232">
        <v>0</v>
      </c>
    </row>
    <row r="1116" spans="1:39" ht="15" customHeight="1" outlineLevel="1">
      <c r="A1116" s="412"/>
      <c r="B1116" s="10">
        <v>129553</v>
      </c>
      <c r="C1116" s="218" t="s">
        <v>1489</v>
      </c>
      <c r="D1116" s="218" t="s">
        <v>1490</v>
      </c>
      <c r="E1116" s="23" t="s">
        <v>138</v>
      </c>
      <c r="F1116" s="17" t="s">
        <v>45</v>
      </c>
      <c r="G1116" s="11" t="s">
        <v>1432</v>
      </c>
      <c r="H1116" s="12">
        <v>25</v>
      </c>
      <c r="I1116" s="11" t="s">
        <v>1433</v>
      </c>
      <c r="J1116" s="193" t="s">
        <v>1454</v>
      </c>
      <c r="K1116" s="17" t="s">
        <v>233</v>
      </c>
      <c r="L1116" s="17" t="s">
        <v>233</v>
      </c>
      <c r="M1116" s="231">
        <v>0</v>
      </c>
      <c r="N1116" s="232">
        <v>0</v>
      </c>
      <c r="O1116" s="132">
        <v>0</v>
      </c>
      <c r="P1116" s="231" t="s">
        <v>239</v>
      </c>
      <c r="Q1116" s="232">
        <v>0</v>
      </c>
      <c r="R1116" s="231" t="s">
        <v>239</v>
      </c>
      <c r="S1116" s="232">
        <v>0</v>
      </c>
      <c r="T1116" s="231" t="s">
        <v>239</v>
      </c>
      <c r="U1116" s="232">
        <v>0</v>
      </c>
      <c r="V1116" s="231" t="s">
        <v>239</v>
      </c>
      <c r="W1116" s="232">
        <v>0</v>
      </c>
      <c r="X1116" s="231" t="s">
        <v>239</v>
      </c>
      <c r="Y1116" s="232">
        <v>0</v>
      </c>
      <c r="Z1116" s="231" t="s">
        <v>239</v>
      </c>
      <c r="AA1116" s="232">
        <v>0</v>
      </c>
      <c r="AB1116" s="231" t="s">
        <v>239</v>
      </c>
      <c r="AC1116" s="232">
        <v>0</v>
      </c>
      <c r="AD1116" s="231" t="s">
        <v>239</v>
      </c>
      <c r="AE1116" s="232">
        <v>0</v>
      </c>
      <c r="AF1116" s="231" t="s">
        <v>239</v>
      </c>
      <c r="AG1116" s="232">
        <v>0</v>
      </c>
      <c r="AH1116" s="231" t="s">
        <v>239</v>
      </c>
      <c r="AI1116" s="232">
        <v>0</v>
      </c>
      <c r="AJ1116" s="231" t="s">
        <v>239</v>
      </c>
      <c r="AK1116" s="232">
        <v>0</v>
      </c>
      <c r="AL1116" s="232" t="s">
        <v>239</v>
      </c>
      <c r="AM1116" s="232">
        <v>0</v>
      </c>
    </row>
    <row r="1117" spans="1:39" ht="15" customHeight="1" outlineLevel="1">
      <c r="A1117" s="411">
        <v>554</v>
      </c>
      <c r="B1117" s="10">
        <v>129554</v>
      </c>
      <c r="C1117" s="218" t="s">
        <v>1489</v>
      </c>
      <c r="D1117" s="218" t="s">
        <v>1490</v>
      </c>
      <c r="E1117" s="23" t="s">
        <v>44</v>
      </c>
      <c r="F1117" s="17" t="s">
        <v>45</v>
      </c>
      <c r="G1117" s="11" t="s">
        <v>1432</v>
      </c>
      <c r="H1117" s="12">
        <v>13</v>
      </c>
      <c r="I1117" s="11" t="s">
        <v>1433</v>
      </c>
      <c r="J1117" s="191" t="s">
        <v>216</v>
      </c>
      <c r="K1117" s="17" t="s">
        <v>233</v>
      </c>
      <c r="L1117" s="17" t="s">
        <v>233</v>
      </c>
      <c r="M1117" s="231">
        <v>51</v>
      </c>
      <c r="N1117" s="231">
        <v>51</v>
      </c>
      <c r="O1117" s="231">
        <v>51</v>
      </c>
      <c r="P1117" s="231" t="s">
        <v>239</v>
      </c>
      <c r="Q1117" s="231">
        <v>51</v>
      </c>
      <c r="R1117" s="231" t="s">
        <v>239</v>
      </c>
      <c r="S1117" s="231">
        <v>51</v>
      </c>
      <c r="T1117" s="231" t="s">
        <v>239</v>
      </c>
      <c r="U1117" s="231">
        <v>51</v>
      </c>
      <c r="V1117" s="230" t="s">
        <v>239</v>
      </c>
      <c r="W1117" s="231">
        <v>51</v>
      </c>
      <c r="X1117" s="231" t="s">
        <v>239</v>
      </c>
      <c r="Y1117" s="231">
        <v>51</v>
      </c>
      <c r="Z1117" s="231" t="s">
        <v>239</v>
      </c>
      <c r="AA1117" s="231">
        <v>51</v>
      </c>
      <c r="AB1117" s="231" t="s">
        <v>239</v>
      </c>
      <c r="AC1117" s="231">
        <v>51</v>
      </c>
      <c r="AD1117" s="231" t="s">
        <v>239</v>
      </c>
      <c r="AE1117" s="231">
        <v>51</v>
      </c>
      <c r="AF1117" s="231" t="s">
        <v>239</v>
      </c>
      <c r="AG1117" s="231">
        <v>51</v>
      </c>
      <c r="AH1117" s="231" t="s">
        <v>239</v>
      </c>
      <c r="AI1117" s="231">
        <v>51</v>
      </c>
      <c r="AJ1117" s="231" t="s">
        <v>239</v>
      </c>
      <c r="AK1117" s="231">
        <v>51</v>
      </c>
      <c r="AL1117" s="232" t="s">
        <v>239</v>
      </c>
      <c r="AM1117" s="232">
        <v>0</v>
      </c>
    </row>
    <row r="1118" spans="1:39" ht="15" customHeight="1" outlineLevel="1">
      <c r="A1118" s="412"/>
      <c r="B1118" s="10">
        <v>129554</v>
      </c>
      <c r="C1118" s="218" t="s">
        <v>1489</v>
      </c>
      <c r="D1118" s="218" t="s">
        <v>1490</v>
      </c>
      <c r="E1118" s="23" t="s">
        <v>138</v>
      </c>
      <c r="F1118" s="17" t="s">
        <v>45</v>
      </c>
      <c r="G1118" s="11" t="s">
        <v>1432</v>
      </c>
      <c r="H1118" s="12">
        <v>5</v>
      </c>
      <c r="I1118" s="11" t="s">
        <v>1433</v>
      </c>
      <c r="J1118" s="192" t="s">
        <v>1434</v>
      </c>
      <c r="K1118" s="17" t="s">
        <v>233</v>
      </c>
      <c r="L1118" s="17" t="s">
        <v>233</v>
      </c>
      <c r="M1118" s="231">
        <v>42333</v>
      </c>
      <c r="N1118" s="232">
        <v>41819.077379999995</v>
      </c>
      <c r="O1118" s="132">
        <v>1845</v>
      </c>
      <c r="P1118" s="231" t="s">
        <v>239</v>
      </c>
      <c r="Q1118" s="232">
        <v>1845</v>
      </c>
      <c r="R1118" s="231" t="s">
        <v>239</v>
      </c>
      <c r="S1118" s="232">
        <v>1867</v>
      </c>
      <c r="T1118" s="231" t="s">
        <v>239</v>
      </c>
      <c r="U1118" s="232">
        <v>1457</v>
      </c>
      <c r="V1118" s="231" t="s">
        <v>239</v>
      </c>
      <c r="W1118" s="232">
        <v>1466</v>
      </c>
      <c r="X1118" s="231" t="s">
        <v>239</v>
      </c>
      <c r="Y1118" s="232">
        <v>1313</v>
      </c>
      <c r="Z1118" s="231" t="s">
        <v>239</v>
      </c>
      <c r="AA1118" s="232">
        <v>1644</v>
      </c>
      <c r="AB1118" s="231" t="s">
        <v>239</v>
      </c>
      <c r="AC1118" s="232">
        <v>1933</v>
      </c>
      <c r="AD1118" s="231" t="s">
        <v>239</v>
      </c>
      <c r="AE1118" s="232">
        <v>1999</v>
      </c>
      <c r="AF1118" s="231" t="s">
        <v>239</v>
      </c>
      <c r="AG1118" s="232">
        <v>1942</v>
      </c>
      <c r="AH1118" s="231" t="s">
        <v>239</v>
      </c>
      <c r="AI1118" s="232">
        <v>2085</v>
      </c>
      <c r="AJ1118" s="231" t="s">
        <v>239</v>
      </c>
      <c r="AK1118" s="232">
        <v>1798</v>
      </c>
      <c r="AL1118" s="232" t="s">
        <v>239</v>
      </c>
      <c r="AM1118" s="232">
        <v>21194</v>
      </c>
    </row>
    <row r="1119" spans="1:39" ht="15.75" outlineLevel="1">
      <c r="A1119" s="411">
        <v>555</v>
      </c>
      <c r="B1119" s="10">
        <v>129555</v>
      </c>
      <c r="C1119" s="218" t="s">
        <v>1489</v>
      </c>
      <c r="D1119" s="218" t="s">
        <v>1490</v>
      </c>
      <c r="E1119" s="23" t="s">
        <v>44</v>
      </c>
      <c r="F1119" s="17" t="s">
        <v>45</v>
      </c>
      <c r="G1119" s="11" t="s">
        <v>1432</v>
      </c>
      <c r="H1119" s="12">
        <v>4</v>
      </c>
      <c r="I1119" s="11" t="s">
        <v>1433</v>
      </c>
      <c r="J1119" s="192" t="s">
        <v>1480</v>
      </c>
      <c r="K1119" s="17" t="s">
        <v>233</v>
      </c>
      <c r="L1119" s="17" t="s">
        <v>233</v>
      </c>
      <c r="M1119" s="231">
        <v>3</v>
      </c>
      <c r="N1119" s="231">
        <v>3</v>
      </c>
      <c r="O1119" s="231">
        <v>3</v>
      </c>
      <c r="P1119" s="231" t="s">
        <v>239</v>
      </c>
      <c r="Q1119" s="231">
        <v>3</v>
      </c>
      <c r="R1119" s="231" t="s">
        <v>239</v>
      </c>
      <c r="S1119" s="231">
        <v>3</v>
      </c>
      <c r="T1119" s="231" t="s">
        <v>239</v>
      </c>
      <c r="U1119" s="231">
        <v>3</v>
      </c>
      <c r="V1119" s="231" t="s">
        <v>239</v>
      </c>
      <c r="W1119" s="231">
        <v>3</v>
      </c>
      <c r="X1119" s="231" t="s">
        <v>239</v>
      </c>
      <c r="Y1119" s="231">
        <v>3</v>
      </c>
      <c r="Z1119" s="231" t="s">
        <v>239</v>
      </c>
      <c r="AA1119" s="231">
        <v>3</v>
      </c>
      <c r="AB1119" s="231" t="s">
        <v>239</v>
      </c>
      <c r="AC1119" s="231">
        <v>3</v>
      </c>
      <c r="AD1119" s="231" t="s">
        <v>239</v>
      </c>
      <c r="AE1119" s="231">
        <v>3</v>
      </c>
      <c r="AF1119" s="231" t="s">
        <v>239</v>
      </c>
      <c r="AG1119" s="231">
        <v>3</v>
      </c>
      <c r="AH1119" s="231" t="s">
        <v>239</v>
      </c>
      <c r="AI1119" s="231">
        <v>3</v>
      </c>
      <c r="AJ1119" s="231" t="s">
        <v>239</v>
      </c>
      <c r="AK1119" s="231">
        <v>3</v>
      </c>
      <c r="AL1119" s="232" t="s">
        <v>239</v>
      </c>
      <c r="AM1119" s="232">
        <v>0</v>
      </c>
    </row>
    <row r="1120" spans="1:39" ht="15.75" outlineLevel="1">
      <c r="A1120" s="412"/>
      <c r="B1120" s="10">
        <v>129555</v>
      </c>
      <c r="C1120" s="218" t="s">
        <v>1489</v>
      </c>
      <c r="D1120" s="218" t="s">
        <v>1490</v>
      </c>
      <c r="E1120" s="23" t="s">
        <v>44</v>
      </c>
      <c r="F1120" s="17" t="s">
        <v>45</v>
      </c>
      <c r="G1120" s="11" t="s">
        <v>1432</v>
      </c>
      <c r="H1120" s="12">
        <v>18</v>
      </c>
      <c r="I1120" s="11" t="s">
        <v>1433</v>
      </c>
      <c r="J1120" s="192" t="s">
        <v>1452</v>
      </c>
      <c r="K1120" s="17" t="s">
        <v>233</v>
      </c>
      <c r="L1120" s="17" t="s">
        <v>233</v>
      </c>
      <c r="M1120" s="231">
        <v>22644</v>
      </c>
      <c r="N1120" s="232">
        <v>22369.101839999999</v>
      </c>
      <c r="O1120" s="132">
        <v>1845</v>
      </c>
      <c r="P1120" s="231" t="s">
        <v>239</v>
      </c>
      <c r="Q1120" s="232">
        <v>1845</v>
      </c>
      <c r="R1120" s="231" t="s">
        <v>239</v>
      </c>
      <c r="S1120" s="232">
        <v>1886</v>
      </c>
      <c r="T1120" s="231" t="s">
        <v>239</v>
      </c>
      <c r="U1120" s="232">
        <v>1793</v>
      </c>
      <c r="V1120" s="230" t="s">
        <v>239</v>
      </c>
      <c r="W1120" s="232">
        <v>1195</v>
      </c>
      <c r="X1120" s="231" t="s">
        <v>239</v>
      </c>
      <c r="Y1120" s="232">
        <v>2571</v>
      </c>
      <c r="Z1120" s="231" t="s">
        <v>239</v>
      </c>
      <c r="AA1120" s="232">
        <v>1154</v>
      </c>
      <c r="AB1120" s="231" t="s">
        <v>239</v>
      </c>
      <c r="AC1120" s="232">
        <v>1126</v>
      </c>
      <c r="AD1120" s="231" t="s">
        <v>239</v>
      </c>
      <c r="AE1120" s="232">
        <v>148</v>
      </c>
      <c r="AF1120" s="231" t="s">
        <v>239</v>
      </c>
      <c r="AG1120" s="232">
        <v>170</v>
      </c>
      <c r="AH1120" s="231" t="s">
        <v>239</v>
      </c>
      <c r="AI1120" s="232">
        <v>355</v>
      </c>
      <c r="AJ1120" s="231" t="s">
        <v>239</v>
      </c>
      <c r="AK1120" s="232">
        <v>804</v>
      </c>
      <c r="AL1120" s="232" t="s">
        <v>239</v>
      </c>
      <c r="AM1120" s="232">
        <v>14892</v>
      </c>
    </row>
    <row r="1121" spans="1:39" ht="15.75" outlineLevel="1">
      <c r="A1121" s="411">
        <v>556</v>
      </c>
      <c r="B1121" s="10">
        <v>129556</v>
      </c>
      <c r="C1121" s="218" t="s">
        <v>1489</v>
      </c>
      <c r="D1121" s="218" t="s">
        <v>1490</v>
      </c>
      <c r="E1121" s="23" t="s">
        <v>138</v>
      </c>
      <c r="F1121" s="17" t="s">
        <v>45</v>
      </c>
      <c r="G1121" s="11" t="s">
        <v>1432</v>
      </c>
      <c r="H1121" s="12">
        <v>17</v>
      </c>
      <c r="I1121" s="11" t="s">
        <v>1433</v>
      </c>
      <c r="J1121" s="374" t="s">
        <v>207</v>
      </c>
      <c r="K1121" s="17" t="s">
        <v>233</v>
      </c>
      <c r="L1121" s="17" t="s">
        <v>233</v>
      </c>
      <c r="M1121" s="231">
        <v>3</v>
      </c>
      <c r="N1121" s="231">
        <v>3</v>
      </c>
      <c r="O1121" s="231">
        <v>3</v>
      </c>
      <c r="P1121" s="231" t="s">
        <v>239</v>
      </c>
      <c r="Q1121" s="231">
        <v>3</v>
      </c>
      <c r="R1121" s="231" t="s">
        <v>239</v>
      </c>
      <c r="S1121" s="231">
        <v>3</v>
      </c>
      <c r="T1121" s="231" t="s">
        <v>239</v>
      </c>
      <c r="U1121" s="231">
        <v>3</v>
      </c>
      <c r="V1121" s="231" t="s">
        <v>239</v>
      </c>
      <c r="W1121" s="231">
        <v>3</v>
      </c>
      <c r="X1121" s="231" t="s">
        <v>239</v>
      </c>
      <c r="Y1121" s="231">
        <v>3</v>
      </c>
      <c r="Z1121" s="231" t="s">
        <v>239</v>
      </c>
      <c r="AA1121" s="231">
        <v>3</v>
      </c>
      <c r="AB1121" s="231" t="s">
        <v>239</v>
      </c>
      <c r="AC1121" s="231">
        <v>3</v>
      </c>
      <c r="AD1121" s="231" t="s">
        <v>239</v>
      </c>
      <c r="AE1121" s="231">
        <v>3</v>
      </c>
      <c r="AF1121" s="231" t="s">
        <v>239</v>
      </c>
      <c r="AG1121" s="231">
        <v>3</v>
      </c>
      <c r="AH1121" s="231" t="s">
        <v>239</v>
      </c>
      <c r="AI1121" s="231">
        <v>3</v>
      </c>
      <c r="AJ1121" s="231" t="s">
        <v>239</v>
      </c>
      <c r="AK1121" s="231">
        <v>3</v>
      </c>
      <c r="AL1121" s="232" t="s">
        <v>239</v>
      </c>
      <c r="AM1121" s="232">
        <v>0</v>
      </c>
    </row>
    <row r="1122" spans="1:39" ht="15.75" outlineLevel="1">
      <c r="A1122" s="412"/>
      <c r="B1122" s="10">
        <v>129556</v>
      </c>
      <c r="C1122" s="218" t="s">
        <v>1489</v>
      </c>
      <c r="D1122" s="218" t="s">
        <v>1490</v>
      </c>
      <c r="E1122" s="23" t="s">
        <v>44</v>
      </c>
      <c r="F1122" s="17" t="s">
        <v>45</v>
      </c>
      <c r="G1122" s="11" t="s">
        <v>1432</v>
      </c>
      <c r="H1122" s="12">
        <v>28</v>
      </c>
      <c r="I1122" s="11" t="s">
        <v>1433</v>
      </c>
      <c r="J1122" s="375"/>
      <c r="K1122" s="17" t="s">
        <v>233</v>
      </c>
      <c r="L1122" s="17" t="s">
        <v>233</v>
      </c>
      <c r="M1122" s="231">
        <v>0</v>
      </c>
      <c r="N1122" s="232">
        <v>0</v>
      </c>
      <c r="O1122" s="132">
        <v>0</v>
      </c>
      <c r="P1122" s="231" t="s">
        <v>239</v>
      </c>
      <c r="Q1122" s="232">
        <v>0</v>
      </c>
      <c r="R1122" s="231" t="s">
        <v>239</v>
      </c>
      <c r="S1122" s="232">
        <v>0</v>
      </c>
      <c r="T1122" s="231" t="s">
        <v>239</v>
      </c>
      <c r="U1122" s="232">
        <v>0</v>
      </c>
      <c r="V1122" s="231" t="s">
        <v>239</v>
      </c>
      <c r="W1122" s="232">
        <v>0</v>
      </c>
      <c r="X1122" s="231" t="s">
        <v>239</v>
      </c>
      <c r="Y1122" s="232">
        <v>0</v>
      </c>
      <c r="Z1122" s="231" t="s">
        <v>239</v>
      </c>
      <c r="AA1122" s="232">
        <v>0</v>
      </c>
      <c r="AB1122" s="231" t="s">
        <v>239</v>
      </c>
      <c r="AC1122" s="232">
        <v>0</v>
      </c>
      <c r="AD1122" s="231" t="s">
        <v>239</v>
      </c>
      <c r="AE1122" s="232">
        <v>0</v>
      </c>
      <c r="AF1122" s="231" t="s">
        <v>239</v>
      </c>
      <c r="AG1122" s="232">
        <v>0</v>
      </c>
      <c r="AH1122" s="231" t="s">
        <v>239</v>
      </c>
      <c r="AI1122" s="232">
        <v>0</v>
      </c>
      <c r="AJ1122" s="231" t="s">
        <v>239</v>
      </c>
      <c r="AK1122" s="232">
        <v>0</v>
      </c>
      <c r="AL1122" s="232" t="s">
        <v>239</v>
      </c>
      <c r="AM1122" s="232">
        <v>0</v>
      </c>
    </row>
    <row r="1123" spans="1:39" ht="15.75" outlineLevel="1">
      <c r="A1123" s="411">
        <v>557</v>
      </c>
      <c r="B1123" s="10">
        <v>129557</v>
      </c>
      <c r="C1123" s="218" t="s">
        <v>1489</v>
      </c>
      <c r="D1123" s="218" t="s">
        <v>1490</v>
      </c>
      <c r="E1123" s="23" t="s">
        <v>138</v>
      </c>
      <c r="F1123" s="17" t="s">
        <v>45</v>
      </c>
      <c r="G1123" s="11" t="s">
        <v>1432</v>
      </c>
      <c r="H1123" s="12">
        <v>33</v>
      </c>
      <c r="I1123" s="11" t="s">
        <v>1433</v>
      </c>
      <c r="J1123" s="193" t="s">
        <v>1460</v>
      </c>
      <c r="K1123" s="17" t="s">
        <v>233</v>
      </c>
      <c r="L1123" s="17" t="s">
        <v>233</v>
      </c>
      <c r="M1123" s="231">
        <v>40</v>
      </c>
      <c r="N1123" s="231">
        <v>40</v>
      </c>
      <c r="O1123" s="231">
        <v>40</v>
      </c>
      <c r="P1123" s="231" t="s">
        <v>239</v>
      </c>
      <c r="Q1123" s="231">
        <v>40</v>
      </c>
      <c r="R1123" s="231" t="s">
        <v>239</v>
      </c>
      <c r="S1123" s="231">
        <v>40</v>
      </c>
      <c r="T1123" s="231" t="s">
        <v>239</v>
      </c>
      <c r="U1123" s="231">
        <v>40</v>
      </c>
      <c r="V1123" s="230" t="s">
        <v>239</v>
      </c>
      <c r="W1123" s="231">
        <v>40</v>
      </c>
      <c r="X1123" s="231" t="s">
        <v>239</v>
      </c>
      <c r="Y1123" s="231">
        <v>40</v>
      </c>
      <c r="Z1123" s="231" t="s">
        <v>239</v>
      </c>
      <c r="AA1123" s="231">
        <v>40</v>
      </c>
      <c r="AB1123" s="231" t="s">
        <v>239</v>
      </c>
      <c r="AC1123" s="231">
        <v>40</v>
      </c>
      <c r="AD1123" s="231" t="s">
        <v>239</v>
      </c>
      <c r="AE1123" s="231">
        <v>40</v>
      </c>
      <c r="AF1123" s="231" t="s">
        <v>239</v>
      </c>
      <c r="AG1123" s="231">
        <v>40</v>
      </c>
      <c r="AH1123" s="231" t="s">
        <v>239</v>
      </c>
      <c r="AI1123" s="231">
        <v>40</v>
      </c>
      <c r="AJ1123" s="231" t="s">
        <v>239</v>
      </c>
      <c r="AK1123" s="231">
        <v>40</v>
      </c>
      <c r="AL1123" s="232" t="s">
        <v>239</v>
      </c>
      <c r="AM1123" s="232">
        <v>0</v>
      </c>
    </row>
    <row r="1124" spans="1:39" ht="15.75" outlineLevel="1">
      <c r="A1124" s="412"/>
      <c r="B1124" s="10">
        <v>129557</v>
      </c>
      <c r="C1124" s="218" t="s">
        <v>1489</v>
      </c>
      <c r="D1124" s="218" t="s">
        <v>1490</v>
      </c>
      <c r="E1124" s="23" t="s">
        <v>44</v>
      </c>
      <c r="F1124" s="17" t="s">
        <v>45</v>
      </c>
      <c r="G1124" s="11" t="s">
        <v>1432</v>
      </c>
      <c r="H1124" s="12">
        <v>25</v>
      </c>
      <c r="I1124" s="11" t="s">
        <v>1433</v>
      </c>
      <c r="J1124" s="193" t="s">
        <v>1451</v>
      </c>
      <c r="K1124" s="17" t="s">
        <v>233</v>
      </c>
      <c r="L1124" s="17" t="s">
        <v>233</v>
      </c>
      <c r="M1124" s="231">
        <v>18941</v>
      </c>
      <c r="N1124" s="232">
        <v>18711.056259999998</v>
      </c>
      <c r="O1124" s="132">
        <v>1315</v>
      </c>
      <c r="P1124" s="231" t="s">
        <v>239</v>
      </c>
      <c r="Q1124" s="232">
        <v>1315</v>
      </c>
      <c r="R1124" s="231" t="s">
        <v>239</v>
      </c>
      <c r="S1124" s="232">
        <v>1388</v>
      </c>
      <c r="T1124" s="231" t="s">
        <v>239</v>
      </c>
      <c r="U1124" s="232">
        <v>1670</v>
      </c>
      <c r="V1124" s="231" t="s">
        <v>239</v>
      </c>
      <c r="W1124" s="232">
        <v>1178</v>
      </c>
      <c r="X1124" s="231" t="s">
        <v>239</v>
      </c>
      <c r="Y1124" s="232">
        <v>1250</v>
      </c>
      <c r="Z1124" s="231" t="s">
        <v>239</v>
      </c>
      <c r="AA1124" s="232">
        <v>1158</v>
      </c>
      <c r="AB1124" s="231" t="s">
        <v>239</v>
      </c>
      <c r="AC1124" s="232">
        <v>994</v>
      </c>
      <c r="AD1124" s="231" t="s">
        <v>239</v>
      </c>
      <c r="AE1124" s="232">
        <v>1407</v>
      </c>
      <c r="AF1124" s="231" t="s">
        <v>239</v>
      </c>
      <c r="AG1124" s="232">
        <v>1698</v>
      </c>
      <c r="AH1124" s="231" t="s">
        <v>239</v>
      </c>
      <c r="AI1124" s="232">
        <v>1653</v>
      </c>
      <c r="AJ1124" s="231" t="s">
        <v>239</v>
      </c>
      <c r="AK1124" s="232">
        <v>1406</v>
      </c>
      <c r="AL1124" s="232" t="s">
        <v>239</v>
      </c>
      <c r="AM1124" s="232">
        <v>16432</v>
      </c>
    </row>
    <row r="1125" spans="1:39" ht="15.75" outlineLevel="1">
      <c r="A1125" s="411">
        <v>558</v>
      </c>
      <c r="B1125" s="10">
        <v>129558</v>
      </c>
      <c r="C1125" s="218" t="s">
        <v>1489</v>
      </c>
      <c r="D1125" s="218" t="s">
        <v>1490</v>
      </c>
      <c r="E1125" s="23" t="s">
        <v>44</v>
      </c>
      <c r="F1125" s="17" t="s">
        <v>45</v>
      </c>
      <c r="G1125" s="11" t="s">
        <v>1432</v>
      </c>
      <c r="H1125" s="12">
        <v>24</v>
      </c>
      <c r="I1125" s="11" t="s">
        <v>1433</v>
      </c>
      <c r="J1125" s="193" t="s">
        <v>208</v>
      </c>
      <c r="K1125" s="17" t="s">
        <v>233</v>
      </c>
      <c r="L1125" s="17" t="s">
        <v>233</v>
      </c>
      <c r="M1125" s="231">
        <v>40</v>
      </c>
      <c r="N1125" s="231">
        <v>40</v>
      </c>
      <c r="O1125" s="231">
        <v>40</v>
      </c>
      <c r="P1125" s="231" t="s">
        <v>239</v>
      </c>
      <c r="Q1125" s="231">
        <v>40</v>
      </c>
      <c r="R1125" s="231" t="s">
        <v>239</v>
      </c>
      <c r="S1125" s="231">
        <v>40</v>
      </c>
      <c r="T1125" s="231" t="s">
        <v>239</v>
      </c>
      <c r="U1125" s="231">
        <v>40</v>
      </c>
      <c r="V1125" s="231" t="s">
        <v>239</v>
      </c>
      <c r="W1125" s="231">
        <v>40</v>
      </c>
      <c r="X1125" s="231" t="s">
        <v>239</v>
      </c>
      <c r="Y1125" s="231">
        <v>40</v>
      </c>
      <c r="Z1125" s="231" t="s">
        <v>239</v>
      </c>
      <c r="AA1125" s="231">
        <v>40</v>
      </c>
      <c r="AB1125" s="231" t="s">
        <v>239</v>
      </c>
      <c r="AC1125" s="231">
        <v>40</v>
      </c>
      <c r="AD1125" s="231" t="s">
        <v>239</v>
      </c>
      <c r="AE1125" s="231">
        <v>40</v>
      </c>
      <c r="AF1125" s="231" t="s">
        <v>239</v>
      </c>
      <c r="AG1125" s="231">
        <v>40</v>
      </c>
      <c r="AH1125" s="231" t="s">
        <v>239</v>
      </c>
      <c r="AI1125" s="231">
        <v>40</v>
      </c>
      <c r="AJ1125" s="231" t="s">
        <v>239</v>
      </c>
      <c r="AK1125" s="231">
        <v>40</v>
      </c>
      <c r="AL1125" s="232" t="s">
        <v>239</v>
      </c>
      <c r="AM1125" s="232">
        <v>0</v>
      </c>
    </row>
    <row r="1126" spans="1:39" ht="15.75" outlineLevel="1">
      <c r="A1126" s="412"/>
      <c r="B1126" s="10">
        <v>129558</v>
      </c>
      <c r="C1126" s="218" t="s">
        <v>1489</v>
      </c>
      <c r="D1126" s="218" t="s">
        <v>1490</v>
      </c>
      <c r="E1126" s="23" t="s">
        <v>138</v>
      </c>
      <c r="F1126" s="17" t="s">
        <v>45</v>
      </c>
      <c r="G1126" s="11" t="s">
        <v>1432</v>
      </c>
      <c r="H1126" s="12">
        <v>10</v>
      </c>
      <c r="I1126" s="11" t="s">
        <v>1433</v>
      </c>
      <c r="J1126" s="193" t="s">
        <v>1452</v>
      </c>
      <c r="K1126" s="17" t="s">
        <v>233</v>
      </c>
      <c r="L1126" s="17" t="s">
        <v>233</v>
      </c>
      <c r="M1126" s="231">
        <v>0</v>
      </c>
      <c r="N1126" s="232">
        <v>0</v>
      </c>
      <c r="O1126" s="132">
        <v>0</v>
      </c>
      <c r="P1126" s="231" t="s">
        <v>239</v>
      </c>
      <c r="Q1126" s="232">
        <v>0</v>
      </c>
      <c r="R1126" s="231" t="s">
        <v>239</v>
      </c>
      <c r="S1126" s="232">
        <v>0</v>
      </c>
      <c r="T1126" s="231" t="s">
        <v>239</v>
      </c>
      <c r="U1126" s="232">
        <v>0</v>
      </c>
      <c r="V1126" s="230" t="s">
        <v>239</v>
      </c>
      <c r="W1126" s="232">
        <v>0</v>
      </c>
      <c r="X1126" s="231" t="s">
        <v>239</v>
      </c>
      <c r="Y1126" s="232">
        <v>0</v>
      </c>
      <c r="Z1126" s="231" t="s">
        <v>239</v>
      </c>
      <c r="AA1126" s="232">
        <v>0</v>
      </c>
      <c r="AB1126" s="231" t="s">
        <v>239</v>
      </c>
      <c r="AC1126" s="232">
        <v>0</v>
      </c>
      <c r="AD1126" s="231" t="s">
        <v>239</v>
      </c>
      <c r="AE1126" s="232">
        <v>0</v>
      </c>
      <c r="AF1126" s="231" t="s">
        <v>239</v>
      </c>
      <c r="AG1126" s="232">
        <v>0</v>
      </c>
      <c r="AH1126" s="231" t="s">
        <v>239</v>
      </c>
      <c r="AI1126" s="232">
        <v>0</v>
      </c>
      <c r="AJ1126" s="231" t="s">
        <v>239</v>
      </c>
      <c r="AK1126" s="232">
        <v>0</v>
      </c>
      <c r="AL1126" s="232" t="s">
        <v>239</v>
      </c>
      <c r="AM1126" s="232">
        <v>0</v>
      </c>
    </row>
    <row r="1127" spans="1:39" ht="15.75" outlineLevel="1">
      <c r="A1127" s="411">
        <v>559</v>
      </c>
      <c r="B1127" s="10">
        <v>129559</v>
      </c>
      <c r="C1127" s="218" t="s">
        <v>1489</v>
      </c>
      <c r="D1127" s="218" t="s">
        <v>1490</v>
      </c>
      <c r="E1127" s="23" t="s">
        <v>44</v>
      </c>
      <c r="F1127" s="17" t="s">
        <v>45</v>
      </c>
      <c r="G1127" s="11" t="s">
        <v>1432</v>
      </c>
      <c r="H1127" s="12">
        <v>17</v>
      </c>
      <c r="I1127" s="11" t="s">
        <v>1433</v>
      </c>
      <c r="J1127" s="193" t="s">
        <v>216</v>
      </c>
      <c r="K1127" s="17" t="s">
        <v>233</v>
      </c>
      <c r="L1127" s="17" t="s">
        <v>233</v>
      </c>
      <c r="M1127" s="231">
        <v>3</v>
      </c>
      <c r="N1127" s="231">
        <v>3</v>
      </c>
      <c r="O1127" s="231">
        <v>3</v>
      </c>
      <c r="P1127" s="231" t="s">
        <v>239</v>
      </c>
      <c r="Q1127" s="231">
        <v>3</v>
      </c>
      <c r="R1127" s="231" t="s">
        <v>239</v>
      </c>
      <c r="S1127" s="231">
        <v>3</v>
      </c>
      <c r="T1127" s="231" t="s">
        <v>239</v>
      </c>
      <c r="U1127" s="231">
        <v>3</v>
      </c>
      <c r="V1127" s="231" t="s">
        <v>239</v>
      </c>
      <c r="W1127" s="231">
        <v>3</v>
      </c>
      <c r="X1127" s="231" t="s">
        <v>239</v>
      </c>
      <c r="Y1127" s="231">
        <v>3</v>
      </c>
      <c r="Z1127" s="231" t="s">
        <v>239</v>
      </c>
      <c r="AA1127" s="231">
        <v>3</v>
      </c>
      <c r="AB1127" s="231" t="s">
        <v>239</v>
      </c>
      <c r="AC1127" s="231">
        <v>3</v>
      </c>
      <c r="AD1127" s="231" t="s">
        <v>239</v>
      </c>
      <c r="AE1127" s="231">
        <v>3</v>
      </c>
      <c r="AF1127" s="231" t="s">
        <v>239</v>
      </c>
      <c r="AG1127" s="231">
        <v>3</v>
      </c>
      <c r="AH1127" s="231" t="s">
        <v>239</v>
      </c>
      <c r="AI1127" s="231">
        <v>3</v>
      </c>
      <c r="AJ1127" s="231" t="s">
        <v>239</v>
      </c>
      <c r="AK1127" s="231">
        <v>3</v>
      </c>
      <c r="AL1127" s="232" t="s">
        <v>239</v>
      </c>
      <c r="AM1127" s="232">
        <v>0</v>
      </c>
    </row>
    <row r="1128" spans="1:39" ht="15.75" outlineLevel="1">
      <c r="A1128" s="412"/>
      <c r="B1128" s="10">
        <v>129559</v>
      </c>
      <c r="C1128" s="218" t="s">
        <v>1489</v>
      </c>
      <c r="D1128" s="218" t="s">
        <v>1490</v>
      </c>
      <c r="E1128" s="23" t="s">
        <v>138</v>
      </c>
      <c r="F1128" s="17" t="s">
        <v>45</v>
      </c>
      <c r="G1128" s="11" t="s">
        <v>1432</v>
      </c>
      <c r="H1128" s="12">
        <v>32</v>
      </c>
      <c r="I1128" s="11" t="s">
        <v>1433</v>
      </c>
      <c r="J1128" s="193" t="s">
        <v>1453</v>
      </c>
      <c r="K1128" s="17" t="s">
        <v>233</v>
      </c>
      <c r="L1128" s="17" t="s">
        <v>233</v>
      </c>
      <c r="M1128" s="231">
        <v>7343</v>
      </c>
      <c r="N1128" s="232">
        <v>7253.8559799999994</v>
      </c>
      <c r="O1128" s="132">
        <v>1119</v>
      </c>
      <c r="P1128" s="231" t="s">
        <v>239</v>
      </c>
      <c r="Q1128" s="232">
        <v>1119</v>
      </c>
      <c r="R1128" s="231" t="s">
        <v>239</v>
      </c>
      <c r="S1128" s="232">
        <v>1122</v>
      </c>
      <c r="T1128" s="231" t="s">
        <v>239</v>
      </c>
      <c r="U1128" s="232">
        <v>1120</v>
      </c>
      <c r="V1128" s="231" t="s">
        <v>239</v>
      </c>
      <c r="W1128" s="232">
        <v>1120</v>
      </c>
      <c r="X1128" s="231" t="s">
        <v>239</v>
      </c>
      <c r="Y1128" s="232">
        <v>1121</v>
      </c>
      <c r="Z1128" s="231" t="s">
        <v>239</v>
      </c>
      <c r="AA1128" s="232">
        <v>1647</v>
      </c>
      <c r="AB1128" s="231" t="s">
        <v>239</v>
      </c>
      <c r="AC1128" s="232">
        <v>1648</v>
      </c>
      <c r="AD1128" s="231" t="s">
        <v>239</v>
      </c>
      <c r="AE1128" s="232">
        <v>1647</v>
      </c>
      <c r="AF1128" s="231" t="s">
        <v>239</v>
      </c>
      <c r="AG1128" s="232">
        <v>1648</v>
      </c>
      <c r="AH1128" s="231" t="s">
        <v>239</v>
      </c>
      <c r="AI1128" s="232">
        <v>1647</v>
      </c>
      <c r="AJ1128" s="231" t="s">
        <v>239</v>
      </c>
      <c r="AK1128" s="232">
        <v>1646</v>
      </c>
      <c r="AL1128" s="232" t="s">
        <v>239</v>
      </c>
      <c r="AM1128" s="232">
        <v>16604</v>
      </c>
    </row>
    <row r="1129" spans="1:39" ht="15.75" outlineLevel="1">
      <c r="A1129" s="411">
        <v>560</v>
      </c>
      <c r="B1129" s="10">
        <v>129560</v>
      </c>
      <c r="C1129" s="218" t="s">
        <v>1489</v>
      </c>
      <c r="D1129" s="218" t="s">
        <v>1490</v>
      </c>
      <c r="E1129" s="23" t="s">
        <v>44</v>
      </c>
      <c r="F1129" s="17" t="s">
        <v>45</v>
      </c>
      <c r="G1129" s="11" t="s">
        <v>1432</v>
      </c>
      <c r="H1129" s="12">
        <v>8</v>
      </c>
      <c r="I1129" s="11" t="s">
        <v>1433</v>
      </c>
      <c r="J1129" s="193" t="s">
        <v>1454</v>
      </c>
      <c r="K1129" s="17" t="s">
        <v>233</v>
      </c>
      <c r="L1129" s="17" t="s">
        <v>233</v>
      </c>
      <c r="M1129" s="231">
        <v>3</v>
      </c>
      <c r="N1129" s="231">
        <v>3</v>
      </c>
      <c r="O1129" s="231">
        <v>3</v>
      </c>
      <c r="P1129" s="231" t="s">
        <v>239</v>
      </c>
      <c r="Q1129" s="231">
        <v>3</v>
      </c>
      <c r="R1129" s="231" t="s">
        <v>239</v>
      </c>
      <c r="S1129" s="231">
        <v>3</v>
      </c>
      <c r="T1129" s="231" t="s">
        <v>239</v>
      </c>
      <c r="U1129" s="231">
        <v>3</v>
      </c>
      <c r="V1129" s="230" t="s">
        <v>239</v>
      </c>
      <c r="W1129" s="231">
        <v>3</v>
      </c>
      <c r="X1129" s="231" t="s">
        <v>239</v>
      </c>
      <c r="Y1129" s="231">
        <v>3</v>
      </c>
      <c r="Z1129" s="231" t="s">
        <v>239</v>
      </c>
      <c r="AA1129" s="231">
        <v>3</v>
      </c>
      <c r="AB1129" s="231" t="s">
        <v>239</v>
      </c>
      <c r="AC1129" s="231">
        <v>3</v>
      </c>
      <c r="AD1129" s="231" t="s">
        <v>239</v>
      </c>
      <c r="AE1129" s="231">
        <v>3</v>
      </c>
      <c r="AF1129" s="231" t="s">
        <v>239</v>
      </c>
      <c r="AG1129" s="231">
        <v>3</v>
      </c>
      <c r="AH1129" s="231" t="s">
        <v>239</v>
      </c>
      <c r="AI1129" s="231">
        <v>3</v>
      </c>
      <c r="AJ1129" s="231" t="s">
        <v>239</v>
      </c>
      <c r="AK1129" s="231">
        <v>3</v>
      </c>
      <c r="AL1129" s="232" t="s">
        <v>239</v>
      </c>
      <c r="AM1129" s="232">
        <v>0</v>
      </c>
    </row>
    <row r="1130" spans="1:39" ht="15.75" outlineLevel="1">
      <c r="A1130" s="412"/>
      <c r="B1130" s="10">
        <v>129560</v>
      </c>
      <c r="C1130" s="218" t="s">
        <v>1489</v>
      </c>
      <c r="D1130" s="218" t="s">
        <v>1490</v>
      </c>
      <c r="E1130" s="23" t="s">
        <v>44</v>
      </c>
      <c r="F1130" s="17" t="s">
        <v>45</v>
      </c>
      <c r="G1130" s="11" t="s">
        <v>1432</v>
      </c>
      <c r="H1130" s="12">
        <v>12</v>
      </c>
      <c r="I1130" s="11" t="s">
        <v>1433</v>
      </c>
      <c r="J1130" s="191" t="s">
        <v>216</v>
      </c>
      <c r="K1130" s="17" t="s">
        <v>233</v>
      </c>
      <c r="L1130" s="17" t="s">
        <v>233</v>
      </c>
      <c r="M1130" s="231">
        <v>0</v>
      </c>
      <c r="N1130" s="232">
        <v>0</v>
      </c>
      <c r="O1130" s="132">
        <v>0</v>
      </c>
      <c r="P1130" s="231" t="s">
        <v>239</v>
      </c>
      <c r="Q1130" s="232">
        <v>0</v>
      </c>
      <c r="R1130" s="231" t="s">
        <v>239</v>
      </c>
      <c r="S1130" s="232">
        <v>0</v>
      </c>
      <c r="T1130" s="231" t="s">
        <v>239</v>
      </c>
      <c r="U1130" s="232">
        <v>0</v>
      </c>
      <c r="V1130" s="231" t="s">
        <v>239</v>
      </c>
      <c r="W1130" s="232">
        <v>0</v>
      </c>
      <c r="X1130" s="231" t="s">
        <v>239</v>
      </c>
      <c r="Y1130" s="232">
        <v>0</v>
      </c>
      <c r="Z1130" s="231" t="s">
        <v>239</v>
      </c>
      <c r="AA1130" s="232">
        <v>0</v>
      </c>
      <c r="AB1130" s="231" t="s">
        <v>239</v>
      </c>
      <c r="AC1130" s="232">
        <v>0</v>
      </c>
      <c r="AD1130" s="231" t="s">
        <v>239</v>
      </c>
      <c r="AE1130" s="232">
        <v>0</v>
      </c>
      <c r="AF1130" s="231" t="s">
        <v>239</v>
      </c>
      <c r="AG1130" s="232">
        <v>0</v>
      </c>
      <c r="AH1130" s="231" t="s">
        <v>239</v>
      </c>
      <c r="AI1130" s="232">
        <v>0</v>
      </c>
      <c r="AJ1130" s="231" t="s">
        <v>239</v>
      </c>
      <c r="AK1130" s="232">
        <v>0</v>
      </c>
      <c r="AL1130" s="232" t="s">
        <v>239</v>
      </c>
      <c r="AM1130" s="232">
        <v>0</v>
      </c>
    </row>
    <row r="1131" spans="1:39" ht="15.75" outlineLevel="1">
      <c r="A1131" s="411">
        <v>561</v>
      </c>
      <c r="B1131" s="10">
        <v>129561</v>
      </c>
      <c r="C1131" s="218" t="s">
        <v>1489</v>
      </c>
      <c r="D1131" s="218" t="s">
        <v>1490</v>
      </c>
      <c r="E1131" s="23" t="s">
        <v>138</v>
      </c>
      <c r="F1131" s="17" t="s">
        <v>45</v>
      </c>
      <c r="G1131" s="11" t="s">
        <v>1432</v>
      </c>
      <c r="H1131" s="12">
        <v>18</v>
      </c>
      <c r="I1131" s="11" t="s">
        <v>1433</v>
      </c>
      <c r="J1131" s="192" t="s">
        <v>1434</v>
      </c>
      <c r="K1131" s="17" t="s">
        <v>233</v>
      </c>
      <c r="L1131" s="17" t="s">
        <v>233</v>
      </c>
      <c r="M1131" s="231">
        <v>3</v>
      </c>
      <c r="N1131" s="231">
        <v>3</v>
      </c>
      <c r="O1131" s="231">
        <v>3</v>
      </c>
      <c r="P1131" s="231" t="s">
        <v>239</v>
      </c>
      <c r="Q1131" s="231">
        <v>3</v>
      </c>
      <c r="R1131" s="231" t="s">
        <v>239</v>
      </c>
      <c r="S1131" s="231">
        <v>3</v>
      </c>
      <c r="T1131" s="231" t="s">
        <v>239</v>
      </c>
      <c r="U1131" s="231">
        <v>3</v>
      </c>
      <c r="V1131" s="231" t="s">
        <v>239</v>
      </c>
      <c r="W1131" s="231">
        <v>3</v>
      </c>
      <c r="X1131" s="231" t="s">
        <v>239</v>
      </c>
      <c r="Y1131" s="231">
        <v>3</v>
      </c>
      <c r="Z1131" s="231" t="s">
        <v>239</v>
      </c>
      <c r="AA1131" s="231">
        <v>3</v>
      </c>
      <c r="AB1131" s="231" t="s">
        <v>239</v>
      </c>
      <c r="AC1131" s="231">
        <v>3</v>
      </c>
      <c r="AD1131" s="231" t="s">
        <v>239</v>
      </c>
      <c r="AE1131" s="231">
        <v>3</v>
      </c>
      <c r="AF1131" s="231" t="s">
        <v>239</v>
      </c>
      <c r="AG1131" s="231">
        <v>3</v>
      </c>
      <c r="AH1131" s="231" t="s">
        <v>239</v>
      </c>
      <c r="AI1131" s="231">
        <v>3</v>
      </c>
      <c r="AJ1131" s="231" t="s">
        <v>239</v>
      </c>
      <c r="AK1131" s="231">
        <v>3</v>
      </c>
      <c r="AL1131" s="232" t="s">
        <v>239</v>
      </c>
      <c r="AM1131" s="232">
        <v>0</v>
      </c>
    </row>
    <row r="1132" spans="1:39" ht="15.75" outlineLevel="1">
      <c r="A1132" s="412"/>
      <c r="B1132" s="10">
        <v>129561</v>
      </c>
      <c r="C1132" s="218" t="s">
        <v>1489</v>
      </c>
      <c r="D1132" s="218" t="s">
        <v>1490</v>
      </c>
      <c r="E1132" s="23" t="s">
        <v>44</v>
      </c>
      <c r="F1132" s="17" t="s">
        <v>45</v>
      </c>
      <c r="G1132" s="11" t="s">
        <v>1432</v>
      </c>
      <c r="H1132" s="12">
        <v>17</v>
      </c>
      <c r="I1132" s="11" t="s">
        <v>1433</v>
      </c>
      <c r="J1132" s="192" t="s">
        <v>1480</v>
      </c>
      <c r="K1132" s="17" t="s">
        <v>233</v>
      </c>
      <c r="L1132" s="17" t="s">
        <v>233</v>
      </c>
      <c r="M1132" s="231">
        <v>0</v>
      </c>
      <c r="N1132" s="232">
        <v>0</v>
      </c>
      <c r="O1132" s="132">
        <v>0</v>
      </c>
      <c r="P1132" s="231" t="s">
        <v>239</v>
      </c>
      <c r="Q1132" s="232">
        <v>0</v>
      </c>
      <c r="R1132" s="231" t="s">
        <v>239</v>
      </c>
      <c r="S1132" s="232">
        <v>0</v>
      </c>
      <c r="T1132" s="231" t="s">
        <v>239</v>
      </c>
      <c r="U1132" s="232">
        <v>0</v>
      </c>
      <c r="V1132" s="230" t="s">
        <v>239</v>
      </c>
      <c r="W1132" s="232">
        <v>0</v>
      </c>
      <c r="X1132" s="231" t="s">
        <v>239</v>
      </c>
      <c r="Y1132" s="232">
        <v>0</v>
      </c>
      <c r="Z1132" s="231" t="s">
        <v>239</v>
      </c>
      <c r="AA1132" s="232">
        <v>0</v>
      </c>
      <c r="AB1132" s="231" t="s">
        <v>239</v>
      </c>
      <c r="AC1132" s="232">
        <v>0</v>
      </c>
      <c r="AD1132" s="231" t="s">
        <v>239</v>
      </c>
      <c r="AE1132" s="232">
        <v>0</v>
      </c>
      <c r="AF1132" s="231" t="s">
        <v>239</v>
      </c>
      <c r="AG1132" s="232">
        <v>0</v>
      </c>
      <c r="AH1132" s="231" t="s">
        <v>239</v>
      </c>
      <c r="AI1132" s="232">
        <v>0</v>
      </c>
      <c r="AJ1132" s="231" t="s">
        <v>239</v>
      </c>
      <c r="AK1132" s="232">
        <v>0</v>
      </c>
      <c r="AL1132" s="232" t="s">
        <v>239</v>
      </c>
      <c r="AM1132" s="232">
        <v>0</v>
      </c>
    </row>
    <row r="1133" spans="1:39" ht="15.75" outlineLevel="1">
      <c r="A1133" s="411">
        <v>562</v>
      </c>
      <c r="B1133" s="10">
        <v>129562</v>
      </c>
      <c r="C1133" s="218" t="s">
        <v>1489</v>
      </c>
      <c r="D1133" s="218" t="s">
        <v>1490</v>
      </c>
      <c r="E1133" s="23" t="s">
        <v>138</v>
      </c>
      <c r="F1133" s="17" t="s">
        <v>45</v>
      </c>
      <c r="G1133" s="11" t="s">
        <v>1432</v>
      </c>
      <c r="H1133" s="12">
        <v>25</v>
      </c>
      <c r="I1133" s="11" t="s">
        <v>1433</v>
      </c>
      <c r="J1133" s="192" t="s">
        <v>1452</v>
      </c>
      <c r="K1133" s="17" t="s">
        <v>233</v>
      </c>
      <c r="L1133" s="17" t="s">
        <v>233</v>
      </c>
      <c r="M1133" s="231">
        <v>3</v>
      </c>
      <c r="N1133" s="231">
        <v>3</v>
      </c>
      <c r="O1133" s="231">
        <v>3</v>
      </c>
      <c r="P1133" s="231" t="s">
        <v>239</v>
      </c>
      <c r="Q1133" s="231">
        <v>3</v>
      </c>
      <c r="R1133" s="231" t="s">
        <v>239</v>
      </c>
      <c r="S1133" s="231">
        <v>3</v>
      </c>
      <c r="T1133" s="231" t="s">
        <v>239</v>
      </c>
      <c r="U1133" s="231">
        <v>3</v>
      </c>
      <c r="V1133" s="231" t="s">
        <v>239</v>
      </c>
      <c r="W1133" s="231">
        <v>3</v>
      </c>
      <c r="X1133" s="231" t="s">
        <v>239</v>
      </c>
      <c r="Y1133" s="231">
        <v>3</v>
      </c>
      <c r="Z1133" s="231" t="s">
        <v>239</v>
      </c>
      <c r="AA1133" s="231">
        <v>3</v>
      </c>
      <c r="AB1133" s="231" t="s">
        <v>239</v>
      </c>
      <c r="AC1133" s="231">
        <v>3</v>
      </c>
      <c r="AD1133" s="231" t="s">
        <v>239</v>
      </c>
      <c r="AE1133" s="231">
        <v>3</v>
      </c>
      <c r="AF1133" s="231" t="s">
        <v>239</v>
      </c>
      <c r="AG1133" s="231">
        <v>3</v>
      </c>
      <c r="AH1133" s="231" t="s">
        <v>239</v>
      </c>
      <c r="AI1133" s="231">
        <v>3</v>
      </c>
      <c r="AJ1133" s="231" t="s">
        <v>239</v>
      </c>
      <c r="AK1133" s="231">
        <v>3</v>
      </c>
      <c r="AL1133" s="232" t="s">
        <v>239</v>
      </c>
      <c r="AM1133" s="232">
        <v>0</v>
      </c>
    </row>
    <row r="1134" spans="1:39" ht="15.75" outlineLevel="1">
      <c r="A1134" s="412"/>
      <c r="B1134" s="10">
        <v>129562</v>
      </c>
      <c r="C1134" s="218" t="s">
        <v>1489</v>
      </c>
      <c r="D1134" s="218" t="s">
        <v>1490</v>
      </c>
      <c r="E1134" s="23" t="s">
        <v>44</v>
      </c>
      <c r="F1134" s="17" t="s">
        <v>45</v>
      </c>
      <c r="G1134" s="11" t="s">
        <v>1432</v>
      </c>
      <c r="H1134" s="12">
        <v>13</v>
      </c>
      <c r="I1134" s="11" t="s">
        <v>1433</v>
      </c>
      <c r="J1134" s="374" t="s">
        <v>207</v>
      </c>
      <c r="K1134" s="17" t="s">
        <v>233</v>
      </c>
      <c r="L1134" s="17" t="s">
        <v>233</v>
      </c>
      <c r="M1134" s="231">
        <v>0</v>
      </c>
      <c r="N1134" s="232">
        <v>0</v>
      </c>
      <c r="O1134" s="132">
        <v>0</v>
      </c>
      <c r="P1134" s="231" t="s">
        <v>239</v>
      </c>
      <c r="Q1134" s="232">
        <v>0</v>
      </c>
      <c r="R1134" s="231" t="s">
        <v>239</v>
      </c>
      <c r="S1134" s="232">
        <v>0</v>
      </c>
      <c r="T1134" s="231" t="s">
        <v>239</v>
      </c>
      <c r="U1134" s="232">
        <v>0</v>
      </c>
      <c r="V1134" s="231" t="s">
        <v>239</v>
      </c>
      <c r="W1134" s="232">
        <v>0</v>
      </c>
      <c r="X1134" s="231" t="s">
        <v>239</v>
      </c>
      <c r="Y1134" s="232">
        <v>0</v>
      </c>
      <c r="Z1134" s="231" t="s">
        <v>239</v>
      </c>
      <c r="AA1134" s="232">
        <v>0</v>
      </c>
      <c r="AB1134" s="231" t="s">
        <v>239</v>
      </c>
      <c r="AC1134" s="232">
        <v>0</v>
      </c>
      <c r="AD1134" s="231" t="s">
        <v>239</v>
      </c>
      <c r="AE1134" s="232">
        <v>0</v>
      </c>
      <c r="AF1134" s="231" t="s">
        <v>239</v>
      </c>
      <c r="AG1134" s="232">
        <v>0</v>
      </c>
      <c r="AH1134" s="231" t="s">
        <v>239</v>
      </c>
      <c r="AI1134" s="232">
        <v>0</v>
      </c>
      <c r="AJ1134" s="231" t="s">
        <v>239</v>
      </c>
      <c r="AK1134" s="232">
        <v>0</v>
      </c>
      <c r="AL1134" s="232" t="s">
        <v>239</v>
      </c>
      <c r="AM1134" s="232">
        <v>0</v>
      </c>
    </row>
    <row r="1135" spans="1:39" ht="15.75" outlineLevel="1">
      <c r="A1135" s="411">
        <v>563</v>
      </c>
      <c r="B1135" s="10">
        <v>129563</v>
      </c>
      <c r="C1135" s="218" t="s">
        <v>1489</v>
      </c>
      <c r="D1135" s="218" t="s">
        <v>1490</v>
      </c>
      <c r="E1135" s="23" t="s">
        <v>44</v>
      </c>
      <c r="F1135" s="17" t="s">
        <v>45</v>
      </c>
      <c r="G1135" s="11" t="s">
        <v>1432</v>
      </c>
      <c r="H1135" s="12">
        <v>5</v>
      </c>
      <c r="I1135" s="11" t="s">
        <v>1433</v>
      </c>
      <c r="J1135" s="375"/>
      <c r="K1135" s="17" t="s">
        <v>233</v>
      </c>
      <c r="L1135" s="17" t="s">
        <v>233</v>
      </c>
      <c r="M1135" s="231">
        <v>3</v>
      </c>
      <c r="N1135" s="231">
        <v>3</v>
      </c>
      <c r="O1135" s="231">
        <v>3</v>
      </c>
      <c r="P1135" s="231" t="s">
        <v>239</v>
      </c>
      <c r="Q1135" s="231">
        <v>3</v>
      </c>
      <c r="R1135" s="231" t="s">
        <v>239</v>
      </c>
      <c r="S1135" s="231">
        <v>3</v>
      </c>
      <c r="T1135" s="231" t="s">
        <v>239</v>
      </c>
      <c r="U1135" s="231">
        <v>3</v>
      </c>
      <c r="V1135" s="230" t="s">
        <v>239</v>
      </c>
      <c r="W1135" s="231">
        <v>3</v>
      </c>
      <c r="X1135" s="231" t="s">
        <v>239</v>
      </c>
      <c r="Y1135" s="231">
        <v>3</v>
      </c>
      <c r="Z1135" s="231" t="s">
        <v>239</v>
      </c>
      <c r="AA1135" s="231">
        <v>3</v>
      </c>
      <c r="AB1135" s="231" t="s">
        <v>239</v>
      </c>
      <c r="AC1135" s="231">
        <v>3</v>
      </c>
      <c r="AD1135" s="231" t="s">
        <v>239</v>
      </c>
      <c r="AE1135" s="231">
        <v>3</v>
      </c>
      <c r="AF1135" s="231" t="s">
        <v>239</v>
      </c>
      <c r="AG1135" s="231">
        <v>3</v>
      </c>
      <c r="AH1135" s="231" t="s">
        <v>239</v>
      </c>
      <c r="AI1135" s="231">
        <v>3</v>
      </c>
      <c r="AJ1135" s="231" t="s">
        <v>239</v>
      </c>
      <c r="AK1135" s="231">
        <v>3</v>
      </c>
      <c r="AL1135" s="232" t="s">
        <v>239</v>
      </c>
      <c r="AM1135" s="232">
        <v>0</v>
      </c>
    </row>
    <row r="1136" spans="1:39" ht="15.75" outlineLevel="1">
      <c r="A1136" s="412"/>
      <c r="B1136" s="10">
        <v>129563</v>
      </c>
      <c r="C1136" s="218" t="s">
        <v>1489</v>
      </c>
      <c r="D1136" s="218" t="s">
        <v>1490</v>
      </c>
      <c r="E1136" s="23" t="s">
        <v>138</v>
      </c>
      <c r="F1136" s="17" t="s">
        <v>45</v>
      </c>
      <c r="G1136" s="11" t="s">
        <v>1432</v>
      </c>
      <c r="H1136" s="12">
        <v>4</v>
      </c>
      <c r="I1136" s="11" t="s">
        <v>1433</v>
      </c>
      <c r="J1136" s="193" t="s">
        <v>1460</v>
      </c>
      <c r="K1136" s="17" t="s">
        <v>233</v>
      </c>
      <c r="L1136" s="17" t="s">
        <v>233</v>
      </c>
      <c r="M1136" s="231">
        <v>0</v>
      </c>
      <c r="N1136" s="232">
        <v>0</v>
      </c>
      <c r="O1136" s="132">
        <v>0</v>
      </c>
      <c r="P1136" s="231" t="s">
        <v>239</v>
      </c>
      <c r="Q1136" s="232">
        <v>0</v>
      </c>
      <c r="R1136" s="231" t="s">
        <v>239</v>
      </c>
      <c r="S1136" s="232">
        <v>0</v>
      </c>
      <c r="T1136" s="231" t="s">
        <v>239</v>
      </c>
      <c r="U1136" s="232">
        <v>0</v>
      </c>
      <c r="V1136" s="231" t="s">
        <v>239</v>
      </c>
      <c r="W1136" s="232">
        <v>0</v>
      </c>
      <c r="X1136" s="231" t="s">
        <v>239</v>
      </c>
      <c r="Y1136" s="232">
        <v>0</v>
      </c>
      <c r="Z1136" s="231" t="s">
        <v>239</v>
      </c>
      <c r="AA1136" s="232">
        <v>0</v>
      </c>
      <c r="AB1136" s="231" t="s">
        <v>239</v>
      </c>
      <c r="AC1136" s="232">
        <v>0</v>
      </c>
      <c r="AD1136" s="231" t="s">
        <v>239</v>
      </c>
      <c r="AE1136" s="232">
        <v>0</v>
      </c>
      <c r="AF1136" s="231" t="s">
        <v>239</v>
      </c>
      <c r="AG1136" s="232">
        <v>0</v>
      </c>
      <c r="AH1136" s="231" t="s">
        <v>239</v>
      </c>
      <c r="AI1136" s="232">
        <v>0</v>
      </c>
      <c r="AJ1136" s="231" t="s">
        <v>239</v>
      </c>
      <c r="AK1136" s="232">
        <v>0</v>
      </c>
      <c r="AL1136" s="232" t="s">
        <v>239</v>
      </c>
      <c r="AM1136" s="232">
        <v>0</v>
      </c>
    </row>
    <row r="1137" spans="1:39" ht="15.75" outlineLevel="1">
      <c r="A1137" s="411">
        <v>564</v>
      </c>
      <c r="B1137" s="10">
        <v>129564</v>
      </c>
      <c r="C1137" s="218" t="s">
        <v>1489</v>
      </c>
      <c r="D1137" s="218" t="s">
        <v>1490</v>
      </c>
      <c r="E1137" s="23" t="s">
        <v>44</v>
      </c>
      <c r="F1137" s="17" t="s">
        <v>45</v>
      </c>
      <c r="G1137" s="11" t="s">
        <v>1432</v>
      </c>
      <c r="H1137" s="12">
        <v>18</v>
      </c>
      <c r="I1137" s="11" t="s">
        <v>1433</v>
      </c>
      <c r="J1137" s="193" t="s">
        <v>1442</v>
      </c>
      <c r="K1137" s="17" t="s">
        <v>233</v>
      </c>
      <c r="L1137" s="17" t="s">
        <v>233</v>
      </c>
      <c r="M1137" s="231">
        <v>32</v>
      </c>
      <c r="N1137" s="231">
        <v>32</v>
      </c>
      <c r="O1137" s="231">
        <v>32</v>
      </c>
      <c r="P1137" s="231" t="s">
        <v>239</v>
      </c>
      <c r="Q1137" s="231">
        <v>32</v>
      </c>
      <c r="R1137" s="231" t="s">
        <v>239</v>
      </c>
      <c r="S1137" s="231">
        <v>32</v>
      </c>
      <c r="T1137" s="231" t="s">
        <v>239</v>
      </c>
      <c r="U1137" s="231">
        <v>32</v>
      </c>
      <c r="V1137" s="231" t="s">
        <v>239</v>
      </c>
      <c r="W1137" s="231">
        <v>32</v>
      </c>
      <c r="X1137" s="231" t="s">
        <v>239</v>
      </c>
      <c r="Y1137" s="231">
        <v>32</v>
      </c>
      <c r="Z1137" s="231" t="s">
        <v>239</v>
      </c>
      <c r="AA1137" s="231">
        <v>32</v>
      </c>
      <c r="AB1137" s="231" t="s">
        <v>239</v>
      </c>
      <c r="AC1137" s="231">
        <v>32</v>
      </c>
      <c r="AD1137" s="231" t="s">
        <v>239</v>
      </c>
      <c r="AE1137" s="231">
        <v>32</v>
      </c>
      <c r="AF1137" s="231" t="s">
        <v>239</v>
      </c>
      <c r="AG1137" s="231">
        <v>32</v>
      </c>
      <c r="AH1137" s="231" t="s">
        <v>239</v>
      </c>
      <c r="AI1137" s="231">
        <v>32</v>
      </c>
      <c r="AJ1137" s="231" t="s">
        <v>239</v>
      </c>
      <c r="AK1137" s="231">
        <v>32</v>
      </c>
      <c r="AL1137" s="232" t="s">
        <v>239</v>
      </c>
      <c r="AM1137" s="232">
        <v>0</v>
      </c>
    </row>
    <row r="1138" spans="1:39" ht="15.75" outlineLevel="1">
      <c r="A1138" s="412"/>
      <c r="B1138" s="10">
        <v>129564</v>
      </c>
      <c r="C1138" s="218" t="s">
        <v>1489</v>
      </c>
      <c r="D1138" s="218" t="s">
        <v>1490</v>
      </c>
      <c r="E1138" s="23" t="s">
        <v>138</v>
      </c>
      <c r="F1138" s="17" t="s">
        <v>45</v>
      </c>
      <c r="G1138" s="11" t="s">
        <v>1432</v>
      </c>
      <c r="H1138" s="12">
        <v>17</v>
      </c>
      <c r="I1138" s="11" t="s">
        <v>1433</v>
      </c>
      <c r="J1138" s="193" t="s">
        <v>1460</v>
      </c>
      <c r="K1138" s="17" t="s">
        <v>233</v>
      </c>
      <c r="L1138" s="17" t="s">
        <v>233</v>
      </c>
      <c r="M1138" s="231">
        <v>6612</v>
      </c>
      <c r="N1138" s="232">
        <v>6531.7303199999997</v>
      </c>
      <c r="O1138" s="132">
        <v>170</v>
      </c>
      <c r="P1138" s="231" t="s">
        <v>239</v>
      </c>
      <c r="Q1138" s="232">
        <v>170</v>
      </c>
      <c r="R1138" s="231" t="s">
        <v>239</v>
      </c>
      <c r="S1138" s="232">
        <v>170</v>
      </c>
      <c r="T1138" s="231" t="s">
        <v>239</v>
      </c>
      <c r="U1138" s="232">
        <v>170</v>
      </c>
      <c r="V1138" s="230" t="s">
        <v>239</v>
      </c>
      <c r="W1138" s="232">
        <v>270</v>
      </c>
      <c r="X1138" s="231" t="s">
        <v>239</v>
      </c>
      <c r="Y1138" s="232">
        <v>270</v>
      </c>
      <c r="Z1138" s="231" t="s">
        <v>239</v>
      </c>
      <c r="AA1138" s="232">
        <v>270</v>
      </c>
      <c r="AB1138" s="231" t="s">
        <v>239</v>
      </c>
      <c r="AC1138" s="232">
        <v>170</v>
      </c>
      <c r="AD1138" s="231" t="s">
        <v>239</v>
      </c>
      <c r="AE1138" s="232">
        <v>120</v>
      </c>
      <c r="AF1138" s="231" t="s">
        <v>239</v>
      </c>
      <c r="AG1138" s="232">
        <v>120</v>
      </c>
      <c r="AH1138" s="231" t="s">
        <v>239</v>
      </c>
      <c r="AI1138" s="232">
        <v>120</v>
      </c>
      <c r="AJ1138" s="231" t="s">
        <v>239</v>
      </c>
      <c r="AK1138" s="232">
        <v>120</v>
      </c>
      <c r="AL1138" s="232" t="s">
        <v>239</v>
      </c>
      <c r="AM1138" s="232">
        <v>2140</v>
      </c>
    </row>
    <row r="1139" spans="1:39" ht="15.75" outlineLevel="1">
      <c r="A1139" s="411">
        <v>565</v>
      </c>
      <c r="B1139" s="10">
        <v>129565</v>
      </c>
      <c r="C1139" s="218" t="s">
        <v>1489</v>
      </c>
      <c r="D1139" s="218" t="s">
        <v>1490</v>
      </c>
      <c r="E1139" s="23" t="s">
        <v>44</v>
      </c>
      <c r="F1139" s="17" t="s">
        <v>45</v>
      </c>
      <c r="G1139" s="11" t="s">
        <v>1432</v>
      </c>
      <c r="H1139" s="12">
        <v>28</v>
      </c>
      <c r="I1139" s="11" t="s">
        <v>1433</v>
      </c>
      <c r="J1139" s="193" t="s">
        <v>1451</v>
      </c>
      <c r="K1139" s="17" t="s">
        <v>233</v>
      </c>
      <c r="L1139" s="17" t="s">
        <v>233</v>
      </c>
      <c r="M1139" s="231">
        <v>18</v>
      </c>
      <c r="N1139" s="231">
        <v>18</v>
      </c>
      <c r="O1139" s="231">
        <v>18</v>
      </c>
      <c r="P1139" s="231" t="s">
        <v>239</v>
      </c>
      <c r="Q1139" s="231">
        <v>18</v>
      </c>
      <c r="R1139" s="231" t="s">
        <v>239</v>
      </c>
      <c r="S1139" s="231">
        <v>18</v>
      </c>
      <c r="T1139" s="231" t="s">
        <v>239</v>
      </c>
      <c r="U1139" s="231">
        <v>18</v>
      </c>
      <c r="V1139" s="231" t="s">
        <v>239</v>
      </c>
      <c r="W1139" s="231">
        <v>18</v>
      </c>
      <c r="X1139" s="231" t="s">
        <v>239</v>
      </c>
      <c r="Y1139" s="231">
        <v>18</v>
      </c>
      <c r="Z1139" s="231" t="s">
        <v>239</v>
      </c>
      <c r="AA1139" s="231">
        <v>18</v>
      </c>
      <c r="AB1139" s="231" t="s">
        <v>239</v>
      </c>
      <c r="AC1139" s="231">
        <v>18</v>
      </c>
      <c r="AD1139" s="231" t="s">
        <v>239</v>
      </c>
      <c r="AE1139" s="231">
        <v>18</v>
      </c>
      <c r="AF1139" s="231" t="s">
        <v>239</v>
      </c>
      <c r="AG1139" s="231">
        <v>18</v>
      </c>
      <c r="AH1139" s="231" t="s">
        <v>239</v>
      </c>
      <c r="AI1139" s="231">
        <v>18</v>
      </c>
      <c r="AJ1139" s="231" t="s">
        <v>239</v>
      </c>
      <c r="AK1139" s="231">
        <v>18</v>
      </c>
      <c r="AL1139" s="232" t="s">
        <v>239</v>
      </c>
      <c r="AM1139" s="232">
        <v>0</v>
      </c>
    </row>
    <row r="1140" spans="1:39" ht="15.75" outlineLevel="1">
      <c r="A1140" s="412"/>
      <c r="B1140" s="10">
        <v>129565</v>
      </c>
      <c r="C1140" s="218" t="s">
        <v>1489</v>
      </c>
      <c r="D1140" s="218" t="s">
        <v>1490</v>
      </c>
      <c r="E1140" s="23" t="s">
        <v>44</v>
      </c>
      <c r="F1140" s="17" t="s">
        <v>45</v>
      </c>
      <c r="G1140" s="11" t="s">
        <v>1432</v>
      </c>
      <c r="H1140" s="12">
        <v>33</v>
      </c>
      <c r="I1140" s="11" t="s">
        <v>1433</v>
      </c>
      <c r="J1140" s="193" t="s">
        <v>208</v>
      </c>
      <c r="K1140" s="17" t="s">
        <v>233</v>
      </c>
      <c r="L1140" s="17" t="s">
        <v>233</v>
      </c>
      <c r="M1140" s="231">
        <v>3004</v>
      </c>
      <c r="N1140" s="232">
        <v>2967.5314399999997</v>
      </c>
      <c r="O1140" s="132">
        <v>379</v>
      </c>
      <c r="P1140" s="231" t="s">
        <v>239</v>
      </c>
      <c r="Q1140" s="232">
        <v>379</v>
      </c>
      <c r="R1140" s="231" t="s">
        <v>239</v>
      </c>
      <c r="S1140" s="232">
        <v>400</v>
      </c>
      <c r="T1140" s="231" t="s">
        <v>239</v>
      </c>
      <c r="U1140" s="232">
        <v>0</v>
      </c>
      <c r="V1140" s="231" t="s">
        <v>239</v>
      </c>
      <c r="W1140" s="232">
        <v>0</v>
      </c>
      <c r="X1140" s="231" t="s">
        <v>239</v>
      </c>
      <c r="Y1140" s="232">
        <v>398</v>
      </c>
      <c r="Z1140" s="231" t="s">
        <v>239</v>
      </c>
      <c r="AA1140" s="232">
        <v>502</v>
      </c>
      <c r="AB1140" s="231" t="s">
        <v>239</v>
      </c>
      <c r="AC1140" s="232">
        <v>502</v>
      </c>
      <c r="AD1140" s="231" t="s">
        <v>239</v>
      </c>
      <c r="AE1140" s="232">
        <v>505</v>
      </c>
      <c r="AF1140" s="231" t="s">
        <v>239</v>
      </c>
      <c r="AG1140" s="232">
        <v>500</v>
      </c>
      <c r="AH1140" s="231" t="s">
        <v>239</v>
      </c>
      <c r="AI1140" s="232">
        <v>500</v>
      </c>
      <c r="AJ1140" s="231" t="s">
        <v>239</v>
      </c>
      <c r="AK1140" s="232">
        <v>623</v>
      </c>
      <c r="AL1140" s="232" t="s">
        <v>239</v>
      </c>
      <c r="AM1140" s="232">
        <v>4688</v>
      </c>
    </row>
    <row r="1141" spans="1:39" ht="15.75" outlineLevel="1">
      <c r="A1141" s="411">
        <v>566</v>
      </c>
      <c r="B1141" s="10">
        <v>129566</v>
      </c>
      <c r="C1141" s="218" t="s">
        <v>1489</v>
      </c>
      <c r="D1141" s="218" t="s">
        <v>1490</v>
      </c>
      <c r="E1141" s="23" t="s">
        <v>138</v>
      </c>
      <c r="F1141" s="17" t="s">
        <v>45</v>
      </c>
      <c r="G1141" s="11" t="s">
        <v>1432</v>
      </c>
      <c r="H1141" s="12">
        <v>25</v>
      </c>
      <c r="I1141" s="11" t="s">
        <v>1433</v>
      </c>
      <c r="J1141" s="193" t="s">
        <v>1452</v>
      </c>
      <c r="K1141" s="17" t="s">
        <v>233</v>
      </c>
      <c r="L1141" s="17" t="s">
        <v>233</v>
      </c>
      <c r="M1141" s="231">
        <v>18</v>
      </c>
      <c r="N1141" s="231">
        <v>18</v>
      </c>
      <c r="O1141" s="231">
        <v>18</v>
      </c>
      <c r="P1141" s="231" t="s">
        <v>239</v>
      </c>
      <c r="Q1141" s="231">
        <v>18</v>
      </c>
      <c r="R1141" s="231" t="s">
        <v>239</v>
      </c>
      <c r="S1141" s="231">
        <v>18</v>
      </c>
      <c r="T1141" s="231" t="s">
        <v>239</v>
      </c>
      <c r="U1141" s="231">
        <v>18</v>
      </c>
      <c r="V1141" s="230" t="s">
        <v>239</v>
      </c>
      <c r="W1141" s="231">
        <v>18</v>
      </c>
      <c r="X1141" s="231" t="s">
        <v>239</v>
      </c>
      <c r="Y1141" s="231">
        <v>18</v>
      </c>
      <c r="Z1141" s="231" t="s">
        <v>239</v>
      </c>
      <c r="AA1141" s="231">
        <v>18</v>
      </c>
      <c r="AB1141" s="231" t="s">
        <v>239</v>
      </c>
      <c r="AC1141" s="231">
        <v>18</v>
      </c>
      <c r="AD1141" s="231" t="s">
        <v>239</v>
      </c>
      <c r="AE1141" s="231">
        <v>18</v>
      </c>
      <c r="AF1141" s="231" t="s">
        <v>239</v>
      </c>
      <c r="AG1141" s="231">
        <v>18</v>
      </c>
      <c r="AH1141" s="231" t="s">
        <v>239</v>
      </c>
      <c r="AI1141" s="231">
        <v>18</v>
      </c>
      <c r="AJ1141" s="231" t="s">
        <v>239</v>
      </c>
      <c r="AK1141" s="231">
        <v>18</v>
      </c>
      <c r="AL1141" s="232" t="s">
        <v>239</v>
      </c>
      <c r="AM1141" s="232">
        <v>0</v>
      </c>
    </row>
    <row r="1142" spans="1:39" ht="15.75" outlineLevel="1">
      <c r="A1142" s="412"/>
      <c r="B1142" s="10">
        <v>129566</v>
      </c>
      <c r="C1142" s="218" t="s">
        <v>1489</v>
      </c>
      <c r="D1142" s="218" t="s">
        <v>1490</v>
      </c>
      <c r="E1142" s="23" t="s">
        <v>44</v>
      </c>
      <c r="F1142" s="17" t="s">
        <v>45</v>
      </c>
      <c r="G1142" s="11" t="s">
        <v>1432</v>
      </c>
      <c r="H1142" s="12">
        <v>24</v>
      </c>
      <c r="I1142" s="11" t="s">
        <v>1433</v>
      </c>
      <c r="J1142" s="193" t="s">
        <v>216</v>
      </c>
      <c r="K1142" s="17" t="s">
        <v>233</v>
      </c>
      <c r="L1142" s="17" t="s">
        <v>233</v>
      </c>
      <c r="M1142" s="231">
        <v>0</v>
      </c>
      <c r="N1142" s="232">
        <v>0</v>
      </c>
      <c r="O1142" s="132">
        <v>0</v>
      </c>
      <c r="P1142" s="231" t="s">
        <v>239</v>
      </c>
      <c r="Q1142" s="232">
        <v>0</v>
      </c>
      <c r="R1142" s="231" t="s">
        <v>239</v>
      </c>
      <c r="S1142" s="232">
        <v>0</v>
      </c>
      <c r="T1142" s="231" t="s">
        <v>239</v>
      </c>
      <c r="U1142" s="232">
        <v>0</v>
      </c>
      <c r="V1142" s="231" t="s">
        <v>239</v>
      </c>
      <c r="W1142" s="232">
        <v>0</v>
      </c>
      <c r="X1142" s="231" t="s">
        <v>239</v>
      </c>
      <c r="Y1142" s="232">
        <v>0</v>
      </c>
      <c r="Z1142" s="231" t="s">
        <v>239</v>
      </c>
      <c r="AA1142" s="232">
        <v>0</v>
      </c>
      <c r="AB1142" s="231" t="s">
        <v>239</v>
      </c>
      <c r="AC1142" s="232">
        <v>0</v>
      </c>
      <c r="AD1142" s="231" t="s">
        <v>239</v>
      </c>
      <c r="AE1142" s="232">
        <v>0</v>
      </c>
      <c r="AF1142" s="231" t="s">
        <v>239</v>
      </c>
      <c r="AG1142" s="232">
        <v>0</v>
      </c>
      <c r="AH1142" s="231" t="s">
        <v>239</v>
      </c>
      <c r="AI1142" s="232">
        <v>0</v>
      </c>
      <c r="AJ1142" s="231" t="s">
        <v>239</v>
      </c>
      <c r="AK1142" s="232">
        <v>0</v>
      </c>
      <c r="AL1142" s="232" t="s">
        <v>239</v>
      </c>
      <c r="AM1142" s="232">
        <v>0</v>
      </c>
    </row>
    <row r="1143" spans="1:39" ht="15.75" outlineLevel="1">
      <c r="A1143" s="411">
        <v>567</v>
      </c>
      <c r="B1143" s="10">
        <v>129567</v>
      </c>
      <c r="C1143" s="218" t="s">
        <v>1489</v>
      </c>
      <c r="D1143" s="218" t="s">
        <v>1490</v>
      </c>
      <c r="E1143" s="23" t="s">
        <v>138</v>
      </c>
      <c r="F1143" s="17" t="s">
        <v>45</v>
      </c>
      <c r="G1143" s="11" t="s">
        <v>1432</v>
      </c>
      <c r="H1143" s="12">
        <v>10</v>
      </c>
      <c r="I1143" s="11" t="s">
        <v>1433</v>
      </c>
      <c r="J1143" s="193" t="s">
        <v>1453</v>
      </c>
      <c r="K1143" s="17" t="s">
        <v>233</v>
      </c>
      <c r="L1143" s="17" t="s">
        <v>233</v>
      </c>
      <c r="M1143" s="231">
        <v>17</v>
      </c>
      <c r="N1143" s="231">
        <v>17</v>
      </c>
      <c r="O1143" s="231">
        <v>17</v>
      </c>
      <c r="P1143" s="231" t="s">
        <v>239</v>
      </c>
      <c r="Q1143" s="231">
        <v>17</v>
      </c>
      <c r="R1143" s="231" t="s">
        <v>239</v>
      </c>
      <c r="S1143" s="231">
        <v>17</v>
      </c>
      <c r="T1143" s="231" t="s">
        <v>239</v>
      </c>
      <c r="U1143" s="231">
        <v>17</v>
      </c>
      <c r="V1143" s="231" t="s">
        <v>239</v>
      </c>
      <c r="W1143" s="231">
        <v>17</v>
      </c>
      <c r="X1143" s="231" t="s">
        <v>239</v>
      </c>
      <c r="Y1143" s="231">
        <v>17</v>
      </c>
      <c r="Z1143" s="231" t="s">
        <v>239</v>
      </c>
      <c r="AA1143" s="231">
        <v>17</v>
      </c>
      <c r="AB1143" s="231" t="s">
        <v>239</v>
      </c>
      <c r="AC1143" s="231">
        <v>17</v>
      </c>
      <c r="AD1143" s="231" t="s">
        <v>239</v>
      </c>
      <c r="AE1143" s="231">
        <v>17</v>
      </c>
      <c r="AF1143" s="231" t="s">
        <v>239</v>
      </c>
      <c r="AG1143" s="231">
        <v>17</v>
      </c>
      <c r="AH1143" s="231" t="s">
        <v>239</v>
      </c>
      <c r="AI1143" s="231">
        <v>17</v>
      </c>
      <c r="AJ1143" s="231" t="s">
        <v>239</v>
      </c>
      <c r="AK1143" s="231">
        <v>17</v>
      </c>
      <c r="AL1143" s="232" t="s">
        <v>239</v>
      </c>
      <c r="AM1143" s="232">
        <v>0</v>
      </c>
    </row>
    <row r="1144" spans="1:39" ht="15.75" outlineLevel="1">
      <c r="A1144" s="412"/>
      <c r="B1144" s="10">
        <v>129567</v>
      </c>
      <c r="C1144" s="218" t="s">
        <v>1489</v>
      </c>
      <c r="D1144" s="218" t="s">
        <v>1490</v>
      </c>
      <c r="E1144" s="23" t="s">
        <v>44</v>
      </c>
      <c r="F1144" s="17" t="s">
        <v>45</v>
      </c>
      <c r="G1144" s="11" t="s">
        <v>1432</v>
      </c>
      <c r="H1144" s="12">
        <v>17</v>
      </c>
      <c r="I1144" s="11" t="s">
        <v>1433</v>
      </c>
      <c r="J1144" s="193" t="s">
        <v>1451</v>
      </c>
      <c r="K1144" s="17" t="s">
        <v>233</v>
      </c>
      <c r="L1144" s="17" t="s">
        <v>233</v>
      </c>
      <c r="M1144" s="231">
        <v>21578</v>
      </c>
      <c r="N1144" s="232">
        <v>21316.043079999999</v>
      </c>
      <c r="O1144" s="132">
        <v>2774</v>
      </c>
      <c r="P1144" s="231" t="s">
        <v>239</v>
      </c>
      <c r="Q1144" s="232">
        <v>2774</v>
      </c>
      <c r="R1144" s="231" t="s">
        <v>239</v>
      </c>
      <c r="S1144" s="232">
        <v>2427</v>
      </c>
      <c r="T1144" s="231" t="s">
        <v>239</v>
      </c>
      <c r="U1144" s="232">
        <v>2628</v>
      </c>
      <c r="V1144" s="230" t="s">
        <v>239</v>
      </c>
      <c r="W1144" s="232">
        <v>2595</v>
      </c>
      <c r="X1144" s="231" t="s">
        <v>239</v>
      </c>
      <c r="Y1144" s="232">
        <v>2473</v>
      </c>
      <c r="Z1144" s="231" t="s">
        <v>239</v>
      </c>
      <c r="AA1144" s="232">
        <v>2429</v>
      </c>
      <c r="AB1144" s="231" t="s">
        <v>239</v>
      </c>
      <c r="AC1144" s="232">
        <v>2958</v>
      </c>
      <c r="AD1144" s="231" t="s">
        <v>239</v>
      </c>
      <c r="AE1144" s="232">
        <v>2426</v>
      </c>
      <c r="AF1144" s="231" t="s">
        <v>239</v>
      </c>
      <c r="AG1144" s="232">
        <v>2653</v>
      </c>
      <c r="AH1144" s="231" t="s">
        <v>239</v>
      </c>
      <c r="AI1144" s="232">
        <v>2139</v>
      </c>
      <c r="AJ1144" s="231" t="s">
        <v>239</v>
      </c>
      <c r="AK1144" s="232">
        <v>2607</v>
      </c>
      <c r="AL1144" s="232" t="s">
        <v>239</v>
      </c>
      <c r="AM1144" s="232">
        <v>30883</v>
      </c>
    </row>
    <row r="1145" spans="1:39" ht="15.75" outlineLevel="1">
      <c r="A1145" s="411">
        <v>568</v>
      </c>
      <c r="B1145" s="10">
        <v>129568</v>
      </c>
      <c r="C1145" s="218" t="s">
        <v>1489</v>
      </c>
      <c r="D1145" s="218" t="s">
        <v>1490</v>
      </c>
      <c r="E1145" s="23" t="s">
        <v>44</v>
      </c>
      <c r="F1145" s="17" t="s">
        <v>45</v>
      </c>
      <c r="G1145" s="11" t="s">
        <v>1432</v>
      </c>
      <c r="H1145" s="12">
        <v>32</v>
      </c>
      <c r="I1145" s="11" t="s">
        <v>1433</v>
      </c>
      <c r="J1145" s="193" t="s">
        <v>208</v>
      </c>
      <c r="K1145" s="17" t="s">
        <v>233</v>
      </c>
      <c r="L1145" s="17" t="s">
        <v>233</v>
      </c>
      <c r="M1145" s="231">
        <v>17</v>
      </c>
      <c r="N1145" s="231">
        <v>17</v>
      </c>
      <c r="O1145" s="231">
        <v>17</v>
      </c>
      <c r="P1145" s="231" t="s">
        <v>239</v>
      </c>
      <c r="Q1145" s="231">
        <v>17</v>
      </c>
      <c r="R1145" s="231" t="s">
        <v>239</v>
      </c>
      <c r="S1145" s="231">
        <v>17</v>
      </c>
      <c r="T1145" s="231" t="s">
        <v>239</v>
      </c>
      <c r="U1145" s="231">
        <v>17</v>
      </c>
      <c r="V1145" s="231" t="s">
        <v>239</v>
      </c>
      <c r="W1145" s="231">
        <v>17</v>
      </c>
      <c r="X1145" s="231" t="s">
        <v>239</v>
      </c>
      <c r="Y1145" s="231">
        <v>17</v>
      </c>
      <c r="Z1145" s="231" t="s">
        <v>239</v>
      </c>
      <c r="AA1145" s="231">
        <v>17</v>
      </c>
      <c r="AB1145" s="231" t="s">
        <v>239</v>
      </c>
      <c r="AC1145" s="231">
        <v>17</v>
      </c>
      <c r="AD1145" s="231" t="s">
        <v>239</v>
      </c>
      <c r="AE1145" s="231">
        <v>17</v>
      </c>
      <c r="AF1145" s="231" t="s">
        <v>239</v>
      </c>
      <c r="AG1145" s="231">
        <v>17</v>
      </c>
      <c r="AH1145" s="231" t="s">
        <v>239</v>
      </c>
      <c r="AI1145" s="231">
        <v>17</v>
      </c>
      <c r="AJ1145" s="231" t="s">
        <v>239</v>
      </c>
      <c r="AK1145" s="231">
        <v>17</v>
      </c>
      <c r="AL1145" s="232" t="s">
        <v>239</v>
      </c>
      <c r="AM1145" s="232">
        <v>0</v>
      </c>
    </row>
    <row r="1146" spans="1:39" ht="15.75" outlineLevel="1">
      <c r="A1146" s="412"/>
      <c r="B1146" s="10">
        <v>129568</v>
      </c>
      <c r="C1146" s="218" t="s">
        <v>1489</v>
      </c>
      <c r="D1146" s="218" t="s">
        <v>1490</v>
      </c>
      <c r="E1146" s="23" t="s">
        <v>138</v>
      </c>
      <c r="F1146" s="17" t="s">
        <v>45</v>
      </c>
      <c r="G1146" s="11" t="s">
        <v>1432</v>
      </c>
      <c r="H1146" s="12">
        <v>8</v>
      </c>
      <c r="I1146" s="11" t="s">
        <v>1433</v>
      </c>
      <c r="J1146" s="193" t="s">
        <v>1452</v>
      </c>
      <c r="K1146" s="17" t="s">
        <v>233</v>
      </c>
      <c r="L1146" s="17" t="s">
        <v>233</v>
      </c>
      <c r="M1146" s="231">
        <v>0</v>
      </c>
      <c r="N1146" s="232">
        <v>0</v>
      </c>
      <c r="O1146" s="132">
        <v>0</v>
      </c>
      <c r="P1146" s="231" t="s">
        <v>239</v>
      </c>
      <c r="Q1146" s="232">
        <v>0</v>
      </c>
      <c r="R1146" s="231" t="s">
        <v>239</v>
      </c>
      <c r="S1146" s="232">
        <v>0</v>
      </c>
      <c r="T1146" s="231" t="s">
        <v>239</v>
      </c>
      <c r="U1146" s="232">
        <v>0</v>
      </c>
      <c r="V1146" s="231" t="s">
        <v>239</v>
      </c>
      <c r="W1146" s="232">
        <v>0</v>
      </c>
      <c r="X1146" s="231" t="s">
        <v>239</v>
      </c>
      <c r="Y1146" s="232">
        <v>0</v>
      </c>
      <c r="Z1146" s="231" t="s">
        <v>239</v>
      </c>
      <c r="AA1146" s="232">
        <v>0</v>
      </c>
      <c r="AB1146" s="231" t="s">
        <v>239</v>
      </c>
      <c r="AC1146" s="232">
        <v>0</v>
      </c>
      <c r="AD1146" s="231" t="s">
        <v>239</v>
      </c>
      <c r="AE1146" s="232">
        <v>0</v>
      </c>
      <c r="AF1146" s="231" t="s">
        <v>239</v>
      </c>
      <c r="AG1146" s="232">
        <v>0</v>
      </c>
      <c r="AH1146" s="231" t="s">
        <v>239</v>
      </c>
      <c r="AI1146" s="232">
        <v>0</v>
      </c>
      <c r="AJ1146" s="231" t="s">
        <v>239</v>
      </c>
      <c r="AK1146" s="232">
        <v>0</v>
      </c>
      <c r="AL1146" s="232" t="s">
        <v>239</v>
      </c>
      <c r="AM1146" s="232">
        <v>0</v>
      </c>
    </row>
    <row r="1147" spans="1:39" ht="15.75" outlineLevel="1">
      <c r="A1147" s="411">
        <v>569</v>
      </c>
      <c r="B1147" s="10">
        <v>129569</v>
      </c>
      <c r="C1147" s="218" t="s">
        <v>1489</v>
      </c>
      <c r="D1147" s="218" t="s">
        <v>1490</v>
      </c>
      <c r="E1147" s="23" t="s">
        <v>44</v>
      </c>
      <c r="F1147" s="17" t="s">
        <v>45</v>
      </c>
      <c r="G1147" s="11" t="s">
        <v>1432</v>
      </c>
      <c r="H1147" s="12">
        <v>12</v>
      </c>
      <c r="I1147" s="11" t="s">
        <v>1433</v>
      </c>
      <c r="J1147" s="193" t="s">
        <v>216</v>
      </c>
      <c r="K1147" s="17" t="s">
        <v>233</v>
      </c>
      <c r="L1147" s="17" t="s">
        <v>233</v>
      </c>
      <c r="M1147" s="231">
        <v>17</v>
      </c>
      <c r="N1147" s="231">
        <v>17</v>
      </c>
      <c r="O1147" s="231">
        <v>17</v>
      </c>
      <c r="P1147" s="231" t="s">
        <v>239</v>
      </c>
      <c r="Q1147" s="231">
        <v>17</v>
      </c>
      <c r="R1147" s="231" t="s">
        <v>239</v>
      </c>
      <c r="S1147" s="231">
        <v>17</v>
      </c>
      <c r="T1147" s="231" t="s">
        <v>239</v>
      </c>
      <c r="U1147" s="231">
        <v>17</v>
      </c>
      <c r="V1147" s="230" t="s">
        <v>239</v>
      </c>
      <c r="W1147" s="231">
        <v>17</v>
      </c>
      <c r="X1147" s="231" t="s">
        <v>239</v>
      </c>
      <c r="Y1147" s="231">
        <v>17</v>
      </c>
      <c r="Z1147" s="231" t="s">
        <v>239</v>
      </c>
      <c r="AA1147" s="231">
        <v>17</v>
      </c>
      <c r="AB1147" s="231" t="s">
        <v>239</v>
      </c>
      <c r="AC1147" s="231">
        <v>17</v>
      </c>
      <c r="AD1147" s="231" t="s">
        <v>239</v>
      </c>
      <c r="AE1147" s="231">
        <v>17</v>
      </c>
      <c r="AF1147" s="231" t="s">
        <v>239</v>
      </c>
      <c r="AG1147" s="231">
        <v>17</v>
      </c>
      <c r="AH1147" s="231" t="s">
        <v>239</v>
      </c>
      <c r="AI1147" s="231">
        <v>17</v>
      </c>
      <c r="AJ1147" s="231" t="s">
        <v>239</v>
      </c>
      <c r="AK1147" s="231">
        <v>17</v>
      </c>
      <c r="AL1147" s="232" t="s">
        <v>239</v>
      </c>
      <c r="AM1147" s="232">
        <v>0</v>
      </c>
    </row>
    <row r="1148" spans="1:39" ht="15.75" outlineLevel="1">
      <c r="A1148" s="412"/>
      <c r="B1148" s="10">
        <v>129569</v>
      </c>
      <c r="C1148" s="218" t="s">
        <v>1489</v>
      </c>
      <c r="D1148" s="218" t="s">
        <v>1490</v>
      </c>
      <c r="E1148" s="23" t="s">
        <v>138</v>
      </c>
      <c r="F1148" s="17" t="s">
        <v>45</v>
      </c>
      <c r="G1148" s="11" t="s">
        <v>1432</v>
      </c>
      <c r="H1148" s="12">
        <v>18</v>
      </c>
      <c r="I1148" s="11" t="s">
        <v>1433</v>
      </c>
      <c r="J1148" s="193" t="s">
        <v>1453</v>
      </c>
      <c r="K1148" s="17" t="s">
        <v>233</v>
      </c>
      <c r="L1148" s="17" t="s">
        <v>233</v>
      </c>
      <c r="M1148" s="231">
        <v>0</v>
      </c>
      <c r="N1148" s="232">
        <v>0</v>
      </c>
      <c r="O1148" s="132">
        <v>0</v>
      </c>
      <c r="P1148" s="231" t="s">
        <v>239</v>
      </c>
      <c r="Q1148" s="232">
        <v>0</v>
      </c>
      <c r="R1148" s="231" t="s">
        <v>239</v>
      </c>
      <c r="S1148" s="232">
        <v>0</v>
      </c>
      <c r="T1148" s="231" t="s">
        <v>239</v>
      </c>
      <c r="U1148" s="232">
        <v>0</v>
      </c>
      <c r="V1148" s="231" t="s">
        <v>239</v>
      </c>
      <c r="W1148" s="232">
        <v>0</v>
      </c>
      <c r="X1148" s="231" t="s">
        <v>239</v>
      </c>
      <c r="Y1148" s="232">
        <v>0</v>
      </c>
      <c r="Z1148" s="231" t="s">
        <v>239</v>
      </c>
      <c r="AA1148" s="232">
        <v>0</v>
      </c>
      <c r="AB1148" s="231" t="s">
        <v>239</v>
      </c>
      <c r="AC1148" s="232">
        <v>0</v>
      </c>
      <c r="AD1148" s="231" t="s">
        <v>239</v>
      </c>
      <c r="AE1148" s="232">
        <v>0</v>
      </c>
      <c r="AF1148" s="231" t="s">
        <v>239</v>
      </c>
      <c r="AG1148" s="232">
        <v>0</v>
      </c>
      <c r="AH1148" s="231" t="s">
        <v>239</v>
      </c>
      <c r="AI1148" s="232">
        <v>0</v>
      </c>
      <c r="AJ1148" s="231" t="s">
        <v>239</v>
      </c>
      <c r="AK1148" s="232">
        <v>0</v>
      </c>
      <c r="AL1148" s="232" t="s">
        <v>239</v>
      </c>
      <c r="AM1148" s="232">
        <v>0</v>
      </c>
    </row>
    <row r="1149" spans="1:39" ht="15.75" outlineLevel="1">
      <c r="A1149" s="411">
        <v>570</v>
      </c>
      <c r="B1149" s="10">
        <v>129570</v>
      </c>
      <c r="C1149" s="218" t="s">
        <v>1489</v>
      </c>
      <c r="D1149" s="218" t="s">
        <v>1490</v>
      </c>
      <c r="E1149" s="23" t="s">
        <v>44</v>
      </c>
      <c r="F1149" s="17" t="s">
        <v>45</v>
      </c>
      <c r="G1149" s="11" t="s">
        <v>1432</v>
      </c>
      <c r="H1149" s="12">
        <v>17</v>
      </c>
      <c r="I1149" s="11" t="s">
        <v>1433</v>
      </c>
      <c r="J1149" s="193" t="s">
        <v>1454</v>
      </c>
      <c r="K1149" s="17" t="s">
        <v>233</v>
      </c>
      <c r="L1149" s="17" t="s">
        <v>233</v>
      </c>
      <c r="M1149" s="231">
        <v>17</v>
      </c>
      <c r="N1149" s="231">
        <v>17</v>
      </c>
      <c r="O1149" s="231">
        <v>17</v>
      </c>
      <c r="P1149" s="231" t="s">
        <v>239</v>
      </c>
      <c r="Q1149" s="231">
        <v>17</v>
      </c>
      <c r="R1149" s="231" t="s">
        <v>239</v>
      </c>
      <c r="S1149" s="231">
        <v>17</v>
      </c>
      <c r="T1149" s="231" t="s">
        <v>239</v>
      </c>
      <c r="U1149" s="231">
        <v>17</v>
      </c>
      <c r="V1149" s="231" t="s">
        <v>239</v>
      </c>
      <c r="W1149" s="231">
        <v>17</v>
      </c>
      <c r="X1149" s="231" t="s">
        <v>239</v>
      </c>
      <c r="Y1149" s="231">
        <v>17</v>
      </c>
      <c r="Z1149" s="231" t="s">
        <v>239</v>
      </c>
      <c r="AA1149" s="231">
        <v>17</v>
      </c>
      <c r="AB1149" s="231" t="s">
        <v>239</v>
      </c>
      <c r="AC1149" s="231">
        <v>17</v>
      </c>
      <c r="AD1149" s="231" t="s">
        <v>239</v>
      </c>
      <c r="AE1149" s="231">
        <v>17</v>
      </c>
      <c r="AF1149" s="231" t="s">
        <v>239</v>
      </c>
      <c r="AG1149" s="231">
        <v>17</v>
      </c>
      <c r="AH1149" s="231" t="s">
        <v>239</v>
      </c>
      <c r="AI1149" s="231">
        <v>17</v>
      </c>
      <c r="AJ1149" s="231" t="s">
        <v>239</v>
      </c>
      <c r="AK1149" s="231">
        <v>17</v>
      </c>
      <c r="AL1149" s="232" t="s">
        <v>239</v>
      </c>
      <c r="AM1149" s="232">
        <v>0</v>
      </c>
    </row>
    <row r="1150" spans="1:39" ht="15.75" outlineLevel="1">
      <c r="A1150" s="412"/>
      <c r="B1150" s="10">
        <v>129570</v>
      </c>
      <c r="C1150" s="218" t="s">
        <v>1489</v>
      </c>
      <c r="D1150" s="218" t="s">
        <v>1490</v>
      </c>
      <c r="E1150" s="23" t="s">
        <v>44</v>
      </c>
      <c r="F1150" s="17" t="s">
        <v>45</v>
      </c>
      <c r="G1150" s="11" t="s">
        <v>1432</v>
      </c>
      <c r="H1150" s="12">
        <v>25</v>
      </c>
      <c r="I1150" s="11" t="s">
        <v>1433</v>
      </c>
      <c r="J1150" s="191" t="s">
        <v>216</v>
      </c>
      <c r="K1150" s="17" t="s">
        <v>233</v>
      </c>
      <c r="L1150" s="17" t="s">
        <v>233</v>
      </c>
      <c r="M1150" s="231">
        <v>0</v>
      </c>
      <c r="N1150" s="232">
        <v>0</v>
      </c>
      <c r="O1150" s="132">
        <v>0</v>
      </c>
      <c r="P1150" s="231" t="s">
        <v>239</v>
      </c>
      <c r="Q1150" s="232">
        <v>0</v>
      </c>
      <c r="R1150" s="231" t="s">
        <v>239</v>
      </c>
      <c r="S1150" s="232">
        <v>0</v>
      </c>
      <c r="T1150" s="231" t="s">
        <v>239</v>
      </c>
      <c r="U1150" s="232">
        <v>0</v>
      </c>
      <c r="V1150" s="230" t="s">
        <v>239</v>
      </c>
      <c r="W1150" s="232">
        <v>0</v>
      </c>
      <c r="X1150" s="231" t="s">
        <v>239</v>
      </c>
      <c r="Y1150" s="232">
        <v>0</v>
      </c>
      <c r="Z1150" s="231" t="s">
        <v>239</v>
      </c>
      <c r="AA1150" s="232">
        <v>0</v>
      </c>
      <c r="AB1150" s="231" t="s">
        <v>239</v>
      </c>
      <c r="AC1150" s="232">
        <v>0</v>
      </c>
      <c r="AD1150" s="231" t="s">
        <v>239</v>
      </c>
      <c r="AE1150" s="232">
        <v>0</v>
      </c>
      <c r="AF1150" s="231" t="s">
        <v>239</v>
      </c>
      <c r="AG1150" s="232">
        <v>0</v>
      </c>
      <c r="AH1150" s="231" t="s">
        <v>239</v>
      </c>
      <c r="AI1150" s="232">
        <v>0</v>
      </c>
      <c r="AJ1150" s="231" t="s">
        <v>239</v>
      </c>
      <c r="AK1150" s="232">
        <v>0</v>
      </c>
      <c r="AL1150" s="232" t="s">
        <v>239</v>
      </c>
      <c r="AM1150" s="232">
        <v>0</v>
      </c>
    </row>
    <row r="1151" spans="1:39" ht="15.75" outlineLevel="1">
      <c r="A1151" s="411">
        <v>571</v>
      </c>
      <c r="B1151" s="10">
        <v>129571</v>
      </c>
      <c r="C1151" s="218" t="s">
        <v>1489</v>
      </c>
      <c r="D1151" s="218" t="s">
        <v>1490</v>
      </c>
      <c r="E1151" s="23" t="s">
        <v>138</v>
      </c>
      <c r="F1151" s="17" t="s">
        <v>45</v>
      </c>
      <c r="G1151" s="11" t="s">
        <v>1432</v>
      </c>
      <c r="H1151" s="12">
        <v>13</v>
      </c>
      <c r="I1151" s="11" t="s">
        <v>1433</v>
      </c>
      <c r="J1151" s="192" t="s">
        <v>1434</v>
      </c>
      <c r="K1151" s="17" t="s">
        <v>233</v>
      </c>
      <c r="L1151" s="17" t="s">
        <v>233</v>
      </c>
      <c r="M1151" s="231">
        <v>0</v>
      </c>
      <c r="N1151" s="232">
        <v>0</v>
      </c>
      <c r="O1151" s="132">
        <v>0</v>
      </c>
      <c r="P1151" s="231" t="s">
        <v>239</v>
      </c>
      <c r="Q1151" s="232">
        <v>0</v>
      </c>
      <c r="R1151" s="231" t="s">
        <v>239</v>
      </c>
      <c r="S1151" s="232">
        <v>0</v>
      </c>
      <c r="T1151" s="231" t="s">
        <v>239</v>
      </c>
      <c r="U1151" s="232">
        <v>0</v>
      </c>
      <c r="V1151" s="231" t="s">
        <v>239</v>
      </c>
      <c r="W1151" s="232">
        <v>0</v>
      </c>
      <c r="X1151" s="231" t="s">
        <v>239</v>
      </c>
      <c r="Y1151" s="232">
        <v>0</v>
      </c>
      <c r="Z1151" s="231" t="s">
        <v>239</v>
      </c>
      <c r="AA1151" s="232">
        <v>0</v>
      </c>
      <c r="AB1151" s="231" t="s">
        <v>239</v>
      </c>
      <c r="AC1151" s="232">
        <v>0</v>
      </c>
      <c r="AD1151" s="231" t="s">
        <v>239</v>
      </c>
      <c r="AE1151" s="232">
        <v>0</v>
      </c>
      <c r="AF1151" s="231" t="s">
        <v>239</v>
      </c>
      <c r="AG1151" s="232">
        <v>0</v>
      </c>
      <c r="AH1151" s="231" t="s">
        <v>239</v>
      </c>
      <c r="AI1151" s="232">
        <v>0</v>
      </c>
      <c r="AJ1151" s="231" t="s">
        <v>239</v>
      </c>
      <c r="AK1151" s="232">
        <v>0</v>
      </c>
      <c r="AL1151" s="232" t="s">
        <v>239</v>
      </c>
      <c r="AM1151" s="232">
        <v>0</v>
      </c>
    </row>
    <row r="1152" spans="1:39" ht="15.75" outlineLevel="1">
      <c r="A1152" s="412"/>
      <c r="B1152" s="10">
        <v>129571</v>
      </c>
      <c r="C1152" s="218" t="s">
        <v>1489</v>
      </c>
      <c r="D1152" s="218" t="s">
        <v>1490</v>
      </c>
      <c r="E1152" s="23" t="s">
        <v>44</v>
      </c>
      <c r="F1152" s="17" t="s">
        <v>45</v>
      </c>
      <c r="G1152" s="11" t="s">
        <v>1432</v>
      </c>
      <c r="H1152" s="12">
        <v>5</v>
      </c>
      <c r="I1152" s="11" t="s">
        <v>1433</v>
      </c>
      <c r="J1152" s="192" t="s">
        <v>1480</v>
      </c>
      <c r="K1152" s="17" t="s">
        <v>233</v>
      </c>
      <c r="L1152" s="17" t="s">
        <v>233</v>
      </c>
      <c r="M1152" s="231">
        <v>14213</v>
      </c>
      <c r="N1152" s="232">
        <v>14040.454179999999</v>
      </c>
      <c r="O1152" s="132">
        <v>1313</v>
      </c>
      <c r="P1152" s="231" t="s">
        <v>239</v>
      </c>
      <c r="Q1152" s="232">
        <v>1313</v>
      </c>
      <c r="R1152" s="231" t="s">
        <v>239</v>
      </c>
      <c r="S1152" s="232">
        <v>1000</v>
      </c>
      <c r="T1152" s="231" t="s">
        <v>239</v>
      </c>
      <c r="U1152" s="232">
        <v>255</v>
      </c>
      <c r="V1152" s="231" t="s">
        <v>239</v>
      </c>
      <c r="W1152" s="232">
        <v>299</v>
      </c>
      <c r="X1152" s="231" t="s">
        <v>239</v>
      </c>
      <c r="Y1152" s="232">
        <v>256</v>
      </c>
      <c r="Z1152" s="231" t="s">
        <v>239</v>
      </c>
      <c r="AA1152" s="232">
        <v>658</v>
      </c>
      <c r="AB1152" s="231" t="s">
        <v>239</v>
      </c>
      <c r="AC1152" s="232">
        <v>529</v>
      </c>
      <c r="AD1152" s="231" t="s">
        <v>239</v>
      </c>
      <c r="AE1152" s="232">
        <v>697</v>
      </c>
      <c r="AF1152" s="231" t="s">
        <v>239</v>
      </c>
      <c r="AG1152" s="232">
        <v>293</v>
      </c>
      <c r="AH1152" s="231" t="s">
        <v>239</v>
      </c>
      <c r="AI1152" s="232">
        <v>1537</v>
      </c>
      <c r="AJ1152" s="231" t="s">
        <v>239</v>
      </c>
      <c r="AK1152" s="232">
        <v>1134</v>
      </c>
      <c r="AL1152" s="232" t="s">
        <v>239</v>
      </c>
      <c r="AM1152" s="232">
        <v>9284</v>
      </c>
    </row>
    <row r="1153" spans="1:39" ht="15.75" outlineLevel="1">
      <c r="A1153" s="411">
        <v>572</v>
      </c>
      <c r="B1153" s="10">
        <v>129572</v>
      </c>
      <c r="C1153" s="218" t="s">
        <v>1489</v>
      </c>
      <c r="D1153" s="218" t="s">
        <v>1490</v>
      </c>
      <c r="E1153" s="23" t="s">
        <v>138</v>
      </c>
      <c r="F1153" s="17" t="s">
        <v>45</v>
      </c>
      <c r="G1153" s="11" t="s">
        <v>1432</v>
      </c>
      <c r="H1153" s="12">
        <v>4</v>
      </c>
      <c r="I1153" s="11" t="s">
        <v>1433</v>
      </c>
      <c r="J1153" s="192" t="s">
        <v>1452</v>
      </c>
      <c r="K1153" s="17" t="s">
        <v>233</v>
      </c>
      <c r="L1153" s="17" t="s">
        <v>233</v>
      </c>
      <c r="M1153" s="231">
        <v>50</v>
      </c>
      <c r="N1153" s="231">
        <v>50</v>
      </c>
      <c r="O1153" s="231">
        <v>50</v>
      </c>
      <c r="P1153" s="231" t="s">
        <v>239</v>
      </c>
      <c r="Q1153" s="231">
        <v>50</v>
      </c>
      <c r="R1153" s="231" t="s">
        <v>239</v>
      </c>
      <c r="S1153" s="231">
        <v>50</v>
      </c>
      <c r="T1153" s="231" t="s">
        <v>239</v>
      </c>
      <c r="U1153" s="231">
        <v>50</v>
      </c>
      <c r="V1153" s="230" t="s">
        <v>239</v>
      </c>
      <c r="W1153" s="231">
        <v>50</v>
      </c>
      <c r="X1153" s="231" t="s">
        <v>239</v>
      </c>
      <c r="Y1153" s="231">
        <v>50</v>
      </c>
      <c r="Z1153" s="231" t="s">
        <v>239</v>
      </c>
      <c r="AA1153" s="231">
        <v>50</v>
      </c>
      <c r="AB1153" s="231" t="s">
        <v>239</v>
      </c>
      <c r="AC1153" s="231">
        <v>50</v>
      </c>
      <c r="AD1153" s="231" t="s">
        <v>239</v>
      </c>
      <c r="AE1153" s="231">
        <v>50</v>
      </c>
      <c r="AF1153" s="231" t="s">
        <v>239</v>
      </c>
      <c r="AG1153" s="231">
        <v>50</v>
      </c>
      <c r="AH1153" s="231" t="s">
        <v>239</v>
      </c>
      <c r="AI1153" s="231">
        <v>50</v>
      </c>
      <c r="AJ1153" s="231" t="s">
        <v>239</v>
      </c>
      <c r="AK1153" s="231">
        <v>50</v>
      </c>
      <c r="AL1153" s="232" t="s">
        <v>239</v>
      </c>
      <c r="AM1153" s="232">
        <v>0</v>
      </c>
    </row>
    <row r="1154" spans="1:39" ht="15.75" outlineLevel="1">
      <c r="A1154" s="412"/>
      <c r="B1154" s="10">
        <v>129572</v>
      </c>
      <c r="C1154" s="218" t="s">
        <v>1489</v>
      </c>
      <c r="D1154" s="218" t="s">
        <v>1490</v>
      </c>
      <c r="E1154" s="23" t="s">
        <v>44</v>
      </c>
      <c r="F1154" s="17" t="s">
        <v>45</v>
      </c>
      <c r="G1154" s="11" t="s">
        <v>1432</v>
      </c>
      <c r="H1154" s="12">
        <v>18</v>
      </c>
      <c r="I1154" s="11" t="s">
        <v>1433</v>
      </c>
      <c r="J1154" s="374" t="s">
        <v>207</v>
      </c>
      <c r="K1154" s="17" t="s">
        <v>233</v>
      </c>
      <c r="L1154" s="17" t="s">
        <v>233</v>
      </c>
      <c r="M1154" s="231">
        <v>9572</v>
      </c>
      <c r="N1154" s="232">
        <v>9455.7959200000005</v>
      </c>
      <c r="O1154" s="132">
        <v>23654</v>
      </c>
      <c r="P1154" s="231" t="s">
        <v>239</v>
      </c>
      <c r="Q1154" s="232">
        <v>2365</v>
      </c>
      <c r="R1154" s="231" t="s">
        <v>239</v>
      </c>
      <c r="S1154" s="232">
        <v>2303</v>
      </c>
      <c r="T1154" s="231" t="s">
        <v>239</v>
      </c>
      <c r="U1154" s="232">
        <v>1303</v>
      </c>
      <c r="V1154" s="231" t="s">
        <v>239</v>
      </c>
      <c r="W1154" s="232">
        <v>795</v>
      </c>
      <c r="X1154" s="231" t="s">
        <v>239</v>
      </c>
      <c r="Y1154" s="232">
        <v>2561</v>
      </c>
      <c r="Z1154" s="231" t="s">
        <v>239</v>
      </c>
      <c r="AA1154" s="232">
        <v>3637</v>
      </c>
      <c r="AB1154" s="231" t="s">
        <v>239</v>
      </c>
      <c r="AC1154" s="232">
        <v>309</v>
      </c>
      <c r="AD1154" s="231" t="s">
        <v>239</v>
      </c>
      <c r="AE1154" s="232">
        <v>1816</v>
      </c>
      <c r="AF1154" s="231" t="s">
        <v>239</v>
      </c>
      <c r="AG1154" s="232">
        <v>362</v>
      </c>
      <c r="AH1154" s="231" t="s">
        <v>239</v>
      </c>
      <c r="AI1154" s="232">
        <v>387</v>
      </c>
      <c r="AJ1154" s="231" t="s">
        <v>239</v>
      </c>
      <c r="AK1154" s="232">
        <v>720</v>
      </c>
      <c r="AL1154" s="232" t="s">
        <v>239</v>
      </c>
      <c r="AM1154" s="232">
        <v>40212</v>
      </c>
    </row>
    <row r="1155" spans="1:39" ht="15.75" outlineLevel="1">
      <c r="A1155" s="411">
        <v>573</v>
      </c>
      <c r="B1155" s="10">
        <v>129573</v>
      </c>
      <c r="C1155" s="218" t="s">
        <v>1489</v>
      </c>
      <c r="D1155" s="218" t="s">
        <v>1490</v>
      </c>
      <c r="E1155" s="23" t="s">
        <v>44</v>
      </c>
      <c r="F1155" s="17" t="s">
        <v>45</v>
      </c>
      <c r="G1155" s="11" t="s">
        <v>1432</v>
      </c>
      <c r="H1155" s="12">
        <v>17</v>
      </c>
      <c r="I1155" s="11" t="s">
        <v>1433</v>
      </c>
      <c r="J1155" s="375"/>
      <c r="K1155" s="17" t="s">
        <v>233</v>
      </c>
      <c r="L1155" s="17" t="s">
        <v>233</v>
      </c>
      <c r="M1155" s="231">
        <v>0.5</v>
      </c>
      <c r="N1155" s="231">
        <v>0.5</v>
      </c>
      <c r="O1155" s="231">
        <v>0.5</v>
      </c>
      <c r="P1155" s="231" t="s">
        <v>239</v>
      </c>
      <c r="Q1155" s="231">
        <v>0.5</v>
      </c>
      <c r="R1155" s="231" t="s">
        <v>239</v>
      </c>
      <c r="S1155" s="231">
        <v>0.5</v>
      </c>
      <c r="T1155" s="231" t="s">
        <v>239</v>
      </c>
      <c r="U1155" s="231">
        <v>0.5</v>
      </c>
      <c r="V1155" s="231" t="s">
        <v>239</v>
      </c>
      <c r="W1155" s="231">
        <v>0.5</v>
      </c>
      <c r="X1155" s="231" t="s">
        <v>239</v>
      </c>
      <c r="Y1155" s="231">
        <v>0.5</v>
      </c>
      <c r="Z1155" s="231" t="s">
        <v>239</v>
      </c>
      <c r="AA1155" s="231">
        <v>0.5</v>
      </c>
      <c r="AB1155" s="231" t="s">
        <v>239</v>
      </c>
      <c r="AC1155" s="231">
        <v>0.5</v>
      </c>
      <c r="AD1155" s="231" t="s">
        <v>239</v>
      </c>
      <c r="AE1155" s="231">
        <v>0.5</v>
      </c>
      <c r="AF1155" s="231" t="s">
        <v>239</v>
      </c>
      <c r="AG1155" s="231">
        <v>0.5</v>
      </c>
      <c r="AH1155" s="231" t="s">
        <v>239</v>
      </c>
      <c r="AI1155" s="231">
        <v>0.5</v>
      </c>
      <c r="AJ1155" s="231" t="s">
        <v>239</v>
      </c>
      <c r="AK1155" s="231">
        <v>0.5</v>
      </c>
      <c r="AL1155" s="232" t="s">
        <v>239</v>
      </c>
      <c r="AM1155" s="232">
        <v>0</v>
      </c>
    </row>
    <row r="1156" spans="1:39" ht="15.75" outlineLevel="1">
      <c r="A1156" s="412"/>
      <c r="B1156" s="10">
        <v>129573</v>
      </c>
      <c r="C1156" s="218" t="s">
        <v>1489</v>
      </c>
      <c r="D1156" s="218" t="s">
        <v>1490</v>
      </c>
      <c r="E1156" s="23" t="s">
        <v>138</v>
      </c>
      <c r="F1156" s="17" t="s">
        <v>45</v>
      </c>
      <c r="G1156" s="11" t="s">
        <v>1432</v>
      </c>
      <c r="H1156" s="12">
        <v>28</v>
      </c>
      <c r="I1156" s="11" t="s">
        <v>1433</v>
      </c>
      <c r="J1156" s="193" t="s">
        <v>1460</v>
      </c>
      <c r="K1156" s="17" t="s">
        <v>233</v>
      </c>
      <c r="L1156" s="17" t="s">
        <v>233</v>
      </c>
      <c r="M1156" s="231">
        <v>2567</v>
      </c>
      <c r="N1156" s="232">
        <v>2535.83662</v>
      </c>
      <c r="O1156" s="132">
        <v>503</v>
      </c>
      <c r="P1156" s="231" t="s">
        <v>239</v>
      </c>
      <c r="Q1156" s="232">
        <v>503</v>
      </c>
      <c r="R1156" s="231" t="s">
        <v>239</v>
      </c>
      <c r="S1156" s="232">
        <v>492</v>
      </c>
      <c r="T1156" s="231" t="s">
        <v>239</v>
      </c>
      <c r="U1156" s="232">
        <v>491</v>
      </c>
      <c r="V1156" s="230" t="s">
        <v>239</v>
      </c>
      <c r="W1156" s="232">
        <v>462</v>
      </c>
      <c r="X1156" s="231" t="s">
        <v>239</v>
      </c>
      <c r="Y1156" s="232">
        <v>454</v>
      </c>
      <c r="Z1156" s="231" t="s">
        <v>239</v>
      </c>
      <c r="AA1156" s="232">
        <v>449</v>
      </c>
      <c r="AB1156" s="231" t="s">
        <v>239</v>
      </c>
      <c r="AC1156" s="232">
        <v>463</v>
      </c>
      <c r="AD1156" s="231" t="s">
        <v>239</v>
      </c>
      <c r="AE1156" s="232">
        <v>410</v>
      </c>
      <c r="AF1156" s="231" t="s">
        <v>239</v>
      </c>
      <c r="AG1156" s="232">
        <v>642</v>
      </c>
      <c r="AH1156" s="231" t="s">
        <v>239</v>
      </c>
      <c r="AI1156" s="232">
        <v>530</v>
      </c>
      <c r="AJ1156" s="231" t="s">
        <v>239</v>
      </c>
      <c r="AK1156" s="232">
        <v>519</v>
      </c>
      <c r="AL1156" s="232" t="s">
        <v>239</v>
      </c>
      <c r="AM1156" s="232">
        <v>5918</v>
      </c>
    </row>
    <row r="1157" spans="1:39" ht="15.75" outlineLevel="1">
      <c r="A1157" s="411">
        <v>574</v>
      </c>
      <c r="B1157" s="10">
        <v>129574</v>
      </c>
      <c r="C1157" s="218" t="s">
        <v>1489</v>
      </c>
      <c r="D1157" s="218" t="s">
        <v>1490</v>
      </c>
      <c r="E1157" s="23" t="s">
        <v>44</v>
      </c>
      <c r="F1157" s="17" t="s">
        <v>45</v>
      </c>
      <c r="G1157" s="11" t="s">
        <v>1432</v>
      </c>
      <c r="H1157" s="12">
        <v>33</v>
      </c>
      <c r="I1157" s="11" t="s">
        <v>1433</v>
      </c>
      <c r="J1157" s="193" t="s">
        <v>1451</v>
      </c>
      <c r="K1157" s="17" t="s">
        <v>233</v>
      </c>
      <c r="L1157" s="17" t="s">
        <v>233</v>
      </c>
      <c r="M1157" s="231">
        <v>0</v>
      </c>
      <c r="N1157" s="232">
        <v>0</v>
      </c>
      <c r="O1157" s="132">
        <v>0</v>
      </c>
      <c r="P1157" s="231" t="s">
        <v>239</v>
      </c>
      <c r="Q1157" s="232">
        <v>0</v>
      </c>
      <c r="R1157" s="231" t="s">
        <v>239</v>
      </c>
      <c r="S1157" s="232">
        <v>0</v>
      </c>
      <c r="T1157" s="231" t="s">
        <v>239</v>
      </c>
      <c r="U1157" s="232">
        <v>0</v>
      </c>
      <c r="V1157" s="231" t="s">
        <v>239</v>
      </c>
      <c r="W1157" s="232">
        <v>0</v>
      </c>
      <c r="X1157" s="231" t="s">
        <v>239</v>
      </c>
      <c r="Y1157" s="232">
        <v>0</v>
      </c>
      <c r="Z1157" s="231" t="s">
        <v>239</v>
      </c>
      <c r="AA1157" s="232">
        <v>0</v>
      </c>
      <c r="AB1157" s="231" t="s">
        <v>239</v>
      </c>
      <c r="AC1157" s="232">
        <v>0</v>
      </c>
      <c r="AD1157" s="231" t="s">
        <v>239</v>
      </c>
      <c r="AE1157" s="232">
        <v>0</v>
      </c>
      <c r="AF1157" s="231" t="s">
        <v>239</v>
      </c>
      <c r="AG1157" s="232">
        <v>0</v>
      </c>
      <c r="AH1157" s="231" t="s">
        <v>239</v>
      </c>
      <c r="AI1157" s="232">
        <v>0</v>
      </c>
      <c r="AJ1157" s="231" t="s">
        <v>239</v>
      </c>
      <c r="AK1157" s="232">
        <v>0</v>
      </c>
      <c r="AL1157" s="232" t="s">
        <v>239</v>
      </c>
      <c r="AM1157" s="232">
        <v>0</v>
      </c>
    </row>
    <row r="1158" spans="1:39" ht="15.75" outlineLevel="1">
      <c r="A1158" s="412"/>
      <c r="B1158" s="10">
        <v>129574</v>
      </c>
      <c r="C1158" s="218" t="s">
        <v>1489</v>
      </c>
      <c r="D1158" s="218" t="s">
        <v>1490</v>
      </c>
      <c r="E1158" s="23" t="s">
        <v>138</v>
      </c>
      <c r="F1158" s="17" t="s">
        <v>45</v>
      </c>
      <c r="G1158" s="11" t="s">
        <v>1432</v>
      </c>
      <c r="H1158" s="12">
        <v>25</v>
      </c>
      <c r="I1158" s="11" t="s">
        <v>1433</v>
      </c>
      <c r="J1158" s="193" t="s">
        <v>208</v>
      </c>
      <c r="K1158" s="17" t="s">
        <v>233</v>
      </c>
      <c r="L1158" s="17" t="s">
        <v>233</v>
      </c>
      <c r="M1158" s="231">
        <v>0</v>
      </c>
      <c r="N1158" s="232">
        <v>0</v>
      </c>
      <c r="O1158" s="132">
        <v>506</v>
      </c>
      <c r="P1158" s="231" t="s">
        <v>239</v>
      </c>
      <c r="Q1158" s="232">
        <v>506</v>
      </c>
      <c r="R1158" s="231" t="s">
        <v>239</v>
      </c>
      <c r="S1158" s="232">
        <v>433</v>
      </c>
      <c r="T1158" s="231" t="s">
        <v>239</v>
      </c>
      <c r="U1158" s="232">
        <v>506</v>
      </c>
      <c r="V1158" s="231" t="s">
        <v>239</v>
      </c>
      <c r="W1158" s="232">
        <v>798</v>
      </c>
      <c r="X1158" s="231" t="s">
        <v>239</v>
      </c>
      <c r="Y1158" s="232">
        <v>798</v>
      </c>
      <c r="Z1158" s="231" t="s">
        <v>239</v>
      </c>
      <c r="AA1158" s="232">
        <v>798</v>
      </c>
      <c r="AB1158" s="231" t="s">
        <v>239</v>
      </c>
      <c r="AC1158" s="232">
        <v>798</v>
      </c>
      <c r="AD1158" s="231" t="s">
        <v>239</v>
      </c>
      <c r="AE1158" s="232">
        <v>798</v>
      </c>
      <c r="AF1158" s="231" t="s">
        <v>239</v>
      </c>
      <c r="AG1158" s="232">
        <v>798</v>
      </c>
      <c r="AH1158" s="231" t="s">
        <v>239</v>
      </c>
      <c r="AI1158" s="232">
        <v>798</v>
      </c>
      <c r="AJ1158" s="231" t="s">
        <v>239</v>
      </c>
      <c r="AK1158" s="232">
        <v>798</v>
      </c>
      <c r="AL1158" s="232" t="s">
        <v>239</v>
      </c>
      <c r="AM1158" s="232">
        <v>8335</v>
      </c>
    </row>
    <row r="1159" spans="1:39" ht="15.75" outlineLevel="1">
      <c r="A1159" s="411">
        <v>575</v>
      </c>
      <c r="B1159" s="10">
        <v>129575</v>
      </c>
      <c r="C1159" s="218" t="s">
        <v>1489</v>
      </c>
      <c r="D1159" s="218" t="s">
        <v>1490</v>
      </c>
      <c r="E1159" s="23" t="s">
        <v>44</v>
      </c>
      <c r="F1159" s="17" t="s">
        <v>45</v>
      </c>
      <c r="G1159" s="11" t="s">
        <v>1432</v>
      </c>
      <c r="H1159" s="12">
        <v>24</v>
      </c>
      <c r="I1159" s="11" t="s">
        <v>1433</v>
      </c>
      <c r="J1159" s="193" t="s">
        <v>1452</v>
      </c>
      <c r="K1159" s="17" t="s">
        <v>233</v>
      </c>
      <c r="L1159" s="17" t="s">
        <v>233</v>
      </c>
      <c r="M1159" s="231">
        <v>1</v>
      </c>
      <c r="N1159" s="231">
        <v>1</v>
      </c>
      <c r="O1159" s="231">
        <v>1</v>
      </c>
      <c r="P1159" s="231" t="s">
        <v>239</v>
      </c>
      <c r="Q1159" s="231">
        <v>1</v>
      </c>
      <c r="R1159" s="231" t="s">
        <v>239</v>
      </c>
      <c r="S1159" s="231">
        <v>1</v>
      </c>
      <c r="T1159" s="231" t="s">
        <v>239</v>
      </c>
      <c r="U1159" s="231">
        <v>1</v>
      </c>
      <c r="V1159" s="230" t="s">
        <v>239</v>
      </c>
      <c r="W1159" s="231">
        <v>1</v>
      </c>
      <c r="X1159" s="231" t="s">
        <v>239</v>
      </c>
      <c r="Y1159" s="231">
        <v>1</v>
      </c>
      <c r="Z1159" s="231" t="s">
        <v>239</v>
      </c>
      <c r="AA1159" s="231">
        <v>1</v>
      </c>
      <c r="AB1159" s="231" t="s">
        <v>239</v>
      </c>
      <c r="AC1159" s="231">
        <v>1</v>
      </c>
      <c r="AD1159" s="231" t="s">
        <v>239</v>
      </c>
      <c r="AE1159" s="231">
        <v>1</v>
      </c>
      <c r="AF1159" s="231" t="s">
        <v>239</v>
      </c>
      <c r="AG1159" s="231">
        <v>1</v>
      </c>
      <c r="AH1159" s="231" t="s">
        <v>239</v>
      </c>
      <c r="AI1159" s="231">
        <v>1</v>
      </c>
      <c r="AJ1159" s="231" t="s">
        <v>239</v>
      </c>
      <c r="AK1159" s="231">
        <v>1</v>
      </c>
      <c r="AL1159" s="232" t="s">
        <v>239</v>
      </c>
      <c r="AM1159" s="232">
        <v>0</v>
      </c>
    </row>
    <row r="1160" spans="1:39" ht="15.75" outlineLevel="1">
      <c r="A1160" s="412"/>
      <c r="B1160" s="10">
        <v>129575</v>
      </c>
      <c r="C1160" s="218" t="s">
        <v>1489</v>
      </c>
      <c r="D1160" s="218" t="s">
        <v>1490</v>
      </c>
      <c r="E1160" s="23" t="s">
        <v>44</v>
      </c>
      <c r="F1160" s="17" t="s">
        <v>45</v>
      </c>
      <c r="G1160" s="11" t="s">
        <v>1432</v>
      </c>
      <c r="H1160" s="12">
        <v>10</v>
      </c>
      <c r="I1160" s="11" t="s">
        <v>1433</v>
      </c>
      <c r="J1160" s="193" t="s">
        <v>216</v>
      </c>
      <c r="K1160" s="17" t="s">
        <v>233</v>
      </c>
      <c r="L1160" s="17" t="s">
        <v>233</v>
      </c>
      <c r="M1160" s="231">
        <v>3779</v>
      </c>
      <c r="N1160" s="232">
        <v>3733.1229399999997</v>
      </c>
      <c r="O1160" s="132">
        <v>551</v>
      </c>
      <c r="P1160" s="231" t="s">
        <v>239</v>
      </c>
      <c r="Q1160" s="232">
        <v>551</v>
      </c>
      <c r="R1160" s="231" t="s">
        <v>239</v>
      </c>
      <c r="S1160" s="232">
        <v>611</v>
      </c>
      <c r="T1160" s="231" t="s">
        <v>239</v>
      </c>
      <c r="U1160" s="232">
        <v>443</v>
      </c>
      <c r="V1160" s="231" t="s">
        <v>239</v>
      </c>
      <c r="W1160" s="232">
        <v>412</v>
      </c>
      <c r="X1160" s="231" t="s">
        <v>239</v>
      </c>
      <c r="Y1160" s="232">
        <v>417</v>
      </c>
      <c r="Z1160" s="231" t="s">
        <v>239</v>
      </c>
      <c r="AA1160" s="232">
        <v>401</v>
      </c>
      <c r="AB1160" s="231" t="s">
        <v>239</v>
      </c>
      <c r="AC1160" s="232">
        <v>370</v>
      </c>
      <c r="AD1160" s="231" t="s">
        <v>239</v>
      </c>
      <c r="AE1160" s="232">
        <v>375</v>
      </c>
      <c r="AF1160" s="231" t="s">
        <v>239</v>
      </c>
      <c r="AG1160" s="232">
        <v>375</v>
      </c>
      <c r="AH1160" s="231" t="s">
        <v>239</v>
      </c>
      <c r="AI1160" s="232">
        <v>417</v>
      </c>
      <c r="AJ1160" s="231" t="s">
        <v>239</v>
      </c>
      <c r="AK1160" s="232">
        <v>410</v>
      </c>
      <c r="AL1160" s="232" t="s">
        <v>239</v>
      </c>
      <c r="AM1160" s="232">
        <v>5333</v>
      </c>
    </row>
    <row r="1161" spans="1:39" ht="15.75" outlineLevel="1">
      <c r="A1161" s="411">
        <v>576</v>
      </c>
      <c r="B1161" s="10">
        <v>129576</v>
      </c>
      <c r="C1161" s="218" t="s">
        <v>1489</v>
      </c>
      <c r="D1161" s="218" t="s">
        <v>1490</v>
      </c>
      <c r="E1161" s="23" t="s">
        <v>138</v>
      </c>
      <c r="F1161" s="17" t="s">
        <v>45</v>
      </c>
      <c r="G1161" s="11" t="s">
        <v>1432</v>
      </c>
      <c r="H1161" s="12">
        <v>17</v>
      </c>
      <c r="I1161" s="11" t="s">
        <v>1433</v>
      </c>
      <c r="J1161" s="193" t="s">
        <v>1453</v>
      </c>
      <c r="K1161" s="17" t="s">
        <v>233</v>
      </c>
      <c r="L1161" s="17" t="s">
        <v>233</v>
      </c>
      <c r="M1161" s="231">
        <v>1</v>
      </c>
      <c r="N1161" s="231">
        <v>1</v>
      </c>
      <c r="O1161" s="231">
        <v>1</v>
      </c>
      <c r="P1161" s="231" t="s">
        <v>239</v>
      </c>
      <c r="Q1161" s="231">
        <v>1</v>
      </c>
      <c r="R1161" s="231" t="s">
        <v>239</v>
      </c>
      <c r="S1161" s="231">
        <v>1</v>
      </c>
      <c r="T1161" s="231" t="s">
        <v>239</v>
      </c>
      <c r="U1161" s="231">
        <v>1</v>
      </c>
      <c r="V1161" s="231" t="s">
        <v>239</v>
      </c>
      <c r="W1161" s="231">
        <v>1</v>
      </c>
      <c r="X1161" s="231" t="s">
        <v>239</v>
      </c>
      <c r="Y1161" s="231">
        <v>1</v>
      </c>
      <c r="Z1161" s="231" t="s">
        <v>239</v>
      </c>
      <c r="AA1161" s="231">
        <v>1</v>
      </c>
      <c r="AB1161" s="231" t="s">
        <v>239</v>
      </c>
      <c r="AC1161" s="231">
        <v>1</v>
      </c>
      <c r="AD1161" s="231" t="s">
        <v>239</v>
      </c>
      <c r="AE1161" s="231">
        <v>1</v>
      </c>
      <c r="AF1161" s="231" t="s">
        <v>239</v>
      </c>
      <c r="AG1161" s="231">
        <v>1</v>
      </c>
      <c r="AH1161" s="231" t="s">
        <v>239</v>
      </c>
      <c r="AI1161" s="231">
        <v>1</v>
      </c>
      <c r="AJ1161" s="231" t="s">
        <v>239</v>
      </c>
      <c r="AK1161" s="231">
        <v>1</v>
      </c>
      <c r="AL1161" s="232" t="s">
        <v>239</v>
      </c>
      <c r="AM1161" s="232">
        <v>0</v>
      </c>
    </row>
    <row r="1162" spans="1:39" ht="15.75" outlineLevel="1">
      <c r="A1162" s="412"/>
      <c r="B1162" s="10">
        <v>129576</v>
      </c>
      <c r="C1162" s="218" t="s">
        <v>1489</v>
      </c>
      <c r="D1162" s="218" t="s">
        <v>1490</v>
      </c>
      <c r="E1162" s="23" t="s">
        <v>44</v>
      </c>
      <c r="F1162" s="17" t="s">
        <v>45</v>
      </c>
      <c r="G1162" s="11" t="s">
        <v>1432</v>
      </c>
      <c r="H1162" s="12">
        <v>32</v>
      </c>
      <c r="I1162" s="11" t="s">
        <v>1433</v>
      </c>
      <c r="J1162" s="193" t="s">
        <v>1454</v>
      </c>
      <c r="K1162" s="17" t="s">
        <v>233</v>
      </c>
      <c r="L1162" s="17" t="s">
        <v>233</v>
      </c>
      <c r="M1162" s="231">
        <v>4248</v>
      </c>
      <c r="N1162" s="232">
        <v>4196.4292799999994</v>
      </c>
      <c r="O1162" s="132">
        <v>313</v>
      </c>
      <c r="P1162" s="231" t="s">
        <v>239</v>
      </c>
      <c r="Q1162" s="232">
        <v>313</v>
      </c>
      <c r="R1162" s="231" t="s">
        <v>239</v>
      </c>
      <c r="S1162" s="232">
        <v>587</v>
      </c>
      <c r="T1162" s="231" t="s">
        <v>239</v>
      </c>
      <c r="U1162" s="232">
        <v>562</v>
      </c>
      <c r="V1162" s="230" t="s">
        <v>239</v>
      </c>
      <c r="W1162" s="232">
        <v>423</v>
      </c>
      <c r="X1162" s="231" t="s">
        <v>239</v>
      </c>
      <c r="Y1162" s="232">
        <v>404</v>
      </c>
      <c r="Z1162" s="231" t="s">
        <v>239</v>
      </c>
      <c r="AA1162" s="232">
        <v>398</v>
      </c>
      <c r="AB1162" s="231" t="s">
        <v>239</v>
      </c>
      <c r="AC1162" s="232">
        <v>330</v>
      </c>
      <c r="AD1162" s="231" t="s">
        <v>239</v>
      </c>
      <c r="AE1162" s="232">
        <v>461</v>
      </c>
      <c r="AF1162" s="231" t="s">
        <v>239</v>
      </c>
      <c r="AG1162" s="232">
        <v>400</v>
      </c>
      <c r="AH1162" s="231" t="s">
        <v>239</v>
      </c>
      <c r="AI1162" s="232">
        <v>400</v>
      </c>
      <c r="AJ1162" s="231" t="s">
        <v>239</v>
      </c>
      <c r="AK1162" s="232">
        <v>400</v>
      </c>
      <c r="AL1162" s="232" t="s">
        <v>239</v>
      </c>
      <c r="AM1162" s="232">
        <v>4991</v>
      </c>
    </row>
    <row r="1163" spans="1:39" ht="15.75" outlineLevel="1">
      <c r="A1163" s="411">
        <v>577</v>
      </c>
      <c r="B1163" s="10">
        <v>129577</v>
      </c>
      <c r="C1163" s="218" t="s">
        <v>1489</v>
      </c>
      <c r="D1163" s="218" t="s">
        <v>1490</v>
      </c>
      <c r="E1163" s="23" t="s">
        <v>138</v>
      </c>
      <c r="F1163" s="17" t="s">
        <v>45</v>
      </c>
      <c r="G1163" s="11" t="s">
        <v>1432</v>
      </c>
      <c r="H1163" s="12">
        <v>8</v>
      </c>
      <c r="I1163" s="11" t="s">
        <v>1433</v>
      </c>
      <c r="J1163" s="191" t="s">
        <v>216</v>
      </c>
      <c r="K1163" s="17" t="s">
        <v>233</v>
      </c>
      <c r="L1163" s="17" t="s">
        <v>233</v>
      </c>
      <c r="M1163" s="231">
        <v>1</v>
      </c>
      <c r="N1163" s="231">
        <v>1</v>
      </c>
      <c r="O1163" s="231">
        <v>1</v>
      </c>
      <c r="P1163" s="231" t="s">
        <v>239</v>
      </c>
      <c r="Q1163" s="231">
        <v>1</v>
      </c>
      <c r="R1163" s="231" t="s">
        <v>239</v>
      </c>
      <c r="S1163" s="231">
        <v>1</v>
      </c>
      <c r="T1163" s="231" t="s">
        <v>239</v>
      </c>
      <c r="U1163" s="231">
        <v>1</v>
      </c>
      <c r="V1163" s="231" t="s">
        <v>239</v>
      </c>
      <c r="W1163" s="231">
        <v>1</v>
      </c>
      <c r="X1163" s="231" t="s">
        <v>239</v>
      </c>
      <c r="Y1163" s="231">
        <v>1</v>
      </c>
      <c r="Z1163" s="231" t="s">
        <v>239</v>
      </c>
      <c r="AA1163" s="231">
        <v>1</v>
      </c>
      <c r="AB1163" s="231" t="s">
        <v>239</v>
      </c>
      <c r="AC1163" s="231">
        <v>1</v>
      </c>
      <c r="AD1163" s="231" t="s">
        <v>239</v>
      </c>
      <c r="AE1163" s="231">
        <v>1</v>
      </c>
      <c r="AF1163" s="231" t="s">
        <v>239</v>
      </c>
      <c r="AG1163" s="231">
        <v>1</v>
      </c>
      <c r="AH1163" s="231" t="s">
        <v>239</v>
      </c>
      <c r="AI1163" s="231">
        <v>1</v>
      </c>
      <c r="AJ1163" s="231" t="s">
        <v>239</v>
      </c>
      <c r="AK1163" s="231">
        <v>1</v>
      </c>
      <c r="AL1163" s="232" t="s">
        <v>239</v>
      </c>
      <c r="AM1163" s="232">
        <v>0</v>
      </c>
    </row>
    <row r="1164" spans="1:39" ht="15.75" outlineLevel="1">
      <c r="A1164" s="412"/>
      <c r="B1164" s="10">
        <v>129577</v>
      </c>
      <c r="C1164" s="218" t="s">
        <v>1489</v>
      </c>
      <c r="D1164" s="218" t="s">
        <v>1490</v>
      </c>
      <c r="E1164" s="23" t="s">
        <v>44</v>
      </c>
      <c r="F1164" s="17" t="s">
        <v>45</v>
      </c>
      <c r="G1164" s="11" t="s">
        <v>1432</v>
      </c>
      <c r="H1164" s="12">
        <v>12</v>
      </c>
      <c r="I1164" s="11" t="s">
        <v>1433</v>
      </c>
      <c r="J1164" s="192" t="s">
        <v>1434</v>
      </c>
      <c r="K1164" s="17" t="s">
        <v>233</v>
      </c>
      <c r="L1164" s="17" t="s">
        <v>233</v>
      </c>
      <c r="M1164" s="231">
        <v>2139</v>
      </c>
      <c r="N1164" s="232">
        <v>2113.0325399999997</v>
      </c>
      <c r="O1164" s="132">
        <v>1000</v>
      </c>
      <c r="P1164" s="231" t="s">
        <v>239</v>
      </c>
      <c r="Q1164" s="232">
        <v>1000</v>
      </c>
      <c r="R1164" s="231" t="s">
        <v>239</v>
      </c>
      <c r="S1164" s="232">
        <v>958</v>
      </c>
      <c r="T1164" s="231" t="s">
        <v>239</v>
      </c>
      <c r="U1164" s="232">
        <v>763</v>
      </c>
      <c r="V1164" s="231" t="s">
        <v>239</v>
      </c>
      <c r="W1164" s="232">
        <v>618</v>
      </c>
      <c r="X1164" s="231" t="s">
        <v>239</v>
      </c>
      <c r="Y1164" s="232">
        <v>598</v>
      </c>
      <c r="Z1164" s="231" t="s">
        <v>239</v>
      </c>
      <c r="AA1164" s="232">
        <v>587</v>
      </c>
      <c r="AB1164" s="231" t="s">
        <v>239</v>
      </c>
      <c r="AC1164" s="232">
        <v>496</v>
      </c>
      <c r="AD1164" s="231" t="s">
        <v>239</v>
      </c>
      <c r="AE1164" s="232">
        <v>619</v>
      </c>
      <c r="AF1164" s="231" t="s">
        <v>239</v>
      </c>
      <c r="AG1164" s="232">
        <v>720</v>
      </c>
      <c r="AH1164" s="231" t="s">
        <v>239</v>
      </c>
      <c r="AI1164" s="232">
        <v>627</v>
      </c>
      <c r="AJ1164" s="231" t="s">
        <v>239</v>
      </c>
      <c r="AK1164" s="232">
        <v>619</v>
      </c>
      <c r="AL1164" s="232" t="s">
        <v>239</v>
      </c>
      <c r="AM1164" s="232">
        <v>8605</v>
      </c>
    </row>
    <row r="1165" spans="1:39" ht="15.75" outlineLevel="1">
      <c r="A1165" s="411">
        <v>578</v>
      </c>
      <c r="B1165" s="10">
        <v>129578</v>
      </c>
      <c r="C1165" s="218" t="s">
        <v>1489</v>
      </c>
      <c r="D1165" s="218" t="s">
        <v>1490</v>
      </c>
      <c r="E1165" s="23" t="s">
        <v>44</v>
      </c>
      <c r="F1165" s="17" t="s">
        <v>45</v>
      </c>
      <c r="G1165" s="11" t="s">
        <v>1432</v>
      </c>
      <c r="H1165" s="12">
        <v>18</v>
      </c>
      <c r="I1165" s="11" t="s">
        <v>1433</v>
      </c>
      <c r="J1165" s="192" t="s">
        <v>1480</v>
      </c>
      <c r="K1165" s="17" t="s">
        <v>233</v>
      </c>
      <c r="L1165" s="17" t="s">
        <v>233</v>
      </c>
      <c r="M1165" s="231">
        <v>20</v>
      </c>
      <c r="N1165" s="231">
        <v>20</v>
      </c>
      <c r="O1165" s="231">
        <v>20</v>
      </c>
      <c r="P1165" s="231" t="s">
        <v>239</v>
      </c>
      <c r="Q1165" s="231">
        <v>20</v>
      </c>
      <c r="R1165" s="231" t="s">
        <v>239</v>
      </c>
      <c r="S1165" s="231">
        <v>20</v>
      </c>
      <c r="T1165" s="231" t="s">
        <v>239</v>
      </c>
      <c r="U1165" s="231">
        <v>20</v>
      </c>
      <c r="V1165" s="230" t="s">
        <v>239</v>
      </c>
      <c r="W1165" s="231">
        <v>20</v>
      </c>
      <c r="X1165" s="231" t="s">
        <v>239</v>
      </c>
      <c r="Y1165" s="231">
        <v>20</v>
      </c>
      <c r="Z1165" s="231" t="s">
        <v>239</v>
      </c>
      <c r="AA1165" s="231">
        <v>20</v>
      </c>
      <c r="AB1165" s="231" t="s">
        <v>239</v>
      </c>
      <c r="AC1165" s="231">
        <v>20</v>
      </c>
      <c r="AD1165" s="231" t="s">
        <v>239</v>
      </c>
      <c r="AE1165" s="231">
        <v>20</v>
      </c>
      <c r="AF1165" s="231" t="s">
        <v>239</v>
      </c>
      <c r="AG1165" s="231">
        <v>20</v>
      </c>
      <c r="AH1165" s="231" t="s">
        <v>239</v>
      </c>
      <c r="AI1165" s="231">
        <v>20</v>
      </c>
      <c r="AJ1165" s="231" t="s">
        <v>239</v>
      </c>
      <c r="AK1165" s="231">
        <v>20</v>
      </c>
      <c r="AL1165" s="232" t="s">
        <v>239</v>
      </c>
      <c r="AM1165" s="232">
        <v>0</v>
      </c>
    </row>
    <row r="1166" spans="1:39" ht="15.75" outlineLevel="1">
      <c r="A1166" s="412"/>
      <c r="B1166" s="10">
        <v>129578</v>
      </c>
      <c r="C1166" s="218" t="s">
        <v>1489</v>
      </c>
      <c r="D1166" s="218" t="s">
        <v>1490</v>
      </c>
      <c r="E1166" s="23" t="s">
        <v>138</v>
      </c>
      <c r="F1166" s="17" t="s">
        <v>45</v>
      </c>
      <c r="G1166" s="11" t="s">
        <v>1432</v>
      </c>
      <c r="H1166" s="12">
        <v>17</v>
      </c>
      <c r="I1166" s="11" t="s">
        <v>1433</v>
      </c>
      <c r="J1166" s="192" t="s">
        <v>1452</v>
      </c>
      <c r="K1166" s="17" t="s">
        <v>233</v>
      </c>
      <c r="L1166" s="17" t="s">
        <v>233</v>
      </c>
      <c r="M1166" s="231">
        <v>547</v>
      </c>
      <c r="N1166" s="232">
        <v>540.35942</v>
      </c>
      <c r="O1166" s="132">
        <v>320</v>
      </c>
      <c r="P1166" s="231" t="s">
        <v>239</v>
      </c>
      <c r="Q1166" s="232">
        <v>320</v>
      </c>
      <c r="R1166" s="231" t="s">
        <v>239</v>
      </c>
      <c r="S1166" s="232">
        <v>283</v>
      </c>
      <c r="T1166" s="231" t="s">
        <v>239</v>
      </c>
      <c r="U1166" s="232">
        <v>13</v>
      </c>
      <c r="V1166" s="231" t="s">
        <v>239</v>
      </c>
      <c r="W1166" s="232">
        <v>52</v>
      </c>
      <c r="X1166" s="231" t="s">
        <v>239</v>
      </c>
      <c r="Y1166" s="232">
        <v>0</v>
      </c>
      <c r="Z1166" s="231" t="s">
        <v>239</v>
      </c>
      <c r="AA1166" s="232">
        <v>0</v>
      </c>
      <c r="AB1166" s="231" t="s">
        <v>239</v>
      </c>
      <c r="AC1166" s="232">
        <v>153</v>
      </c>
      <c r="AD1166" s="231" t="s">
        <v>239</v>
      </c>
      <c r="AE1166" s="232">
        <v>100</v>
      </c>
      <c r="AF1166" s="231" t="s">
        <v>239</v>
      </c>
      <c r="AG1166" s="232">
        <v>103</v>
      </c>
      <c r="AH1166" s="231" t="s">
        <v>239</v>
      </c>
      <c r="AI1166" s="232">
        <v>383</v>
      </c>
      <c r="AJ1166" s="231" t="s">
        <v>239</v>
      </c>
      <c r="AK1166" s="232">
        <v>438</v>
      </c>
      <c r="AL1166" s="232" t="s">
        <v>239</v>
      </c>
      <c r="AM1166" s="232">
        <v>2165</v>
      </c>
    </row>
    <row r="1167" spans="1:39" ht="15.75" outlineLevel="1">
      <c r="A1167" s="411">
        <v>579</v>
      </c>
      <c r="B1167" s="10">
        <v>129579</v>
      </c>
      <c r="C1167" s="218" t="s">
        <v>1489</v>
      </c>
      <c r="D1167" s="218" t="s">
        <v>1490</v>
      </c>
      <c r="E1167" s="23" t="s">
        <v>44</v>
      </c>
      <c r="F1167" s="17" t="s">
        <v>45</v>
      </c>
      <c r="G1167" s="11" t="s">
        <v>1432</v>
      </c>
      <c r="H1167" s="12">
        <v>25</v>
      </c>
      <c r="I1167" s="11" t="s">
        <v>1433</v>
      </c>
      <c r="J1167" s="374" t="s">
        <v>207</v>
      </c>
      <c r="K1167" s="17" t="s">
        <v>233</v>
      </c>
      <c r="L1167" s="17" t="s">
        <v>233</v>
      </c>
      <c r="M1167" s="231">
        <v>40</v>
      </c>
      <c r="N1167" s="231">
        <v>40</v>
      </c>
      <c r="O1167" s="231">
        <v>40</v>
      </c>
      <c r="P1167" s="231" t="s">
        <v>239</v>
      </c>
      <c r="Q1167" s="231">
        <v>40</v>
      </c>
      <c r="R1167" s="231" t="s">
        <v>239</v>
      </c>
      <c r="S1167" s="231">
        <v>40</v>
      </c>
      <c r="T1167" s="231" t="s">
        <v>239</v>
      </c>
      <c r="U1167" s="231">
        <v>40</v>
      </c>
      <c r="V1167" s="231" t="s">
        <v>239</v>
      </c>
      <c r="W1167" s="231">
        <v>40</v>
      </c>
      <c r="X1167" s="231" t="s">
        <v>239</v>
      </c>
      <c r="Y1167" s="231">
        <v>40</v>
      </c>
      <c r="Z1167" s="231" t="s">
        <v>239</v>
      </c>
      <c r="AA1167" s="231">
        <v>40</v>
      </c>
      <c r="AB1167" s="231" t="s">
        <v>239</v>
      </c>
      <c r="AC1167" s="231">
        <v>40</v>
      </c>
      <c r="AD1167" s="231" t="s">
        <v>239</v>
      </c>
      <c r="AE1167" s="231">
        <v>40</v>
      </c>
      <c r="AF1167" s="231" t="s">
        <v>239</v>
      </c>
      <c r="AG1167" s="231">
        <v>40</v>
      </c>
      <c r="AH1167" s="231" t="s">
        <v>239</v>
      </c>
      <c r="AI1167" s="231">
        <v>40</v>
      </c>
      <c r="AJ1167" s="231" t="s">
        <v>239</v>
      </c>
      <c r="AK1167" s="231">
        <v>40</v>
      </c>
      <c r="AL1167" s="232" t="s">
        <v>239</v>
      </c>
      <c r="AM1167" s="232">
        <v>0</v>
      </c>
    </row>
    <row r="1168" spans="1:39" ht="15.75" outlineLevel="1">
      <c r="A1168" s="412"/>
      <c r="B1168" s="10">
        <v>129579</v>
      </c>
      <c r="C1168" s="218" t="s">
        <v>1489</v>
      </c>
      <c r="D1168" s="218" t="s">
        <v>1490</v>
      </c>
      <c r="E1168" s="23" t="s">
        <v>138</v>
      </c>
      <c r="F1168" s="17" t="s">
        <v>45</v>
      </c>
      <c r="G1168" s="11" t="s">
        <v>1432</v>
      </c>
      <c r="H1168" s="12">
        <v>13</v>
      </c>
      <c r="I1168" s="11" t="s">
        <v>1433</v>
      </c>
      <c r="J1168" s="375"/>
      <c r="K1168" s="17" t="s">
        <v>233</v>
      </c>
      <c r="L1168" s="17" t="s">
        <v>233</v>
      </c>
      <c r="M1168" s="231">
        <v>18749</v>
      </c>
      <c r="N1168" s="232">
        <v>18521.387139999999</v>
      </c>
      <c r="O1168" s="132">
        <v>1445</v>
      </c>
      <c r="P1168" s="231" t="s">
        <v>239</v>
      </c>
      <c r="Q1168" s="232">
        <v>1445</v>
      </c>
      <c r="R1168" s="231" t="s">
        <v>239</v>
      </c>
      <c r="S1168" s="232">
        <v>1240</v>
      </c>
      <c r="T1168" s="231" t="s">
        <v>239</v>
      </c>
      <c r="U1168" s="232">
        <v>1219</v>
      </c>
      <c r="V1168" s="230" t="s">
        <v>239</v>
      </c>
      <c r="W1168" s="232">
        <v>1060</v>
      </c>
      <c r="X1168" s="231" t="s">
        <v>239</v>
      </c>
      <c r="Y1168" s="232">
        <v>1068</v>
      </c>
      <c r="Z1168" s="231" t="s">
        <v>239</v>
      </c>
      <c r="AA1168" s="232">
        <v>1110</v>
      </c>
      <c r="AB1168" s="231" t="s">
        <v>239</v>
      </c>
      <c r="AC1168" s="232">
        <v>1225</v>
      </c>
      <c r="AD1168" s="231" t="s">
        <v>239</v>
      </c>
      <c r="AE1168" s="232">
        <v>1662</v>
      </c>
      <c r="AF1168" s="231" t="s">
        <v>239</v>
      </c>
      <c r="AG1168" s="232">
        <v>1661</v>
      </c>
      <c r="AH1168" s="231" t="s">
        <v>239</v>
      </c>
      <c r="AI1168" s="232">
        <v>1145</v>
      </c>
      <c r="AJ1168" s="231" t="s">
        <v>239</v>
      </c>
      <c r="AK1168" s="232">
        <v>1229</v>
      </c>
      <c r="AL1168" s="232" t="s">
        <v>239</v>
      </c>
      <c r="AM1168" s="232">
        <v>15509</v>
      </c>
    </row>
    <row r="1169" spans="1:39" ht="15.75" outlineLevel="1">
      <c r="A1169" s="411">
        <v>580</v>
      </c>
      <c r="B1169" s="10">
        <v>129580</v>
      </c>
      <c r="C1169" s="218" t="s">
        <v>1489</v>
      </c>
      <c r="D1169" s="218" t="s">
        <v>1490</v>
      </c>
      <c r="E1169" s="23" t="s">
        <v>44</v>
      </c>
      <c r="F1169" s="17" t="s">
        <v>45</v>
      </c>
      <c r="G1169" s="11" t="s">
        <v>1432</v>
      </c>
      <c r="H1169" s="12">
        <v>5</v>
      </c>
      <c r="I1169" s="11" t="s">
        <v>1433</v>
      </c>
      <c r="J1169" s="193" t="s">
        <v>1460</v>
      </c>
      <c r="K1169" s="17" t="s">
        <v>233</v>
      </c>
      <c r="L1169" s="17" t="s">
        <v>233</v>
      </c>
      <c r="M1169" s="231">
        <v>50</v>
      </c>
      <c r="N1169" s="231">
        <v>50</v>
      </c>
      <c r="O1169" s="231">
        <v>50</v>
      </c>
      <c r="P1169" s="231" t="s">
        <v>239</v>
      </c>
      <c r="Q1169" s="231">
        <v>50</v>
      </c>
      <c r="R1169" s="231" t="s">
        <v>239</v>
      </c>
      <c r="S1169" s="231">
        <v>50</v>
      </c>
      <c r="T1169" s="231" t="s">
        <v>239</v>
      </c>
      <c r="U1169" s="231">
        <v>50</v>
      </c>
      <c r="V1169" s="231" t="s">
        <v>239</v>
      </c>
      <c r="W1169" s="231">
        <v>50</v>
      </c>
      <c r="X1169" s="231" t="s">
        <v>239</v>
      </c>
      <c r="Y1169" s="231">
        <v>50</v>
      </c>
      <c r="Z1169" s="231" t="s">
        <v>239</v>
      </c>
      <c r="AA1169" s="231">
        <v>50</v>
      </c>
      <c r="AB1169" s="231" t="s">
        <v>239</v>
      </c>
      <c r="AC1169" s="231">
        <v>50</v>
      </c>
      <c r="AD1169" s="231" t="s">
        <v>239</v>
      </c>
      <c r="AE1169" s="231">
        <v>50</v>
      </c>
      <c r="AF1169" s="231" t="s">
        <v>239</v>
      </c>
      <c r="AG1169" s="231">
        <v>50</v>
      </c>
      <c r="AH1169" s="231" t="s">
        <v>239</v>
      </c>
      <c r="AI1169" s="231">
        <v>50</v>
      </c>
      <c r="AJ1169" s="231" t="s">
        <v>239</v>
      </c>
      <c r="AK1169" s="231">
        <v>50</v>
      </c>
      <c r="AL1169" s="232" t="s">
        <v>239</v>
      </c>
      <c r="AM1169" s="232">
        <v>0</v>
      </c>
    </row>
    <row r="1170" spans="1:39" ht="15.75" outlineLevel="1">
      <c r="A1170" s="412"/>
      <c r="B1170" s="10">
        <v>129580</v>
      </c>
      <c r="C1170" s="218" t="s">
        <v>1489</v>
      </c>
      <c r="D1170" s="218" t="s">
        <v>1490</v>
      </c>
      <c r="E1170" s="23" t="s">
        <v>44</v>
      </c>
      <c r="F1170" s="17" t="s">
        <v>45</v>
      </c>
      <c r="G1170" s="11" t="s">
        <v>1432</v>
      </c>
      <c r="H1170" s="12">
        <v>4</v>
      </c>
      <c r="I1170" s="11" t="s">
        <v>1433</v>
      </c>
      <c r="J1170" s="193" t="s">
        <v>1442</v>
      </c>
      <c r="K1170" s="17" t="s">
        <v>233</v>
      </c>
      <c r="L1170" s="17" t="s">
        <v>233</v>
      </c>
      <c r="M1170" s="231">
        <v>7069</v>
      </c>
      <c r="N1170" s="232">
        <v>6983.1823399999994</v>
      </c>
      <c r="O1170" s="132">
        <v>1293</v>
      </c>
      <c r="P1170" s="231" t="s">
        <v>239</v>
      </c>
      <c r="Q1170" s="232">
        <v>1293</v>
      </c>
      <c r="R1170" s="231" t="s">
        <v>239</v>
      </c>
      <c r="S1170" s="232">
        <v>1309</v>
      </c>
      <c r="T1170" s="231" t="s">
        <v>239</v>
      </c>
      <c r="U1170" s="232">
        <v>1025</v>
      </c>
      <c r="V1170" s="231" t="s">
        <v>239</v>
      </c>
      <c r="W1170" s="232">
        <v>858</v>
      </c>
      <c r="X1170" s="231" t="s">
        <v>239</v>
      </c>
      <c r="Y1170" s="232">
        <v>827</v>
      </c>
      <c r="Z1170" s="231" t="s">
        <v>239</v>
      </c>
      <c r="AA1170" s="232">
        <v>155</v>
      </c>
      <c r="AB1170" s="231" t="s">
        <v>239</v>
      </c>
      <c r="AC1170" s="232">
        <v>1018</v>
      </c>
      <c r="AD1170" s="231" t="s">
        <v>239</v>
      </c>
      <c r="AE1170" s="232">
        <v>154</v>
      </c>
      <c r="AF1170" s="231" t="s">
        <v>239</v>
      </c>
      <c r="AG1170" s="232">
        <v>160</v>
      </c>
      <c r="AH1170" s="231" t="s">
        <v>239</v>
      </c>
      <c r="AI1170" s="232">
        <v>204</v>
      </c>
      <c r="AJ1170" s="231" t="s">
        <v>239</v>
      </c>
      <c r="AK1170" s="232">
        <v>332</v>
      </c>
      <c r="AL1170" s="232" t="s">
        <v>239</v>
      </c>
      <c r="AM1170" s="232">
        <v>8628</v>
      </c>
    </row>
    <row r="1171" spans="1:39" ht="15.75" outlineLevel="1">
      <c r="A1171" s="411">
        <v>581</v>
      </c>
      <c r="B1171" s="10">
        <v>129581</v>
      </c>
      <c r="C1171" s="218" t="s">
        <v>1489</v>
      </c>
      <c r="D1171" s="218" t="s">
        <v>1490</v>
      </c>
      <c r="E1171" s="23" t="s">
        <v>138</v>
      </c>
      <c r="F1171" s="17" t="s">
        <v>45</v>
      </c>
      <c r="G1171" s="11" t="s">
        <v>1432</v>
      </c>
      <c r="H1171" s="12">
        <v>18</v>
      </c>
      <c r="I1171" s="11" t="s">
        <v>1433</v>
      </c>
      <c r="J1171" s="193" t="s">
        <v>1451</v>
      </c>
      <c r="K1171" s="17" t="s">
        <v>233</v>
      </c>
      <c r="L1171" s="17" t="s">
        <v>233</v>
      </c>
      <c r="M1171" s="231">
        <v>0.7</v>
      </c>
      <c r="N1171" s="231">
        <v>0.7</v>
      </c>
      <c r="O1171" s="231">
        <v>0.7</v>
      </c>
      <c r="P1171" s="231" t="s">
        <v>239</v>
      </c>
      <c r="Q1171" s="231">
        <v>0.7</v>
      </c>
      <c r="R1171" s="231" t="s">
        <v>239</v>
      </c>
      <c r="S1171" s="231">
        <v>0.7</v>
      </c>
      <c r="T1171" s="231" t="s">
        <v>239</v>
      </c>
      <c r="U1171" s="231">
        <v>0.7</v>
      </c>
      <c r="V1171" s="230" t="s">
        <v>239</v>
      </c>
      <c r="W1171" s="231">
        <v>0.7</v>
      </c>
      <c r="X1171" s="231" t="s">
        <v>239</v>
      </c>
      <c r="Y1171" s="231">
        <v>0.7</v>
      </c>
      <c r="Z1171" s="231" t="s">
        <v>239</v>
      </c>
      <c r="AA1171" s="231">
        <v>0.7</v>
      </c>
      <c r="AB1171" s="231" t="s">
        <v>239</v>
      </c>
      <c r="AC1171" s="231">
        <v>0.7</v>
      </c>
      <c r="AD1171" s="231" t="s">
        <v>239</v>
      </c>
      <c r="AE1171" s="231">
        <v>0.7</v>
      </c>
      <c r="AF1171" s="231" t="s">
        <v>239</v>
      </c>
      <c r="AG1171" s="231">
        <v>0.7</v>
      </c>
      <c r="AH1171" s="231" t="s">
        <v>239</v>
      </c>
      <c r="AI1171" s="231">
        <v>0.7</v>
      </c>
      <c r="AJ1171" s="231" t="s">
        <v>239</v>
      </c>
      <c r="AK1171" s="231">
        <v>0.7</v>
      </c>
      <c r="AL1171" s="232" t="s">
        <v>239</v>
      </c>
      <c r="AM1171" s="232">
        <v>0</v>
      </c>
    </row>
    <row r="1172" spans="1:39" ht="15.75" outlineLevel="1">
      <c r="A1172" s="412"/>
      <c r="B1172" s="10">
        <v>129581</v>
      </c>
      <c r="C1172" s="218" t="s">
        <v>1489</v>
      </c>
      <c r="D1172" s="218" t="s">
        <v>1490</v>
      </c>
      <c r="E1172" s="23" t="s">
        <v>44</v>
      </c>
      <c r="F1172" s="17" t="s">
        <v>45</v>
      </c>
      <c r="G1172" s="11" t="s">
        <v>1432</v>
      </c>
      <c r="H1172" s="12">
        <v>17</v>
      </c>
      <c r="I1172" s="11" t="s">
        <v>1433</v>
      </c>
      <c r="J1172" s="193" t="s">
        <v>208</v>
      </c>
      <c r="K1172" s="17" t="s">
        <v>233</v>
      </c>
      <c r="L1172" s="17" t="s">
        <v>233</v>
      </c>
      <c r="M1172" s="231">
        <v>3620</v>
      </c>
      <c r="N1172" s="232">
        <v>3576.0531999999998</v>
      </c>
      <c r="O1172" s="132">
        <v>647</v>
      </c>
      <c r="P1172" s="231" t="s">
        <v>239</v>
      </c>
      <c r="Q1172" s="232">
        <v>647</v>
      </c>
      <c r="R1172" s="231" t="s">
        <v>239</v>
      </c>
      <c r="S1172" s="232">
        <v>586</v>
      </c>
      <c r="T1172" s="231" t="s">
        <v>239</v>
      </c>
      <c r="U1172" s="232">
        <v>611</v>
      </c>
      <c r="V1172" s="231" t="s">
        <v>239</v>
      </c>
      <c r="W1172" s="232">
        <v>547</v>
      </c>
      <c r="X1172" s="231" t="s">
        <v>239</v>
      </c>
      <c r="Y1172" s="232">
        <v>591</v>
      </c>
      <c r="Z1172" s="231" t="s">
        <v>239</v>
      </c>
      <c r="AA1172" s="232">
        <v>593</v>
      </c>
      <c r="AB1172" s="231" t="s">
        <v>239</v>
      </c>
      <c r="AC1172" s="232">
        <v>605</v>
      </c>
      <c r="AD1172" s="231" t="s">
        <v>239</v>
      </c>
      <c r="AE1172" s="232">
        <v>609</v>
      </c>
      <c r="AF1172" s="231" t="s">
        <v>239</v>
      </c>
      <c r="AG1172" s="232">
        <v>694</v>
      </c>
      <c r="AH1172" s="231" t="s">
        <v>239</v>
      </c>
      <c r="AI1172" s="232">
        <v>819</v>
      </c>
      <c r="AJ1172" s="231" t="s">
        <v>239</v>
      </c>
      <c r="AK1172" s="232">
        <v>625</v>
      </c>
      <c r="AL1172" s="232" t="s">
        <v>239</v>
      </c>
      <c r="AM1172" s="232">
        <v>7574</v>
      </c>
    </row>
    <row r="1173" spans="1:39" ht="15.75" outlineLevel="1">
      <c r="A1173" s="411">
        <v>582</v>
      </c>
      <c r="B1173" s="10">
        <v>129582</v>
      </c>
      <c r="C1173" s="218" t="s">
        <v>1489</v>
      </c>
      <c r="D1173" s="218" t="s">
        <v>1490</v>
      </c>
      <c r="E1173" s="23" t="s">
        <v>138</v>
      </c>
      <c r="F1173" s="17" t="s">
        <v>45</v>
      </c>
      <c r="G1173" s="11" t="s">
        <v>1432</v>
      </c>
      <c r="H1173" s="12">
        <v>24</v>
      </c>
      <c r="I1173" s="11" t="s">
        <v>1433</v>
      </c>
      <c r="J1173" s="193" t="s">
        <v>1452</v>
      </c>
      <c r="K1173" s="17" t="s">
        <v>233</v>
      </c>
      <c r="L1173" s="17" t="s">
        <v>233</v>
      </c>
      <c r="M1173" s="231">
        <v>0.7</v>
      </c>
      <c r="N1173" s="231">
        <v>0.7</v>
      </c>
      <c r="O1173" s="231">
        <v>0.7</v>
      </c>
      <c r="P1173" s="231" t="s">
        <v>239</v>
      </c>
      <c r="Q1173" s="231">
        <v>0.7</v>
      </c>
      <c r="R1173" s="231" t="s">
        <v>239</v>
      </c>
      <c r="S1173" s="231">
        <v>0.7</v>
      </c>
      <c r="T1173" s="231" t="s">
        <v>239</v>
      </c>
      <c r="U1173" s="231">
        <v>0.7</v>
      </c>
      <c r="V1173" s="231" t="s">
        <v>239</v>
      </c>
      <c r="W1173" s="231">
        <v>0.7</v>
      </c>
      <c r="X1173" s="231" t="s">
        <v>239</v>
      </c>
      <c r="Y1173" s="231">
        <v>0.7</v>
      </c>
      <c r="Z1173" s="231" t="s">
        <v>239</v>
      </c>
      <c r="AA1173" s="231">
        <v>0.7</v>
      </c>
      <c r="AB1173" s="231" t="s">
        <v>239</v>
      </c>
      <c r="AC1173" s="231">
        <v>0.7</v>
      </c>
      <c r="AD1173" s="231" t="s">
        <v>239</v>
      </c>
      <c r="AE1173" s="231">
        <v>0.7</v>
      </c>
      <c r="AF1173" s="231" t="s">
        <v>239</v>
      </c>
      <c r="AG1173" s="231">
        <v>0.7</v>
      </c>
      <c r="AH1173" s="231" t="s">
        <v>239</v>
      </c>
      <c r="AI1173" s="231">
        <v>0.7</v>
      </c>
      <c r="AJ1173" s="231" t="s">
        <v>239</v>
      </c>
      <c r="AK1173" s="231">
        <v>0.7</v>
      </c>
      <c r="AL1173" s="232" t="s">
        <v>239</v>
      </c>
      <c r="AM1173" s="232">
        <v>0</v>
      </c>
    </row>
    <row r="1174" spans="1:39" ht="15.75" outlineLevel="1">
      <c r="A1174" s="412"/>
      <c r="B1174" s="10">
        <v>129582</v>
      </c>
      <c r="C1174" s="218" t="s">
        <v>1489</v>
      </c>
      <c r="D1174" s="218" t="s">
        <v>1490</v>
      </c>
      <c r="E1174" s="23" t="s">
        <v>44</v>
      </c>
      <c r="F1174" s="17" t="s">
        <v>45</v>
      </c>
      <c r="G1174" s="11" t="s">
        <v>1432</v>
      </c>
      <c r="H1174" s="12">
        <v>10</v>
      </c>
      <c r="I1174" s="11" t="s">
        <v>1433</v>
      </c>
      <c r="J1174" s="193" t="s">
        <v>216</v>
      </c>
      <c r="K1174" s="17" t="s">
        <v>233</v>
      </c>
      <c r="L1174" s="17" t="s">
        <v>233</v>
      </c>
      <c r="M1174" s="231">
        <v>0</v>
      </c>
      <c r="N1174" s="232">
        <v>0</v>
      </c>
      <c r="O1174" s="132">
        <v>0</v>
      </c>
      <c r="P1174" s="231" t="s">
        <v>239</v>
      </c>
      <c r="Q1174" s="232">
        <v>0</v>
      </c>
      <c r="R1174" s="231" t="s">
        <v>239</v>
      </c>
      <c r="S1174" s="232">
        <v>0</v>
      </c>
      <c r="T1174" s="231" t="s">
        <v>239</v>
      </c>
      <c r="U1174" s="232">
        <v>0</v>
      </c>
      <c r="V1174" s="230" t="s">
        <v>239</v>
      </c>
      <c r="W1174" s="232">
        <v>0</v>
      </c>
      <c r="X1174" s="231" t="s">
        <v>239</v>
      </c>
      <c r="Y1174" s="232">
        <v>0</v>
      </c>
      <c r="Z1174" s="231" t="s">
        <v>239</v>
      </c>
      <c r="AA1174" s="232">
        <v>0</v>
      </c>
      <c r="AB1174" s="231" t="s">
        <v>239</v>
      </c>
      <c r="AC1174" s="232">
        <v>0</v>
      </c>
      <c r="AD1174" s="231" t="s">
        <v>239</v>
      </c>
      <c r="AE1174" s="232">
        <v>0</v>
      </c>
      <c r="AF1174" s="231" t="s">
        <v>239</v>
      </c>
      <c r="AG1174" s="232">
        <v>0</v>
      </c>
      <c r="AH1174" s="231" t="s">
        <v>239</v>
      </c>
      <c r="AI1174" s="232">
        <v>0</v>
      </c>
      <c r="AJ1174" s="231" t="s">
        <v>239</v>
      </c>
      <c r="AK1174" s="232">
        <v>0</v>
      </c>
      <c r="AL1174" s="232" t="s">
        <v>239</v>
      </c>
      <c r="AM1174" s="232">
        <v>0</v>
      </c>
    </row>
    <row r="1175" spans="1:39" ht="15.75" outlineLevel="1">
      <c r="A1175" s="411">
        <v>583</v>
      </c>
      <c r="B1175" s="10">
        <v>129583</v>
      </c>
      <c r="C1175" s="218" t="s">
        <v>1489</v>
      </c>
      <c r="D1175" s="218" t="s">
        <v>1490</v>
      </c>
      <c r="E1175" s="23" t="s">
        <v>44</v>
      </c>
      <c r="F1175" s="17" t="s">
        <v>45</v>
      </c>
      <c r="G1175" s="11" t="s">
        <v>1432</v>
      </c>
      <c r="H1175" s="12">
        <v>17</v>
      </c>
      <c r="I1175" s="11" t="s">
        <v>1433</v>
      </c>
      <c r="J1175" s="193" t="s">
        <v>1453</v>
      </c>
      <c r="K1175" s="17" t="s">
        <v>233</v>
      </c>
      <c r="L1175" s="17" t="s">
        <v>233</v>
      </c>
      <c r="M1175" s="231">
        <v>40</v>
      </c>
      <c r="N1175" s="231">
        <v>40</v>
      </c>
      <c r="O1175" s="231">
        <v>40</v>
      </c>
      <c r="P1175" s="231" t="s">
        <v>239</v>
      </c>
      <c r="Q1175" s="231">
        <v>40</v>
      </c>
      <c r="R1175" s="231" t="s">
        <v>239</v>
      </c>
      <c r="S1175" s="231">
        <v>40</v>
      </c>
      <c r="T1175" s="231" t="s">
        <v>239</v>
      </c>
      <c r="U1175" s="231">
        <v>40</v>
      </c>
      <c r="V1175" s="231" t="s">
        <v>239</v>
      </c>
      <c r="W1175" s="231">
        <v>40</v>
      </c>
      <c r="X1175" s="231" t="s">
        <v>239</v>
      </c>
      <c r="Y1175" s="231">
        <v>40</v>
      </c>
      <c r="Z1175" s="231" t="s">
        <v>239</v>
      </c>
      <c r="AA1175" s="231">
        <v>40</v>
      </c>
      <c r="AB1175" s="231" t="s">
        <v>239</v>
      </c>
      <c r="AC1175" s="231">
        <v>40</v>
      </c>
      <c r="AD1175" s="231" t="s">
        <v>239</v>
      </c>
      <c r="AE1175" s="231">
        <v>40</v>
      </c>
      <c r="AF1175" s="231" t="s">
        <v>239</v>
      </c>
      <c r="AG1175" s="231">
        <v>40</v>
      </c>
      <c r="AH1175" s="231" t="s">
        <v>239</v>
      </c>
      <c r="AI1175" s="231">
        <v>40</v>
      </c>
      <c r="AJ1175" s="231" t="s">
        <v>239</v>
      </c>
      <c r="AK1175" s="231">
        <v>40</v>
      </c>
      <c r="AL1175" s="232" t="s">
        <v>239</v>
      </c>
      <c r="AM1175" s="232">
        <v>0</v>
      </c>
    </row>
    <row r="1176" spans="1:39" ht="15.75" outlineLevel="1">
      <c r="A1176" s="412"/>
      <c r="B1176" s="10">
        <v>129583</v>
      </c>
      <c r="C1176" s="218" t="s">
        <v>1489</v>
      </c>
      <c r="D1176" s="218" t="s">
        <v>1490</v>
      </c>
      <c r="E1176" s="23" t="s">
        <v>138</v>
      </c>
      <c r="F1176" s="17" t="s">
        <v>45</v>
      </c>
      <c r="G1176" s="11" t="s">
        <v>1432</v>
      </c>
      <c r="H1176" s="12">
        <v>32</v>
      </c>
      <c r="I1176" s="11" t="s">
        <v>1433</v>
      </c>
      <c r="J1176" s="193" t="s">
        <v>1454</v>
      </c>
      <c r="K1176" s="17" t="s">
        <v>233</v>
      </c>
      <c r="L1176" s="17" t="s">
        <v>233</v>
      </c>
      <c r="M1176" s="231">
        <v>13729</v>
      </c>
      <c r="N1176" s="232">
        <v>13562.32994</v>
      </c>
      <c r="O1176" s="132">
        <v>926</v>
      </c>
      <c r="P1176" s="231" t="s">
        <v>239</v>
      </c>
      <c r="Q1176" s="232">
        <v>926</v>
      </c>
      <c r="R1176" s="231" t="s">
        <v>239</v>
      </c>
      <c r="S1176" s="232">
        <v>902</v>
      </c>
      <c r="T1176" s="231" t="s">
        <v>239</v>
      </c>
      <c r="U1176" s="232">
        <v>921</v>
      </c>
      <c r="V1176" s="231" t="s">
        <v>239</v>
      </c>
      <c r="W1176" s="232">
        <v>876</v>
      </c>
      <c r="X1176" s="231" t="s">
        <v>239</v>
      </c>
      <c r="Y1176" s="232">
        <v>1151</v>
      </c>
      <c r="Z1176" s="231" t="s">
        <v>239</v>
      </c>
      <c r="AA1176" s="232">
        <v>991</v>
      </c>
      <c r="AB1176" s="231" t="s">
        <v>239</v>
      </c>
      <c r="AC1176" s="232">
        <v>831</v>
      </c>
      <c r="AD1176" s="231" t="s">
        <v>239</v>
      </c>
      <c r="AE1176" s="232">
        <v>849</v>
      </c>
      <c r="AF1176" s="231" t="s">
        <v>239</v>
      </c>
      <c r="AG1176" s="232">
        <v>982</v>
      </c>
      <c r="AH1176" s="231" t="s">
        <v>239</v>
      </c>
      <c r="AI1176" s="232">
        <v>786</v>
      </c>
      <c r="AJ1176" s="231" t="s">
        <v>239</v>
      </c>
      <c r="AK1176" s="232">
        <v>742</v>
      </c>
      <c r="AL1176" s="232" t="s">
        <v>239</v>
      </c>
      <c r="AM1176" s="232">
        <v>10883</v>
      </c>
    </row>
    <row r="1177" spans="1:39" ht="15.75" outlineLevel="1">
      <c r="A1177" s="411">
        <v>584</v>
      </c>
      <c r="B1177" s="10">
        <v>129584</v>
      </c>
      <c r="C1177" s="218" t="s">
        <v>1489</v>
      </c>
      <c r="D1177" s="218" t="s">
        <v>1490</v>
      </c>
      <c r="E1177" s="23" t="s">
        <v>44</v>
      </c>
      <c r="F1177" s="17" t="s">
        <v>45</v>
      </c>
      <c r="G1177" s="11" t="s">
        <v>1432</v>
      </c>
      <c r="H1177" s="12">
        <v>8</v>
      </c>
      <c r="I1177" s="11" t="s">
        <v>1433</v>
      </c>
      <c r="J1177" s="191" t="s">
        <v>216</v>
      </c>
      <c r="K1177" s="17" t="s">
        <v>233</v>
      </c>
      <c r="L1177" s="17" t="s">
        <v>233</v>
      </c>
      <c r="M1177" s="231">
        <v>40</v>
      </c>
      <c r="N1177" s="231">
        <v>40</v>
      </c>
      <c r="O1177" s="231">
        <v>40</v>
      </c>
      <c r="P1177" s="231" t="s">
        <v>239</v>
      </c>
      <c r="Q1177" s="231">
        <v>40</v>
      </c>
      <c r="R1177" s="231" t="s">
        <v>239</v>
      </c>
      <c r="S1177" s="231">
        <v>40</v>
      </c>
      <c r="T1177" s="231" t="s">
        <v>239</v>
      </c>
      <c r="U1177" s="231">
        <v>40</v>
      </c>
      <c r="V1177" s="230" t="s">
        <v>239</v>
      </c>
      <c r="W1177" s="231">
        <v>40</v>
      </c>
      <c r="X1177" s="231" t="s">
        <v>239</v>
      </c>
      <c r="Y1177" s="231">
        <v>40</v>
      </c>
      <c r="Z1177" s="231" t="s">
        <v>239</v>
      </c>
      <c r="AA1177" s="231">
        <v>40</v>
      </c>
      <c r="AB1177" s="231" t="s">
        <v>239</v>
      </c>
      <c r="AC1177" s="231">
        <v>40</v>
      </c>
      <c r="AD1177" s="231" t="s">
        <v>239</v>
      </c>
      <c r="AE1177" s="231">
        <v>40</v>
      </c>
      <c r="AF1177" s="231" t="s">
        <v>239</v>
      </c>
      <c r="AG1177" s="231">
        <v>40</v>
      </c>
      <c r="AH1177" s="231" t="s">
        <v>239</v>
      </c>
      <c r="AI1177" s="231">
        <v>40</v>
      </c>
      <c r="AJ1177" s="231" t="s">
        <v>239</v>
      </c>
      <c r="AK1177" s="231">
        <v>40</v>
      </c>
      <c r="AL1177" s="232" t="s">
        <v>239</v>
      </c>
      <c r="AM1177" s="232">
        <v>0</v>
      </c>
    </row>
    <row r="1178" spans="1:39" ht="15.75" outlineLevel="1">
      <c r="A1178" s="412"/>
      <c r="B1178" s="10">
        <v>129584</v>
      </c>
      <c r="C1178" s="218" t="s">
        <v>1489</v>
      </c>
      <c r="D1178" s="218" t="s">
        <v>1490</v>
      </c>
      <c r="E1178" s="23" t="s">
        <v>138</v>
      </c>
      <c r="F1178" s="17" t="s">
        <v>45</v>
      </c>
      <c r="G1178" s="11" t="s">
        <v>1432</v>
      </c>
      <c r="H1178" s="12">
        <v>12</v>
      </c>
      <c r="I1178" s="11" t="s">
        <v>1433</v>
      </c>
      <c r="J1178" s="192" t="s">
        <v>1434</v>
      </c>
      <c r="K1178" s="17" t="s">
        <v>233</v>
      </c>
      <c r="L1178" s="17" t="s">
        <v>233</v>
      </c>
      <c r="M1178" s="231">
        <v>0</v>
      </c>
      <c r="N1178" s="232">
        <v>0</v>
      </c>
      <c r="O1178" s="132">
        <v>0</v>
      </c>
      <c r="P1178" s="231" t="s">
        <v>239</v>
      </c>
      <c r="Q1178" s="232">
        <v>0</v>
      </c>
      <c r="R1178" s="231" t="s">
        <v>239</v>
      </c>
      <c r="S1178" s="232">
        <v>0</v>
      </c>
      <c r="T1178" s="231" t="s">
        <v>239</v>
      </c>
      <c r="U1178" s="232">
        <v>0</v>
      </c>
      <c r="V1178" s="231" t="s">
        <v>239</v>
      </c>
      <c r="W1178" s="232">
        <v>0</v>
      </c>
      <c r="X1178" s="231" t="s">
        <v>239</v>
      </c>
      <c r="Y1178" s="232">
        <v>0</v>
      </c>
      <c r="Z1178" s="231" t="s">
        <v>239</v>
      </c>
      <c r="AA1178" s="232">
        <v>0</v>
      </c>
      <c r="AB1178" s="231" t="s">
        <v>239</v>
      </c>
      <c r="AC1178" s="232">
        <v>0</v>
      </c>
      <c r="AD1178" s="231" t="s">
        <v>239</v>
      </c>
      <c r="AE1178" s="232">
        <v>0</v>
      </c>
      <c r="AF1178" s="231" t="s">
        <v>239</v>
      </c>
      <c r="AG1178" s="232">
        <v>0</v>
      </c>
      <c r="AH1178" s="231" t="s">
        <v>239</v>
      </c>
      <c r="AI1178" s="232">
        <v>0</v>
      </c>
      <c r="AJ1178" s="231" t="s">
        <v>239</v>
      </c>
      <c r="AK1178" s="232">
        <v>0</v>
      </c>
      <c r="AL1178" s="232" t="s">
        <v>239</v>
      </c>
      <c r="AM1178" s="232">
        <v>0</v>
      </c>
    </row>
    <row r="1179" spans="1:39" ht="15.75" outlineLevel="1">
      <c r="A1179" s="411">
        <v>585</v>
      </c>
      <c r="B1179" s="10">
        <v>129585</v>
      </c>
      <c r="C1179" s="218" t="s">
        <v>1489</v>
      </c>
      <c r="D1179" s="218" t="s">
        <v>1490</v>
      </c>
      <c r="E1179" s="23" t="s">
        <v>44</v>
      </c>
      <c r="F1179" s="17" t="s">
        <v>45</v>
      </c>
      <c r="G1179" s="11" t="s">
        <v>1432</v>
      </c>
      <c r="H1179" s="12">
        <v>18</v>
      </c>
      <c r="I1179" s="11" t="s">
        <v>1433</v>
      </c>
      <c r="J1179" s="192" t="s">
        <v>1480</v>
      </c>
      <c r="K1179" s="17" t="s">
        <v>233</v>
      </c>
      <c r="L1179" s="17" t="s">
        <v>233</v>
      </c>
      <c r="M1179" s="231">
        <v>1.2</v>
      </c>
      <c r="N1179" s="231">
        <v>1.2</v>
      </c>
      <c r="O1179" s="231">
        <v>1.2</v>
      </c>
      <c r="P1179" s="231" t="s">
        <v>239</v>
      </c>
      <c r="Q1179" s="231">
        <v>1.2</v>
      </c>
      <c r="R1179" s="231" t="s">
        <v>239</v>
      </c>
      <c r="S1179" s="231">
        <v>1.2</v>
      </c>
      <c r="T1179" s="231" t="s">
        <v>239</v>
      </c>
      <c r="U1179" s="231">
        <v>1.2</v>
      </c>
      <c r="V1179" s="231" t="s">
        <v>239</v>
      </c>
      <c r="W1179" s="231">
        <v>1.2</v>
      </c>
      <c r="X1179" s="231" t="s">
        <v>239</v>
      </c>
      <c r="Y1179" s="231">
        <v>1.2</v>
      </c>
      <c r="Z1179" s="231" t="s">
        <v>239</v>
      </c>
      <c r="AA1179" s="231">
        <v>1.2</v>
      </c>
      <c r="AB1179" s="231" t="s">
        <v>239</v>
      </c>
      <c r="AC1179" s="231">
        <v>1.2</v>
      </c>
      <c r="AD1179" s="231" t="s">
        <v>239</v>
      </c>
      <c r="AE1179" s="231">
        <v>1.2</v>
      </c>
      <c r="AF1179" s="231" t="s">
        <v>239</v>
      </c>
      <c r="AG1179" s="231">
        <v>1.2</v>
      </c>
      <c r="AH1179" s="231" t="s">
        <v>239</v>
      </c>
      <c r="AI1179" s="231">
        <v>1.2</v>
      </c>
      <c r="AJ1179" s="231" t="s">
        <v>239</v>
      </c>
      <c r="AK1179" s="231">
        <v>1.2</v>
      </c>
      <c r="AL1179" s="232" t="s">
        <v>239</v>
      </c>
      <c r="AM1179" s="232">
        <v>0</v>
      </c>
    </row>
    <row r="1180" spans="1:39" ht="15.75" outlineLevel="1">
      <c r="A1180" s="412"/>
      <c r="B1180" s="10">
        <v>129585</v>
      </c>
      <c r="C1180" s="218" t="s">
        <v>1489</v>
      </c>
      <c r="D1180" s="218" t="s">
        <v>1490</v>
      </c>
      <c r="E1180" s="23" t="s">
        <v>138</v>
      </c>
      <c r="F1180" s="17" t="s">
        <v>45</v>
      </c>
      <c r="G1180" s="11" t="s">
        <v>1432</v>
      </c>
      <c r="H1180" s="12">
        <v>17</v>
      </c>
      <c r="I1180" s="11" t="s">
        <v>1433</v>
      </c>
      <c r="J1180" s="192" t="s">
        <v>1452</v>
      </c>
      <c r="K1180" s="17" t="s">
        <v>233</v>
      </c>
      <c r="L1180" s="17" t="s">
        <v>233</v>
      </c>
      <c r="M1180" s="231">
        <v>11460</v>
      </c>
      <c r="N1180" s="232">
        <v>11320.875599999999</v>
      </c>
      <c r="O1180" s="132">
        <v>1078</v>
      </c>
      <c r="P1180" s="231" t="s">
        <v>239</v>
      </c>
      <c r="Q1180" s="232">
        <v>1078</v>
      </c>
      <c r="R1180" s="231" t="s">
        <v>239</v>
      </c>
      <c r="S1180" s="232">
        <v>822</v>
      </c>
      <c r="T1180" s="231" t="s">
        <v>239</v>
      </c>
      <c r="U1180" s="232">
        <v>500</v>
      </c>
      <c r="V1180" s="230" t="s">
        <v>239</v>
      </c>
      <c r="W1180" s="232">
        <v>423</v>
      </c>
      <c r="X1180" s="231" t="s">
        <v>239</v>
      </c>
      <c r="Y1180" s="232">
        <v>156</v>
      </c>
      <c r="Z1180" s="231" t="s">
        <v>239</v>
      </c>
      <c r="AA1180" s="232">
        <v>153</v>
      </c>
      <c r="AB1180" s="231" t="s">
        <v>239</v>
      </c>
      <c r="AC1180" s="232">
        <v>205</v>
      </c>
      <c r="AD1180" s="231" t="s">
        <v>239</v>
      </c>
      <c r="AE1180" s="232">
        <v>621</v>
      </c>
      <c r="AF1180" s="231" t="s">
        <v>239</v>
      </c>
      <c r="AG1180" s="232">
        <v>149</v>
      </c>
      <c r="AH1180" s="231" t="s">
        <v>239</v>
      </c>
      <c r="AI1180" s="232">
        <v>197</v>
      </c>
      <c r="AJ1180" s="231" t="s">
        <v>239</v>
      </c>
      <c r="AK1180" s="232">
        <v>203</v>
      </c>
      <c r="AL1180" s="232" t="s">
        <v>239</v>
      </c>
      <c r="AM1180" s="232">
        <v>5585</v>
      </c>
    </row>
    <row r="1181" spans="1:39" ht="15.75" outlineLevel="1">
      <c r="A1181" s="411">
        <v>586</v>
      </c>
      <c r="B1181" s="10">
        <v>129586</v>
      </c>
      <c r="C1181" s="218" t="s">
        <v>1489</v>
      </c>
      <c r="D1181" s="218" t="s">
        <v>1490</v>
      </c>
      <c r="E1181" s="23" t="s">
        <v>44</v>
      </c>
      <c r="F1181" s="17" t="s">
        <v>45</v>
      </c>
      <c r="G1181" s="11" t="s">
        <v>1432</v>
      </c>
      <c r="H1181" s="12">
        <v>25</v>
      </c>
      <c r="I1181" s="11" t="s">
        <v>1433</v>
      </c>
      <c r="J1181" s="193" t="s">
        <v>1451</v>
      </c>
      <c r="K1181" s="17" t="s">
        <v>233</v>
      </c>
      <c r="L1181" s="17" t="s">
        <v>233</v>
      </c>
      <c r="M1181" s="231">
        <v>31</v>
      </c>
      <c r="N1181" s="231">
        <v>31</v>
      </c>
      <c r="O1181" s="231">
        <v>31</v>
      </c>
      <c r="P1181" s="231" t="s">
        <v>239</v>
      </c>
      <c r="Q1181" s="231">
        <v>31</v>
      </c>
      <c r="R1181" s="231" t="s">
        <v>239</v>
      </c>
      <c r="S1181" s="231">
        <v>31</v>
      </c>
      <c r="T1181" s="231" t="s">
        <v>239</v>
      </c>
      <c r="U1181" s="231">
        <v>31</v>
      </c>
      <c r="V1181" s="231" t="s">
        <v>239</v>
      </c>
      <c r="W1181" s="231">
        <v>31</v>
      </c>
      <c r="X1181" s="231" t="s">
        <v>239</v>
      </c>
      <c r="Y1181" s="231">
        <v>31</v>
      </c>
      <c r="Z1181" s="231" t="s">
        <v>239</v>
      </c>
      <c r="AA1181" s="231">
        <v>31</v>
      </c>
      <c r="AB1181" s="231" t="s">
        <v>239</v>
      </c>
      <c r="AC1181" s="231">
        <v>31</v>
      </c>
      <c r="AD1181" s="231" t="s">
        <v>239</v>
      </c>
      <c r="AE1181" s="231">
        <v>31</v>
      </c>
      <c r="AF1181" s="231" t="s">
        <v>239</v>
      </c>
      <c r="AG1181" s="231">
        <v>31</v>
      </c>
      <c r="AH1181" s="231" t="s">
        <v>239</v>
      </c>
      <c r="AI1181" s="231">
        <v>31</v>
      </c>
      <c r="AJ1181" s="231" t="s">
        <v>239</v>
      </c>
      <c r="AK1181" s="231">
        <v>31</v>
      </c>
      <c r="AL1181" s="232" t="s">
        <v>239</v>
      </c>
      <c r="AM1181" s="232">
        <v>0</v>
      </c>
    </row>
    <row r="1182" spans="1:39" ht="15.75" outlineLevel="1">
      <c r="A1182" s="412"/>
      <c r="B1182" s="10">
        <v>129586</v>
      </c>
      <c r="C1182" s="218" t="s">
        <v>1489</v>
      </c>
      <c r="D1182" s="218" t="s">
        <v>1490</v>
      </c>
      <c r="E1182" s="23" t="s">
        <v>138</v>
      </c>
      <c r="F1182" s="17" t="s">
        <v>45</v>
      </c>
      <c r="G1182" s="11" t="s">
        <v>1432</v>
      </c>
      <c r="H1182" s="12">
        <v>13</v>
      </c>
      <c r="I1182" s="11" t="s">
        <v>1433</v>
      </c>
      <c r="J1182" s="193" t="s">
        <v>208</v>
      </c>
      <c r="K1182" s="17" t="s">
        <v>233</v>
      </c>
      <c r="L1182" s="17" t="s">
        <v>233</v>
      </c>
      <c r="M1182" s="231">
        <v>30708</v>
      </c>
      <c r="N1182" s="232">
        <v>30335.204879999998</v>
      </c>
      <c r="O1182" s="132">
        <v>1554</v>
      </c>
      <c r="P1182" s="231" t="s">
        <v>239</v>
      </c>
      <c r="Q1182" s="232">
        <v>1554</v>
      </c>
      <c r="R1182" s="231" t="s">
        <v>239</v>
      </c>
      <c r="S1182" s="232">
        <v>1500</v>
      </c>
      <c r="T1182" s="231" t="s">
        <v>239</v>
      </c>
      <c r="U1182" s="232">
        <v>1476</v>
      </c>
      <c r="V1182" s="231" t="s">
        <v>239</v>
      </c>
      <c r="W1182" s="232">
        <v>1319</v>
      </c>
      <c r="X1182" s="231" t="s">
        <v>239</v>
      </c>
      <c r="Y1182" s="232">
        <v>1289</v>
      </c>
      <c r="Z1182" s="231" t="s">
        <v>239</v>
      </c>
      <c r="AA1182" s="232">
        <v>1316</v>
      </c>
      <c r="AB1182" s="231" t="s">
        <v>239</v>
      </c>
      <c r="AC1182" s="232">
        <v>1560</v>
      </c>
      <c r="AD1182" s="231" t="s">
        <v>239</v>
      </c>
      <c r="AE1182" s="232">
        <v>1378</v>
      </c>
      <c r="AF1182" s="231" t="s">
        <v>239</v>
      </c>
      <c r="AG1182" s="232">
        <v>1347</v>
      </c>
      <c r="AH1182" s="231" t="s">
        <v>239</v>
      </c>
      <c r="AI1182" s="232">
        <v>1495</v>
      </c>
      <c r="AJ1182" s="231" t="s">
        <v>239</v>
      </c>
      <c r="AK1182" s="232">
        <v>1349</v>
      </c>
      <c r="AL1182" s="232" t="s">
        <v>239</v>
      </c>
      <c r="AM1182" s="232">
        <v>17137</v>
      </c>
    </row>
    <row r="1183" spans="1:39" ht="15.75" outlineLevel="1">
      <c r="A1183" s="411">
        <v>587</v>
      </c>
      <c r="B1183" s="10">
        <v>129587</v>
      </c>
      <c r="C1183" s="218" t="s">
        <v>1489</v>
      </c>
      <c r="D1183" s="218" t="s">
        <v>1490</v>
      </c>
      <c r="E1183" s="23" t="s">
        <v>44</v>
      </c>
      <c r="F1183" s="17" t="s">
        <v>45</v>
      </c>
      <c r="G1183" s="11" t="s">
        <v>1432</v>
      </c>
      <c r="H1183" s="12">
        <v>5</v>
      </c>
      <c r="I1183" s="11" t="s">
        <v>1433</v>
      </c>
      <c r="J1183" s="193" t="s">
        <v>1452</v>
      </c>
      <c r="K1183" s="17" t="s">
        <v>233</v>
      </c>
      <c r="L1183" s="17" t="s">
        <v>233</v>
      </c>
      <c r="M1183" s="231">
        <v>17.5</v>
      </c>
      <c r="N1183" s="231">
        <v>17.5</v>
      </c>
      <c r="O1183" s="231">
        <v>17.5</v>
      </c>
      <c r="P1183" s="231" t="s">
        <v>239</v>
      </c>
      <c r="Q1183" s="231">
        <v>17.5</v>
      </c>
      <c r="R1183" s="231" t="s">
        <v>239</v>
      </c>
      <c r="S1183" s="231">
        <v>17.5</v>
      </c>
      <c r="T1183" s="231" t="s">
        <v>239</v>
      </c>
      <c r="U1183" s="231">
        <v>17.5</v>
      </c>
      <c r="V1183" s="230" t="s">
        <v>239</v>
      </c>
      <c r="W1183" s="231">
        <v>17.5</v>
      </c>
      <c r="X1183" s="231" t="s">
        <v>239</v>
      </c>
      <c r="Y1183" s="231">
        <v>17.5</v>
      </c>
      <c r="Z1183" s="231" t="s">
        <v>239</v>
      </c>
      <c r="AA1183" s="231">
        <v>17.5</v>
      </c>
      <c r="AB1183" s="231" t="s">
        <v>239</v>
      </c>
      <c r="AC1183" s="231">
        <v>17.5</v>
      </c>
      <c r="AD1183" s="231" t="s">
        <v>239</v>
      </c>
      <c r="AE1183" s="231">
        <v>17.5</v>
      </c>
      <c r="AF1183" s="231" t="s">
        <v>239</v>
      </c>
      <c r="AG1183" s="231">
        <v>17.5</v>
      </c>
      <c r="AH1183" s="231" t="s">
        <v>239</v>
      </c>
      <c r="AI1183" s="231">
        <v>17.5</v>
      </c>
      <c r="AJ1183" s="231" t="s">
        <v>239</v>
      </c>
      <c r="AK1183" s="231">
        <v>17.5</v>
      </c>
      <c r="AL1183" s="232" t="s">
        <v>239</v>
      </c>
      <c r="AM1183" s="232">
        <v>0</v>
      </c>
    </row>
    <row r="1184" spans="1:39" ht="15.75" outlineLevel="1">
      <c r="A1184" s="412"/>
      <c r="B1184" s="10">
        <v>129587</v>
      </c>
      <c r="C1184" s="218" t="s">
        <v>1489</v>
      </c>
      <c r="D1184" s="218" t="s">
        <v>1490</v>
      </c>
      <c r="E1184" s="23" t="s">
        <v>44</v>
      </c>
      <c r="F1184" s="17" t="s">
        <v>45</v>
      </c>
      <c r="G1184" s="11" t="s">
        <v>1432</v>
      </c>
      <c r="H1184" s="12">
        <v>4</v>
      </c>
      <c r="I1184" s="11" t="s">
        <v>1433</v>
      </c>
      <c r="J1184" s="193" t="s">
        <v>216</v>
      </c>
      <c r="K1184" s="17" t="s">
        <v>233</v>
      </c>
      <c r="L1184" s="17" t="s">
        <v>233</v>
      </c>
      <c r="M1184" s="231">
        <v>17136</v>
      </c>
      <c r="N1184" s="232">
        <v>16927.968959999998</v>
      </c>
      <c r="O1184" s="132">
        <v>785</v>
      </c>
      <c r="P1184" s="231" t="s">
        <v>239</v>
      </c>
      <c r="Q1184" s="232">
        <v>785</v>
      </c>
      <c r="R1184" s="231" t="s">
        <v>239</v>
      </c>
      <c r="S1184" s="232">
        <v>624</v>
      </c>
      <c r="T1184" s="231" t="s">
        <v>239</v>
      </c>
      <c r="U1184" s="232">
        <v>445</v>
      </c>
      <c r="V1184" s="231" t="s">
        <v>239</v>
      </c>
      <c r="W1184" s="232">
        <v>494</v>
      </c>
      <c r="X1184" s="231" t="s">
        <v>239</v>
      </c>
      <c r="Y1184" s="232">
        <v>203</v>
      </c>
      <c r="Z1184" s="231" t="s">
        <v>239</v>
      </c>
      <c r="AA1184" s="232">
        <v>154</v>
      </c>
      <c r="AB1184" s="231" t="s">
        <v>239</v>
      </c>
      <c r="AC1184" s="232">
        <v>229</v>
      </c>
      <c r="AD1184" s="231" t="s">
        <v>239</v>
      </c>
      <c r="AE1184" s="232">
        <v>317</v>
      </c>
      <c r="AF1184" s="231" t="s">
        <v>239</v>
      </c>
      <c r="AG1184" s="232">
        <v>288</v>
      </c>
      <c r="AH1184" s="231" t="s">
        <v>239</v>
      </c>
      <c r="AI1184" s="232">
        <v>399</v>
      </c>
      <c r="AJ1184" s="231" t="s">
        <v>239</v>
      </c>
      <c r="AK1184" s="232">
        <v>505</v>
      </c>
      <c r="AL1184" s="232" t="s">
        <v>239</v>
      </c>
      <c r="AM1184" s="232">
        <v>5228</v>
      </c>
    </row>
    <row r="1185" spans="1:39" ht="15.75" outlineLevel="1">
      <c r="A1185" s="411">
        <v>588</v>
      </c>
      <c r="B1185" s="10">
        <v>129588</v>
      </c>
      <c r="C1185" s="218" t="s">
        <v>1489</v>
      </c>
      <c r="D1185" s="218" t="s">
        <v>1490</v>
      </c>
      <c r="E1185" s="23" t="s">
        <v>138</v>
      </c>
      <c r="F1185" s="17" t="s">
        <v>45</v>
      </c>
      <c r="G1185" s="11" t="s">
        <v>1432</v>
      </c>
      <c r="H1185" s="12">
        <v>24</v>
      </c>
      <c r="I1185" s="11" t="s">
        <v>1433</v>
      </c>
      <c r="J1185" s="193" t="s">
        <v>1453</v>
      </c>
      <c r="K1185" s="17" t="s">
        <v>233</v>
      </c>
      <c r="L1185" s="17" t="s">
        <v>233</v>
      </c>
      <c r="M1185" s="231">
        <v>54</v>
      </c>
      <c r="N1185" s="231">
        <v>54</v>
      </c>
      <c r="O1185" s="231">
        <v>54</v>
      </c>
      <c r="P1185" s="231" t="s">
        <v>239</v>
      </c>
      <c r="Q1185" s="231">
        <v>54</v>
      </c>
      <c r="R1185" s="231" t="s">
        <v>239</v>
      </c>
      <c r="S1185" s="231">
        <v>54</v>
      </c>
      <c r="T1185" s="231" t="s">
        <v>239</v>
      </c>
      <c r="U1185" s="231">
        <v>54</v>
      </c>
      <c r="V1185" s="231" t="s">
        <v>239</v>
      </c>
      <c r="W1185" s="231">
        <v>54</v>
      </c>
      <c r="X1185" s="231" t="s">
        <v>239</v>
      </c>
      <c r="Y1185" s="231">
        <v>54</v>
      </c>
      <c r="Z1185" s="231" t="s">
        <v>239</v>
      </c>
      <c r="AA1185" s="231">
        <v>54</v>
      </c>
      <c r="AB1185" s="231" t="s">
        <v>239</v>
      </c>
      <c r="AC1185" s="231">
        <v>54</v>
      </c>
      <c r="AD1185" s="231" t="s">
        <v>239</v>
      </c>
      <c r="AE1185" s="231">
        <v>54</v>
      </c>
      <c r="AF1185" s="231" t="s">
        <v>239</v>
      </c>
      <c r="AG1185" s="231">
        <v>54</v>
      </c>
      <c r="AH1185" s="231" t="s">
        <v>239</v>
      </c>
      <c r="AI1185" s="231">
        <v>54</v>
      </c>
      <c r="AJ1185" s="231" t="s">
        <v>239</v>
      </c>
      <c r="AK1185" s="231">
        <v>54</v>
      </c>
      <c r="AL1185" s="232" t="s">
        <v>239</v>
      </c>
      <c r="AM1185" s="232">
        <v>0</v>
      </c>
    </row>
    <row r="1186" spans="1:39" ht="15.75" outlineLevel="1">
      <c r="A1186" s="412"/>
      <c r="B1186" s="10">
        <v>129588</v>
      </c>
      <c r="C1186" s="218" t="s">
        <v>1489</v>
      </c>
      <c r="D1186" s="218" t="s">
        <v>1490</v>
      </c>
      <c r="E1186" s="23" t="s">
        <v>44</v>
      </c>
      <c r="F1186" s="17" t="s">
        <v>45</v>
      </c>
      <c r="G1186" s="11" t="s">
        <v>1432</v>
      </c>
      <c r="H1186" s="12">
        <v>10</v>
      </c>
      <c r="I1186" s="11" t="s">
        <v>1433</v>
      </c>
      <c r="J1186" s="193" t="s">
        <v>1454</v>
      </c>
      <c r="K1186" s="17" t="s">
        <v>233</v>
      </c>
      <c r="L1186" s="17" t="s">
        <v>233</v>
      </c>
      <c r="M1186" s="231">
        <v>34725</v>
      </c>
      <c r="N1186" s="232">
        <v>34303.438499999997</v>
      </c>
      <c r="O1186" s="132">
        <v>2145</v>
      </c>
      <c r="P1186" s="231" t="s">
        <v>239</v>
      </c>
      <c r="Q1186" s="232">
        <v>2145</v>
      </c>
      <c r="R1186" s="231" t="s">
        <v>239</v>
      </c>
      <c r="S1186" s="232">
        <v>1993</v>
      </c>
      <c r="T1186" s="231" t="s">
        <v>239</v>
      </c>
      <c r="U1186" s="232">
        <v>2094</v>
      </c>
      <c r="V1186" s="230" t="s">
        <v>239</v>
      </c>
      <c r="W1186" s="232">
        <v>1748</v>
      </c>
      <c r="X1186" s="231" t="s">
        <v>239</v>
      </c>
      <c r="Y1186" s="232">
        <v>1703</v>
      </c>
      <c r="Z1186" s="231" t="s">
        <v>239</v>
      </c>
      <c r="AA1186" s="232">
        <v>1569</v>
      </c>
      <c r="AB1186" s="231" t="s">
        <v>239</v>
      </c>
      <c r="AC1186" s="232">
        <v>1563</v>
      </c>
      <c r="AD1186" s="231" t="s">
        <v>239</v>
      </c>
      <c r="AE1186" s="232">
        <v>1540</v>
      </c>
      <c r="AF1186" s="231" t="s">
        <v>239</v>
      </c>
      <c r="AG1186" s="232">
        <v>1718</v>
      </c>
      <c r="AH1186" s="231" t="s">
        <v>239</v>
      </c>
      <c r="AI1186" s="232">
        <v>1588</v>
      </c>
      <c r="AJ1186" s="231" t="s">
        <v>239</v>
      </c>
      <c r="AK1186" s="232">
        <v>1480</v>
      </c>
      <c r="AL1186" s="232" t="s">
        <v>239</v>
      </c>
      <c r="AM1186" s="232">
        <v>21286</v>
      </c>
    </row>
    <row r="1187" spans="1:39" ht="15.75" outlineLevel="1">
      <c r="A1187" s="411">
        <v>589</v>
      </c>
      <c r="B1187" s="10">
        <v>129589</v>
      </c>
      <c r="C1187" s="218" t="s">
        <v>1489</v>
      </c>
      <c r="D1187" s="218" t="s">
        <v>1490</v>
      </c>
      <c r="E1187" s="23" t="s">
        <v>138</v>
      </c>
      <c r="F1187" s="17" t="s">
        <v>45</v>
      </c>
      <c r="G1187" s="11" t="s">
        <v>1432</v>
      </c>
      <c r="H1187" s="12">
        <v>17</v>
      </c>
      <c r="I1187" s="11" t="s">
        <v>1433</v>
      </c>
      <c r="J1187" s="191" t="s">
        <v>216</v>
      </c>
      <c r="K1187" s="17" t="s">
        <v>233</v>
      </c>
      <c r="L1187" s="17" t="s">
        <v>233</v>
      </c>
      <c r="M1187" s="231">
        <v>1.5</v>
      </c>
      <c r="N1187" s="231">
        <v>1.5</v>
      </c>
      <c r="O1187" s="231">
        <v>1.5</v>
      </c>
      <c r="P1187" s="231" t="s">
        <v>239</v>
      </c>
      <c r="Q1187" s="231">
        <v>1.5</v>
      </c>
      <c r="R1187" s="231" t="s">
        <v>239</v>
      </c>
      <c r="S1187" s="231">
        <v>1.5</v>
      </c>
      <c r="T1187" s="231" t="s">
        <v>239</v>
      </c>
      <c r="U1187" s="231">
        <v>1.5</v>
      </c>
      <c r="V1187" s="231" t="s">
        <v>239</v>
      </c>
      <c r="W1187" s="231">
        <v>1.5</v>
      </c>
      <c r="X1187" s="231" t="s">
        <v>239</v>
      </c>
      <c r="Y1187" s="231">
        <v>1.5</v>
      </c>
      <c r="Z1187" s="231" t="s">
        <v>239</v>
      </c>
      <c r="AA1187" s="231">
        <v>1.5</v>
      </c>
      <c r="AB1187" s="231" t="s">
        <v>239</v>
      </c>
      <c r="AC1187" s="231">
        <v>1.5</v>
      </c>
      <c r="AD1187" s="231" t="s">
        <v>239</v>
      </c>
      <c r="AE1187" s="231">
        <v>1.5</v>
      </c>
      <c r="AF1187" s="231" t="s">
        <v>239</v>
      </c>
      <c r="AG1187" s="231">
        <v>1.5</v>
      </c>
      <c r="AH1187" s="231" t="s">
        <v>239</v>
      </c>
      <c r="AI1187" s="231">
        <v>1.5</v>
      </c>
      <c r="AJ1187" s="231" t="s">
        <v>239</v>
      </c>
      <c r="AK1187" s="231">
        <v>1.5</v>
      </c>
      <c r="AL1187" s="232" t="s">
        <v>239</v>
      </c>
      <c r="AM1187" s="232">
        <v>0</v>
      </c>
    </row>
    <row r="1188" spans="1:39" ht="15.75" outlineLevel="1">
      <c r="A1188" s="412"/>
      <c r="B1188" s="10">
        <v>129589</v>
      </c>
      <c r="C1188" s="218" t="s">
        <v>1489</v>
      </c>
      <c r="D1188" s="218" t="s">
        <v>1490</v>
      </c>
      <c r="E1188" s="23" t="s">
        <v>44</v>
      </c>
      <c r="F1188" s="17" t="s">
        <v>45</v>
      </c>
      <c r="G1188" s="11" t="s">
        <v>1432</v>
      </c>
      <c r="H1188" s="12">
        <v>32</v>
      </c>
      <c r="I1188" s="11" t="s">
        <v>1433</v>
      </c>
      <c r="J1188" s="192" t="s">
        <v>1434</v>
      </c>
      <c r="K1188" s="17" t="s">
        <v>233</v>
      </c>
      <c r="L1188" s="17" t="s">
        <v>233</v>
      </c>
      <c r="M1188" s="231">
        <v>10188</v>
      </c>
      <c r="N1188" s="232">
        <v>10064.31768</v>
      </c>
      <c r="O1188" s="132">
        <v>2520</v>
      </c>
      <c r="P1188" s="231" t="s">
        <v>239</v>
      </c>
      <c r="Q1188" s="232">
        <v>2520</v>
      </c>
      <c r="R1188" s="231" t="s">
        <v>239</v>
      </c>
      <c r="S1188" s="232">
        <v>2120</v>
      </c>
      <c r="T1188" s="231" t="s">
        <v>239</v>
      </c>
      <c r="U1188" s="232">
        <v>2120</v>
      </c>
      <c r="V1188" s="231" t="s">
        <v>239</v>
      </c>
      <c r="W1188" s="232">
        <v>2120</v>
      </c>
      <c r="X1188" s="231" t="s">
        <v>239</v>
      </c>
      <c r="Y1188" s="232">
        <v>2120</v>
      </c>
      <c r="Z1188" s="231" t="s">
        <v>239</v>
      </c>
      <c r="AA1188" s="232">
        <v>2115</v>
      </c>
      <c r="AB1188" s="231" t="s">
        <v>239</v>
      </c>
      <c r="AC1188" s="232">
        <v>1915</v>
      </c>
      <c r="AD1188" s="231" t="s">
        <v>239</v>
      </c>
      <c r="AE1188" s="232">
        <v>1915</v>
      </c>
      <c r="AF1188" s="231" t="s">
        <v>239</v>
      </c>
      <c r="AG1188" s="232">
        <v>1915</v>
      </c>
      <c r="AH1188" s="231" t="s">
        <v>239</v>
      </c>
      <c r="AI1188" s="232">
        <v>1915</v>
      </c>
      <c r="AJ1188" s="231" t="s">
        <v>239</v>
      </c>
      <c r="AK1188" s="232">
        <v>1915</v>
      </c>
      <c r="AL1188" s="232" t="s">
        <v>239</v>
      </c>
      <c r="AM1188" s="232">
        <v>25210</v>
      </c>
    </row>
    <row r="1189" spans="1:39" ht="15.75" outlineLevel="1">
      <c r="A1189" s="411">
        <v>590</v>
      </c>
      <c r="B1189" s="10">
        <v>129590</v>
      </c>
      <c r="C1189" s="218" t="s">
        <v>1489</v>
      </c>
      <c r="D1189" s="218" t="s">
        <v>1490</v>
      </c>
      <c r="E1189" s="23" t="s">
        <v>44</v>
      </c>
      <c r="F1189" s="17" t="s">
        <v>45</v>
      </c>
      <c r="G1189" s="11" t="s">
        <v>1432</v>
      </c>
      <c r="H1189" s="12">
        <v>8</v>
      </c>
      <c r="I1189" s="11" t="s">
        <v>1433</v>
      </c>
      <c r="J1189" s="192" t="s">
        <v>1480</v>
      </c>
      <c r="K1189" s="17" t="s">
        <v>233</v>
      </c>
      <c r="L1189" s="17" t="s">
        <v>233</v>
      </c>
      <c r="M1189" s="231">
        <v>1.5</v>
      </c>
      <c r="N1189" s="231">
        <v>1.5</v>
      </c>
      <c r="O1189" s="231">
        <v>1.5</v>
      </c>
      <c r="P1189" s="231" t="s">
        <v>239</v>
      </c>
      <c r="Q1189" s="231">
        <v>1.5</v>
      </c>
      <c r="R1189" s="231" t="s">
        <v>239</v>
      </c>
      <c r="S1189" s="231">
        <v>1.5</v>
      </c>
      <c r="T1189" s="231" t="s">
        <v>239</v>
      </c>
      <c r="U1189" s="231">
        <v>1.5</v>
      </c>
      <c r="V1189" s="230" t="s">
        <v>239</v>
      </c>
      <c r="W1189" s="231">
        <v>1.5</v>
      </c>
      <c r="X1189" s="231" t="s">
        <v>239</v>
      </c>
      <c r="Y1189" s="231">
        <v>1.5</v>
      </c>
      <c r="Z1189" s="231" t="s">
        <v>239</v>
      </c>
      <c r="AA1189" s="231">
        <v>1.5</v>
      </c>
      <c r="AB1189" s="231" t="s">
        <v>239</v>
      </c>
      <c r="AC1189" s="231">
        <v>1.5</v>
      </c>
      <c r="AD1189" s="231" t="s">
        <v>239</v>
      </c>
      <c r="AE1189" s="231">
        <v>1.5</v>
      </c>
      <c r="AF1189" s="231" t="s">
        <v>239</v>
      </c>
      <c r="AG1189" s="231">
        <v>1.5</v>
      </c>
      <c r="AH1189" s="231" t="s">
        <v>239</v>
      </c>
      <c r="AI1189" s="231">
        <v>1.5</v>
      </c>
      <c r="AJ1189" s="231" t="s">
        <v>239</v>
      </c>
      <c r="AK1189" s="231">
        <v>1.5</v>
      </c>
      <c r="AL1189" s="232" t="s">
        <v>239</v>
      </c>
      <c r="AM1189" s="232">
        <v>0</v>
      </c>
    </row>
    <row r="1190" spans="1:39" ht="15.75" outlineLevel="1">
      <c r="A1190" s="412"/>
      <c r="B1190" s="10">
        <v>129590</v>
      </c>
      <c r="C1190" s="218" t="s">
        <v>1489</v>
      </c>
      <c r="D1190" s="218" t="s">
        <v>1490</v>
      </c>
      <c r="E1190" s="23" t="s">
        <v>138</v>
      </c>
      <c r="F1190" s="17" t="s">
        <v>45</v>
      </c>
      <c r="G1190" s="11" t="s">
        <v>1432</v>
      </c>
      <c r="H1190" s="12">
        <v>12</v>
      </c>
      <c r="I1190" s="11" t="s">
        <v>1433</v>
      </c>
      <c r="J1190" s="192" t="s">
        <v>1452</v>
      </c>
      <c r="K1190" s="17" t="s">
        <v>233</v>
      </c>
      <c r="L1190" s="17" t="s">
        <v>233</v>
      </c>
      <c r="M1190" s="231">
        <v>0</v>
      </c>
      <c r="N1190" s="232">
        <v>0</v>
      </c>
      <c r="O1190" s="132">
        <v>0</v>
      </c>
      <c r="P1190" s="231" t="s">
        <v>239</v>
      </c>
      <c r="Q1190" s="232">
        <v>0</v>
      </c>
      <c r="R1190" s="231" t="s">
        <v>239</v>
      </c>
      <c r="S1190" s="232">
        <v>0</v>
      </c>
      <c r="T1190" s="231" t="s">
        <v>239</v>
      </c>
      <c r="U1190" s="232">
        <v>0</v>
      </c>
      <c r="V1190" s="231" t="s">
        <v>239</v>
      </c>
      <c r="W1190" s="232">
        <v>0</v>
      </c>
      <c r="X1190" s="231" t="s">
        <v>239</v>
      </c>
      <c r="Y1190" s="232">
        <v>0</v>
      </c>
      <c r="Z1190" s="231" t="s">
        <v>239</v>
      </c>
      <c r="AA1190" s="232">
        <v>0</v>
      </c>
      <c r="AB1190" s="231" t="s">
        <v>239</v>
      </c>
      <c r="AC1190" s="232">
        <v>0</v>
      </c>
      <c r="AD1190" s="231" t="s">
        <v>239</v>
      </c>
      <c r="AE1190" s="232">
        <v>0</v>
      </c>
      <c r="AF1190" s="231" t="s">
        <v>239</v>
      </c>
      <c r="AG1190" s="232">
        <v>0</v>
      </c>
      <c r="AH1190" s="231" t="s">
        <v>239</v>
      </c>
      <c r="AI1190" s="232">
        <v>0</v>
      </c>
      <c r="AJ1190" s="231" t="s">
        <v>239</v>
      </c>
      <c r="AK1190" s="232">
        <v>0</v>
      </c>
      <c r="AL1190" s="232" t="s">
        <v>239</v>
      </c>
      <c r="AM1190" s="232">
        <v>0</v>
      </c>
    </row>
    <row r="1191" spans="1:39" ht="15.75" outlineLevel="1">
      <c r="A1191" s="411">
        <v>591</v>
      </c>
      <c r="B1191" s="10">
        <v>129591</v>
      </c>
      <c r="C1191" s="218" t="s">
        <v>1489</v>
      </c>
      <c r="D1191" s="218" t="s">
        <v>1490</v>
      </c>
      <c r="E1191" s="23" t="s">
        <v>44</v>
      </c>
      <c r="F1191" s="17" t="s">
        <v>45</v>
      </c>
      <c r="G1191" s="11" t="s">
        <v>1432</v>
      </c>
      <c r="H1191" s="12">
        <v>18</v>
      </c>
      <c r="I1191" s="11" t="s">
        <v>1433</v>
      </c>
      <c r="J1191" s="374" t="s">
        <v>207</v>
      </c>
      <c r="K1191" s="17" t="s">
        <v>233</v>
      </c>
      <c r="L1191" s="17" t="s">
        <v>233</v>
      </c>
      <c r="M1191" s="231">
        <v>9.9</v>
      </c>
      <c r="N1191" s="231">
        <v>9.9</v>
      </c>
      <c r="O1191" s="231">
        <v>9.9</v>
      </c>
      <c r="P1191" s="231" t="s">
        <v>239</v>
      </c>
      <c r="Q1191" s="231">
        <v>9.9</v>
      </c>
      <c r="R1191" s="231" t="s">
        <v>239</v>
      </c>
      <c r="S1191" s="231">
        <v>9.9</v>
      </c>
      <c r="T1191" s="231" t="s">
        <v>239</v>
      </c>
      <c r="U1191" s="231">
        <v>9.9</v>
      </c>
      <c r="V1191" s="231" t="s">
        <v>239</v>
      </c>
      <c r="W1191" s="231">
        <v>9.9</v>
      </c>
      <c r="X1191" s="231" t="s">
        <v>239</v>
      </c>
      <c r="Y1191" s="231">
        <v>9.9</v>
      </c>
      <c r="Z1191" s="231" t="s">
        <v>239</v>
      </c>
      <c r="AA1191" s="231">
        <v>9.9</v>
      </c>
      <c r="AB1191" s="231" t="s">
        <v>239</v>
      </c>
      <c r="AC1191" s="231">
        <v>9.9</v>
      </c>
      <c r="AD1191" s="231" t="s">
        <v>239</v>
      </c>
      <c r="AE1191" s="231">
        <v>9.9</v>
      </c>
      <c r="AF1191" s="231" t="s">
        <v>239</v>
      </c>
      <c r="AG1191" s="231">
        <v>9.9</v>
      </c>
      <c r="AH1191" s="231" t="s">
        <v>239</v>
      </c>
      <c r="AI1191" s="231">
        <v>9.9</v>
      </c>
      <c r="AJ1191" s="231" t="s">
        <v>239</v>
      </c>
      <c r="AK1191" s="231">
        <v>9.9</v>
      </c>
      <c r="AL1191" s="232" t="s">
        <v>239</v>
      </c>
      <c r="AM1191" s="232">
        <v>0</v>
      </c>
    </row>
    <row r="1192" spans="1:39" ht="15.75" outlineLevel="1">
      <c r="A1192" s="412"/>
      <c r="B1192" s="10">
        <v>129591</v>
      </c>
      <c r="C1192" s="218" t="s">
        <v>1489</v>
      </c>
      <c r="D1192" s="218" t="s">
        <v>1490</v>
      </c>
      <c r="E1192" s="23" t="s">
        <v>138</v>
      </c>
      <c r="F1192" s="17" t="s">
        <v>45</v>
      </c>
      <c r="G1192" s="11" t="s">
        <v>1432</v>
      </c>
      <c r="H1192" s="12">
        <v>17</v>
      </c>
      <c r="I1192" s="11" t="s">
        <v>1433</v>
      </c>
      <c r="J1192" s="375"/>
      <c r="K1192" s="17" t="s">
        <v>233</v>
      </c>
      <c r="L1192" s="17" t="s">
        <v>233</v>
      </c>
      <c r="M1192" s="231">
        <v>46225</v>
      </c>
      <c r="N1192" s="232">
        <v>45663.828499999996</v>
      </c>
      <c r="O1192" s="132">
        <v>2831</v>
      </c>
      <c r="P1192" s="231" t="s">
        <v>239</v>
      </c>
      <c r="Q1192" s="232">
        <v>2831</v>
      </c>
      <c r="R1192" s="231" t="s">
        <v>239</v>
      </c>
      <c r="S1192" s="232">
        <v>2355</v>
      </c>
      <c r="T1192" s="231" t="s">
        <v>239</v>
      </c>
      <c r="U1192" s="232">
        <v>3569</v>
      </c>
      <c r="V1192" s="230" t="s">
        <v>239</v>
      </c>
      <c r="W1192" s="232">
        <v>1997</v>
      </c>
      <c r="X1192" s="231" t="s">
        <v>239</v>
      </c>
      <c r="Y1192" s="232">
        <v>1432</v>
      </c>
      <c r="Z1192" s="231" t="s">
        <v>239</v>
      </c>
      <c r="AA1192" s="232">
        <v>156</v>
      </c>
      <c r="AB1192" s="231" t="s">
        <v>239</v>
      </c>
      <c r="AC1192" s="232">
        <v>1905</v>
      </c>
      <c r="AD1192" s="231" t="s">
        <v>239</v>
      </c>
      <c r="AE1192" s="232">
        <v>814</v>
      </c>
      <c r="AF1192" s="231" t="s">
        <v>239</v>
      </c>
      <c r="AG1192" s="232">
        <v>718</v>
      </c>
      <c r="AH1192" s="231" t="s">
        <v>239</v>
      </c>
      <c r="AI1192" s="232">
        <v>2039</v>
      </c>
      <c r="AJ1192" s="231" t="s">
        <v>239</v>
      </c>
      <c r="AK1192" s="232">
        <v>1093</v>
      </c>
      <c r="AL1192" s="232" t="s">
        <v>239</v>
      </c>
      <c r="AM1192" s="232">
        <v>21740</v>
      </c>
    </row>
    <row r="1193" spans="1:39" ht="15.75" outlineLevel="1">
      <c r="A1193" s="411">
        <v>592</v>
      </c>
      <c r="B1193" s="10">
        <v>129592</v>
      </c>
      <c r="C1193" s="218" t="s">
        <v>1489</v>
      </c>
      <c r="D1193" s="218" t="s">
        <v>1490</v>
      </c>
      <c r="E1193" s="23" t="s">
        <v>44</v>
      </c>
      <c r="F1193" s="17" t="s">
        <v>45</v>
      </c>
      <c r="G1193" s="11" t="s">
        <v>1432</v>
      </c>
      <c r="H1193" s="12">
        <v>25</v>
      </c>
      <c r="I1193" s="11" t="s">
        <v>1433</v>
      </c>
      <c r="J1193" s="193" t="s">
        <v>1460</v>
      </c>
      <c r="K1193" s="17" t="s">
        <v>233</v>
      </c>
      <c r="L1193" s="17" t="s">
        <v>233</v>
      </c>
      <c r="M1193" s="231">
        <v>21</v>
      </c>
      <c r="N1193" s="231">
        <v>21</v>
      </c>
      <c r="O1193" s="231">
        <v>21</v>
      </c>
      <c r="P1193" s="231" t="s">
        <v>239</v>
      </c>
      <c r="Q1193" s="231">
        <v>21</v>
      </c>
      <c r="R1193" s="231" t="s">
        <v>239</v>
      </c>
      <c r="S1193" s="231">
        <v>21</v>
      </c>
      <c r="T1193" s="231" t="s">
        <v>239</v>
      </c>
      <c r="U1193" s="231">
        <v>21</v>
      </c>
      <c r="V1193" s="231" t="s">
        <v>239</v>
      </c>
      <c r="W1193" s="231">
        <v>21</v>
      </c>
      <c r="X1193" s="231" t="s">
        <v>239</v>
      </c>
      <c r="Y1193" s="231">
        <v>21</v>
      </c>
      <c r="Z1193" s="231" t="s">
        <v>239</v>
      </c>
      <c r="AA1193" s="231">
        <v>21</v>
      </c>
      <c r="AB1193" s="231" t="s">
        <v>239</v>
      </c>
      <c r="AC1193" s="231">
        <v>21</v>
      </c>
      <c r="AD1193" s="231" t="s">
        <v>239</v>
      </c>
      <c r="AE1193" s="231">
        <v>21</v>
      </c>
      <c r="AF1193" s="231" t="s">
        <v>239</v>
      </c>
      <c r="AG1193" s="231">
        <v>21</v>
      </c>
      <c r="AH1193" s="231" t="s">
        <v>239</v>
      </c>
      <c r="AI1193" s="231">
        <v>21</v>
      </c>
      <c r="AJ1193" s="231" t="s">
        <v>239</v>
      </c>
      <c r="AK1193" s="231">
        <v>21</v>
      </c>
      <c r="AL1193" s="232" t="s">
        <v>239</v>
      </c>
      <c r="AM1193" s="232">
        <v>0</v>
      </c>
    </row>
    <row r="1194" spans="1:39" ht="15.75" outlineLevel="1">
      <c r="A1194" s="412"/>
      <c r="B1194" s="10">
        <v>129592</v>
      </c>
      <c r="C1194" s="218" t="s">
        <v>1489</v>
      </c>
      <c r="D1194" s="218" t="s">
        <v>1490</v>
      </c>
      <c r="E1194" s="23" t="s">
        <v>44</v>
      </c>
      <c r="F1194" s="17" t="s">
        <v>45</v>
      </c>
      <c r="G1194" s="11" t="s">
        <v>1432</v>
      </c>
      <c r="H1194" s="12">
        <v>13</v>
      </c>
      <c r="I1194" s="11" t="s">
        <v>1433</v>
      </c>
      <c r="J1194" s="193" t="s">
        <v>1451</v>
      </c>
      <c r="K1194" s="17" t="s">
        <v>233</v>
      </c>
      <c r="L1194" s="17" t="s">
        <v>233</v>
      </c>
      <c r="M1194" s="231">
        <v>8100</v>
      </c>
      <c r="N1194" s="232">
        <v>8001.6659999999993</v>
      </c>
      <c r="O1194" s="132">
        <v>802</v>
      </c>
      <c r="P1194" s="231" t="s">
        <v>239</v>
      </c>
      <c r="Q1194" s="232">
        <v>802</v>
      </c>
      <c r="R1194" s="231" t="s">
        <v>239</v>
      </c>
      <c r="S1194" s="232">
        <v>802</v>
      </c>
      <c r="T1194" s="231" t="s">
        <v>239</v>
      </c>
      <c r="U1194" s="232">
        <v>802</v>
      </c>
      <c r="V1194" s="231" t="s">
        <v>239</v>
      </c>
      <c r="W1194" s="232">
        <v>802</v>
      </c>
      <c r="X1194" s="231" t="s">
        <v>239</v>
      </c>
      <c r="Y1194" s="232">
        <v>802</v>
      </c>
      <c r="Z1194" s="231" t="s">
        <v>239</v>
      </c>
      <c r="AA1194" s="232">
        <v>780</v>
      </c>
      <c r="AB1194" s="231" t="s">
        <v>239</v>
      </c>
      <c r="AC1194" s="232">
        <v>780</v>
      </c>
      <c r="AD1194" s="231" t="s">
        <v>239</v>
      </c>
      <c r="AE1194" s="232">
        <v>730</v>
      </c>
      <c r="AF1194" s="231" t="s">
        <v>239</v>
      </c>
      <c r="AG1194" s="232">
        <v>730</v>
      </c>
      <c r="AH1194" s="231" t="s">
        <v>239</v>
      </c>
      <c r="AI1194" s="232">
        <v>730</v>
      </c>
      <c r="AJ1194" s="231" t="s">
        <v>239</v>
      </c>
      <c r="AK1194" s="232">
        <v>730</v>
      </c>
      <c r="AL1194" s="232" t="s">
        <v>239</v>
      </c>
      <c r="AM1194" s="232">
        <v>9292</v>
      </c>
    </row>
    <row r="1195" spans="1:39" ht="15.75" outlineLevel="1">
      <c r="A1195" s="411">
        <v>593</v>
      </c>
      <c r="B1195" s="10">
        <v>129593</v>
      </c>
      <c r="C1195" s="218" t="s">
        <v>1489</v>
      </c>
      <c r="D1195" s="218" t="s">
        <v>1490</v>
      </c>
      <c r="E1195" s="23" t="s">
        <v>138</v>
      </c>
      <c r="F1195" s="17" t="s">
        <v>45</v>
      </c>
      <c r="G1195" s="11" t="s">
        <v>1432</v>
      </c>
      <c r="H1195" s="12">
        <v>5</v>
      </c>
      <c r="I1195" s="11" t="s">
        <v>1433</v>
      </c>
      <c r="J1195" s="193" t="s">
        <v>208</v>
      </c>
      <c r="K1195" s="17" t="s">
        <v>233</v>
      </c>
      <c r="L1195" s="17" t="s">
        <v>233</v>
      </c>
      <c r="M1195" s="231">
        <v>1.5</v>
      </c>
      <c r="N1195" s="231">
        <v>1.5</v>
      </c>
      <c r="O1195" s="231">
        <v>1.5</v>
      </c>
      <c r="P1195" s="231" t="s">
        <v>239</v>
      </c>
      <c r="Q1195" s="231">
        <v>1.5</v>
      </c>
      <c r="R1195" s="231" t="s">
        <v>239</v>
      </c>
      <c r="S1195" s="231">
        <v>1.5</v>
      </c>
      <c r="T1195" s="231" t="s">
        <v>239</v>
      </c>
      <c r="U1195" s="231">
        <v>1.5</v>
      </c>
      <c r="V1195" s="230" t="s">
        <v>239</v>
      </c>
      <c r="W1195" s="231">
        <v>1.5</v>
      </c>
      <c r="X1195" s="231" t="s">
        <v>239</v>
      </c>
      <c r="Y1195" s="231">
        <v>1.5</v>
      </c>
      <c r="Z1195" s="231" t="s">
        <v>239</v>
      </c>
      <c r="AA1195" s="231">
        <v>1.5</v>
      </c>
      <c r="AB1195" s="231" t="s">
        <v>239</v>
      </c>
      <c r="AC1195" s="231">
        <v>1.5</v>
      </c>
      <c r="AD1195" s="231" t="s">
        <v>239</v>
      </c>
      <c r="AE1195" s="231">
        <v>1.5</v>
      </c>
      <c r="AF1195" s="231" t="s">
        <v>239</v>
      </c>
      <c r="AG1195" s="231">
        <v>1.5</v>
      </c>
      <c r="AH1195" s="231" t="s">
        <v>239</v>
      </c>
      <c r="AI1195" s="231">
        <v>1.5</v>
      </c>
      <c r="AJ1195" s="231" t="s">
        <v>239</v>
      </c>
      <c r="AK1195" s="231">
        <v>1.5</v>
      </c>
      <c r="AL1195" s="232" t="s">
        <v>239</v>
      </c>
      <c r="AM1195" s="232">
        <v>0</v>
      </c>
    </row>
    <row r="1196" spans="1:39" ht="15.75" outlineLevel="1">
      <c r="A1196" s="412"/>
      <c r="B1196" s="10">
        <v>129593</v>
      </c>
      <c r="C1196" s="218" t="s">
        <v>1489</v>
      </c>
      <c r="D1196" s="218" t="s">
        <v>1490</v>
      </c>
      <c r="E1196" s="23" t="s">
        <v>44</v>
      </c>
      <c r="F1196" s="17" t="s">
        <v>45</v>
      </c>
      <c r="G1196" s="11" t="s">
        <v>1432</v>
      </c>
      <c r="H1196" s="12">
        <v>4</v>
      </c>
      <c r="I1196" s="11" t="s">
        <v>1433</v>
      </c>
      <c r="J1196" s="193" t="s">
        <v>1452</v>
      </c>
      <c r="K1196" s="17" t="s">
        <v>233</v>
      </c>
      <c r="L1196" s="17" t="s">
        <v>233</v>
      </c>
      <c r="M1196" s="231">
        <v>10678</v>
      </c>
      <c r="N1196" s="232">
        <v>10548.36908</v>
      </c>
      <c r="O1196" s="132">
        <v>1307</v>
      </c>
      <c r="P1196" s="231" t="s">
        <v>239</v>
      </c>
      <c r="Q1196" s="232">
        <v>1307</v>
      </c>
      <c r="R1196" s="231" t="s">
        <v>239</v>
      </c>
      <c r="S1196" s="232">
        <v>1319</v>
      </c>
      <c r="T1196" s="231" t="s">
        <v>239</v>
      </c>
      <c r="U1196" s="232">
        <v>463</v>
      </c>
      <c r="V1196" s="231" t="s">
        <v>239</v>
      </c>
      <c r="W1196" s="232">
        <v>1489</v>
      </c>
      <c r="X1196" s="231" t="s">
        <v>239</v>
      </c>
      <c r="Y1196" s="232">
        <v>307</v>
      </c>
      <c r="Z1196" s="231" t="s">
        <v>239</v>
      </c>
      <c r="AA1196" s="232">
        <v>322</v>
      </c>
      <c r="AB1196" s="231" t="s">
        <v>239</v>
      </c>
      <c r="AC1196" s="232">
        <v>405</v>
      </c>
      <c r="AD1196" s="231" t="s">
        <v>239</v>
      </c>
      <c r="AE1196" s="232">
        <v>594</v>
      </c>
      <c r="AF1196" s="231" t="s">
        <v>239</v>
      </c>
      <c r="AG1196" s="232">
        <v>793</v>
      </c>
      <c r="AH1196" s="231" t="s">
        <v>239</v>
      </c>
      <c r="AI1196" s="232">
        <v>683</v>
      </c>
      <c r="AJ1196" s="231" t="s">
        <v>239</v>
      </c>
      <c r="AK1196" s="232">
        <v>745</v>
      </c>
      <c r="AL1196" s="232" t="s">
        <v>239</v>
      </c>
      <c r="AM1196" s="232">
        <v>9734</v>
      </c>
    </row>
    <row r="1197" spans="1:39" ht="15.75" outlineLevel="1">
      <c r="A1197" s="411">
        <v>594</v>
      </c>
      <c r="B1197" s="10">
        <v>129594</v>
      </c>
      <c r="C1197" s="218" t="s">
        <v>1489</v>
      </c>
      <c r="D1197" s="218" t="s">
        <v>1490</v>
      </c>
      <c r="E1197" s="23" t="s">
        <v>138</v>
      </c>
      <c r="F1197" s="17" t="s">
        <v>45</v>
      </c>
      <c r="G1197" s="11" t="s">
        <v>1432</v>
      </c>
      <c r="H1197" s="12">
        <v>18</v>
      </c>
      <c r="I1197" s="11" t="s">
        <v>1433</v>
      </c>
      <c r="J1197" s="193" t="s">
        <v>216</v>
      </c>
      <c r="K1197" s="17" t="s">
        <v>233</v>
      </c>
      <c r="L1197" s="17" t="s">
        <v>233</v>
      </c>
      <c r="M1197" s="231">
        <v>1</v>
      </c>
      <c r="N1197" s="231">
        <v>1</v>
      </c>
      <c r="O1197" s="231">
        <v>1</v>
      </c>
      <c r="P1197" s="231" t="s">
        <v>239</v>
      </c>
      <c r="Q1197" s="231">
        <v>1</v>
      </c>
      <c r="R1197" s="231" t="s">
        <v>239</v>
      </c>
      <c r="S1197" s="231">
        <v>1</v>
      </c>
      <c r="T1197" s="231" t="s">
        <v>239</v>
      </c>
      <c r="U1197" s="231">
        <v>1</v>
      </c>
      <c r="V1197" s="231" t="s">
        <v>239</v>
      </c>
      <c r="W1197" s="231">
        <v>1</v>
      </c>
      <c r="X1197" s="231" t="s">
        <v>239</v>
      </c>
      <c r="Y1197" s="231">
        <v>1</v>
      </c>
      <c r="Z1197" s="231" t="s">
        <v>239</v>
      </c>
      <c r="AA1197" s="231">
        <v>1</v>
      </c>
      <c r="AB1197" s="231" t="s">
        <v>239</v>
      </c>
      <c r="AC1197" s="231">
        <v>1</v>
      </c>
      <c r="AD1197" s="231" t="s">
        <v>239</v>
      </c>
      <c r="AE1197" s="231">
        <v>1</v>
      </c>
      <c r="AF1197" s="231" t="s">
        <v>239</v>
      </c>
      <c r="AG1197" s="231">
        <v>1</v>
      </c>
      <c r="AH1197" s="231" t="s">
        <v>239</v>
      </c>
      <c r="AI1197" s="231">
        <v>1</v>
      </c>
      <c r="AJ1197" s="231" t="s">
        <v>239</v>
      </c>
      <c r="AK1197" s="231">
        <v>1</v>
      </c>
      <c r="AL1197" s="232" t="s">
        <v>239</v>
      </c>
      <c r="AM1197" s="232">
        <v>0</v>
      </c>
    </row>
    <row r="1198" spans="1:39" ht="15.75" outlineLevel="1">
      <c r="A1198" s="412"/>
      <c r="B1198" s="10">
        <v>129594</v>
      </c>
      <c r="C1198" s="218" t="s">
        <v>1489</v>
      </c>
      <c r="D1198" s="218" t="s">
        <v>1490</v>
      </c>
      <c r="E1198" s="23" t="s">
        <v>44</v>
      </c>
      <c r="F1198" s="17" t="s">
        <v>45</v>
      </c>
      <c r="G1198" s="11" t="s">
        <v>1432</v>
      </c>
      <c r="H1198" s="12">
        <v>17</v>
      </c>
      <c r="I1198" s="11" t="s">
        <v>1433</v>
      </c>
      <c r="J1198" s="193" t="s">
        <v>1453</v>
      </c>
      <c r="K1198" s="17" t="s">
        <v>233</v>
      </c>
      <c r="L1198" s="17" t="s">
        <v>233</v>
      </c>
      <c r="M1198" s="231">
        <v>3967</v>
      </c>
      <c r="N1198" s="232">
        <v>3918.8406199999999</v>
      </c>
      <c r="O1198" s="132">
        <v>683</v>
      </c>
      <c r="P1198" s="231" t="s">
        <v>239</v>
      </c>
      <c r="Q1198" s="232">
        <v>683</v>
      </c>
      <c r="R1198" s="231" t="s">
        <v>239</v>
      </c>
      <c r="S1198" s="232">
        <v>598</v>
      </c>
      <c r="T1198" s="231" t="s">
        <v>239</v>
      </c>
      <c r="U1198" s="232">
        <v>643</v>
      </c>
      <c r="V1198" s="230" t="s">
        <v>239</v>
      </c>
      <c r="W1198" s="232">
        <v>646</v>
      </c>
      <c r="X1198" s="231" t="s">
        <v>239</v>
      </c>
      <c r="Y1198" s="232">
        <v>654</v>
      </c>
      <c r="Z1198" s="231" t="s">
        <v>239</v>
      </c>
      <c r="AA1198" s="232">
        <v>620</v>
      </c>
      <c r="AB1198" s="231" t="s">
        <v>239</v>
      </c>
      <c r="AC1198" s="232">
        <v>512</v>
      </c>
      <c r="AD1198" s="231" t="s">
        <v>239</v>
      </c>
      <c r="AE1198" s="232">
        <v>508</v>
      </c>
      <c r="AF1198" s="231" t="s">
        <v>239</v>
      </c>
      <c r="AG1198" s="232">
        <v>370</v>
      </c>
      <c r="AH1198" s="231" t="s">
        <v>239</v>
      </c>
      <c r="AI1198" s="232">
        <v>3473</v>
      </c>
      <c r="AJ1198" s="231" t="s">
        <v>239</v>
      </c>
      <c r="AK1198" s="232">
        <v>530</v>
      </c>
      <c r="AL1198" s="232" t="s">
        <v>239</v>
      </c>
      <c r="AM1198" s="232">
        <v>9920</v>
      </c>
    </row>
    <row r="1199" spans="1:39" ht="15.75" outlineLevel="1">
      <c r="A1199" s="411">
        <v>595</v>
      </c>
      <c r="B1199" s="10">
        <v>129595</v>
      </c>
      <c r="C1199" s="218" t="s">
        <v>1489</v>
      </c>
      <c r="D1199" s="218" t="s">
        <v>1490</v>
      </c>
      <c r="E1199" s="23" t="s">
        <v>44</v>
      </c>
      <c r="F1199" s="17" t="s">
        <v>45</v>
      </c>
      <c r="G1199" s="11" t="s">
        <v>1432</v>
      </c>
      <c r="H1199" s="12">
        <v>28</v>
      </c>
      <c r="I1199" s="11" t="s">
        <v>1433</v>
      </c>
      <c r="J1199" s="193" t="s">
        <v>1454</v>
      </c>
      <c r="K1199" s="17" t="s">
        <v>233</v>
      </c>
      <c r="L1199" s="17" t="s">
        <v>233</v>
      </c>
      <c r="M1199" s="231">
        <v>0</v>
      </c>
      <c r="N1199" s="232">
        <v>0</v>
      </c>
      <c r="O1199" s="132">
        <v>0</v>
      </c>
      <c r="P1199" s="231" t="s">
        <v>239</v>
      </c>
      <c r="Q1199" s="232">
        <v>0</v>
      </c>
      <c r="R1199" s="231" t="s">
        <v>239</v>
      </c>
      <c r="S1199" s="232">
        <v>0</v>
      </c>
      <c r="T1199" s="231" t="s">
        <v>239</v>
      </c>
      <c r="U1199" s="232">
        <v>0</v>
      </c>
      <c r="V1199" s="231" t="s">
        <v>239</v>
      </c>
      <c r="W1199" s="232">
        <v>0</v>
      </c>
      <c r="X1199" s="231" t="s">
        <v>239</v>
      </c>
      <c r="Y1199" s="232">
        <v>0</v>
      </c>
      <c r="Z1199" s="231" t="s">
        <v>239</v>
      </c>
      <c r="AA1199" s="232">
        <v>0</v>
      </c>
      <c r="AB1199" s="231" t="s">
        <v>239</v>
      </c>
      <c r="AC1199" s="232">
        <v>0</v>
      </c>
      <c r="AD1199" s="231" t="s">
        <v>239</v>
      </c>
      <c r="AE1199" s="232">
        <v>0</v>
      </c>
      <c r="AF1199" s="231" t="s">
        <v>239</v>
      </c>
      <c r="AG1199" s="232">
        <v>0</v>
      </c>
      <c r="AH1199" s="231" t="s">
        <v>239</v>
      </c>
      <c r="AI1199" s="232">
        <v>0</v>
      </c>
      <c r="AJ1199" s="231" t="s">
        <v>239</v>
      </c>
      <c r="AK1199" s="232">
        <v>0</v>
      </c>
      <c r="AL1199" s="232" t="s">
        <v>239</v>
      </c>
      <c r="AM1199" s="232">
        <v>0</v>
      </c>
    </row>
    <row r="1200" spans="1:39" ht="15.75" outlineLevel="1">
      <c r="A1200" s="412"/>
      <c r="B1200" s="10">
        <v>129595</v>
      </c>
      <c r="C1200" s="218" t="s">
        <v>1489</v>
      </c>
      <c r="D1200" s="218" t="s">
        <v>1490</v>
      </c>
      <c r="E1200" s="23" t="s">
        <v>138</v>
      </c>
      <c r="F1200" s="17" t="s">
        <v>45</v>
      </c>
      <c r="G1200" s="11" t="s">
        <v>1432</v>
      </c>
      <c r="H1200" s="12">
        <v>33</v>
      </c>
      <c r="I1200" s="11" t="s">
        <v>1433</v>
      </c>
      <c r="J1200" s="191" t="s">
        <v>216</v>
      </c>
      <c r="K1200" s="17" t="s">
        <v>233</v>
      </c>
      <c r="L1200" s="17" t="s">
        <v>233</v>
      </c>
      <c r="M1200" s="231">
        <v>6016</v>
      </c>
      <c r="N1200" s="232">
        <v>5942.96576</v>
      </c>
      <c r="O1200" s="132">
        <v>421</v>
      </c>
      <c r="P1200" s="231" t="s">
        <v>239</v>
      </c>
      <c r="Q1200" s="232">
        <v>421</v>
      </c>
      <c r="R1200" s="231" t="s">
        <v>239</v>
      </c>
      <c r="S1200" s="232">
        <v>342</v>
      </c>
      <c r="T1200" s="231" t="s">
        <v>239</v>
      </c>
      <c r="U1200" s="232">
        <v>483</v>
      </c>
      <c r="V1200" s="231" t="s">
        <v>239</v>
      </c>
      <c r="W1200" s="232">
        <v>468</v>
      </c>
      <c r="X1200" s="231" t="s">
        <v>239</v>
      </c>
      <c r="Y1200" s="232">
        <v>404</v>
      </c>
      <c r="Z1200" s="231" t="s">
        <v>239</v>
      </c>
      <c r="AA1200" s="232">
        <v>421</v>
      </c>
      <c r="AB1200" s="231" t="s">
        <v>239</v>
      </c>
      <c r="AC1200" s="232">
        <v>406</v>
      </c>
      <c r="AD1200" s="231" t="s">
        <v>239</v>
      </c>
      <c r="AE1200" s="232">
        <v>561</v>
      </c>
      <c r="AF1200" s="231" t="s">
        <v>239</v>
      </c>
      <c r="AG1200" s="232">
        <v>566</v>
      </c>
      <c r="AH1200" s="231" t="s">
        <v>239</v>
      </c>
      <c r="AI1200" s="232">
        <v>536</v>
      </c>
      <c r="AJ1200" s="231" t="s">
        <v>239</v>
      </c>
      <c r="AK1200" s="232">
        <v>504</v>
      </c>
      <c r="AL1200" s="232" t="s">
        <v>239</v>
      </c>
      <c r="AM1200" s="232">
        <v>5533</v>
      </c>
    </row>
    <row r="1201" spans="1:39" ht="15.75" outlineLevel="1">
      <c r="A1201" s="411">
        <v>596</v>
      </c>
      <c r="B1201" s="10">
        <v>129596</v>
      </c>
      <c r="C1201" s="218" t="s">
        <v>1489</v>
      </c>
      <c r="D1201" s="218" t="s">
        <v>1490</v>
      </c>
      <c r="E1201" s="23" t="s">
        <v>44</v>
      </c>
      <c r="F1201" s="17" t="s">
        <v>45</v>
      </c>
      <c r="G1201" s="11" t="s">
        <v>1432</v>
      </c>
      <c r="H1201" s="12">
        <v>25</v>
      </c>
      <c r="I1201" s="11" t="s">
        <v>1433</v>
      </c>
      <c r="J1201" s="192" t="s">
        <v>1434</v>
      </c>
      <c r="K1201" s="17" t="s">
        <v>233</v>
      </c>
      <c r="L1201" s="17" t="s">
        <v>233</v>
      </c>
      <c r="M1201" s="231">
        <v>0</v>
      </c>
      <c r="N1201" s="232">
        <v>0</v>
      </c>
      <c r="O1201" s="132">
        <v>0</v>
      </c>
      <c r="P1201" s="231" t="s">
        <v>239</v>
      </c>
      <c r="Q1201" s="232">
        <v>0</v>
      </c>
      <c r="R1201" s="231" t="s">
        <v>239</v>
      </c>
      <c r="S1201" s="232">
        <v>0</v>
      </c>
      <c r="T1201" s="231" t="s">
        <v>239</v>
      </c>
      <c r="U1201" s="232">
        <v>0</v>
      </c>
      <c r="V1201" s="230" t="s">
        <v>239</v>
      </c>
      <c r="W1201" s="232">
        <v>0</v>
      </c>
      <c r="X1201" s="231" t="s">
        <v>239</v>
      </c>
      <c r="Y1201" s="232">
        <v>0</v>
      </c>
      <c r="Z1201" s="231" t="s">
        <v>239</v>
      </c>
      <c r="AA1201" s="232">
        <v>0</v>
      </c>
      <c r="AB1201" s="231" t="s">
        <v>239</v>
      </c>
      <c r="AC1201" s="232">
        <v>0</v>
      </c>
      <c r="AD1201" s="231" t="s">
        <v>239</v>
      </c>
      <c r="AE1201" s="232">
        <v>0</v>
      </c>
      <c r="AF1201" s="231" t="s">
        <v>239</v>
      </c>
      <c r="AG1201" s="232">
        <v>0</v>
      </c>
      <c r="AH1201" s="231" t="s">
        <v>239</v>
      </c>
      <c r="AI1201" s="232">
        <v>0</v>
      </c>
      <c r="AJ1201" s="231" t="s">
        <v>239</v>
      </c>
      <c r="AK1201" s="232">
        <v>0</v>
      </c>
      <c r="AL1201" s="232" t="s">
        <v>239</v>
      </c>
      <c r="AM1201" s="232">
        <v>0</v>
      </c>
    </row>
    <row r="1202" spans="1:39" ht="15.75" outlineLevel="1">
      <c r="A1202" s="412"/>
      <c r="B1202" s="10">
        <v>129596</v>
      </c>
      <c r="C1202" s="218" t="s">
        <v>1489</v>
      </c>
      <c r="D1202" s="218" t="s">
        <v>1490</v>
      </c>
      <c r="E1202" s="23" t="s">
        <v>138</v>
      </c>
      <c r="F1202" s="17" t="s">
        <v>45</v>
      </c>
      <c r="G1202" s="11" t="s">
        <v>1432</v>
      </c>
      <c r="H1202" s="12">
        <v>9</v>
      </c>
      <c r="I1202" s="11" t="s">
        <v>1433</v>
      </c>
      <c r="J1202" s="192" t="s">
        <v>1480</v>
      </c>
      <c r="K1202" s="17" t="s">
        <v>233</v>
      </c>
      <c r="L1202" s="17" t="s">
        <v>233</v>
      </c>
      <c r="M1202" s="231">
        <v>0</v>
      </c>
      <c r="N1202" s="232">
        <v>0</v>
      </c>
      <c r="O1202" s="132">
        <v>0</v>
      </c>
      <c r="P1202" s="231" t="s">
        <v>239</v>
      </c>
      <c r="Q1202" s="232">
        <v>0</v>
      </c>
      <c r="R1202" s="231" t="s">
        <v>239</v>
      </c>
      <c r="S1202" s="232">
        <v>0</v>
      </c>
      <c r="T1202" s="231" t="s">
        <v>239</v>
      </c>
      <c r="U1202" s="232">
        <v>0</v>
      </c>
      <c r="V1202" s="231" t="s">
        <v>239</v>
      </c>
      <c r="W1202" s="232">
        <v>0</v>
      </c>
      <c r="X1202" s="231" t="s">
        <v>239</v>
      </c>
      <c r="Y1202" s="232">
        <v>0</v>
      </c>
      <c r="Z1202" s="231" t="s">
        <v>239</v>
      </c>
      <c r="AA1202" s="232">
        <v>0</v>
      </c>
      <c r="AB1202" s="231" t="s">
        <v>239</v>
      </c>
      <c r="AC1202" s="232">
        <v>0</v>
      </c>
      <c r="AD1202" s="231" t="s">
        <v>239</v>
      </c>
      <c r="AE1202" s="232">
        <v>0</v>
      </c>
      <c r="AF1202" s="231" t="s">
        <v>239</v>
      </c>
      <c r="AG1202" s="232">
        <v>0</v>
      </c>
      <c r="AH1202" s="231" t="s">
        <v>239</v>
      </c>
      <c r="AI1202" s="232">
        <v>0</v>
      </c>
      <c r="AJ1202" s="231" t="s">
        <v>239</v>
      </c>
      <c r="AK1202" s="232">
        <v>0</v>
      </c>
      <c r="AL1202" s="232" t="s">
        <v>239</v>
      </c>
      <c r="AM1202" s="232">
        <v>0</v>
      </c>
    </row>
    <row r="1203" spans="1:39" ht="15.75" outlineLevel="1">
      <c r="A1203" s="411">
        <v>597</v>
      </c>
      <c r="B1203" s="10">
        <v>129597</v>
      </c>
      <c r="C1203" s="218" t="s">
        <v>1489</v>
      </c>
      <c r="D1203" s="218" t="s">
        <v>1490</v>
      </c>
      <c r="E1203" s="23" t="s">
        <v>44</v>
      </c>
      <c r="F1203" s="17" t="s">
        <v>45</v>
      </c>
      <c r="G1203" s="11" t="s">
        <v>1432</v>
      </c>
      <c r="H1203" s="12">
        <v>24</v>
      </c>
      <c r="I1203" s="11" t="s">
        <v>1433</v>
      </c>
      <c r="J1203" s="192" t="s">
        <v>1452</v>
      </c>
      <c r="K1203" s="17" t="s">
        <v>233</v>
      </c>
      <c r="L1203" s="17" t="s">
        <v>233</v>
      </c>
      <c r="M1203" s="231">
        <v>0</v>
      </c>
      <c r="N1203" s="232">
        <v>0</v>
      </c>
      <c r="O1203" s="132">
        <v>0</v>
      </c>
      <c r="P1203" s="231" t="s">
        <v>239</v>
      </c>
      <c r="Q1203" s="232">
        <v>0</v>
      </c>
      <c r="R1203" s="231" t="s">
        <v>239</v>
      </c>
      <c r="S1203" s="232">
        <v>0</v>
      </c>
      <c r="T1203" s="231" t="s">
        <v>239</v>
      </c>
      <c r="U1203" s="232">
        <v>0</v>
      </c>
      <c r="V1203" s="231" t="s">
        <v>239</v>
      </c>
      <c r="W1203" s="232">
        <v>0</v>
      </c>
      <c r="X1203" s="231" t="s">
        <v>239</v>
      </c>
      <c r="Y1203" s="232">
        <v>0</v>
      </c>
      <c r="Z1203" s="231" t="s">
        <v>239</v>
      </c>
      <c r="AA1203" s="232">
        <v>0</v>
      </c>
      <c r="AB1203" s="231" t="s">
        <v>239</v>
      </c>
      <c r="AC1203" s="232">
        <v>0</v>
      </c>
      <c r="AD1203" s="231" t="s">
        <v>239</v>
      </c>
      <c r="AE1203" s="232">
        <v>0</v>
      </c>
      <c r="AF1203" s="231" t="s">
        <v>239</v>
      </c>
      <c r="AG1203" s="232">
        <v>0</v>
      </c>
      <c r="AH1203" s="231" t="s">
        <v>239</v>
      </c>
      <c r="AI1203" s="232">
        <v>0</v>
      </c>
      <c r="AJ1203" s="231" t="s">
        <v>239</v>
      </c>
      <c r="AK1203" s="232">
        <v>0</v>
      </c>
      <c r="AL1203" s="232" t="s">
        <v>239</v>
      </c>
      <c r="AM1203" s="232">
        <v>0</v>
      </c>
    </row>
    <row r="1204" spans="1:39" ht="15.75" outlineLevel="1">
      <c r="A1204" s="412"/>
      <c r="B1204" s="10">
        <v>129597</v>
      </c>
      <c r="C1204" s="218" t="s">
        <v>1489</v>
      </c>
      <c r="D1204" s="218" t="s">
        <v>1490</v>
      </c>
      <c r="E1204" s="23" t="s">
        <v>44</v>
      </c>
      <c r="F1204" s="17" t="s">
        <v>45</v>
      </c>
      <c r="G1204" s="11" t="s">
        <v>1432</v>
      </c>
      <c r="H1204" s="12">
        <v>36</v>
      </c>
      <c r="I1204" s="11" t="s">
        <v>1433</v>
      </c>
      <c r="J1204" s="374" t="s">
        <v>207</v>
      </c>
      <c r="K1204" s="17" t="s">
        <v>233</v>
      </c>
      <c r="L1204" s="17" t="s">
        <v>233</v>
      </c>
      <c r="M1204" s="231">
        <v>0</v>
      </c>
      <c r="N1204" s="232">
        <v>0</v>
      </c>
      <c r="O1204" s="132">
        <v>0</v>
      </c>
      <c r="P1204" s="231" t="s">
        <v>239</v>
      </c>
      <c r="Q1204" s="232">
        <v>0</v>
      </c>
      <c r="R1204" s="231" t="s">
        <v>239</v>
      </c>
      <c r="S1204" s="232">
        <v>0</v>
      </c>
      <c r="T1204" s="231" t="s">
        <v>239</v>
      </c>
      <c r="U1204" s="232">
        <v>0</v>
      </c>
      <c r="V1204" s="230" t="s">
        <v>239</v>
      </c>
      <c r="W1204" s="232">
        <v>0</v>
      </c>
      <c r="X1204" s="231" t="s">
        <v>239</v>
      </c>
      <c r="Y1204" s="232">
        <v>0</v>
      </c>
      <c r="Z1204" s="231" t="s">
        <v>239</v>
      </c>
      <c r="AA1204" s="232">
        <v>0</v>
      </c>
      <c r="AB1204" s="231" t="s">
        <v>239</v>
      </c>
      <c r="AC1204" s="232">
        <v>0</v>
      </c>
      <c r="AD1204" s="231" t="s">
        <v>239</v>
      </c>
      <c r="AE1204" s="232">
        <v>0</v>
      </c>
      <c r="AF1204" s="231" t="s">
        <v>239</v>
      </c>
      <c r="AG1204" s="232">
        <v>0</v>
      </c>
      <c r="AH1204" s="231" t="s">
        <v>239</v>
      </c>
      <c r="AI1204" s="232">
        <v>0</v>
      </c>
      <c r="AJ1204" s="231" t="s">
        <v>239</v>
      </c>
      <c r="AK1204" s="232">
        <v>0</v>
      </c>
      <c r="AL1204" s="232" t="s">
        <v>239</v>
      </c>
      <c r="AM1204" s="232">
        <v>0</v>
      </c>
    </row>
    <row r="1205" spans="1:39" ht="15.75" outlineLevel="1">
      <c r="A1205" s="411">
        <v>598</v>
      </c>
      <c r="B1205" s="10">
        <v>129598</v>
      </c>
      <c r="C1205" s="218" t="s">
        <v>1489</v>
      </c>
      <c r="D1205" s="218" t="s">
        <v>1490</v>
      </c>
      <c r="E1205" s="23" t="s">
        <v>138</v>
      </c>
      <c r="F1205" s="17" t="s">
        <v>45</v>
      </c>
      <c r="G1205" s="11" t="s">
        <v>1432</v>
      </c>
      <c r="H1205" s="12">
        <v>24</v>
      </c>
      <c r="I1205" s="11" t="s">
        <v>1433</v>
      </c>
      <c r="J1205" s="375"/>
      <c r="K1205" s="17" t="s">
        <v>233</v>
      </c>
      <c r="L1205" s="17" t="s">
        <v>233</v>
      </c>
      <c r="M1205" s="231">
        <v>35</v>
      </c>
      <c r="N1205" s="231">
        <v>35</v>
      </c>
      <c r="O1205" s="231">
        <v>35</v>
      </c>
      <c r="P1205" s="231" t="s">
        <v>239</v>
      </c>
      <c r="Q1205" s="231">
        <v>35</v>
      </c>
      <c r="R1205" s="231" t="s">
        <v>239</v>
      </c>
      <c r="S1205" s="231">
        <v>35</v>
      </c>
      <c r="T1205" s="231" t="s">
        <v>239</v>
      </c>
      <c r="U1205" s="231">
        <v>35</v>
      </c>
      <c r="V1205" s="231" t="s">
        <v>239</v>
      </c>
      <c r="W1205" s="231">
        <v>35</v>
      </c>
      <c r="X1205" s="231" t="s">
        <v>239</v>
      </c>
      <c r="Y1205" s="231">
        <v>35</v>
      </c>
      <c r="Z1205" s="231" t="s">
        <v>239</v>
      </c>
      <c r="AA1205" s="231">
        <v>35</v>
      </c>
      <c r="AB1205" s="231" t="s">
        <v>239</v>
      </c>
      <c r="AC1205" s="231">
        <v>35</v>
      </c>
      <c r="AD1205" s="231" t="s">
        <v>239</v>
      </c>
      <c r="AE1205" s="231">
        <v>35</v>
      </c>
      <c r="AF1205" s="231" t="s">
        <v>239</v>
      </c>
      <c r="AG1205" s="231">
        <v>35</v>
      </c>
      <c r="AH1205" s="231" t="s">
        <v>239</v>
      </c>
      <c r="AI1205" s="231">
        <v>35</v>
      </c>
      <c r="AJ1205" s="231" t="s">
        <v>239</v>
      </c>
      <c r="AK1205" s="231">
        <v>35</v>
      </c>
      <c r="AL1205" s="232" t="s">
        <v>239</v>
      </c>
      <c r="AM1205" s="232">
        <v>0</v>
      </c>
    </row>
    <row r="1206" spans="1:39" ht="15.75" outlineLevel="1">
      <c r="A1206" s="412"/>
      <c r="B1206" s="10">
        <v>129598</v>
      </c>
      <c r="C1206" s="218" t="s">
        <v>1489</v>
      </c>
      <c r="D1206" s="218" t="s">
        <v>1490</v>
      </c>
      <c r="E1206" s="23" t="s">
        <v>44</v>
      </c>
      <c r="F1206" s="17" t="s">
        <v>45</v>
      </c>
      <c r="G1206" s="11" t="s">
        <v>1432</v>
      </c>
      <c r="H1206" s="12">
        <v>10</v>
      </c>
      <c r="I1206" s="11" t="s">
        <v>1433</v>
      </c>
      <c r="J1206" s="193" t="s">
        <v>1460</v>
      </c>
      <c r="K1206" s="17" t="s">
        <v>233</v>
      </c>
      <c r="L1206" s="17" t="s">
        <v>233</v>
      </c>
      <c r="M1206" s="231">
        <v>12179</v>
      </c>
      <c r="N1206" s="232">
        <v>12031.146939999999</v>
      </c>
      <c r="O1206" s="132">
        <v>1554</v>
      </c>
      <c r="P1206" s="231" t="s">
        <v>239</v>
      </c>
      <c r="Q1206" s="232">
        <v>1554</v>
      </c>
      <c r="R1206" s="231" t="s">
        <v>239</v>
      </c>
      <c r="S1206" s="232">
        <v>1389</v>
      </c>
      <c r="T1206" s="231" t="s">
        <v>239</v>
      </c>
      <c r="U1206" s="232">
        <v>1277</v>
      </c>
      <c r="V1206" s="231" t="s">
        <v>239</v>
      </c>
      <c r="W1206" s="232">
        <v>1913</v>
      </c>
      <c r="X1206" s="231" t="s">
        <v>239</v>
      </c>
      <c r="Y1206" s="232">
        <v>1525</v>
      </c>
      <c r="Z1206" s="231" t="s">
        <v>239</v>
      </c>
      <c r="AA1206" s="232">
        <v>1556</v>
      </c>
      <c r="AB1206" s="231" t="s">
        <v>239</v>
      </c>
      <c r="AC1206" s="232">
        <v>1444</v>
      </c>
      <c r="AD1206" s="231" t="s">
        <v>239</v>
      </c>
      <c r="AE1206" s="232">
        <v>1288</v>
      </c>
      <c r="AF1206" s="231" t="s">
        <v>239</v>
      </c>
      <c r="AG1206" s="232">
        <v>1173</v>
      </c>
      <c r="AH1206" s="231" t="s">
        <v>239</v>
      </c>
      <c r="AI1206" s="232">
        <v>1792</v>
      </c>
      <c r="AJ1206" s="231" t="s">
        <v>239</v>
      </c>
      <c r="AK1206" s="232">
        <v>1437</v>
      </c>
      <c r="AL1206" s="232" t="s">
        <v>239</v>
      </c>
      <c r="AM1206" s="232">
        <v>17902</v>
      </c>
    </row>
    <row r="1207" spans="1:39" ht="15.75" outlineLevel="1">
      <c r="A1207" s="411">
        <v>599</v>
      </c>
      <c r="B1207" s="10">
        <v>129599</v>
      </c>
      <c r="C1207" s="218" t="s">
        <v>1489</v>
      </c>
      <c r="D1207" s="218" t="s">
        <v>1490</v>
      </c>
      <c r="E1207" s="23" t="s">
        <v>138</v>
      </c>
      <c r="F1207" s="17" t="s">
        <v>45</v>
      </c>
      <c r="G1207" s="11" t="s">
        <v>1432</v>
      </c>
      <c r="H1207" s="12">
        <v>17</v>
      </c>
      <c r="I1207" s="11" t="s">
        <v>1433</v>
      </c>
      <c r="J1207" s="193" t="s">
        <v>1442</v>
      </c>
      <c r="K1207" s="17" t="s">
        <v>233</v>
      </c>
      <c r="L1207" s="17" t="s">
        <v>233</v>
      </c>
      <c r="M1207" s="231">
        <v>40</v>
      </c>
      <c r="N1207" s="231">
        <v>40</v>
      </c>
      <c r="O1207" s="231">
        <v>40</v>
      </c>
      <c r="P1207" s="231" t="s">
        <v>239</v>
      </c>
      <c r="Q1207" s="231">
        <v>40</v>
      </c>
      <c r="R1207" s="231" t="s">
        <v>239</v>
      </c>
      <c r="S1207" s="231">
        <v>40</v>
      </c>
      <c r="T1207" s="231" t="s">
        <v>239</v>
      </c>
      <c r="U1207" s="231">
        <v>40</v>
      </c>
      <c r="V1207" s="230" t="s">
        <v>239</v>
      </c>
      <c r="W1207" s="231">
        <v>40</v>
      </c>
      <c r="X1207" s="231" t="s">
        <v>239</v>
      </c>
      <c r="Y1207" s="231">
        <v>40</v>
      </c>
      <c r="Z1207" s="231" t="s">
        <v>239</v>
      </c>
      <c r="AA1207" s="231">
        <v>40</v>
      </c>
      <c r="AB1207" s="231" t="s">
        <v>239</v>
      </c>
      <c r="AC1207" s="231">
        <v>40</v>
      </c>
      <c r="AD1207" s="231" t="s">
        <v>239</v>
      </c>
      <c r="AE1207" s="231">
        <v>40</v>
      </c>
      <c r="AF1207" s="231" t="s">
        <v>239</v>
      </c>
      <c r="AG1207" s="231">
        <v>40</v>
      </c>
      <c r="AH1207" s="231" t="s">
        <v>239</v>
      </c>
      <c r="AI1207" s="231">
        <v>40</v>
      </c>
      <c r="AJ1207" s="231" t="s">
        <v>239</v>
      </c>
      <c r="AK1207" s="231">
        <v>40</v>
      </c>
      <c r="AL1207" s="232" t="s">
        <v>239</v>
      </c>
      <c r="AM1207" s="232">
        <v>0</v>
      </c>
    </row>
    <row r="1208" spans="1:39" ht="15.75" outlineLevel="1">
      <c r="A1208" s="412"/>
      <c r="B1208" s="10">
        <v>129599</v>
      </c>
      <c r="C1208" s="218" t="s">
        <v>1489</v>
      </c>
      <c r="D1208" s="218" t="s">
        <v>1490</v>
      </c>
      <c r="E1208" s="23" t="s">
        <v>44</v>
      </c>
      <c r="F1208" s="17" t="s">
        <v>45</v>
      </c>
      <c r="G1208" s="11" t="s">
        <v>1432</v>
      </c>
      <c r="H1208" s="12">
        <v>32</v>
      </c>
      <c r="I1208" s="11" t="s">
        <v>1433</v>
      </c>
      <c r="J1208" s="193" t="s">
        <v>1451</v>
      </c>
      <c r="K1208" s="17" t="s">
        <v>233</v>
      </c>
      <c r="L1208" s="17" t="s">
        <v>233</v>
      </c>
      <c r="M1208" s="231">
        <v>4789</v>
      </c>
      <c r="N1208" s="232">
        <v>4730.8615399999999</v>
      </c>
      <c r="O1208" s="132">
        <v>942</v>
      </c>
      <c r="P1208" s="231" t="s">
        <v>239</v>
      </c>
      <c r="Q1208" s="232">
        <v>942</v>
      </c>
      <c r="R1208" s="231" t="s">
        <v>239</v>
      </c>
      <c r="S1208" s="232">
        <v>985</v>
      </c>
      <c r="T1208" s="231" t="s">
        <v>239</v>
      </c>
      <c r="U1208" s="232">
        <v>943</v>
      </c>
      <c r="V1208" s="231" t="s">
        <v>239</v>
      </c>
      <c r="W1208" s="232">
        <v>934</v>
      </c>
      <c r="X1208" s="231" t="s">
        <v>239</v>
      </c>
      <c r="Y1208" s="232">
        <v>940</v>
      </c>
      <c r="Z1208" s="231" t="s">
        <v>239</v>
      </c>
      <c r="AA1208" s="232">
        <v>718</v>
      </c>
      <c r="AB1208" s="231" t="s">
        <v>239</v>
      </c>
      <c r="AC1208" s="232">
        <v>655</v>
      </c>
      <c r="AD1208" s="231" t="s">
        <v>239</v>
      </c>
      <c r="AE1208" s="232">
        <v>605</v>
      </c>
      <c r="AF1208" s="231" t="s">
        <v>239</v>
      </c>
      <c r="AG1208" s="232">
        <v>754</v>
      </c>
      <c r="AH1208" s="231" t="s">
        <v>239</v>
      </c>
      <c r="AI1208" s="232">
        <v>492</v>
      </c>
      <c r="AJ1208" s="231" t="s">
        <v>239</v>
      </c>
      <c r="AK1208" s="232">
        <v>744</v>
      </c>
      <c r="AL1208" s="232" t="s">
        <v>239</v>
      </c>
      <c r="AM1208" s="232">
        <v>9654</v>
      </c>
    </row>
    <row r="1209" spans="1:39" ht="15.75" outlineLevel="1">
      <c r="A1209" s="411">
        <v>600</v>
      </c>
      <c r="B1209" s="10">
        <v>129600</v>
      </c>
      <c r="C1209" s="218" t="s">
        <v>1489</v>
      </c>
      <c r="D1209" s="218" t="s">
        <v>1490</v>
      </c>
      <c r="E1209" s="23" t="s">
        <v>44</v>
      </c>
      <c r="F1209" s="17" t="s">
        <v>45</v>
      </c>
      <c r="G1209" s="11" t="s">
        <v>1432</v>
      </c>
      <c r="H1209" s="12">
        <v>8</v>
      </c>
      <c r="I1209" s="11" t="s">
        <v>1433</v>
      </c>
      <c r="J1209" s="193" t="s">
        <v>208</v>
      </c>
      <c r="K1209" s="17" t="s">
        <v>233</v>
      </c>
      <c r="L1209" s="17" t="s">
        <v>233</v>
      </c>
      <c r="M1209" s="231">
        <v>1</v>
      </c>
      <c r="N1209" s="231">
        <v>1</v>
      </c>
      <c r="O1209" s="231">
        <v>1</v>
      </c>
      <c r="P1209" s="231" t="s">
        <v>239</v>
      </c>
      <c r="Q1209" s="231">
        <v>1</v>
      </c>
      <c r="R1209" s="231" t="s">
        <v>239</v>
      </c>
      <c r="S1209" s="231">
        <v>1</v>
      </c>
      <c r="T1209" s="231" t="s">
        <v>239</v>
      </c>
      <c r="U1209" s="231">
        <v>1</v>
      </c>
      <c r="V1209" s="231" t="s">
        <v>239</v>
      </c>
      <c r="W1209" s="231">
        <v>1</v>
      </c>
      <c r="X1209" s="231" t="s">
        <v>239</v>
      </c>
      <c r="Y1209" s="231">
        <v>1</v>
      </c>
      <c r="Z1209" s="231" t="s">
        <v>239</v>
      </c>
      <c r="AA1209" s="231">
        <v>1</v>
      </c>
      <c r="AB1209" s="231" t="s">
        <v>239</v>
      </c>
      <c r="AC1209" s="231">
        <v>1</v>
      </c>
      <c r="AD1209" s="231" t="s">
        <v>239</v>
      </c>
      <c r="AE1209" s="231">
        <v>1</v>
      </c>
      <c r="AF1209" s="231" t="s">
        <v>239</v>
      </c>
      <c r="AG1209" s="231">
        <v>1</v>
      </c>
      <c r="AH1209" s="231" t="s">
        <v>239</v>
      </c>
      <c r="AI1209" s="231">
        <v>1</v>
      </c>
      <c r="AJ1209" s="231" t="s">
        <v>239</v>
      </c>
      <c r="AK1209" s="231">
        <v>1</v>
      </c>
      <c r="AL1209" s="232" t="s">
        <v>239</v>
      </c>
      <c r="AM1209" s="232">
        <v>0</v>
      </c>
    </row>
    <row r="1210" spans="1:39" ht="15.75" outlineLevel="1">
      <c r="A1210" s="412"/>
      <c r="B1210" s="10">
        <v>129600</v>
      </c>
      <c r="C1210" s="218" t="s">
        <v>1489</v>
      </c>
      <c r="D1210" s="218" t="s">
        <v>1490</v>
      </c>
      <c r="E1210" s="23" t="s">
        <v>138</v>
      </c>
      <c r="F1210" s="17" t="s">
        <v>45</v>
      </c>
      <c r="G1210" s="11" t="s">
        <v>1432</v>
      </c>
      <c r="H1210" s="12">
        <v>12</v>
      </c>
      <c r="I1210" s="11" t="s">
        <v>1433</v>
      </c>
      <c r="J1210" s="193" t="s">
        <v>1452</v>
      </c>
      <c r="K1210" s="17" t="s">
        <v>233</v>
      </c>
      <c r="L1210" s="17" t="s">
        <v>233</v>
      </c>
      <c r="M1210" s="231">
        <v>13230</v>
      </c>
      <c r="N1210" s="232">
        <v>13069.387799999999</v>
      </c>
      <c r="O1210" s="132">
        <v>487</v>
      </c>
      <c r="P1210" s="231" t="s">
        <v>239</v>
      </c>
      <c r="Q1210" s="232">
        <v>487</v>
      </c>
      <c r="R1210" s="231" t="s">
        <v>239</v>
      </c>
      <c r="S1210" s="232">
        <v>421</v>
      </c>
      <c r="T1210" s="231" t="s">
        <v>239</v>
      </c>
      <c r="U1210" s="232">
        <v>474</v>
      </c>
      <c r="V1210" s="230" t="s">
        <v>239</v>
      </c>
      <c r="W1210" s="232">
        <v>412</v>
      </c>
      <c r="X1210" s="231" t="s">
        <v>239</v>
      </c>
      <c r="Y1210" s="232">
        <v>70</v>
      </c>
      <c r="Z1210" s="231" t="s">
        <v>239</v>
      </c>
      <c r="AA1210" s="232">
        <v>708</v>
      </c>
      <c r="AB1210" s="231" t="s">
        <v>239</v>
      </c>
      <c r="AC1210" s="232">
        <v>376</v>
      </c>
      <c r="AD1210" s="231" t="s">
        <v>239</v>
      </c>
      <c r="AE1210" s="232">
        <v>242</v>
      </c>
      <c r="AF1210" s="231" t="s">
        <v>239</v>
      </c>
      <c r="AG1210" s="232">
        <v>367</v>
      </c>
      <c r="AH1210" s="231" t="s">
        <v>239</v>
      </c>
      <c r="AI1210" s="232">
        <v>363</v>
      </c>
      <c r="AJ1210" s="231" t="s">
        <v>239</v>
      </c>
      <c r="AK1210" s="232">
        <v>823</v>
      </c>
      <c r="AL1210" s="232" t="s">
        <v>239</v>
      </c>
      <c r="AM1210" s="232">
        <v>5230</v>
      </c>
    </row>
    <row r="1211" spans="1:39" ht="15.75" outlineLevel="1">
      <c r="A1211" s="411">
        <v>601</v>
      </c>
      <c r="B1211" s="10">
        <v>129601</v>
      </c>
      <c r="C1211" s="218" t="s">
        <v>1489</v>
      </c>
      <c r="D1211" s="218" t="s">
        <v>1490</v>
      </c>
      <c r="E1211" s="23" t="s">
        <v>44</v>
      </c>
      <c r="F1211" s="17" t="s">
        <v>45</v>
      </c>
      <c r="G1211" s="11" t="s">
        <v>1432</v>
      </c>
      <c r="H1211" s="12">
        <v>18</v>
      </c>
      <c r="I1211" s="11" t="s">
        <v>1433</v>
      </c>
      <c r="J1211" s="193" t="s">
        <v>216</v>
      </c>
      <c r="K1211" s="17" t="s">
        <v>233</v>
      </c>
      <c r="L1211" s="17" t="s">
        <v>233</v>
      </c>
      <c r="M1211" s="231">
        <v>1</v>
      </c>
      <c r="N1211" s="231">
        <v>1</v>
      </c>
      <c r="O1211" s="231">
        <v>1</v>
      </c>
      <c r="P1211" s="231" t="s">
        <v>239</v>
      </c>
      <c r="Q1211" s="231">
        <v>1</v>
      </c>
      <c r="R1211" s="231" t="s">
        <v>239</v>
      </c>
      <c r="S1211" s="231">
        <v>1</v>
      </c>
      <c r="T1211" s="231" t="s">
        <v>239</v>
      </c>
      <c r="U1211" s="231">
        <v>1</v>
      </c>
      <c r="V1211" s="231" t="s">
        <v>239</v>
      </c>
      <c r="W1211" s="231">
        <v>1</v>
      </c>
      <c r="X1211" s="231" t="s">
        <v>239</v>
      </c>
      <c r="Y1211" s="231">
        <v>1</v>
      </c>
      <c r="Z1211" s="231" t="s">
        <v>239</v>
      </c>
      <c r="AA1211" s="231">
        <v>1</v>
      </c>
      <c r="AB1211" s="231" t="s">
        <v>239</v>
      </c>
      <c r="AC1211" s="231">
        <v>1</v>
      </c>
      <c r="AD1211" s="231" t="s">
        <v>239</v>
      </c>
      <c r="AE1211" s="231">
        <v>1</v>
      </c>
      <c r="AF1211" s="231" t="s">
        <v>239</v>
      </c>
      <c r="AG1211" s="231">
        <v>1</v>
      </c>
      <c r="AH1211" s="231" t="s">
        <v>239</v>
      </c>
      <c r="AI1211" s="231">
        <v>1</v>
      </c>
      <c r="AJ1211" s="231" t="s">
        <v>239</v>
      </c>
      <c r="AK1211" s="231">
        <v>1</v>
      </c>
      <c r="AL1211" s="232" t="s">
        <v>239</v>
      </c>
      <c r="AM1211" s="232">
        <v>0</v>
      </c>
    </row>
    <row r="1212" spans="1:39" ht="15.75" outlineLevel="1">
      <c r="A1212" s="412"/>
      <c r="B1212" s="10">
        <v>129601</v>
      </c>
      <c r="C1212" s="218" t="s">
        <v>1489</v>
      </c>
      <c r="D1212" s="218" t="s">
        <v>1490</v>
      </c>
      <c r="E1212" s="23" t="s">
        <v>138</v>
      </c>
      <c r="F1212" s="17" t="s">
        <v>45</v>
      </c>
      <c r="G1212" s="11" t="s">
        <v>1432</v>
      </c>
      <c r="H1212" s="12">
        <v>17</v>
      </c>
      <c r="I1212" s="11" t="s">
        <v>1433</v>
      </c>
      <c r="J1212" s="193" t="s">
        <v>1453</v>
      </c>
      <c r="K1212" s="17" t="s">
        <v>233</v>
      </c>
      <c r="L1212" s="17" t="s">
        <v>233</v>
      </c>
      <c r="M1212" s="231">
        <v>0</v>
      </c>
      <c r="N1212" s="232">
        <v>0</v>
      </c>
      <c r="O1212" s="132">
        <v>0</v>
      </c>
      <c r="P1212" s="231" t="s">
        <v>239</v>
      </c>
      <c r="Q1212" s="232">
        <v>0</v>
      </c>
      <c r="R1212" s="231" t="s">
        <v>239</v>
      </c>
      <c r="S1212" s="232">
        <v>0</v>
      </c>
      <c r="T1212" s="231" t="s">
        <v>239</v>
      </c>
      <c r="U1212" s="232">
        <v>0</v>
      </c>
      <c r="V1212" s="231" t="s">
        <v>239</v>
      </c>
      <c r="W1212" s="232">
        <v>0</v>
      </c>
      <c r="X1212" s="231" t="s">
        <v>239</v>
      </c>
      <c r="Y1212" s="232">
        <v>0</v>
      </c>
      <c r="Z1212" s="231" t="s">
        <v>239</v>
      </c>
      <c r="AA1212" s="232">
        <v>0</v>
      </c>
      <c r="AB1212" s="231" t="s">
        <v>239</v>
      </c>
      <c r="AC1212" s="232">
        <v>0</v>
      </c>
      <c r="AD1212" s="231" t="s">
        <v>239</v>
      </c>
      <c r="AE1212" s="232">
        <v>0</v>
      </c>
      <c r="AF1212" s="231" t="s">
        <v>239</v>
      </c>
      <c r="AG1212" s="232">
        <v>0</v>
      </c>
      <c r="AH1212" s="231" t="s">
        <v>239</v>
      </c>
      <c r="AI1212" s="232">
        <v>0</v>
      </c>
      <c r="AJ1212" s="231" t="s">
        <v>239</v>
      </c>
      <c r="AK1212" s="232">
        <v>0</v>
      </c>
      <c r="AL1212" s="232" t="s">
        <v>239</v>
      </c>
      <c r="AM1212" s="232">
        <v>0</v>
      </c>
    </row>
    <row r="1213" spans="1:39" ht="15.75" outlineLevel="1">
      <c r="A1213" s="411">
        <v>602</v>
      </c>
      <c r="B1213" s="10">
        <v>129602</v>
      </c>
      <c r="C1213" s="218" t="s">
        <v>1489</v>
      </c>
      <c r="D1213" s="218" t="s">
        <v>1490</v>
      </c>
      <c r="E1213" s="23" t="s">
        <v>44</v>
      </c>
      <c r="F1213" s="17" t="s">
        <v>45</v>
      </c>
      <c r="G1213" s="11" t="s">
        <v>1432</v>
      </c>
      <c r="H1213" s="12">
        <v>25</v>
      </c>
      <c r="I1213" s="11" t="s">
        <v>1433</v>
      </c>
      <c r="J1213" s="193" t="s">
        <v>1454</v>
      </c>
      <c r="K1213" s="17" t="s">
        <v>233</v>
      </c>
      <c r="L1213" s="17" t="s">
        <v>233</v>
      </c>
      <c r="M1213" s="231">
        <v>22</v>
      </c>
      <c r="N1213" s="231">
        <v>22</v>
      </c>
      <c r="O1213" s="231">
        <v>22</v>
      </c>
      <c r="P1213" s="231" t="s">
        <v>239</v>
      </c>
      <c r="Q1213" s="231">
        <v>22</v>
      </c>
      <c r="R1213" s="231" t="s">
        <v>239</v>
      </c>
      <c r="S1213" s="231">
        <v>22</v>
      </c>
      <c r="T1213" s="231" t="s">
        <v>239</v>
      </c>
      <c r="U1213" s="231">
        <v>22</v>
      </c>
      <c r="V1213" s="230" t="s">
        <v>239</v>
      </c>
      <c r="W1213" s="231">
        <v>22</v>
      </c>
      <c r="X1213" s="231" t="s">
        <v>239</v>
      </c>
      <c r="Y1213" s="231">
        <v>22</v>
      </c>
      <c r="Z1213" s="231" t="s">
        <v>239</v>
      </c>
      <c r="AA1213" s="231">
        <v>22</v>
      </c>
      <c r="AB1213" s="231" t="s">
        <v>239</v>
      </c>
      <c r="AC1213" s="231">
        <v>22</v>
      </c>
      <c r="AD1213" s="231" t="s">
        <v>239</v>
      </c>
      <c r="AE1213" s="231">
        <v>22</v>
      </c>
      <c r="AF1213" s="231" t="s">
        <v>239</v>
      </c>
      <c r="AG1213" s="231">
        <v>22</v>
      </c>
      <c r="AH1213" s="231" t="s">
        <v>239</v>
      </c>
      <c r="AI1213" s="231">
        <v>22</v>
      </c>
      <c r="AJ1213" s="231" t="s">
        <v>239</v>
      </c>
      <c r="AK1213" s="231">
        <v>22</v>
      </c>
      <c r="AL1213" s="232" t="s">
        <v>239</v>
      </c>
      <c r="AM1213" s="232">
        <v>0</v>
      </c>
    </row>
    <row r="1214" spans="1:39" ht="15.75" outlineLevel="1">
      <c r="A1214" s="412"/>
      <c r="B1214" s="10">
        <v>129602</v>
      </c>
      <c r="C1214" s="218" t="s">
        <v>1489</v>
      </c>
      <c r="D1214" s="218" t="s">
        <v>1490</v>
      </c>
      <c r="E1214" s="23" t="s">
        <v>44</v>
      </c>
      <c r="F1214" s="17" t="s">
        <v>45</v>
      </c>
      <c r="G1214" s="11" t="s">
        <v>1432</v>
      </c>
      <c r="H1214" s="12">
        <v>13</v>
      </c>
      <c r="I1214" s="11" t="s">
        <v>1433</v>
      </c>
      <c r="J1214" s="191" t="s">
        <v>216</v>
      </c>
      <c r="K1214" s="17" t="s">
        <v>233</v>
      </c>
      <c r="L1214" s="17" t="s">
        <v>233</v>
      </c>
      <c r="M1214" s="231">
        <v>5613</v>
      </c>
      <c r="N1214" s="232">
        <v>5544.8581800000002</v>
      </c>
      <c r="O1214" s="132">
        <v>847</v>
      </c>
      <c r="P1214" s="231" t="s">
        <v>239</v>
      </c>
      <c r="Q1214" s="232">
        <v>847</v>
      </c>
      <c r="R1214" s="231" t="s">
        <v>239</v>
      </c>
      <c r="S1214" s="232">
        <v>806</v>
      </c>
      <c r="T1214" s="231" t="s">
        <v>239</v>
      </c>
      <c r="U1214" s="232">
        <v>1141</v>
      </c>
      <c r="V1214" s="231" t="s">
        <v>239</v>
      </c>
      <c r="W1214" s="232">
        <v>85</v>
      </c>
      <c r="X1214" s="231" t="s">
        <v>239</v>
      </c>
      <c r="Y1214" s="232">
        <v>42</v>
      </c>
      <c r="Z1214" s="231" t="s">
        <v>239</v>
      </c>
      <c r="AA1214" s="232">
        <v>156</v>
      </c>
      <c r="AB1214" s="231" t="s">
        <v>239</v>
      </c>
      <c r="AC1214" s="232">
        <v>104</v>
      </c>
      <c r="AD1214" s="231" t="s">
        <v>239</v>
      </c>
      <c r="AE1214" s="232">
        <v>116</v>
      </c>
      <c r="AF1214" s="231" t="s">
        <v>239</v>
      </c>
      <c r="AG1214" s="232">
        <v>532</v>
      </c>
      <c r="AH1214" s="231" t="s">
        <v>239</v>
      </c>
      <c r="AI1214" s="232">
        <v>492</v>
      </c>
      <c r="AJ1214" s="231" t="s">
        <v>239</v>
      </c>
      <c r="AK1214" s="232">
        <v>674</v>
      </c>
      <c r="AL1214" s="232" t="s">
        <v>239</v>
      </c>
      <c r="AM1214" s="232">
        <v>5842</v>
      </c>
    </row>
    <row r="1215" spans="1:39" ht="15.75" outlineLevel="1">
      <c r="A1215" s="411">
        <v>603</v>
      </c>
      <c r="B1215" s="10">
        <v>129603</v>
      </c>
      <c r="C1215" s="218" t="s">
        <v>1489</v>
      </c>
      <c r="D1215" s="218" t="s">
        <v>1490</v>
      </c>
      <c r="E1215" s="23" t="s">
        <v>138</v>
      </c>
      <c r="F1215" s="17" t="s">
        <v>45</v>
      </c>
      <c r="G1215" s="11" t="s">
        <v>1432</v>
      </c>
      <c r="H1215" s="12">
        <v>5</v>
      </c>
      <c r="I1215" s="11" t="s">
        <v>1433</v>
      </c>
      <c r="J1215" s="192" t="s">
        <v>1434</v>
      </c>
      <c r="K1215" s="17" t="s">
        <v>233</v>
      </c>
      <c r="L1215" s="17" t="s">
        <v>233</v>
      </c>
      <c r="M1215" s="231">
        <v>17</v>
      </c>
      <c r="N1215" s="231">
        <v>17</v>
      </c>
      <c r="O1215" s="231">
        <v>17</v>
      </c>
      <c r="P1215" s="231" t="s">
        <v>239</v>
      </c>
      <c r="Q1215" s="231">
        <v>17</v>
      </c>
      <c r="R1215" s="231" t="s">
        <v>239</v>
      </c>
      <c r="S1215" s="231">
        <v>17</v>
      </c>
      <c r="T1215" s="231" t="s">
        <v>239</v>
      </c>
      <c r="U1215" s="231">
        <v>17</v>
      </c>
      <c r="V1215" s="231" t="s">
        <v>239</v>
      </c>
      <c r="W1215" s="231">
        <v>17</v>
      </c>
      <c r="X1215" s="231" t="s">
        <v>239</v>
      </c>
      <c r="Y1215" s="231">
        <v>17</v>
      </c>
      <c r="Z1215" s="231" t="s">
        <v>239</v>
      </c>
      <c r="AA1215" s="231">
        <v>17</v>
      </c>
      <c r="AB1215" s="231" t="s">
        <v>239</v>
      </c>
      <c r="AC1215" s="231">
        <v>17</v>
      </c>
      <c r="AD1215" s="231" t="s">
        <v>239</v>
      </c>
      <c r="AE1215" s="231">
        <v>17</v>
      </c>
      <c r="AF1215" s="231" t="s">
        <v>239</v>
      </c>
      <c r="AG1215" s="231">
        <v>17</v>
      </c>
      <c r="AH1215" s="231" t="s">
        <v>239</v>
      </c>
      <c r="AI1215" s="231">
        <v>17</v>
      </c>
      <c r="AJ1215" s="231" t="s">
        <v>239</v>
      </c>
      <c r="AK1215" s="231">
        <v>17</v>
      </c>
      <c r="AL1215" s="232" t="s">
        <v>239</v>
      </c>
      <c r="AM1215" s="232">
        <v>0</v>
      </c>
    </row>
    <row r="1216" spans="1:39" ht="15.75" outlineLevel="1">
      <c r="A1216" s="412"/>
      <c r="B1216" s="10">
        <v>129603</v>
      </c>
      <c r="C1216" s="218" t="s">
        <v>1489</v>
      </c>
      <c r="D1216" s="218" t="s">
        <v>1490</v>
      </c>
      <c r="E1216" s="23" t="s">
        <v>44</v>
      </c>
      <c r="F1216" s="17" t="s">
        <v>45</v>
      </c>
      <c r="G1216" s="11" t="s">
        <v>1432</v>
      </c>
      <c r="H1216" s="12">
        <v>4</v>
      </c>
      <c r="I1216" s="11" t="s">
        <v>1433</v>
      </c>
      <c r="J1216" s="192" t="s">
        <v>1480</v>
      </c>
      <c r="K1216" s="17" t="s">
        <v>233</v>
      </c>
      <c r="L1216" s="17" t="s">
        <v>233</v>
      </c>
      <c r="M1216" s="231">
        <v>3363</v>
      </c>
      <c r="N1216" s="232">
        <v>3322.1731799999998</v>
      </c>
      <c r="O1216" s="132">
        <v>594</v>
      </c>
      <c r="P1216" s="231" t="s">
        <v>239</v>
      </c>
      <c r="Q1216" s="232">
        <v>594</v>
      </c>
      <c r="R1216" s="231" t="s">
        <v>239</v>
      </c>
      <c r="S1216" s="232">
        <v>536</v>
      </c>
      <c r="T1216" s="231" t="s">
        <v>239</v>
      </c>
      <c r="U1216" s="232">
        <v>577</v>
      </c>
      <c r="V1216" s="230" t="s">
        <v>239</v>
      </c>
      <c r="W1216" s="232">
        <v>469</v>
      </c>
      <c r="X1216" s="231" t="s">
        <v>239</v>
      </c>
      <c r="Y1216" s="232">
        <v>445</v>
      </c>
      <c r="Z1216" s="231" t="s">
        <v>239</v>
      </c>
      <c r="AA1216" s="232">
        <v>396</v>
      </c>
      <c r="AB1216" s="231" t="s">
        <v>239</v>
      </c>
      <c r="AC1216" s="232">
        <v>429</v>
      </c>
      <c r="AD1216" s="231" t="s">
        <v>239</v>
      </c>
      <c r="AE1216" s="232">
        <v>519</v>
      </c>
      <c r="AF1216" s="231" t="s">
        <v>239</v>
      </c>
      <c r="AG1216" s="232">
        <v>441</v>
      </c>
      <c r="AH1216" s="231" t="s">
        <v>239</v>
      </c>
      <c r="AI1216" s="232">
        <v>460</v>
      </c>
      <c r="AJ1216" s="231" t="s">
        <v>239</v>
      </c>
      <c r="AK1216" s="232">
        <v>608</v>
      </c>
      <c r="AL1216" s="232" t="s">
        <v>239</v>
      </c>
      <c r="AM1216" s="232">
        <v>6068</v>
      </c>
    </row>
    <row r="1217" spans="1:39" ht="15.75" outlineLevel="1">
      <c r="A1217" s="411">
        <v>604</v>
      </c>
      <c r="B1217" s="10">
        <v>129604</v>
      </c>
      <c r="C1217" s="218" t="s">
        <v>1489</v>
      </c>
      <c r="D1217" s="218" t="s">
        <v>1490</v>
      </c>
      <c r="E1217" s="23" t="s">
        <v>138</v>
      </c>
      <c r="F1217" s="17" t="s">
        <v>45</v>
      </c>
      <c r="G1217" s="11" t="s">
        <v>1432</v>
      </c>
      <c r="H1217" s="12">
        <v>18</v>
      </c>
      <c r="I1217" s="11" t="s">
        <v>1433</v>
      </c>
      <c r="J1217" s="192" t="s">
        <v>1452</v>
      </c>
      <c r="K1217" s="17" t="s">
        <v>233</v>
      </c>
      <c r="L1217" s="17" t="s">
        <v>233</v>
      </c>
      <c r="M1217" s="231">
        <v>32</v>
      </c>
      <c r="N1217" s="231">
        <v>32</v>
      </c>
      <c r="O1217" s="231">
        <v>32</v>
      </c>
      <c r="P1217" s="231" t="s">
        <v>239</v>
      </c>
      <c r="Q1217" s="231">
        <v>32</v>
      </c>
      <c r="R1217" s="231" t="s">
        <v>239</v>
      </c>
      <c r="S1217" s="231">
        <v>32</v>
      </c>
      <c r="T1217" s="231" t="s">
        <v>239</v>
      </c>
      <c r="U1217" s="231">
        <v>32</v>
      </c>
      <c r="V1217" s="231" t="s">
        <v>239</v>
      </c>
      <c r="W1217" s="231">
        <v>32</v>
      </c>
      <c r="X1217" s="231" t="s">
        <v>239</v>
      </c>
      <c r="Y1217" s="231">
        <v>32</v>
      </c>
      <c r="Z1217" s="231" t="s">
        <v>239</v>
      </c>
      <c r="AA1217" s="231">
        <v>32</v>
      </c>
      <c r="AB1217" s="231" t="s">
        <v>239</v>
      </c>
      <c r="AC1217" s="231">
        <v>32</v>
      </c>
      <c r="AD1217" s="231" t="s">
        <v>239</v>
      </c>
      <c r="AE1217" s="231">
        <v>32</v>
      </c>
      <c r="AF1217" s="231" t="s">
        <v>239</v>
      </c>
      <c r="AG1217" s="231">
        <v>32</v>
      </c>
      <c r="AH1217" s="231" t="s">
        <v>239</v>
      </c>
      <c r="AI1217" s="231">
        <v>32</v>
      </c>
      <c r="AJ1217" s="231" t="s">
        <v>239</v>
      </c>
      <c r="AK1217" s="231">
        <v>32</v>
      </c>
      <c r="AL1217" s="232" t="s">
        <v>239</v>
      </c>
      <c r="AM1217" s="232">
        <v>0</v>
      </c>
    </row>
    <row r="1218" spans="1:39" ht="15.75" outlineLevel="1">
      <c r="A1218" s="412"/>
      <c r="B1218" s="10">
        <v>129604</v>
      </c>
      <c r="C1218" s="218" t="s">
        <v>1489</v>
      </c>
      <c r="D1218" s="218" t="s">
        <v>1490</v>
      </c>
      <c r="E1218" s="23" t="s">
        <v>44</v>
      </c>
      <c r="F1218" s="17" t="s">
        <v>45</v>
      </c>
      <c r="G1218" s="11" t="s">
        <v>1432</v>
      </c>
      <c r="H1218" s="12">
        <v>17</v>
      </c>
      <c r="I1218" s="11" t="s">
        <v>1433</v>
      </c>
      <c r="J1218" s="374" t="s">
        <v>207</v>
      </c>
      <c r="K1218" s="17" t="s">
        <v>233</v>
      </c>
      <c r="L1218" s="17" t="s">
        <v>233</v>
      </c>
      <c r="M1218" s="231">
        <v>11237</v>
      </c>
      <c r="N1218" s="232">
        <v>11100.58282</v>
      </c>
      <c r="O1218" s="132">
        <v>645</v>
      </c>
      <c r="P1218" s="231" t="s">
        <v>239</v>
      </c>
      <c r="Q1218" s="232">
        <v>645</v>
      </c>
      <c r="R1218" s="231" t="s">
        <v>239</v>
      </c>
      <c r="S1218" s="232">
        <v>264</v>
      </c>
      <c r="T1218" s="231" t="s">
        <v>239</v>
      </c>
      <c r="U1218" s="232">
        <v>490</v>
      </c>
      <c r="V1218" s="231" t="s">
        <v>239</v>
      </c>
      <c r="W1218" s="232">
        <v>1406</v>
      </c>
      <c r="X1218" s="231" t="s">
        <v>239</v>
      </c>
      <c r="Y1218" s="232">
        <v>399</v>
      </c>
      <c r="Z1218" s="231" t="s">
        <v>239</v>
      </c>
      <c r="AA1218" s="232">
        <v>343</v>
      </c>
      <c r="AB1218" s="231" t="s">
        <v>239</v>
      </c>
      <c r="AC1218" s="232">
        <v>372</v>
      </c>
      <c r="AD1218" s="231" t="s">
        <v>239</v>
      </c>
      <c r="AE1218" s="232">
        <v>474</v>
      </c>
      <c r="AF1218" s="231" t="s">
        <v>239</v>
      </c>
      <c r="AG1218" s="232">
        <v>694</v>
      </c>
      <c r="AH1218" s="231" t="s">
        <v>239</v>
      </c>
      <c r="AI1218" s="232">
        <v>241</v>
      </c>
      <c r="AJ1218" s="231" t="s">
        <v>239</v>
      </c>
      <c r="AK1218" s="232">
        <v>742</v>
      </c>
      <c r="AL1218" s="232" t="s">
        <v>239</v>
      </c>
      <c r="AM1218" s="232">
        <v>6715</v>
      </c>
    </row>
    <row r="1219" spans="1:39" ht="15.75" outlineLevel="1">
      <c r="A1219" s="411">
        <v>605</v>
      </c>
      <c r="B1219" s="10">
        <v>129605</v>
      </c>
      <c r="C1219" s="218" t="s">
        <v>1489</v>
      </c>
      <c r="D1219" s="218" t="s">
        <v>1490</v>
      </c>
      <c r="E1219" s="23" t="s">
        <v>44</v>
      </c>
      <c r="F1219" s="17" t="s">
        <v>45</v>
      </c>
      <c r="G1219" s="11" t="s">
        <v>1432</v>
      </c>
      <c r="H1219" s="12">
        <v>28</v>
      </c>
      <c r="I1219" s="11" t="s">
        <v>1433</v>
      </c>
      <c r="J1219" s="375"/>
      <c r="K1219" s="17" t="s">
        <v>233</v>
      </c>
      <c r="L1219" s="17" t="s">
        <v>233</v>
      </c>
      <c r="M1219" s="231">
        <v>32</v>
      </c>
      <c r="N1219" s="231">
        <v>32</v>
      </c>
      <c r="O1219" s="231">
        <v>32</v>
      </c>
      <c r="P1219" s="231" t="s">
        <v>239</v>
      </c>
      <c r="Q1219" s="231">
        <v>32</v>
      </c>
      <c r="R1219" s="231" t="s">
        <v>239</v>
      </c>
      <c r="S1219" s="231">
        <v>32</v>
      </c>
      <c r="T1219" s="231" t="s">
        <v>239</v>
      </c>
      <c r="U1219" s="231">
        <v>32</v>
      </c>
      <c r="V1219" s="230" t="s">
        <v>239</v>
      </c>
      <c r="W1219" s="231">
        <v>32</v>
      </c>
      <c r="X1219" s="231" t="s">
        <v>239</v>
      </c>
      <c r="Y1219" s="231">
        <v>32</v>
      </c>
      <c r="Z1219" s="231" t="s">
        <v>239</v>
      </c>
      <c r="AA1219" s="231">
        <v>32</v>
      </c>
      <c r="AB1219" s="231" t="s">
        <v>239</v>
      </c>
      <c r="AC1219" s="231">
        <v>32</v>
      </c>
      <c r="AD1219" s="231" t="s">
        <v>239</v>
      </c>
      <c r="AE1219" s="231">
        <v>32</v>
      </c>
      <c r="AF1219" s="231" t="s">
        <v>239</v>
      </c>
      <c r="AG1219" s="231">
        <v>32</v>
      </c>
      <c r="AH1219" s="231" t="s">
        <v>239</v>
      </c>
      <c r="AI1219" s="231">
        <v>32</v>
      </c>
      <c r="AJ1219" s="231" t="s">
        <v>239</v>
      </c>
      <c r="AK1219" s="231">
        <v>32</v>
      </c>
      <c r="AL1219" s="232" t="s">
        <v>239</v>
      </c>
      <c r="AM1219" s="232">
        <v>0</v>
      </c>
    </row>
    <row r="1220" spans="1:39" ht="15.75" outlineLevel="1">
      <c r="A1220" s="412"/>
      <c r="B1220" s="10">
        <v>129605</v>
      </c>
      <c r="C1220" s="218" t="s">
        <v>1489</v>
      </c>
      <c r="D1220" s="218" t="s">
        <v>1490</v>
      </c>
      <c r="E1220" s="23" t="s">
        <v>138</v>
      </c>
      <c r="F1220" s="17" t="s">
        <v>45</v>
      </c>
      <c r="G1220" s="11" t="s">
        <v>1432</v>
      </c>
      <c r="H1220" s="12">
        <v>33</v>
      </c>
      <c r="I1220" s="11" t="s">
        <v>1433</v>
      </c>
      <c r="J1220" s="193" t="s">
        <v>1451</v>
      </c>
      <c r="K1220" s="17" t="s">
        <v>233</v>
      </c>
      <c r="L1220" s="17" t="s">
        <v>233</v>
      </c>
      <c r="M1220" s="231">
        <v>0</v>
      </c>
      <c r="N1220" s="232">
        <v>0</v>
      </c>
      <c r="O1220" s="132">
        <v>0</v>
      </c>
      <c r="P1220" s="231" t="s">
        <v>239</v>
      </c>
      <c r="Q1220" s="232">
        <v>0</v>
      </c>
      <c r="R1220" s="231" t="s">
        <v>239</v>
      </c>
      <c r="S1220" s="232">
        <v>0</v>
      </c>
      <c r="T1220" s="231" t="s">
        <v>239</v>
      </c>
      <c r="U1220" s="232">
        <v>0</v>
      </c>
      <c r="V1220" s="231" t="s">
        <v>239</v>
      </c>
      <c r="W1220" s="232">
        <v>0</v>
      </c>
      <c r="X1220" s="231" t="s">
        <v>239</v>
      </c>
      <c r="Y1220" s="232">
        <v>0</v>
      </c>
      <c r="Z1220" s="231" t="s">
        <v>239</v>
      </c>
      <c r="AA1220" s="232">
        <v>0</v>
      </c>
      <c r="AB1220" s="231" t="s">
        <v>239</v>
      </c>
      <c r="AC1220" s="232">
        <v>0</v>
      </c>
      <c r="AD1220" s="231" t="s">
        <v>239</v>
      </c>
      <c r="AE1220" s="232">
        <v>0</v>
      </c>
      <c r="AF1220" s="231" t="s">
        <v>239</v>
      </c>
      <c r="AG1220" s="232">
        <v>0</v>
      </c>
      <c r="AH1220" s="231" t="s">
        <v>239</v>
      </c>
      <c r="AI1220" s="232">
        <v>0</v>
      </c>
      <c r="AJ1220" s="231" t="s">
        <v>239</v>
      </c>
      <c r="AK1220" s="232">
        <v>0</v>
      </c>
      <c r="AL1220" s="232" t="s">
        <v>239</v>
      </c>
      <c r="AM1220" s="232">
        <v>0</v>
      </c>
    </row>
    <row r="1221" spans="1:39" ht="15.75" outlineLevel="1">
      <c r="A1221" s="411">
        <v>606</v>
      </c>
      <c r="B1221" s="10">
        <v>129606</v>
      </c>
      <c r="C1221" s="218" t="s">
        <v>1489</v>
      </c>
      <c r="D1221" s="218" t="s">
        <v>1490</v>
      </c>
      <c r="E1221" s="23" t="s">
        <v>44</v>
      </c>
      <c r="F1221" s="17" t="s">
        <v>45</v>
      </c>
      <c r="G1221" s="11" t="s">
        <v>1432</v>
      </c>
      <c r="H1221" s="12">
        <v>25</v>
      </c>
      <c r="I1221" s="11" t="s">
        <v>1433</v>
      </c>
      <c r="J1221" s="193" t="s">
        <v>208</v>
      </c>
      <c r="K1221" s="17" t="s">
        <v>233</v>
      </c>
      <c r="L1221" s="17" t="s">
        <v>233</v>
      </c>
      <c r="M1221" s="231">
        <v>0</v>
      </c>
      <c r="N1221" s="232">
        <v>0</v>
      </c>
      <c r="O1221" s="132">
        <v>0</v>
      </c>
      <c r="P1221" s="231" t="s">
        <v>239</v>
      </c>
      <c r="Q1221" s="232">
        <v>0</v>
      </c>
      <c r="R1221" s="231" t="s">
        <v>239</v>
      </c>
      <c r="S1221" s="232">
        <v>0</v>
      </c>
      <c r="T1221" s="231" t="s">
        <v>239</v>
      </c>
      <c r="U1221" s="232">
        <v>0</v>
      </c>
      <c r="V1221" s="231" t="s">
        <v>239</v>
      </c>
      <c r="W1221" s="232">
        <v>0</v>
      </c>
      <c r="X1221" s="231" t="s">
        <v>239</v>
      </c>
      <c r="Y1221" s="232">
        <v>0</v>
      </c>
      <c r="Z1221" s="231" t="s">
        <v>239</v>
      </c>
      <c r="AA1221" s="232">
        <v>0</v>
      </c>
      <c r="AB1221" s="231" t="s">
        <v>239</v>
      </c>
      <c r="AC1221" s="232">
        <v>0</v>
      </c>
      <c r="AD1221" s="231" t="s">
        <v>239</v>
      </c>
      <c r="AE1221" s="232">
        <v>0</v>
      </c>
      <c r="AF1221" s="231" t="s">
        <v>239</v>
      </c>
      <c r="AG1221" s="232">
        <v>0</v>
      </c>
      <c r="AH1221" s="231" t="s">
        <v>239</v>
      </c>
      <c r="AI1221" s="232">
        <v>0</v>
      </c>
      <c r="AJ1221" s="231" t="s">
        <v>239</v>
      </c>
      <c r="AK1221" s="232">
        <v>0</v>
      </c>
      <c r="AL1221" s="232" t="s">
        <v>239</v>
      </c>
      <c r="AM1221" s="232">
        <v>0</v>
      </c>
    </row>
    <row r="1222" spans="1:39" ht="15.75" outlineLevel="1">
      <c r="A1222" s="412"/>
      <c r="B1222" s="10">
        <v>129606</v>
      </c>
      <c r="C1222" s="218" t="s">
        <v>1489</v>
      </c>
      <c r="D1222" s="218" t="s">
        <v>1490</v>
      </c>
      <c r="E1222" s="23" t="s">
        <v>138</v>
      </c>
      <c r="F1222" s="17" t="s">
        <v>45</v>
      </c>
      <c r="G1222" s="11" t="s">
        <v>1432</v>
      </c>
      <c r="H1222" s="12">
        <v>9</v>
      </c>
      <c r="I1222" s="11" t="s">
        <v>1433</v>
      </c>
      <c r="J1222" s="193" t="s">
        <v>1452</v>
      </c>
      <c r="K1222" s="17" t="s">
        <v>233</v>
      </c>
      <c r="L1222" s="17" t="s">
        <v>233</v>
      </c>
      <c r="M1222" s="231">
        <v>0</v>
      </c>
      <c r="N1222" s="232">
        <v>0</v>
      </c>
      <c r="O1222" s="132">
        <v>286</v>
      </c>
      <c r="P1222" s="231" t="s">
        <v>239</v>
      </c>
      <c r="Q1222" s="232">
        <v>286</v>
      </c>
      <c r="R1222" s="231" t="s">
        <v>239</v>
      </c>
      <c r="S1222" s="232">
        <v>187</v>
      </c>
      <c r="T1222" s="231" t="s">
        <v>239</v>
      </c>
      <c r="U1222" s="232">
        <v>365</v>
      </c>
      <c r="V1222" s="230" t="s">
        <v>239</v>
      </c>
      <c r="W1222" s="232">
        <v>155</v>
      </c>
      <c r="X1222" s="231" t="s">
        <v>239</v>
      </c>
      <c r="Y1222" s="232">
        <v>202</v>
      </c>
      <c r="Z1222" s="231" t="s">
        <v>239</v>
      </c>
      <c r="AA1222" s="232">
        <v>202</v>
      </c>
      <c r="AB1222" s="231" t="s">
        <v>239</v>
      </c>
      <c r="AC1222" s="232">
        <v>195</v>
      </c>
      <c r="AD1222" s="231" t="s">
        <v>239</v>
      </c>
      <c r="AE1222" s="232">
        <v>76</v>
      </c>
      <c r="AF1222" s="231" t="s">
        <v>239</v>
      </c>
      <c r="AG1222" s="232">
        <v>125</v>
      </c>
      <c r="AH1222" s="231" t="s">
        <v>239</v>
      </c>
      <c r="AI1222" s="232">
        <v>245</v>
      </c>
      <c r="AJ1222" s="231" t="s">
        <v>239</v>
      </c>
      <c r="AK1222" s="232">
        <v>168</v>
      </c>
      <c r="AL1222" s="232" t="s">
        <v>239</v>
      </c>
      <c r="AM1222" s="232">
        <v>2492</v>
      </c>
    </row>
    <row r="1223" spans="1:39" ht="15.75" outlineLevel="1">
      <c r="A1223" s="411">
        <v>607</v>
      </c>
      <c r="B1223" s="10">
        <v>129607</v>
      </c>
      <c r="C1223" s="218" t="s">
        <v>1489</v>
      </c>
      <c r="D1223" s="218" t="s">
        <v>1490</v>
      </c>
      <c r="E1223" s="23" t="s">
        <v>44</v>
      </c>
      <c r="F1223" s="17" t="s">
        <v>45</v>
      </c>
      <c r="G1223" s="11" t="s">
        <v>1432</v>
      </c>
      <c r="H1223" s="12">
        <v>24</v>
      </c>
      <c r="I1223" s="11" t="s">
        <v>1433</v>
      </c>
      <c r="J1223" s="193" t="s">
        <v>216</v>
      </c>
      <c r="K1223" s="17" t="s">
        <v>233</v>
      </c>
      <c r="L1223" s="17" t="s">
        <v>233</v>
      </c>
      <c r="M1223" s="231">
        <v>0</v>
      </c>
      <c r="N1223" s="232">
        <v>0</v>
      </c>
      <c r="O1223" s="132">
        <v>0</v>
      </c>
      <c r="P1223" s="231" t="s">
        <v>239</v>
      </c>
      <c r="Q1223" s="232">
        <v>0</v>
      </c>
      <c r="R1223" s="231" t="s">
        <v>239</v>
      </c>
      <c r="S1223" s="232">
        <v>0</v>
      </c>
      <c r="T1223" s="231" t="s">
        <v>239</v>
      </c>
      <c r="U1223" s="232">
        <v>0</v>
      </c>
      <c r="V1223" s="231" t="s">
        <v>239</v>
      </c>
      <c r="W1223" s="232">
        <v>0</v>
      </c>
      <c r="X1223" s="231" t="s">
        <v>239</v>
      </c>
      <c r="Y1223" s="232">
        <v>0</v>
      </c>
      <c r="Z1223" s="231" t="s">
        <v>239</v>
      </c>
      <c r="AA1223" s="232">
        <v>0</v>
      </c>
      <c r="AB1223" s="231" t="s">
        <v>239</v>
      </c>
      <c r="AC1223" s="232">
        <v>0</v>
      </c>
      <c r="AD1223" s="231" t="s">
        <v>239</v>
      </c>
      <c r="AE1223" s="232">
        <v>0</v>
      </c>
      <c r="AF1223" s="231" t="s">
        <v>239</v>
      </c>
      <c r="AG1223" s="232">
        <v>0</v>
      </c>
      <c r="AH1223" s="231" t="s">
        <v>239</v>
      </c>
      <c r="AI1223" s="232">
        <v>0</v>
      </c>
      <c r="AJ1223" s="231" t="s">
        <v>239</v>
      </c>
      <c r="AK1223" s="232">
        <v>0</v>
      </c>
      <c r="AL1223" s="232" t="s">
        <v>239</v>
      </c>
      <c r="AM1223" s="232">
        <v>0</v>
      </c>
    </row>
    <row r="1224" spans="1:39" ht="15.75" outlineLevel="1">
      <c r="A1224" s="412"/>
      <c r="B1224" s="10">
        <v>129607</v>
      </c>
      <c r="C1224" s="218" t="s">
        <v>1489</v>
      </c>
      <c r="D1224" s="218" t="s">
        <v>1490</v>
      </c>
      <c r="E1224" s="23" t="s">
        <v>138</v>
      </c>
      <c r="F1224" s="17" t="s">
        <v>45</v>
      </c>
      <c r="G1224" s="11" t="s">
        <v>1432</v>
      </c>
      <c r="H1224" s="12">
        <v>10</v>
      </c>
      <c r="I1224" s="11" t="s">
        <v>1433</v>
      </c>
      <c r="J1224" s="193" t="s">
        <v>1453</v>
      </c>
      <c r="K1224" s="17" t="s">
        <v>233</v>
      </c>
      <c r="L1224" s="17" t="s">
        <v>233</v>
      </c>
      <c r="M1224" s="231">
        <v>0</v>
      </c>
      <c r="N1224" s="232">
        <v>0</v>
      </c>
      <c r="O1224" s="132">
        <v>0</v>
      </c>
      <c r="P1224" s="231" t="s">
        <v>239</v>
      </c>
      <c r="Q1224" s="232">
        <v>0</v>
      </c>
      <c r="R1224" s="231" t="s">
        <v>239</v>
      </c>
      <c r="S1224" s="232">
        <v>0</v>
      </c>
      <c r="T1224" s="231" t="s">
        <v>239</v>
      </c>
      <c r="U1224" s="232">
        <v>0</v>
      </c>
      <c r="V1224" s="231" t="s">
        <v>239</v>
      </c>
      <c r="W1224" s="232">
        <v>0</v>
      </c>
      <c r="X1224" s="231" t="s">
        <v>239</v>
      </c>
      <c r="Y1224" s="232">
        <v>0</v>
      </c>
      <c r="Z1224" s="231" t="s">
        <v>239</v>
      </c>
      <c r="AA1224" s="232">
        <v>0</v>
      </c>
      <c r="AB1224" s="231" t="s">
        <v>239</v>
      </c>
      <c r="AC1224" s="232">
        <v>0</v>
      </c>
      <c r="AD1224" s="231" t="s">
        <v>239</v>
      </c>
      <c r="AE1224" s="232">
        <v>0</v>
      </c>
      <c r="AF1224" s="231" t="s">
        <v>239</v>
      </c>
      <c r="AG1224" s="232">
        <v>0</v>
      </c>
      <c r="AH1224" s="231" t="s">
        <v>239</v>
      </c>
      <c r="AI1224" s="232">
        <v>0</v>
      </c>
      <c r="AJ1224" s="231" t="s">
        <v>239</v>
      </c>
      <c r="AK1224" s="232">
        <v>0</v>
      </c>
      <c r="AL1224" s="232" t="s">
        <v>239</v>
      </c>
      <c r="AM1224" s="232">
        <v>0</v>
      </c>
    </row>
    <row r="1225" spans="1:39" ht="15.75" outlineLevel="1">
      <c r="A1225" s="411">
        <v>608</v>
      </c>
      <c r="B1225" s="10">
        <v>129608</v>
      </c>
      <c r="C1225" s="218" t="s">
        <v>1489</v>
      </c>
      <c r="D1225" s="218" t="s">
        <v>1490</v>
      </c>
      <c r="E1225" s="23" t="s">
        <v>44</v>
      </c>
      <c r="F1225" s="17" t="s">
        <v>45</v>
      </c>
      <c r="G1225" s="11" t="s">
        <v>1432</v>
      </c>
      <c r="H1225" s="12">
        <v>17</v>
      </c>
      <c r="I1225" s="11" t="s">
        <v>1433</v>
      </c>
      <c r="J1225" s="193" t="s">
        <v>1454</v>
      </c>
      <c r="K1225" s="17" t="s">
        <v>233</v>
      </c>
      <c r="L1225" s="17" t="s">
        <v>233</v>
      </c>
      <c r="M1225" s="231">
        <v>0</v>
      </c>
      <c r="N1225" s="232">
        <v>0</v>
      </c>
      <c r="O1225" s="132">
        <v>0</v>
      </c>
      <c r="P1225" s="231" t="s">
        <v>239</v>
      </c>
      <c r="Q1225" s="232">
        <v>0</v>
      </c>
      <c r="R1225" s="231" t="s">
        <v>239</v>
      </c>
      <c r="S1225" s="232">
        <v>0</v>
      </c>
      <c r="T1225" s="231" t="s">
        <v>239</v>
      </c>
      <c r="U1225" s="232">
        <v>0</v>
      </c>
      <c r="V1225" s="230" t="s">
        <v>239</v>
      </c>
      <c r="W1225" s="232">
        <v>0</v>
      </c>
      <c r="X1225" s="231" t="s">
        <v>239</v>
      </c>
      <c r="Y1225" s="232">
        <v>0</v>
      </c>
      <c r="Z1225" s="231" t="s">
        <v>239</v>
      </c>
      <c r="AA1225" s="232">
        <v>0</v>
      </c>
      <c r="AB1225" s="231" t="s">
        <v>239</v>
      </c>
      <c r="AC1225" s="232">
        <v>0</v>
      </c>
      <c r="AD1225" s="231" t="s">
        <v>239</v>
      </c>
      <c r="AE1225" s="232">
        <v>0</v>
      </c>
      <c r="AF1225" s="231" t="s">
        <v>239</v>
      </c>
      <c r="AG1225" s="232">
        <v>0</v>
      </c>
      <c r="AH1225" s="231" t="s">
        <v>239</v>
      </c>
      <c r="AI1225" s="232">
        <v>0</v>
      </c>
      <c r="AJ1225" s="231" t="s">
        <v>239</v>
      </c>
      <c r="AK1225" s="232">
        <v>0</v>
      </c>
      <c r="AL1225" s="232" t="s">
        <v>239</v>
      </c>
      <c r="AM1225" s="232">
        <v>0</v>
      </c>
    </row>
    <row r="1226" spans="1:39" ht="15.75" outlineLevel="1">
      <c r="A1226" s="412"/>
      <c r="B1226" s="10">
        <v>129608</v>
      </c>
      <c r="C1226" s="218" t="s">
        <v>1489</v>
      </c>
      <c r="D1226" s="218" t="s">
        <v>1490</v>
      </c>
      <c r="E1226" s="23" t="s">
        <v>138</v>
      </c>
      <c r="F1226" s="17" t="s">
        <v>45</v>
      </c>
      <c r="G1226" s="11" t="s">
        <v>1432</v>
      </c>
      <c r="H1226" s="12">
        <v>32</v>
      </c>
      <c r="I1226" s="11" t="s">
        <v>1433</v>
      </c>
      <c r="J1226" s="191" t="s">
        <v>216</v>
      </c>
      <c r="K1226" s="17" t="s">
        <v>233</v>
      </c>
      <c r="L1226" s="17" t="s">
        <v>233</v>
      </c>
      <c r="M1226" s="231">
        <v>0</v>
      </c>
      <c r="N1226" s="232">
        <v>0</v>
      </c>
      <c r="O1226" s="132">
        <v>0</v>
      </c>
      <c r="P1226" s="231" t="s">
        <v>239</v>
      </c>
      <c r="Q1226" s="232">
        <v>0</v>
      </c>
      <c r="R1226" s="231" t="s">
        <v>239</v>
      </c>
      <c r="S1226" s="232">
        <v>0</v>
      </c>
      <c r="T1226" s="231" t="s">
        <v>239</v>
      </c>
      <c r="U1226" s="232">
        <v>0</v>
      </c>
      <c r="V1226" s="231" t="s">
        <v>239</v>
      </c>
      <c r="W1226" s="232">
        <v>0</v>
      </c>
      <c r="X1226" s="231" t="s">
        <v>239</v>
      </c>
      <c r="Y1226" s="232">
        <v>0</v>
      </c>
      <c r="Z1226" s="231" t="s">
        <v>239</v>
      </c>
      <c r="AA1226" s="232">
        <v>0</v>
      </c>
      <c r="AB1226" s="231" t="s">
        <v>239</v>
      </c>
      <c r="AC1226" s="232">
        <v>0</v>
      </c>
      <c r="AD1226" s="231" t="s">
        <v>239</v>
      </c>
      <c r="AE1226" s="232">
        <v>0</v>
      </c>
      <c r="AF1226" s="231" t="s">
        <v>239</v>
      </c>
      <c r="AG1226" s="232">
        <v>0</v>
      </c>
      <c r="AH1226" s="231" t="s">
        <v>239</v>
      </c>
      <c r="AI1226" s="232">
        <v>0</v>
      </c>
      <c r="AJ1226" s="231" t="s">
        <v>239</v>
      </c>
      <c r="AK1226" s="232">
        <v>0</v>
      </c>
      <c r="AL1226" s="232" t="s">
        <v>239</v>
      </c>
      <c r="AM1226" s="232">
        <v>0</v>
      </c>
    </row>
    <row r="1227" spans="1:39" ht="15.75" outlineLevel="1">
      <c r="A1227" s="411">
        <v>609</v>
      </c>
      <c r="B1227" s="10">
        <v>129609</v>
      </c>
      <c r="C1227" s="218" t="s">
        <v>1489</v>
      </c>
      <c r="D1227" s="218" t="s">
        <v>1490</v>
      </c>
      <c r="E1227" s="23" t="s">
        <v>44</v>
      </c>
      <c r="F1227" s="17" t="s">
        <v>45</v>
      </c>
      <c r="G1227" s="11" t="s">
        <v>1432</v>
      </c>
      <c r="H1227" s="12">
        <v>8</v>
      </c>
      <c r="I1227" s="11" t="s">
        <v>1433</v>
      </c>
      <c r="J1227" s="192" t="s">
        <v>1434</v>
      </c>
      <c r="K1227" s="17" t="s">
        <v>233</v>
      </c>
      <c r="L1227" s="17" t="s">
        <v>233</v>
      </c>
      <c r="M1227" s="231">
        <v>30</v>
      </c>
      <c r="N1227" s="231">
        <v>30</v>
      </c>
      <c r="O1227" s="231">
        <v>30</v>
      </c>
      <c r="P1227" s="231" t="s">
        <v>239</v>
      </c>
      <c r="Q1227" s="231">
        <v>30</v>
      </c>
      <c r="R1227" s="231" t="s">
        <v>239</v>
      </c>
      <c r="S1227" s="231">
        <v>30</v>
      </c>
      <c r="T1227" s="231" t="s">
        <v>239</v>
      </c>
      <c r="U1227" s="231">
        <v>30</v>
      </c>
      <c r="V1227" s="231" t="s">
        <v>239</v>
      </c>
      <c r="W1227" s="231">
        <v>30</v>
      </c>
      <c r="X1227" s="231" t="s">
        <v>239</v>
      </c>
      <c r="Y1227" s="231">
        <v>30</v>
      </c>
      <c r="Z1227" s="231" t="s">
        <v>239</v>
      </c>
      <c r="AA1227" s="231">
        <v>30</v>
      </c>
      <c r="AB1227" s="231" t="s">
        <v>239</v>
      </c>
      <c r="AC1227" s="231">
        <v>30</v>
      </c>
      <c r="AD1227" s="231" t="s">
        <v>239</v>
      </c>
      <c r="AE1227" s="231">
        <v>30</v>
      </c>
      <c r="AF1227" s="231" t="s">
        <v>239</v>
      </c>
      <c r="AG1227" s="231">
        <v>30</v>
      </c>
      <c r="AH1227" s="231" t="s">
        <v>239</v>
      </c>
      <c r="AI1227" s="231">
        <v>30</v>
      </c>
      <c r="AJ1227" s="231" t="s">
        <v>239</v>
      </c>
      <c r="AK1227" s="231">
        <v>30</v>
      </c>
      <c r="AL1227" s="232" t="s">
        <v>239</v>
      </c>
      <c r="AM1227" s="232">
        <v>0</v>
      </c>
    </row>
    <row r="1228" spans="1:39" ht="15.75" outlineLevel="1">
      <c r="A1228" s="412"/>
      <c r="B1228" s="10">
        <v>129609</v>
      </c>
      <c r="C1228" s="218" t="s">
        <v>1489</v>
      </c>
      <c r="D1228" s="218" t="s">
        <v>1490</v>
      </c>
      <c r="E1228" s="23" t="s">
        <v>44</v>
      </c>
      <c r="F1228" s="17" t="s">
        <v>45</v>
      </c>
      <c r="G1228" s="11" t="s">
        <v>1432</v>
      </c>
      <c r="H1228" s="12">
        <v>12</v>
      </c>
      <c r="I1228" s="11" t="s">
        <v>1433</v>
      </c>
      <c r="J1228" s="192" t="s">
        <v>1480</v>
      </c>
      <c r="K1228" s="17" t="s">
        <v>233</v>
      </c>
      <c r="L1228" s="17" t="s">
        <v>233</v>
      </c>
      <c r="M1228" s="231">
        <v>11626</v>
      </c>
      <c r="N1228" s="232">
        <v>11484.860359999999</v>
      </c>
      <c r="O1228" s="132">
        <v>1185</v>
      </c>
      <c r="P1228" s="231" t="s">
        <v>239</v>
      </c>
      <c r="Q1228" s="232">
        <v>1185</v>
      </c>
      <c r="R1228" s="231" t="s">
        <v>239</v>
      </c>
      <c r="S1228" s="232">
        <v>1110</v>
      </c>
      <c r="T1228" s="231" t="s">
        <v>239</v>
      </c>
      <c r="U1228" s="232">
        <v>1140</v>
      </c>
      <c r="V1228" s="230" t="s">
        <v>239</v>
      </c>
      <c r="W1228" s="232">
        <v>1118</v>
      </c>
      <c r="X1228" s="231" t="s">
        <v>239</v>
      </c>
      <c r="Y1228" s="232">
        <v>1014</v>
      </c>
      <c r="Z1228" s="231" t="s">
        <v>239</v>
      </c>
      <c r="AA1228" s="232">
        <v>907</v>
      </c>
      <c r="AB1228" s="231" t="s">
        <v>239</v>
      </c>
      <c r="AC1228" s="232">
        <v>921</v>
      </c>
      <c r="AD1228" s="231" t="s">
        <v>239</v>
      </c>
      <c r="AE1228" s="232">
        <v>962</v>
      </c>
      <c r="AF1228" s="231" t="s">
        <v>239</v>
      </c>
      <c r="AG1228" s="232">
        <v>1094</v>
      </c>
      <c r="AH1228" s="231" t="s">
        <v>239</v>
      </c>
      <c r="AI1228" s="232">
        <v>1102</v>
      </c>
      <c r="AJ1228" s="231" t="s">
        <v>239</v>
      </c>
      <c r="AK1228" s="232">
        <v>1171</v>
      </c>
      <c r="AL1228" s="232" t="s">
        <v>239</v>
      </c>
      <c r="AM1228" s="232">
        <v>12909</v>
      </c>
    </row>
    <row r="1229" spans="1:39" ht="15.75" outlineLevel="1">
      <c r="A1229" s="411">
        <v>610</v>
      </c>
      <c r="B1229" s="10">
        <v>129610</v>
      </c>
      <c r="C1229" s="218" t="s">
        <v>1489</v>
      </c>
      <c r="D1229" s="218" t="s">
        <v>1490</v>
      </c>
      <c r="E1229" s="23" t="s">
        <v>138</v>
      </c>
      <c r="F1229" s="17" t="s">
        <v>45</v>
      </c>
      <c r="G1229" s="11" t="s">
        <v>1432</v>
      </c>
      <c r="H1229" s="12">
        <v>18</v>
      </c>
      <c r="I1229" s="11" t="s">
        <v>1433</v>
      </c>
      <c r="J1229" s="192" t="s">
        <v>1452</v>
      </c>
      <c r="K1229" s="17" t="s">
        <v>233</v>
      </c>
      <c r="L1229" s="17" t="s">
        <v>233</v>
      </c>
      <c r="M1229" s="231">
        <v>25</v>
      </c>
      <c r="N1229" s="231">
        <v>25</v>
      </c>
      <c r="O1229" s="231">
        <v>25</v>
      </c>
      <c r="P1229" s="231" t="s">
        <v>239</v>
      </c>
      <c r="Q1229" s="231">
        <v>25</v>
      </c>
      <c r="R1229" s="231" t="s">
        <v>239</v>
      </c>
      <c r="S1229" s="231">
        <v>25</v>
      </c>
      <c r="T1229" s="231" t="s">
        <v>239</v>
      </c>
      <c r="U1229" s="231">
        <v>25</v>
      </c>
      <c r="V1229" s="231" t="s">
        <v>239</v>
      </c>
      <c r="W1229" s="231">
        <v>25</v>
      </c>
      <c r="X1229" s="231" t="s">
        <v>239</v>
      </c>
      <c r="Y1229" s="231">
        <v>25</v>
      </c>
      <c r="Z1229" s="231" t="s">
        <v>239</v>
      </c>
      <c r="AA1229" s="231">
        <v>25</v>
      </c>
      <c r="AB1229" s="231" t="s">
        <v>239</v>
      </c>
      <c r="AC1229" s="231">
        <v>25</v>
      </c>
      <c r="AD1229" s="231" t="s">
        <v>239</v>
      </c>
      <c r="AE1229" s="231">
        <v>25</v>
      </c>
      <c r="AF1229" s="231" t="s">
        <v>239</v>
      </c>
      <c r="AG1229" s="231">
        <v>25</v>
      </c>
      <c r="AH1229" s="231" t="s">
        <v>239</v>
      </c>
      <c r="AI1229" s="231">
        <v>25</v>
      </c>
      <c r="AJ1229" s="231" t="s">
        <v>239</v>
      </c>
      <c r="AK1229" s="231">
        <v>25</v>
      </c>
      <c r="AL1229" s="232" t="s">
        <v>239</v>
      </c>
      <c r="AM1229" s="232">
        <v>0</v>
      </c>
    </row>
    <row r="1230" spans="1:39" ht="15.75" outlineLevel="1">
      <c r="A1230" s="412"/>
      <c r="B1230" s="10">
        <v>129610</v>
      </c>
      <c r="C1230" s="218" t="s">
        <v>1489</v>
      </c>
      <c r="D1230" s="218" t="s">
        <v>1490</v>
      </c>
      <c r="E1230" s="23" t="s">
        <v>44</v>
      </c>
      <c r="F1230" s="17" t="s">
        <v>45</v>
      </c>
      <c r="G1230" s="11" t="s">
        <v>1432</v>
      </c>
      <c r="H1230" s="12">
        <v>17</v>
      </c>
      <c r="I1230" s="11" t="s">
        <v>1433</v>
      </c>
      <c r="J1230" s="193" t="s">
        <v>1451</v>
      </c>
      <c r="K1230" s="17" t="s">
        <v>233</v>
      </c>
      <c r="L1230" s="17" t="s">
        <v>233</v>
      </c>
      <c r="M1230" s="231">
        <v>3406</v>
      </c>
      <c r="N1230" s="232">
        <v>3364.6511599999999</v>
      </c>
      <c r="O1230" s="132">
        <v>579</v>
      </c>
      <c r="P1230" s="231" t="s">
        <v>239</v>
      </c>
      <c r="Q1230" s="232">
        <v>579</v>
      </c>
      <c r="R1230" s="231" t="s">
        <v>239</v>
      </c>
      <c r="S1230" s="232">
        <v>503</v>
      </c>
      <c r="T1230" s="231" t="s">
        <v>239</v>
      </c>
      <c r="U1230" s="232">
        <v>613</v>
      </c>
      <c r="V1230" s="231" t="s">
        <v>239</v>
      </c>
      <c r="W1230" s="232">
        <v>616</v>
      </c>
      <c r="X1230" s="231" t="s">
        <v>239</v>
      </c>
      <c r="Y1230" s="232">
        <v>606</v>
      </c>
      <c r="Z1230" s="231" t="s">
        <v>239</v>
      </c>
      <c r="AA1230" s="232">
        <v>516</v>
      </c>
      <c r="AB1230" s="231" t="s">
        <v>239</v>
      </c>
      <c r="AC1230" s="232">
        <v>454</v>
      </c>
      <c r="AD1230" s="231" t="s">
        <v>239</v>
      </c>
      <c r="AE1230" s="232">
        <v>599</v>
      </c>
      <c r="AF1230" s="231" t="s">
        <v>239</v>
      </c>
      <c r="AG1230" s="232">
        <v>522</v>
      </c>
      <c r="AH1230" s="231" t="s">
        <v>239</v>
      </c>
      <c r="AI1230" s="232">
        <v>661</v>
      </c>
      <c r="AJ1230" s="231" t="s">
        <v>239</v>
      </c>
      <c r="AK1230" s="232">
        <v>574</v>
      </c>
      <c r="AL1230" s="232" t="s">
        <v>239</v>
      </c>
      <c r="AM1230" s="232">
        <v>6822</v>
      </c>
    </row>
    <row r="1231" spans="1:39" ht="15.75" outlineLevel="1">
      <c r="A1231" s="411">
        <v>611</v>
      </c>
      <c r="B1231" s="10">
        <v>129611</v>
      </c>
      <c r="C1231" s="218" t="s">
        <v>1489</v>
      </c>
      <c r="D1231" s="218" t="s">
        <v>1490</v>
      </c>
      <c r="E1231" s="23" t="s">
        <v>138</v>
      </c>
      <c r="F1231" s="17" t="s">
        <v>45</v>
      </c>
      <c r="G1231" s="11" t="s">
        <v>1432</v>
      </c>
      <c r="H1231" s="12">
        <v>25</v>
      </c>
      <c r="I1231" s="11" t="s">
        <v>1433</v>
      </c>
      <c r="J1231" s="193" t="s">
        <v>208</v>
      </c>
      <c r="K1231" s="17" t="s">
        <v>233</v>
      </c>
      <c r="L1231" s="17" t="s">
        <v>233</v>
      </c>
      <c r="M1231" s="231">
        <v>1</v>
      </c>
      <c r="N1231" s="231">
        <v>1</v>
      </c>
      <c r="O1231" s="231">
        <v>1</v>
      </c>
      <c r="P1231" s="231" t="s">
        <v>239</v>
      </c>
      <c r="Q1231" s="231">
        <v>1</v>
      </c>
      <c r="R1231" s="231" t="s">
        <v>239</v>
      </c>
      <c r="S1231" s="231">
        <v>1</v>
      </c>
      <c r="T1231" s="231" t="s">
        <v>239</v>
      </c>
      <c r="U1231" s="231">
        <v>1</v>
      </c>
      <c r="V1231" s="230" t="s">
        <v>239</v>
      </c>
      <c r="W1231" s="231">
        <v>1</v>
      </c>
      <c r="X1231" s="231" t="s">
        <v>239</v>
      </c>
      <c r="Y1231" s="231">
        <v>1</v>
      </c>
      <c r="Z1231" s="231" t="s">
        <v>239</v>
      </c>
      <c r="AA1231" s="231">
        <v>1</v>
      </c>
      <c r="AB1231" s="231" t="s">
        <v>239</v>
      </c>
      <c r="AC1231" s="231">
        <v>1</v>
      </c>
      <c r="AD1231" s="231" t="s">
        <v>239</v>
      </c>
      <c r="AE1231" s="231">
        <v>1</v>
      </c>
      <c r="AF1231" s="231" t="s">
        <v>239</v>
      </c>
      <c r="AG1231" s="231">
        <v>1</v>
      </c>
      <c r="AH1231" s="231" t="s">
        <v>239</v>
      </c>
      <c r="AI1231" s="231">
        <v>1</v>
      </c>
      <c r="AJ1231" s="231" t="s">
        <v>239</v>
      </c>
      <c r="AK1231" s="231">
        <v>1</v>
      </c>
      <c r="AL1231" s="232" t="s">
        <v>239</v>
      </c>
      <c r="AM1231" s="232">
        <v>0</v>
      </c>
    </row>
    <row r="1232" spans="1:39" ht="15.75" outlineLevel="1">
      <c r="A1232" s="412"/>
      <c r="B1232" s="10">
        <v>129611</v>
      </c>
      <c r="C1232" s="218" t="s">
        <v>1489</v>
      </c>
      <c r="D1232" s="218" t="s">
        <v>1490</v>
      </c>
      <c r="E1232" s="23" t="s">
        <v>44</v>
      </c>
      <c r="F1232" s="17" t="s">
        <v>45</v>
      </c>
      <c r="G1232" s="11" t="s">
        <v>1432</v>
      </c>
      <c r="H1232" s="12">
        <v>13</v>
      </c>
      <c r="I1232" s="11" t="s">
        <v>1433</v>
      </c>
      <c r="J1232" s="193" t="s">
        <v>1452</v>
      </c>
      <c r="K1232" s="17" t="s">
        <v>233</v>
      </c>
      <c r="L1232" s="17" t="s">
        <v>233</v>
      </c>
      <c r="M1232" s="231">
        <v>9888</v>
      </c>
      <c r="N1232" s="232">
        <v>9767.9596799999999</v>
      </c>
      <c r="O1232" s="132">
        <v>670</v>
      </c>
      <c r="P1232" s="231" t="s">
        <v>239</v>
      </c>
      <c r="Q1232" s="232">
        <v>670</v>
      </c>
      <c r="R1232" s="231" t="s">
        <v>239</v>
      </c>
      <c r="S1232" s="232">
        <v>0</v>
      </c>
      <c r="T1232" s="231" t="s">
        <v>239</v>
      </c>
      <c r="U1232" s="232">
        <v>454</v>
      </c>
      <c r="V1232" s="231" t="s">
        <v>239</v>
      </c>
      <c r="W1232" s="232">
        <v>113</v>
      </c>
      <c r="X1232" s="231" t="s">
        <v>239</v>
      </c>
      <c r="Y1232" s="232">
        <v>208</v>
      </c>
      <c r="Z1232" s="231" t="s">
        <v>239</v>
      </c>
      <c r="AA1232" s="232">
        <v>173</v>
      </c>
      <c r="AB1232" s="231" t="s">
        <v>239</v>
      </c>
      <c r="AC1232" s="232">
        <v>176</v>
      </c>
      <c r="AD1232" s="231" t="s">
        <v>239</v>
      </c>
      <c r="AE1232" s="232">
        <v>234</v>
      </c>
      <c r="AF1232" s="231" t="s">
        <v>239</v>
      </c>
      <c r="AG1232" s="232">
        <v>343</v>
      </c>
      <c r="AH1232" s="231" t="s">
        <v>239</v>
      </c>
      <c r="AI1232" s="232">
        <v>381</v>
      </c>
      <c r="AJ1232" s="231" t="s">
        <v>239</v>
      </c>
      <c r="AK1232" s="232">
        <v>366</v>
      </c>
      <c r="AL1232" s="232" t="s">
        <v>239</v>
      </c>
      <c r="AM1232" s="232">
        <v>3788</v>
      </c>
    </row>
    <row r="1233" spans="1:39" ht="15.75" outlineLevel="1">
      <c r="A1233" s="411">
        <v>612</v>
      </c>
      <c r="B1233" s="10">
        <v>129612</v>
      </c>
      <c r="C1233" s="218" t="s">
        <v>1489</v>
      </c>
      <c r="D1233" s="218" t="s">
        <v>1490</v>
      </c>
      <c r="E1233" s="23" t="s">
        <v>44</v>
      </c>
      <c r="F1233" s="17" t="s">
        <v>45</v>
      </c>
      <c r="G1233" s="11" t="s">
        <v>1432</v>
      </c>
      <c r="H1233" s="12">
        <v>5</v>
      </c>
      <c r="I1233" s="11" t="s">
        <v>1433</v>
      </c>
      <c r="J1233" s="193" t="s">
        <v>216</v>
      </c>
      <c r="K1233" s="17" t="s">
        <v>233</v>
      </c>
      <c r="L1233" s="17" t="s">
        <v>233</v>
      </c>
      <c r="M1233" s="231">
        <v>23</v>
      </c>
      <c r="N1233" s="231">
        <v>23</v>
      </c>
      <c r="O1233" s="231">
        <v>23</v>
      </c>
      <c r="P1233" s="231" t="s">
        <v>239</v>
      </c>
      <c r="Q1233" s="231">
        <v>23</v>
      </c>
      <c r="R1233" s="231" t="s">
        <v>239</v>
      </c>
      <c r="S1233" s="231">
        <v>23</v>
      </c>
      <c r="T1233" s="231" t="s">
        <v>239</v>
      </c>
      <c r="U1233" s="231">
        <v>23</v>
      </c>
      <c r="V1233" s="231" t="s">
        <v>239</v>
      </c>
      <c r="W1233" s="231">
        <v>23</v>
      </c>
      <c r="X1233" s="231" t="s">
        <v>239</v>
      </c>
      <c r="Y1233" s="231">
        <v>23</v>
      </c>
      <c r="Z1233" s="231" t="s">
        <v>239</v>
      </c>
      <c r="AA1233" s="231">
        <v>23</v>
      </c>
      <c r="AB1233" s="231" t="s">
        <v>239</v>
      </c>
      <c r="AC1233" s="231">
        <v>23</v>
      </c>
      <c r="AD1233" s="231" t="s">
        <v>239</v>
      </c>
      <c r="AE1233" s="231">
        <v>23</v>
      </c>
      <c r="AF1233" s="231" t="s">
        <v>239</v>
      </c>
      <c r="AG1233" s="231">
        <v>23</v>
      </c>
      <c r="AH1233" s="231" t="s">
        <v>239</v>
      </c>
      <c r="AI1233" s="231">
        <v>23</v>
      </c>
      <c r="AJ1233" s="231" t="s">
        <v>239</v>
      </c>
      <c r="AK1233" s="231">
        <v>23</v>
      </c>
      <c r="AL1233" s="232" t="s">
        <v>239</v>
      </c>
      <c r="AM1233" s="232">
        <v>0</v>
      </c>
    </row>
    <row r="1234" spans="1:39" ht="15.75" outlineLevel="1">
      <c r="A1234" s="412"/>
      <c r="B1234" s="10">
        <v>129612</v>
      </c>
      <c r="C1234" s="218" t="s">
        <v>1489</v>
      </c>
      <c r="D1234" s="218" t="s">
        <v>1490</v>
      </c>
      <c r="E1234" s="23" t="s">
        <v>138</v>
      </c>
      <c r="F1234" s="17" t="s">
        <v>45</v>
      </c>
      <c r="G1234" s="11" t="s">
        <v>1432</v>
      </c>
      <c r="H1234" s="12">
        <v>4</v>
      </c>
      <c r="I1234" s="11" t="s">
        <v>1433</v>
      </c>
      <c r="J1234" s="193" t="s">
        <v>1453</v>
      </c>
      <c r="K1234" s="17" t="s">
        <v>233</v>
      </c>
      <c r="L1234" s="17" t="s">
        <v>233</v>
      </c>
      <c r="M1234" s="231">
        <v>5822</v>
      </c>
      <c r="N1234" s="232">
        <v>5751.3209200000001</v>
      </c>
      <c r="O1234" s="132">
        <v>869</v>
      </c>
      <c r="P1234" s="231" t="s">
        <v>239</v>
      </c>
      <c r="Q1234" s="232">
        <v>869</v>
      </c>
      <c r="R1234" s="231" t="s">
        <v>239</v>
      </c>
      <c r="S1234" s="232">
        <v>774</v>
      </c>
      <c r="T1234" s="231" t="s">
        <v>239</v>
      </c>
      <c r="U1234" s="232">
        <v>776</v>
      </c>
      <c r="V1234" s="230" t="s">
        <v>239</v>
      </c>
      <c r="W1234" s="232">
        <v>835</v>
      </c>
      <c r="X1234" s="231" t="s">
        <v>239</v>
      </c>
      <c r="Y1234" s="232">
        <v>677</v>
      </c>
      <c r="Z1234" s="231" t="s">
        <v>239</v>
      </c>
      <c r="AA1234" s="232">
        <v>633</v>
      </c>
      <c r="AB1234" s="231" t="s">
        <v>239</v>
      </c>
      <c r="AC1234" s="232">
        <v>657</v>
      </c>
      <c r="AD1234" s="231" t="s">
        <v>239</v>
      </c>
      <c r="AE1234" s="232">
        <v>678</v>
      </c>
      <c r="AF1234" s="231" t="s">
        <v>239</v>
      </c>
      <c r="AG1234" s="232">
        <v>766</v>
      </c>
      <c r="AH1234" s="231" t="s">
        <v>239</v>
      </c>
      <c r="AI1234" s="232">
        <v>787</v>
      </c>
      <c r="AJ1234" s="231" t="s">
        <v>239</v>
      </c>
      <c r="AK1234" s="232">
        <v>847</v>
      </c>
      <c r="AL1234" s="232" t="s">
        <v>239</v>
      </c>
      <c r="AM1234" s="232">
        <v>9168</v>
      </c>
    </row>
    <row r="1235" spans="1:39" ht="15.75" outlineLevel="1">
      <c r="A1235" s="411">
        <v>613</v>
      </c>
      <c r="B1235" s="10">
        <v>129613</v>
      </c>
      <c r="C1235" s="218" t="s">
        <v>1489</v>
      </c>
      <c r="D1235" s="218" t="s">
        <v>1490</v>
      </c>
      <c r="E1235" s="23" t="s">
        <v>44</v>
      </c>
      <c r="F1235" s="17" t="s">
        <v>45</v>
      </c>
      <c r="G1235" s="11" t="s">
        <v>1432</v>
      </c>
      <c r="H1235" s="12">
        <v>18</v>
      </c>
      <c r="I1235" s="11" t="s">
        <v>1433</v>
      </c>
      <c r="J1235" s="193" t="s">
        <v>1454</v>
      </c>
      <c r="K1235" s="17" t="s">
        <v>233</v>
      </c>
      <c r="L1235" s="17" t="s">
        <v>233</v>
      </c>
      <c r="M1235" s="231">
        <v>1</v>
      </c>
      <c r="N1235" s="231">
        <v>1</v>
      </c>
      <c r="O1235" s="231">
        <v>1</v>
      </c>
      <c r="P1235" s="231" t="s">
        <v>239</v>
      </c>
      <c r="Q1235" s="231">
        <v>1</v>
      </c>
      <c r="R1235" s="231" t="s">
        <v>239</v>
      </c>
      <c r="S1235" s="231">
        <v>1</v>
      </c>
      <c r="T1235" s="231" t="s">
        <v>239</v>
      </c>
      <c r="U1235" s="231">
        <v>1</v>
      </c>
      <c r="V1235" s="231" t="s">
        <v>239</v>
      </c>
      <c r="W1235" s="231">
        <v>1</v>
      </c>
      <c r="X1235" s="231" t="s">
        <v>239</v>
      </c>
      <c r="Y1235" s="231">
        <v>1</v>
      </c>
      <c r="Z1235" s="231" t="s">
        <v>239</v>
      </c>
      <c r="AA1235" s="231">
        <v>1</v>
      </c>
      <c r="AB1235" s="231" t="s">
        <v>239</v>
      </c>
      <c r="AC1235" s="231">
        <v>1</v>
      </c>
      <c r="AD1235" s="231" t="s">
        <v>239</v>
      </c>
      <c r="AE1235" s="231">
        <v>1</v>
      </c>
      <c r="AF1235" s="231" t="s">
        <v>239</v>
      </c>
      <c r="AG1235" s="231">
        <v>1</v>
      </c>
      <c r="AH1235" s="231" t="s">
        <v>239</v>
      </c>
      <c r="AI1235" s="231">
        <v>1</v>
      </c>
      <c r="AJ1235" s="231" t="s">
        <v>239</v>
      </c>
      <c r="AK1235" s="231">
        <v>1</v>
      </c>
      <c r="AL1235" s="232" t="s">
        <v>239</v>
      </c>
      <c r="AM1235" s="232">
        <v>0</v>
      </c>
    </row>
    <row r="1236" spans="1:39" ht="15.75" outlineLevel="1">
      <c r="A1236" s="412"/>
      <c r="B1236" s="10">
        <v>129613</v>
      </c>
      <c r="C1236" s="218" t="s">
        <v>1489</v>
      </c>
      <c r="D1236" s="218" t="s">
        <v>1490</v>
      </c>
      <c r="E1236" s="23" t="s">
        <v>138</v>
      </c>
      <c r="F1236" s="17" t="s">
        <v>45</v>
      </c>
      <c r="G1236" s="11" t="s">
        <v>1432</v>
      </c>
      <c r="H1236" s="12">
        <v>17</v>
      </c>
      <c r="I1236" s="11" t="s">
        <v>1433</v>
      </c>
      <c r="J1236" s="191" t="s">
        <v>216</v>
      </c>
      <c r="K1236" s="17" t="s">
        <v>233</v>
      </c>
      <c r="L1236" s="17" t="s">
        <v>233</v>
      </c>
      <c r="M1236" s="231">
        <v>6681</v>
      </c>
      <c r="N1236" s="232">
        <v>6599.8926599999995</v>
      </c>
      <c r="O1236" s="132">
        <v>833</v>
      </c>
      <c r="P1236" s="231" t="s">
        <v>239</v>
      </c>
      <c r="Q1236" s="232">
        <v>833</v>
      </c>
      <c r="R1236" s="231" t="s">
        <v>239</v>
      </c>
      <c r="S1236" s="232">
        <v>879</v>
      </c>
      <c r="T1236" s="231" t="s">
        <v>239</v>
      </c>
      <c r="U1236" s="232">
        <v>758</v>
      </c>
      <c r="V1236" s="231" t="s">
        <v>239</v>
      </c>
      <c r="W1236" s="232">
        <v>742</v>
      </c>
      <c r="X1236" s="231" t="s">
        <v>239</v>
      </c>
      <c r="Y1236" s="232">
        <v>757</v>
      </c>
      <c r="Z1236" s="231" t="s">
        <v>239</v>
      </c>
      <c r="AA1236" s="232">
        <v>706</v>
      </c>
      <c r="AB1236" s="231" t="s">
        <v>239</v>
      </c>
      <c r="AC1236" s="232">
        <v>749</v>
      </c>
      <c r="AD1236" s="231" t="s">
        <v>239</v>
      </c>
      <c r="AE1236" s="232">
        <v>714</v>
      </c>
      <c r="AF1236" s="231" t="s">
        <v>239</v>
      </c>
      <c r="AG1236" s="232">
        <v>740</v>
      </c>
      <c r="AH1236" s="231" t="s">
        <v>239</v>
      </c>
      <c r="AI1236" s="232">
        <v>787</v>
      </c>
      <c r="AJ1236" s="231" t="s">
        <v>239</v>
      </c>
      <c r="AK1236" s="232">
        <v>667</v>
      </c>
      <c r="AL1236" s="232" t="s">
        <v>239</v>
      </c>
      <c r="AM1236" s="232">
        <v>9165</v>
      </c>
    </row>
    <row r="1237" spans="1:39" ht="15.75" outlineLevel="1">
      <c r="A1237" s="411">
        <v>614</v>
      </c>
      <c r="B1237" s="10">
        <v>129614</v>
      </c>
      <c r="C1237" s="218" t="s">
        <v>1489</v>
      </c>
      <c r="D1237" s="218" t="s">
        <v>1490</v>
      </c>
      <c r="E1237" s="23" t="s">
        <v>44</v>
      </c>
      <c r="F1237" s="17" t="s">
        <v>45</v>
      </c>
      <c r="G1237" s="11" t="s">
        <v>1432</v>
      </c>
      <c r="H1237" s="12">
        <v>28</v>
      </c>
      <c r="I1237" s="11" t="s">
        <v>1433</v>
      </c>
      <c r="J1237" s="192" t="s">
        <v>1434</v>
      </c>
      <c r="K1237" s="17" t="s">
        <v>233</v>
      </c>
      <c r="L1237" s="17" t="s">
        <v>233</v>
      </c>
      <c r="M1237" s="231">
        <v>15</v>
      </c>
      <c r="N1237" s="231">
        <v>15</v>
      </c>
      <c r="O1237" s="231">
        <v>15</v>
      </c>
      <c r="P1237" s="231" t="s">
        <v>239</v>
      </c>
      <c r="Q1237" s="231">
        <v>15</v>
      </c>
      <c r="R1237" s="231" t="s">
        <v>239</v>
      </c>
      <c r="S1237" s="231">
        <v>15</v>
      </c>
      <c r="T1237" s="231" t="s">
        <v>239</v>
      </c>
      <c r="U1237" s="231">
        <v>15</v>
      </c>
      <c r="V1237" s="230" t="s">
        <v>239</v>
      </c>
      <c r="W1237" s="231">
        <v>15</v>
      </c>
      <c r="X1237" s="231" t="s">
        <v>239</v>
      </c>
      <c r="Y1237" s="231">
        <v>15</v>
      </c>
      <c r="Z1237" s="231" t="s">
        <v>239</v>
      </c>
      <c r="AA1237" s="231">
        <v>15</v>
      </c>
      <c r="AB1237" s="231" t="s">
        <v>239</v>
      </c>
      <c r="AC1237" s="231">
        <v>15</v>
      </c>
      <c r="AD1237" s="231" t="s">
        <v>239</v>
      </c>
      <c r="AE1237" s="231">
        <v>15</v>
      </c>
      <c r="AF1237" s="231" t="s">
        <v>239</v>
      </c>
      <c r="AG1237" s="231">
        <v>15</v>
      </c>
      <c r="AH1237" s="231" t="s">
        <v>239</v>
      </c>
      <c r="AI1237" s="231">
        <v>15</v>
      </c>
      <c r="AJ1237" s="231" t="s">
        <v>239</v>
      </c>
      <c r="AK1237" s="231">
        <v>15</v>
      </c>
      <c r="AL1237" s="232" t="s">
        <v>239</v>
      </c>
      <c r="AM1237" s="232">
        <v>0</v>
      </c>
    </row>
    <row r="1238" spans="1:39" ht="15.75" outlineLevel="1">
      <c r="A1238" s="412"/>
      <c r="B1238" s="10">
        <v>129614</v>
      </c>
      <c r="C1238" s="218" t="s">
        <v>1489</v>
      </c>
      <c r="D1238" s="218" t="s">
        <v>1490</v>
      </c>
      <c r="E1238" s="23" t="s">
        <v>44</v>
      </c>
      <c r="F1238" s="17" t="s">
        <v>45</v>
      </c>
      <c r="G1238" s="11" t="s">
        <v>1432</v>
      </c>
      <c r="H1238" s="12">
        <v>33</v>
      </c>
      <c r="I1238" s="11" t="s">
        <v>1433</v>
      </c>
      <c r="J1238" s="192" t="s">
        <v>1480</v>
      </c>
      <c r="K1238" s="17" t="s">
        <v>233</v>
      </c>
      <c r="L1238" s="17" t="s">
        <v>233</v>
      </c>
      <c r="M1238" s="231">
        <v>5493</v>
      </c>
      <c r="N1238" s="232">
        <v>5426.3149800000001</v>
      </c>
      <c r="O1238" s="132">
        <v>505</v>
      </c>
      <c r="P1238" s="231" t="s">
        <v>239</v>
      </c>
      <c r="Q1238" s="232">
        <v>505</v>
      </c>
      <c r="R1238" s="231" t="s">
        <v>239</v>
      </c>
      <c r="S1238" s="232">
        <v>394</v>
      </c>
      <c r="T1238" s="231" t="s">
        <v>239</v>
      </c>
      <c r="U1238" s="232">
        <v>370</v>
      </c>
      <c r="V1238" s="231" t="s">
        <v>239</v>
      </c>
      <c r="W1238" s="232">
        <v>266</v>
      </c>
      <c r="X1238" s="231" t="s">
        <v>239</v>
      </c>
      <c r="Y1238" s="232">
        <v>213</v>
      </c>
      <c r="Z1238" s="231" t="s">
        <v>239</v>
      </c>
      <c r="AA1238" s="232">
        <v>316</v>
      </c>
      <c r="AB1238" s="231" t="s">
        <v>239</v>
      </c>
      <c r="AC1238" s="232">
        <v>295</v>
      </c>
      <c r="AD1238" s="231" t="s">
        <v>239</v>
      </c>
      <c r="AE1238" s="232">
        <v>271</v>
      </c>
      <c r="AF1238" s="231" t="s">
        <v>239</v>
      </c>
      <c r="AG1238" s="232">
        <v>292</v>
      </c>
      <c r="AH1238" s="231" t="s">
        <v>239</v>
      </c>
      <c r="AI1238" s="232">
        <v>409</v>
      </c>
      <c r="AJ1238" s="231" t="s">
        <v>239</v>
      </c>
      <c r="AK1238" s="232">
        <v>509</v>
      </c>
      <c r="AL1238" s="232" t="s">
        <v>239</v>
      </c>
      <c r="AM1238" s="232">
        <v>4345</v>
      </c>
    </row>
    <row r="1239" spans="1:39" ht="15.75" outlineLevel="1">
      <c r="A1239" s="411">
        <v>615</v>
      </c>
      <c r="B1239" s="10">
        <v>129615</v>
      </c>
      <c r="C1239" s="218" t="s">
        <v>1489</v>
      </c>
      <c r="D1239" s="218" t="s">
        <v>1490</v>
      </c>
      <c r="E1239" s="23" t="s">
        <v>138</v>
      </c>
      <c r="F1239" s="17" t="s">
        <v>45</v>
      </c>
      <c r="G1239" s="11" t="s">
        <v>1432</v>
      </c>
      <c r="H1239" s="12">
        <v>25</v>
      </c>
      <c r="I1239" s="11" t="s">
        <v>1433</v>
      </c>
      <c r="J1239" s="192" t="s">
        <v>1452</v>
      </c>
      <c r="K1239" s="17" t="s">
        <v>233</v>
      </c>
      <c r="L1239" s="17" t="s">
        <v>233</v>
      </c>
      <c r="M1239" s="231">
        <v>15</v>
      </c>
      <c r="N1239" s="231">
        <v>15</v>
      </c>
      <c r="O1239" s="231">
        <v>15</v>
      </c>
      <c r="P1239" s="231" t="s">
        <v>239</v>
      </c>
      <c r="Q1239" s="231">
        <v>15</v>
      </c>
      <c r="R1239" s="231" t="s">
        <v>239</v>
      </c>
      <c r="S1239" s="231">
        <v>15</v>
      </c>
      <c r="T1239" s="231" t="s">
        <v>239</v>
      </c>
      <c r="U1239" s="231">
        <v>15</v>
      </c>
      <c r="V1239" s="231" t="s">
        <v>239</v>
      </c>
      <c r="W1239" s="231">
        <v>15</v>
      </c>
      <c r="X1239" s="231" t="s">
        <v>239</v>
      </c>
      <c r="Y1239" s="231">
        <v>15</v>
      </c>
      <c r="Z1239" s="231" t="s">
        <v>239</v>
      </c>
      <c r="AA1239" s="231">
        <v>15</v>
      </c>
      <c r="AB1239" s="231" t="s">
        <v>239</v>
      </c>
      <c r="AC1239" s="231">
        <v>15</v>
      </c>
      <c r="AD1239" s="231" t="s">
        <v>239</v>
      </c>
      <c r="AE1239" s="231">
        <v>15</v>
      </c>
      <c r="AF1239" s="231" t="s">
        <v>239</v>
      </c>
      <c r="AG1239" s="231">
        <v>15</v>
      </c>
      <c r="AH1239" s="231" t="s">
        <v>239</v>
      </c>
      <c r="AI1239" s="231">
        <v>15</v>
      </c>
      <c r="AJ1239" s="231" t="s">
        <v>239</v>
      </c>
      <c r="AK1239" s="231">
        <v>15</v>
      </c>
      <c r="AL1239" s="232" t="s">
        <v>239</v>
      </c>
      <c r="AM1239" s="232">
        <v>0</v>
      </c>
    </row>
    <row r="1240" spans="1:39" ht="15.75" outlineLevel="1">
      <c r="A1240" s="412"/>
      <c r="B1240" s="10">
        <v>129615</v>
      </c>
      <c r="C1240" s="218" t="s">
        <v>1489</v>
      </c>
      <c r="D1240" s="218" t="s">
        <v>1490</v>
      </c>
      <c r="E1240" s="23" t="s">
        <v>44</v>
      </c>
      <c r="F1240" s="17" t="s">
        <v>45</v>
      </c>
      <c r="G1240" s="11" t="s">
        <v>1432</v>
      </c>
      <c r="H1240" s="12">
        <v>9</v>
      </c>
      <c r="I1240" s="11" t="s">
        <v>1433</v>
      </c>
      <c r="J1240" s="374" t="s">
        <v>207</v>
      </c>
      <c r="K1240" s="17" t="s">
        <v>233</v>
      </c>
      <c r="L1240" s="17" t="s">
        <v>233</v>
      </c>
      <c r="M1240" s="231">
        <v>0</v>
      </c>
      <c r="N1240" s="232">
        <v>0</v>
      </c>
      <c r="O1240" s="132">
        <v>0</v>
      </c>
      <c r="P1240" s="231" t="s">
        <v>239</v>
      </c>
      <c r="Q1240" s="232">
        <v>0</v>
      </c>
      <c r="R1240" s="231" t="s">
        <v>239</v>
      </c>
      <c r="S1240" s="232">
        <v>0</v>
      </c>
      <c r="T1240" s="231" t="s">
        <v>239</v>
      </c>
      <c r="U1240" s="232">
        <v>0</v>
      </c>
      <c r="V1240" s="230" t="s">
        <v>239</v>
      </c>
      <c r="W1240" s="232">
        <v>0</v>
      </c>
      <c r="X1240" s="231" t="s">
        <v>239</v>
      </c>
      <c r="Y1240" s="232">
        <v>0</v>
      </c>
      <c r="Z1240" s="231" t="s">
        <v>239</v>
      </c>
      <c r="AA1240" s="232">
        <v>0</v>
      </c>
      <c r="AB1240" s="231" t="s">
        <v>239</v>
      </c>
      <c r="AC1240" s="232">
        <v>0</v>
      </c>
      <c r="AD1240" s="231" t="s">
        <v>239</v>
      </c>
      <c r="AE1240" s="232">
        <v>0</v>
      </c>
      <c r="AF1240" s="231" t="s">
        <v>239</v>
      </c>
      <c r="AG1240" s="232">
        <v>0</v>
      </c>
      <c r="AH1240" s="231" t="s">
        <v>239</v>
      </c>
      <c r="AI1240" s="232">
        <v>0</v>
      </c>
      <c r="AJ1240" s="231" t="s">
        <v>239</v>
      </c>
      <c r="AK1240" s="232">
        <v>0</v>
      </c>
      <c r="AL1240" s="232" t="s">
        <v>239</v>
      </c>
      <c r="AM1240" s="232">
        <v>0</v>
      </c>
    </row>
    <row r="1241" spans="1:39" ht="15.75" outlineLevel="1">
      <c r="A1241" s="411">
        <v>616</v>
      </c>
      <c r="B1241" s="10">
        <v>129616</v>
      </c>
      <c r="C1241" s="218" t="s">
        <v>1489</v>
      </c>
      <c r="D1241" s="218" t="s">
        <v>1490</v>
      </c>
      <c r="E1241" s="23" t="s">
        <v>138</v>
      </c>
      <c r="F1241" s="17" t="s">
        <v>45</v>
      </c>
      <c r="G1241" s="11" t="s">
        <v>1432</v>
      </c>
      <c r="H1241" s="12">
        <v>24</v>
      </c>
      <c r="I1241" s="11" t="s">
        <v>1433</v>
      </c>
      <c r="J1241" s="375"/>
      <c r="K1241" s="17" t="s">
        <v>233</v>
      </c>
      <c r="L1241" s="17" t="s">
        <v>233</v>
      </c>
      <c r="M1241" s="231">
        <v>12</v>
      </c>
      <c r="N1241" s="231">
        <v>12</v>
      </c>
      <c r="O1241" s="231">
        <v>12</v>
      </c>
      <c r="P1241" s="231" t="s">
        <v>239</v>
      </c>
      <c r="Q1241" s="231">
        <v>12</v>
      </c>
      <c r="R1241" s="231" t="s">
        <v>239</v>
      </c>
      <c r="S1241" s="231">
        <v>12</v>
      </c>
      <c r="T1241" s="231" t="s">
        <v>239</v>
      </c>
      <c r="U1241" s="231">
        <v>12</v>
      </c>
      <c r="V1241" s="231" t="s">
        <v>239</v>
      </c>
      <c r="W1241" s="231">
        <v>12</v>
      </c>
      <c r="X1241" s="231" t="s">
        <v>239</v>
      </c>
      <c r="Y1241" s="231">
        <v>12</v>
      </c>
      <c r="Z1241" s="231" t="s">
        <v>239</v>
      </c>
      <c r="AA1241" s="231">
        <v>12</v>
      </c>
      <c r="AB1241" s="231" t="s">
        <v>239</v>
      </c>
      <c r="AC1241" s="231">
        <v>12</v>
      </c>
      <c r="AD1241" s="231" t="s">
        <v>239</v>
      </c>
      <c r="AE1241" s="231">
        <v>12</v>
      </c>
      <c r="AF1241" s="231" t="s">
        <v>239</v>
      </c>
      <c r="AG1241" s="231">
        <v>12</v>
      </c>
      <c r="AH1241" s="231" t="s">
        <v>239</v>
      </c>
      <c r="AI1241" s="231">
        <v>12</v>
      </c>
      <c r="AJ1241" s="231" t="s">
        <v>239</v>
      </c>
      <c r="AK1241" s="231">
        <v>12</v>
      </c>
      <c r="AL1241" s="232" t="s">
        <v>239</v>
      </c>
      <c r="AM1241" s="232">
        <v>0</v>
      </c>
    </row>
    <row r="1242" spans="1:39" ht="15.75" outlineLevel="1">
      <c r="A1242" s="412"/>
      <c r="B1242" s="10">
        <v>129616</v>
      </c>
      <c r="C1242" s="218" t="s">
        <v>1489</v>
      </c>
      <c r="D1242" s="218" t="s">
        <v>1490</v>
      </c>
      <c r="E1242" s="23" t="s">
        <v>44</v>
      </c>
      <c r="F1242" s="17" t="s">
        <v>45</v>
      </c>
      <c r="G1242" s="11" t="s">
        <v>1432</v>
      </c>
      <c r="H1242" s="12">
        <v>36</v>
      </c>
      <c r="I1242" s="11" t="s">
        <v>1433</v>
      </c>
      <c r="J1242" s="193" t="s">
        <v>1460</v>
      </c>
      <c r="K1242" s="17" t="s">
        <v>233</v>
      </c>
      <c r="L1242" s="17" t="s">
        <v>233</v>
      </c>
      <c r="M1242" s="231">
        <v>3269</v>
      </c>
      <c r="N1242" s="232">
        <v>3229.3143399999999</v>
      </c>
      <c r="O1242" s="132">
        <v>508</v>
      </c>
      <c r="P1242" s="231" t="s">
        <v>239</v>
      </c>
      <c r="Q1242" s="232">
        <v>508</v>
      </c>
      <c r="R1242" s="231" t="s">
        <v>239</v>
      </c>
      <c r="S1242" s="232">
        <v>416</v>
      </c>
      <c r="T1242" s="231" t="s">
        <v>239</v>
      </c>
      <c r="U1242" s="232">
        <v>500</v>
      </c>
      <c r="V1242" s="231" t="s">
        <v>239</v>
      </c>
      <c r="W1242" s="232">
        <v>473</v>
      </c>
      <c r="X1242" s="231" t="s">
        <v>239</v>
      </c>
      <c r="Y1242" s="232">
        <v>513</v>
      </c>
      <c r="Z1242" s="231" t="s">
        <v>239</v>
      </c>
      <c r="AA1242" s="232">
        <v>423</v>
      </c>
      <c r="AB1242" s="231" t="s">
        <v>239</v>
      </c>
      <c r="AC1242" s="232">
        <v>273</v>
      </c>
      <c r="AD1242" s="231" t="s">
        <v>239</v>
      </c>
      <c r="AE1242" s="232">
        <v>423</v>
      </c>
      <c r="AF1242" s="231" t="s">
        <v>239</v>
      </c>
      <c r="AG1242" s="232">
        <v>593</v>
      </c>
      <c r="AH1242" s="231" t="s">
        <v>239</v>
      </c>
      <c r="AI1242" s="232">
        <v>732</v>
      </c>
      <c r="AJ1242" s="231" t="s">
        <v>239</v>
      </c>
      <c r="AK1242" s="232">
        <v>632</v>
      </c>
      <c r="AL1242" s="232" t="s">
        <v>239</v>
      </c>
      <c r="AM1242" s="232">
        <v>5994</v>
      </c>
    </row>
    <row r="1243" spans="1:39" ht="15.75" outlineLevel="1">
      <c r="A1243" s="411">
        <v>617</v>
      </c>
      <c r="B1243" s="10">
        <v>129617</v>
      </c>
      <c r="C1243" s="218" t="s">
        <v>1489</v>
      </c>
      <c r="D1243" s="218" t="s">
        <v>1490</v>
      </c>
      <c r="E1243" s="23" t="s">
        <v>44</v>
      </c>
      <c r="F1243" s="17" t="s">
        <v>45</v>
      </c>
      <c r="G1243" s="11" t="s">
        <v>1432</v>
      </c>
      <c r="H1243" s="12">
        <v>34</v>
      </c>
      <c r="I1243" s="11" t="s">
        <v>1433</v>
      </c>
      <c r="J1243" s="193" t="s">
        <v>1451</v>
      </c>
      <c r="K1243" s="17" t="s">
        <v>233</v>
      </c>
      <c r="L1243" s="17" t="s">
        <v>233</v>
      </c>
      <c r="M1243" s="231">
        <v>2.5</v>
      </c>
      <c r="N1243" s="231">
        <v>2.5</v>
      </c>
      <c r="O1243" s="231">
        <v>2.5</v>
      </c>
      <c r="P1243" s="231" t="s">
        <v>239</v>
      </c>
      <c r="Q1243" s="231">
        <v>2.5</v>
      </c>
      <c r="R1243" s="231" t="s">
        <v>239</v>
      </c>
      <c r="S1243" s="231">
        <v>2.5</v>
      </c>
      <c r="T1243" s="231" t="s">
        <v>239</v>
      </c>
      <c r="U1243" s="231">
        <v>2.5</v>
      </c>
      <c r="V1243" s="230" t="s">
        <v>239</v>
      </c>
      <c r="W1243" s="231">
        <v>2.5</v>
      </c>
      <c r="X1243" s="231" t="s">
        <v>239</v>
      </c>
      <c r="Y1243" s="231">
        <v>2.5</v>
      </c>
      <c r="Z1243" s="231" t="s">
        <v>239</v>
      </c>
      <c r="AA1243" s="231">
        <v>2.5</v>
      </c>
      <c r="AB1243" s="231" t="s">
        <v>239</v>
      </c>
      <c r="AC1243" s="231">
        <v>2.5</v>
      </c>
      <c r="AD1243" s="231" t="s">
        <v>239</v>
      </c>
      <c r="AE1243" s="231">
        <v>2.5</v>
      </c>
      <c r="AF1243" s="231" t="s">
        <v>239</v>
      </c>
      <c r="AG1243" s="231">
        <v>2.5</v>
      </c>
      <c r="AH1243" s="231" t="s">
        <v>239</v>
      </c>
      <c r="AI1243" s="231">
        <v>2.5</v>
      </c>
      <c r="AJ1243" s="231" t="s">
        <v>239</v>
      </c>
      <c r="AK1243" s="231">
        <v>2.5</v>
      </c>
      <c r="AL1243" s="232" t="s">
        <v>239</v>
      </c>
      <c r="AM1243" s="232">
        <v>0</v>
      </c>
    </row>
    <row r="1244" spans="1:39" ht="15.75" outlineLevel="1">
      <c r="A1244" s="412"/>
      <c r="B1244" s="10">
        <v>129617</v>
      </c>
      <c r="C1244" s="218" t="s">
        <v>1489</v>
      </c>
      <c r="D1244" s="218" t="s">
        <v>1490</v>
      </c>
      <c r="E1244" s="23" t="s">
        <v>138</v>
      </c>
      <c r="F1244" s="17" t="s">
        <v>45</v>
      </c>
      <c r="G1244" s="11" t="s">
        <v>1432</v>
      </c>
      <c r="H1244" s="12">
        <v>16</v>
      </c>
      <c r="I1244" s="11" t="s">
        <v>1433</v>
      </c>
      <c r="J1244" s="193" t="s">
        <v>208</v>
      </c>
      <c r="K1244" s="17" t="s">
        <v>233</v>
      </c>
      <c r="L1244" s="17" t="s">
        <v>233</v>
      </c>
      <c r="M1244" s="231">
        <v>16648</v>
      </c>
      <c r="N1244" s="232">
        <v>16445.89328</v>
      </c>
      <c r="O1244" s="132">
        <v>1722</v>
      </c>
      <c r="P1244" s="231" t="s">
        <v>239</v>
      </c>
      <c r="Q1244" s="232">
        <v>1722</v>
      </c>
      <c r="R1244" s="231" t="s">
        <v>239</v>
      </c>
      <c r="S1244" s="232">
        <v>1367</v>
      </c>
      <c r="T1244" s="231" t="s">
        <v>239</v>
      </c>
      <c r="U1244" s="232">
        <v>1355</v>
      </c>
      <c r="V1244" s="231" t="s">
        <v>239</v>
      </c>
      <c r="W1244" s="232">
        <v>1254</v>
      </c>
      <c r="X1244" s="231" t="s">
        <v>239</v>
      </c>
      <c r="Y1244" s="232">
        <v>1742</v>
      </c>
      <c r="Z1244" s="231" t="s">
        <v>239</v>
      </c>
      <c r="AA1244" s="232">
        <v>1561</v>
      </c>
      <c r="AB1244" s="231" t="s">
        <v>239</v>
      </c>
      <c r="AC1244" s="232">
        <v>1114</v>
      </c>
      <c r="AD1244" s="231" t="s">
        <v>239</v>
      </c>
      <c r="AE1244" s="232">
        <v>985</v>
      </c>
      <c r="AF1244" s="231" t="s">
        <v>239</v>
      </c>
      <c r="AG1244" s="232">
        <v>1233</v>
      </c>
      <c r="AH1244" s="231" t="s">
        <v>239</v>
      </c>
      <c r="AI1244" s="232">
        <v>1442</v>
      </c>
      <c r="AJ1244" s="231" t="s">
        <v>239</v>
      </c>
      <c r="AK1244" s="232">
        <v>1495</v>
      </c>
      <c r="AL1244" s="232" t="s">
        <v>239</v>
      </c>
      <c r="AM1244" s="232">
        <v>16992</v>
      </c>
    </row>
    <row r="1245" spans="1:39" ht="15.75" outlineLevel="1">
      <c r="A1245" s="411">
        <v>618</v>
      </c>
      <c r="B1245" s="10">
        <v>129618</v>
      </c>
      <c r="C1245" s="218" t="s">
        <v>1489</v>
      </c>
      <c r="D1245" s="218" t="s">
        <v>1490</v>
      </c>
      <c r="E1245" s="23" t="s">
        <v>44</v>
      </c>
      <c r="F1245" s="17" t="s">
        <v>45</v>
      </c>
      <c r="G1245" s="11" t="s">
        <v>1432</v>
      </c>
      <c r="H1245" s="12">
        <v>10</v>
      </c>
      <c r="I1245" s="11" t="s">
        <v>1433</v>
      </c>
      <c r="J1245" s="193" t="s">
        <v>1452</v>
      </c>
      <c r="K1245" s="17" t="s">
        <v>233</v>
      </c>
      <c r="L1245" s="17" t="s">
        <v>233</v>
      </c>
      <c r="M1245" s="231">
        <v>15</v>
      </c>
      <c r="N1245" s="231">
        <v>15</v>
      </c>
      <c r="O1245" s="231">
        <v>15</v>
      </c>
      <c r="P1245" s="231" t="s">
        <v>239</v>
      </c>
      <c r="Q1245" s="231">
        <v>15</v>
      </c>
      <c r="R1245" s="231" t="s">
        <v>239</v>
      </c>
      <c r="S1245" s="231">
        <v>15</v>
      </c>
      <c r="T1245" s="231" t="s">
        <v>239</v>
      </c>
      <c r="U1245" s="231">
        <v>15</v>
      </c>
      <c r="V1245" s="231" t="s">
        <v>239</v>
      </c>
      <c r="W1245" s="231">
        <v>15</v>
      </c>
      <c r="X1245" s="231" t="s">
        <v>239</v>
      </c>
      <c r="Y1245" s="231">
        <v>15</v>
      </c>
      <c r="Z1245" s="231" t="s">
        <v>239</v>
      </c>
      <c r="AA1245" s="231">
        <v>15</v>
      </c>
      <c r="AB1245" s="231" t="s">
        <v>239</v>
      </c>
      <c r="AC1245" s="231">
        <v>15</v>
      </c>
      <c r="AD1245" s="231" t="s">
        <v>239</v>
      </c>
      <c r="AE1245" s="231">
        <v>15</v>
      </c>
      <c r="AF1245" s="231" t="s">
        <v>239</v>
      </c>
      <c r="AG1245" s="231">
        <v>15</v>
      </c>
      <c r="AH1245" s="231" t="s">
        <v>239</v>
      </c>
      <c r="AI1245" s="231">
        <v>15</v>
      </c>
      <c r="AJ1245" s="231" t="s">
        <v>239</v>
      </c>
      <c r="AK1245" s="231">
        <v>15</v>
      </c>
      <c r="AL1245" s="232" t="s">
        <v>239</v>
      </c>
      <c r="AM1245" s="232">
        <v>0</v>
      </c>
    </row>
    <row r="1246" spans="1:39" ht="15.75" outlineLevel="1">
      <c r="A1246" s="412"/>
      <c r="B1246" s="10">
        <v>129618</v>
      </c>
      <c r="C1246" s="218" t="s">
        <v>1489</v>
      </c>
      <c r="D1246" s="218" t="s">
        <v>1490</v>
      </c>
      <c r="E1246" s="23" t="s">
        <v>138</v>
      </c>
      <c r="F1246" s="17" t="s">
        <v>45</v>
      </c>
      <c r="G1246" s="11" t="s">
        <v>1432</v>
      </c>
      <c r="H1246" s="12">
        <v>17</v>
      </c>
      <c r="I1246" s="11" t="s">
        <v>1433</v>
      </c>
      <c r="J1246" s="193" t="s">
        <v>216</v>
      </c>
      <c r="K1246" s="17" t="s">
        <v>233</v>
      </c>
      <c r="L1246" s="17" t="s">
        <v>233</v>
      </c>
      <c r="M1246" s="231">
        <v>13408</v>
      </c>
      <c r="N1246" s="232">
        <v>13245.22688</v>
      </c>
      <c r="O1246" s="132">
        <v>1020</v>
      </c>
      <c r="P1246" s="231" t="s">
        <v>239</v>
      </c>
      <c r="Q1246" s="232">
        <v>1020</v>
      </c>
      <c r="R1246" s="231" t="s">
        <v>239</v>
      </c>
      <c r="S1246" s="232">
        <v>964</v>
      </c>
      <c r="T1246" s="231" t="s">
        <v>239</v>
      </c>
      <c r="U1246" s="232">
        <v>1006</v>
      </c>
      <c r="V1246" s="230" t="s">
        <v>239</v>
      </c>
      <c r="W1246" s="232">
        <v>1065</v>
      </c>
      <c r="X1246" s="231" t="s">
        <v>239</v>
      </c>
      <c r="Y1246" s="232">
        <v>997</v>
      </c>
      <c r="Z1246" s="231" t="s">
        <v>239</v>
      </c>
      <c r="AA1246" s="232">
        <v>1044</v>
      </c>
      <c r="AB1246" s="231" t="s">
        <v>239</v>
      </c>
      <c r="AC1246" s="232">
        <v>888</v>
      </c>
      <c r="AD1246" s="231" t="s">
        <v>239</v>
      </c>
      <c r="AE1246" s="232">
        <v>995</v>
      </c>
      <c r="AF1246" s="231" t="s">
        <v>239</v>
      </c>
      <c r="AG1246" s="232">
        <v>1032</v>
      </c>
      <c r="AH1246" s="231" t="s">
        <v>239</v>
      </c>
      <c r="AI1246" s="232">
        <v>982</v>
      </c>
      <c r="AJ1246" s="231" t="s">
        <v>239</v>
      </c>
      <c r="AK1246" s="232">
        <v>932</v>
      </c>
      <c r="AL1246" s="232" t="s">
        <v>239</v>
      </c>
      <c r="AM1246" s="232">
        <v>11945</v>
      </c>
    </row>
    <row r="1247" spans="1:39" ht="15.75" outlineLevel="1">
      <c r="A1247" s="411">
        <v>619</v>
      </c>
      <c r="B1247" s="10">
        <v>129619</v>
      </c>
      <c r="C1247" s="218" t="s">
        <v>1489</v>
      </c>
      <c r="D1247" s="218" t="s">
        <v>1490</v>
      </c>
      <c r="E1247" s="23" t="s">
        <v>44</v>
      </c>
      <c r="F1247" s="17" t="s">
        <v>45</v>
      </c>
      <c r="G1247" s="11" t="s">
        <v>1432</v>
      </c>
      <c r="H1247" s="12">
        <v>32</v>
      </c>
      <c r="I1247" s="11" t="s">
        <v>1433</v>
      </c>
      <c r="J1247" s="193" t="s">
        <v>1453</v>
      </c>
      <c r="K1247" s="17" t="s">
        <v>233</v>
      </c>
      <c r="L1247" s="17" t="s">
        <v>233</v>
      </c>
      <c r="M1247" s="231">
        <v>15</v>
      </c>
      <c r="N1247" s="231">
        <v>15</v>
      </c>
      <c r="O1247" s="231">
        <v>15</v>
      </c>
      <c r="P1247" s="231" t="s">
        <v>239</v>
      </c>
      <c r="Q1247" s="231">
        <v>15</v>
      </c>
      <c r="R1247" s="231" t="s">
        <v>239</v>
      </c>
      <c r="S1247" s="231">
        <v>15</v>
      </c>
      <c r="T1247" s="231" t="s">
        <v>239</v>
      </c>
      <c r="U1247" s="231">
        <v>15</v>
      </c>
      <c r="V1247" s="231" t="s">
        <v>239</v>
      </c>
      <c r="W1247" s="231">
        <v>15</v>
      </c>
      <c r="X1247" s="231" t="s">
        <v>239</v>
      </c>
      <c r="Y1247" s="231">
        <v>15</v>
      </c>
      <c r="Z1247" s="231" t="s">
        <v>239</v>
      </c>
      <c r="AA1247" s="231">
        <v>15</v>
      </c>
      <c r="AB1247" s="231" t="s">
        <v>239</v>
      </c>
      <c r="AC1247" s="231">
        <v>15</v>
      </c>
      <c r="AD1247" s="231" t="s">
        <v>239</v>
      </c>
      <c r="AE1247" s="231">
        <v>15</v>
      </c>
      <c r="AF1247" s="231" t="s">
        <v>239</v>
      </c>
      <c r="AG1247" s="231">
        <v>15</v>
      </c>
      <c r="AH1247" s="231" t="s">
        <v>239</v>
      </c>
      <c r="AI1247" s="231">
        <v>15</v>
      </c>
      <c r="AJ1247" s="231" t="s">
        <v>239</v>
      </c>
      <c r="AK1247" s="231">
        <v>15</v>
      </c>
      <c r="AL1247" s="232" t="s">
        <v>239</v>
      </c>
      <c r="AM1247" s="232">
        <v>0</v>
      </c>
    </row>
    <row r="1248" spans="1:39" ht="15.75" outlineLevel="1">
      <c r="A1248" s="412"/>
      <c r="B1248" s="10">
        <v>129619</v>
      </c>
      <c r="C1248" s="218" t="s">
        <v>1489</v>
      </c>
      <c r="D1248" s="218" t="s">
        <v>1490</v>
      </c>
      <c r="E1248" s="23" t="s">
        <v>44</v>
      </c>
      <c r="F1248" s="17" t="s">
        <v>45</v>
      </c>
      <c r="G1248" s="11" t="s">
        <v>1432</v>
      </c>
      <c r="H1248" s="12">
        <v>8</v>
      </c>
      <c r="I1248" s="11" t="s">
        <v>1433</v>
      </c>
      <c r="J1248" s="193" t="s">
        <v>1454</v>
      </c>
      <c r="K1248" s="17" t="s">
        <v>233</v>
      </c>
      <c r="L1248" s="17" t="s">
        <v>233</v>
      </c>
      <c r="M1248" s="231">
        <v>0</v>
      </c>
      <c r="N1248" s="232">
        <v>0</v>
      </c>
      <c r="O1248" s="132">
        <v>0</v>
      </c>
      <c r="P1248" s="231" t="s">
        <v>239</v>
      </c>
      <c r="Q1248" s="232">
        <v>0</v>
      </c>
      <c r="R1248" s="231" t="s">
        <v>239</v>
      </c>
      <c r="S1248" s="232">
        <v>0</v>
      </c>
      <c r="T1248" s="231" t="s">
        <v>239</v>
      </c>
      <c r="U1248" s="232">
        <v>0</v>
      </c>
      <c r="V1248" s="231" t="s">
        <v>239</v>
      </c>
      <c r="W1248" s="232">
        <v>0</v>
      </c>
      <c r="X1248" s="231" t="s">
        <v>239</v>
      </c>
      <c r="Y1248" s="232">
        <v>0</v>
      </c>
      <c r="Z1248" s="231" t="s">
        <v>239</v>
      </c>
      <c r="AA1248" s="232">
        <v>0</v>
      </c>
      <c r="AB1248" s="231" t="s">
        <v>239</v>
      </c>
      <c r="AC1248" s="232">
        <v>0</v>
      </c>
      <c r="AD1248" s="231" t="s">
        <v>239</v>
      </c>
      <c r="AE1248" s="232">
        <v>0</v>
      </c>
      <c r="AF1248" s="231" t="s">
        <v>239</v>
      </c>
      <c r="AG1248" s="232">
        <v>0</v>
      </c>
      <c r="AH1248" s="231" t="s">
        <v>239</v>
      </c>
      <c r="AI1248" s="232">
        <v>0</v>
      </c>
      <c r="AJ1248" s="231" t="s">
        <v>239</v>
      </c>
      <c r="AK1248" s="232">
        <v>0</v>
      </c>
      <c r="AL1248" s="232" t="s">
        <v>239</v>
      </c>
      <c r="AM1248" s="232">
        <v>0</v>
      </c>
    </row>
    <row r="1249" spans="1:39" ht="15.75" outlineLevel="1">
      <c r="A1249" s="411">
        <v>620</v>
      </c>
      <c r="B1249" s="10">
        <v>129620</v>
      </c>
      <c r="C1249" s="218" t="s">
        <v>1489</v>
      </c>
      <c r="D1249" s="218" t="s">
        <v>1490</v>
      </c>
      <c r="E1249" s="23" t="s">
        <v>138</v>
      </c>
      <c r="F1249" s="17" t="s">
        <v>45</v>
      </c>
      <c r="G1249" s="11" t="s">
        <v>1432</v>
      </c>
      <c r="H1249" s="12">
        <v>12</v>
      </c>
      <c r="I1249" s="11" t="s">
        <v>1433</v>
      </c>
      <c r="J1249" s="191" t="s">
        <v>216</v>
      </c>
      <c r="K1249" s="17" t="s">
        <v>233</v>
      </c>
      <c r="L1249" s="17" t="s">
        <v>233</v>
      </c>
      <c r="M1249" s="231">
        <v>1.5</v>
      </c>
      <c r="N1249" s="231">
        <v>1.5</v>
      </c>
      <c r="O1249" s="231">
        <v>1.5</v>
      </c>
      <c r="P1249" s="231" t="s">
        <v>239</v>
      </c>
      <c r="Q1249" s="231">
        <v>1.5</v>
      </c>
      <c r="R1249" s="231" t="s">
        <v>239</v>
      </c>
      <c r="S1249" s="231">
        <v>1.5</v>
      </c>
      <c r="T1249" s="231" t="s">
        <v>239</v>
      </c>
      <c r="U1249" s="231">
        <v>1.5</v>
      </c>
      <c r="V1249" s="230" t="s">
        <v>239</v>
      </c>
      <c r="W1249" s="231">
        <v>1.5</v>
      </c>
      <c r="X1249" s="231" t="s">
        <v>239</v>
      </c>
      <c r="Y1249" s="231">
        <v>1.5</v>
      </c>
      <c r="Z1249" s="231" t="s">
        <v>239</v>
      </c>
      <c r="AA1249" s="231">
        <v>1.5</v>
      </c>
      <c r="AB1249" s="231" t="s">
        <v>239</v>
      </c>
      <c r="AC1249" s="231">
        <v>1.5</v>
      </c>
      <c r="AD1249" s="231" t="s">
        <v>239</v>
      </c>
      <c r="AE1249" s="231">
        <v>1.5</v>
      </c>
      <c r="AF1249" s="231" t="s">
        <v>239</v>
      </c>
      <c r="AG1249" s="231">
        <v>1.5</v>
      </c>
      <c r="AH1249" s="231" t="s">
        <v>239</v>
      </c>
      <c r="AI1249" s="231">
        <v>1.5</v>
      </c>
      <c r="AJ1249" s="231" t="s">
        <v>239</v>
      </c>
      <c r="AK1249" s="231">
        <v>1.5</v>
      </c>
      <c r="AL1249" s="232" t="s">
        <v>239</v>
      </c>
      <c r="AM1249" s="232">
        <v>0</v>
      </c>
    </row>
    <row r="1250" spans="1:39" ht="15.75" outlineLevel="1">
      <c r="A1250" s="412"/>
      <c r="B1250" s="10">
        <v>129620</v>
      </c>
      <c r="C1250" s="218" t="s">
        <v>1489</v>
      </c>
      <c r="D1250" s="218" t="s">
        <v>1490</v>
      </c>
      <c r="E1250" s="23" t="s">
        <v>44</v>
      </c>
      <c r="F1250" s="17" t="s">
        <v>45</v>
      </c>
      <c r="G1250" s="11" t="s">
        <v>1432</v>
      </c>
      <c r="H1250" s="12">
        <v>18</v>
      </c>
      <c r="I1250" s="11" t="s">
        <v>1433</v>
      </c>
      <c r="J1250" s="192" t="s">
        <v>1434</v>
      </c>
      <c r="K1250" s="17" t="s">
        <v>233</v>
      </c>
      <c r="L1250" s="17" t="s">
        <v>233</v>
      </c>
      <c r="M1250" s="231">
        <v>8852</v>
      </c>
      <c r="N1250" s="232">
        <v>8744.5367200000001</v>
      </c>
      <c r="O1250" s="132">
        <v>939</v>
      </c>
      <c r="P1250" s="231" t="s">
        <v>239</v>
      </c>
      <c r="Q1250" s="232">
        <v>939</v>
      </c>
      <c r="R1250" s="231" t="s">
        <v>239</v>
      </c>
      <c r="S1250" s="232">
        <v>850</v>
      </c>
      <c r="T1250" s="231" t="s">
        <v>239</v>
      </c>
      <c r="U1250" s="232">
        <v>789</v>
      </c>
      <c r="V1250" s="231" t="s">
        <v>239</v>
      </c>
      <c r="W1250" s="232">
        <v>1396</v>
      </c>
      <c r="X1250" s="231" t="s">
        <v>239</v>
      </c>
      <c r="Y1250" s="232">
        <v>1044</v>
      </c>
      <c r="Z1250" s="231" t="s">
        <v>239</v>
      </c>
      <c r="AA1250" s="232">
        <v>1009</v>
      </c>
      <c r="AB1250" s="231" t="s">
        <v>239</v>
      </c>
      <c r="AC1250" s="232">
        <v>832</v>
      </c>
      <c r="AD1250" s="231" t="s">
        <v>239</v>
      </c>
      <c r="AE1250" s="232">
        <v>882</v>
      </c>
      <c r="AF1250" s="231" t="s">
        <v>239</v>
      </c>
      <c r="AG1250" s="232">
        <v>772</v>
      </c>
      <c r="AH1250" s="231" t="s">
        <v>239</v>
      </c>
      <c r="AI1250" s="232">
        <v>1304</v>
      </c>
      <c r="AJ1250" s="231" t="s">
        <v>239</v>
      </c>
      <c r="AK1250" s="232">
        <v>1102</v>
      </c>
      <c r="AL1250" s="232" t="s">
        <v>239</v>
      </c>
      <c r="AM1250" s="232">
        <v>11858</v>
      </c>
    </row>
    <row r="1251" spans="1:39" ht="15.75" outlineLevel="1">
      <c r="A1251" s="411">
        <v>621</v>
      </c>
      <c r="B1251" s="10">
        <v>129621</v>
      </c>
      <c r="C1251" s="218" t="s">
        <v>1489</v>
      </c>
      <c r="D1251" s="218" t="s">
        <v>1490</v>
      </c>
      <c r="E1251" s="23" t="s">
        <v>138</v>
      </c>
      <c r="F1251" s="17" t="s">
        <v>45</v>
      </c>
      <c r="G1251" s="11" t="s">
        <v>1432</v>
      </c>
      <c r="H1251" s="12">
        <v>17</v>
      </c>
      <c r="I1251" s="11" t="s">
        <v>1433</v>
      </c>
      <c r="J1251" s="192" t="s">
        <v>1480</v>
      </c>
      <c r="K1251" s="17" t="s">
        <v>233</v>
      </c>
      <c r="L1251" s="17" t="s">
        <v>233</v>
      </c>
      <c r="M1251" s="231">
        <v>1.5</v>
      </c>
      <c r="N1251" s="231">
        <v>1.5</v>
      </c>
      <c r="O1251" s="231">
        <v>1.5</v>
      </c>
      <c r="P1251" s="231" t="s">
        <v>239</v>
      </c>
      <c r="Q1251" s="231">
        <v>1.5</v>
      </c>
      <c r="R1251" s="231" t="s">
        <v>239</v>
      </c>
      <c r="S1251" s="231">
        <v>1.5</v>
      </c>
      <c r="T1251" s="231" t="s">
        <v>239</v>
      </c>
      <c r="U1251" s="231">
        <v>1.5</v>
      </c>
      <c r="V1251" s="231" t="s">
        <v>239</v>
      </c>
      <c r="W1251" s="231">
        <v>1.5</v>
      </c>
      <c r="X1251" s="231" t="s">
        <v>239</v>
      </c>
      <c r="Y1251" s="231">
        <v>1.5</v>
      </c>
      <c r="Z1251" s="231" t="s">
        <v>239</v>
      </c>
      <c r="AA1251" s="231">
        <v>1.5</v>
      </c>
      <c r="AB1251" s="231" t="s">
        <v>239</v>
      </c>
      <c r="AC1251" s="231">
        <v>1.5</v>
      </c>
      <c r="AD1251" s="231" t="s">
        <v>239</v>
      </c>
      <c r="AE1251" s="231">
        <v>1.5</v>
      </c>
      <c r="AF1251" s="231" t="s">
        <v>239</v>
      </c>
      <c r="AG1251" s="231">
        <v>1.5</v>
      </c>
      <c r="AH1251" s="231" t="s">
        <v>239</v>
      </c>
      <c r="AI1251" s="231">
        <v>1.5</v>
      </c>
      <c r="AJ1251" s="231" t="s">
        <v>239</v>
      </c>
      <c r="AK1251" s="231">
        <v>1.5</v>
      </c>
      <c r="AL1251" s="232" t="s">
        <v>239</v>
      </c>
      <c r="AM1251" s="232">
        <v>0</v>
      </c>
    </row>
    <row r="1252" spans="1:39" ht="15.75" outlineLevel="1">
      <c r="A1252" s="412"/>
      <c r="B1252" s="10">
        <v>129621</v>
      </c>
      <c r="C1252" s="218" t="s">
        <v>1489</v>
      </c>
      <c r="D1252" s="218" t="s">
        <v>1490</v>
      </c>
      <c r="E1252" s="23" t="s">
        <v>44</v>
      </c>
      <c r="F1252" s="17" t="s">
        <v>45</v>
      </c>
      <c r="G1252" s="11" t="s">
        <v>1432</v>
      </c>
      <c r="H1252" s="12">
        <v>25</v>
      </c>
      <c r="I1252" s="11" t="s">
        <v>1433</v>
      </c>
      <c r="J1252" s="192" t="s">
        <v>1452</v>
      </c>
      <c r="K1252" s="17" t="s">
        <v>233</v>
      </c>
      <c r="L1252" s="17" t="s">
        <v>233</v>
      </c>
      <c r="M1252" s="231">
        <v>15034</v>
      </c>
      <c r="N1252" s="232">
        <v>14851.487239999999</v>
      </c>
      <c r="O1252" s="132">
        <v>642</v>
      </c>
      <c r="P1252" s="231" t="s">
        <v>239</v>
      </c>
      <c r="Q1252" s="232">
        <v>642</v>
      </c>
      <c r="R1252" s="231" t="s">
        <v>239</v>
      </c>
      <c r="S1252" s="232">
        <v>604</v>
      </c>
      <c r="T1252" s="231" t="s">
        <v>239</v>
      </c>
      <c r="U1252" s="232">
        <v>707</v>
      </c>
      <c r="V1252" s="230" t="s">
        <v>239</v>
      </c>
      <c r="W1252" s="232">
        <v>591</v>
      </c>
      <c r="X1252" s="231" t="s">
        <v>239</v>
      </c>
      <c r="Y1252" s="232">
        <v>823</v>
      </c>
      <c r="Z1252" s="231" t="s">
        <v>239</v>
      </c>
      <c r="AA1252" s="232">
        <v>820</v>
      </c>
      <c r="AB1252" s="231" t="s">
        <v>239</v>
      </c>
      <c r="AC1252" s="232">
        <v>547</v>
      </c>
      <c r="AD1252" s="231" t="s">
        <v>239</v>
      </c>
      <c r="AE1252" s="232">
        <v>579</v>
      </c>
      <c r="AF1252" s="231" t="s">
        <v>239</v>
      </c>
      <c r="AG1252" s="232">
        <v>584</v>
      </c>
      <c r="AH1252" s="231" t="s">
        <v>239</v>
      </c>
      <c r="AI1252" s="232">
        <v>543</v>
      </c>
      <c r="AJ1252" s="231" t="s">
        <v>239</v>
      </c>
      <c r="AK1252" s="232">
        <v>718</v>
      </c>
      <c r="AL1252" s="232" t="s">
        <v>239</v>
      </c>
      <c r="AM1252" s="232">
        <v>7800</v>
      </c>
    </row>
    <row r="1253" spans="1:39" ht="15.75" outlineLevel="1">
      <c r="A1253" s="411">
        <v>622</v>
      </c>
      <c r="B1253" s="10">
        <v>129622</v>
      </c>
      <c r="C1253" s="218" t="s">
        <v>1489</v>
      </c>
      <c r="D1253" s="218" t="s">
        <v>1490</v>
      </c>
      <c r="E1253" s="23" t="s">
        <v>44</v>
      </c>
      <c r="F1253" s="17" t="s">
        <v>45</v>
      </c>
      <c r="G1253" s="11" t="s">
        <v>1432</v>
      </c>
      <c r="H1253" s="12">
        <v>13</v>
      </c>
      <c r="I1253" s="11" t="s">
        <v>1433</v>
      </c>
      <c r="J1253" s="374" t="s">
        <v>207</v>
      </c>
      <c r="K1253" s="17" t="s">
        <v>233</v>
      </c>
      <c r="L1253" s="17" t="s">
        <v>233</v>
      </c>
      <c r="M1253" s="231">
        <v>0.5</v>
      </c>
      <c r="N1253" s="231">
        <v>0.5</v>
      </c>
      <c r="O1253" s="231">
        <v>0.5</v>
      </c>
      <c r="P1253" s="231" t="s">
        <v>239</v>
      </c>
      <c r="Q1253" s="231">
        <v>0.5</v>
      </c>
      <c r="R1253" s="231" t="s">
        <v>239</v>
      </c>
      <c r="S1253" s="231">
        <v>0.5</v>
      </c>
      <c r="T1253" s="231" t="s">
        <v>239</v>
      </c>
      <c r="U1253" s="231">
        <v>0.5</v>
      </c>
      <c r="V1253" s="231" t="s">
        <v>239</v>
      </c>
      <c r="W1253" s="231">
        <v>0.5</v>
      </c>
      <c r="X1253" s="231" t="s">
        <v>239</v>
      </c>
      <c r="Y1253" s="231">
        <v>0.5</v>
      </c>
      <c r="Z1253" s="231" t="s">
        <v>239</v>
      </c>
      <c r="AA1253" s="231">
        <v>0.5</v>
      </c>
      <c r="AB1253" s="231" t="s">
        <v>239</v>
      </c>
      <c r="AC1253" s="231">
        <v>0.5</v>
      </c>
      <c r="AD1253" s="231" t="s">
        <v>239</v>
      </c>
      <c r="AE1253" s="231">
        <v>0.5</v>
      </c>
      <c r="AF1253" s="231" t="s">
        <v>239</v>
      </c>
      <c r="AG1253" s="231">
        <v>0.5</v>
      </c>
      <c r="AH1253" s="231" t="s">
        <v>239</v>
      </c>
      <c r="AI1253" s="231">
        <v>0.5</v>
      </c>
      <c r="AJ1253" s="231" t="s">
        <v>239</v>
      </c>
      <c r="AK1253" s="231">
        <v>0.5</v>
      </c>
      <c r="AL1253" s="232" t="s">
        <v>239</v>
      </c>
      <c r="AM1253" s="232">
        <v>0</v>
      </c>
    </row>
    <row r="1254" spans="1:39" ht="15.75" outlineLevel="1">
      <c r="A1254" s="412"/>
      <c r="B1254" s="10">
        <v>129622</v>
      </c>
      <c r="C1254" s="218" t="s">
        <v>1489</v>
      </c>
      <c r="D1254" s="218" t="s">
        <v>1490</v>
      </c>
      <c r="E1254" s="23" t="s">
        <v>138</v>
      </c>
      <c r="F1254" s="17" t="s">
        <v>45</v>
      </c>
      <c r="G1254" s="11" t="s">
        <v>1432</v>
      </c>
      <c r="H1254" s="12">
        <v>5</v>
      </c>
      <c r="I1254" s="11" t="s">
        <v>1433</v>
      </c>
      <c r="J1254" s="375"/>
      <c r="K1254" s="17" t="s">
        <v>233</v>
      </c>
      <c r="L1254" s="17" t="s">
        <v>233</v>
      </c>
      <c r="M1254" s="231">
        <v>2842</v>
      </c>
      <c r="N1254" s="232">
        <v>2807.4981199999997</v>
      </c>
      <c r="O1254" s="132">
        <v>100</v>
      </c>
      <c r="P1254" s="231" t="s">
        <v>239</v>
      </c>
      <c r="Q1254" s="232">
        <v>100</v>
      </c>
      <c r="R1254" s="231" t="s">
        <v>239</v>
      </c>
      <c r="S1254" s="232">
        <v>3</v>
      </c>
      <c r="T1254" s="231" t="s">
        <v>239</v>
      </c>
      <c r="U1254" s="232">
        <v>4</v>
      </c>
      <c r="V1254" s="231" t="s">
        <v>239</v>
      </c>
      <c r="W1254" s="232">
        <v>9</v>
      </c>
      <c r="X1254" s="231" t="s">
        <v>239</v>
      </c>
      <c r="Y1254" s="232">
        <v>47</v>
      </c>
      <c r="Z1254" s="231" t="s">
        <v>239</v>
      </c>
      <c r="AA1254" s="232">
        <v>36</v>
      </c>
      <c r="AB1254" s="231" t="s">
        <v>239</v>
      </c>
      <c r="AC1254" s="232">
        <v>50</v>
      </c>
      <c r="AD1254" s="231" t="s">
        <v>239</v>
      </c>
      <c r="AE1254" s="232">
        <v>49</v>
      </c>
      <c r="AF1254" s="231" t="s">
        <v>239</v>
      </c>
      <c r="AG1254" s="232">
        <v>80</v>
      </c>
      <c r="AH1254" s="231" t="s">
        <v>239</v>
      </c>
      <c r="AI1254" s="232">
        <v>91</v>
      </c>
      <c r="AJ1254" s="231" t="s">
        <v>239</v>
      </c>
      <c r="AK1254" s="232">
        <v>100</v>
      </c>
      <c r="AL1254" s="232" t="s">
        <v>239</v>
      </c>
      <c r="AM1254" s="232">
        <v>669</v>
      </c>
    </row>
    <row r="1255" spans="1:39" ht="15.75" outlineLevel="1">
      <c r="A1255" s="411">
        <v>623</v>
      </c>
      <c r="B1255" s="10">
        <v>129623</v>
      </c>
      <c r="C1255" s="218" t="s">
        <v>1489</v>
      </c>
      <c r="D1255" s="218" t="s">
        <v>1490</v>
      </c>
      <c r="E1255" s="23" t="s">
        <v>44</v>
      </c>
      <c r="F1255" s="17" t="s">
        <v>45</v>
      </c>
      <c r="G1255" s="11" t="s">
        <v>1432</v>
      </c>
      <c r="H1255" s="12">
        <v>4</v>
      </c>
      <c r="I1255" s="11" t="s">
        <v>1433</v>
      </c>
      <c r="J1255" s="193" t="s">
        <v>1460</v>
      </c>
      <c r="K1255" s="17" t="s">
        <v>233</v>
      </c>
      <c r="L1255" s="17" t="s">
        <v>233</v>
      </c>
      <c r="M1255" s="231">
        <v>9.1999999999999993</v>
      </c>
      <c r="N1255" s="231">
        <v>9.1999999999999993</v>
      </c>
      <c r="O1255" s="231">
        <v>9.1999999999999993</v>
      </c>
      <c r="P1255" s="231" t="s">
        <v>239</v>
      </c>
      <c r="Q1255" s="231">
        <v>9.1999999999999993</v>
      </c>
      <c r="R1255" s="231" t="s">
        <v>239</v>
      </c>
      <c r="S1255" s="231">
        <v>9.1999999999999993</v>
      </c>
      <c r="T1255" s="231" t="s">
        <v>239</v>
      </c>
      <c r="U1255" s="231">
        <v>9.1999999999999993</v>
      </c>
      <c r="V1255" s="230" t="s">
        <v>239</v>
      </c>
      <c r="W1255" s="231">
        <v>9.1999999999999993</v>
      </c>
      <c r="X1255" s="231" t="s">
        <v>239</v>
      </c>
      <c r="Y1255" s="231">
        <v>9.1999999999999993</v>
      </c>
      <c r="Z1255" s="231" t="s">
        <v>239</v>
      </c>
      <c r="AA1255" s="231">
        <v>9.1999999999999993</v>
      </c>
      <c r="AB1255" s="231" t="s">
        <v>239</v>
      </c>
      <c r="AC1255" s="231">
        <v>9.1999999999999993</v>
      </c>
      <c r="AD1255" s="231" t="s">
        <v>239</v>
      </c>
      <c r="AE1255" s="231">
        <v>9.1999999999999993</v>
      </c>
      <c r="AF1255" s="231" t="s">
        <v>239</v>
      </c>
      <c r="AG1255" s="231">
        <v>9.1999999999999993</v>
      </c>
      <c r="AH1255" s="231" t="s">
        <v>239</v>
      </c>
      <c r="AI1255" s="231">
        <v>9.1999999999999993</v>
      </c>
      <c r="AJ1255" s="231" t="s">
        <v>239</v>
      </c>
      <c r="AK1255" s="231">
        <v>9.1999999999999993</v>
      </c>
      <c r="AL1255" s="232" t="s">
        <v>239</v>
      </c>
      <c r="AM1255" s="232">
        <v>0</v>
      </c>
    </row>
    <row r="1256" spans="1:39" ht="15.75" outlineLevel="1">
      <c r="A1256" s="412"/>
      <c r="B1256" s="10">
        <v>129623</v>
      </c>
      <c r="C1256" s="218" t="s">
        <v>1489</v>
      </c>
      <c r="D1256" s="218" t="s">
        <v>1490</v>
      </c>
      <c r="E1256" s="23" t="s">
        <v>138</v>
      </c>
      <c r="F1256" s="17" t="s">
        <v>45</v>
      </c>
      <c r="G1256" s="11" t="s">
        <v>1432</v>
      </c>
      <c r="H1256" s="12">
        <v>18</v>
      </c>
      <c r="I1256" s="11" t="s">
        <v>1433</v>
      </c>
      <c r="J1256" s="193" t="s">
        <v>1442</v>
      </c>
      <c r="K1256" s="17" t="s">
        <v>233</v>
      </c>
      <c r="L1256" s="17" t="s">
        <v>233</v>
      </c>
      <c r="M1256" s="231">
        <v>13484</v>
      </c>
      <c r="N1256" s="232">
        <v>13320.304239999999</v>
      </c>
      <c r="O1256" s="132">
        <v>815</v>
      </c>
      <c r="P1256" s="231" t="s">
        <v>239</v>
      </c>
      <c r="Q1256" s="232">
        <v>815</v>
      </c>
      <c r="R1256" s="231" t="s">
        <v>239</v>
      </c>
      <c r="S1256" s="232">
        <v>1014</v>
      </c>
      <c r="T1256" s="231" t="s">
        <v>239</v>
      </c>
      <c r="U1256" s="232">
        <v>816</v>
      </c>
      <c r="V1256" s="231" t="s">
        <v>239</v>
      </c>
      <c r="W1256" s="232">
        <v>804</v>
      </c>
      <c r="X1256" s="231" t="s">
        <v>239</v>
      </c>
      <c r="Y1256" s="232">
        <v>655</v>
      </c>
      <c r="Z1256" s="231" t="s">
        <v>239</v>
      </c>
      <c r="AA1256" s="232">
        <v>574</v>
      </c>
      <c r="AB1256" s="231" t="s">
        <v>239</v>
      </c>
      <c r="AC1256" s="232">
        <v>611</v>
      </c>
      <c r="AD1256" s="231" t="s">
        <v>239</v>
      </c>
      <c r="AE1256" s="232">
        <v>266</v>
      </c>
      <c r="AF1256" s="231" t="s">
        <v>239</v>
      </c>
      <c r="AG1256" s="232">
        <v>916</v>
      </c>
      <c r="AH1256" s="231" t="s">
        <v>239</v>
      </c>
      <c r="AI1256" s="232">
        <v>608</v>
      </c>
      <c r="AJ1256" s="231" t="s">
        <v>239</v>
      </c>
      <c r="AK1256" s="232">
        <v>813</v>
      </c>
      <c r="AL1256" s="232" t="s">
        <v>239</v>
      </c>
      <c r="AM1256" s="232">
        <v>8707</v>
      </c>
    </row>
    <row r="1257" spans="1:39" ht="15.75" outlineLevel="1">
      <c r="A1257" s="411">
        <v>624</v>
      </c>
      <c r="B1257" s="10">
        <v>129624</v>
      </c>
      <c r="C1257" s="218" t="s">
        <v>1489</v>
      </c>
      <c r="D1257" s="218" t="s">
        <v>1490</v>
      </c>
      <c r="E1257" s="23" t="s">
        <v>44</v>
      </c>
      <c r="F1257" s="17" t="s">
        <v>45</v>
      </c>
      <c r="G1257" s="11" t="s">
        <v>1432</v>
      </c>
      <c r="H1257" s="12">
        <v>17</v>
      </c>
      <c r="I1257" s="11" t="s">
        <v>1433</v>
      </c>
      <c r="J1257" s="193" t="s">
        <v>1460</v>
      </c>
      <c r="K1257" s="17" t="s">
        <v>233</v>
      </c>
      <c r="L1257" s="17" t="s">
        <v>233</v>
      </c>
      <c r="M1257" s="231">
        <v>3</v>
      </c>
      <c r="N1257" s="231">
        <v>3</v>
      </c>
      <c r="O1257" s="231">
        <v>3</v>
      </c>
      <c r="P1257" s="231" t="s">
        <v>239</v>
      </c>
      <c r="Q1257" s="231">
        <v>3</v>
      </c>
      <c r="R1257" s="231" t="s">
        <v>239</v>
      </c>
      <c r="S1257" s="231">
        <v>3</v>
      </c>
      <c r="T1257" s="231" t="s">
        <v>239</v>
      </c>
      <c r="U1257" s="231">
        <v>3</v>
      </c>
      <c r="V1257" s="231" t="s">
        <v>239</v>
      </c>
      <c r="W1257" s="231">
        <v>3</v>
      </c>
      <c r="X1257" s="231" t="s">
        <v>239</v>
      </c>
      <c r="Y1257" s="231">
        <v>3</v>
      </c>
      <c r="Z1257" s="231" t="s">
        <v>239</v>
      </c>
      <c r="AA1257" s="231">
        <v>3</v>
      </c>
      <c r="AB1257" s="231" t="s">
        <v>239</v>
      </c>
      <c r="AC1257" s="231">
        <v>3</v>
      </c>
      <c r="AD1257" s="231" t="s">
        <v>239</v>
      </c>
      <c r="AE1257" s="231">
        <v>3</v>
      </c>
      <c r="AF1257" s="231" t="s">
        <v>239</v>
      </c>
      <c r="AG1257" s="231">
        <v>3</v>
      </c>
      <c r="AH1257" s="231" t="s">
        <v>239</v>
      </c>
      <c r="AI1257" s="231">
        <v>3</v>
      </c>
      <c r="AJ1257" s="231" t="s">
        <v>239</v>
      </c>
      <c r="AK1257" s="231">
        <v>3</v>
      </c>
      <c r="AL1257" s="232" t="s">
        <v>239</v>
      </c>
      <c r="AM1257" s="232">
        <v>0</v>
      </c>
    </row>
    <row r="1258" spans="1:39" ht="15.75" outlineLevel="1">
      <c r="A1258" s="412"/>
      <c r="B1258" s="10">
        <v>129624</v>
      </c>
      <c r="C1258" s="218" t="s">
        <v>1489</v>
      </c>
      <c r="D1258" s="218" t="s">
        <v>1490</v>
      </c>
      <c r="E1258" s="23" t="s">
        <v>44</v>
      </c>
      <c r="F1258" s="17" t="s">
        <v>45</v>
      </c>
      <c r="G1258" s="11" t="s">
        <v>1432</v>
      </c>
      <c r="H1258" s="12">
        <v>28</v>
      </c>
      <c r="I1258" s="11" t="s">
        <v>1433</v>
      </c>
      <c r="J1258" s="193" t="s">
        <v>216</v>
      </c>
      <c r="K1258" s="17" t="s">
        <v>233</v>
      </c>
      <c r="L1258" s="17" t="s">
        <v>233</v>
      </c>
      <c r="M1258" s="231">
        <v>12618</v>
      </c>
      <c r="N1258" s="232">
        <v>12464.81748</v>
      </c>
      <c r="O1258" s="132">
        <v>1323</v>
      </c>
      <c r="P1258" s="231" t="s">
        <v>239</v>
      </c>
      <c r="Q1258" s="232">
        <v>1323</v>
      </c>
      <c r="R1258" s="231" t="s">
        <v>239</v>
      </c>
      <c r="S1258" s="232">
        <v>1180</v>
      </c>
      <c r="T1258" s="231" t="s">
        <v>239</v>
      </c>
      <c r="U1258" s="232">
        <v>353</v>
      </c>
      <c r="V1258" s="230" t="s">
        <v>239</v>
      </c>
      <c r="W1258" s="232">
        <v>359</v>
      </c>
      <c r="X1258" s="231" t="s">
        <v>239</v>
      </c>
      <c r="Y1258" s="232">
        <v>205</v>
      </c>
      <c r="Z1258" s="231" t="s">
        <v>239</v>
      </c>
      <c r="AA1258" s="232">
        <v>156</v>
      </c>
      <c r="AB1258" s="231" t="s">
        <v>239</v>
      </c>
      <c r="AC1258" s="232">
        <v>156</v>
      </c>
      <c r="AD1258" s="231" t="s">
        <v>239</v>
      </c>
      <c r="AE1258" s="232">
        <v>154</v>
      </c>
      <c r="AF1258" s="231" t="s">
        <v>239</v>
      </c>
      <c r="AG1258" s="232">
        <v>256</v>
      </c>
      <c r="AH1258" s="231" t="s">
        <v>239</v>
      </c>
      <c r="AI1258" s="232">
        <v>157</v>
      </c>
      <c r="AJ1258" s="231" t="s">
        <v>239</v>
      </c>
      <c r="AK1258" s="232">
        <v>231</v>
      </c>
      <c r="AL1258" s="232" t="s">
        <v>239</v>
      </c>
      <c r="AM1258" s="232">
        <v>5853</v>
      </c>
    </row>
    <row r="1259" spans="1:39" ht="15.75" outlineLevel="1">
      <c r="A1259" s="411">
        <v>625</v>
      </c>
      <c r="B1259" s="10">
        <v>129625</v>
      </c>
      <c r="C1259" s="218" t="s">
        <v>1489</v>
      </c>
      <c r="D1259" s="218" t="s">
        <v>1490</v>
      </c>
      <c r="E1259" s="23" t="s">
        <v>138</v>
      </c>
      <c r="F1259" s="17" t="s">
        <v>45</v>
      </c>
      <c r="G1259" s="11" t="s">
        <v>1432</v>
      </c>
      <c r="H1259" s="12">
        <v>33</v>
      </c>
      <c r="I1259" s="11" t="s">
        <v>1433</v>
      </c>
      <c r="J1259" s="193" t="s">
        <v>1449</v>
      </c>
      <c r="K1259" s="17" t="s">
        <v>233</v>
      </c>
      <c r="L1259" s="17" t="s">
        <v>233</v>
      </c>
      <c r="M1259" s="231">
        <v>14.5</v>
      </c>
      <c r="N1259" s="231">
        <v>14.5</v>
      </c>
      <c r="O1259" s="231">
        <v>14.5</v>
      </c>
      <c r="P1259" s="231" t="s">
        <v>239</v>
      </c>
      <c r="Q1259" s="231">
        <v>14.5</v>
      </c>
      <c r="R1259" s="231" t="s">
        <v>239</v>
      </c>
      <c r="S1259" s="231">
        <v>14.5</v>
      </c>
      <c r="T1259" s="231" t="s">
        <v>239</v>
      </c>
      <c r="U1259" s="231">
        <v>14.5</v>
      </c>
      <c r="V1259" s="231" t="s">
        <v>239</v>
      </c>
      <c r="W1259" s="231">
        <v>14.5</v>
      </c>
      <c r="X1259" s="231" t="s">
        <v>239</v>
      </c>
      <c r="Y1259" s="231">
        <v>14.5</v>
      </c>
      <c r="Z1259" s="231" t="s">
        <v>239</v>
      </c>
      <c r="AA1259" s="231">
        <v>14.5</v>
      </c>
      <c r="AB1259" s="231" t="s">
        <v>239</v>
      </c>
      <c r="AC1259" s="231">
        <v>14.5</v>
      </c>
      <c r="AD1259" s="231" t="s">
        <v>239</v>
      </c>
      <c r="AE1259" s="231">
        <v>14.5</v>
      </c>
      <c r="AF1259" s="231" t="s">
        <v>239</v>
      </c>
      <c r="AG1259" s="231">
        <v>14.5</v>
      </c>
      <c r="AH1259" s="231" t="s">
        <v>239</v>
      </c>
      <c r="AI1259" s="231">
        <v>14.5</v>
      </c>
      <c r="AJ1259" s="231" t="s">
        <v>239</v>
      </c>
      <c r="AK1259" s="231">
        <v>14.5</v>
      </c>
      <c r="AL1259" s="232" t="s">
        <v>239</v>
      </c>
      <c r="AM1259" s="232">
        <v>0</v>
      </c>
    </row>
    <row r="1260" spans="1:39" ht="15.75" outlineLevel="1">
      <c r="A1260" s="412"/>
      <c r="B1260" s="10">
        <v>129625</v>
      </c>
      <c r="C1260" s="218" t="s">
        <v>1489</v>
      </c>
      <c r="D1260" s="218" t="s">
        <v>1490</v>
      </c>
      <c r="E1260" s="23" t="s">
        <v>44</v>
      </c>
      <c r="F1260" s="17" t="s">
        <v>45</v>
      </c>
      <c r="G1260" s="11" t="s">
        <v>1432</v>
      </c>
      <c r="H1260" s="12">
        <v>25</v>
      </c>
      <c r="I1260" s="11" t="s">
        <v>1433</v>
      </c>
      <c r="J1260" s="193" t="s">
        <v>1450</v>
      </c>
      <c r="K1260" s="17" t="s">
        <v>233</v>
      </c>
      <c r="L1260" s="17" t="s">
        <v>233</v>
      </c>
      <c r="M1260" s="231">
        <v>2287</v>
      </c>
      <c r="N1260" s="232">
        <v>2259.2358199999999</v>
      </c>
      <c r="O1260" s="132">
        <v>449</v>
      </c>
      <c r="P1260" s="231" t="s">
        <v>239</v>
      </c>
      <c r="Q1260" s="232">
        <v>449</v>
      </c>
      <c r="R1260" s="231" t="s">
        <v>239</v>
      </c>
      <c r="S1260" s="232">
        <v>505</v>
      </c>
      <c r="T1260" s="231" t="s">
        <v>239</v>
      </c>
      <c r="U1260" s="232">
        <v>461</v>
      </c>
      <c r="V1260" s="231" t="s">
        <v>239</v>
      </c>
      <c r="W1260" s="232">
        <v>408</v>
      </c>
      <c r="X1260" s="231" t="s">
        <v>239</v>
      </c>
      <c r="Y1260" s="232">
        <v>408</v>
      </c>
      <c r="Z1260" s="231" t="s">
        <v>239</v>
      </c>
      <c r="AA1260" s="232">
        <v>456</v>
      </c>
      <c r="AB1260" s="231" t="s">
        <v>239</v>
      </c>
      <c r="AC1260" s="232">
        <v>365</v>
      </c>
      <c r="AD1260" s="231" t="s">
        <v>239</v>
      </c>
      <c r="AE1260" s="232">
        <v>379</v>
      </c>
      <c r="AF1260" s="231" t="s">
        <v>239</v>
      </c>
      <c r="AG1260" s="232">
        <v>454</v>
      </c>
      <c r="AH1260" s="231" t="s">
        <v>239</v>
      </c>
      <c r="AI1260" s="232">
        <v>499</v>
      </c>
      <c r="AJ1260" s="231" t="s">
        <v>239</v>
      </c>
      <c r="AK1260" s="232">
        <v>466</v>
      </c>
      <c r="AL1260" s="232" t="s">
        <v>239</v>
      </c>
      <c r="AM1260" s="232">
        <v>5299</v>
      </c>
    </row>
    <row r="1261" spans="1:39" ht="15.75" outlineLevel="1">
      <c r="A1261" s="411">
        <v>626</v>
      </c>
      <c r="B1261" s="10">
        <v>129626</v>
      </c>
      <c r="C1261" s="218" t="s">
        <v>1489</v>
      </c>
      <c r="D1261" s="218" t="s">
        <v>1490</v>
      </c>
      <c r="E1261" s="23" t="s">
        <v>138</v>
      </c>
      <c r="F1261" s="17" t="s">
        <v>45</v>
      </c>
      <c r="G1261" s="11" t="s">
        <v>1432</v>
      </c>
      <c r="H1261" s="12">
        <v>9</v>
      </c>
      <c r="I1261" s="11" t="s">
        <v>1433</v>
      </c>
      <c r="J1261" s="193" t="s">
        <v>1451</v>
      </c>
      <c r="K1261" s="17" t="s">
        <v>233</v>
      </c>
      <c r="L1261" s="17" t="s">
        <v>233</v>
      </c>
      <c r="M1261" s="231">
        <v>20</v>
      </c>
      <c r="N1261" s="231">
        <v>20</v>
      </c>
      <c r="O1261" s="231">
        <v>20</v>
      </c>
      <c r="P1261" s="231" t="s">
        <v>239</v>
      </c>
      <c r="Q1261" s="231">
        <v>20</v>
      </c>
      <c r="R1261" s="231" t="s">
        <v>239</v>
      </c>
      <c r="S1261" s="231">
        <v>20</v>
      </c>
      <c r="T1261" s="231" t="s">
        <v>239</v>
      </c>
      <c r="U1261" s="231">
        <v>20</v>
      </c>
      <c r="V1261" s="230" t="s">
        <v>239</v>
      </c>
      <c r="W1261" s="231">
        <v>20</v>
      </c>
      <c r="X1261" s="231" t="s">
        <v>239</v>
      </c>
      <c r="Y1261" s="231">
        <v>20</v>
      </c>
      <c r="Z1261" s="231" t="s">
        <v>239</v>
      </c>
      <c r="AA1261" s="231">
        <v>20</v>
      </c>
      <c r="AB1261" s="231" t="s">
        <v>239</v>
      </c>
      <c r="AC1261" s="231">
        <v>20</v>
      </c>
      <c r="AD1261" s="231" t="s">
        <v>239</v>
      </c>
      <c r="AE1261" s="231">
        <v>20</v>
      </c>
      <c r="AF1261" s="231" t="s">
        <v>239</v>
      </c>
      <c r="AG1261" s="231">
        <v>20</v>
      </c>
      <c r="AH1261" s="231" t="s">
        <v>239</v>
      </c>
      <c r="AI1261" s="231">
        <v>20</v>
      </c>
      <c r="AJ1261" s="231" t="s">
        <v>239</v>
      </c>
      <c r="AK1261" s="231">
        <v>20</v>
      </c>
      <c r="AL1261" s="232" t="s">
        <v>239</v>
      </c>
      <c r="AM1261" s="232">
        <v>0</v>
      </c>
    </row>
    <row r="1262" spans="1:39" ht="15.75" outlineLevel="1">
      <c r="A1262" s="412"/>
      <c r="B1262" s="10">
        <v>129626</v>
      </c>
      <c r="C1262" s="218" t="s">
        <v>1489</v>
      </c>
      <c r="D1262" s="218" t="s">
        <v>1490</v>
      </c>
      <c r="E1262" s="23" t="s">
        <v>44</v>
      </c>
      <c r="F1262" s="17" t="s">
        <v>45</v>
      </c>
      <c r="G1262" s="11" t="s">
        <v>1432</v>
      </c>
      <c r="H1262" s="12">
        <v>24</v>
      </c>
      <c r="I1262" s="11" t="s">
        <v>1433</v>
      </c>
      <c r="J1262" s="193" t="s">
        <v>208</v>
      </c>
      <c r="K1262" s="17" t="s">
        <v>233</v>
      </c>
      <c r="L1262" s="17" t="s">
        <v>233</v>
      </c>
      <c r="M1262" s="231">
        <v>4200</v>
      </c>
      <c r="N1262" s="232">
        <v>4149.0119999999997</v>
      </c>
      <c r="O1262" s="132">
        <v>706</v>
      </c>
      <c r="P1262" s="231" t="s">
        <v>239</v>
      </c>
      <c r="Q1262" s="232">
        <v>706</v>
      </c>
      <c r="R1262" s="231" t="s">
        <v>239</v>
      </c>
      <c r="S1262" s="232">
        <v>692</v>
      </c>
      <c r="T1262" s="231" t="s">
        <v>239</v>
      </c>
      <c r="U1262" s="232">
        <v>745</v>
      </c>
      <c r="V1262" s="231" t="s">
        <v>239</v>
      </c>
      <c r="W1262" s="232">
        <v>827</v>
      </c>
      <c r="X1262" s="231" t="s">
        <v>239</v>
      </c>
      <c r="Y1262" s="232">
        <v>748</v>
      </c>
      <c r="Z1262" s="231" t="s">
        <v>239</v>
      </c>
      <c r="AA1262" s="232">
        <v>802</v>
      </c>
      <c r="AB1262" s="231" t="s">
        <v>239</v>
      </c>
      <c r="AC1262" s="232">
        <v>782</v>
      </c>
      <c r="AD1262" s="231" t="s">
        <v>239</v>
      </c>
      <c r="AE1262" s="232">
        <v>767</v>
      </c>
      <c r="AF1262" s="231" t="s">
        <v>239</v>
      </c>
      <c r="AG1262" s="232">
        <v>755</v>
      </c>
      <c r="AH1262" s="231" t="s">
        <v>239</v>
      </c>
      <c r="AI1262" s="232">
        <v>774</v>
      </c>
      <c r="AJ1262" s="231" t="s">
        <v>239</v>
      </c>
      <c r="AK1262" s="232">
        <v>751</v>
      </c>
      <c r="AL1262" s="232" t="s">
        <v>239</v>
      </c>
      <c r="AM1262" s="232">
        <v>9055</v>
      </c>
    </row>
    <row r="1263" spans="1:39" ht="15.75" outlineLevel="1">
      <c r="A1263" s="411">
        <v>627</v>
      </c>
      <c r="B1263" s="10">
        <v>129627</v>
      </c>
      <c r="C1263" s="218" t="s">
        <v>1489</v>
      </c>
      <c r="D1263" s="218" t="s">
        <v>1490</v>
      </c>
      <c r="E1263" s="23" t="s">
        <v>44</v>
      </c>
      <c r="F1263" s="17" t="s">
        <v>45</v>
      </c>
      <c r="G1263" s="11" t="s">
        <v>1432</v>
      </c>
      <c r="H1263" s="12">
        <v>36</v>
      </c>
      <c r="I1263" s="11" t="s">
        <v>1433</v>
      </c>
      <c r="J1263" s="193" t="s">
        <v>1451</v>
      </c>
      <c r="K1263" s="17" t="s">
        <v>233</v>
      </c>
      <c r="L1263" s="17" t="s">
        <v>233</v>
      </c>
      <c r="M1263" s="231">
        <v>50</v>
      </c>
      <c r="N1263" s="231">
        <v>50</v>
      </c>
      <c r="O1263" s="231">
        <v>50</v>
      </c>
      <c r="P1263" s="231" t="s">
        <v>239</v>
      </c>
      <c r="Q1263" s="231">
        <v>50</v>
      </c>
      <c r="R1263" s="231" t="s">
        <v>239</v>
      </c>
      <c r="S1263" s="231">
        <v>50</v>
      </c>
      <c r="T1263" s="231" t="s">
        <v>239</v>
      </c>
      <c r="U1263" s="231">
        <v>50</v>
      </c>
      <c r="V1263" s="231" t="s">
        <v>239</v>
      </c>
      <c r="W1263" s="231">
        <v>50</v>
      </c>
      <c r="X1263" s="231" t="s">
        <v>239</v>
      </c>
      <c r="Y1263" s="231">
        <v>50</v>
      </c>
      <c r="Z1263" s="231" t="s">
        <v>239</v>
      </c>
      <c r="AA1263" s="231">
        <v>50</v>
      </c>
      <c r="AB1263" s="231" t="s">
        <v>239</v>
      </c>
      <c r="AC1263" s="231">
        <v>50</v>
      </c>
      <c r="AD1263" s="231" t="s">
        <v>239</v>
      </c>
      <c r="AE1263" s="231">
        <v>50</v>
      </c>
      <c r="AF1263" s="231" t="s">
        <v>239</v>
      </c>
      <c r="AG1263" s="231">
        <v>50</v>
      </c>
      <c r="AH1263" s="231" t="s">
        <v>239</v>
      </c>
      <c r="AI1263" s="231">
        <v>50</v>
      </c>
      <c r="AJ1263" s="231" t="s">
        <v>239</v>
      </c>
      <c r="AK1263" s="231">
        <v>50</v>
      </c>
      <c r="AL1263" s="232" t="s">
        <v>239</v>
      </c>
      <c r="AM1263" s="232">
        <v>0</v>
      </c>
    </row>
    <row r="1264" spans="1:39" ht="15.75" outlineLevel="1">
      <c r="A1264" s="412"/>
      <c r="B1264" s="10">
        <v>129627</v>
      </c>
      <c r="C1264" s="218" t="s">
        <v>1489</v>
      </c>
      <c r="D1264" s="218" t="s">
        <v>1490</v>
      </c>
      <c r="E1264" s="23" t="s">
        <v>138</v>
      </c>
      <c r="F1264" s="17" t="s">
        <v>45</v>
      </c>
      <c r="G1264" s="11" t="s">
        <v>1432</v>
      </c>
      <c r="H1264" s="12">
        <v>34</v>
      </c>
      <c r="I1264" s="11" t="s">
        <v>1433</v>
      </c>
      <c r="J1264" s="193" t="s">
        <v>208</v>
      </c>
      <c r="K1264" s="17" t="s">
        <v>233</v>
      </c>
      <c r="L1264" s="17" t="s">
        <v>233</v>
      </c>
      <c r="M1264" s="231">
        <v>6643</v>
      </c>
      <c r="N1264" s="232">
        <v>6562.3539799999999</v>
      </c>
      <c r="O1264" s="132">
        <v>652</v>
      </c>
      <c r="P1264" s="231" t="s">
        <v>239</v>
      </c>
      <c r="Q1264" s="232">
        <v>652</v>
      </c>
      <c r="R1264" s="231" t="s">
        <v>239</v>
      </c>
      <c r="S1264" s="232">
        <v>689</v>
      </c>
      <c r="T1264" s="231" t="s">
        <v>239</v>
      </c>
      <c r="U1264" s="232">
        <v>1026</v>
      </c>
      <c r="V1264" s="230" t="s">
        <v>239</v>
      </c>
      <c r="W1264" s="232">
        <v>657</v>
      </c>
      <c r="X1264" s="231" t="s">
        <v>239</v>
      </c>
      <c r="Y1264" s="232">
        <v>829</v>
      </c>
      <c r="Z1264" s="231" t="s">
        <v>239</v>
      </c>
      <c r="AA1264" s="232">
        <v>966</v>
      </c>
      <c r="AB1264" s="231" t="s">
        <v>239</v>
      </c>
      <c r="AC1264" s="232">
        <v>782</v>
      </c>
      <c r="AD1264" s="231" t="s">
        <v>239</v>
      </c>
      <c r="AE1264" s="232">
        <v>604</v>
      </c>
      <c r="AF1264" s="231" t="s">
        <v>239</v>
      </c>
      <c r="AG1264" s="232">
        <v>657</v>
      </c>
      <c r="AH1264" s="231" t="s">
        <v>239</v>
      </c>
      <c r="AI1264" s="232">
        <v>697</v>
      </c>
      <c r="AJ1264" s="231" t="s">
        <v>239</v>
      </c>
      <c r="AK1264" s="232">
        <v>662</v>
      </c>
      <c r="AL1264" s="232" t="s">
        <v>239</v>
      </c>
      <c r="AM1264" s="232">
        <v>8873</v>
      </c>
    </row>
    <row r="1265" spans="1:39" ht="15.75" outlineLevel="1">
      <c r="A1265" s="411">
        <v>628</v>
      </c>
      <c r="B1265" s="10">
        <v>129628</v>
      </c>
      <c r="C1265" s="218" t="s">
        <v>1489</v>
      </c>
      <c r="D1265" s="218" t="s">
        <v>1490</v>
      </c>
      <c r="E1265" s="23" t="s">
        <v>44</v>
      </c>
      <c r="F1265" s="17" t="s">
        <v>45</v>
      </c>
      <c r="G1265" s="11" t="s">
        <v>1432</v>
      </c>
      <c r="H1265" s="12">
        <v>7</v>
      </c>
      <c r="I1265" s="11" t="s">
        <v>1433</v>
      </c>
      <c r="J1265" s="193" t="s">
        <v>1452</v>
      </c>
      <c r="K1265" s="17" t="s">
        <v>233</v>
      </c>
      <c r="L1265" s="17" t="s">
        <v>233</v>
      </c>
      <c r="M1265" s="231">
        <v>0.7</v>
      </c>
      <c r="N1265" s="231">
        <v>0.7</v>
      </c>
      <c r="O1265" s="231">
        <v>0.7</v>
      </c>
      <c r="P1265" s="231" t="s">
        <v>239</v>
      </c>
      <c r="Q1265" s="231">
        <v>0.7</v>
      </c>
      <c r="R1265" s="231" t="s">
        <v>239</v>
      </c>
      <c r="S1265" s="231">
        <v>0.7</v>
      </c>
      <c r="T1265" s="231" t="s">
        <v>239</v>
      </c>
      <c r="U1265" s="231">
        <v>0.7</v>
      </c>
      <c r="V1265" s="231" t="s">
        <v>239</v>
      </c>
      <c r="W1265" s="231">
        <v>0.7</v>
      </c>
      <c r="X1265" s="231" t="s">
        <v>239</v>
      </c>
      <c r="Y1265" s="231">
        <v>0.7</v>
      </c>
      <c r="Z1265" s="231" t="s">
        <v>239</v>
      </c>
      <c r="AA1265" s="231">
        <v>0.7</v>
      </c>
      <c r="AB1265" s="231" t="s">
        <v>239</v>
      </c>
      <c r="AC1265" s="231">
        <v>0.7</v>
      </c>
      <c r="AD1265" s="231" t="s">
        <v>239</v>
      </c>
      <c r="AE1265" s="231">
        <v>0.7</v>
      </c>
      <c r="AF1265" s="231" t="s">
        <v>239</v>
      </c>
      <c r="AG1265" s="231">
        <v>0.7</v>
      </c>
      <c r="AH1265" s="231" t="s">
        <v>239</v>
      </c>
      <c r="AI1265" s="231">
        <v>0.7</v>
      </c>
      <c r="AJ1265" s="231" t="s">
        <v>239</v>
      </c>
      <c r="AK1265" s="231">
        <v>0.7</v>
      </c>
      <c r="AL1265" s="232" t="s">
        <v>239</v>
      </c>
      <c r="AM1265" s="232">
        <v>0</v>
      </c>
    </row>
    <row r="1266" spans="1:39" ht="15.75" outlineLevel="1">
      <c r="A1266" s="412"/>
      <c r="B1266" s="10">
        <v>129628</v>
      </c>
      <c r="C1266" s="218" t="s">
        <v>1489</v>
      </c>
      <c r="D1266" s="218" t="s">
        <v>1490</v>
      </c>
      <c r="E1266" s="23" t="s">
        <v>138</v>
      </c>
      <c r="F1266" s="17" t="s">
        <v>45</v>
      </c>
      <c r="G1266" s="11" t="s">
        <v>1432</v>
      </c>
      <c r="H1266" s="12">
        <v>5</v>
      </c>
      <c r="I1266" s="11" t="s">
        <v>1433</v>
      </c>
      <c r="J1266" s="193" t="s">
        <v>216</v>
      </c>
      <c r="K1266" s="17" t="s">
        <v>233</v>
      </c>
      <c r="L1266" s="17" t="s">
        <v>233</v>
      </c>
      <c r="M1266" s="231">
        <v>5111</v>
      </c>
      <c r="N1266" s="232">
        <v>5048.9524599999995</v>
      </c>
      <c r="O1266" s="132">
        <v>364</v>
      </c>
      <c r="P1266" s="231" t="s">
        <v>239</v>
      </c>
      <c r="Q1266" s="232">
        <v>364</v>
      </c>
      <c r="R1266" s="231" t="s">
        <v>239</v>
      </c>
      <c r="S1266" s="232">
        <v>375</v>
      </c>
      <c r="T1266" s="231" t="s">
        <v>239</v>
      </c>
      <c r="U1266" s="232">
        <v>352</v>
      </c>
      <c r="V1266" s="231" t="s">
        <v>239</v>
      </c>
      <c r="W1266" s="232">
        <v>329</v>
      </c>
      <c r="X1266" s="231" t="s">
        <v>239</v>
      </c>
      <c r="Y1266" s="232">
        <v>455</v>
      </c>
      <c r="Z1266" s="231" t="s">
        <v>239</v>
      </c>
      <c r="AA1266" s="232">
        <v>387</v>
      </c>
      <c r="AB1266" s="231" t="s">
        <v>239</v>
      </c>
      <c r="AC1266" s="232">
        <v>354</v>
      </c>
      <c r="AD1266" s="231" t="s">
        <v>239</v>
      </c>
      <c r="AE1266" s="232">
        <v>353</v>
      </c>
      <c r="AF1266" s="231" t="s">
        <v>239</v>
      </c>
      <c r="AG1266" s="232">
        <v>350</v>
      </c>
      <c r="AH1266" s="231" t="s">
        <v>239</v>
      </c>
      <c r="AI1266" s="232">
        <v>404</v>
      </c>
      <c r="AJ1266" s="231" t="s">
        <v>239</v>
      </c>
      <c r="AK1266" s="232">
        <v>535</v>
      </c>
      <c r="AL1266" s="232" t="s">
        <v>239</v>
      </c>
      <c r="AM1266" s="232">
        <v>4622</v>
      </c>
    </row>
    <row r="1267" spans="1:39" ht="15.75" outlineLevel="1">
      <c r="A1267" s="411">
        <v>629</v>
      </c>
      <c r="B1267" s="10">
        <v>129629</v>
      </c>
      <c r="C1267" s="218" t="s">
        <v>1489</v>
      </c>
      <c r="D1267" s="218" t="s">
        <v>1490</v>
      </c>
      <c r="E1267" s="23" t="s">
        <v>44</v>
      </c>
      <c r="F1267" s="17" t="s">
        <v>45</v>
      </c>
      <c r="G1267" s="11" t="s">
        <v>1432</v>
      </c>
      <c r="H1267" s="12">
        <v>24</v>
      </c>
      <c r="I1267" s="11" t="s">
        <v>1433</v>
      </c>
      <c r="J1267" s="193" t="s">
        <v>1453</v>
      </c>
      <c r="K1267" s="17" t="s">
        <v>233</v>
      </c>
      <c r="L1267" s="17" t="s">
        <v>233</v>
      </c>
      <c r="M1267" s="231">
        <v>3</v>
      </c>
      <c r="N1267" s="231">
        <v>3</v>
      </c>
      <c r="O1267" s="231">
        <v>3</v>
      </c>
      <c r="P1267" s="231" t="s">
        <v>239</v>
      </c>
      <c r="Q1267" s="231">
        <v>3</v>
      </c>
      <c r="R1267" s="231" t="s">
        <v>239</v>
      </c>
      <c r="S1267" s="231">
        <v>3</v>
      </c>
      <c r="T1267" s="231" t="s">
        <v>239</v>
      </c>
      <c r="U1267" s="231">
        <v>3</v>
      </c>
      <c r="V1267" s="230" t="s">
        <v>239</v>
      </c>
      <c r="W1267" s="231">
        <v>3</v>
      </c>
      <c r="X1267" s="231" t="s">
        <v>239</v>
      </c>
      <c r="Y1267" s="231">
        <v>3</v>
      </c>
      <c r="Z1267" s="231" t="s">
        <v>239</v>
      </c>
      <c r="AA1267" s="231">
        <v>3</v>
      </c>
      <c r="AB1267" s="231" t="s">
        <v>239</v>
      </c>
      <c r="AC1267" s="231">
        <v>3</v>
      </c>
      <c r="AD1267" s="231" t="s">
        <v>239</v>
      </c>
      <c r="AE1267" s="231">
        <v>3</v>
      </c>
      <c r="AF1267" s="231" t="s">
        <v>239</v>
      </c>
      <c r="AG1267" s="231">
        <v>3</v>
      </c>
      <c r="AH1267" s="231" t="s">
        <v>239</v>
      </c>
      <c r="AI1267" s="231">
        <v>3</v>
      </c>
      <c r="AJ1267" s="231" t="s">
        <v>239</v>
      </c>
      <c r="AK1267" s="231">
        <v>3</v>
      </c>
      <c r="AL1267" s="232" t="s">
        <v>239</v>
      </c>
      <c r="AM1267" s="232">
        <v>0</v>
      </c>
    </row>
    <row r="1268" spans="1:39" ht="15.75" outlineLevel="1">
      <c r="A1268" s="412"/>
      <c r="B1268" s="10">
        <v>129629</v>
      </c>
      <c r="C1268" s="218" t="s">
        <v>1489</v>
      </c>
      <c r="D1268" s="218" t="s">
        <v>1490</v>
      </c>
      <c r="E1268" s="23" t="s">
        <v>44</v>
      </c>
      <c r="F1268" s="17" t="s">
        <v>45</v>
      </c>
      <c r="G1268" s="11" t="s">
        <v>1432</v>
      </c>
      <c r="H1268" s="12">
        <v>36</v>
      </c>
      <c r="I1268" s="11" t="s">
        <v>1433</v>
      </c>
      <c r="J1268" s="193" t="s">
        <v>1454</v>
      </c>
      <c r="K1268" s="17" t="s">
        <v>233</v>
      </c>
      <c r="L1268" s="17" t="s">
        <v>233</v>
      </c>
      <c r="M1268" s="231">
        <v>11334</v>
      </c>
      <c r="N1268" s="232">
        <v>11196.40524</v>
      </c>
      <c r="O1268" s="132">
        <v>1385</v>
      </c>
      <c r="P1268" s="231" t="s">
        <v>239</v>
      </c>
      <c r="Q1268" s="232">
        <v>1385</v>
      </c>
      <c r="R1268" s="231" t="s">
        <v>239</v>
      </c>
      <c r="S1268" s="232">
        <v>1396</v>
      </c>
      <c r="T1268" s="231" t="s">
        <v>239</v>
      </c>
      <c r="U1268" s="232">
        <v>1376</v>
      </c>
      <c r="V1268" s="231" t="s">
        <v>239</v>
      </c>
      <c r="W1268" s="232">
        <v>1348</v>
      </c>
      <c r="X1268" s="231" t="s">
        <v>239</v>
      </c>
      <c r="Y1268" s="232">
        <v>1118</v>
      </c>
      <c r="Z1268" s="231" t="s">
        <v>239</v>
      </c>
      <c r="AA1268" s="232">
        <v>1373</v>
      </c>
      <c r="AB1268" s="231" t="s">
        <v>239</v>
      </c>
      <c r="AC1268" s="232">
        <v>1268</v>
      </c>
      <c r="AD1268" s="231" t="s">
        <v>239</v>
      </c>
      <c r="AE1268" s="232">
        <v>954</v>
      </c>
      <c r="AF1268" s="231" t="s">
        <v>239</v>
      </c>
      <c r="AG1268" s="232">
        <v>906</v>
      </c>
      <c r="AH1268" s="231" t="s">
        <v>239</v>
      </c>
      <c r="AI1268" s="232">
        <v>1141</v>
      </c>
      <c r="AJ1268" s="231" t="s">
        <v>239</v>
      </c>
      <c r="AK1268" s="232">
        <v>1360</v>
      </c>
      <c r="AL1268" s="232" t="s">
        <v>239</v>
      </c>
      <c r="AM1268" s="232">
        <v>15010</v>
      </c>
    </row>
    <row r="1269" spans="1:39" ht="15.75" outlineLevel="1">
      <c r="A1269" s="411">
        <v>630</v>
      </c>
      <c r="B1269" s="10">
        <v>129630</v>
      </c>
      <c r="C1269" s="218" t="s">
        <v>1489</v>
      </c>
      <c r="D1269" s="218" t="s">
        <v>1490</v>
      </c>
      <c r="E1269" s="23" t="s">
        <v>138</v>
      </c>
      <c r="F1269" s="17" t="s">
        <v>45</v>
      </c>
      <c r="G1269" s="11" t="s">
        <v>1432</v>
      </c>
      <c r="H1269" s="12">
        <v>34</v>
      </c>
      <c r="I1269" s="11" t="s">
        <v>1433</v>
      </c>
      <c r="J1269" s="191" t="s">
        <v>216</v>
      </c>
      <c r="K1269" s="17" t="s">
        <v>233</v>
      </c>
      <c r="L1269" s="17" t="s">
        <v>233</v>
      </c>
      <c r="M1269" s="231">
        <v>3</v>
      </c>
      <c r="N1269" s="231">
        <v>3</v>
      </c>
      <c r="O1269" s="231">
        <v>3</v>
      </c>
      <c r="P1269" s="231" t="s">
        <v>239</v>
      </c>
      <c r="Q1269" s="231">
        <v>3</v>
      </c>
      <c r="R1269" s="231" t="s">
        <v>239</v>
      </c>
      <c r="S1269" s="231">
        <v>3</v>
      </c>
      <c r="T1269" s="231" t="s">
        <v>239</v>
      </c>
      <c r="U1269" s="231">
        <v>3</v>
      </c>
      <c r="V1269" s="231" t="s">
        <v>239</v>
      </c>
      <c r="W1269" s="231">
        <v>3</v>
      </c>
      <c r="X1269" s="231" t="s">
        <v>239</v>
      </c>
      <c r="Y1269" s="231">
        <v>3</v>
      </c>
      <c r="Z1269" s="231" t="s">
        <v>239</v>
      </c>
      <c r="AA1269" s="231">
        <v>3</v>
      </c>
      <c r="AB1269" s="231" t="s">
        <v>239</v>
      </c>
      <c r="AC1269" s="231">
        <v>3</v>
      </c>
      <c r="AD1269" s="231" t="s">
        <v>239</v>
      </c>
      <c r="AE1269" s="231">
        <v>3</v>
      </c>
      <c r="AF1269" s="231" t="s">
        <v>239</v>
      </c>
      <c r="AG1269" s="231">
        <v>3</v>
      </c>
      <c r="AH1269" s="231" t="s">
        <v>239</v>
      </c>
      <c r="AI1269" s="231">
        <v>3</v>
      </c>
      <c r="AJ1269" s="231" t="s">
        <v>239</v>
      </c>
      <c r="AK1269" s="231">
        <v>3</v>
      </c>
      <c r="AL1269" s="232" t="s">
        <v>239</v>
      </c>
      <c r="AM1269" s="232">
        <v>0</v>
      </c>
    </row>
    <row r="1270" spans="1:39" ht="15.75" outlineLevel="1">
      <c r="A1270" s="412"/>
      <c r="B1270" s="10">
        <v>129630</v>
      </c>
      <c r="C1270" s="218" t="s">
        <v>1489</v>
      </c>
      <c r="D1270" s="218" t="s">
        <v>1490</v>
      </c>
      <c r="E1270" s="23" t="s">
        <v>44</v>
      </c>
      <c r="F1270" s="17" t="s">
        <v>45</v>
      </c>
      <c r="G1270" s="11" t="s">
        <v>1432</v>
      </c>
      <c r="H1270" s="12">
        <v>7</v>
      </c>
      <c r="I1270" s="11" t="s">
        <v>1433</v>
      </c>
      <c r="J1270" s="192" t="s">
        <v>1434</v>
      </c>
      <c r="K1270" s="17" t="s">
        <v>233</v>
      </c>
      <c r="L1270" s="17" t="s">
        <v>233</v>
      </c>
      <c r="M1270" s="231">
        <v>0</v>
      </c>
      <c r="N1270" s="232">
        <v>0</v>
      </c>
      <c r="O1270" s="132">
        <v>0</v>
      </c>
      <c r="P1270" s="231" t="s">
        <v>239</v>
      </c>
      <c r="Q1270" s="232">
        <v>0</v>
      </c>
      <c r="R1270" s="231" t="s">
        <v>239</v>
      </c>
      <c r="S1270" s="232">
        <v>0</v>
      </c>
      <c r="T1270" s="231" t="s">
        <v>239</v>
      </c>
      <c r="U1270" s="232">
        <v>0</v>
      </c>
      <c r="V1270" s="230" t="s">
        <v>239</v>
      </c>
      <c r="W1270" s="232">
        <v>0</v>
      </c>
      <c r="X1270" s="231" t="s">
        <v>239</v>
      </c>
      <c r="Y1270" s="232">
        <v>0</v>
      </c>
      <c r="Z1270" s="231" t="s">
        <v>239</v>
      </c>
      <c r="AA1270" s="232">
        <v>0</v>
      </c>
      <c r="AB1270" s="231" t="s">
        <v>239</v>
      </c>
      <c r="AC1270" s="232">
        <v>0</v>
      </c>
      <c r="AD1270" s="231" t="s">
        <v>239</v>
      </c>
      <c r="AE1270" s="232">
        <v>0</v>
      </c>
      <c r="AF1270" s="231" t="s">
        <v>239</v>
      </c>
      <c r="AG1270" s="232">
        <v>0</v>
      </c>
      <c r="AH1270" s="231" t="s">
        <v>239</v>
      </c>
      <c r="AI1270" s="232">
        <v>0</v>
      </c>
      <c r="AJ1270" s="231" t="s">
        <v>239</v>
      </c>
      <c r="AK1270" s="232">
        <v>0</v>
      </c>
      <c r="AL1270" s="232" t="s">
        <v>239</v>
      </c>
      <c r="AM1270" s="232">
        <v>0</v>
      </c>
    </row>
    <row r="1271" spans="1:39" ht="15.75" outlineLevel="1">
      <c r="A1271" s="411">
        <v>631</v>
      </c>
      <c r="B1271" s="10">
        <v>129631</v>
      </c>
      <c r="C1271" s="218" t="s">
        <v>1489</v>
      </c>
      <c r="D1271" s="218" t="s">
        <v>1490</v>
      </c>
      <c r="E1271" s="23" t="s">
        <v>138</v>
      </c>
      <c r="F1271" s="17" t="s">
        <v>45</v>
      </c>
      <c r="G1271" s="11" t="s">
        <v>1432</v>
      </c>
      <c r="H1271" s="12">
        <v>18</v>
      </c>
      <c r="I1271" s="11" t="s">
        <v>1433</v>
      </c>
      <c r="J1271" s="192" t="s">
        <v>1480</v>
      </c>
      <c r="K1271" s="17" t="s">
        <v>233</v>
      </c>
      <c r="L1271" s="17" t="s">
        <v>233</v>
      </c>
      <c r="M1271" s="231">
        <v>3</v>
      </c>
      <c r="N1271" s="231">
        <v>3</v>
      </c>
      <c r="O1271" s="231">
        <v>3</v>
      </c>
      <c r="P1271" s="231" t="s">
        <v>239</v>
      </c>
      <c r="Q1271" s="231">
        <v>3</v>
      </c>
      <c r="R1271" s="231" t="s">
        <v>239</v>
      </c>
      <c r="S1271" s="231">
        <v>3</v>
      </c>
      <c r="T1271" s="231" t="s">
        <v>239</v>
      </c>
      <c r="U1271" s="231">
        <v>3</v>
      </c>
      <c r="V1271" s="231" t="s">
        <v>239</v>
      </c>
      <c r="W1271" s="231">
        <v>3</v>
      </c>
      <c r="X1271" s="231" t="s">
        <v>239</v>
      </c>
      <c r="Y1271" s="231">
        <v>3</v>
      </c>
      <c r="Z1271" s="231" t="s">
        <v>239</v>
      </c>
      <c r="AA1271" s="231">
        <v>3</v>
      </c>
      <c r="AB1271" s="231" t="s">
        <v>239</v>
      </c>
      <c r="AC1271" s="231">
        <v>3</v>
      </c>
      <c r="AD1271" s="231" t="s">
        <v>239</v>
      </c>
      <c r="AE1271" s="231">
        <v>3</v>
      </c>
      <c r="AF1271" s="231" t="s">
        <v>239</v>
      </c>
      <c r="AG1271" s="231">
        <v>3</v>
      </c>
      <c r="AH1271" s="231" t="s">
        <v>239</v>
      </c>
      <c r="AI1271" s="231">
        <v>3</v>
      </c>
      <c r="AJ1271" s="231" t="s">
        <v>239</v>
      </c>
      <c r="AK1271" s="231">
        <v>3</v>
      </c>
      <c r="AL1271" s="232" t="s">
        <v>239</v>
      </c>
      <c r="AM1271" s="232">
        <v>0</v>
      </c>
    </row>
    <row r="1272" spans="1:39" ht="15.75" outlineLevel="1">
      <c r="A1272" s="412"/>
      <c r="B1272" s="10">
        <v>129631</v>
      </c>
      <c r="C1272" s="218" t="s">
        <v>1489</v>
      </c>
      <c r="D1272" s="218" t="s">
        <v>1490</v>
      </c>
      <c r="E1272" s="23" t="s">
        <v>44</v>
      </c>
      <c r="F1272" s="17" t="s">
        <v>45</v>
      </c>
      <c r="G1272" s="11" t="s">
        <v>1432</v>
      </c>
      <c r="H1272" s="12">
        <v>25</v>
      </c>
      <c r="I1272" s="11" t="s">
        <v>1433</v>
      </c>
      <c r="J1272" s="192" t="s">
        <v>1452</v>
      </c>
      <c r="K1272" s="17" t="s">
        <v>233</v>
      </c>
      <c r="L1272" s="17" t="s">
        <v>233</v>
      </c>
      <c r="M1272" s="231">
        <v>0</v>
      </c>
      <c r="N1272" s="232">
        <v>0</v>
      </c>
      <c r="O1272" s="132">
        <v>0</v>
      </c>
      <c r="P1272" s="231" t="s">
        <v>239</v>
      </c>
      <c r="Q1272" s="232">
        <v>0</v>
      </c>
      <c r="R1272" s="231" t="s">
        <v>239</v>
      </c>
      <c r="S1272" s="232">
        <v>0</v>
      </c>
      <c r="T1272" s="231" t="s">
        <v>239</v>
      </c>
      <c r="U1272" s="232">
        <v>0</v>
      </c>
      <c r="V1272" s="231" t="s">
        <v>239</v>
      </c>
      <c r="W1272" s="232">
        <v>0</v>
      </c>
      <c r="X1272" s="231" t="s">
        <v>239</v>
      </c>
      <c r="Y1272" s="232">
        <v>0</v>
      </c>
      <c r="Z1272" s="231" t="s">
        <v>239</v>
      </c>
      <c r="AA1272" s="232">
        <v>0</v>
      </c>
      <c r="AB1272" s="231" t="s">
        <v>239</v>
      </c>
      <c r="AC1272" s="232">
        <v>0</v>
      </c>
      <c r="AD1272" s="231" t="s">
        <v>239</v>
      </c>
      <c r="AE1272" s="232">
        <v>0</v>
      </c>
      <c r="AF1272" s="231" t="s">
        <v>239</v>
      </c>
      <c r="AG1272" s="232">
        <v>0</v>
      </c>
      <c r="AH1272" s="231" t="s">
        <v>239</v>
      </c>
      <c r="AI1272" s="232">
        <v>0</v>
      </c>
      <c r="AJ1272" s="231" t="s">
        <v>239</v>
      </c>
      <c r="AK1272" s="232">
        <v>0</v>
      </c>
      <c r="AL1272" s="232" t="s">
        <v>239</v>
      </c>
      <c r="AM1272" s="232">
        <v>0</v>
      </c>
    </row>
    <row r="1273" spans="1:39" ht="15.75" outlineLevel="1">
      <c r="A1273" s="411">
        <v>632</v>
      </c>
      <c r="B1273" s="10">
        <v>129632</v>
      </c>
      <c r="C1273" s="218" t="s">
        <v>1489</v>
      </c>
      <c r="D1273" s="218" t="s">
        <v>1490</v>
      </c>
      <c r="E1273" s="23" t="s">
        <v>138</v>
      </c>
      <c r="F1273" s="17" t="s">
        <v>45</v>
      </c>
      <c r="G1273" s="11" t="s">
        <v>1432</v>
      </c>
      <c r="H1273" s="12">
        <v>24</v>
      </c>
      <c r="I1273" s="11" t="s">
        <v>1433</v>
      </c>
      <c r="J1273" s="193" t="s">
        <v>1451</v>
      </c>
      <c r="K1273" s="17" t="s">
        <v>233</v>
      </c>
      <c r="L1273" s="17" t="s">
        <v>233</v>
      </c>
      <c r="M1273" s="231">
        <v>3</v>
      </c>
      <c r="N1273" s="231">
        <v>3</v>
      </c>
      <c r="O1273" s="231">
        <v>3</v>
      </c>
      <c r="P1273" s="231" t="s">
        <v>239</v>
      </c>
      <c r="Q1273" s="231">
        <v>3</v>
      </c>
      <c r="R1273" s="231" t="s">
        <v>239</v>
      </c>
      <c r="S1273" s="231">
        <v>3</v>
      </c>
      <c r="T1273" s="231" t="s">
        <v>239</v>
      </c>
      <c r="U1273" s="231">
        <v>3</v>
      </c>
      <c r="V1273" s="230" t="s">
        <v>239</v>
      </c>
      <c r="W1273" s="231">
        <v>3</v>
      </c>
      <c r="X1273" s="231" t="s">
        <v>239</v>
      </c>
      <c r="Y1273" s="231">
        <v>3</v>
      </c>
      <c r="Z1273" s="231" t="s">
        <v>239</v>
      </c>
      <c r="AA1273" s="231">
        <v>3</v>
      </c>
      <c r="AB1273" s="231" t="s">
        <v>239</v>
      </c>
      <c r="AC1273" s="231">
        <v>3</v>
      </c>
      <c r="AD1273" s="231" t="s">
        <v>239</v>
      </c>
      <c r="AE1273" s="231">
        <v>3</v>
      </c>
      <c r="AF1273" s="231" t="s">
        <v>239</v>
      </c>
      <c r="AG1273" s="231">
        <v>3</v>
      </c>
      <c r="AH1273" s="231" t="s">
        <v>239</v>
      </c>
      <c r="AI1273" s="231">
        <v>3</v>
      </c>
      <c r="AJ1273" s="231" t="s">
        <v>239</v>
      </c>
      <c r="AK1273" s="231">
        <v>3</v>
      </c>
      <c r="AL1273" s="232" t="s">
        <v>239</v>
      </c>
      <c r="AM1273" s="232">
        <v>0</v>
      </c>
    </row>
    <row r="1274" spans="1:39" ht="15.75" outlineLevel="1">
      <c r="A1274" s="412"/>
      <c r="B1274" s="10">
        <v>129632</v>
      </c>
      <c r="C1274" s="218" t="s">
        <v>1489</v>
      </c>
      <c r="D1274" s="218" t="s">
        <v>1490</v>
      </c>
      <c r="E1274" s="23" t="s">
        <v>44</v>
      </c>
      <c r="F1274" s="17" t="s">
        <v>45</v>
      </c>
      <c r="G1274" s="11" t="s">
        <v>1432</v>
      </c>
      <c r="H1274" s="12">
        <v>23</v>
      </c>
      <c r="I1274" s="11" t="s">
        <v>1433</v>
      </c>
      <c r="J1274" s="193" t="s">
        <v>208</v>
      </c>
      <c r="K1274" s="17" t="s">
        <v>233</v>
      </c>
      <c r="L1274" s="17" t="s">
        <v>233</v>
      </c>
      <c r="M1274" s="231">
        <v>0</v>
      </c>
      <c r="N1274" s="232">
        <v>0</v>
      </c>
      <c r="O1274" s="132">
        <v>0</v>
      </c>
      <c r="P1274" s="231" t="s">
        <v>239</v>
      </c>
      <c r="Q1274" s="232">
        <v>0</v>
      </c>
      <c r="R1274" s="231" t="s">
        <v>239</v>
      </c>
      <c r="S1274" s="232">
        <v>0</v>
      </c>
      <c r="T1274" s="231" t="s">
        <v>239</v>
      </c>
      <c r="U1274" s="232">
        <v>0</v>
      </c>
      <c r="V1274" s="231" t="s">
        <v>239</v>
      </c>
      <c r="W1274" s="232">
        <v>0</v>
      </c>
      <c r="X1274" s="231" t="s">
        <v>239</v>
      </c>
      <c r="Y1274" s="232">
        <v>0</v>
      </c>
      <c r="Z1274" s="231" t="s">
        <v>239</v>
      </c>
      <c r="AA1274" s="232">
        <v>0</v>
      </c>
      <c r="AB1274" s="231" t="s">
        <v>239</v>
      </c>
      <c r="AC1274" s="232">
        <v>0</v>
      </c>
      <c r="AD1274" s="231" t="s">
        <v>239</v>
      </c>
      <c r="AE1274" s="232">
        <v>0</v>
      </c>
      <c r="AF1274" s="231" t="s">
        <v>239</v>
      </c>
      <c r="AG1274" s="232">
        <v>0</v>
      </c>
      <c r="AH1274" s="231" t="s">
        <v>239</v>
      </c>
      <c r="AI1274" s="232">
        <v>0</v>
      </c>
      <c r="AJ1274" s="231" t="s">
        <v>239</v>
      </c>
      <c r="AK1274" s="232">
        <v>0</v>
      </c>
      <c r="AL1274" s="232" t="s">
        <v>239</v>
      </c>
      <c r="AM1274" s="232">
        <v>0</v>
      </c>
    </row>
    <row r="1275" spans="1:39" ht="15.75" outlineLevel="1">
      <c r="A1275" s="411">
        <v>633</v>
      </c>
      <c r="B1275" s="10">
        <v>129633</v>
      </c>
      <c r="C1275" s="218" t="s">
        <v>1489</v>
      </c>
      <c r="D1275" s="218" t="s">
        <v>1490</v>
      </c>
      <c r="E1275" s="23" t="s">
        <v>138</v>
      </c>
      <c r="F1275" s="17" t="s">
        <v>45</v>
      </c>
      <c r="G1275" s="11" t="s">
        <v>1432</v>
      </c>
      <c r="H1275" s="12">
        <v>9</v>
      </c>
      <c r="I1275" s="11" t="s">
        <v>1433</v>
      </c>
      <c r="J1275" s="193" t="s">
        <v>1452</v>
      </c>
      <c r="K1275" s="17" t="s">
        <v>233</v>
      </c>
      <c r="L1275" s="17" t="s">
        <v>233</v>
      </c>
      <c r="M1275" s="231">
        <v>5.7</v>
      </c>
      <c r="N1275" s="231">
        <v>5.7</v>
      </c>
      <c r="O1275" s="231">
        <v>5.7</v>
      </c>
      <c r="P1275" s="231" t="s">
        <v>239</v>
      </c>
      <c r="Q1275" s="231">
        <v>5.7</v>
      </c>
      <c r="R1275" s="231" t="s">
        <v>239</v>
      </c>
      <c r="S1275" s="231">
        <v>5.7</v>
      </c>
      <c r="T1275" s="231" t="s">
        <v>239</v>
      </c>
      <c r="U1275" s="231">
        <v>5.7</v>
      </c>
      <c r="V1275" s="231" t="s">
        <v>239</v>
      </c>
      <c r="W1275" s="231">
        <v>5.7</v>
      </c>
      <c r="X1275" s="231" t="s">
        <v>239</v>
      </c>
      <c r="Y1275" s="231">
        <v>5.7</v>
      </c>
      <c r="Z1275" s="231" t="s">
        <v>239</v>
      </c>
      <c r="AA1275" s="231">
        <v>5.7</v>
      </c>
      <c r="AB1275" s="231" t="s">
        <v>239</v>
      </c>
      <c r="AC1275" s="231">
        <v>5.7</v>
      </c>
      <c r="AD1275" s="231" t="s">
        <v>239</v>
      </c>
      <c r="AE1275" s="231">
        <v>5.7</v>
      </c>
      <c r="AF1275" s="231" t="s">
        <v>239</v>
      </c>
      <c r="AG1275" s="231">
        <v>5.7</v>
      </c>
      <c r="AH1275" s="231" t="s">
        <v>239</v>
      </c>
      <c r="AI1275" s="231">
        <v>5.7</v>
      </c>
      <c r="AJ1275" s="231" t="s">
        <v>239</v>
      </c>
      <c r="AK1275" s="231">
        <v>5.7</v>
      </c>
      <c r="AL1275" s="232" t="s">
        <v>239</v>
      </c>
      <c r="AM1275" s="232">
        <v>0</v>
      </c>
    </row>
    <row r="1276" spans="1:39" ht="15.75" outlineLevel="1">
      <c r="A1276" s="412"/>
      <c r="B1276" s="10">
        <v>129633</v>
      </c>
      <c r="C1276" s="218" t="s">
        <v>1489</v>
      </c>
      <c r="D1276" s="218" t="s">
        <v>1490</v>
      </c>
      <c r="E1276" s="23" t="s">
        <v>44</v>
      </c>
      <c r="F1276" s="17" t="s">
        <v>45</v>
      </c>
      <c r="G1276" s="11" t="s">
        <v>1432</v>
      </c>
      <c r="H1276" s="12">
        <v>42</v>
      </c>
      <c r="I1276" s="11" t="s">
        <v>1433</v>
      </c>
      <c r="J1276" s="193" t="s">
        <v>216</v>
      </c>
      <c r="K1276" s="17" t="s">
        <v>233</v>
      </c>
      <c r="L1276" s="17" t="s">
        <v>233</v>
      </c>
      <c r="M1276" s="231">
        <v>29198</v>
      </c>
      <c r="N1276" s="232">
        <v>28843.53628</v>
      </c>
      <c r="O1276" s="132">
        <v>1308</v>
      </c>
      <c r="P1276" s="231" t="s">
        <v>239</v>
      </c>
      <c r="Q1276" s="232">
        <v>1308</v>
      </c>
      <c r="R1276" s="231" t="s">
        <v>239</v>
      </c>
      <c r="S1276" s="232">
        <v>1018</v>
      </c>
      <c r="T1276" s="231" t="s">
        <v>239</v>
      </c>
      <c r="U1276" s="232">
        <v>1130</v>
      </c>
      <c r="V1276" s="230" t="s">
        <v>239</v>
      </c>
      <c r="W1276" s="232">
        <v>1082</v>
      </c>
      <c r="X1276" s="231" t="s">
        <v>239</v>
      </c>
      <c r="Y1276" s="232">
        <v>1062</v>
      </c>
      <c r="Z1276" s="231" t="s">
        <v>239</v>
      </c>
      <c r="AA1276" s="232">
        <v>1048</v>
      </c>
      <c r="AB1276" s="231" t="s">
        <v>239</v>
      </c>
      <c r="AC1276" s="232">
        <v>1189</v>
      </c>
      <c r="AD1276" s="231" t="s">
        <v>239</v>
      </c>
      <c r="AE1276" s="232">
        <v>1405</v>
      </c>
      <c r="AF1276" s="231" t="s">
        <v>239</v>
      </c>
      <c r="AG1276" s="232">
        <v>1103</v>
      </c>
      <c r="AH1276" s="231" t="s">
        <v>239</v>
      </c>
      <c r="AI1276" s="232">
        <v>1349</v>
      </c>
      <c r="AJ1276" s="231" t="s">
        <v>239</v>
      </c>
      <c r="AK1276" s="232">
        <v>1305</v>
      </c>
      <c r="AL1276" s="232" t="s">
        <v>239</v>
      </c>
      <c r="AM1276" s="232">
        <v>14307</v>
      </c>
    </row>
    <row r="1277" spans="1:39" ht="15.75" outlineLevel="1">
      <c r="A1277" s="411">
        <v>634</v>
      </c>
      <c r="B1277" s="10">
        <v>129634</v>
      </c>
      <c r="C1277" s="218" t="s">
        <v>1489</v>
      </c>
      <c r="D1277" s="218" t="s">
        <v>1490</v>
      </c>
      <c r="E1277" s="23" t="s">
        <v>44</v>
      </c>
      <c r="F1277" s="17" t="s">
        <v>45</v>
      </c>
      <c r="G1277" s="11" t="s">
        <v>1432</v>
      </c>
      <c r="H1277" s="12">
        <v>16</v>
      </c>
      <c r="I1277" s="11" t="s">
        <v>1433</v>
      </c>
      <c r="J1277" s="193" t="s">
        <v>1453</v>
      </c>
      <c r="K1277" s="17" t="s">
        <v>233</v>
      </c>
      <c r="L1277" s="17" t="s">
        <v>233</v>
      </c>
      <c r="M1277" s="231">
        <v>20</v>
      </c>
      <c r="N1277" s="231">
        <v>20</v>
      </c>
      <c r="O1277" s="231">
        <v>20</v>
      </c>
      <c r="P1277" s="231" t="s">
        <v>239</v>
      </c>
      <c r="Q1277" s="231">
        <v>20</v>
      </c>
      <c r="R1277" s="231" t="s">
        <v>239</v>
      </c>
      <c r="S1277" s="231">
        <v>20</v>
      </c>
      <c r="T1277" s="231" t="s">
        <v>239</v>
      </c>
      <c r="U1277" s="231">
        <v>20</v>
      </c>
      <c r="V1277" s="231" t="s">
        <v>239</v>
      </c>
      <c r="W1277" s="231">
        <v>20</v>
      </c>
      <c r="X1277" s="231" t="s">
        <v>239</v>
      </c>
      <c r="Y1277" s="231">
        <v>20</v>
      </c>
      <c r="Z1277" s="231" t="s">
        <v>239</v>
      </c>
      <c r="AA1277" s="231">
        <v>20</v>
      </c>
      <c r="AB1277" s="231" t="s">
        <v>239</v>
      </c>
      <c r="AC1277" s="231">
        <v>20</v>
      </c>
      <c r="AD1277" s="231" t="s">
        <v>239</v>
      </c>
      <c r="AE1277" s="231">
        <v>20</v>
      </c>
      <c r="AF1277" s="231" t="s">
        <v>239</v>
      </c>
      <c r="AG1277" s="231">
        <v>20</v>
      </c>
      <c r="AH1277" s="231" t="s">
        <v>239</v>
      </c>
      <c r="AI1277" s="231">
        <v>20</v>
      </c>
      <c r="AJ1277" s="231" t="s">
        <v>239</v>
      </c>
      <c r="AK1277" s="231">
        <v>20</v>
      </c>
      <c r="AL1277" s="232" t="s">
        <v>239</v>
      </c>
      <c r="AM1277" s="232">
        <v>0</v>
      </c>
    </row>
    <row r="1278" spans="1:39" ht="15.75" outlineLevel="1">
      <c r="A1278" s="412"/>
      <c r="B1278" s="10">
        <v>129634</v>
      </c>
      <c r="C1278" s="218" t="s">
        <v>1489</v>
      </c>
      <c r="D1278" s="218" t="s">
        <v>1490</v>
      </c>
      <c r="E1278" s="23" t="s">
        <v>138</v>
      </c>
      <c r="F1278" s="17" t="s">
        <v>45</v>
      </c>
      <c r="G1278" s="11" t="s">
        <v>1432</v>
      </c>
      <c r="H1278" s="12">
        <v>25</v>
      </c>
      <c r="I1278" s="11" t="s">
        <v>1433</v>
      </c>
      <c r="J1278" s="193" t="s">
        <v>1454</v>
      </c>
      <c r="K1278" s="17" t="s">
        <v>233</v>
      </c>
      <c r="L1278" s="17" t="s">
        <v>233</v>
      </c>
      <c r="M1278" s="231">
        <v>9983</v>
      </c>
      <c r="N1278" s="232">
        <v>9861.80638</v>
      </c>
      <c r="O1278" s="132">
        <v>768</v>
      </c>
      <c r="P1278" s="231" t="s">
        <v>239</v>
      </c>
      <c r="Q1278" s="232">
        <v>768</v>
      </c>
      <c r="R1278" s="231" t="s">
        <v>239</v>
      </c>
      <c r="S1278" s="232">
        <v>619</v>
      </c>
      <c r="T1278" s="231" t="s">
        <v>239</v>
      </c>
      <c r="U1278" s="232">
        <v>154</v>
      </c>
      <c r="V1278" s="231" t="s">
        <v>239</v>
      </c>
      <c r="W1278" s="232">
        <v>352</v>
      </c>
      <c r="X1278" s="231" t="s">
        <v>239</v>
      </c>
      <c r="Y1278" s="232">
        <v>0</v>
      </c>
      <c r="Z1278" s="231" t="s">
        <v>239</v>
      </c>
      <c r="AA1278" s="232">
        <v>0</v>
      </c>
      <c r="AB1278" s="231" t="s">
        <v>239</v>
      </c>
      <c r="AC1278" s="232">
        <v>5</v>
      </c>
      <c r="AD1278" s="231" t="s">
        <v>239</v>
      </c>
      <c r="AE1278" s="232">
        <v>552</v>
      </c>
      <c r="AF1278" s="231" t="s">
        <v>239</v>
      </c>
      <c r="AG1278" s="232">
        <v>154</v>
      </c>
      <c r="AH1278" s="231" t="s">
        <v>239</v>
      </c>
      <c r="AI1278" s="232">
        <v>75</v>
      </c>
      <c r="AJ1278" s="231" t="s">
        <v>239</v>
      </c>
      <c r="AK1278" s="232">
        <v>4</v>
      </c>
      <c r="AL1278" s="232" t="s">
        <v>239</v>
      </c>
      <c r="AM1278" s="232">
        <v>3451</v>
      </c>
    </row>
    <row r="1279" spans="1:39" ht="15.75" outlineLevel="1">
      <c r="A1279" s="411">
        <v>635</v>
      </c>
      <c r="B1279" s="10">
        <v>129635</v>
      </c>
      <c r="C1279" s="218" t="s">
        <v>1489</v>
      </c>
      <c r="D1279" s="218" t="s">
        <v>1490</v>
      </c>
      <c r="E1279" s="23" t="s">
        <v>44</v>
      </c>
      <c r="F1279" s="17" t="s">
        <v>45</v>
      </c>
      <c r="G1279" s="11" t="s">
        <v>1432</v>
      </c>
      <c r="H1279" s="12">
        <v>14</v>
      </c>
      <c r="I1279" s="11" t="s">
        <v>1433</v>
      </c>
      <c r="J1279" s="191" t="s">
        <v>216</v>
      </c>
      <c r="K1279" s="17" t="s">
        <v>233</v>
      </c>
      <c r="L1279" s="17" t="s">
        <v>233</v>
      </c>
      <c r="M1279" s="231">
        <v>1</v>
      </c>
      <c r="N1279" s="231">
        <v>1</v>
      </c>
      <c r="O1279" s="231">
        <v>1</v>
      </c>
      <c r="P1279" s="231" t="s">
        <v>239</v>
      </c>
      <c r="Q1279" s="231">
        <v>1</v>
      </c>
      <c r="R1279" s="231" t="s">
        <v>239</v>
      </c>
      <c r="S1279" s="231">
        <v>1</v>
      </c>
      <c r="T1279" s="231" t="s">
        <v>239</v>
      </c>
      <c r="U1279" s="231">
        <v>1</v>
      </c>
      <c r="V1279" s="230" t="s">
        <v>239</v>
      </c>
      <c r="W1279" s="231">
        <v>1</v>
      </c>
      <c r="X1279" s="231" t="s">
        <v>239</v>
      </c>
      <c r="Y1279" s="231">
        <v>1</v>
      </c>
      <c r="Z1279" s="231" t="s">
        <v>239</v>
      </c>
      <c r="AA1279" s="231">
        <v>1</v>
      </c>
      <c r="AB1279" s="231" t="s">
        <v>239</v>
      </c>
      <c r="AC1279" s="231">
        <v>1</v>
      </c>
      <c r="AD1279" s="231" t="s">
        <v>239</v>
      </c>
      <c r="AE1279" s="231">
        <v>1</v>
      </c>
      <c r="AF1279" s="231" t="s">
        <v>239</v>
      </c>
      <c r="AG1279" s="231">
        <v>1</v>
      </c>
      <c r="AH1279" s="231" t="s">
        <v>239</v>
      </c>
      <c r="AI1279" s="231">
        <v>1</v>
      </c>
      <c r="AJ1279" s="231" t="s">
        <v>239</v>
      </c>
      <c r="AK1279" s="231">
        <v>1</v>
      </c>
      <c r="AL1279" s="232" t="s">
        <v>239</v>
      </c>
      <c r="AM1279" s="232">
        <v>0</v>
      </c>
    </row>
    <row r="1280" spans="1:39" ht="15.75" outlineLevel="1">
      <c r="A1280" s="412"/>
      <c r="B1280" s="10">
        <v>129635</v>
      </c>
      <c r="C1280" s="218" t="s">
        <v>1489</v>
      </c>
      <c r="D1280" s="218" t="s">
        <v>1490</v>
      </c>
      <c r="E1280" s="23" t="s">
        <v>138</v>
      </c>
      <c r="F1280" s="17" t="s">
        <v>45</v>
      </c>
      <c r="G1280" s="11" t="s">
        <v>1432</v>
      </c>
      <c r="H1280" s="12">
        <v>16</v>
      </c>
      <c r="I1280" s="11" t="s">
        <v>1433</v>
      </c>
      <c r="J1280" s="192" t="s">
        <v>1434</v>
      </c>
      <c r="K1280" s="17" t="s">
        <v>233</v>
      </c>
      <c r="L1280" s="17" t="s">
        <v>233</v>
      </c>
      <c r="M1280" s="231">
        <v>7697</v>
      </c>
      <c r="N1280" s="232">
        <v>7603.5584199999994</v>
      </c>
      <c r="O1280" s="132">
        <v>581</v>
      </c>
      <c r="P1280" s="231" t="s">
        <v>239</v>
      </c>
      <c r="Q1280" s="232">
        <v>581</v>
      </c>
      <c r="R1280" s="231" t="s">
        <v>239</v>
      </c>
      <c r="S1280" s="232">
        <v>625</v>
      </c>
      <c r="T1280" s="231" t="s">
        <v>239</v>
      </c>
      <c r="U1280" s="232">
        <v>853</v>
      </c>
      <c r="V1280" s="231" t="s">
        <v>239</v>
      </c>
      <c r="W1280" s="232">
        <v>855</v>
      </c>
      <c r="X1280" s="231" t="s">
        <v>239</v>
      </c>
      <c r="Y1280" s="232">
        <v>803</v>
      </c>
      <c r="Z1280" s="231" t="s">
        <v>239</v>
      </c>
      <c r="AA1280" s="232">
        <v>1048</v>
      </c>
      <c r="AB1280" s="231" t="s">
        <v>239</v>
      </c>
      <c r="AC1280" s="232">
        <v>929</v>
      </c>
      <c r="AD1280" s="231" t="s">
        <v>239</v>
      </c>
      <c r="AE1280" s="232">
        <v>911</v>
      </c>
      <c r="AF1280" s="231" t="s">
        <v>239</v>
      </c>
      <c r="AG1280" s="232">
        <v>653</v>
      </c>
      <c r="AH1280" s="231" t="s">
        <v>239</v>
      </c>
      <c r="AI1280" s="232">
        <v>883</v>
      </c>
      <c r="AJ1280" s="231" t="s">
        <v>239</v>
      </c>
      <c r="AK1280" s="232">
        <v>783</v>
      </c>
      <c r="AL1280" s="232" t="s">
        <v>239</v>
      </c>
      <c r="AM1280" s="232">
        <v>9505</v>
      </c>
    </row>
    <row r="1281" spans="1:39" ht="15.75" outlineLevel="1">
      <c r="A1281" s="411">
        <v>636</v>
      </c>
      <c r="B1281" s="10">
        <v>129636</v>
      </c>
      <c r="C1281" s="218" t="s">
        <v>1489</v>
      </c>
      <c r="D1281" s="218" t="s">
        <v>1490</v>
      </c>
      <c r="E1281" s="23" t="s">
        <v>44</v>
      </c>
      <c r="F1281" s="17" t="s">
        <v>45</v>
      </c>
      <c r="G1281" s="11" t="s">
        <v>1432</v>
      </c>
      <c r="H1281" s="12">
        <v>15</v>
      </c>
      <c r="I1281" s="11" t="s">
        <v>1433</v>
      </c>
      <c r="J1281" s="192" t="s">
        <v>1480</v>
      </c>
      <c r="K1281" s="17" t="s">
        <v>233</v>
      </c>
      <c r="L1281" s="17" t="s">
        <v>233</v>
      </c>
      <c r="M1281" s="231">
        <v>0</v>
      </c>
      <c r="N1281" s="232">
        <v>0</v>
      </c>
      <c r="O1281" s="132">
        <v>0</v>
      </c>
      <c r="P1281" s="231" t="s">
        <v>239</v>
      </c>
      <c r="Q1281" s="232">
        <v>0</v>
      </c>
      <c r="R1281" s="231" t="s">
        <v>239</v>
      </c>
      <c r="S1281" s="232">
        <v>0</v>
      </c>
      <c r="T1281" s="231" t="s">
        <v>239</v>
      </c>
      <c r="U1281" s="232">
        <v>0</v>
      </c>
      <c r="V1281" s="231" t="s">
        <v>239</v>
      </c>
      <c r="W1281" s="232">
        <v>0</v>
      </c>
      <c r="X1281" s="231" t="s">
        <v>239</v>
      </c>
      <c r="Y1281" s="232">
        <v>0</v>
      </c>
      <c r="Z1281" s="231" t="s">
        <v>239</v>
      </c>
      <c r="AA1281" s="232">
        <v>0</v>
      </c>
      <c r="AB1281" s="231" t="s">
        <v>239</v>
      </c>
      <c r="AC1281" s="232">
        <v>0</v>
      </c>
      <c r="AD1281" s="231" t="s">
        <v>239</v>
      </c>
      <c r="AE1281" s="232">
        <v>0</v>
      </c>
      <c r="AF1281" s="231" t="s">
        <v>239</v>
      </c>
      <c r="AG1281" s="232">
        <v>0</v>
      </c>
      <c r="AH1281" s="231" t="s">
        <v>239</v>
      </c>
      <c r="AI1281" s="232">
        <v>0</v>
      </c>
      <c r="AJ1281" s="231" t="s">
        <v>239</v>
      </c>
      <c r="AK1281" s="232">
        <v>0</v>
      </c>
      <c r="AL1281" s="232" t="s">
        <v>239</v>
      </c>
      <c r="AM1281" s="232">
        <v>0</v>
      </c>
    </row>
    <row r="1282" spans="1:39" ht="15.75" outlineLevel="1">
      <c r="A1282" s="412"/>
      <c r="B1282" s="10">
        <v>129636</v>
      </c>
      <c r="C1282" s="218" t="s">
        <v>1489</v>
      </c>
      <c r="D1282" s="218" t="s">
        <v>1490</v>
      </c>
      <c r="E1282" s="23" t="s">
        <v>44</v>
      </c>
      <c r="F1282" s="17" t="s">
        <v>45</v>
      </c>
      <c r="G1282" s="11" t="s">
        <v>1432</v>
      </c>
      <c r="H1282" s="12">
        <v>17</v>
      </c>
      <c r="I1282" s="11" t="s">
        <v>1433</v>
      </c>
      <c r="J1282" s="192" t="s">
        <v>1452</v>
      </c>
      <c r="K1282" s="17" t="s">
        <v>233</v>
      </c>
      <c r="L1282" s="17" t="s">
        <v>233</v>
      </c>
      <c r="M1282" s="231">
        <v>0</v>
      </c>
      <c r="N1282" s="232">
        <v>0</v>
      </c>
      <c r="O1282" s="132">
        <v>0</v>
      </c>
      <c r="P1282" s="231" t="s">
        <v>239</v>
      </c>
      <c r="Q1282" s="232">
        <v>0</v>
      </c>
      <c r="R1282" s="231" t="s">
        <v>239</v>
      </c>
      <c r="S1282" s="232">
        <v>0</v>
      </c>
      <c r="T1282" s="231" t="s">
        <v>239</v>
      </c>
      <c r="U1282" s="232">
        <v>0</v>
      </c>
      <c r="V1282" s="230" t="s">
        <v>239</v>
      </c>
      <c r="W1282" s="232">
        <v>0</v>
      </c>
      <c r="X1282" s="231" t="s">
        <v>239</v>
      </c>
      <c r="Y1282" s="232">
        <v>0</v>
      </c>
      <c r="Z1282" s="231" t="s">
        <v>239</v>
      </c>
      <c r="AA1282" s="232">
        <v>0</v>
      </c>
      <c r="AB1282" s="231" t="s">
        <v>239</v>
      </c>
      <c r="AC1282" s="232">
        <v>0</v>
      </c>
      <c r="AD1282" s="231" t="s">
        <v>239</v>
      </c>
      <c r="AE1282" s="232">
        <v>0</v>
      </c>
      <c r="AF1282" s="231" t="s">
        <v>239</v>
      </c>
      <c r="AG1282" s="232">
        <v>0</v>
      </c>
      <c r="AH1282" s="231" t="s">
        <v>239</v>
      </c>
      <c r="AI1282" s="232">
        <v>0</v>
      </c>
      <c r="AJ1282" s="231" t="s">
        <v>239</v>
      </c>
      <c r="AK1282" s="232">
        <v>0</v>
      </c>
      <c r="AL1282" s="232" t="s">
        <v>239</v>
      </c>
      <c r="AM1282" s="232">
        <v>0</v>
      </c>
    </row>
    <row r="1283" spans="1:39" ht="15.75" outlineLevel="1">
      <c r="A1283" s="411">
        <v>637</v>
      </c>
      <c r="B1283" s="10">
        <v>129637</v>
      </c>
      <c r="C1283" s="218" t="s">
        <v>1489</v>
      </c>
      <c r="D1283" s="218" t="s">
        <v>1490</v>
      </c>
      <c r="E1283" s="23" t="s">
        <v>138</v>
      </c>
      <c r="F1283" s="17" t="s">
        <v>45</v>
      </c>
      <c r="G1283" s="11" t="s">
        <v>1432</v>
      </c>
      <c r="H1283" s="12">
        <v>25</v>
      </c>
      <c r="I1283" s="11" t="s">
        <v>1433</v>
      </c>
      <c r="J1283" s="374" t="s">
        <v>207</v>
      </c>
      <c r="K1283" s="17" t="s">
        <v>233</v>
      </c>
      <c r="L1283" s="17" t="s">
        <v>233</v>
      </c>
      <c r="M1283" s="231">
        <v>1.2</v>
      </c>
      <c r="N1283" s="231">
        <v>1.2</v>
      </c>
      <c r="O1283" s="231">
        <v>1.2</v>
      </c>
      <c r="P1283" s="231" t="s">
        <v>239</v>
      </c>
      <c r="Q1283" s="231">
        <v>1.2</v>
      </c>
      <c r="R1283" s="231" t="s">
        <v>239</v>
      </c>
      <c r="S1283" s="231">
        <v>1.2</v>
      </c>
      <c r="T1283" s="231" t="s">
        <v>239</v>
      </c>
      <c r="U1283" s="231">
        <v>1.2</v>
      </c>
      <c r="V1283" s="231" t="s">
        <v>239</v>
      </c>
      <c r="W1283" s="231">
        <v>1.2</v>
      </c>
      <c r="X1283" s="231" t="s">
        <v>239</v>
      </c>
      <c r="Y1283" s="231">
        <v>1.2</v>
      </c>
      <c r="Z1283" s="231" t="s">
        <v>239</v>
      </c>
      <c r="AA1283" s="231">
        <v>1.2</v>
      </c>
      <c r="AB1283" s="231" t="s">
        <v>239</v>
      </c>
      <c r="AC1283" s="231">
        <v>1.2</v>
      </c>
      <c r="AD1283" s="231" t="s">
        <v>239</v>
      </c>
      <c r="AE1283" s="231">
        <v>1.2</v>
      </c>
      <c r="AF1283" s="231" t="s">
        <v>239</v>
      </c>
      <c r="AG1283" s="231">
        <v>1.2</v>
      </c>
      <c r="AH1283" s="231" t="s">
        <v>239</v>
      </c>
      <c r="AI1283" s="231">
        <v>1.2</v>
      </c>
      <c r="AJ1283" s="231" t="s">
        <v>239</v>
      </c>
      <c r="AK1283" s="231">
        <v>1.2</v>
      </c>
      <c r="AL1283" s="232" t="s">
        <v>239</v>
      </c>
      <c r="AM1283" s="232">
        <v>0</v>
      </c>
    </row>
    <row r="1284" spans="1:39" ht="15.75" outlineLevel="1">
      <c r="A1284" s="412"/>
      <c r="B1284" s="10">
        <v>129637</v>
      </c>
      <c r="C1284" s="218" t="s">
        <v>1489</v>
      </c>
      <c r="D1284" s="218" t="s">
        <v>1490</v>
      </c>
      <c r="E1284" s="23" t="s">
        <v>44</v>
      </c>
      <c r="F1284" s="17" t="s">
        <v>45</v>
      </c>
      <c r="G1284" s="11" t="s">
        <v>1432</v>
      </c>
      <c r="H1284" s="12">
        <v>13</v>
      </c>
      <c r="I1284" s="11" t="s">
        <v>1433</v>
      </c>
      <c r="J1284" s="375"/>
      <c r="K1284" s="17" t="s">
        <v>233</v>
      </c>
      <c r="L1284" s="17" t="s">
        <v>233</v>
      </c>
      <c r="M1284" s="231">
        <v>10098</v>
      </c>
      <c r="N1284" s="232">
        <v>9975.4102800000001</v>
      </c>
      <c r="O1284" s="132">
        <v>348</v>
      </c>
      <c r="P1284" s="231" t="s">
        <v>239</v>
      </c>
      <c r="Q1284" s="232">
        <v>1348</v>
      </c>
      <c r="R1284" s="231" t="s">
        <v>239</v>
      </c>
      <c r="S1284" s="232">
        <v>1178</v>
      </c>
      <c r="T1284" s="231" t="s">
        <v>239</v>
      </c>
      <c r="U1284" s="232">
        <v>1423</v>
      </c>
      <c r="V1284" s="231" t="s">
        <v>239</v>
      </c>
      <c r="W1284" s="232">
        <v>1383</v>
      </c>
      <c r="X1284" s="231" t="s">
        <v>239</v>
      </c>
      <c r="Y1284" s="232">
        <v>1356</v>
      </c>
      <c r="Z1284" s="231" t="s">
        <v>239</v>
      </c>
      <c r="AA1284" s="232">
        <v>1104</v>
      </c>
      <c r="AB1284" s="231" t="s">
        <v>239</v>
      </c>
      <c r="AC1284" s="232">
        <v>1087</v>
      </c>
      <c r="AD1284" s="231" t="s">
        <v>239</v>
      </c>
      <c r="AE1284" s="232">
        <v>947</v>
      </c>
      <c r="AF1284" s="231" t="s">
        <v>239</v>
      </c>
      <c r="AG1284" s="232">
        <v>1102</v>
      </c>
      <c r="AH1284" s="231" t="s">
        <v>239</v>
      </c>
      <c r="AI1284" s="232">
        <v>1160</v>
      </c>
      <c r="AJ1284" s="231" t="s">
        <v>239</v>
      </c>
      <c r="AK1284" s="232">
        <v>1064</v>
      </c>
      <c r="AL1284" s="232" t="s">
        <v>239</v>
      </c>
      <c r="AM1284" s="232">
        <v>13500</v>
      </c>
    </row>
    <row r="1285" spans="1:39" ht="15.75" outlineLevel="1">
      <c r="A1285" s="411">
        <v>638</v>
      </c>
      <c r="B1285" s="10">
        <v>129638</v>
      </c>
      <c r="C1285" s="218" t="s">
        <v>1489</v>
      </c>
      <c r="D1285" s="218" t="s">
        <v>1490</v>
      </c>
      <c r="E1285" s="23" t="s">
        <v>138</v>
      </c>
      <c r="F1285" s="17" t="s">
        <v>45</v>
      </c>
      <c r="G1285" s="11" t="s">
        <v>1432</v>
      </c>
      <c r="H1285" s="12">
        <v>5</v>
      </c>
      <c r="I1285" s="11" t="s">
        <v>1433</v>
      </c>
      <c r="J1285" s="193" t="s">
        <v>1460</v>
      </c>
      <c r="K1285" s="17" t="s">
        <v>233</v>
      </c>
      <c r="L1285" s="17" t="s">
        <v>233</v>
      </c>
      <c r="M1285" s="231">
        <v>2</v>
      </c>
      <c r="N1285" s="231">
        <v>2</v>
      </c>
      <c r="O1285" s="231">
        <v>2</v>
      </c>
      <c r="P1285" s="231" t="s">
        <v>239</v>
      </c>
      <c r="Q1285" s="231">
        <v>2</v>
      </c>
      <c r="R1285" s="231" t="s">
        <v>239</v>
      </c>
      <c r="S1285" s="231">
        <v>2</v>
      </c>
      <c r="T1285" s="231" t="s">
        <v>239</v>
      </c>
      <c r="U1285" s="231">
        <v>2</v>
      </c>
      <c r="V1285" s="230" t="s">
        <v>239</v>
      </c>
      <c r="W1285" s="231">
        <v>2</v>
      </c>
      <c r="X1285" s="231" t="s">
        <v>239</v>
      </c>
      <c r="Y1285" s="231">
        <v>2</v>
      </c>
      <c r="Z1285" s="231" t="s">
        <v>239</v>
      </c>
      <c r="AA1285" s="231">
        <v>2</v>
      </c>
      <c r="AB1285" s="231" t="s">
        <v>239</v>
      </c>
      <c r="AC1285" s="231">
        <v>2</v>
      </c>
      <c r="AD1285" s="231" t="s">
        <v>239</v>
      </c>
      <c r="AE1285" s="231">
        <v>2</v>
      </c>
      <c r="AF1285" s="231" t="s">
        <v>239</v>
      </c>
      <c r="AG1285" s="231">
        <v>2</v>
      </c>
      <c r="AH1285" s="231" t="s">
        <v>239</v>
      </c>
      <c r="AI1285" s="231">
        <v>2</v>
      </c>
      <c r="AJ1285" s="231" t="s">
        <v>239</v>
      </c>
      <c r="AK1285" s="231">
        <v>2</v>
      </c>
      <c r="AL1285" s="232" t="s">
        <v>239</v>
      </c>
      <c r="AM1285" s="232">
        <v>0</v>
      </c>
    </row>
    <row r="1286" spans="1:39" ht="15.75" outlineLevel="1">
      <c r="A1286" s="412"/>
      <c r="B1286" s="10">
        <v>129638</v>
      </c>
      <c r="C1286" s="218" t="s">
        <v>1489</v>
      </c>
      <c r="D1286" s="218" t="s">
        <v>1490</v>
      </c>
      <c r="E1286" s="23" t="s">
        <v>44</v>
      </c>
      <c r="F1286" s="17" t="s">
        <v>45</v>
      </c>
      <c r="G1286" s="11" t="s">
        <v>1432</v>
      </c>
      <c r="H1286" s="12">
        <v>4</v>
      </c>
      <c r="I1286" s="11" t="s">
        <v>1433</v>
      </c>
      <c r="J1286" s="193" t="s">
        <v>1442</v>
      </c>
      <c r="K1286" s="17" t="s">
        <v>233</v>
      </c>
      <c r="L1286" s="17" t="s">
        <v>233</v>
      </c>
      <c r="M1286" s="231">
        <v>6406</v>
      </c>
      <c r="N1286" s="232">
        <v>6328.2311599999994</v>
      </c>
      <c r="O1286" s="132">
        <v>761</v>
      </c>
      <c r="P1286" s="231" t="s">
        <v>239</v>
      </c>
      <c r="Q1286" s="232">
        <v>761</v>
      </c>
      <c r="R1286" s="231" t="s">
        <v>239</v>
      </c>
      <c r="S1286" s="232">
        <v>1149</v>
      </c>
      <c r="T1286" s="231" t="s">
        <v>239</v>
      </c>
      <c r="U1286" s="232">
        <v>613</v>
      </c>
      <c r="V1286" s="231" t="s">
        <v>239</v>
      </c>
      <c r="W1286" s="232">
        <v>445</v>
      </c>
      <c r="X1286" s="231" t="s">
        <v>239</v>
      </c>
      <c r="Y1286" s="232">
        <v>476</v>
      </c>
      <c r="Z1286" s="231" t="s">
        <v>239</v>
      </c>
      <c r="AA1286" s="232">
        <v>310</v>
      </c>
      <c r="AB1286" s="231" t="s">
        <v>239</v>
      </c>
      <c r="AC1286" s="232">
        <v>343</v>
      </c>
      <c r="AD1286" s="231" t="s">
        <v>239</v>
      </c>
      <c r="AE1286" s="232">
        <v>471</v>
      </c>
      <c r="AF1286" s="231" t="s">
        <v>239</v>
      </c>
      <c r="AG1286" s="232">
        <v>402</v>
      </c>
      <c r="AH1286" s="231" t="s">
        <v>239</v>
      </c>
      <c r="AI1286" s="232">
        <v>563</v>
      </c>
      <c r="AJ1286" s="231" t="s">
        <v>239</v>
      </c>
      <c r="AK1286" s="232">
        <v>374</v>
      </c>
      <c r="AL1286" s="232" t="s">
        <v>239</v>
      </c>
      <c r="AM1286" s="232">
        <v>6668</v>
      </c>
    </row>
    <row r="1287" spans="1:39" ht="15.75" outlineLevel="1">
      <c r="A1287" s="411">
        <v>639</v>
      </c>
      <c r="B1287" s="10">
        <v>129639</v>
      </c>
      <c r="C1287" s="218" t="s">
        <v>1489</v>
      </c>
      <c r="D1287" s="218" t="s">
        <v>1490</v>
      </c>
      <c r="E1287" s="23" t="s">
        <v>44</v>
      </c>
      <c r="F1287" s="17" t="s">
        <v>45</v>
      </c>
      <c r="G1287" s="11" t="s">
        <v>1432</v>
      </c>
      <c r="H1287" s="12">
        <v>18</v>
      </c>
      <c r="I1287" s="11" t="s">
        <v>1433</v>
      </c>
      <c r="J1287" s="193" t="s">
        <v>1460</v>
      </c>
      <c r="K1287" s="17" t="s">
        <v>233</v>
      </c>
      <c r="L1287" s="17" t="s">
        <v>233</v>
      </c>
      <c r="M1287" s="231">
        <v>1</v>
      </c>
      <c r="N1287" s="231">
        <v>1</v>
      </c>
      <c r="O1287" s="231">
        <v>1</v>
      </c>
      <c r="P1287" s="231" t="s">
        <v>239</v>
      </c>
      <c r="Q1287" s="231">
        <v>1</v>
      </c>
      <c r="R1287" s="231" t="s">
        <v>239</v>
      </c>
      <c r="S1287" s="231">
        <v>1</v>
      </c>
      <c r="T1287" s="231" t="s">
        <v>239</v>
      </c>
      <c r="U1287" s="231">
        <v>1</v>
      </c>
      <c r="V1287" s="231" t="s">
        <v>239</v>
      </c>
      <c r="W1287" s="231">
        <v>1</v>
      </c>
      <c r="X1287" s="231" t="s">
        <v>239</v>
      </c>
      <c r="Y1287" s="231">
        <v>1</v>
      </c>
      <c r="Z1287" s="231" t="s">
        <v>239</v>
      </c>
      <c r="AA1287" s="231">
        <v>1</v>
      </c>
      <c r="AB1287" s="231" t="s">
        <v>239</v>
      </c>
      <c r="AC1287" s="231">
        <v>1</v>
      </c>
      <c r="AD1287" s="231" t="s">
        <v>239</v>
      </c>
      <c r="AE1287" s="231">
        <v>1</v>
      </c>
      <c r="AF1287" s="231" t="s">
        <v>239</v>
      </c>
      <c r="AG1287" s="231">
        <v>1</v>
      </c>
      <c r="AH1287" s="231" t="s">
        <v>239</v>
      </c>
      <c r="AI1287" s="231">
        <v>1</v>
      </c>
      <c r="AJ1287" s="231" t="s">
        <v>239</v>
      </c>
      <c r="AK1287" s="231">
        <v>1</v>
      </c>
      <c r="AL1287" s="232" t="s">
        <v>239</v>
      </c>
      <c r="AM1287" s="232">
        <v>0</v>
      </c>
    </row>
    <row r="1288" spans="1:39" ht="15.75" outlineLevel="1">
      <c r="A1288" s="412"/>
      <c r="B1288" s="10">
        <v>129639</v>
      </c>
      <c r="C1288" s="218" t="s">
        <v>1489</v>
      </c>
      <c r="D1288" s="218" t="s">
        <v>1490</v>
      </c>
      <c r="E1288" s="23" t="s">
        <v>138</v>
      </c>
      <c r="F1288" s="17" t="s">
        <v>45</v>
      </c>
      <c r="G1288" s="11" t="s">
        <v>1432</v>
      </c>
      <c r="H1288" s="12">
        <v>19</v>
      </c>
      <c r="I1288" s="11" t="s">
        <v>1433</v>
      </c>
      <c r="J1288" s="193" t="s">
        <v>1448</v>
      </c>
      <c r="K1288" s="17" t="s">
        <v>233</v>
      </c>
      <c r="L1288" s="17" t="s">
        <v>233</v>
      </c>
      <c r="M1288" s="231">
        <v>1022</v>
      </c>
      <c r="N1288" s="232">
        <v>1009.5929199999999</v>
      </c>
      <c r="O1288" s="132">
        <v>642</v>
      </c>
      <c r="P1288" s="231" t="s">
        <v>239</v>
      </c>
      <c r="Q1288" s="232">
        <v>642</v>
      </c>
      <c r="R1288" s="231" t="s">
        <v>239</v>
      </c>
      <c r="S1288" s="232">
        <v>633</v>
      </c>
      <c r="T1288" s="231" t="s">
        <v>239</v>
      </c>
      <c r="U1288" s="232">
        <v>586</v>
      </c>
      <c r="V1288" s="230" t="s">
        <v>239</v>
      </c>
      <c r="W1288" s="232">
        <v>551</v>
      </c>
      <c r="X1288" s="231" t="s">
        <v>239</v>
      </c>
      <c r="Y1288" s="232">
        <v>584</v>
      </c>
      <c r="Z1288" s="231" t="s">
        <v>239</v>
      </c>
      <c r="AA1288" s="232">
        <v>553</v>
      </c>
      <c r="AB1288" s="231" t="s">
        <v>239</v>
      </c>
      <c r="AC1288" s="232">
        <v>455</v>
      </c>
      <c r="AD1288" s="231" t="s">
        <v>239</v>
      </c>
      <c r="AE1288" s="232">
        <v>509</v>
      </c>
      <c r="AF1288" s="231" t="s">
        <v>239</v>
      </c>
      <c r="AG1288" s="232">
        <v>513</v>
      </c>
      <c r="AH1288" s="231" t="s">
        <v>239</v>
      </c>
      <c r="AI1288" s="232">
        <v>509</v>
      </c>
      <c r="AJ1288" s="231" t="s">
        <v>239</v>
      </c>
      <c r="AK1288" s="232">
        <v>584</v>
      </c>
      <c r="AL1288" s="232" t="s">
        <v>239</v>
      </c>
      <c r="AM1288" s="232">
        <v>6761</v>
      </c>
    </row>
    <row r="1289" spans="1:39" ht="15.75" outlineLevel="1">
      <c r="A1289" s="411">
        <v>640</v>
      </c>
      <c r="B1289" s="10">
        <v>129640</v>
      </c>
      <c r="C1289" s="218" t="s">
        <v>1489</v>
      </c>
      <c r="D1289" s="218" t="s">
        <v>1490</v>
      </c>
      <c r="E1289" s="23" t="s">
        <v>44</v>
      </c>
      <c r="F1289" s="17" t="s">
        <v>45</v>
      </c>
      <c r="G1289" s="11" t="s">
        <v>1432</v>
      </c>
      <c r="H1289" s="12">
        <v>16</v>
      </c>
      <c r="I1289" s="11" t="s">
        <v>1433</v>
      </c>
      <c r="J1289" s="193" t="s">
        <v>1448</v>
      </c>
      <c r="K1289" s="17" t="s">
        <v>233</v>
      </c>
      <c r="L1289" s="17" t="s">
        <v>233</v>
      </c>
      <c r="M1289" s="231">
        <v>3</v>
      </c>
      <c r="N1289" s="231">
        <v>3</v>
      </c>
      <c r="O1289" s="231">
        <v>3</v>
      </c>
      <c r="P1289" s="231" t="s">
        <v>239</v>
      </c>
      <c r="Q1289" s="231">
        <v>3</v>
      </c>
      <c r="R1289" s="231" t="s">
        <v>239</v>
      </c>
      <c r="S1289" s="231">
        <v>3</v>
      </c>
      <c r="T1289" s="231" t="s">
        <v>239</v>
      </c>
      <c r="U1289" s="231">
        <v>3</v>
      </c>
      <c r="V1289" s="231" t="s">
        <v>239</v>
      </c>
      <c r="W1289" s="231">
        <v>3</v>
      </c>
      <c r="X1289" s="231" t="s">
        <v>239</v>
      </c>
      <c r="Y1289" s="231">
        <v>3</v>
      </c>
      <c r="Z1289" s="231" t="s">
        <v>239</v>
      </c>
      <c r="AA1289" s="231">
        <v>3</v>
      </c>
      <c r="AB1289" s="231" t="s">
        <v>239</v>
      </c>
      <c r="AC1289" s="231">
        <v>3</v>
      </c>
      <c r="AD1289" s="231" t="s">
        <v>239</v>
      </c>
      <c r="AE1289" s="231">
        <v>3</v>
      </c>
      <c r="AF1289" s="231" t="s">
        <v>239</v>
      </c>
      <c r="AG1289" s="231">
        <v>3</v>
      </c>
      <c r="AH1289" s="231" t="s">
        <v>239</v>
      </c>
      <c r="AI1289" s="231">
        <v>3</v>
      </c>
      <c r="AJ1289" s="231" t="s">
        <v>239</v>
      </c>
      <c r="AK1289" s="231">
        <v>3</v>
      </c>
      <c r="AL1289" s="232" t="s">
        <v>239</v>
      </c>
      <c r="AM1289" s="232">
        <v>0</v>
      </c>
    </row>
    <row r="1290" spans="1:39" ht="15.75" outlineLevel="1">
      <c r="A1290" s="412"/>
      <c r="B1290" s="10">
        <v>129640</v>
      </c>
      <c r="C1290" s="218" t="s">
        <v>1489</v>
      </c>
      <c r="D1290" s="218" t="s">
        <v>1490</v>
      </c>
      <c r="E1290" s="23" t="s">
        <v>138</v>
      </c>
      <c r="F1290" s="17" t="s">
        <v>45</v>
      </c>
      <c r="G1290" s="11" t="s">
        <v>1432</v>
      </c>
      <c r="H1290" s="12">
        <v>24</v>
      </c>
      <c r="I1290" s="11" t="s">
        <v>1433</v>
      </c>
      <c r="J1290" s="193" t="s">
        <v>216</v>
      </c>
      <c r="K1290" s="17" t="s">
        <v>233</v>
      </c>
      <c r="L1290" s="17" t="s">
        <v>233</v>
      </c>
      <c r="M1290" s="231">
        <v>7152</v>
      </c>
      <c r="N1290" s="232">
        <v>7065.17472</v>
      </c>
      <c r="O1290" s="132">
        <v>1031</v>
      </c>
      <c r="P1290" s="231" t="s">
        <v>239</v>
      </c>
      <c r="Q1290" s="232">
        <v>1031</v>
      </c>
      <c r="R1290" s="231" t="s">
        <v>239</v>
      </c>
      <c r="S1290" s="232">
        <v>9669</v>
      </c>
      <c r="T1290" s="231" t="s">
        <v>239</v>
      </c>
      <c r="U1290" s="232">
        <v>1057</v>
      </c>
      <c r="V1290" s="231" t="s">
        <v>239</v>
      </c>
      <c r="W1290" s="232">
        <v>1018</v>
      </c>
      <c r="X1290" s="231" t="s">
        <v>239</v>
      </c>
      <c r="Y1290" s="232">
        <v>1039</v>
      </c>
      <c r="Z1290" s="231" t="s">
        <v>239</v>
      </c>
      <c r="AA1290" s="232">
        <v>902</v>
      </c>
      <c r="AB1290" s="231" t="s">
        <v>239</v>
      </c>
      <c r="AC1290" s="232">
        <v>1093</v>
      </c>
      <c r="AD1290" s="231" t="s">
        <v>239</v>
      </c>
      <c r="AE1290" s="232">
        <v>1160</v>
      </c>
      <c r="AF1290" s="231" t="s">
        <v>239</v>
      </c>
      <c r="AG1290" s="232">
        <v>1057</v>
      </c>
      <c r="AH1290" s="231" t="s">
        <v>239</v>
      </c>
      <c r="AI1290" s="232">
        <v>1079</v>
      </c>
      <c r="AJ1290" s="231" t="s">
        <v>239</v>
      </c>
      <c r="AK1290" s="232">
        <v>926</v>
      </c>
      <c r="AL1290" s="232" t="s">
        <v>239</v>
      </c>
      <c r="AM1290" s="232">
        <v>21062</v>
      </c>
    </row>
    <row r="1291" spans="1:39" ht="15.75" outlineLevel="1">
      <c r="A1291" s="411">
        <v>641</v>
      </c>
      <c r="B1291" s="10">
        <v>129641</v>
      </c>
      <c r="C1291" s="218" t="s">
        <v>1489</v>
      </c>
      <c r="D1291" s="218" t="s">
        <v>1490</v>
      </c>
      <c r="E1291" s="23" t="s">
        <v>44</v>
      </c>
      <c r="F1291" s="17" t="s">
        <v>45</v>
      </c>
      <c r="G1291" s="11" t="s">
        <v>1432</v>
      </c>
      <c r="H1291" s="12">
        <v>14</v>
      </c>
      <c r="I1291" s="11" t="s">
        <v>1433</v>
      </c>
      <c r="J1291" s="193" t="s">
        <v>1451</v>
      </c>
      <c r="K1291" s="17" t="s">
        <v>233</v>
      </c>
      <c r="L1291" s="17" t="s">
        <v>233</v>
      </c>
      <c r="M1291" s="231">
        <v>62</v>
      </c>
      <c r="N1291" s="231">
        <v>62</v>
      </c>
      <c r="O1291" s="231">
        <v>62</v>
      </c>
      <c r="P1291" s="231" t="s">
        <v>239</v>
      </c>
      <c r="Q1291" s="231">
        <v>62</v>
      </c>
      <c r="R1291" s="231" t="s">
        <v>239</v>
      </c>
      <c r="S1291" s="231">
        <v>62</v>
      </c>
      <c r="T1291" s="231" t="s">
        <v>239</v>
      </c>
      <c r="U1291" s="231">
        <v>62</v>
      </c>
      <c r="V1291" s="230" t="s">
        <v>239</v>
      </c>
      <c r="W1291" s="231">
        <v>62</v>
      </c>
      <c r="X1291" s="231" t="s">
        <v>239</v>
      </c>
      <c r="Y1291" s="231">
        <v>62</v>
      </c>
      <c r="Z1291" s="231" t="s">
        <v>239</v>
      </c>
      <c r="AA1291" s="231">
        <v>62</v>
      </c>
      <c r="AB1291" s="231" t="s">
        <v>239</v>
      </c>
      <c r="AC1291" s="231">
        <v>62</v>
      </c>
      <c r="AD1291" s="231" t="s">
        <v>239</v>
      </c>
      <c r="AE1291" s="231">
        <v>62</v>
      </c>
      <c r="AF1291" s="231" t="s">
        <v>239</v>
      </c>
      <c r="AG1291" s="231">
        <v>62</v>
      </c>
      <c r="AH1291" s="231" t="s">
        <v>239</v>
      </c>
      <c r="AI1291" s="231">
        <v>62</v>
      </c>
      <c r="AJ1291" s="231" t="s">
        <v>239</v>
      </c>
      <c r="AK1291" s="231">
        <v>62</v>
      </c>
      <c r="AL1291" s="232" t="s">
        <v>239</v>
      </c>
      <c r="AM1291" s="232">
        <v>0</v>
      </c>
    </row>
    <row r="1292" spans="1:39" ht="15.75" outlineLevel="1">
      <c r="A1292" s="412"/>
      <c r="B1292" s="10">
        <v>129641</v>
      </c>
      <c r="C1292" s="218" t="s">
        <v>1489</v>
      </c>
      <c r="D1292" s="218" t="s">
        <v>1490</v>
      </c>
      <c r="E1292" s="23" t="s">
        <v>44</v>
      </c>
      <c r="F1292" s="17" t="s">
        <v>45</v>
      </c>
      <c r="G1292" s="11" t="s">
        <v>1432</v>
      </c>
      <c r="H1292" s="12">
        <v>6</v>
      </c>
      <c r="I1292" s="11" t="s">
        <v>1433</v>
      </c>
      <c r="J1292" s="193" t="s">
        <v>208</v>
      </c>
      <c r="K1292" s="17" t="s">
        <v>233</v>
      </c>
      <c r="L1292" s="17" t="s">
        <v>233</v>
      </c>
      <c r="M1292" s="231">
        <v>12540</v>
      </c>
      <c r="N1292" s="232">
        <v>12387.7644</v>
      </c>
      <c r="O1292" s="132">
        <v>1381</v>
      </c>
      <c r="P1292" s="231" t="s">
        <v>239</v>
      </c>
      <c r="Q1292" s="232">
        <v>1381</v>
      </c>
      <c r="R1292" s="231" t="s">
        <v>239</v>
      </c>
      <c r="S1292" s="232">
        <v>1319</v>
      </c>
      <c r="T1292" s="231" t="s">
        <v>239</v>
      </c>
      <c r="U1292" s="232">
        <v>1370</v>
      </c>
      <c r="V1292" s="231" t="s">
        <v>239</v>
      </c>
      <c r="W1292" s="232">
        <v>1288</v>
      </c>
      <c r="X1292" s="231" t="s">
        <v>239</v>
      </c>
      <c r="Y1292" s="232">
        <v>1218</v>
      </c>
      <c r="Z1292" s="231" t="s">
        <v>239</v>
      </c>
      <c r="AA1292" s="232">
        <v>1538</v>
      </c>
      <c r="AB1292" s="231" t="s">
        <v>239</v>
      </c>
      <c r="AC1292" s="232">
        <v>1254</v>
      </c>
      <c r="AD1292" s="231" t="s">
        <v>239</v>
      </c>
      <c r="AE1292" s="232">
        <v>1304</v>
      </c>
      <c r="AF1292" s="231" t="s">
        <v>239</v>
      </c>
      <c r="AG1292" s="232">
        <v>1205</v>
      </c>
      <c r="AH1292" s="231" t="s">
        <v>239</v>
      </c>
      <c r="AI1292" s="232">
        <v>1236</v>
      </c>
      <c r="AJ1292" s="231" t="s">
        <v>239</v>
      </c>
      <c r="AK1292" s="232">
        <v>1179</v>
      </c>
      <c r="AL1292" s="232" t="s">
        <v>239</v>
      </c>
      <c r="AM1292" s="232">
        <v>15673</v>
      </c>
    </row>
    <row r="1293" spans="1:39" ht="15.75" outlineLevel="1">
      <c r="A1293" s="411">
        <v>642</v>
      </c>
      <c r="B1293" s="10">
        <v>129642</v>
      </c>
      <c r="C1293" s="218" t="s">
        <v>1489</v>
      </c>
      <c r="D1293" s="218" t="s">
        <v>1490</v>
      </c>
      <c r="E1293" s="23" t="s">
        <v>138</v>
      </c>
      <c r="F1293" s="17" t="s">
        <v>45</v>
      </c>
      <c r="G1293" s="11" t="s">
        <v>1432</v>
      </c>
      <c r="H1293" s="12">
        <v>8</v>
      </c>
      <c r="I1293" s="11" t="s">
        <v>1433</v>
      </c>
      <c r="J1293" s="193" t="s">
        <v>1452</v>
      </c>
      <c r="K1293" s="17" t="s">
        <v>233</v>
      </c>
      <c r="L1293" s="17" t="s">
        <v>233</v>
      </c>
      <c r="M1293" s="231">
        <v>0</v>
      </c>
      <c r="N1293" s="232">
        <v>0</v>
      </c>
      <c r="O1293" s="132">
        <v>0</v>
      </c>
      <c r="P1293" s="231" t="s">
        <v>239</v>
      </c>
      <c r="Q1293" s="232">
        <v>0</v>
      </c>
      <c r="R1293" s="231" t="s">
        <v>239</v>
      </c>
      <c r="S1293" s="232">
        <v>0</v>
      </c>
      <c r="T1293" s="231" t="s">
        <v>239</v>
      </c>
      <c r="U1293" s="232">
        <v>0</v>
      </c>
      <c r="V1293" s="231" t="s">
        <v>239</v>
      </c>
      <c r="W1293" s="232">
        <v>0</v>
      </c>
      <c r="X1293" s="231" t="s">
        <v>239</v>
      </c>
      <c r="Y1293" s="232">
        <v>0</v>
      </c>
      <c r="Z1293" s="231" t="s">
        <v>239</v>
      </c>
      <c r="AA1293" s="232">
        <v>0</v>
      </c>
      <c r="AB1293" s="231" t="s">
        <v>239</v>
      </c>
      <c r="AC1293" s="232">
        <v>0</v>
      </c>
      <c r="AD1293" s="231" t="s">
        <v>239</v>
      </c>
      <c r="AE1293" s="232">
        <v>0</v>
      </c>
      <c r="AF1293" s="231" t="s">
        <v>239</v>
      </c>
      <c r="AG1293" s="232">
        <v>0</v>
      </c>
      <c r="AH1293" s="231" t="s">
        <v>239</v>
      </c>
      <c r="AI1293" s="232">
        <v>0</v>
      </c>
      <c r="AJ1293" s="231" t="s">
        <v>239</v>
      </c>
      <c r="AK1293" s="232">
        <v>0</v>
      </c>
      <c r="AL1293" s="232" t="s">
        <v>239</v>
      </c>
      <c r="AM1293" s="232">
        <v>0</v>
      </c>
    </row>
    <row r="1294" spans="1:39" ht="15.75" outlineLevel="1">
      <c r="A1294" s="412"/>
      <c r="B1294" s="10">
        <v>129642</v>
      </c>
      <c r="C1294" s="218" t="s">
        <v>1489</v>
      </c>
      <c r="D1294" s="218" t="s">
        <v>1490</v>
      </c>
      <c r="E1294" s="23" t="s">
        <v>44</v>
      </c>
      <c r="F1294" s="17" t="s">
        <v>45</v>
      </c>
      <c r="G1294" s="11" t="s">
        <v>1432</v>
      </c>
      <c r="H1294" s="12">
        <v>36</v>
      </c>
      <c r="I1294" s="11" t="s">
        <v>1433</v>
      </c>
      <c r="J1294" s="193" t="s">
        <v>216</v>
      </c>
      <c r="K1294" s="17" t="s">
        <v>233</v>
      </c>
      <c r="L1294" s="17" t="s">
        <v>233</v>
      </c>
      <c r="M1294" s="231">
        <v>0</v>
      </c>
      <c r="N1294" s="232">
        <v>0</v>
      </c>
      <c r="O1294" s="132">
        <v>0</v>
      </c>
      <c r="P1294" s="231" t="s">
        <v>239</v>
      </c>
      <c r="Q1294" s="232">
        <v>0</v>
      </c>
      <c r="R1294" s="231" t="s">
        <v>239</v>
      </c>
      <c r="S1294" s="232">
        <v>0</v>
      </c>
      <c r="T1294" s="231" t="s">
        <v>239</v>
      </c>
      <c r="U1294" s="232">
        <v>0</v>
      </c>
      <c r="V1294" s="230" t="s">
        <v>239</v>
      </c>
      <c r="W1294" s="232">
        <v>0</v>
      </c>
      <c r="X1294" s="231" t="s">
        <v>239</v>
      </c>
      <c r="Y1294" s="232">
        <v>0</v>
      </c>
      <c r="Z1294" s="231" t="s">
        <v>239</v>
      </c>
      <c r="AA1294" s="232">
        <v>0</v>
      </c>
      <c r="AB1294" s="231" t="s">
        <v>239</v>
      </c>
      <c r="AC1294" s="232">
        <v>0</v>
      </c>
      <c r="AD1294" s="231" t="s">
        <v>239</v>
      </c>
      <c r="AE1294" s="232">
        <v>0</v>
      </c>
      <c r="AF1294" s="231" t="s">
        <v>239</v>
      </c>
      <c r="AG1294" s="232">
        <v>0</v>
      </c>
      <c r="AH1294" s="231" t="s">
        <v>239</v>
      </c>
      <c r="AI1294" s="232">
        <v>0</v>
      </c>
      <c r="AJ1294" s="231" t="s">
        <v>239</v>
      </c>
      <c r="AK1294" s="232">
        <v>0</v>
      </c>
      <c r="AL1294" s="232" t="s">
        <v>239</v>
      </c>
      <c r="AM1294" s="232">
        <v>0</v>
      </c>
    </row>
    <row r="1295" spans="1:39" ht="15.75" outlineLevel="1">
      <c r="A1295" s="411">
        <v>643</v>
      </c>
      <c r="B1295" s="10">
        <v>129643</v>
      </c>
      <c r="C1295" s="218" t="s">
        <v>1489</v>
      </c>
      <c r="D1295" s="218" t="s">
        <v>1490</v>
      </c>
      <c r="E1295" s="23" t="s">
        <v>138</v>
      </c>
      <c r="F1295" s="17" t="s">
        <v>45</v>
      </c>
      <c r="G1295" s="11" t="s">
        <v>1432</v>
      </c>
      <c r="H1295" s="12">
        <v>24</v>
      </c>
      <c r="I1295" s="11" t="s">
        <v>1433</v>
      </c>
      <c r="J1295" s="193" t="s">
        <v>1453</v>
      </c>
      <c r="K1295" s="17" t="s">
        <v>233</v>
      </c>
      <c r="L1295" s="17" t="s">
        <v>233</v>
      </c>
      <c r="M1295" s="231">
        <v>42</v>
      </c>
      <c r="N1295" s="231">
        <v>42</v>
      </c>
      <c r="O1295" s="231">
        <v>42</v>
      </c>
      <c r="P1295" s="231" t="s">
        <v>239</v>
      </c>
      <c r="Q1295" s="231">
        <v>42</v>
      </c>
      <c r="R1295" s="231" t="s">
        <v>239</v>
      </c>
      <c r="S1295" s="231">
        <v>42</v>
      </c>
      <c r="T1295" s="231" t="s">
        <v>239</v>
      </c>
      <c r="U1295" s="231">
        <v>42</v>
      </c>
      <c r="V1295" s="231" t="s">
        <v>239</v>
      </c>
      <c r="W1295" s="231">
        <v>42</v>
      </c>
      <c r="X1295" s="231" t="s">
        <v>239</v>
      </c>
      <c r="Y1295" s="231">
        <v>42</v>
      </c>
      <c r="Z1295" s="231" t="s">
        <v>239</v>
      </c>
      <c r="AA1295" s="231">
        <v>42</v>
      </c>
      <c r="AB1295" s="231" t="s">
        <v>239</v>
      </c>
      <c r="AC1295" s="231">
        <v>42</v>
      </c>
      <c r="AD1295" s="231" t="s">
        <v>239</v>
      </c>
      <c r="AE1295" s="231">
        <v>42</v>
      </c>
      <c r="AF1295" s="231" t="s">
        <v>239</v>
      </c>
      <c r="AG1295" s="231">
        <v>42</v>
      </c>
      <c r="AH1295" s="231" t="s">
        <v>239</v>
      </c>
      <c r="AI1295" s="231">
        <v>42</v>
      </c>
      <c r="AJ1295" s="231" t="s">
        <v>239</v>
      </c>
      <c r="AK1295" s="231">
        <v>42</v>
      </c>
      <c r="AL1295" s="232" t="s">
        <v>239</v>
      </c>
      <c r="AM1295" s="232">
        <v>0</v>
      </c>
    </row>
    <row r="1296" spans="1:39" ht="15.75" outlineLevel="1">
      <c r="A1296" s="412"/>
      <c r="B1296" s="10">
        <v>129643</v>
      </c>
      <c r="C1296" s="218" t="s">
        <v>1489</v>
      </c>
      <c r="D1296" s="218" t="s">
        <v>1490</v>
      </c>
      <c r="E1296" s="23" t="s">
        <v>44</v>
      </c>
      <c r="F1296" s="17" t="s">
        <v>45</v>
      </c>
      <c r="G1296" s="11" t="s">
        <v>1432</v>
      </c>
      <c r="H1296" s="12">
        <v>29</v>
      </c>
      <c r="I1296" s="11" t="s">
        <v>1433</v>
      </c>
      <c r="J1296" s="193" t="s">
        <v>1454</v>
      </c>
      <c r="K1296" s="17" t="s">
        <v>233</v>
      </c>
      <c r="L1296" s="17" t="s">
        <v>233</v>
      </c>
      <c r="M1296" s="231">
        <v>2746</v>
      </c>
      <c r="N1296" s="232">
        <v>2712.66356</v>
      </c>
      <c r="O1296" s="132">
        <v>911</v>
      </c>
      <c r="P1296" s="231" t="s">
        <v>239</v>
      </c>
      <c r="Q1296" s="232">
        <v>911</v>
      </c>
      <c r="R1296" s="231" t="s">
        <v>239</v>
      </c>
      <c r="S1296" s="232">
        <v>813</v>
      </c>
      <c r="T1296" s="231" t="s">
        <v>239</v>
      </c>
      <c r="U1296" s="232">
        <v>842</v>
      </c>
      <c r="V1296" s="231" t="s">
        <v>239</v>
      </c>
      <c r="W1296" s="232">
        <v>857</v>
      </c>
      <c r="X1296" s="231" t="s">
        <v>239</v>
      </c>
      <c r="Y1296" s="232">
        <v>904</v>
      </c>
      <c r="Z1296" s="231" t="s">
        <v>239</v>
      </c>
      <c r="AA1296" s="232">
        <v>890</v>
      </c>
      <c r="AB1296" s="231" t="s">
        <v>239</v>
      </c>
      <c r="AC1296" s="232">
        <v>702</v>
      </c>
      <c r="AD1296" s="231" t="s">
        <v>239</v>
      </c>
      <c r="AE1296" s="232">
        <v>792</v>
      </c>
      <c r="AF1296" s="231" t="s">
        <v>239</v>
      </c>
      <c r="AG1296" s="232">
        <v>749</v>
      </c>
      <c r="AH1296" s="231" t="s">
        <v>239</v>
      </c>
      <c r="AI1296" s="232">
        <v>713</v>
      </c>
      <c r="AJ1296" s="231" t="s">
        <v>239</v>
      </c>
      <c r="AK1296" s="232">
        <v>899</v>
      </c>
      <c r="AL1296" s="232" t="s">
        <v>239</v>
      </c>
      <c r="AM1296" s="232">
        <v>9983</v>
      </c>
    </row>
    <row r="1297" spans="1:39" ht="15.75" outlineLevel="1">
      <c r="A1297" s="411">
        <v>644</v>
      </c>
      <c r="B1297" s="10">
        <v>129644</v>
      </c>
      <c r="C1297" s="218" t="s">
        <v>1489</v>
      </c>
      <c r="D1297" s="218" t="s">
        <v>1490</v>
      </c>
      <c r="E1297" s="23" t="s">
        <v>44</v>
      </c>
      <c r="F1297" s="17" t="s">
        <v>45</v>
      </c>
      <c r="G1297" s="11" t="s">
        <v>1432</v>
      </c>
      <c r="H1297" s="12">
        <v>18</v>
      </c>
      <c r="I1297" s="11" t="s">
        <v>1433</v>
      </c>
      <c r="J1297" s="191" t="s">
        <v>216</v>
      </c>
      <c r="K1297" s="17" t="s">
        <v>233</v>
      </c>
      <c r="L1297" s="17" t="s">
        <v>233</v>
      </c>
      <c r="M1297" s="231">
        <v>0</v>
      </c>
      <c r="N1297" s="232">
        <v>0</v>
      </c>
      <c r="O1297" s="132">
        <v>0</v>
      </c>
      <c r="P1297" s="231" t="s">
        <v>239</v>
      </c>
      <c r="Q1297" s="232">
        <v>0</v>
      </c>
      <c r="R1297" s="231" t="s">
        <v>239</v>
      </c>
      <c r="S1297" s="232">
        <v>0</v>
      </c>
      <c r="T1297" s="231" t="s">
        <v>239</v>
      </c>
      <c r="U1297" s="232">
        <v>0</v>
      </c>
      <c r="V1297" s="230" t="s">
        <v>239</v>
      </c>
      <c r="W1297" s="232">
        <v>0</v>
      </c>
      <c r="X1297" s="231" t="s">
        <v>239</v>
      </c>
      <c r="Y1297" s="232">
        <v>0</v>
      </c>
      <c r="Z1297" s="231" t="s">
        <v>239</v>
      </c>
      <c r="AA1297" s="232">
        <v>0</v>
      </c>
      <c r="AB1297" s="231" t="s">
        <v>239</v>
      </c>
      <c r="AC1297" s="232">
        <v>0</v>
      </c>
      <c r="AD1297" s="231" t="s">
        <v>239</v>
      </c>
      <c r="AE1297" s="232">
        <v>0</v>
      </c>
      <c r="AF1297" s="231" t="s">
        <v>239</v>
      </c>
      <c r="AG1297" s="232">
        <v>0</v>
      </c>
      <c r="AH1297" s="231" t="s">
        <v>239</v>
      </c>
      <c r="AI1297" s="232">
        <v>0</v>
      </c>
      <c r="AJ1297" s="231" t="s">
        <v>239</v>
      </c>
      <c r="AK1297" s="232">
        <v>0</v>
      </c>
      <c r="AL1297" s="232" t="s">
        <v>239</v>
      </c>
      <c r="AM1297" s="232">
        <v>0</v>
      </c>
    </row>
    <row r="1298" spans="1:39" ht="15.75" outlineLevel="1">
      <c r="A1298" s="412"/>
      <c r="B1298" s="10">
        <v>129644</v>
      </c>
      <c r="C1298" s="218" t="s">
        <v>1489</v>
      </c>
      <c r="D1298" s="218" t="s">
        <v>1490</v>
      </c>
      <c r="E1298" s="23" t="s">
        <v>138</v>
      </c>
      <c r="F1298" s="17" t="s">
        <v>45</v>
      </c>
      <c r="G1298" s="11" t="s">
        <v>1432</v>
      </c>
      <c r="H1298" s="12">
        <v>18</v>
      </c>
      <c r="I1298" s="11" t="s">
        <v>1433</v>
      </c>
      <c r="J1298" s="192" t="s">
        <v>1434</v>
      </c>
      <c r="K1298" s="17" t="s">
        <v>233</v>
      </c>
      <c r="L1298" s="17" t="s">
        <v>233</v>
      </c>
      <c r="M1298" s="231">
        <v>0</v>
      </c>
      <c r="N1298" s="232">
        <v>0</v>
      </c>
      <c r="O1298" s="132">
        <v>0</v>
      </c>
      <c r="P1298" s="231" t="s">
        <v>239</v>
      </c>
      <c r="Q1298" s="232">
        <v>0</v>
      </c>
      <c r="R1298" s="231" t="s">
        <v>239</v>
      </c>
      <c r="S1298" s="232">
        <v>0</v>
      </c>
      <c r="T1298" s="231" t="s">
        <v>239</v>
      </c>
      <c r="U1298" s="232">
        <v>0</v>
      </c>
      <c r="V1298" s="231" t="s">
        <v>239</v>
      </c>
      <c r="W1298" s="232">
        <v>0</v>
      </c>
      <c r="X1298" s="231" t="s">
        <v>239</v>
      </c>
      <c r="Y1298" s="232">
        <v>0</v>
      </c>
      <c r="Z1298" s="231" t="s">
        <v>239</v>
      </c>
      <c r="AA1298" s="232">
        <v>0</v>
      </c>
      <c r="AB1298" s="231" t="s">
        <v>239</v>
      </c>
      <c r="AC1298" s="232">
        <v>0</v>
      </c>
      <c r="AD1298" s="231" t="s">
        <v>239</v>
      </c>
      <c r="AE1298" s="232">
        <v>0</v>
      </c>
      <c r="AF1298" s="231" t="s">
        <v>239</v>
      </c>
      <c r="AG1298" s="232">
        <v>0</v>
      </c>
      <c r="AH1298" s="231" t="s">
        <v>239</v>
      </c>
      <c r="AI1298" s="232">
        <v>0</v>
      </c>
      <c r="AJ1298" s="231" t="s">
        <v>239</v>
      </c>
      <c r="AK1298" s="232">
        <v>0</v>
      </c>
      <c r="AL1298" s="232" t="s">
        <v>239</v>
      </c>
      <c r="AM1298" s="232">
        <v>0</v>
      </c>
    </row>
    <row r="1299" spans="1:39" ht="15.75" outlineLevel="1">
      <c r="A1299" s="411">
        <v>645</v>
      </c>
      <c r="B1299" s="10">
        <v>129645</v>
      </c>
      <c r="C1299" s="218" t="s">
        <v>1489</v>
      </c>
      <c r="D1299" s="218" t="s">
        <v>1490</v>
      </c>
      <c r="E1299" s="23" t="s">
        <v>44</v>
      </c>
      <c r="F1299" s="17" t="s">
        <v>45</v>
      </c>
      <c r="G1299" s="11" t="s">
        <v>1432</v>
      </c>
      <c r="H1299" s="12">
        <v>14</v>
      </c>
      <c r="I1299" s="11" t="s">
        <v>1433</v>
      </c>
      <c r="J1299" s="192" t="s">
        <v>1480</v>
      </c>
      <c r="K1299" s="17" t="s">
        <v>233</v>
      </c>
      <c r="L1299" s="17" t="s">
        <v>233</v>
      </c>
      <c r="M1299" s="231">
        <v>56</v>
      </c>
      <c r="N1299" s="231">
        <v>56</v>
      </c>
      <c r="O1299" s="231">
        <v>56</v>
      </c>
      <c r="P1299" s="231" t="s">
        <v>239</v>
      </c>
      <c r="Q1299" s="231">
        <v>56</v>
      </c>
      <c r="R1299" s="231" t="s">
        <v>239</v>
      </c>
      <c r="S1299" s="231">
        <v>56</v>
      </c>
      <c r="T1299" s="231" t="s">
        <v>239</v>
      </c>
      <c r="U1299" s="231">
        <v>56</v>
      </c>
      <c r="V1299" s="231" t="s">
        <v>239</v>
      </c>
      <c r="W1299" s="231">
        <v>56</v>
      </c>
      <c r="X1299" s="231" t="s">
        <v>239</v>
      </c>
      <c r="Y1299" s="231">
        <v>56</v>
      </c>
      <c r="Z1299" s="231" t="s">
        <v>239</v>
      </c>
      <c r="AA1299" s="231">
        <v>56</v>
      </c>
      <c r="AB1299" s="231" t="s">
        <v>239</v>
      </c>
      <c r="AC1299" s="231">
        <v>56</v>
      </c>
      <c r="AD1299" s="231" t="s">
        <v>239</v>
      </c>
      <c r="AE1299" s="231">
        <v>56</v>
      </c>
      <c r="AF1299" s="231" t="s">
        <v>239</v>
      </c>
      <c r="AG1299" s="231">
        <v>56</v>
      </c>
      <c r="AH1299" s="231" t="s">
        <v>239</v>
      </c>
      <c r="AI1299" s="231">
        <v>56</v>
      </c>
      <c r="AJ1299" s="231" t="s">
        <v>239</v>
      </c>
      <c r="AK1299" s="231">
        <v>56</v>
      </c>
      <c r="AL1299" s="232" t="s">
        <v>239</v>
      </c>
      <c r="AM1299" s="232">
        <v>0</v>
      </c>
    </row>
    <row r="1300" spans="1:39" ht="15.75" outlineLevel="1">
      <c r="A1300" s="412"/>
      <c r="B1300" s="10">
        <v>129645</v>
      </c>
      <c r="C1300" s="218" t="s">
        <v>1489</v>
      </c>
      <c r="D1300" s="218" t="s">
        <v>1490</v>
      </c>
      <c r="E1300" s="23" t="s">
        <v>138</v>
      </c>
      <c r="F1300" s="17" t="s">
        <v>45</v>
      </c>
      <c r="G1300" s="11" t="s">
        <v>1432</v>
      </c>
      <c r="H1300" s="12">
        <v>16</v>
      </c>
      <c r="I1300" s="11" t="s">
        <v>1433</v>
      </c>
      <c r="J1300" s="192" t="s">
        <v>1452</v>
      </c>
      <c r="K1300" s="17" t="s">
        <v>233</v>
      </c>
      <c r="L1300" s="17" t="s">
        <v>233</v>
      </c>
      <c r="M1300" s="231">
        <v>8880</v>
      </c>
      <c r="N1300" s="232">
        <v>8772.1967999999997</v>
      </c>
      <c r="O1300" s="132">
        <v>1250</v>
      </c>
      <c r="P1300" s="231" t="s">
        <v>239</v>
      </c>
      <c r="Q1300" s="232">
        <v>1250</v>
      </c>
      <c r="R1300" s="231" t="s">
        <v>239</v>
      </c>
      <c r="S1300" s="232" t="s">
        <v>243</v>
      </c>
      <c r="T1300" s="231" t="s">
        <v>239</v>
      </c>
      <c r="U1300" s="232">
        <v>1241</v>
      </c>
      <c r="V1300" s="230" t="s">
        <v>239</v>
      </c>
      <c r="W1300" s="232">
        <v>1160</v>
      </c>
      <c r="X1300" s="231" t="s">
        <v>239</v>
      </c>
      <c r="Y1300" s="232">
        <v>1155</v>
      </c>
      <c r="Z1300" s="231" t="s">
        <v>239</v>
      </c>
      <c r="AA1300" s="232">
        <v>1254</v>
      </c>
      <c r="AB1300" s="231" t="s">
        <v>239</v>
      </c>
      <c r="AC1300" s="232">
        <v>1273</v>
      </c>
      <c r="AD1300" s="231" t="s">
        <v>239</v>
      </c>
      <c r="AE1300" s="232">
        <v>1220</v>
      </c>
      <c r="AF1300" s="231" t="s">
        <v>239</v>
      </c>
      <c r="AG1300" s="232">
        <v>1122</v>
      </c>
      <c r="AH1300" s="231" t="s">
        <v>239</v>
      </c>
      <c r="AI1300" s="232">
        <v>1011</v>
      </c>
      <c r="AJ1300" s="231" t="s">
        <v>239</v>
      </c>
      <c r="AK1300" s="232">
        <v>1165</v>
      </c>
      <c r="AL1300" s="232" t="s">
        <v>239</v>
      </c>
      <c r="AM1300" s="232" t="e">
        <v>#VALUE!</v>
      </c>
    </row>
    <row r="1301" spans="1:39" ht="15.75" outlineLevel="1">
      <c r="A1301" s="411">
        <v>646</v>
      </c>
      <c r="B1301" s="10">
        <v>129646</v>
      </c>
      <c r="C1301" s="218" t="s">
        <v>1489</v>
      </c>
      <c r="D1301" s="218" t="s">
        <v>1490</v>
      </c>
      <c r="E1301" s="23" t="s">
        <v>44</v>
      </c>
      <c r="F1301" s="17" t="s">
        <v>45</v>
      </c>
      <c r="G1301" s="11" t="s">
        <v>1432</v>
      </c>
      <c r="H1301" s="12">
        <v>15</v>
      </c>
      <c r="I1301" s="11" t="s">
        <v>1433</v>
      </c>
      <c r="J1301" s="374" t="s">
        <v>207</v>
      </c>
      <c r="K1301" s="17" t="s">
        <v>233</v>
      </c>
      <c r="L1301" s="17" t="s">
        <v>233</v>
      </c>
      <c r="M1301" s="231">
        <v>0</v>
      </c>
      <c r="N1301" s="232">
        <v>0</v>
      </c>
      <c r="O1301" s="132">
        <v>0</v>
      </c>
      <c r="P1301" s="231" t="s">
        <v>239</v>
      </c>
      <c r="Q1301" s="232">
        <v>0</v>
      </c>
      <c r="R1301" s="231" t="s">
        <v>239</v>
      </c>
      <c r="S1301" s="232">
        <v>0</v>
      </c>
      <c r="T1301" s="231" t="s">
        <v>239</v>
      </c>
      <c r="U1301" s="232">
        <v>0</v>
      </c>
      <c r="V1301" s="231" t="s">
        <v>239</v>
      </c>
      <c r="W1301" s="232">
        <v>0</v>
      </c>
      <c r="X1301" s="231" t="s">
        <v>239</v>
      </c>
      <c r="Y1301" s="232">
        <v>0</v>
      </c>
      <c r="Z1301" s="231" t="s">
        <v>239</v>
      </c>
      <c r="AA1301" s="232">
        <v>0</v>
      </c>
      <c r="AB1301" s="231" t="s">
        <v>239</v>
      </c>
      <c r="AC1301" s="232">
        <v>0</v>
      </c>
      <c r="AD1301" s="231" t="s">
        <v>239</v>
      </c>
      <c r="AE1301" s="232">
        <v>0</v>
      </c>
      <c r="AF1301" s="231" t="s">
        <v>239</v>
      </c>
      <c r="AG1301" s="232">
        <v>0</v>
      </c>
      <c r="AH1301" s="231" t="s">
        <v>239</v>
      </c>
      <c r="AI1301" s="232">
        <v>0</v>
      </c>
      <c r="AJ1301" s="231" t="s">
        <v>239</v>
      </c>
      <c r="AK1301" s="232">
        <v>0</v>
      </c>
      <c r="AL1301" s="232" t="s">
        <v>239</v>
      </c>
      <c r="AM1301" s="232">
        <v>0</v>
      </c>
    </row>
    <row r="1302" spans="1:39" ht="15.75" outlineLevel="1">
      <c r="A1302" s="412"/>
      <c r="B1302" s="10">
        <v>129646</v>
      </c>
      <c r="C1302" s="218" t="s">
        <v>1489</v>
      </c>
      <c r="D1302" s="218" t="s">
        <v>1490</v>
      </c>
      <c r="E1302" s="23" t="s">
        <v>44</v>
      </c>
      <c r="F1302" s="17" t="s">
        <v>45</v>
      </c>
      <c r="G1302" s="11" t="s">
        <v>1432</v>
      </c>
      <c r="H1302" s="12">
        <v>17</v>
      </c>
      <c r="I1302" s="11" t="s">
        <v>1433</v>
      </c>
      <c r="J1302" s="375"/>
      <c r="K1302" s="17" t="s">
        <v>233</v>
      </c>
      <c r="L1302" s="17" t="s">
        <v>233</v>
      </c>
      <c r="M1302" s="231">
        <v>0</v>
      </c>
      <c r="N1302" s="232">
        <v>0</v>
      </c>
      <c r="O1302" s="132">
        <v>0</v>
      </c>
      <c r="P1302" s="231" t="s">
        <v>239</v>
      </c>
      <c r="Q1302" s="232">
        <v>0</v>
      </c>
      <c r="R1302" s="231" t="s">
        <v>239</v>
      </c>
      <c r="S1302" s="232">
        <v>0</v>
      </c>
      <c r="T1302" s="231" t="s">
        <v>239</v>
      </c>
      <c r="U1302" s="232">
        <v>0</v>
      </c>
      <c r="V1302" s="231" t="s">
        <v>239</v>
      </c>
      <c r="W1302" s="232">
        <v>0</v>
      </c>
      <c r="X1302" s="231" t="s">
        <v>239</v>
      </c>
      <c r="Y1302" s="232">
        <v>0</v>
      </c>
      <c r="Z1302" s="231" t="s">
        <v>239</v>
      </c>
      <c r="AA1302" s="232">
        <v>0</v>
      </c>
      <c r="AB1302" s="231" t="s">
        <v>239</v>
      </c>
      <c r="AC1302" s="232">
        <v>0</v>
      </c>
      <c r="AD1302" s="231" t="s">
        <v>239</v>
      </c>
      <c r="AE1302" s="232">
        <v>0</v>
      </c>
      <c r="AF1302" s="231" t="s">
        <v>239</v>
      </c>
      <c r="AG1302" s="232">
        <v>0</v>
      </c>
      <c r="AH1302" s="231" t="s">
        <v>239</v>
      </c>
      <c r="AI1302" s="232">
        <v>0</v>
      </c>
      <c r="AJ1302" s="231" t="s">
        <v>239</v>
      </c>
      <c r="AK1302" s="232">
        <v>0</v>
      </c>
      <c r="AL1302" s="232" t="s">
        <v>239</v>
      </c>
      <c r="AM1302" s="232">
        <v>0</v>
      </c>
    </row>
    <row r="1303" spans="1:39" ht="15.75" outlineLevel="1">
      <c r="A1303" s="411">
        <v>647</v>
      </c>
      <c r="B1303" s="10">
        <v>129647</v>
      </c>
      <c r="C1303" s="218" t="s">
        <v>1489</v>
      </c>
      <c r="D1303" s="218" t="s">
        <v>1490</v>
      </c>
      <c r="E1303" s="23" t="s">
        <v>138</v>
      </c>
      <c r="F1303" s="17" t="s">
        <v>45</v>
      </c>
      <c r="G1303" s="11" t="s">
        <v>1432</v>
      </c>
      <c r="H1303" s="12">
        <v>25</v>
      </c>
      <c r="I1303" s="11" t="s">
        <v>1433</v>
      </c>
      <c r="J1303" s="193" t="s">
        <v>1460</v>
      </c>
      <c r="K1303" s="17" t="s">
        <v>233</v>
      </c>
      <c r="L1303" s="17" t="s">
        <v>233</v>
      </c>
      <c r="M1303" s="231">
        <v>31.5</v>
      </c>
      <c r="N1303" s="231">
        <v>31.5</v>
      </c>
      <c r="O1303" s="231">
        <v>31.5</v>
      </c>
      <c r="P1303" s="231" t="s">
        <v>239</v>
      </c>
      <c r="Q1303" s="231">
        <v>31.5</v>
      </c>
      <c r="R1303" s="231" t="s">
        <v>239</v>
      </c>
      <c r="S1303" s="231">
        <v>31.5</v>
      </c>
      <c r="T1303" s="231" t="s">
        <v>239</v>
      </c>
      <c r="U1303" s="231">
        <v>31.5</v>
      </c>
      <c r="V1303" s="230" t="s">
        <v>239</v>
      </c>
      <c r="W1303" s="231">
        <v>31.5</v>
      </c>
      <c r="X1303" s="231" t="s">
        <v>239</v>
      </c>
      <c r="Y1303" s="231">
        <v>31.5</v>
      </c>
      <c r="Z1303" s="231" t="s">
        <v>239</v>
      </c>
      <c r="AA1303" s="231">
        <v>31.5</v>
      </c>
      <c r="AB1303" s="231" t="s">
        <v>239</v>
      </c>
      <c r="AC1303" s="231">
        <v>31.5</v>
      </c>
      <c r="AD1303" s="231" t="s">
        <v>239</v>
      </c>
      <c r="AE1303" s="231">
        <v>31.5</v>
      </c>
      <c r="AF1303" s="231" t="s">
        <v>239</v>
      </c>
      <c r="AG1303" s="231">
        <v>31.5</v>
      </c>
      <c r="AH1303" s="231" t="s">
        <v>239</v>
      </c>
      <c r="AI1303" s="231">
        <v>31.5</v>
      </c>
      <c r="AJ1303" s="231" t="s">
        <v>239</v>
      </c>
      <c r="AK1303" s="231">
        <v>31.5</v>
      </c>
      <c r="AL1303" s="232" t="s">
        <v>239</v>
      </c>
      <c r="AM1303" s="232">
        <v>0</v>
      </c>
    </row>
    <row r="1304" spans="1:39" ht="15.75" outlineLevel="1">
      <c r="A1304" s="412"/>
      <c r="B1304" s="10">
        <v>129647</v>
      </c>
      <c r="C1304" s="218" t="s">
        <v>1489</v>
      </c>
      <c r="D1304" s="218" t="s">
        <v>1490</v>
      </c>
      <c r="E1304" s="23" t="s">
        <v>44</v>
      </c>
      <c r="F1304" s="17" t="s">
        <v>45</v>
      </c>
      <c r="G1304" s="11" t="s">
        <v>1432</v>
      </c>
      <c r="H1304" s="12">
        <v>18</v>
      </c>
      <c r="I1304" s="11" t="s">
        <v>1433</v>
      </c>
      <c r="J1304" s="193" t="s">
        <v>1451</v>
      </c>
      <c r="K1304" s="17" t="s">
        <v>233</v>
      </c>
      <c r="L1304" s="17" t="s">
        <v>233</v>
      </c>
      <c r="M1304" s="231">
        <v>7168</v>
      </c>
      <c r="N1304" s="232">
        <v>7080.9804800000002</v>
      </c>
      <c r="O1304" s="132">
        <v>1159</v>
      </c>
      <c r="P1304" s="231" t="s">
        <v>239</v>
      </c>
      <c r="Q1304" s="232">
        <v>1159</v>
      </c>
      <c r="R1304" s="231" t="s">
        <v>239</v>
      </c>
      <c r="S1304" s="232">
        <v>1228</v>
      </c>
      <c r="T1304" s="231" t="s">
        <v>239</v>
      </c>
      <c r="U1304" s="232">
        <v>1131</v>
      </c>
      <c r="V1304" s="231" t="s">
        <v>239</v>
      </c>
      <c r="W1304" s="232">
        <v>1038</v>
      </c>
      <c r="X1304" s="231" t="s">
        <v>239</v>
      </c>
      <c r="Y1304" s="232">
        <v>1942</v>
      </c>
      <c r="Z1304" s="231" t="s">
        <v>239</v>
      </c>
      <c r="AA1304" s="232">
        <v>1145</v>
      </c>
      <c r="AB1304" s="231" t="s">
        <v>239</v>
      </c>
      <c r="AC1304" s="232">
        <v>1074</v>
      </c>
      <c r="AD1304" s="231" t="s">
        <v>239</v>
      </c>
      <c r="AE1304" s="232">
        <v>1145</v>
      </c>
      <c r="AF1304" s="231" t="s">
        <v>239</v>
      </c>
      <c r="AG1304" s="232">
        <v>945</v>
      </c>
      <c r="AH1304" s="231" t="s">
        <v>239</v>
      </c>
      <c r="AI1304" s="232">
        <v>1158</v>
      </c>
      <c r="AJ1304" s="231" t="s">
        <v>239</v>
      </c>
      <c r="AK1304" s="232">
        <v>1121</v>
      </c>
      <c r="AL1304" s="232" t="s">
        <v>239</v>
      </c>
      <c r="AM1304" s="232">
        <v>14245</v>
      </c>
    </row>
    <row r="1305" spans="1:39" ht="15.75" outlineLevel="1">
      <c r="A1305" s="411">
        <v>648</v>
      </c>
      <c r="B1305" s="10">
        <v>129648</v>
      </c>
      <c r="C1305" s="218" t="s">
        <v>1489</v>
      </c>
      <c r="D1305" s="218" t="s">
        <v>1490</v>
      </c>
      <c r="E1305" s="23" t="s">
        <v>138</v>
      </c>
      <c r="F1305" s="17" t="s">
        <v>45</v>
      </c>
      <c r="G1305" s="11" t="s">
        <v>1432</v>
      </c>
      <c r="H1305" s="12">
        <v>17</v>
      </c>
      <c r="I1305" s="11" t="s">
        <v>1433</v>
      </c>
      <c r="J1305" s="193" t="s">
        <v>208</v>
      </c>
      <c r="K1305" s="17" t="s">
        <v>233</v>
      </c>
      <c r="L1305" s="17" t="s">
        <v>233</v>
      </c>
      <c r="M1305" s="231">
        <v>0</v>
      </c>
      <c r="N1305" s="232">
        <v>0</v>
      </c>
      <c r="O1305" s="132">
        <v>0</v>
      </c>
      <c r="P1305" s="231" t="s">
        <v>239</v>
      </c>
      <c r="Q1305" s="232">
        <v>0</v>
      </c>
      <c r="R1305" s="231" t="s">
        <v>239</v>
      </c>
      <c r="S1305" s="232">
        <v>0</v>
      </c>
      <c r="T1305" s="231" t="s">
        <v>239</v>
      </c>
      <c r="U1305" s="232">
        <v>0</v>
      </c>
      <c r="V1305" s="231" t="s">
        <v>239</v>
      </c>
      <c r="W1305" s="232">
        <v>0</v>
      </c>
      <c r="X1305" s="231" t="s">
        <v>239</v>
      </c>
      <c r="Y1305" s="232">
        <v>0</v>
      </c>
      <c r="Z1305" s="231" t="s">
        <v>239</v>
      </c>
      <c r="AA1305" s="232">
        <v>0</v>
      </c>
      <c r="AB1305" s="231" t="s">
        <v>239</v>
      </c>
      <c r="AC1305" s="232">
        <v>0</v>
      </c>
      <c r="AD1305" s="231" t="s">
        <v>239</v>
      </c>
      <c r="AE1305" s="232">
        <v>0</v>
      </c>
      <c r="AF1305" s="231" t="s">
        <v>239</v>
      </c>
      <c r="AG1305" s="232">
        <v>0</v>
      </c>
      <c r="AH1305" s="231" t="s">
        <v>239</v>
      </c>
      <c r="AI1305" s="232">
        <v>0</v>
      </c>
      <c r="AJ1305" s="231" t="s">
        <v>239</v>
      </c>
      <c r="AK1305" s="232">
        <v>0</v>
      </c>
      <c r="AL1305" s="232" t="s">
        <v>239</v>
      </c>
      <c r="AM1305" s="232">
        <v>0</v>
      </c>
    </row>
    <row r="1306" spans="1:39" ht="15.75" outlineLevel="1">
      <c r="A1306" s="412"/>
      <c r="B1306" s="10">
        <v>129648</v>
      </c>
      <c r="C1306" s="218" t="s">
        <v>1489</v>
      </c>
      <c r="D1306" s="218" t="s">
        <v>1490</v>
      </c>
      <c r="E1306" s="23" t="s">
        <v>44</v>
      </c>
      <c r="F1306" s="17" t="s">
        <v>45</v>
      </c>
      <c r="G1306" s="11" t="s">
        <v>1432</v>
      </c>
      <c r="H1306" s="12">
        <v>25</v>
      </c>
      <c r="I1306" s="11" t="s">
        <v>1433</v>
      </c>
      <c r="J1306" s="193" t="s">
        <v>1452</v>
      </c>
      <c r="K1306" s="17" t="s">
        <v>233</v>
      </c>
      <c r="L1306" s="17" t="s">
        <v>233</v>
      </c>
      <c r="M1306" s="231">
        <v>0</v>
      </c>
      <c r="N1306" s="232">
        <v>0</v>
      </c>
      <c r="O1306" s="132">
        <v>0</v>
      </c>
      <c r="P1306" s="231" t="s">
        <v>239</v>
      </c>
      <c r="Q1306" s="232">
        <v>0</v>
      </c>
      <c r="R1306" s="231" t="s">
        <v>239</v>
      </c>
      <c r="S1306" s="232">
        <v>0</v>
      </c>
      <c r="T1306" s="231" t="s">
        <v>239</v>
      </c>
      <c r="U1306" s="232">
        <v>0</v>
      </c>
      <c r="V1306" s="230" t="s">
        <v>239</v>
      </c>
      <c r="W1306" s="232">
        <v>0</v>
      </c>
      <c r="X1306" s="231" t="s">
        <v>239</v>
      </c>
      <c r="Y1306" s="232">
        <v>0</v>
      </c>
      <c r="Z1306" s="231" t="s">
        <v>239</v>
      </c>
      <c r="AA1306" s="232">
        <v>0</v>
      </c>
      <c r="AB1306" s="231" t="s">
        <v>239</v>
      </c>
      <c r="AC1306" s="232">
        <v>0</v>
      </c>
      <c r="AD1306" s="231" t="s">
        <v>239</v>
      </c>
      <c r="AE1306" s="232">
        <v>0</v>
      </c>
      <c r="AF1306" s="231" t="s">
        <v>239</v>
      </c>
      <c r="AG1306" s="232">
        <v>0</v>
      </c>
      <c r="AH1306" s="231" t="s">
        <v>239</v>
      </c>
      <c r="AI1306" s="232">
        <v>0</v>
      </c>
      <c r="AJ1306" s="231" t="s">
        <v>239</v>
      </c>
      <c r="AK1306" s="232">
        <v>0</v>
      </c>
      <c r="AL1306" s="232" t="s">
        <v>239</v>
      </c>
      <c r="AM1306" s="232">
        <v>0</v>
      </c>
    </row>
    <row r="1307" spans="1:39" ht="15.75" outlineLevel="1">
      <c r="A1307" s="411">
        <v>649</v>
      </c>
      <c r="B1307" s="10">
        <v>129649</v>
      </c>
      <c r="C1307" s="218" t="s">
        <v>1489</v>
      </c>
      <c r="D1307" s="218" t="s">
        <v>1490</v>
      </c>
      <c r="E1307" s="23" t="s">
        <v>44</v>
      </c>
      <c r="F1307" s="17" t="s">
        <v>45</v>
      </c>
      <c r="G1307" s="11" t="s">
        <v>1432</v>
      </c>
      <c r="H1307" s="12">
        <v>13</v>
      </c>
      <c r="I1307" s="11" t="s">
        <v>1433</v>
      </c>
      <c r="J1307" s="193" t="s">
        <v>216</v>
      </c>
      <c r="K1307" s="17" t="s">
        <v>233</v>
      </c>
      <c r="L1307" s="17" t="s">
        <v>233</v>
      </c>
      <c r="M1307" s="231">
        <v>115</v>
      </c>
      <c r="N1307" s="231">
        <v>115</v>
      </c>
      <c r="O1307" s="231">
        <v>115</v>
      </c>
      <c r="P1307" s="231" t="s">
        <v>239</v>
      </c>
      <c r="Q1307" s="231">
        <v>115</v>
      </c>
      <c r="R1307" s="231" t="s">
        <v>239</v>
      </c>
      <c r="S1307" s="231">
        <v>115</v>
      </c>
      <c r="T1307" s="231" t="s">
        <v>239</v>
      </c>
      <c r="U1307" s="231">
        <v>115</v>
      </c>
      <c r="V1307" s="231" t="s">
        <v>239</v>
      </c>
      <c r="W1307" s="231">
        <v>115</v>
      </c>
      <c r="X1307" s="231" t="s">
        <v>239</v>
      </c>
      <c r="Y1307" s="231">
        <v>115</v>
      </c>
      <c r="Z1307" s="231" t="s">
        <v>239</v>
      </c>
      <c r="AA1307" s="231">
        <v>115</v>
      </c>
      <c r="AB1307" s="231" t="s">
        <v>239</v>
      </c>
      <c r="AC1307" s="231">
        <v>115</v>
      </c>
      <c r="AD1307" s="231" t="s">
        <v>239</v>
      </c>
      <c r="AE1307" s="231">
        <v>115</v>
      </c>
      <c r="AF1307" s="231" t="s">
        <v>239</v>
      </c>
      <c r="AG1307" s="231">
        <v>115</v>
      </c>
      <c r="AH1307" s="231" t="s">
        <v>239</v>
      </c>
      <c r="AI1307" s="231">
        <v>115</v>
      </c>
      <c r="AJ1307" s="231" t="s">
        <v>239</v>
      </c>
      <c r="AK1307" s="231">
        <v>115</v>
      </c>
      <c r="AL1307" s="232" t="s">
        <v>239</v>
      </c>
      <c r="AM1307" s="232">
        <v>0</v>
      </c>
    </row>
    <row r="1308" spans="1:39" ht="15.75" outlineLevel="1">
      <c r="A1308" s="412"/>
      <c r="B1308" s="10">
        <v>129649</v>
      </c>
      <c r="C1308" s="218" t="s">
        <v>1489</v>
      </c>
      <c r="D1308" s="218" t="s">
        <v>1490</v>
      </c>
      <c r="E1308" s="23" t="s">
        <v>138</v>
      </c>
      <c r="F1308" s="17" t="s">
        <v>45</v>
      </c>
      <c r="G1308" s="11" t="s">
        <v>1432</v>
      </c>
      <c r="H1308" s="12">
        <v>5</v>
      </c>
      <c r="I1308" s="11" t="s">
        <v>1433</v>
      </c>
      <c r="J1308" s="193" t="s">
        <v>1453</v>
      </c>
      <c r="K1308" s="17" t="s">
        <v>233</v>
      </c>
      <c r="L1308" s="17" t="s">
        <v>233</v>
      </c>
      <c r="M1308" s="231">
        <v>82635</v>
      </c>
      <c r="N1308" s="232">
        <v>81631.811099999992</v>
      </c>
      <c r="O1308" s="132">
        <v>4179</v>
      </c>
      <c r="P1308" s="231" t="s">
        <v>239</v>
      </c>
      <c r="Q1308" s="232">
        <v>4179</v>
      </c>
      <c r="R1308" s="231" t="s">
        <v>239</v>
      </c>
      <c r="S1308" s="232">
        <v>3280</v>
      </c>
      <c r="T1308" s="231" t="s">
        <v>239</v>
      </c>
      <c r="U1308" s="232">
        <v>3770</v>
      </c>
      <c r="V1308" s="231" t="s">
        <v>239</v>
      </c>
      <c r="W1308" s="232">
        <v>3491</v>
      </c>
      <c r="X1308" s="231" t="s">
        <v>239</v>
      </c>
      <c r="Y1308" s="232">
        <v>3116</v>
      </c>
      <c r="Z1308" s="231" t="s">
        <v>239</v>
      </c>
      <c r="AA1308" s="232">
        <v>3611</v>
      </c>
      <c r="AB1308" s="231" t="s">
        <v>239</v>
      </c>
      <c r="AC1308" s="232">
        <v>3518</v>
      </c>
      <c r="AD1308" s="231" t="s">
        <v>239</v>
      </c>
      <c r="AE1308" s="232">
        <v>3451</v>
      </c>
      <c r="AF1308" s="231" t="s">
        <v>239</v>
      </c>
      <c r="AG1308" s="232">
        <v>3413</v>
      </c>
      <c r="AH1308" s="231" t="s">
        <v>239</v>
      </c>
      <c r="AI1308" s="232">
        <v>3077</v>
      </c>
      <c r="AJ1308" s="231" t="s">
        <v>239</v>
      </c>
      <c r="AK1308" s="232">
        <v>275</v>
      </c>
      <c r="AL1308" s="232" t="s">
        <v>239</v>
      </c>
      <c r="AM1308" s="232">
        <v>39360</v>
      </c>
    </row>
    <row r="1309" spans="1:39" ht="15.75" outlineLevel="1">
      <c r="A1309" s="411">
        <v>650</v>
      </c>
      <c r="B1309" s="10">
        <v>129650</v>
      </c>
      <c r="C1309" s="218" t="s">
        <v>1489</v>
      </c>
      <c r="D1309" s="218" t="s">
        <v>1490</v>
      </c>
      <c r="E1309" s="23" t="s">
        <v>44</v>
      </c>
      <c r="F1309" s="17" t="s">
        <v>45</v>
      </c>
      <c r="G1309" s="11" t="s">
        <v>1432</v>
      </c>
      <c r="H1309" s="12">
        <v>4</v>
      </c>
      <c r="I1309" s="11" t="s">
        <v>1433</v>
      </c>
      <c r="J1309" s="193" t="s">
        <v>1454</v>
      </c>
      <c r="K1309" s="17" t="s">
        <v>233</v>
      </c>
      <c r="L1309" s="17" t="s">
        <v>233</v>
      </c>
      <c r="M1309" s="231">
        <v>18</v>
      </c>
      <c r="N1309" s="231">
        <v>18</v>
      </c>
      <c r="O1309" s="231">
        <v>18</v>
      </c>
      <c r="P1309" s="231" t="s">
        <v>239</v>
      </c>
      <c r="Q1309" s="231">
        <v>18</v>
      </c>
      <c r="R1309" s="231" t="s">
        <v>239</v>
      </c>
      <c r="S1309" s="231">
        <v>18</v>
      </c>
      <c r="T1309" s="231" t="s">
        <v>239</v>
      </c>
      <c r="U1309" s="231">
        <v>18</v>
      </c>
      <c r="V1309" s="230" t="s">
        <v>239</v>
      </c>
      <c r="W1309" s="231">
        <v>18</v>
      </c>
      <c r="X1309" s="231" t="s">
        <v>239</v>
      </c>
      <c r="Y1309" s="231">
        <v>18</v>
      </c>
      <c r="Z1309" s="231" t="s">
        <v>239</v>
      </c>
      <c r="AA1309" s="231">
        <v>18</v>
      </c>
      <c r="AB1309" s="231" t="s">
        <v>239</v>
      </c>
      <c r="AC1309" s="231">
        <v>18</v>
      </c>
      <c r="AD1309" s="231" t="s">
        <v>239</v>
      </c>
      <c r="AE1309" s="231">
        <v>18</v>
      </c>
      <c r="AF1309" s="231" t="s">
        <v>239</v>
      </c>
      <c r="AG1309" s="231">
        <v>18</v>
      </c>
      <c r="AH1309" s="231" t="s">
        <v>239</v>
      </c>
      <c r="AI1309" s="231">
        <v>18</v>
      </c>
      <c r="AJ1309" s="231" t="s">
        <v>239</v>
      </c>
      <c r="AK1309" s="231">
        <v>18</v>
      </c>
      <c r="AL1309" s="232" t="s">
        <v>239</v>
      </c>
      <c r="AM1309" s="232">
        <v>0</v>
      </c>
    </row>
    <row r="1310" spans="1:39" ht="15.75" outlineLevel="1">
      <c r="A1310" s="412"/>
      <c r="B1310" s="10">
        <v>129650</v>
      </c>
      <c r="C1310" s="218" t="s">
        <v>1489</v>
      </c>
      <c r="D1310" s="218" t="s">
        <v>1490</v>
      </c>
      <c r="E1310" s="23" t="s">
        <v>138</v>
      </c>
      <c r="F1310" s="17" t="s">
        <v>45</v>
      </c>
      <c r="G1310" s="11" t="s">
        <v>1432</v>
      </c>
      <c r="H1310" s="12">
        <v>24</v>
      </c>
      <c r="I1310" s="11" t="s">
        <v>1433</v>
      </c>
      <c r="J1310" s="191" t="s">
        <v>216</v>
      </c>
      <c r="K1310" s="17" t="s">
        <v>233</v>
      </c>
      <c r="L1310" s="17" t="s">
        <v>233</v>
      </c>
      <c r="M1310" s="231">
        <v>12188</v>
      </c>
      <c r="N1310" s="232">
        <v>12040.037679999999</v>
      </c>
      <c r="O1310" s="132">
        <v>927</v>
      </c>
      <c r="P1310" s="231" t="s">
        <v>239</v>
      </c>
      <c r="Q1310" s="232">
        <v>927</v>
      </c>
      <c r="R1310" s="231" t="s">
        <v>239</v>
      </c>
      <c r="S1310" s="232">
        <v>811</v>
      </c>
      <c r="T1310" s="231" t="s">
        <v>239</v>
      </c>
      <c r="U1310" s="232">
        <v>770</v>
      </c>
      <c r="V1310" s="231" t="s">
        <v>239</v>
      </c>
      <c r="W1310" s="232">
        <v>651</v>
      </c>
      <c r="X1310" s="231" t="s">
        <v>239</v>
      </c>
      <c r="Y1310" s="232">
        <v>716</v>
      </c>
      <c r="Z1310" s="231" t="s">
        <v>239</v>
      </c>
      <c r="AA1310" s="232">
        <v>795</v>
      </c>
      <c r="AB1310" s="231" t="s">
        <v>239</v>
      </c>
      <c r="AC1310" s="232">
        <v>757</v>
      </c>
      <c r="AD1310" s="231" t="s">
        <v>239</v>
      </c>
      <c r="AE1310" s="232">
        <v>698</v>
      </c>
      <c r="AF1310" s="231" t="s">
        <v>239</v>
      </c>
      <c r="AG1310" s="232">
        <v>681</v>
      </c>
      <c r="AH1310" s="231" t="s">
        <v>239</v>
      </c>
      <c r="AI1310" s="232">
        <v>740</v>
      </c>
      <c r="AJ1310" s="231" t="s">
        <v>239</v>
      </c>
      <c r="AK1310" s="232">
        <v>712</v>
      </c>
      <c r="AL1310" s="232" t="s">
        <v>239</v>
      </c>
      <c r="AM1310" s="232">
        <v>9185</v>
      </c>
    </row>
    <row r="1311" spans="1:39" ht="15.75" outlineLevel="1">
      <c r="A1311" s="411">
        <v>651</v>
      </c>
      <c r="B1311" s="10">
        <v>129651</v>
      </c>
      <c r="C1311" s="218" t="s">
        <v>1489</v>
      </c>
      <c r="D1311" s="218" t="s">
        <v>1490</v>
      </c>
      <c r="E1311" s="23" t="s">
        <v>44</v>
      </c>
      <c r="F1311" s="17" t="s">
        <v>45</v>
      </c>
      <c r="G1311" s="11" t="s">
        <v>1432</v>
      </c>
      <c r="H1311" s="12">
        <v>10</v>
      </c>
      <c r="I1311" s="11" t="s">
        <v>1433</v>
      </c>
      <c r="J1311" s="192" t="s">
        <v>1434</v>
      </c>
      <c r="K1311" s="17" t="s">
        <v>233</v>
      </c>
      <c r="L1311" s="17" t="s">
        <v>233</v>
      </c>
      <c r="M1311" s="231">
        <v>34</v>
      </c>
      <c r="N1311" s="231">
        <v>34</v>
      </c>
      <c r="O1311" s="231">
        <v>34</v>
      </c>
      <c r="P1311" s="231" t="s">
        <v>239</v>
      </c>
      <c r="Q1311" s="231">
        <v>34</v>
      </c>
      <c r="R1311" s="231" t="s">
        <v>239</v>
      </c>
      <c r="S1311" s="231">
        <v>34</v>
      </c>
      <c r="T1311" s="231" t="s">
        <v>239</v>
      </c>
      <c r="U1311" s="231">
        <v>34</v>
      </c>
      <c r="V1311" s="231" t="s">
        <v>239</v>
      </c>
      <c r="W1311" s="231">
        <v>34</v>
      </c>
      <c r="X1311" s="231" t="s">
        <v>239</v>
      </c>
      <c r="Y1311" s="231">
        <v>34</v>
      </c>
      <c r="Z1311" s="231" t="s">
        <v>239</v>
      </c>
      <c r="AA1311" s="231">
        <v>34</v>
      </c>
      <c r="AB1311" s="231" t="s">
        <v>239</v>
      </c>
      <c r="AC1311" s="231">
        <v>34</v>
      </c>
      <c r="AD1311" s="231" t="s">
        <v>239</v>
      </c>
      <c r="AE1311" s="231">
        <v>34</v>
      </c>
      <c r="AF1311" s="231" t="s">
        <v>239</v>
      </c>
      <c r="AG1311" s="231">
        <v>34</v>
      </c>
      <c r="AH1311" s="231" t="s">
        <v>239</v>
      </c>
      <c r="AI1311" s="231">
        <v>34</v>
      </c>
      <c r="AJ1311" s="231" t="s">
        <v>239</v>
      </c>
      <c r="AK1311" s="231">
        <v>34</v>
      </c>
      <c r="AL1311" s="232" t="s">
        <v>239</v>
      </c>
      <c r="AM1311" s="232">
        <v>0</v>
      </c>
    </row>
    <row r="1312" spans="1:39" ht="15.75" outlineLevel="1">
      <c r="A1312" s="412"/>
      <c r="B1312" s="10">
        <v>129651</v>
      </c>
      <c r="C1312" s="218" t="s">
        <v>1489</v>
      </c>
      <c r="D1312" s="218" t="s">
        <v>1490</v>
      </c>
      <c r="E1312" s="23" t="s">
        <v>44</v>
      </c>
      <c r="F1312" s="17" t="s">
        <v>45</v>
      </c>
      <c r="G1312" s="11" t="s">
        <v>1432</v>
      </c>
      <c r="H1312" s="12">
        <v>17</v>
      </c>
      <c r="I1312" s="11" t="s">
        <v>1433</v>
      </c>
      <c r="J1312" s="192" t="s">
        <v>1480</v>
      </c>
      <c r="K1312" s="17" t="s">
        <v>233</v>
      </c>
      <c r="L1312" s="17" t="s">
        <v>233</v>
      </c>
      <c r="M1312" s="231">
        <v>22509</v>
      </c>
      <c r="N1312" s="232">
        <v>22235.740739999997</v>
      </c>
      <c r="O1312" s="132">
        <v>297</v>
      </c>
      <c r="P1312" s="231" t="s">
        <v>239</v>
      </c>
      <c r="Q1312" s="232">
        <v>297</v>
      </c>
      <c r="R1312" s="231" t="s">
        <v>239</v>
      </c>
      <c r="S1312" s="232">
        <v>297</v>
      </c>
      <c r="T1312" s="231" t="s">
        <v>239</v>
      </c>
      <c r="U1312" s="232">
        <v>297</v>
      </c>
      <c r="V1312" s="230" t="s">
        <v>239</v>
      </c>
      <c r="W1312" s="232">
        <v>297</v>
      </c>
      <c r="X1312" s="231" t="s">
        <v>239</v>
      </c>
      <c r="Y1312" s="232">
        <v>297</v>
      </c>
      <c r="Z1312" s="231" t="s">
        <v>239</v>
      </c>
      <c r="AA1312" s="232">
        <v>87</v>
      </c>
      <c r="AB1312" s="231" t="s">
        <v>239</v>
      </c>
      <c r="AC1312" s="232">
        <v>87</v>
      </c>
      <c r="AD1312" s="231" t="s">
        <v>239</v>
      </c>
      <c r="AE1312" s="232">
        <v>87</v>
      </c>
      <c r="AF1312" s="231" t="s">
        <v>239</v>
      </c>
      <c r="AG1312" s="232">
        <v>87</v>
      </c>
      <c r="AH1312" s="231" t="s">
        <v>239</v>
      </c>
      <c r="AI1312" s="232">
        <v>87</v>
      </c>
      <c r="AJ1312" s="231" t="s">
        <v>239</v>
      </c>
      <c r="AK1312" s="232">
        <v>182</v>
      </c>
      <c r="AL1312" s="232" t="s">
        <v>239</v>
      </c>
      <c r="AM1312" s="232">
        <v>2399</v>
      </c>
    </row>
    <row r="1313" spans="1:39" ht="15.75" outlineLevel="1">
      <c r="A1313" s="411">
        <v>652</v>
      </c>
      <c r="B1313" s="10">
        <v>129652</v>
      </c>
      <c r="C1313" s="218" t="s">
        <v>1489</v>
      </c>
      <c r="D1313" s="218" t="s">
        <v>1490</v>
      </c>
      <c r="E1313" s="23" t="s">
        <v>138</v>
      </c>
      <c r="F1313" s="17" t="s">
        <v>45</v>
      </c>
      <c r="G1313" s="11" t="s">
        <v>1432</v>
      </c>
      <c r="H1313" s="12">
        <v>32</v>
      </c>
      <c r="I1313" s="11" t="s">
        <v>1433</v>
      </c>
      <c r="J1313" s="192" t="s">
        <v>1452</v>
      </c>
      <c r="K1313" s="17" t="s">
        <v>233</v>
      </c>
      <c r="L1313" s="17" t="s">
        <v>233</v>
      </c>
      <c r="M1313" s="231">
        <v>3</v>
      </c>
      <c r="N1313" s="231">
        <v>3</v>
      </c>
      <c r="O1313" s="231">
        <v>3</v>
      </c>
      <c r="P1313" s="231" t="s">
        <v>239</v>
      </c>
      <c r="Q1313" s="231">
        <v>3</v>
      </c>
      <c r="R1313" s="231" t="s">
        <v>239</v>
      </c>
      <c r="S1313" s="231">
        <v>3</v>
      </c>
      <c r="T1313" s="231" t="s">
        <v>239</v>
      </c>
      <c r="U1313" s="231">
        <v>3</v>
      </c>
      <c r="V1313" s="231" t="s">
        <v>239</v>
      </c>
      <c r="W1313" s="231">
        <v>3</v>
      </c>
      <c r="X1313" s="231" t="s">
        <v>239</v>
      </c>
      <c r="Y1313" s="231">
        <v>3</v>
      </c>
      <c r="Z1313" s="231" t="s">
        <v>239</v>
      </c>
      <c r="AA1313" s="231">
        <v>3</v>
      </c>
      <c r="AB1313" s="231" t="s">
        <v>239</v>
      </c>
      <c r="AC1313" s="231">
        <v>3</v>
      </c>
      <c r="AD1313" s="231" t="s">
        <v>239</v>
      </c>
      <c r="AE1313" s="231">
        <v>3</v>
      </c>
      <c r="AF1313" s="231" t="s">
        <v>239</v>
      </c>
      <c r="AG1313" s="231">
        <v>3</v>
      </c>
      <c r="AH1313" s="231" t="s">
        <v>239</v>
      </c>
      <c r="AI1313" s="231">
        <v>3</v>
      </c>
      <c r="AJ1313" s="231" t="s">
        <v>239</v>
      </c>
      <c r="AK1313" s="231">
        <v>3</v>
      </c>
      <c r="AL1313" s="232" t="s">
        <v>239</v>
      </c>
      <c r="AM1313" s="232">
        <v>0</v>
      </c>
    </row>
    <row r="1314" spans="1:39" ht="15.75" outlineLevel="1">
      <c r="A1314" s="412"/>
      <c r="B1314" s="10">
        <v>129652</v>
      </c>
      <c r="C1314" s="218" t="s">
        <v>1489</v>
      </c>
      <c r="D1314" s="218" t="s">
        <v>1490</v>
      </c>
      <c r="E1314" s="23" t="s">
        <v>44</v>
      </c>
      <c r="F1314" s="17" t="s">
        <v>45</v>
      </c>
      <c r="G1314" s="11" t="s">
        <v>1432</v>
      </c>
      <c r="H1314" s="12">
        <v>8</v>
      </c>
      <c r="I1314" s="11" t="s">
        <v>1433</v>
      </c>
      <c r="J1314" s="374" t="s">
        <v>207</v>
      </c>
      <c r="K1314" s="17" t="s">
        <v>233</v>
      </c>
      <c r="L1314" s="17" t="s">
        <v>233</v>
      </c>
      <c r="M1314" s="231">
        <v>8916</v>
      </c>
      <c r="N1314" s="232">
        <v>8807.759759999999</v>
      </c>
      <c r="O1314" s="132">
        <v>456</v>
      </c>
      <c r="P1314" s="231" t="s">
        <v>239</v>
      </c>
      <c r="Q1314" s="232">
        <v>456</v>
      </c>
      <c r="R1314" s="231" t="s">
        <v>239</v>
      </c>
      <c r="S1314" s="232">
        <v>358</v>
      </c>
      <c r="T1314" s="231" t="s">
        <v>239</v>
      </c>
      <c r="U1314" s="232">
        <v>1215</v>
      </c>
      <c r="V1314" s="231" t="s">
        <v>239</v>
      </c>
      <c r="W1314" s="232">
        <v>353</v>
      </c>
      <c r="X1314" s="231" t="s">
        <v>239</v>
      </c>
      <c r="Y1314" s="232">
        <v>283</v>
      </c>
      <c r="Z1314" s="231" t="s">
        <v>239</v>
      </c>
      <c r="AA1314" s="232">
        <v>201</v>
      </c>
      <c r="AB1314" s="231" t="s">
        <v>239</v>
      </c>
      <c r="AC1314" s="232">
        <v>341</v>
      </c>
      <c r="AD1314" s="231" t="s">
        <v>239</v>
      </c>
      <c r="AE1314" s="232">
        <v>250</v>
      </c>
      <c r="AF1314" s="231" t="s">
        <v>239</v>
      </c>
      <c r="AG1314" s="232">
        <v>305</v>
      </c>
      <c r="AH1314" s="231" t="s">
        <v>239</v>
      </c>
      <c r="AI1314" s="232">
        <v>566</v>
      </c>
      <c r="AJ1314" s="231" t="s">
        <v>239</v>
      </c>
      <c r="AK1314" s="232">
        <v>558</v>
      </c>
      <c r="AL1314" s="232" t="s">
        <v>239</v>
      </c>
      <c r="AM1314" s="232">
        <v>5342</v>
      </c>
    </row>
    <row r="1315" spans="1:39" ht="15.75" outlineLevel="1">
      <c r="A1315" s="411">
        <v>653</v>
      </c>
      <c r="B1315" s="10">
        <v>129653</v>
      </c>
      <c r="C1315" s="218" t="s">
        <v>1489</v>
      </c>
      <c r="D1315" s="218" t="s">
        <v>1490</v>
      </c>
      <c r="E1315" s="23" t="s">
        <v>138</v>
      </c>
      <c r="F1315" s="17" t="s">
        <v>45</v>
      </c>
      <c r="G1315" s="11" t="s">
        <v>1432</v>
      </c>
      <c r="H1315" s="12">
        <v>12</v>
      </c>
      <c r="I1315" s="11" t="s">
        <v>1433</v>
      </c>
      <c r="J1315" s="375"/>
      <c r="K1315" s="17" t="s">
        <v>233</v>
      </c>
      <c r="L1315" s="17" t="s">
        <v>233</v>
      </c>
      <c r="M1315" s="231">
        <v>0.77500000000000002</v>
      </c>
      <c r="N1315" s="231">
        <v>0.77500000000000002</v>
      </c>
      <c r="O1315" s="231">
        <v>0.77500000000000002</v>
      </c>
      <c r="P1315" s="231" t="s">
        <v>239</v>
      </c>
      <c r="Q1315" s="231">
        <v>0.77500000000000002</v>
      </c>
      <c r="R1315" s="231" t="s">
        <v>239</v>
      </c>
      <c r="S1315" s="231">
        <v>0.77500000000000002</v>
      </c>
      <c r="T1315" s="231" t="s">
        <v>239</v>
      </c>
      <c r="U1315" s="231">
        <v>0.77500000000000002</v>
      </c>
      <c r="V1315" s="230" t="s">
        <v>239</v>
      </c>
      <c r="W1315" s="231">
        <v>0.77500000000000002</v>
      </c>
      <c r="X1315" s="231" t="s">
        <v>239</v>
      </c>
      <c r="Y1315" s="231">
        <v>0.77500000000000002</v>
      </c>
      <c r="Z1315" s="231" t="s">
        <v>239</v>
      </c>
      <c r="AA1315" s="231">
        <v>0.77500000000000002</v>
      </c>
      <c r="AB1315" s="231" t="s">
        <v>239</v>
      </c>
      <c r="AC1315" s="231">
        <v>0.77500000000000002</v>
      </c>
      <c r="AD1315" s="231" t="s">
        <v>239</v>
      </c>
      <c r="AE1315" s="231">
        <v>0.77500000000000002</v>
      </c>
      <c r="AF1315" s="231" t="s">
        <v>239</v>
      </c>
      <c r="AG1315" s="231">
        <v>0.77500000000000002</v>
      </c>
      <c r="AH1315" s="231" t="s">
        <v>239</v>
      </c>
      <c r="AI1315" s="231">
        <v>0.77500000000000002</v>
      </c>
      <c r="AJ1315" s="231" t="s">
        <v>239</v>
      </c>
      <c r="AK1315" s="231">
        <v>0.77500000000000002</v>
      </c>
      <c r="AL1315" s="232" t="s">
        <v>239</v>
      </c>
      <c r="AM1315" s="232">
        <v>0</v>
      </c>
    </row>
    <row r="1316" spans="1:39" ht="15.75" outlineLevel="1">
      <c r="A1316" s="412"/>
      <c r="B1316" s="10">
        <v>129653</v>
      </c>
      <c r="C1316" s="218" t="s">
        <v>1489</v>
      </c>
      <c r="D1316" s="218" t="s">
        <v>1490</v>
      </c>
      <c r="E1316" s="23" t="s">
        <v>44</v>
      </c>
      <c r="F1316" s="17" t="s">
        <v>45</v>
      </c>
      <c r="G1316" s="11" t="s">
        <v>1432</v>
      </c>
      <c r="H1316" s="12">
        <v>18</v>
      </c>
      <c r="I1316" s="11" t="s">
        <v>1433</v>
      </c>
      <c r="J1316" s="193" t="s">
        <v>1460</v>
      </c>
      <c r="K1316" s="17" t="s">
        <v>233</v>
      </c>
      <c r="L1316" s="17" t="s">
        <v>233</v>
      </c>
      <c r="M1316" s="231">
        <v>7373</v>
      </c>
      <c r="N1316" s="232">
        <v>7283.4917799999994</v>
      </c>
      <c r="O1316" s="132">
        <v>1013</v>
      </c>
      <c r="P1316" s="231" t="s">
        <v>239</v>
      </c>
      <c r="Q1316" s="232">
        <v>1013</v>
      </c>
      <c r="R1316" s="231" t="s">
        <v>239</v>
      </c>
      <c r="S1316" s="232">
        <v>918</v>
      </c>
      <c r="T1316" s="231" t="s">
        <v>239</v>
      </c>
      <c r="U1316" s="232">
        <v>1020</v>
      </c>
      <c r="V1316" s="231" t="s">
        <v>239</v>
      </c>
      <c r="W1316" s="232">
        <v>1017</v>
      </c>
      <c r="X1316" s="231" t="s">
        <v>239</v>
      </c>
      <c r="Y1316" s="232">
        <v>754</v>
      </c>
      <c r="Z1316" s="231" t="s">
        <v>239</v>
      </c>
      <c r="AA1316" s="232">
        <v>731</v>
      </c>
      <c r="AB1316" s="231" t="s">
        <v>239</v>
      </c>
      <c r="AC1316" s="232">
        <v>527</v>
      </c>
      <c r="AD1316" s="231" t="s">
        <v>239</v>
      </c>
      <c r="AE1316" s="232">
        <v>508</v>
      </c>
      <c r="AF1316" s="231" t="s">
        <v>239</v>
      </c>
      <c r="AG1316" s="232">
        <v>600</v>
      </c>
      <c r="AH1316" s="231" t="s">
        <v>239</v>
      </c>
      <c r="AI1316" s="232">
        <v>603</v>
      </c>
      <c r="AJ1316" s="231" t="s">
        <v>239</v>
      </c>
      <c r="AK1316" s="232">
        <v>526</v>
      </c>
      <c r="AL1316" s="232" t="s">
        <v>239</v>
      </c>
      <c r="AM1316" s="232">
        <v>9230</v>
      </c>
    </row>
    <row r="1317" spans="1:39" ht="15.75" outlineLevel="1">
      <c r="A1317" s="411">
        <v>654</v>
      </c>
      <c r="B1317" s="10">
        <v>129654</v>
      </c>
      <c r="C1317" s="218" t="s">
        <v>1489</v>
      </c>
      <c r="D1317" s="218" t="s">
        <v>1490</v>
      </c>
      <c r="E1317" s="23" t="s">
        <v>44</v>
      </c>
      <c r="F1317" s="17" t="s">
        <v>45</v>
      </c>
      <c r="G1317" s="11" t="s">
        <v>1432</v>
      </c>
      <c r="H1317" s="12">
        <v>17</v>
      </c>
      <c r="I1317" s="11" t="s">
        <v>1433</v>
      </c>
      <c r="J1317" s="193" t="s">
        <v>1451</v>
      </c>
      <c r="K1317" s="17" t="s">
        <v>233</v>
      </c>
      <c r="L1317" s="17" t="s">
        <v>233</v>
      </c>
      <c r="M1317" s="231">
        <v>1</v>
      </c>
      <c r="N1317" s="231">
        <v>1</v>
      </c>
      <c r="O1317" s="231">
        <v>1</v>
      </c>
      <c r="P1317" s="231" t="s">
        <v>239</v>
      </c>
      <c r="Q1317" s="231">
        <v>1</v>
      </c>
      <c r="R1317" s="231" t="s">
        <v>239</v>
      </c>
      <c r="S1317" s="231">
        <v>1</v>
      </c>
      <c r="T1317" s="231" t="s">
        <v>239</v>
      </c>
      <c r="U1317" s="231">
        <v>1</v>
      </c>
      <c r="V1317" s="231" t="s">
        <v>239</v>
      </c>
      <c r="W1317" s="231">
        <v>1</v>
      </c>
      <c r="X1317" s="231" t="s">
        <v>239</v>
      </c>
      <c r="Y1317" s="231">
        <v>1</v>
      </c>
      <c r="Z1317" s="231" t="s">
        <v>239</v>
      </c>
      <c r="AA1317" s="231">
        <v>1</v>
      </c>
      <c r="AB1317" s="231" t="s">
        <v>239</v>
      </c>
      <c r="AC1317" s="231">
        <v>1</v>
      </c>
      <c r="AD1317" s="231" t="s">
        <v>239</v>
      </c>
      <c r="AE1317" s="231">
        <v>1</v>
      </c>
      <c r="AF1317" s="231" t="s">
        <v>239</v>
      </c>
      <c r="AG1317" s="231">
        <v>1</v>
      </c>
      <c r="AH1317" s="231" t="s">
        <v>239</v>
      </c>
      <c r="AI1317" s="231">
        <v>1</v>
      </c>
      <c r="AJ1317" s="231" t="s">
        <v>239</v>
      </c>
      <c r="AK1317" s="231">
        <v>1</v>
      </c>
      <c r="AL1317" s="232" t="s">
        <v>239</v>
      </c>
      <c r="AM1317" s="232">
        <v>0</v>
      </c>
    </row>
    <row r="1318" spans="1:39" ht="15.75" outlineLevel="1">
      <c r="A1318" s="412"/>
      <c r="B1318" s="10">
        <v>129654</v>
      </c>
      <c r="C1318" s="218" t="s">
        <v>1489</v>
      </c>
      <c r="D1318" s="218" t="s">
        <v>1490</v>
      </c>
      <c r="E1318" s="23" t="s">
        <v>138</v>
      </c>
      <c r="F1318" s="17" t="s">
        <v>45</v>
      </c>
      <c r="G1318" s="11" t="s">
        <v>1432</v>
      </c>
      <c r="H1318" s="12">
        <v>25</v>
      </c>
      <c r="I1318" s="11" t="s">
        <v>1433</v>
      </c>
      <c r="J1318" s="193" t="s">
        <v>208</v>
      </c>
      <c r="K1318" s="17" t="s">
        <v>233</v>
      </c>
      <c r="L1318" s="17" t="s">
        <v>233</v>
      </c>
      <c r="M1318" s="231">
        <v>3363</v>
      </c>
      <c r="N1318" s="232">
        <v>3322.1731799999998</v>
      </c>
      <c r="O1318" s="132">
        <v>336</v>
      </c>
      <c r="P1318" s="231" t="s">
        <v>239</v>
      </c>
      <c r="Q1318" s="232">
        <v>336</v>
      </c>
      <c r="R1318" s="231" t="s">
        <v>239</v>
      </c>
      <c r="S1318" s="232">
        <v>309</v>
      </c>
      <c r="T1318" s="231" t="s">
        <v>239</v>
      </c>
      <c r="U1318" s="232">
        <v>307</v>
      </c>
      <c r="V1318" s="230" t="s">
        <v>239</v>
      </c>
      <c r="W1318" s="232">
        <v>261</v>
      </c>
      <c r="X1318" s="231" t="s">
        <v>239</v>
      </c>
      <c r="Y1318" s="232">
        <v>290</v>
      </c>
      <c r="Z1318" s="231" t="s">
        <v>239</v>
      </c>
      <c r="AA1318" s="232">
        <v>304</v>
      </c>
      <c r="AB1318" s="231" t="s">
        <v>239</v>
      </c>
      <c r="AC1318" s="232">
        <v>300</v>
      </c>
      <c r="AD1318" s="231" t="s">
        <v>239</v>
      </c>
      <c r="AE1318" s="232">
        <v>300</v>
      </c>
      <c r="AF1318" s="231" t="s">
        <v>239</v>
      </c>
      <c r="AG1318" s="232">
        <v>230</v>
      </c>
      <c r="AH1318" s="231" t="s">
        <v>239</v>
      </c>
      <c r="AI1318" s="232">
        <v>230</v>
      </c>
      <c r="AJ1318" s="231" t="s">
        <v>239</v>
      </c>
      <c r="AK1318" s="232">
        <v>0</v>
      </c>
      <c r="AL1318" s="232" t="s">
        <v>239</v>
      </c>
      <c r="AM1318" s="232">
        <v>3203</v>
      </c>
    </row>
    <row r="1319" spans="1:39" ht="15.75" outlineLevel="1">
      <c r="A1319" s="411">
        <v>655</v>
      </c>
      <c r="B1319" s="10">
        <v>129655</v>
      </c>
      <c r="C1319" s="218" t="s">
        <v>1489</v>
      </c>
      <c r="D1319" s="218" t="s">
        <v>1490</v>
      </c>
      <c r="E1319" s="23" t="s">
        <v>44</v>
      </c>
      <c r="F1319" s="17" t="s">
        <v>45</v>
      </c>
      <c r="G1319" s="11" t="s">
        <v>1432</v>
      </c>
      <c r="H1319" s="12">
        <v>13</v>
      </c>
      <c r="I1319" s="11" t="s">
        <v>1433</v>
      </c>
      <c r="J1319" s="193" t="s">
        <v>1452</v>
      </c>
      <c r="K1319" s="17" t="s">
        <v>233</v>
      </c>
      <c r="L1319" s="17" t="s">
        <v>233</v>
      </c>
      <c r="M1319" s="231">
        <v>1.5</v>
      </c>
      <c r="N1319" s="231">
        <v>1.5</v>
      </c>
      <c r="O1319" s="231">
        <v>1.5</v>
      </c>
      <c r="P1319" s="231" t="s">
        <v>239</v>
      </c>
      <c r="Q1319" s="231">
        <v>1.5</v>
      </c>
      <c r="R1319" s="231" t="s">
        <v>239</v>
      </c>
      <c r="S1319" s="231">
        <v>1.5</v>
      </c>
      <c r="T1319" s="231" t="s">
        <v>239</v>
      </c>
      <c r="U1319" s="231">
        <v>1.5</v>
      </c>
      <c r="V1319" s="231" t="s">
        <v>239</v>
      </c>
      <c r="W1319" s="231">
        <v>1.5</v>
      </c>
      <c r="X1319" s="231" t="s">
        <v>239</v>
      </c>
      <c r="Y1319" s="231">
        <v>1.5</v>
      </c>
      <c r="Z1319" s="231" t="s">
        <v>239</v>
      </c>
      <c r="AA1319" s="231">
        <v>1.5</v>
      </c>
      <c r="AB1319" s="231" t="s">
        <v>239</v>
      </c>
      <c r="AC1319" s="231">
        <v>1.5</v>
      </c>
      <c r="AD1319" s="231" t="s">
        <v>239</v>
      </c>
      <c r="AE1319" s="231">
        <v>1.5</v>
      </c>
      <c r="AF1319" s="231" t="s">
        <v>239</v>
      </c>
      <c r="AG1319" s="231">
        <v>1.5</v>
      </c>
      <c r="AH1319" s="231" t="s">
        <v>239</v>
      </c>
      <c r="AI1319" s="231">
        <v>1.5</v>
      </c>
      <c r="AJ1319" s="231" t="s">
        <v>239</v>
      </c>
      <c r="AK1319" s="231">
        <v>1.5</v>
      </c>
      <c r="AL1319" s="232" t="s">
        <v>239</v>
      </c>
      <c r="AM1319" s="232">
        <v>0</v>
      </c>
    </row>
    <row r="1320" spans="1:39" ht="15.75" outlineLevel="1">
      <c r="A1320" s="412"/>
      <c r="B1320" s="10">
        <v>129655</v>
      </c>
      <c r="C1320" s="218" t="s">
        <v>1489</v>
      </c>
      <c r="D1320" s="218" t="s">
        <v>1490</v>
      </c>
      <c r="E1320" s="23" t="s">
        <v>138</v>
      </c>
      <c r="F1320" s="17" t="s">
        <v>45</v>
      </c>
      <c r="G1320" s="11" t="s">
        <v>1432</v>
      </c>
      <c r="H1320" s="12">
        <v>5</v>
      </c>
      <c r="I1320" s="11" t="s">
        <v>1433</v>
      </c>
      <c r="J1320" s="193" t="s">
        <v>216</v>
      </c>
      <c r="K1320" s="17" t="s">
        <v>233</v>
      </c>
      <c r="L1320" s="17" t="s">
        <v>233</v>
      </c>
      <c r="M1320" s="231">
        <v>11448</v>
      </c>
      <c r="N1320" s="232">
        <v>11309.021279999999</v>
      </c>
      <c r="O1320" s="132">
        <v>352</v>
      </c>
      <c r="P1320" s="231" t="s">
        <v>239</v>
      </c>
      <c r="Q1320" s="232">
        <v>352</v>
      </c>
      <c r="R1320" s="231" t="s">
        <v>239</v>
      </c>
      <c r="S1320" s="232">
        <v>352</v>
      </c>
      <c r="T1320" s="231" t="s">
        <v>239</v>
      </c>
      <c r="U1320" s="232">
        <v>352</v>
      </c>
      <c r="V1320" s="231" t="s">
        <v>239</v>
      </c>
      <c r="W1320" s="232">
        <v>352</v>
      </c>
      <c r="X1320" s="231" t="s">
        <v>239</v>
      </c>
      <c r="Y1320" s="232">
        <v>352</v>
      </c>
      <c r="Z1320" s="231" t="s">
        <v>239</v>
      </c>
      <c r="AA1320" s="232">
        <v>498</v>
      </c>
      <c r="AB1320" s="231" t="s">
        <v>239</v>
      </c>
      <c r="AC1320" s="232">
        <v>423</v>
      </c>
      <c r="AD1320" s="231" t="s">
        <v>239</v>
      </c>
      <c r="AE1320" s="232">
        <v>723</v>
      </c>
      <c r="AF1320" s="231" t="s">
        <v>239</v>
      </c>
      <c r="AG1320" s="232">
        <v>458</v>
      </c>
      <c r="AH1320" s="231" t="s">
        <v>239</v>
      </c>
      <c r="AI1320" s="232">
        <v>409</v>
      </c>
      <c r="AJ1320" s="231" t="s">
        <v>239</v>
      </c>
      <c r="AK1320" s="232">
        <v>551</v>
      </c>
      <c r="AL1320" s="232" t="s">
        <v>239</v>
      </c>
      <c r="AM1320" s="232">
        <v>5174</v>
      </c>
    </row>
    <row r="1321" spans="1:39" ht="15.75" outlineLevel="1">
      <c r="A1321" s="411">
        <v>656</v>
      </c>
      <c r="B1321" s="10">
        <v>129656</v>
      </c>
      <c r="C1321" s="218" t="s">
        <v>1489</v>
      </c>
      <c r="D1321" s="218" t="s">
        <v>1490</v>
      </c>
      <c r="E1321" s="23" t="s">
        <v>44</v>
      </c>
      <c r="F1321" s="17" t="s">
        <v>45</v>
      </c>
      <c r="G1321" s="11" t="s">
        <v>1432</v>
      </c>
      <c r="H1321" s="12">
        <v>4</v>
      </c>
      <c r="I1321" s="11" t="s">
        <v>1433</v>
      </c>
      <c r="J1321" s="193" t="s">
        <v>1453</v>
      </c>
      <c r="K1321" s="17" t="s">
        <v>233</v>
      </c>
      <c r="L1321" s="17" t="s">
        <v>233</v>
      </c>
      <c r="M1321" s="231">
        <v>14</v>
      </c>
      <c r="N1321" s="231">
        <v>14</v>
      </c>
      <c r="O1321" s="231">
        <v>14</v>
      </c>
      <c r="P1321" s="231" t="s">
        <v>239</v>
      </c>
      <c r="Q1321" s="231">
        <v>14</v>
      </c>
      <c r="R1321" s="231" t="s">
        <v>239</v>
      </c>
      <c r="S1321" s="231">
        <v>14</v>
      </c>
      <c r="T1321" s="231" t="s">
        <v>239</v>
      </c>
      <c r="U1321" s="231">
        <v>14</v>
      </c>
      <c r="V1321" s="230" t="s">
        <v>239</v>
      </c>
      <c r="W1321" s="231">
        <v>14</v>
      </c>
      <c r="X1321" s="231" t="s">
        <v>239</v>
      </c>
      <c r="Y1321" s="231">
        <v>14</v>
      </c>
      <c r="Z1321" s="231" t="s">
        <v>239</v>
      </c>
      <c r="AA1321" s="231">
        <v>14</v>
      </c>
      <c r="AB1321" s="231" t="s">
        <v>239</v>
      </c>
      <c r="AC1321" s="231">
        <v>14</v>
      </c>
      <c r="AD1321" s="231" t="s">
        <v>239</v>
      </c>
      <c r="AE1321" s="231">
        <v>14</v>
      </c>
      <c r="AF1321" s="231" t="s">
        <v>239</v>
      </c>
      <c r="AG1321" s="231">
        <v>14</v>
      </c>
      <c r="AH1321" s="231" t="s">
        <v>239</v>
      </c>
      <c r="AI1321" s="231">
        <v>14</v>
      </c>
      <c r="AJ1321" s="231" t="s">
        <v>239</v>
      </c>
      <c r="AK1321" s="231">
        <v>14</v>
      </c>
      <c r="AL1321" s="232" t="s">
        <v>239</v>
      </c>
      <c r="AM1321" s="232">
        <v>0</v>
      </c>
    </row>
    <row r="1322" spans="1:39" ht="15.75" outlineLevel="1">
      <c r="A1322" s="412"/>
      <c r="B1322" s="10">
        <v>129656</v>
      </c>
      <c r="C1322" s="218" t="s">
        <v>1489</v>
      </c>
      <c r="D1322" s="218" t="s">
        <v>1490</v>
      </c>
      <c r="E1322" s="23" t="s">
        <v>44</v>
      </c>
      <c r="F1322" s="17" t="s">
        <v>45</v>
      </c>
      <c r="G1322" s="11" t="s">
        <v>1432</v>
      </c>
      <c r="H1322" s="12">
        <v>18</v>
      </c>
      <c r="I1322" s="11" t="s">
        <v>1433</v>
      </c>
      <c r="J1322" s="193" t="s">
        <v>1454</v>
      </c>
      <c r="K1322" s="17" t="s">
        <v>233</v>
      </c>
      <c r="L1322" s="17" t="s">
        <v>233</v>
      </c>
      <c r="M1322" s="231">
        <v>10974</v>
      </c>
      <c r="N1322" s="232">
        <v>10840.77564</v>
      </c>
      <c r="O1322" s="132">
        <v>704</v>
      </c>
      <c r="P1322" s="231" t="s">
        <v>239</v>
      </c>
      <c r="Q1322" s="232">
        <v>704</v>
      </c>
      <c r="R1322" s="231" t="s">
        <v>239</v>
      </c>
      <c r="S1322" s="232">
        <v>637</v>
      </c>
      <c r="T1322" s="231" t="s">
        <v>239</v>
      </c>
      <c r="U1322" s="232">
        <v>632</v>
      </c>
      <c r="V1322" s="231" t="s">
        <v>239</v>
      </c>
      <c r="W1322" s="232">
        <v>580</v>
      </c>
      <c r="X1322" s="231" t="s">
        <v>239</v>
      </c>
      <c r="Y1322" s="232">
        <v>523</v>
      </c>
      <c r="Z1322" s="231" t="s">
        <v>239</v>
      </c>
      <c r="AA1322" s="232">
        <v>473</v>
      </c>
      <c r="AB1322" s="231" t="s">
        <v>239</v>
      </c>
      <c r="AC1322" s="232">
        <v>414</v>
      </c>
      <c r="AD1322" s="231" t="s">
        <v>239</v>
      </c>
      <c r="AE1322" s="232">
        <v>568</v>
      </c>
      <c r="AF1322" s="231" t="s">
        <v>239</v>
      </c>
      <c r="AG1322" s="232">
        <v>599</v>
      </c>
      <c r="AH1322" s="231" t="s">
        <v>239</v>
      </c>
      <c r="AI1322" s="232">
        <v>728</v>
      </c>
      <c r="AJ1322" s="231" t="s">
        <v>239</v>
      </c>
      <c r="AK1322" s="232">
        <v>675</v>
      </c>
      <c r="AL1322" s="232" t="s">
        <v>239</v>
      </c>
      <c r="AM1322" s="232">
        <v>7237</v>
      </c>
    </row>
    <row r="1323" spans="1:39" ht="15.75" outlineLevel="1">
      <c r="A1323" s="411">
        <v>657</v>
      </c>
      <c r="B1323" s="10">
        <v>129657</v>
      </c>
      <c r="C1323" s="218" t="s">
        <v>1489</v>
      </c>
      <c r="D1323" s="218" t="s">
        <v>1490</v>
      </c>
      <c r="E1323" s="23" t="s">
        <v>138</v>
      </c>
      <c r="F1323" s="17" t="s">
        <v>45</v>
      </c>
      <c r="G1323" s="11" t="s">
        <v>1432</v>
      </c>
      <c r="H1323" s="12">
        <v>17</v>
      </c>
      <c r="I1323" s="11" t="s">
        <v>1433</v>
      </c>
      <c r="J1323" s="191" t="s">
        <v>216</v>
      </c>
      <c r="K1323" s="17" t="s">
        <v>233</v>
      </c>
      <c r="L1323" s="17" t="s">
        <v>233</v>
      </c>
      <c r="M1323" s="231">
        <v>1.5</v>
      </c>
      <c r="N1323" s="231">
        <v>1.5</v>
      </c>
      <c r="O1323" s="231">
        <v>1.5</v>
      </c>
      <c r="P1323" s="231" t="s">
        <v>239</v>
      </c>
      <c r="Q1323" s="231">
        <v>1.5</v>
      </c>
      <c r="R1323" s="231" t="s">
        <v>239</v>
      </c>
      <c r="S1323" s="231">
        <v>1.5</v>
      </c>
      <c r="T1323" s="231" t="s">
        <v>239</v>
      </c>
      <c r="U1323" s="231">
        <v>1.5</v>
      </c>
      <c r="V1323" s="231" t="s">
        <v>239</v>
      </c>
      <c r="W1323" s="231">
        <v>1.5</v>
      </c>
      <c r="X1323" s="231" t="s">
        <v>239</v>
      </c>
      <c r="Y1323" s="231">
        <v>1.5</v>
      </c>
      <c r="Z1323" s="231" t="s">
        <v>239</v>
      </c>
      <c r="AA1323" s="231">
        <v>1.5</v>
      </c>
      <c r="AB1323" s="231" t="s">
        <v>239</v>
      </c>
      <c r="AC1323" s="231">
        <v>1.5</v>
      </c>
      <c r="AD1323" s="231" t="s">
        <v>239</v>
      </c>
      <c r="AE1323" s="231">
        <v>1.5</v>
      </c>
      <c r="AF1323" s="231" t="s">
        <v>239</v>
      </c>
      <c r="AG1323" s="231">
        <v>1.5</v>
      </c>
      <c r="AH1323" s="231" t="s">
        <v>239</v>
      </c>
      <c r="AI1323" s="231">
        <v>1.5</v>
      </c>
      <c r="AJ1323" s="231" t="s">
        <v>239</v>
      </c>
      <c r="AK1323" s="231">
        <v>1.5</v>
      </c>
      <c r="AL1323" s="232" t="s">
        <v>239</v>
      </c>
      <c r="AM1323" s="232">
        <v>0</v>
      </c>
    </row>
    <row r="1324" spans="1:39" ht="15.75" outlineLevel="1">
      <c r="A1324" s="412"/>
      <c r="B1324" s="10">
        <v>129657</v>
      </c>
      <c r="C1324" s="218" t="s">
        <v>1489</v>
      </c>
      <c r="D1324" s="218" t="s">
        <v>1490</v>
      </c>
      <c r="E1324" s="23" t="s">
        <v>44</v>
      </c>
      <c r="F1324" s="17" t="s">
        <v>45</v>
      </c>
      <c r="G1324" s="11" t="s">
        <v>1432</v>
      </c>
      <c r="H1324" s="12">
        <v>28</v>
      </c>
      <c r="I1324" s="11" t="s">
        <v>1433</v>
      </c>
      <c r="J1324" s="192" t="s">
        <v>1434</v>
      </c>
      <c r="K1324" s="17" t="s">
        <v>233</v>
      </c>
      <c r="L1324" s="17" t="s">
        <v>233</v>
      </c>
      <c r="M1324" s="231">
        <v>2434</v>
      </c>
      <c r="N1324" s="232">
        <v>2404.4512399999999</v>
      </c>
      <c r="O1324" s="132">
        <v>598</v>
      </c>
      <c r="P1324" s="231" t="s">
        <v>239</v>
      </c>
      <c r="Q1324" s="232">
        <v>598</v>
      </c>
      <c r="R1324" s="231" t="s">
        <v>239</v>
      </c>
      <c r="S1324" s="232">
        <v>588</v>
      </c>
      <c r="T1324" s="231" t="s">
        <v>239</v>
      </c>
      <c r="U1324" s="232">
        <v>587</v>
      </c>
      <c r="V1324" s="230" t="s">
        <v>239</v>
      </c>
      <c r="W1324" s="232">
        <v>496</v>
      </c>
      <c r="X1324" s="231" t="s">
        <v>239</v>
      </c>
      <c r="Y1324" s="232">
        <v>561</v>
      </c>
      <c r="Z1324" s="231" t="s">
        <v>239</v>
      </c>
      <c r="AA1324" s="232">
        <v>548</v>
      </c>
      <c r="AB1324" s="231" t="s">
        <v>239</v>
      </c>
      <c r="AC1324" s="232">
        <v>500</v>
      </c>
      <c r="AD1324" s="231" t="s">
        <v>239</v>
      </c>
      <c r="AE1324" s="232">
        <v>620</v>
      </c>
      <c r="AF1324" s="231" t="s">
        <v>239</v>
      </c>
      <c r="AG1324" s="232">
        <v>60</v>
      </c>
      <c r="AH1324" s="231" t="s">
        <v>239</v>
      </c>
      <c r="AI1324" s="232">
        <v>600</v>
      </c>
      <c r="AJ1324" s="231" t="s">
        <v>239</v>
      </c>
      <c r="AK1324" s="232">
        <v>600</v>
      </c>
      <c r="AL1324" s="232" t="s">
        <v>239</v>
      </c>
      <c r="AM1324" s="232">
        <v>6356</v>
      </c>
    </row>
    <row r="1325" spans="1:39" ht="15.75" outlineLevel="1">
      <c r="A1325" s="411">
        <v>658</v>
      </c>
      <c r="B1325" s="10">
        <v>129658</v>
      </c>
      <c r="C1325" s="218" t="s">
        <v>1489</v>
      </c>
      <c r="D1325" s="218" t="s">
        <v>1490</v>
      </c>
      <c r="E1325" s="23" t="s">
        <v>138</v>
      </c>
      <c r="F1325" s="17" t="s">
        <v>45</v>
      </c>
      <c r="G1325" s="11" t="s">
        <v>1432</v>
      </c>
      <c r="H1325" s="12">
        <v>33</v>
      </c>
      <c r="I1325" s="11" t="s">
        <v>1433</v>
      </c>
      <c r="J1325" s="192" t="s">
        <v>1480</v>
      </c>
      <c r="K1325" s="17" t="s">
        <v>233</v>
      </c>
      <c r="L1325" s="17" t="s">
        <v>233</v>
      </c>
      <c r="M1325" s="231">
        <v>11</v>
      </c>
      <c r="N1325" s="231">
        <v>11</v>
      </c>
      <c r="O1325" s="231">
        <v>11</v>
      </c>
      <c r="P1325" s="231" t="s">
        <v>239</v>
      </c>
      <c r="Q1325" s="231">
        <v>11</v>
      </c>
      <c r="R1325" s="231" t="s">
        <v>239</v>
      </c>
      <c r="S1325" s="231">
        <v>11</v>
      </c>
      <c r="T1325" s="231" t="s">
        <v>239</v>
      </c>
      <c r="U1325" s="231">
        <v>11</v>
      </c>
      <c r="V1325" s="231" t="s">
        <v>239</v>
      </c>
      <c r="W1325" s="231">
        <v>11</v>
      </c>
      <c r="X1325" s="231" t="s">
        <v>239</v>
      </c>
      <c r="Y1325" s="231">
        <v>11</v>
      </c>
      <c r="Z1325" s="231" t="s">
        <v>239</v>
      </c>
      <c r="AA1325" s="231">
        <v>11</v>
      </c>
      <c r="AB1325" s="231" t="s">
        <v>239</v>
      </c>
      <c r="AC1325" s="231">
        <v>11</v>
      </c>
      <c r="AD1325" s="231" t="s">
        <v>239</v>
      </c>
      <c r="AE1325" s="231">
        <v>11</v>
      </c>
      <c r="AF1325" s="231" t="s">
        <v>239</v>
      </c>
      <c r="AG1325" s="231">
        <v>11</v>
      </c>
      <c r="AH1325" s="231" t="s">
        <v>239</v>
      </c>
      <c r="AI1325" s="231">
        <v>11</v>
      </c>
      <c r="AJ1325" s="231" t="s">
        <v>239</v>
      </c>
      <c r="AK1325" s="231">
        <v>11</v>
      </c>
      <c r="AL1325" s="232" t="s">
        <v>239</v>
      </c>
      <c r="AM1325" s="232">
        <v>0</v>
      </c>
    </row>
    <row r="1326" spans="1:39" ht="15.75" outlineLevel="1">
      <c r="A1326" s="412"/>
      <c r="B1326" s="10">
        <v>129658</v>
      </c>
      <c r="C1326" s="218" t="s">
        <v>1489</v>
      </c>
      <c r="D1326" s="218" t="s">
        <v>1490</v>
      </c>
      <c r="E1326" s="23" t="s">
        <v>44</v>
      </c>
      <c r="F1326" s="17" t="s">
        <v>45</v>
      </c>
      <c r="G1326" s="11" t="s">
        <v>1432</v>
      </c>
      <c r="H1326" s="12">
        <v>25</v>
      </c>
      <c r="I1326" s="11" t="s">
        <v>1433</v>
      </c>
      <c r="J1326" s="192" t="s">
        <v>1452</v>
      </c>
      <c r="K1326" s="17" t="s">
        <v>233</v>
      </c>
      <c r="L1326" s="17" t="s">
        <v>233</v>
      </c>
      <c r="M1326" s="231">
        <v>1657</v>
      </c>
      <c r="N1326" s="232">
        <v>1636.88402</v>
      </c>
      <c r="O1326" s="132">
        <v>411</v>
      </c>
      <c r="P1326" s="231" t="s">
        <v>239</v>
      </c>
      <c r="Q1326" s="232">
        <v>411</v>
      </c>
      <c r="R1326" s="231" t="s">
        <v>239</v>
      </c>
      <c r="S1326" s="232">
        <v>356</v>
      </c>
      <c r="T1326" s="231" t="s">
        <v>239</v>
      </c>
      <c r="U1326" s="232">
        <v>248</v>
      </c>
      <c r="V1326" s="231" t="s">
        <v>239</v>
      </c>
      <c r="W1326" s="232">
        <v>292</v>
      </c>
      <c r="X1326" s="231" t="s">
        <v>239</v>
      </c>
      <c r="Y1326" s="232">
        <v>0</v>
      </c>
      <c r="Z1326" s="231" t="s">
        <v>239</v>
      </c>
      <c r="AA1326" s="232">
        <v>240</v>
      </c>
      <c r="AB1326" s="231" t="s">
        <v>239</v>
      </c>
      <c r="AC1326" s="232">
        <v>4</v>
      </c>
      <c r="AD1326" s="231" t="s">
        <v>239</v>
      </c>
      <c r="AE1326" s="232">
        <v>0</v>
      </c>
      <c r="AF1326" s="231" t="s">
        <v>239</v>
      </c>
      <c r="AG1326" s="232">
        <v>159</v>
      </c>
      <c r="AH1326" s="231" t="s">
        <v>239</v>
      </c>
      <c r="AI1326" s="232">
        <v>157</v>
      </c>
      <c r="AJ1326" s="231" t="s">
        <v>239</v>
      </c>
      <c r="AK1326" s="232">
        <v>2</v>
      </c>
      <c r="AL1326" s="232" t="s">
        <v>239</v>
      </c>
      <c r="AM1326" s="232">
        <v>2280</v>
      </c>
    </row>
    <row r="1327" spans="1:39" ht="15.75" outlineLevel="1">
      <c r="A1327" s="411">
        <v>659</v>
      </c>
      <c r="B1327" s="10">
        <v>129659</v>
      </c>
      <c r="C1327" s="218" t="s">
        <v>1489</v>
      </c>
      <c r="D1327" s="218" t="s">
        <v>1490</v>
      </c>
      <c r="E1327" s="23" t="s">
        <v>44</v>
      </c>
      <c r="F1327" s="17" t="s">
        <v>45</v>
      </c>
      <c r="G1327" s="11" t="s">
        <v>1432</v>
      </c>
      <c r="H1327" s="12">
        <v>9</v>
      </c>
      <c r="I1327" s="11" t="s">
        <v>1433</v>
      </c>
      <c r="J1327" s="374" t="s">
        <v>207</v>
      </c>
      <c r="K1327" s="17" t="s">
        <v>233</v>
      </c>
      <c r="L1327" s="17" t="s">
        <v>233</v>
      </c>
      <c r="M1327" s="231">
        <v>10.5</v>
      </c>
      <c r="N1327" s="231">
        <v>10.5</v>
      </c>
      <c r="O1327" s="231">
        <v>10.5</v>
      </c>
      <c r="P1327" s="231" t="s">
        <v>239</v>
      </c>
      <c r="Q1327" s="231">
        <v>10.5</v>
      </c>
      <c r="R1327" s="231" t="s">
        <v>239</v>
      </c>
      <c r="S1327" s="231">
        <v>10.5</v>
      </c>
      <c r="T1327" s="231" t="s">
        <v>239</v>
      </c>
      <c r="U1327" s="231">
        <v>10.5</v>
      </c>
      <c r="V1327" s="230" t="s">
        <v>239</v>
      </c>
      <c r="W1327" s="231">
        <v>10.5</v>
      </c>
      <c r="X1327" s="231" t="s">
        <v>239</v>
      </c>
      <c r="Y1327" s="231">
        <v>10.5</v>
      </c>
      <c r="Z1327" s="231" t="s">
        <v>239</v>
      </c>
      <c r="AA1327" s="231">
        <v>10.5</v>
      </c>
      <c r="AB1327" s="231" t="s">
        <v>239</v>
      </c>
      <c r="AC1327" s="231">
        <v>10.5</v>
      </c>
      <c r="AD1327" s="231" t="s">
        <v>239</v>
      </c>
      <c r="AE1327" s="231">
        <v>10.5</v>
      </c>
      <c r="AF1327" s="231" t="s">
        <v>239</v>
      </c>
      <c r="AG1327" s="231">
        <v>10.5</v>
      </c>
      <c r="AH1327" s="231" t="s">
        <v>239</v>
      </c>
      <c r="AI1327" s="231">
        <v>10.5</v>
      </c>
      <c r="AJ1327" s="231" t="s">
        <v>239</v>
      </c>
      <c r="AK1327" s="231">
        <v>10.5</v>
      </c>
      <c r="AL1327" s="232" t="s">
        <v>239</v>
      </c>
      <c r="AM1327" s="232">
        <v>0</v>
      </c>
    </row>
    <row r="1328" spans="1:39" ht="15.75" outlineLevel="1">
      <c r="A1328" s="412"/>
      <c r="B1328" s="10">
        <v>129659</v>
      </c>
      <c r="C1328" s="218" t="s">
        <v>1489</v>
      </c>
      <c r="D1328" s="218" t="s">
        <v>1490</v>
      </c>
      <c r="E1328" s="23" t="s">
        <v>138</v>
      </c>
      <c r="F1328" s="17" t="s">
        <v>45</v>
      </c>
      <c r="G1328" s="11" t="s">
        <v>1432</v>
      </c>
      <c r="H1328" s="12">
        <v>18</v>
      </c>
      <c r="I1328" s="11" t="s">
        <v>1433</v>
      </c>
      <c r="J1328" s="375"/>
      <c r="K1328" s="17" t="s">
        <v>233</v>
      </c>
      <c r="L1328" s="17" t="s">
        <v>233</v>
      </c>
      <c r="M1328" s="231">
        <v>6752</v>
      </c>
      <c r="N1328" s="232">
        <v>6670.0307199999997</v>
      </c>
      <c r="O1328" s="132">
        <v>1133</v>
      </c>
      <c r="P1328" s="231" t="s">
        <v>239</v>
      </c>
      <c r="Q1328" s="232">
        <v>1133</v>
      </c>
      <c r="R1328" s="231" t="s">
        <v>239</v>
      </c>
      <c r="S1328" s="232">
        <v>1171</v>
      </c>
      <c r="T1328" s="231" t="s">
        <v>239</v>
      </c>
      <c r="U1328" s="232">
        <v>1476</v>
      </c>
      <c r="V1328" s="231" t="s">
        <v>239</v>
      </c>
      <c r="W1328" s="232">
        <v>1266</v>
      </c>
      <c r="X1328" s="231" t="s">
        <v>239</v>
      </c>
      <c r="Y1328" s="232">
        <v>1217</v>
      </c>
      <c r="Z1328" s="231" t="s">
        <v>239</v>
      </c>
      <c r="AA1328" s="232">
        <v>1169</v>
      </c>
      <c r="AB1328" s="231" t="s">
        <v>239</v>
      </c>
      <c r="AC1328" s="232">
        <v>998</v>
      </c>
      <c r="AD1328" s="231" t="s">
        <v>239</v>
      </c>
      <c r="AE1328" s="232">
        <v>961</v>
      </c>
      <c r="AF1328" s="231" t="s">
        <v>239</v>
      </c>
      <c r="AG1328" s="232">
        <v>1016</v>
      </c>
      <c r="AH1328" s="231" t="s">
        <v>239</v>
      </c>
      <c r="AI1328" s="232">
        <v>1343</v>
      </c>
      <c r="AJ1328" s="231" t="s">
        <v>239</v>
      </c>
      <c r="AK1328" s="232">
        <v>1136</v>
      </c>
      <c r="AL1328" s="232" t="s">
        <v>239</v>
      </c>
      <c r="AM1328" s="232">
        <v>14019</v>
      </c>
    </row>
    <row r="1329" spans="1:39" ht="15.75" outlineLevel="1">
      <c r="A1329" s="411">
        <v>660</v>
      </c>
      <c r="B1329" s="10">
        <v>129660</v>
      </c>
      <c r="C1329" s="218" t="s">
        <v>1489</v>
      </c>
      <c r="D1329" s="218" t="s">
        <v>1490</v>
      </c>
      <c r="E1329" s="23" t="s">
        <v>44</v>
      </c>
      <c r="F1329" s="17" t="s">
        <v>45</v>
      </c>
      <c r="G1329" s="11" t="s">
        <v>1432</v>
      </c>
      <c r="H1329" s="12">
        <v>17</v>
      </c>
      <c r="I1329" s="11" t="s">
        <v>1433</v>
      </c>
      <c r="J1329" s="193" t="s">
        <v>1460</v>
      </c>
      <c r="K1329" s="17" t="s">
        <v>233</v>
      </c>
      <c r="L1329" s="17" t="s">
        <v>233</v>
      </c>
      <c r="M1329" s="231">
        <v>35</v>
      </c>
      <c r="N1329" s="231">
        <v>35</v>
      </c>
      <c r="O1329" s="231">
        <v>35</v>
      </c>
      <c r="P1329" s="231" t="s">
        <v>239</v>
      </c>
      <c r="Q1329" s="231">
        <v>35</v>
      </c>
      <c r="R1329" s="231" t="s">
        <v>239</v>
      </c>
      <c r="S1329" s="231">
        <v>35</v>
      </c>
      <c r="T1329" s="231" t="s">
        <v>239</v>
      </c>
      <c r="U1329" s="231">
        <v>35</v>
      </c>
      <c r="V1329" s="231" t="s">
        <v>239</v>
      </c>
      <c r="W1329" s="231">
        <v>35</v>
      </c>
      <c r="X1329" s="231" t="s">
        <v>239</v>
      </c>
      <c r="Y1329" s="231">
        <v>35</v>
      </c>
      <c r="Z1329" s="231" t="s">
        <v>239</v>
      </c>
      <c r="AA1329" s="231">
        <v>35</v>
      </c>
      <c r="AB1329" s="231" t="s">
        <v>239</v>
      </c>
      <c r="AC1329" s="231">
        <v>35</v>
      </c>
      <c r="AD1329" s="231" t="s">
        <v>239</v>
      </c>
      <c r="AE1329" s="231">
        <v>35</v>
      </c>
      <c r="AF1329" s="231" t="s">
        <v>239</v>
      </c>
      <c r="AG1329" s="231">
        <v>35</v>
      </c>
      <c r="AH1329" s="231" t="s">
        <v>239</v>
      </c>
      <c r="AI1329" s="231">
        <v>35</v>
      </c>
      <c r="AJ1329" s="231" t="s">
        <v>239</v>
      </c>
      <c r="AK1329" s="231">
        <v>35</v>
      </c>
      <c r="AL1329" s="232" t="s">
        <v>239</v>
      </c>
      <c r="AM1329" s="232">
        <v>0</v>
      </c>
    </row>
    <row r="1330" spans="1:39" ht="15.75" outlineLevel="1">
      <c r="A1330" s="412"/>
      <c r="B1330" s="10">
        <v>129660</v>
      </c>
      <c r="C1330" s="218" t="s">
        <v>1489</v>
      </c>
      <c r="D1330" s="218" t="s">
        <v>1490</v>
      </c>
      <c r="E1330" s="23" t="s">
        <v>138</v>
      </c>
      <c r="F1330" s="17" t="s">
        <v>45</v>
      </c>
      <c r="G1330" s="11" t="s">
        <v>1432</v>
      </c>
      <c r="H1330" s="12">
        <v>25</v>
      </c>
      <c r="I1330" s="11" t="s">
        <v>1433</v>
      </c>
      <c r="J1330" s="193" t="s">
        <v>1451</v>
      </c>
      <c r="K1330" s="17" t="s">
        <v>233</v>
      </c>
      <c r="L1330" s="17" t="s">
        <v>233</v>
      </c>
      <c r="M1330" s="231">
        <v>10029</v>
      </c>
      <c r="N1330" s="232">
        <v>9907.2479399999993</v>
      </c>
      <c r="O1330" s="132">
        <v>1351</v>
      </c>
      <c r="P1330" s="231" t="s">
        <v>239</v>
      </c>
      <c r="Q1330" s="232">
        <v>1351</v>
      </c>
      <c r="R1330" s="231" t="s">
        <v>239</v>
      </c>
      <c r="S1330" s="232">
        <v>1283</v>
      </c>
      <c r="T1330" s="231" t="s">
        <v>239</v>
      </c>
      <c r="U1330" s="232">
        <v>1295</v>
      </c>
      <c r="V1330" s="230" t="s">
        <v>239</v>
      </c>
      <c r="W1330" s="232">
        <v>1180</v>
      </c>
      <c r="X1330" s="231" t="s">
        <v>239</v>
      </c>
      <c r="Y1330" s="232">
        <v>1127</v>
      </c>
      <c r="Z1330" s="231" t="s">
        <v>239</v>
      </c>
      <c r="AA1330" s="232">
        <v>1294</v>
      </c>
      <c r="AB1330" s="231" t="s">
        <v>239</v>
      </c>
      <c r="AC1330" s="232">
        <v>1351</v>
      </c>
      <c r="AD1330" s="231" t="s">
        <v>239</v>
      </c>
      <c r="AE1330" s="232">
        <v>1334</v>
      </c>
      <c r="AF1330" s="231" t="s">
        <v>239</v>
      </c>
      <c r="AG1330" s="232">
        <v>1447</v>
      </c>
      <c r="AH1330" s="231" t="s">
        <v>239</v>
      </c>
      <c r="AI1330" s="232">
        <v>1426</v>
      </c>
      <c r="AJ1330" s="231" t="s">
        <v>239</v>
      </c>
      <c r="AK1330" s="232">
        <v>1477</v>
      </c>
      <c r="AL1330" s="232" t="s">
        <v>239</v>
      </c>
      <c r="AM1330" s="232">
        <v>15916</v>
      </c>
    </row>
    <row r="1331" spans="1:39" ht="15.75" outlineLevel="1">
      <c r="A1331" s="411">
        <v>661</v>
      </c>
      <c r="B1331" s="10">
        <v>129661</v>
      </c>
      <c r="C1331" s="218" t="s">
        <v>1489</v>
      </c>
      <c r="D1331" s="218" t="s">
        <v>1490</v>
      </c>
      <c r="E1331" s="23" t="s">
        <v>44</v>
      </c>
      <c r="F1331" s="17" t="s">
        <v>45</v>
      </c>
      <c r="G1331" s="11" t="s">
        <v>1432</v>
      </c>
      <c r="H1331" s="12">
        <v>13</v>
      </c>
      <c r="I1331" s="11" t="s">
        <v>1433</v>
      </c>
      <c r="J1331" s="193" t="s">
        <v>208</v>
      </c>
      <c r="K1331" s="17" t="s">
        <v>233</v>
      </c>
      <c r="L1331" s="17" t="s">
        <v>233</v>
      </c>
      <c r="M1331" s="231">
        <v>0.8</v>
      </c>
      <c r="N1331" s="231">
        <v>0.8</v>
      </c>
      <c r="O1331" s="231">
        <v>0.8</v>
      </c>
      <c r="P1331" s="231" t="s">
        <v>239</v>
      </c>
      <c r="Q1331" s="231">
        <v>0.8</v>
      </c>
      <c r="R1331" s="231" t="s">
        <v>239</v>
      </c>
      <c r="S1331" s="231">
        <v>0.8</v>
      </c>
      <c r="T1331" s="231" t="s">
        <v>239</v>
      </c>
      <c r="U1331" s="231">
        <v>0.8</v>
      </c>
      <c r="V1331" s="231" t="s">
        <v>239</v>
      </c>
      <c r="W1331" s="231">
        <v>0.8</v>
      </c>
      <c r="X1331" s="231" t="s">
        <v>239</v>
      </c>
      <c r="Y1331" s="231">
        <v>0.8</v>
      </c>
      <c r="Z1331" s="231" t="s">
        <v>239</v>
      </c>
      <c r="AA1331" s="231">
        <v>0.8</v>
      </c>
      <c r="AB1331" s="231" t="s">
        <v>239</v>
      </c>
      <c r="AC1331" s="231">
        <v>0.8</v>
      </c>
      <c r="AD1331" s="231" t="s">
        <v>239</v>
      </c>
      <c r="AE1331" s="231">
        <v>0.8</v>
      </c>
      <c r="AF1331" s="231" t="s">
        <v>239</v>
      </c>
      <c r="AG1331" s="231">
        <v>0.8</v>
      </c>
      <c r="AH1331" s="231" t="s">
        <v>239</v>
      </c>
      <c r="AI1331" s="231">
        <v>0.8</v>
      </c>
      <c r="AJ1331" s="231" t="s">
        <v>239</v>
      </c>
      <c r="AK1331" s="231">
        <v>0.8</v>
      </c>
      <c r="AL1331" s="232" t="s">
        <v>239</v>
      </c>
      <c r="AM1331" s="232">
        <v>0</v>
      </c>
    </row>
    <row r="1332" spans="1:39" ht="15.75" outlineLevel="1">
      <c r="A1332" s="412"/>
      <c r="B1332" s="10">
        <v>129661</v>
      </c>
      <c r="C1332" s="218" t="s">
        <v>1489</v>
      </c>
      <c r="D1332" s="218" t="s">
        <v>1490</v>
      </c>
      <c r="E1332" s="23" t="s">
        <v>44</v>
      </c>
      <c r="F1332" s="17" t="s">
        <v>45</v>
      </c>
      <c r="G1332" s="11" t="s">
        <v>1432</v>
      </c>
      <c r="H1332" s="12">
        <v>5</v>
      </c>
      <c r="I1332" s="11" t="s">
        <v>1433</v>
      </c>
      <c r="J1332" s="193" t="s">
        <v>1452</v>
      </c>
      <c r="K1332" s="17" t="s">
        <v>233</v>
      </c>
      <c r="L1332" s="17" t="s">
        <v>233</v>
      </c>
      <c r="M1332" s="231">
        <v>3233</v>
      </c>
      <c r="N1332" s="232">
        <v>3193.7513799999997</v>
      </c>
      <c r="O1332" s="132">
        <v>1065</v>
      </c>
      <c r="P1332" s="231" t="s">
        <v>239</v>
      </c>
      <c r="Q1332" s="232">
        <v>1065</v>
      </c>
      <c r="R1332" s="231" t="s">
        <v>239</v>
      </c>
      <c r="S1332" s="232">
        <v>1023</v>
      </c>
      <c r="T1332" s="231" t="s">
        <v>239</v>
      </c>
      <c r="U1332" s="232">
        <v>1088</v>
      </c>
      <c r="V1332" s="231" t="s">
        <v>239</v>
      </c>
      <c r="W1332" s="232">
        <v>1019</v>
      </c>
      <c r="X1332" s="231" t="s">
        <v>239</v>
      </c>
      <c r="Y1332" s="232">
        <v>990</v>
      </c>
      <c r="Z1332" s="231" t="s">
        <v>239</v>
      </c>
      <c r="AA1332" s="232">
        <v>0</v>
      </c>
      <c r="AB1332" s="231" t="s">
        <v>239</v>
      </c>
      <c r="AC1332" s="232">
        <v>4</v>
      </c>
      <c r="AD1332" s="231" t="s">
        <v>239</v>
      </c>
      <c r="AE1332" s="232">
        <v>4</v>
      </c>
      <c r="AF1332" s="231" t="s">
        <v>239</v>
      </c>
      <c r="AG1332" s="232">
        <v>112</v>
      </c>
      <c r="AH1332" s="231" t="s">
        <v>239</v>
      </c>
      <c r="AI1332" s="232">
        <v>133</v>
      </c>
      <c r="AJ1332" s="231" t="s">
        <v>239</v>
      </c>
      <c r="AK1332" s="232">
        <v>168</v>
      </c>
      <c r="AL1332" s="232" t="s">
        <v>239</v>
      </c>
      <c r="AM1332" s="232">
        <v>6671</v>
      </c>
    </row>
    <row r="1333" spans="1:39" ht="15.75" outlineLevel="1">
      <c r="A1333" s="411">
        <v>662</v>
      </c>
      <c r="B1333" s="10">
        <v>129662</v>
      </c>
      <c r="C1333" s="218" t="s">
        <v>1489</v>
      </c>
      <c r="D1333" s="218" t="s">
        <v>1490</v>
      </c>
      <c r="E1333" s="23" t="s">
        <v>138</v>
      </c>
      <c r="F1333" s="17" t="s">
        <v>45</v>
      </c>
      <c r="G1333" s="11" t="s">
        <v>1432</v>
      </c>
      <c r="H1333" s="12">
        <v>4</v>
      </c>
      <c r="I1333" s="11" t="s">
        <v>1433</v>
      </c>
      <c r="J1333" s="193" t="s">
        <v>216</v>
      </c>
      <c r="K1333" s="17" t="s">
        <v>233</v>
      </c>
      <c r="L1333" s="17" t="s">
        <v>233</v>
      </c>
      <c r="M1333" s="231">
        <v>1</v>
      </c>
      <c r="N1333" s="231">
        <v>1</v>
      </c>
      <c r="O1333" s="231">
        <v>1</v>
      </c>
      <c r="P1333" s="231" t="s">
        <v>239</v>
      </c>
      <c r="Q1333" s="231">
        <v>1</v>
      </c>
      <c r="R1333" s="231" t="s">
        <v>239</v>
      </c>
      <c r="S1333" s="231">
        <v>1</v>
      </c>
      <c r="T1333" s="231" t="s">
        <v>239</v>
      </c>
      <c r="U1333" s="231">
        <v>1</v>
      </c>
      <c r="V1333" s="230" t="s">
        <v>239</v>
      </c>
      <c r="W1333" s="231">
        <v>1</v>
      </c>
      <c r="X1333" s="231" t="s">
        <v>239</v>
      </c>
      <c r="Y1333" s="231">
        <v>1</v>
      </c>
      <c r="Z1333" s="231" t="s">
        <v>239</v>
      </c>
      <c r="AA1333" s="231">
        <v>1</v>
      </c>
      <c r="AB1333" s="231" t="s">
        <v>239</v>
      </c>
      <c r="AC1333" s="231">
        <v>1</v>
      </c>
      <c r="AD1333" s="231" t="s">
        <v>239</v>
      </c>
      <c r="AE1333" s="231">
        <v>1</v>
      </c>
      <c r="AF1333" s="231" t="s">
        <v>239</v>
      </c>
      <c r="AG1333" s="231">
        <v>1</v>
      </c>
      <c r="AH1333" s="231" t="s">
        <v>239</v>
      </c>
      <c r="AI1333" s="231">
        <v>1</v>
      </c>
      <c r="AJ1333" s="231" t="s">
        <v>239</v>
      </c>
      <c r="AK1333" s="231">
        <v>1</v>
      </c>
      <c r="AL1333" s="232" t="s">
        <v>239</v>
      </c>
      <c r="AM1333" s="232">
        <v>0</v>
      </c>
    </row>
    <row r="1334" spans="1:39" ht="15.75" outlineLevel="1">
      <c r="A1334" s="412"/>
      <c r="B1334" s="10">
        <v>129662</v>
      </c>
      <c r="C1334" s="218" t="s">
        <v>1489</v>
      </c>
      <c r="D1334" s="218" t="s">
        <v>1490</v>
      </c>
      <c r="E1334" s="23" t="s">
        <v>44</v>
      </c>
      <c r="F1334" s="17" t="s">
        <v>45</v>
      </c>
      <c r="G1334" s="11" t="s">
        <v>1432</v>
      </c>
      <c r="H1334" s="12">
        <v>24</v>
      </c>
      <c r="I1334" s="11" t="s">
        <v>1433</v>
      </c>
      <c r="J1334" s="193" t="s">
        <v>1453</v>
      </c>
      <c r="K1334" s="17" t="s">
        <v>233</v>
      </c>
      <c r="L1334" s="17" t="s">
        <v>233</v>
      </c>
      <c r="M1334" s="231">
        <v>7979</v>
      </c>
      <c r="N1334" s="232">
        <v>7882.1349399999999</v>
      </c>
      <c r="O1334" s="132">
        <v>869</v>
      </c>
      <c r="P1334" s="231" t="s">
        <v>239</v>
      </c>
      <c r="Q1334" s="232">
        <v>869</v>
      </c>
      <c r="R1334" s="231" t="s">
        <v>239</v>
      </c>
      <c r="S1334" s="232">
        <v>826</v>
      </c>
      <c r="T1334" s="231" t="s">
        <v>239</v>
      </c>
      <c r="U1334" s="232">
        <v>850</v>
      </c>
      <c r="V1334" s="231" t="s">
        <v>239</v>
      </c>
      <c r="W1334" s="232">
        <v>948</v>
      </c>
      <c r="X1334" s="231" t="s">
        <v>239</v>
      </c>
      <c r="Y1334" s="232">
        <v>1019</v>
      </c>
      <c r="Z1334" s="231" t="s">
        <v>239</v>
      </c>
      <c r="AA1334" s="232">
        <v>758</v>
      </c>
      <c r="AB1334" s="231" t="s">
        <v>239</v>
      </c>
      <c r="AC1334" s="232">
        <v>744</v>
      </c>
      <c r="AD1334" s="231" t="s">
        <v>239</v>
      </c>
      <c r="AE1334" s="232">
        <v>623</v>
      </c>
      <c r="AF1334" s="231" t="s">
        <v>239</v>
      </c>
      <c r="AG1334" s="232">
        <v>851</v>
      </c>
      <c r="AH1334" s="231" t="s">
        <v>239</v>
      </c>
      <c r="AI1334" s="232">
        <v>1020</v>
      </c>
      <c r="AJ1334" s="231" t="s">
        <v>239</v>
      </c>
      <c r="AK1334" s="232">
        <v>1253</v>
      </c>
      <c r="AL1334" s="232" t="s">
        <v>239</v>
      </c>
      <c r="AM1334" s="232">
        <v>10630</v>
      </c>
    </row>
    <row r="1335" spans="1:39" ht="15.75" outlineLevel="1">
      <c r="A1335" s="411">
        <v>663</v>
      </c>
      <c r="B1335" s="10">
        <v>129663</v>
      </c>
      <c r="C1335" s="218" t="s">
        <v>1489</v>
      </c>
      <c r="D1335" s="218" t="s">
        <v>1490</v>
      </c>
      <c r="E1335" s="23" t="s">
        <v>138</v>
      </c>
      <c r="F1335" s="17" t="s">
        <v>45</v>
      </c>
      <c r="G1335" s="11" t="s">
        <v>1432</v>
      </c>
      <c r="H1335" s="12">
        <v>10</v>
      </c>
      <c r="I1335" s="11" t="s">
        <v>1433</v>
      </c>
      <c r="J1335" s="193" t="s">
        <v>1454</v>
      </c>
      <c r="K1335" s="17" t="s">
        <v>233</v>
      </c>
      <c r="L1335" s="17" t="s">
        <v>233</v>
      </c>
      <c r="M1335" s="231">
        <v>0</v>
      </c>
      <c r="N1335" s="232">
        <v>0</v>
      </c>
      <c r="O1335" s="132">
        <v>0</v>
      </c>
      <c r="P1335" s="231" t="s">
        <v>239</v>
      </c>
      <c r="Q1335" s="232">
        <v>0</v>
      </c>
      <c r="R1335" s="231" t="s">
        <v>239</v>
      </c>
      <c r="S1335" s="232">
        <v>0</v>
      </c>
      <c r="T1335" s="231" t="s">
        <v>239</v>
      </c>
      <c r="U1335" s="232">
        <v>0</v>
      </c>
      <c r="V1335" s="231" t="s">
        <v>239</v>
      </c>
      <c r="W1335" s="232">
        <v>0</v>
      </c>
      <c r="X1335" s="231" t="s">
        <v>239</v>
      </c>
      <c r="Y1335" s="232">
        <v>0</v>
      </c>
      <c r="Z1335" s="231" t="s">
        <v>239</v>
      </c>
      <c r="AA1335" s="232">
        <v>0</v>
      </c>
      <c r="AB1335" s="231" t="s">
        <v>239</v>
      </c>
      <c r="AC1335" s="232">
        <v>0</v>
      </c>
      <c r="AD1335" s="231" t="s">
        <v>239</v>
      </c>
      <c r="AE1335" s="232">
        <v>0</v>
      </c>
      <c r="AF1335" s="231" t="s">
        <v>239</v>
      </c>
      <c r="AG1335" s="232">
        <v>0</v>
      </c>
      <c r="AH1335" s="231" t="s">
        <v>239</v>
      </c>
      <c r="AI1335" s="232">
        <v>0</v>
      </c>
      <c r="AJ1335" s="231" t="s">
        <v>239</v>
      </c>
      <c r="AK1335" s="232">
        <v>0</v>
      </c>
      <c r="AL1335" s="232" t="s">
        <v>239</v>
      </c>
      <c r="AM1335" s="232">
        <v>0</v>
      </c>
    </row>
    <row r="1336" spans="1:39" ht="15.75" outlineLevel="1">
      <c r="A1336" s="412"/>
      <c r="B1336" s="10">
        <v>129663</v>
      </c>
      <c r="C1336" s="218" t="s">
        <v>1489</v>
      </c>
      <c r="D1336" s="218" t="s">
        <v>1490</v>
      </c>
      <c r="E1336" s="23" t="s">
        <v>44</v>
      </c>
      <c r="F1336" s="17" t="s">
        <v>45</v>
      </c>
      <c r="G1336" s="11" t="s">
        <v>1432</v>
      </c>
      <c r="H1336" s="12">
        <v>17</v>
      </c>
      <c r="I1336" s="11" t="s">
        <v>1433</v>
      </c>
      <c r="J1336" s="191" t="s">
        <v>216</v>
      </c>
      <c r="K1336" s="17" t="s">
        <v>233</v>
      </c>
      <c r="L1336" s="17" t="s">
        <v>233</v>
      </c>
      <c r="M1336" s="231">
        <v>14280</v>
      </c>
      <c r="N1336" s="232">
        <v>14106.640799999999</v>
      </c>
      <c r="O1336" s="132">
        <v>1354</v>
      </c>
      <c r="P1336" s="231" t="s">
        <v>239</v>
      </c>
      <c r="Q1336" s="232">
        <v>1354</v>
      </c>
      <c r="R1336" s="231" t="s">
        <v>239</v>
      </c>
      <c r="S1336" s="232">
        <v>1148</v>
      </c>
      <c r="T1336" s="231" t="s">
        <v>239</v>
      </c>
      <c r="U1336" s="232">
        <v>257</v>
      </c>
      <c r="V1336" s="230" t="s">
        <v>239</v>
      </c>
      <c r="W1336" s="232">
        <v>299</v>
      </c>
      <c r="X1336" s="231" t="s">
        <v>239</v>
      </c>
      <c r="Y1336" s="232">
        <v>227</v>
      </c>
      <c r="Z1336" s="231" t="s">
        <v>239</v>
      </c>
      <c r="AA1336" s="232">
        <v>155</v>
      </c>
      <c r="AB1336" s="231" t="s">
        <v>239</v>
      </c>
      <c r="AC1336" s="232">
        <v>327</v>
      </c>
      <c r="AD1336" s="231" t="s">
        <v>239</v>
      </c>
      <c r="AE1336" s="232">
        <v>384</v>
      </c>
      <c r="AF1336" s="231" t="s">
        <v>239</v>
      </c>
      <c r="AG1336" s="232">
        <v>524</v>
      </c>
      <c r="AH1336" s="231" t="s">
        <v>239</v>
      </c>
      <c r="AI1336" s="232">
        <v>676</v>
      </c>
      <c r="AJ1336" s="231" t="s">
        <v>239</v>
      </c>
      <c r="AK1336" s="232">
        <v>674</v>
      </c>
      <c r="AL1336" s="232" t="s">
        <v>239</v>
      </c>
      <c r="AM1336" s="232">
        <v>7379</v>
      </c>
    </row>
    <row r="1337" spans="1:39" ht="15.75" outlineLevel="1">
      <c r="A1337" s="411">
        <v>664</v>
      </c>
      <c r="B1337" s="10">
        <v>129664</v>
      </c>
      <c r="C1337" s="218" t="s">
        <v>1489</v>
      </c>
      <c r="D1337" s="218" t="s">
        <v>1490</v>
      </c>
      <c r="E1337" s="23" t="s">
        <v>44</v>
      </c>
      <c r="F1337" s="17" t="s">
        <v>45</v>
      </c>
      <c r="G1337" s="11" t="s">
        <v>1432</v>
      </c>
      <c r="H1337" s="12">
        <v>32</v>
      </c>
      <c r="I1337" s="11" t="s">
        <v>1433</v>
      </c>
      <c r="J1337" s="192" t="s">
        <v>1434</v>
      </c>
      <c r="K1337" s="17" t="s">
        <v>233</v>
      </c>
      <c r="L1337" s="17" t="s">
        <v>233</v>
      </c>
      <c r="M1337" s="231">
        <v>50</v>
      </c>
      <c r="N1337" s="231">
        <v>50</v>
      </c>
      <c r="O1337" s="231">
        <v>50</v>
      </c>
      <c r="P1337" s="231" t="s">
        <v>239</v>
      </c>
      <c r="Q1337" s="231">
        <v>50</v>
      </c>
      <c r="R1337" s="231" t="s">
        <v>239</v>
      </c>
      <c r="S1337" s="231">
        <v>50</v>
      </c>
      <c r="T1337" s="231" t="s">
        <v>239</v>
      </c>
      <c r="U1337" s="231">
        <v>50</v>
      </c>
      <c r="V1337" s="231" t="s">
        <v>239</v>
      </c>
      <c r="W1337" s="231">
        <v>50</v>
      </c>
      <c r="X1337" s="231" t="s">
        <v>239</v>
      </c>
      <c r="Y1337" s="231">
        <v>50</v>
      </c>
      <c r="Z1337" s="231" t="s">
        <v>239</v>
      </c>
      <c r="AA1337" s="231">
        <v>50</v>
      </c>
      <c r="AB1337" s="231" t="s">
        <v>239</v>
      </c>
      <c r="AC1337" s="231">
        <v>50</v>
      </c>
      <c r="AD1337" s="231" t="s">
        <v>239</v>
      </c>
      <c r="AE1337" s="231">
        <v>50</v>
      </c>
      <c r="AF1337" s="231" t="s">
        <v>239</v>
      </c>
      <c r="AG1337" s="231">
        <v>50</v>
      </c>
      <c r="AH1337" s="231" t="s">
        <v>239</v>
      </c>
      <c r="AI1337" s="231">
        <v>50</v>
      </c>
      <c r="AJ1337" s="231" t="s">
        <v>239</v>
      </c>
      <c r="AK1337" s="231">
        <v>50</v>
      </c>
      <c r="AL1337" s="232" t="s">
        <v>239</v>
      </c>
      <c r="AM1337" s="232">
        <v>0</v>
      </c>
    </row>
    <row r="1338" spans="1:39" ht="15.75" outlineLevel="1">
      <c r="A1338" s="412"/>
      <c r="B1338" s="10">
        <v>129664</v>
      </c>
      <c r="C1338" s="218" t="s">
        <v>1489</v>
      </c>
      <c r="D1338" s="218" t="s">
        <v>1490</v>
      </c>
      <c r="E1338" s="23" t="s">
        <v>138</v>
      </c>
      <c r="F1338" s="17" t="s">
        <v>45</v>
      </c>
      <c r="G1338" s="11" t="s">
        <v>1432</v>
      </c>
      <c r="H1338" s="12">
        <v>8</v>
      </c>
      <c r="I1338" s="11" t="s">
        <v>1433</v>
      </c>
      <c r="J1338" s="192" t="s">
        <v>1480</v>
      </c>
      <c r="K1338" s="17" t="s">
        <v>233</v>
      </c>
      <c r="L1338" s="17" t="s">
        <v>233</v>
      </c>
      <c r="M1338" s="231">
        <v>11625</v>
      </c>
      <c r="N1338" s="232">
        <v>11483.872499999999</v>
      </c>
      <c r="O1338" s="132">
        <v>14112</v>
      </c>
      <c r="P1338" s="231" t="s">
        <v>239</v>
      </c>
      <c r="Q1338" s="232">
        <v>1412</v>
      </c>
      <c r="R1338" s="231" t="s">
        <v>239</v>
      </c>
      <c r="S1338" s="232">
        <v>1221</v>
      </c>
      <c r="T1338" s="231" t="s">
        <v>239</v>
      </c>
      <c r="U1338" s="232">
        <v>1207</v>
      </c>
      <c r="V1338" s="231" t="s">
        <v>239</v>
      </c>
      <c r="W1338" s="232">
        <v>1035</v>
      </c>
      <c r="X1338" s="231" t="s">
        <v>239</v>
      </c>
      <c r="Y1338" s="232">
        <v>965</v>
      </c>
      <c r="Z1338" s="231" t="s">
        <v>239</v>
      </c>
      <c r="AA1338" s="232">
        <v>1079</v>
      </c>
      <c r="AB1338" s="231" t="s">
        <v>239</v>
      </c>
      <c r="AC1338" s="232">
        <v>1033</v>
      </c>
      <c r="AD1338" s="231" t="s">
        <v>239</v>
      </c>
      <c r="AE1338" s="232">
        <v>1071</v>
      </c>
      <c r="AF1338" s="231" t="s">
        <v>239</v>
      </c>
      <c r="AG1338" s="232">
        <v>1169</v>
      </c>
      <c r="AH1338" s="231" t="s">
        <v>239</v>
      </c>
      <c r="AI1338" s="232">
        <v>1063</v>
      </c>
      <c r="AJ1338" s="231" t="s">
        <v>239</v>
      </c>
      <c r="AK1338" s="232">
        <v>1109</v>
      </c>
      <c r="AL1338" s="232" t="s">
        <v>239</v>
      </c>
      <c r="AM1338" s="232">
        <v>26476</v>
      </c>
    </row>
    <row r="1339" spans="1:39" ht="15.75" outlineLevel="1">
      <c r="A1339" s="411">
        <v>665</v>
      </c>
      <c r="B1339" s="10">
        <v>129665</v>
      </c>
      <c r="C1339" s="218" t="s">
        <v>1489</v>
      </c>
      <c r="D1339" s="218" t="s">
        <v>1490</v>
      </c>
      <c r="E1339" s="23" t="s">
        <v>44</v>
      </c>
      <c r="F1339" s="17" t="s">
        <v>45</v>
      </c>
      <c r="G1339" s="11" t="s">
        <v>1432</v>
      </c>
      <c r="H1339" s="12">
        <v>12</v>
      </c>
      <c r="I1339" s="11" t="s">
        <v>1433</v>
      </c>
      <c r="J1339" s="192" t="s">
        <v>1452</v>
      </c>
      <c r="K1339" s="17" t="s">
        <v>233</v>
      </c>
      <c r="L1339" s="17" t="s">
        <v>233</v>
      </c>
      <c r="M1339" s="231">
        <v>31.5</v>
      </c>
      <c r="N1339" s="231">
        <v>31.5</v>
      </c>
      <c r="O1339" s="231">
        <v>31.5</v>
      </c>
      <c r="P1339" s="231" t="s">
        <v>239</v>
      </c>
      <c r="Q1339" s="231">
        <v>31.5</v>
      </c>
      <c r="R1339" s="231" t="s">
        <v>239</v>
      </c>
      <c r="S1339" s="231">
        <v>31.5</v>
      </c>
      <c r="T1339" s="231" t="s">
        <v>239</v>
      </c>
      <c r="U1339" s="231">
        <v>31.5</v>
      </c>
      <c r="V1339" s="230" t="s">
        <v>239</v>
      </c>
      <c r="W1339" s="231">
        <v>31.5</v>
      </c>
      <c r="X1339" s="231" t="s">
        <v>239</v>
      </c>
      <c r="Y1339" s="231">
        <v>31.5</v>
      </c>
      <c r="Z1339" s="231" t="s">
        <v>239</v>
      </c>
      <c r="AA1339" s="231">
        <v>31.5</v>
      </c>
      <c r="AB1339" s="231" t="s">
        <v>239</v>
      </c>
      <c r="AC1339" s="231">
        <v>31.5</v>
      </c>
      <c r="AD1339" s="231" t="s">
        <v>239</v>
      </c>
      <c r="AE1339" s="231">
        <v>31.5</v>
      </c>
      <c r="AF1339" s="231" t="s">
        <v>239</v>
      </c>
      <c r="AG1339" s="231">
        <v>31.5</v>
      </c>
      <c r="AH1339" s="231" t="s">
        <v>239</v>
      </c>
      <c r="AI1339" s="231">
        <v>31.5</v>
      </c>
      <c r="AJ1339" s="231" t="s">
        <v>239</v>
      </c>
      <c r="AK1339" s="231">
        <v>31.5</v>
      </c>
      <c r="AL1339" s="232" t="s">
        <v>239</v>
      </c>
      <c r="AM1339" s="232">
        <v>0</v>
      </c>
    </row>
    <row r="1340" spans="1:39" ht="15.75" outlineLevel="1">
      <c r="A1340" s="412"/>
      <c r="B1340" s="10">
        <v>129665</v>
      </c>
      <c r="C1340" s="218" t="s">
        <v>1489</v>
      </c>
      <c r="D1340" s="218" t="s">
        <v>1490</v>
      </c>
      <c r="E1340" s="23" t="s">
        <v>138</v>
      </c>
      <c r="F1340" s="17" t="s">
        <v>45</v>
      </c>
      <c r="G1340" s="11" t="s">
        <v>1432</v>
      </c>
      <c r="H1340" s="12">
        <v>18</v>
      </c>
      <c r="I1340" s="11" t="s">
        <v>1433</v>
      </c>
      <c r="J1340" s="374" t="s">
        <v>207</v>
      </c>
      <c r="K1340" s="17" t="s">
        <v>233</v>
      </c>
      <c r="L1340" s="17" t="s">
        <v>233</v>
      </c>
      <c r="M1340" s="231">
        <v>7610</v>
      </c>
      <c r="N1340" s="232">
        <v>7517.6145999999999</v>
      </c>
      <c r="O1340" s="132">
        <v>1516</v>
      </c>
      <c r="P1340" s="231" t="s">
        <v>239</v>
      </c>
      <c r="Q1340" s="232">
        <v>1516</v>
      </c>
      <c r="R1340" s="231" t="s">
        <v>239</v>
      </c>
      <c r="S1340" s="232">
        <v>1461</v>
      </c>
      <c r="T1340" s="231" t="s">
        <v>239</v>
      </c>
      <c r="U1340" s="232">
        <v>1410</v>
      </c>
      <c r="V1340" s="231" t="s">
        <v>239</v>
      </c>
      <c r="W1340" s="232">
        <v>1402</v>
      </c>
      <c r="X1340" s="231" t="s">
        <v>239</v>
      </c>
      <c r="Y1340" s="232">
        <v>1127</v>
      </c>
      <c r="Z1340" s="231" t="s">
        <v>239</v>
      </c>
      <c r="AA1340" s="232">
        <v>1082</v>
      </c>
      <c r="AB1340" s="231" t="s">
        <v>239</v>
      </c>
      <c r="AC1340" s="232">
        <v>1217</v>
      </c>
      <c r="AD1340" s="231" t="s">
        <v>239</v>
      </c>
      <c r="AE1340" s="232">
        <v>1260</v>
      </c>
      <c r="AF1340" s="231" t="s">
        <v>239</v>
      </c>
      <c r="AG1340" s="232">
        <v>1357</v>
      </c>
      <c r="AH1340" s="231" t="s">
        <v>239</v>
      </c>
      <c r="AI1340" s="232">
        <v>1537</v>
      </c>
      <c r="AJ1340" s="231" t="s">
        <v>239</v>
      </c>
      <c r="AK1340" s="232">
        <v>1368</v>
      </c>
      <c r="AL1340" s="232" t="s">
        <v>239</v>
      </c>
      <c r="AM1340" s="232">
        <v>16253</v>
      </c>
    </row>
    <row r="1341" spans="1:39" ht="15.75" outlineLevel="1">
      <c r="A1341" s="411">
        <v>666</v>
      </c>
      <c r="B1341" s="10">
        <v>129666</v>
      </c>
      <c r="C1341" s="218" t="s">
        <v>1489</v>
      </c>
      <c r="D1341" s="218" t="s">
        <v>1490</v>
      </c>
      <c r="E1341" s="23" t="s">
        <v>44</v>
      </c>
      <c r="F1341" s="17" t="s">
        <v>45</v>
      </c>
      <c r="G1341" s="11" t="s">
        <v>1432</v>
      </c>
      <c r="H1341" s="12">
        <v>17</v>
      </c>
      <c r="I1341" s="11" t="s">
        <v>1433</v>
      </c>
      <c r="J1341" s="375"/>
      <c r="K1341" s="17" t="s">
        <v>233</v>
      </c>
      <c r="L1341" s="17" t="s">
        <v>233</v>
      </c>
      <c r="M1341" s="231">
        <v>31.5</v>
      </c>
      <c r="N1341" s="231">
        <v>31.5</v>
      </c>
      <c r="O1341" s="231">
        <v>31.5</v>
      </c>
      <c r="P1341" s="231" t="s">
        <v>239</v>
      </c>
      <c r="Q1341" s="231">
        <v>31.5</v>
      </c>
      <c r="R1341" s="231" t="s">
        <v>239</v>
      </c>
      <c r="S1341" s="231">
        <v>31.5</v>
      </c>
      <c r="T1341" s="231" t="s">
        <v>239</v>
      </c>
      <c r="U1341" s="231">
        <v>31.5</v>
      </c>
      <c r="V1341" s="231" t="s">
        <v>239</v>
      </c>
      <c r="W1341" s="231">
        <v>31.5</v>
      </c>
      <c r="X1341" s="231" t="s">
        <v>239</v>
      </c>
      <c r="Y1341" s="231">
        <v>31.5</v>
      </c>
      <c r="Z1341" s="231" t="s">
        <v>239</v>
      </c>
      <c r="AA1341" s="231">
        <v>31.5</v>
      </c>
      <c r="AB1341" s="231" t="s">
        <v>239</v>
      </c>
      <c r="AC1341" s="231">
        <v>31.5</v>
      </c>
      <c r="AD1341" s="231" t="s">
        <v>239</v>
      </c>
      <c r="AE1341" s="231">
        <v>31.5</v>
      </c>
      <c r="AF1341" s="231" t="s">
        <v>239</v>
      </c>
      <c r="AG1341" s="231">
        <v>31.5</v>
      </c>
      <c r="AH1341" s="231" t="s">
        <v>239</v>
      </c>
      <c r="AI1341" s="231">
        <v>31.5</v>
      </c>
      <c r="AJ1341" s="231" t="s">
        <v>239</v>
      </c>
      <c r="AK1341" s="231">
        <v>31.5</v>
      </c>
      <c r="AL1341" s="232" t="s">
        <v>239</v>
      </c>
      <c r="AM1341" s="232">
        <v>0</v>
      </c>
    </row>
    <row r="1342" spans="1:39" ht="15.75" outlineLevel="1">
      <c r="A1342" s="412"/>
      <c r="B1342" s="10">
        <v>129666</v>
      </c>
      <c r="C1342" s="218" t="s">
        <v>1489</v>
      </c>
      <c r="D1342" s="218" t="s">
        <v>1490</v>
      </c>
      <c r="E1342" s="23" t="s">
        <v>138</v>
      </c>
      <c r="F1342" s="17" t="s">
        <v>45</v>
      </c>
      <c r="G1342" s="11" t="s">
        <v>1432</v>
      </c>
      <c r="H1342" s="12">
        <v>25</v>
      </c>
      <c r="I1342" s="11" t="s">
        <v>1433</v>
      </c>
      <c r="J1342" s="193" t="s">
        <v>1460</v>
      </c>
      <c r="K1342" s="17" t="s">
        <v>233</v>
      </c>
      <c r="L1342" s="17" t="s">
        <v>233</v>
      </c>
      <c r="M1342" s="231">
        <v>0</v>
      </c>
      <c r="N1342" s="232">
        <v>0</v>
      </c>
      <c r="O1342" s="132">
        <v>0</v>
      </c>
      <c r="P1342" s="231" t="s">
        <v>239</v>
      </c>
      <c r="Q1342" s="232">
        <v>0</v>
      </c>
      <c r="R1342" s="231" t="s">
        <v>239</v>
      </c>
      <c r="S1342" s="232">
        <v>0</v>
      </c>
      <c r="T1342" s="231" t="s">
        <v>239</v>
      </c>
      <c r="U1342" s="232">
        <v>0</v>
      </c>
      <c r="V1342" s="230" t="s">
        <v>239</v>
      </c>
      <c r="W1342" s="232">
        <v>0</v>
      </c>
      <c r="X1342" s="231" t="s">
        <v>239</v>
      </c>
      <c r="Y1342" s="232">
        <v>0</v>
      </c>
      <c r="Z1342" s="231" t="s">
        <v>239</v>
      </c>
      <c r="AA1342" s="232">
        <v>0</v>
      </c>
      <c r="AB1342" s="231" t="s">
        <v>239</v>
      </c>
      <c r="AC1342" s="232">
        <v>0</v>
      </c>
      <c r="AD1342" s="231" t="s">
        <v>239</v>
      </c>
      <c r="AE1342" s="232">
        <v>0</v>
      </c>
      <c r="AF1342" s="231" t="s">
        <v>239</v>
      </c>
      <c r="AG1342" s="232">
        <v>0</v>
      </c>
      <c r="AH1342" s="231" t="s">
        <v>239</v>
      </c>
      <c r="AI1342" s="232">
        <v>0</v>
      </c>
      <c r="AJ1342" s="231" t="s">
        <v>239</v>
      </c>
      <c r="AK1342" s="232">
        <v>0</v>
      </c>
      <c r="AL1342" s="232" t="s">
        <v>239</v>
      </c>
      <c r="AM1342" s="232">
        <v>0</v>
      </c>
    </row>
    <row r="1343" spans="1:39" ht="15.75" outlineLevel="1">
      <c r="A1343" s="411">
        <v>667</v>
      </c>
      <c r="B1343" s="10">
        <v>129667</v>
      </c>
      <c r="C1343" s="218" t="s">
        <v>1489</v>
      </c>
      <c r="D1343" s="218" t="s">
        <v>1490</v>
      </c>
      <c r="E1343" s="23" t="s">
        <v>44</v>
      </c>
      <c r="F1343" s="17" t="s">
        <v>45</v>
      </c>
      <c r="G1343" s="11" t="s">
        <v>1432</v>
      </c>
      <c r="H1343" s="12">
        <v>13</v>
      </c>
      <c r="I1343" s="11" t="s">
        <v>1433</v>
      </c>
      <c r="J1343" s="193" t="s">
        <v>1442</v>
      </c>
      <c r="K1343" s="17" t="s">
        <v>233</v>
      </c>
      <c r="L1343" s="17" t="s">
        <v>233</v>
      </c>
      <c r="M1343" s="231">
        <v>60</v>
      </c>
      <c r="N1343" s="231">
        <v>60</v>
      </c>
      <c r="O1343" s="231">
        <v>60</v>
      </c>
      <c r="P1343" s="231" t="s">
        <v>239</v>
      </c>
      <c r="Q1343" s="231">
        <v>60</v>
      </c>
      <c r="R1343" s="231" t="s">
        <v>239</v>
      </c>
      <c r="S1343" s="231">
        <v>60</v>
      </c>
      <c r="T1343" s="231" t="s">
        <v>239</v>
      </c>
      <c r="U1343" s="231">
        <v>60</v>
      </c>
      <c r="V1343" s="231" t="s">
        <v>239</v>
      </c>
      <c r="W1343" s="231">
        <v>60</v>
      </c>
      <c r="X1343" s="231" t="s">
        <v>239</v>
      </c>
      <c r="Y1343" s="231">
        <v>60</v>
      </c>
      <c r="Z1343" s="231" t="s">
        <v>239</v>
      </c>
      <c r="AA1343" s="231">
        <v>60</v>
      </c>
      <c r="AB1343" s="231" t="s">
        <v>239</v>
      </c>
      <c r="AC1343" s="231">
        <v>60</v>
      </c>
      <c r="AD1343" s="231" t="s">
        <v>239</v>
      </c>
      <c r="AE1343" s="231">
        <v>60</v>
      </c>
      <c r="AF1343" s="231" t="s">
        <v>239</v>
      </c>
      <c r="AG1343" s="231">
        <v>60</v>
      </c>
      <c r="AH1343" s="231" t="s">
        <v>239</v>
      </c>
      <c r="AI1343" s="231">
        <v>60</v>
      </c>
      <c r="AJ1343" s="231" t="s">
        <v>239</v>
      </c>
      <c r="AK1343" s="231">
        <v>60</v>
      </c>
      <c r="AL1343" s="232" t="s">
        <v>239</v>
      </c>
      <c r="AM1343" s="232">
        <v>0</v>
      </c>
    </row>
    <row r="1344" spans="1:39" ht="15.75" outlineLevel="1">
      <c r="A1344" s="412"/>
      <c r="B1344" s="10">
        <v>129667</v>
      </c>
      <c r="C1344" s="218" t="s">
        <v>1489</v>
      </c>
      <c r="D1344" s="218" t="s">
        <v>1490</v>
      </c>
      <c r="E1344" s="23" t="s">
        <v>138</v>
      </c>
      <c r="F1344" s="17" t="s">
        <v>45</v>
      </c>
      <c r="G1344" s="11" t="s">
        <v>1432</v>
      </c>
      <c r="H1344" s="12">
        <v>5</v>
      </c>
      <c r="I1344" s="11" t="s">
        <v>1433</v>
      </c>
      <c r="J1344" s="193" t="s">
        <v>1451</v>
      </c>
      <c r="K1344" s="17" t="s">
        <v>233</v>
      </c>
      <c r="L1344" s="17" t="s">
        <v>233</v>
      </c>
      <c r="M1344" s="231">
        <v>17412</v>
      </c>
      <c r="N1344" s="232">
        <v>17200.618319999998</v>
      </c>
      <c r="O1344" s="132">
        <v>340</v>
      </c>
      <c r="P1344" s="231" t="s">
        <v>239</v>
      </c>
      <c r="Q1344" s="232">
        <v>340</v>
      </c>
      <c r="R1344" s="231" t="s">
        <v>239</v>
      </c>
      <c r="S1344" s="232">
        <v>776</v>
      </c>
      <c r="T1344" s="231" t="s">
        <v>239</v>
      </c>
      <c r="U1344" s="232">
        <v>461</v>
      </c>
      <c r="V1344" s="231" t="s">
        <v>239</v>
      </c>
      <c r="W1344" s="232">
        <v>411</v>
      </c>
      <c r="X1344" s="231" t="s">
        <v>239</v>
      </c>
      <c r="Y1344" s="232">
        <v>477</v>
      </c>
      <c r="Z1344" s="231" t="s">
        <v>239</v>
      </c>
      <c r="AA1344" s="232">
        <v>328</v>
      </c>
      <c r="AB1344" s="231" t="s">
        <v>239</v>
      </c>
      <c r="AC1344" s="232">
        <v>294</v>
      </c>
      <c r="AD1344" s="231" t="s">
        <v>239</v>
      </c>
      <c r="AE1344" s="232">
        <v>259</v>
      </c>
      <c r="AF1344" s="231" t="s">
        <v>239</v>
      </c>
      <c r="AG1344" s="232">
        <v>479</v>
      </c>
      <c r="AH1344" s="231" t="s">
        <v>239</v>
      </c>
      <c r="AI1344" s="232">
        <v>387</v>
      </c>
      <c r="AJ1344" s="231" t="s">
        <v>239</v>
      </c>
      <c r="AK1344" s="232">
        <v>670</v>
      </c>
      <c r="AL1344" s="232" t="s">
        <v>239</v>
      </c>
      <c r="AM1344" s="232">
        <v>5222</v>
      </c>
    </row>
    <row r="1345" spans="1:39" ht="15.75" outlineLevel="1">
      <c r="A1345" s="411">
        <v>668</v>
      </c>
      <c r="B1345" s="10">
        <v>129668</v>
      </c>
      <c r="C1345" s="218" t="s">
        <v>1489</v>
      </c>
      <c r="D1345" s="218" t="s">
        <v>1490</v>
      </c>
      <c r="E1345" s="23" t="s">
        <v>44</v>
      </c>
      <c r="F1345" s="17" t="s">
        <v>45</v>
      </c>
      <c r="G1345" s="11" t="s">
        <v>1432</v>
      </c>
      <c r="H1345" s="12">
        <v>4</v>
      </c>
      <c r="I1345" s="11" t="s">
        <v>1433</v>
      </c>
      <c r="J1345" s="193" t="s">
        <v>208</v>
      </c>
      <c r="K1345" s="17" t="s">
        <v>233</v>
      </c>
      <c r="L1345" s="17" t="s">
        <v>233</v>
      </c>
      <c r="M1345" s="231">
        <v>9.5</v>
      </c>
      <c r="N1345" s="231">
        <v>9.5</v>
      </c>
      <c r="O1345" s="231">
        <v>9.5</v>
      </c>
      <c r="P1345" s="231" t="s">
        <v>239</v>
      </c>
      <c r="Q1345" s="231">
        <v>9.5</v>
      </c>
      <c r="R1345" s="231" t="s">
        <v>239</v>
      </c>
      <c r="S1345" s="231">
        <v>9.5</v>
      </c>
      <c r="T1345" s="231" t="s">
        <v>239</v>
      </c>
      <c r="U1345" s="231">
        <v>9.5</v>
      </c>
      <c r="V1345" s="230" t="s">
        <v>239</v>
      </c>
      <c r="W1345" s="231">
        <v>9.5</v>
      </c>
      <c r="X1345" s="231" t="s">
        <v>239</v>
      </c>
      <c r="Y1345" s="231">
        <v>9.5</v>
      </c>
      <c r="Z1345" s="231" t="s">
        <v>239</v>
      </c>
      <c r="AA1345" s="231">
        <v>9.5</v>
      </c>
      <c r="AB1345" s="231" t="s">
        <v>239</v>
      </c>
      <c r="AC1345" s="231">
        <v>9.5</v>
      </c>
      <c r="AD1345" s="231" t="s">
        <v>239</v>
      </c>
      <c r="AE1345" s="231">
        <v>9.5</v>
      </c>
      <c r="AF1345" s="231" t="s">
        <v>239</v>
      </c>
      <c r="AG1345" s="231">
        <v>9.5</v>
      </c>
      <c r="AH1345" s="231" t="s">
        <v>239</v>
      </c>
      <c r="AI1345" s="231">
        <v>9.5</v>
      </c>
      <c r="AJ1345" s="231" t="s">
        <v>239</v>
      </c>
      <c r="AK1345" s="231">
        <v>9.5</v>
      </c>
      <c r="AL1345" s="232" t="s">
        <v>239</v>
      </c>
      <c r="AM1345" s="232">
        <v>0</v>
      </c>
    </row>
    <row r="1346" spans="1:39" ht="15.75" outlineLevel="1">
      <c r="A1346" s="412"/>
      <c r="B1346" s="10">
        <v>129668</v>
      </c>
      <c r="C1346" s="218" t="s">
        <v>1489</v>
      </c>
      <c r="D1346" s="218" t="s">
        <v>1490</v>
      </c>
      <c r="E1346" s="23" t="s">
        <v>44</v>
      </c>
      <c r="F1346" s="17" t="s">
        <v>45</v>
      </c>
      <c r="G1346" s="11" t="s">
        <v>1432</v>
      </c>
      <c r="H1346" s="12">
        <v>18</v>
      </c>
      <c r="I1346" s="11" t="s">
        <v>1433</v>
      </c>
      <c r="J1346" s="193" t="s">
        <v>1452</v>
      </c>
      <c r="K1346" s="17" t="s">
        <v>233</v>
      </c>
      <c r="L1346" s="17" t="s">
        <v>233</v>
      </c>
      <c r="M1346" s="231">
        <v>3725</v>
      </c>
      <c r="N1346" s="232">
        <v>3679.7784999999999</v>
      </c>
      <c r="O1346" s="132">
        <v>386</v>
      </c>
      <c r="P1346" s="231" t="s">
        <v>239</v>
      </c>
      <c r="Q1346" s="232">
        <v>386</v>
      </c>
      <c r="R1346" s="231" t="s">
        <v>239</v>
      </c>
      <c r="S1346" s="232">
        <v>379</v>
      </c>
      <c r="T1346" s="231" t="s">
        <v>239</v>
      </c>
      <c r="U1346" s="232">
        <v>415</v>
      </c>
      <c r="V1346" s="231" t="s">
        <v>239</v>
      </c>
      <c r="W1346" s="232">
        <v>340</v>
      </c>
      <c r="X1346" s="231" t="s">
        <v>239</v>
      </c>
      <c r="Y1346" s="232">
        <v>351</v>
      </c>
      <c r="Z1346" s="231" t="s">
        <v>239</v>
      </c>
      <c r="AA1346" s="232">
        <v>339</v>
      </c>
      <c r="AB1346" s="231" t="s">
        <v>239</v>
      </c>
      <c r="AC1346" s="232">
        <v>329</v>
      </c>
      <c r="AD1346" s="231" t="s">
        <v>239</v>
      </c>
      <c r="AE1346" s="232">
        <v>373</v>
      </c>
      <c r="AF1346" s="231" t="s">
        <v>239</v>
      </c>
      <c r="AG1346" s="232">
        <v>297</v>
      </c>
      <c r="AH1346" s="231" t="s">
        <v>239</v>
      </c>
      <c r="AI1346" s="232">
        <v>384</v>
      </c>
      <c r="AJ1346" s="231" t="s">
        <v>239</v>
      </c>
      <c r="AK1346" s="232">
        <v>418</v>
      </c>
      <c r="AL1346" s="232" t="s">
        <v>239</v>
      </c>
      <c r="AM1346" s="232">
        <v>4397</v>
      </c>
    </row>
    <row r="1347" spans="1:39" ht="15.75" outlineLevel="1">
      <c r="A1347" s="411">
        <v>669</v>
      </c>
      <c r="B1347" s="10">
        <v>129669</v>
      </c>
      <c r="C1347" s="218" t="s">
        <v>1489</v>
      </c>
      <c r="D1347" s="218" t="s">
        <v>1490</v>
      </c>
      <c r="E1347" s="23" t="s">
        <v>138</v>
      </c>
      <c r="F1347" s="17" t="s">
        <v>45</v>
      </c>
      <c r="G1347" s="11" t="s">
        <v>1432</v>
      </c>
      <c r="H1347" s="12">
        <v>17</v>
      </c>
      <c r="I1347" s="11" t="s">
        <v>1433</v>
      </c>
      <c r="J1347" s="193" t="s">
        <v>216</v>
      </c>
      <c r="K1347" s="17" t="s">
        <v>233</v>
      </c>
      <c r="L1347" s="17" t="s">
        <v>233</v>
      </c>
      <c r="M1347" s="231">
        <v>60</v>
      </c>
      <c r="N1347" s="231">
        <v>60</v>
      </c>
      <c r="O1347" s="231">
        <v>60</v>
      </c>
      <c r="P1347" s="231" t="s">
        <v>239</v>
      </c>
      <c r="Q1347" s="231">
        <v>60</v>
      </c>
      <c r="R1347" s="231" t="s">
        <v>239</v>
      </c>
      <c r="S1347" s="231">
        <v>60</v>
      </c>
      <c r="T1347" s="231" t="s">
        <v>239</v>
      </c>
      <c r="U1347" s="231">
        <v>60</v>
      </c>
      <c r="V1347" s="231" t="s">
        <v>239</v>
      </c>
      <c r="W1347" s="231">
        <v>60</v>
      </c>
      <c r="X1347" s="231" t="s">
        <v>239</v>
      </c>
      <c r="Y1347" s="231">
        <v>60</v>
      </c>
      <c r="Z1347" s="231" t="s">
        <v>239</v>
      </c>
      <c r="AA1347" s="231">
        <v>60</v>
      </c>
      <c r="AB1347" s="231" t="s">
        <v>239</v>
      </c>
      <c r="AC1347" s="231">
        <v>60</v>
      </c>
      <c r="AD1347" s="231" t="s">
        <v>239</v>
      </c>
      <c r="AE1347" s="231">
        <v>60</v>
      </c>
      <c r="AF1347" s="231" t="s">
        <v>239</v>
      </c>
      <c r="AG1347" s="231">
        <v>60</v>
      </c>
      <c r="AH1347" s="231" t="s">
        <v>239</v>
      </c>
      <c r="AI1347" s="231">
        <v>60</v>
      </c>
      <c r="AJ1347" s="231" t="s">
        <v>239</v>
      </c>
      <c r="AK1347" s="231">
        <v>60</v>
      </c>
      <c r="AL1347" s="232" t="s">
        <v>239</v>
      </c>
      <c r="AM1347" s="232">
        <v>0</v>
      </c>
    </row>
    <row r="1348" spans="1:39" ht="15.75" outlineLevel="1">
      <c r="A1348" s="412"/>
      <c r="B1348" s="10">
        <v>129669</v>
      </c>
      <c r="C1348" s="218" t="s">
        <v>1489</v>
      </c>
      <c r="D1348" s="218" t="s">
        <v>1490</v>
      </c>
      <c r="E1348" s="23" t="s">
        <v>44</v>
      </c>
      <c r="F1348" s="17" t="s">
        <v>45</v>
      </c>
      <c r="G1348" s="11" t="s">
        <v>1432</v>
      </c>
      <c r="H1348" s="12">
        <v>28</v>
      </c>
      <c r="I1348" s="11" t="s">
        <v>1433</v>
      </c>
      <c r="J1348" s="193" t="s">
        <v>1453</v>
      </c>
      <c r="K1348" s="17" t="s">
        <v>233</v>
      </c>
      <c r="L1348" s="17" t="s">
        <v>233</v>
      </c>
      <c r="M1348" s="231">
        <v>0</v>
      </c>
      <c r="N1348" s="232">
        <v>0</v>
      </c>
      <c r="O1348" s="132">
        <v>823</v>
      </c>
      <c r="P1348" s="231" t="s">
        <v>239</v>
      </c>
      <c r="Q1348" s="232">
        <v>823</v>
      </c>
      <c r="R1348" s="231" t="s">
        <v>239</v>
      </c>
      <c r="S1348" s="232">
        <v>1826</v>
      </c>
      <c r="T1348" s="231" t="s">
        <v>239</v>
      </c>
      <c r="U1348" s="232">
        <v>1093</v>
      </c>
      <c r="V1348" s="230" t="s">
        <v>239</v>
      </c>
      <c r="W1348" s="232">
        <v>883</v>
      </c>
      <c r="X1348" s="231" t="s">
        <v>239</v>
      </c>
      <c r="Y1348" s="232">
        <v>1258</v>
      </c>
      <c r="Z1348" s="231" t="s">
        <v>239</v>
      </c>
      <c r="AA1348" s="232">
        <v>810</v>
      </c>
      <c r="AB1348" s="231" t="s">
        <v>239</v>
      </c>
      <c r="AC1348" s="232">
        <v>782</v>
      </c>
      <c r="AD1348" s="231" t="s">
        <v>239</v>
      </c>
      <c r="AE1348" s="232">
        <v>616</v>
      </c>
      <c r="AF1348" s="231" t="s">
        <v>239</v>
      </c>
      <c r="AG1348" s="232">
        <v>612</v>
      </c>
      <c r="AH1348" s="231" t="s">
        <v>239</v>
      </c>
      <c r="AI1348" s="232">
        <v>650</v>
      </c>
      <c r="AJ1348" s="231" t="s">
        <v>239</v>
      </c>
      <c r="AK1348" s="232">
        <v>645</v>
      </c>
      <c r="AL1348" s="232" t="s">
        <v>239</v>
      </c>
      <c r="AM1348" s="232">
        <v>10821</v>
      </c>
    </row>
    <row r="1349" spans="1:39" ht="15.75" outlineLevel="1">
      <c r="A1349" s="411">
        <v>670</v>
      </c>
      <c r="B1349" s="10">
        <v>129670</v>
      </c>
      <c r="C1349" s="218" t="s">
        <v>1489</v>
      </c>
      <c r="D1349" s="218" t="s">
        <v>1490</v>
      </c>
      <c r="E1349" s="23" t="s">
        <v>138</v>
      </c>
      <c r="F1349" s="17" t="s">
        <v>45</v>
      </c>
      <c r="G1349" s="11" t="s">
        <v>1432</v>
      </c>
      <c r="H1349" s="12">
        <v>33</v>
      </c>
      <c r="I1349" s="11" t="s">
        <v>1433</v>
      </c>
      <c r="J1349" s="193" t="s">
        <v>1454</v>
      </c>
      <c r="K1349" s="17" t="s">
        <v>233</v>
      </c>
      <c r="L1349" s="17" t="s">
        <v>233</v>
      </c>
      <c r="M1349" s="231">
        <v>60</v>
      </c>
      <c r="N1349" s="231">
        <v>60</v>
      </c>
      <c r="O1349" s="231">
        <v>60</v>
      </c>
      <c r="P1349" s="231" t="s">
        <v>239</v>
      </c>
      <c r="Q1349" s="231">
        <v>60</v>
      </c>
      <c r="R1349" s="231" t="s">
        <v>239</v>
      </c>
      <c r="S1349" s="231">
        <v>60</v>
      </c>
      <c r="T1349" s="231" t="s">
        <v>239</v>
      </c>
      <c r="U1349" s="231">
        <v>60</v>
      </c>
      <c r="V1349" s="231" t="s">
        <v>239</v>
      </c>
      <c r="W1349" s="231">
        <v>60</v>
      </c>
      <c r="X1349" s="231" t="s">
        <v>239</v>
      </c>
      <c r="Y1349" s="231">
        <v>60</v>
      </c>
      <c r="Z1349" s="231" t="s">
        <v>239</v>
      </c>
      <c r="AA1349" s="231">
        <v>60</v>
      </c>
      <c r="AB1349" s="231" t="s">
        <v>239</v>
      </c>
      <c r="AC1349" s="231">
        <v>60</v>
      </c>
      <c r="AD1349" s="231" t="s">
        <v>239</v>
      </c>
      <c r="AE1349" s="231">
        <v>60</v>
      </c>
      <c r="AF1349" s="231" t="s">
        <v>239</v>
      </c>
      <c r="AG1349" s="231">
        <v>60</v>
      </c>
      <c r="AH1349" s="231" t="s">
        <v>239</v>
      </c>
      <c r="AI1349" s="231">
        <v>60</v>
      </c>
      <c r="AJ1349" s="231" t="s">
        <v>239</v>
      </c>
      <c r="AK1349" s="231">
        <v>60</v>
      </c>
      <c r="AL1349" s="232" t="s">
        <v>239</v>
      </c>
      <c r="AM1349" s="232">
        <v>0</v>
      </c>
    </row>
    <row r="1350" spans="1:39" ht="15.75" outlineLevel="1">
      <c r="A1350" s="412"/>
      <c r="B1350" s="10">
        <v>129670</v>
      </c>
      <c r="C1350" s="218" t="s">
        <v>1489</v>
      </c>
      <c r="D1350" s="218" t="s">
        <v>1490</v>
      </c>
      <c r="E1350" s="23" t="s">
        <v>44</v>
      </c>
      <c r="F1350" s="17" t="s">
        <v>45</v>
      </c>
      <c r="G1350" s="11" t="s">
        <v>1432</v>
      </c>
      <c r="H1350" s="12">
        <v>25</v>
      </c>
      <c r="I1350" s="11" t="s">
        <v>1433</v>
      </c>
      <c r="J1350" s="191" t="s">
        <v>216</v>
      </c>
      <c r="K1350" s="17" t="s">
        <v>233</v>
      </c>
      <c r="L1350" s="17" t="s">
        <v>233</v>
      </c>
      <c r="M1350" s="231">
        <v>0</v>
      </c>
      <c r="N1350" s="232">
        <v>0</v>
      </c>
      <c r="O1350" s="132">
        <v>0</v>
      </c>
      <c r="P1350" s="231" t="s">
        <v>239</v>
      </c>
      <c r="Q1350" s="232">
        <v>0</v>
      </c>
      <c r="R1350" s="231" t="s">
        <v>239</v>
      </c>
      <c r="S1350" s="232">
        <v>0</v>
      </c>
      <c r="T1350" s="231" t="s">
        <v>239</v>
      </c>
      <c r="U1350" s="232">
        <v>0</v>
      </c>
      <c r="V1350" s="231" t="s">
        <v>239</v>
      </c>
      <c r="W1350" s="232">
        <v>0</v>
      </c>
      <c r="X1350" s="231" t="s">
        <v>239</v>
      </c>
      <c r="Y1350" s="232">
        <v>0</v>
      </c>
      <c r="Z1350" s="231" t="s">
        <v>239</v>
      </c>
      <c r="AA1350" s="232">
        <v>0</v>
      </c>
      <c r="AB1350" s="231" t="s">
        <v>239</v>
      </c>
      <c r="AC1350" s="232">
        <v>0</v>
      </c>
      <c r="AD1350" s="231" t="s">
        <v>239</v>
      </c>
      <c r="AE1350" s="232">
        <v>0</v>
      </c>
      <c r="AF1350" s="231" t="s">
        <v>239</v>
      </c>
      <c r="AG1350" s="232">
        <v>0</v>
      </c>
      <c r="AH1350" s="231" t="s">
        <v>239</v>
      </c>
      <c r="AI1350" s="232">
        <v>0</v>
      </c>
      <c r="AJ1350" s="231" t="s">
        <v>239</v>
      </c>
      <c r="AK1350" s="232">
        <v>0</v>
      </c>
      <c r="AL1350" s="232" t="s">
        <v>239</v>
      </c>
      <c r="AM1350" s="232">
        <v>0</v>
      </c>
    </row>
    <row r="1351" spans="1:39" ht="15.75" outlineLevel="1">
      <c r="A1351" s="411">
        <v>671</v>
      </c>
      <c r="B1351" s="10">
        <v>129671</v>
      </c>
      <c r="C1351" s="218" t="s">
        <v>1489</v>
      </c>
      <c r="D1351" s="218" t="s">
        <v>1490</v>
      </c>
      <c r="E1351" s="23" t="s">
        <v>44</v>
      </c>
      <c r="F1351" s="17" t="s">
        <v>45</v>
      </c>
      <c r="G1351" s="11" t="s">
        <v>1432</v>
      </c>
      <c r="H1351" s="12">
        <v>9</v>
      </c>
      <c r="I1351" s="11" t="s">
        <v>1433</v>
      </c>
      <c r="J1351" s="192" t="s">
        <v>1434</v>
      </c>
      <c r="K1351" s="17" t="s">
        <v>233</v>
      </c>
      <c r="L1351" s="17" t="s">
        <v>233</v>
      </c>
      <c r="M1351" s="231">
        <v>15</v>
      </c>
      <c r="N1351" s="231">
        <v>15</v>
      </c>
      <c r="O1351" s="231">
        <v>15</v>
      </c>
      <c r="P1351" s="231" t="s">
        <v>239</v>
      </c>
      <c r="Q1351" s="231">
        <v>15</v>
      </c>
      <c r="R1351" s="231" t="s">
        <v>239</v>
      </c>
      <c r="S1351" s="231">
        <v>15</v>
      </c>
      <c r="T1351" s="231" t="s">
        <v>239</v>
      </c>
      <c r="U1351" s="231">
        <v>15</v>
      </c>
      <c r="V1351" s="230" t="s">
        <v>239</v>
      </c>
      <c r="W1351" s="231">
        <v>15</v>
      </c>
      <c r="X1351" s="231" t="s">
        <v>239</v>
      </c>
      <c r="Y1351" s="231">
        <v>15</v>
      </c>
      <c r="Z1351" s="231" t="s">
        <v>239</v>
      </c>
      <c r="AA1351" s="231">
        <v>15</v>
      </c>
      <c r="AB1351" s="231" t="s">
        <v>239</v>
      </c>
      <c r="AC1351" s="231">
        <v>15</v>
      </c>
      <c r="AD1351" s="231" t="s">
        <v>239</v>
      </c>
      <c r="AE1351" s="231">
        <v>15</v>
      </c>
      <c r="AF1351" s="231" t="s">
        <v>239</v>
      </c>
      <c r="AG1351" s="231">
        <v>15</v>
      </c>
      <c r="AH1351" s="231" t="s">
        <v>239</v>
      </c>
      <c r="AI1351" s="231">
        <v>15</v>
      </c>
      <c r="AJ1351" s="231" t="s">
        <v>239</v>
      </c>
      <c r="AK1351" s="231">
        <v>15</v>
      </c>
      <c r="AL1351" s="232" t="s">
        <v>239</v>
      </c>
      <c r="AM1351" s="232">
        <v>0</v>
      </c>
    </row>
    <row r="1352" spans="1:39" ht="15.75" outlineLevel="1">
      <c r="A1352" s="412"/>
      <c r="B1352" s="10">
        <v>129671</v>
      </c>
      <c r="C1352" s="218" t="s">
        <v>1489</v>
      </c>
      <c r="D1352" s="218" t="s">
        <v>1490</v>
      </c>
      <c r="E1352" s="23" t="s">
        <v>138</v>
      </c>
      <c r="F1352" s="17" t="s">
        <v>45</v>
      </c>
      <c r="G1352" s="11" t="s">
        <v>1432</v>
      </c>
      <c r="H1352" s="12">
        <v>18</v>
      </c>
      <c r="I1352" s="11" t="s">
        <v>1433</v>
      </c>
      <c r="J1352" s="192" t="s">
        <v>1480</v>
      </c>
      <c r="K1352" s="17" t="s">
        <v>233</v>
      </c>
      <c r="L1352" s="17" t="s">
        <v>233</v>
      </c>
      <c r="M1352" s="231">
        <v>0</v>
      </c>
      <c r="N1352" s="232">
        <v>0</v>
      </c>
      <c r="O1352" s="132">
        <v>512</v>
      </c>
      <c r="P1352" s="231" t="s">
        <v>239</v>
      </c>
      <c r="Q1352" s="232">
        <v>512</v>
      </c>
      <c r="R1352" s="231" t="s">
        <v>239</v>
      </c>
      <c r="S1352" s="232">
        <v>602</v>
      </c>
      <c r="T1352" s="231" t="s">
        <v>239</v>
      </c>
      <c r="U1352" s="232">
        <v>581</v>
      </c>
      <c r="V1352" s="231" t="s">
        <v>239</v>
      </c>
      <c r="W1352" s="232">
        <v>521</v>
      </c>
      <c r="X1352" s="231" t="s">
        <v>239</v>
      </c>
      <c r="Y1352" s="232">
        <v>555</v>
      </c>
      <c r="Z1352" s="231" t="s">
        <v>239</v>
      </c>
      <c r="AA1352" s="232">
        <v>593</v>
      </c>
      <c r="AB1352" s="231" t="s">
        <v>239</v>
      </c>
      <c r="AC1352" s="232">
        <v>561</v>
      </c>
      <c r="AD1352" s="231" t="s">
        <v>239</v>
      </c>
      <c r="AE1352" s="232">
        <v>562</v>
      </c>
      <c r="AF1352" s="231" t="s">
        <v>239</v>
      </c>
      <c r="AG1352" s="232">
        <v>654</v>
      </c>
      <c r="AH1352" s="231" t="s">
        <v>239</v>
      </c>
      <c r="AI1352" s="232">
        <v>643</v>
      </c>
      <c r="AJ1352" s="231" t="s">
        <v>239</v>
      </c>
      <c r="AK1352" s="232">
        <v>703</v>
      </c>
      <c r="AL1352" s="232" t="s">
        <v>239</v>
      </c>
      <c r="AM1352" s="232">
        <v>6999</v>
      </c>
    </row>
    <row r="1353" spans="1:39" ht="15.75" outlineLevel="1">
      <c r="A1353" s="411">
        <v>672</v>
      </c>
      <c r="B1353" s="10">
        <v>129672</v>
      </c>
      <c r="C1353" s="218" t="s">
        <v>1489</v>
      </c>
      <c r="D1353" s="218" t="s">
        <v>1490</v>
      </c>
      <c r="E1353" s="23" t="s">
        <v>44</v>
      </c>
      <c r="F1353" s="17" t="s">
        <v>45</v>
      </c>
      <c r="G1353" s="11" t="s">
        <v>1432</v>
      </c>
      <c r="H1353" s="12">
        <v>17</v>
      </c>
      <c r="I1353" s="11" t="s">
        <v>1433</v>
      </c>
      <c r="J1353" s="192" t="s">
        <v>1452</v>
      </c>
      <c r="K1353" s="17" t="s">
        <v>233</v>
      </c>
      <c r="L1353" s="17" t="s">
        <v>233</v>
      </c>
      <c r="M1353" s="231">
        <v>37</v>
      </c>
      <c r="N1353" s="231">
        <v>37</v>
      </c>
      <c r="O1353" s="231">
        <v>37</v>
      </c>
      <c r="P1353" s="231" t="s">
        <v>239</v>
      </c>
      <c r="Q1353" s="231">
        <v>37</v>
      </c>
      <c r="R1353" s="231" t="s">
        <v>239</v>
      </c>
      <c r="S1353" s="231">
        <v>37</v>
      </c>
      <c r="T1353" s="231" t="s">
        <v>239</v>
      </c>
      <c r="U1353" s="231">
        <v>37</v>
      </c>
      <c r="V1353" s="231" t="s">
        <v>239</v>
      </c>
      <c r="W1353" s="231">
        <v>37</v>
      </c>
      <c r="X1353" s="231" t="s">
        <v>239</v>
      </c>
      <c r="Y1353" s="231">
        <v>37</v>
      </c>
      <c r="Z1353" s="231" t="s">
        <v>239</v>
      </c>
      <c r="AA1353" s="231">
        <v>37</v>
      </c>
      <c r="AB1353" s="231" t="s">
        <v>239</v>
      </c>
      <c r="AC1353" s="231">
        <v>37</v>
      </c>
      <c r="AD1353" s="231" t="s">
        <v>239</v>
      </c>
      <c r="AE1353" s="231">
        <v>37</v>
      </c>
      <c r="AF1353" s="231" t="s">
        <v>239</v>
      </c>
      <c r="AG1353" s="231">
        <v>37</v>
      </c>
      <c r="AH1353" s="231" t="s">
        <v>239</v>
      </c>
      <c r="AI1353" s="231">
        <v>37</v>
      </c>
      <c r="AJ1353" s="231" t="s">
        <v>239</v>
      </c>
      <c r="AK1353" s="231">
        <v>37</v>
      </c>
      <c r="AL1353" s="232" t="s">
        <v>239</v>
      </c>
      <c r="AM1353" s="232">
        <v>0</v>
      </c>
    </row>
    <row r="1354" spans="1:39" ht="15.75" outlineLevel="1">
      <c r="A1354" s="412"/>
      <c r="B1354" s="10">
        <v>129672</v>
      </c>
      <c r="C1354" s="218" t="s">
        <v>1489</v>
      </c>
      <c r="D1354" s="218" t="s">
        <v>1490</v>
      </c>
      <c r="E1354" s="23" t="s">
        <v>138</v>
      </c>
      <c r="F1354" s="17" t="s">
        <v>45</v>
      </c>
      <c r="G1354" s="11" t="s">
        <v>1432</v>
      </c>
      <c r="H1354" s="12">
        <v>25</v>
      </c>
      <c r="I1354" s="11" t="s">
        <v>1433</v>
      </c>
      <c r="J1354" s="374" t="s">
        <v>207</v>
      </c>
      <c r="K1354" s="17" t="s">
        <v>233</v>
      </c>
      <c r="L1354" s="17" t="s">
        <v>233</v>
      </c>
      <c r="M1354" s="231">
        <v>2439</v>
      </c>
      <c r="N1354" s="232">
        <v>2409.3905399999999</v>
      </c>
      <c r="O1354" s="132">
        <v>391</v>
      </c>
      <c r="P1354" s="231" t="s">
        <v>239</v>
      </c>
      <c r="Q1354" s="232">
        <v>391</v>
      </c>
      <c r="R1354" s="231" t="s">
        <v>239</v>
      </c>
      <c r="S1354" s="232">
        <v>357</v>
      </c>
      <c r="T1354" s="231" t="s">
        <v>239</v>
      </c>
      <c r="U1354" s="232">
        <v>389</v>
      </c>
      <c r="V1354" s="230" t="s">
        <v>239</v>
      </c>
      <c r="W1354" s="232">
        <v>330</v>
      </c>
      <c r="X1354" s="231" t="s">
        <v>239</v>
      </c>
      <c r="Y1354" s="232">
        <v>308</v>
      </c>
      <c r="Z1354" s="231" t="s">
        <v>239</v>
      </c>
      <c r="AA1354" s="232">
        <v>323</v>
      </c>
      <c r="AB1354" s="231" t="s">
        <v>239</v>
      </c>
      <c r="AC1354" s="232">
        <v>317</v>
      </c>
      <c r="AD1354" s="231" t="s">
        <v>239</v>
      </c>
      <c r="AE1354" s="232">
        <v>318</v>
      </c>
      <c r="AF1354" s="231" t="s">
        <v>239</v>
      </c>
      <c r="AG1354" s="232">
        <v>300</v>
      </c>
      <c r="AH1354" s="231" t="s">
        <v>239</v>
      </c>
      <c r="AI1354" s="232">
        <v>322</v>
      </c>
      <c r="AJ1354" s="231" t="s">
        <v>239</v>
      </c>
      <c r="AK1354" s="232">
        <v>328</v>
      </c>
      <c r="AL1354" s="232" t="s">
        <v>239</v>
      </c>
      <c r="AM1354" s="232">
        <v>4074</v>
      </c>
    </row>
    <row r="1355" spans="1:39" ht="15.75" outlineLevel="1">
      <c r="A1355" s="411">
        <v>673</v>
      </c>
      <c r="B1355" s="10">
        <v>129673</v>
      </c>
      <c r="C1355" s="218" t="s">
        <v>1489</v>
      </c>
      <c r="D1355" s="218" t="s">
        <v>1490</v>
      </c>
      <c r="E1355" s="23" t="s">
        <v>44</v>
      </c>
      <c r="F1355" s="17" t="s">
        <v>45</v>
      </c>
      <c r="G1355" s="11" t="s">
        <v>1432</v>
      </c>
      <c r="H1355" s="12">
        <v>13</v>
      </c>
      <c r="I1355" s="11" t="s">
        <v>1433</v>
      </c>
      <c r="J1355" s="375"/>
      <c r="K1355" s="17" t="s">
        <v>233</v>
      </c>
      <c r="L1355" s="17" t="s">
        <v>233</v>
      </c>
      <c r="M1355" s="231">
        <v>37</v>
      </c>
      <c r="N1355" s="231">
        <v>37</v>
      </c>
      <c r="O1355" s="231">
        <v>37</v>
      </c>
      <c r="P1355" s="231" t="s">
        <v>239</v>
      </c>
      <c r="Q1355" s="231">
        <v>37</v>
      </c>
      <c r="R1355" s="231" t="s">
        <v>239</v>
      </c>
      <c r="S1355" s="231">
        <v>37</v>
      </c>
      <c r="T1355" s="231" t="s">
        <v>239</v>
      </c>
      <c r="U1355" s="231">
        <v>37</v>
      </c>
      <c r="V1355" s="231" t="s">
        <v>239</v>
      </c>
      <c r="W1355" s="231">
        <v>37</v>
      </c>
      <c r="X1355" s="231" t="s">
        <v>239</v>
      </c>
      <c r="Y1355" s="231">
        <v>37</v>
      </c>
      <c r="Z1355" s="231" t="s">
        <v>239</v>
      </c>
      <c r="AA1355" s="231">
        <v>37</v>
      </c>
      <c r="AB1355" s="231" t="s">
        <v>239</v>
      </c>
      <c r="AC1355" s="231">
        <v>37</v>
      </c>
      <c r="AD1355" s="231" t="s">
        <v>239</v>
      </c>
      <c r="AE1355" s="231">
        <v>37</v>
      </c>
      <c r="AF1355" s="231" t="s">
        <v>239</v>
      </c>
      <c r="AG1355" s="231">
        <v>37</v>
      </c>
      <c r="AH1355" s="231" t="s">
        <v>239</v>
      </c>
      <c r="AI1355" s="231">
        <v>37</v>
      </c>
      <c r="AJ1355" s="231" t="s">
        <v>239</v>
      </c>
      <c r="AK1355" s="231">
        <v>37</v>
      </c>
      <c r="AL1355" s="232" t="s">
        <v>239</v>
      </c>
      <c r="AM1355" s="232">
        <v>0</v>
      </c>
    </row>
    <row r="1356" spans="1:39" ht="15.75" outlineLevel="1">
      <c r="A1356" s="412"/>
      <c r="B1356" s="10">
        <v>129673</v>
      </c>
      <c r="C1356" s="218" t="s">
        <v>1489</v>
      </c>
      <c r="D1356" s="218" t="s">
        <v>1490</v>
      </c>
      <c r="E1356" s="23" t="s">
        <v>44</v>
      </c>
      <c r="F1356" s="17" t="s">
        <v>45</v>
      </c>
      <c r="G1356" s="11" t="s">
        <v>1432</v>
      </c>
      <c r="H1356" s="12">
        <v>5</v>
      </c>
      <c r="I1356" s="11" t="s">
        <v>1433</v>
      </c>
      <c r="J1356" s="193" t="s">
        <v>1460</v>
      </c>
      <c r="K1356" s="17" t="s">
        <v>233</v>
      </c>
      <c r="L1356" s="17" t="s">
        <v>233</v>
      </c>
      <c r="M1356" s="231">
        <v>0</v>
      </c>
      <c r="N1356" s="232">
        <v>0</v>
      </c>
      <c r="O1356" s="132">
        <v>0</v>
      </c>
      <c r="P1356" s="231" t="s">
        <v>239</v>
      </c>
      <c r="Q1356" s="232">
        <v>0</v>
      </c>
      <c r="R1356" s="231" t="s">
        <v>239</v>
      </c>
      <c r="S1356" s="232">
        <v>0</v>
      </c>
      <c r="T1356" s="231" t="s">
        <v>239</v>
      </c>
      <c r="U1356" s="232">
        <v>0</v>
      </c>
      <c r="V1356" s="231" t="s">
        <v>239</v>
      </c>
      <c r="W1356" s="232">
        <v>0</v>
      </c>
      <c r="X1356" s="231" t="s">
        <v>239</v>
      </c>
      <c r="Y1356" s="232">
        <v>0</v>
      </c>
      <c r="Z1356" s="231" t="s">
        <v>239</v>
      </c>
      <c r="AA1356" s="232">
        <v>0</v>
      </c>
      <c r="AB1356" s="231" t="s">
        <v>239</v>
      </c>
      <c r="AC1356" s="232">
        <v>0</v>
      </c>
      <c r="AD1356" s="231" t="s">
        <v>239</v>
      </c>
      <c r="AE1356" s="232">
        <v>0</v>
      </c>
      <c r="AF1356" s="231" t="s">
        <v>239</v>
      </c>
      <c r="AG1356" s="232">
        <v>0</v>
      </c>
      <c r="AH1356" s="231" t="s">
        <v>239</v>
      </c>
      <c r="AI1356" s="232">
        <v>0</v>
      </c>
      <c r="AJ1356" s="231" t="s">
        <v>239</v>
      </c>
      <c r="AK1356" s="232">
        <v>0</v>
      </c>
      <c r="AL1356" s="232" t="s">
        <v>239</v>
      </c>
      <c r="AM1356" s="232">
        <v>0</v>
      </c>
    </row>
    <row r="1357" spans="1:39" ht="15.75" outlineLevel="1">
      <c r="A1357" s="411">
        <v>674</v>
      </c>
      <c r="B1357" s="10">
        <v>129674</v>
      </c>
      <c r="C1357" s="218" t="s">
        <v>1489</v>
      </c>
      <c r="D1357" s="218" t="s">
        <v>1490</v>
      </c>
      <c r="E1357" s="23" t="s">
        <v>138</v>
      </c>
      <c r="F1357" s="17" t="s">
        <v>45</v>
      </c>
      <c r="G1357" s="11" t="s">
        <v>1432</v>
      </c>
      <c r="H1357" s="12">
        <v>4</v>
      </c>
      <c r="I1357" s="11" t="s">
        <v>1433</v>
      </c>
      <c r="J1357" s="193" t="s">
        <v>1442</v>
      </c>
      <c r="K1357" s="17" t="s">
        <v>233</v>
      </c>
      <c r="L1357" s="17" t="s">
        <v>233</v>
      </c>
      <c r="M1357" s="231">
        <v>20</v>
      </c>
      <c r="N1357" s="231">
        <v>20</v>
      </c>
      <c r="O1357" s="231">
        <v>20</v>
      </c>
      <c r="P1357" s="231" t="s">
        <v>239</v>
      </c>
      <c r="Q1357" s="231">
        <v>20</v>
      </c>
      <c r="R1357" s="231" t="s">
        <v>239</v>
      </c>
      <c r="S1357" s="231">
        <v>20</v>
      </c>
      <c r="T1357" s="231" t="s">
        <v>239</v>
      </c>
      <c r="U1357" s="231">
        <v>20</v>
      </c>
      <c r="V1357" s="230" t="s">
        <v>239</v>
      </c>
      <c r="W1357" s="231">
        <v>20</v>
      </c>
      <c r="X1357" s="231" t="s">
        <v>239</v>
      </c>
      <c r="Y1357" s="231">
        <v>20</v>
      </c>
      <c r="Z1357" s="231" t="s">
        <v>239</v>
      </c>
      <c r="AA1357" s="231">
        <v>20</v>
      </c>
      <c r="AB1357" s="231" t="s">
        <v>239</v>
      </c>
      <c r="AC1357" s="231">
        <v>20</v>
      </c>
      <c r="AD1357" s="231" t="s">
        <v>239</v>
      </c>
      <c r="AE1357" s="231">
        <v>20</v>
      </c>
      <c r="AF1357" s="231" t="s">
        <v>239</v>
      </c>
      <c r="AG1357" s="231">
        <v>20</v>
      </c>
      <c r="AH1357" s="231" t="s">
        <v>239</v>
      </c>
      <c r="AI1357" s="231">
        <v>20</v>
      </c>
      <c r="AJ1357" s="231" t="s">
        <v>239</v>
      </c>
      <c r="AK1357" s="231">
        <v>20</v>
      </c>
      <c r="AL1357" s="232" t="s">
        <v>239</v>
      </c>
      <c r="AM1357" s="232">
        <v>0</v>
      </c>
    </row>
    <row r="1358" spans="1:39" ht="15.75" outlineLevel="1">
      <c r="A1358" s="412"/>
      <c r="B1358" s="10">
        <v>129674</v>
      </c>
      <c r="C1358" s="218" t="s">
        <v>1489</v>
      </c>
      <c r="D1358" s="218" t="s">
        <v>1490</v>
      </c>
      <c r="E1358" s="23" t="s">
        <v>44</v>
      </c>
      <c r="F1358" s="17" t="s">
        <v>45</v>
      </c>
      <c r="G1358" s="11" t="s">
        <v>1432</v>
      </c>
      <c r="H1358" s="12">
        <v>24</v>
      </c>
      <c r="I1358" s="11" t="s">
        <v>1433</v>
      </c>
      <c r="J1358" s="193" t="s">
        <v>1460</v>
      </c>
      <c r="K1358" s="17" t="s">
        <v>233</v>
      </c>
      <c r="L1358" s="17" t="s">
        <v>233</v>
      </c>
      <c r="M1358" s="231">
        <v>10222</v>
      </c>
      <c r="N1358" s="232">
        <v>10097.904919999999</v>
      </c>
      <c r="O1358" s="132">
        <v>695</v>
      </c>
      <c r="P1358" s="231" t="s">
        <v>239</v>
      </c>
      <c r="Q1358" s="232">
        <v>695</v>
      </c>
      <c r="R1358" s="231" t="s">
        <v>239</v>
      </c>
      <c r="S1358" s="232">
        <v>637</v>
      </c>
      <c r="T1358" s="231" t="s">
        <v>239</v>
      </c>
      <c r="U1358" s="232">
        <v>602</v>
      </c>
      <c r="V1358" s="231" t="s">
        <v>239</v>
      </c>
      <c r="W1358" s="232">
        <v>476</v>
      </c>
      <c r="X1358" s="231" t="s">
        <v>239</v>
      </c>
      <c r="Y1358" s="232">
        <v>868</v>
      </c>
      <c r="Z1358" s="231" t="s">
        <v>239</v>
      </c>
      <c r="AA1358" s="232">
        <v>162</v>
      </c>
      <c r="AB1358" s="231" t="s">
        <v>239</v>
      </c>
      <c r="AC1358" s="232">
        <v>529</v>
      </c>
      <c r="AD1358" s="231" t="s">
        <v>239</v>
      </c>
      <c r="AE1358" s="232">
        <v>380</v>
      </c>
      <c r="AF1358" s="231" t="s">
        <v>239</v>
      </c>
      <c r="AG1358" s="232">
        <v>107</v>
      </c>
      <c r="AH1358" s="231" t="s">
        <v>239</v>
      </c>
      <c r="AI1358" s="232">
        <v>1106</v>
      </c>
      <c r="AJ1358" s="231" t="s">
        <v>239</v>
      </c>
      <c r="AK1358" s="232">
        <v>607</v>
      </c>
      <c r="AL1358" s="232" t="s">
        <v>239</v>
      </c>
      <c r="AM1358" s="232">
        <v>6864</v>
      </c>
    </row>
    <row r="1359" spans="1:39" ht="15.75" outlineLevel="1">
      <c r="A1359" s="411">
        <v>675</v>
      </c>
      <c r="B1359" s="10">
        <v>129675</v>
      </c>
      <c r="C1359" s="218" t="s">
        <v>1489</v>
      </c>
      <c r="D1359" s="218" t="s">
        <v>1490</v>
      </c>
      <c r="E1359" s="23" t="s">
        <v>138</v>
      </c>
      <c r="F1359" s="17" t="s">
        <v>45</v>
      </c>
      <c r="G1359" s="11" t="s">
        <v>1432</v>
      </c>
      <c r="H1359" s="12">
        <v>10</v>
      </c>
      <c r="I1359" s="11" t="s">
        <v>1433</v>
      </c>
      <c r="J1359" s="193" t="s">
        <v>1453</v>
      </c>
      <c r="K1359" s="17" t="s">
        <v>233</v>
      </c>
      <c r="L1359" s="17" t="s">
        <v>233</v>
      </c>
      <c r="M1359" s="231">
        <v>1.6</v>
      </c>
      <c r="N1359" s="231">
        <v>1.6</v>
      </c>
      <c r="O1359" s="231">
        <v>1.6</v>
      </c>
      <c r="P1359" s="231" t="s">
        <v>239</v>
      </c>
      <c r="Q1359" s="231">
        <v>1.6</v>
      </c>
      <c r="R1359" s="231" t="s">
        <v>239</v>
      </c>
      <c r="S1359" s="231">
        <v>1.6</v>
      </c>
      <c r="T1359" s="231" t="s">
        <v>239</v>
      </c>
      <c r="U1359" s="231">
        <v>1.6</v>
      </c>
      <c r="V1359" s="231" t="s">
        <v>239</v>
      </c>
      <c r="W1359" s="231">
        <v>1.6</v>
      </c>
      <c r="X1359" s="231" t="s">
        <v>239</v>
      </c>
      <c r="Y1359" s="231">
        <v>1.6</v>
      </c>
      <c r="Z1359" s="231" t="s">
        <v>239</v>
      </c>
      <c r="AA1359" s="231">
        <v>1.6</v>
      </c>
      <c r="AB1359" s="231" t="s">
        <v>239</v>
      </c>
      <c r="AC1359" s="231">
        <v>1.6</v>
      </c>
      <c r="AD1359" s="231" t="s">
        <v>239</v>
      </c>
      <c r="AE1359" s="231">
        <v>1.6</v>
      </c>
      <c r="AF1359" s="231" t="s">
        <v>239</v>
      </c>
      <c r="AG1359" s="231">
        <v>1.6</v>
      </c>
      <c r="AH1359" s="231" t="s">
        <v>239</v>
      </c>
      <c r="AI1359" s="231">
        <v>1.6</v>
      </c>
      <c r="AJ1359" s="231" t="s">
        <v>239</v>
      </c>
      <c r="AK1359" s="231">
        <v>1.6</v>
      </c>
      <c r="AL1359" s="232" t="s">
        <v>239</v>
      </c>
      <c r="AM1359" s="232">
        <v>0</v>
      </c>
    </row>
    <row r="1360" spans="1:39" ht="15.75" outlineLevel="1">
      <c r="A1360" s="412"/>
      <c r="B1360" s="10">
        <v>129675</v>
      </c>
      <c r="C1360" s="218" t="s">
        <v>1489</v>
      </c>
      <c r="D1360" s="218" t="s">
        <v>1490</v>
      </c>
      <c r="E1360" s="23" t="s">
        <v>44</v>
      </c>
      <c r="F1360" s="17" t="s">
        <v>45</v>
      </c>
      <c r="G1360" s="11" t="s">
        <v>1432</v>
      </c>
      <c r="H1360" s="12">
        <v>17</v>
      </c>
      <c r="I1360" s="11" t="s">
        <v>1433</v>
      </c>
      <c r="J1360" s="193" t="s">
        <v>1451</v>
      </c>
      <c r="K1360" s="17" t="s">
        <v>233</v>
      </c>
      <c r="L1360" s="17" t="s">
        <v>233</v>
      </c>
      <c r="M1360" s="231">
        <v>1818</v>
      </c>
      <c r="N1360" s="232">
        <v>1795.92948</v>
      </c>
      <c r="O1360" s="132">
        <v>554</v>
      </c>
      <c r="P1360" s="231" t="s">
        <v>239</v>
      </c>
      <c r="Q1360" s="232">
        <v>554</v>
      </c>
      <c r="R1360" s="231" t="s">
        <v>239</v>
      </c>
      <c r="S1360" s="232">
        <v>425</v>
      </c>
      <c r="T1360" s="231" t="s">
        <v>239</v>
      </c>
      <c r="U1360" s="232">
        <v>305</v>
      </c>
      <c r="V1360" s="230" t="s">
        <v>239</v>
      </c>
      <c r="W1360" s="232">
        <v>32</v>
      </c>
      <c r="X1360" s="231" t="s">
        <v>239</v>
      </c>
      <c r="Y1360" s="232">
        <v>0</v>
      </c>
      <c r="Z1360" s="231" t="s">
        <v>239</v>
      </c>
      <c r="AA1360" s="232">
        <v>0</v>
      </c>
      <c r="AB1360" s="231" t="s">
        <v>239</v>
      </c>
      <c r="AC1360" s="232">
        <v>7</v>
      </c>
      <c r="AD1360" s="231" t="s">
        <v>239</v>
      </c>
      <c r="AE1360" s="232">
        <v>7</v>
      </c>
      <c r="AF1360" s="231" t="s">
        <v>239</v>
      </c>
      <c r="AG1360" s="232">
        <v>4</v>
      </c>
      <c r="AH1360" s="231" t="s">
        <v>239</v>
      </c>
      <c r="AI1360" s="232">
        <v>4</v>
      </c>
      <c r="AJ1360" s="231" t="s">
        <v>239</v>
      </c>
      <c r="AK1360" s="232">
        <v>4</v>
      </c>
      <c r="AL1360" s="232" t="s">
        <v>239</v>
      </c>
      <c r="AM1360" s="232">
        <v>1896</v>
      </c>
    </row>
    <row r="1361" spans="1:39" ht="15.75" outlineLevel="1">
      <c r="A1361" s="411">
        <v>676</v>
      </c>
      <c r="B1361" s="10">
        <v>129676</v>
      </c>
      <c r="C1361" s="218" t="s">
        <v>1489</v>
      </c>
      <c r="D1361" s="218" t="s">
        <v>1490</v>
      </c>
      <c r="E1361" s="23" t="s">
        <v>44</v>
      </c>
      <c r="F1361" s="17" t="s">
        <v>45</v>
      </c>
      <c r="G1361" s="11" t="s">
        <v>1432</v>
      </c>
      <c r="H1361" s="12">
        <v>32</v>
      </c>
      <c r="I1361" s="11" t="s">
        <v>1433</v>
      </c>
      <c r="J1361" s="193" t="s">
        <v>208</v>
      </c>
      <c r="K1361" s="17" t="s">
        <v>233</v>
      </c>
      <c r="L1361" s="17" t="s">
        <v>233</v>
      </c>
      <c r="M1361" s="231">
        <v>46</v>
      </c>
      <c r="N1361" s="231">
        <v>46</v>
      </c>
      <c r="O1361" s="231">
        <v>46</v>
      </c>
      <c r="P1361" s="231" t="s">
        <v>239</v>
      </c>
      <c r="Q1361" s="231">
        <v>46</v>
      </c>
      <c r="R1361" s="231" t="s">
        <v>239</v>
      </c>
      <c r="S1361" s="231">
        <v>46</v>
      </c>
      <c r="T1361" s="231" t="s">
        <v>239</v>
      </c>
      <c r="U1361" s="231">
        <v>46</v>
      </c>
      <c r="V1361" s="231" t="s">
        <v>239</v>
      </c>
      <c r="W1361" s="231">
        <v>46</v>
      </c>
      <c r="X1361" s="231" t="s">
        <v>239</v>
      </c>
      <c r="Y1361" s="231">
        <v>46</v>
      </c>
      <c r="Z1361" s="231" t="s">
        <v>239</v>
      </c>
      <c r="AA1361" s="231">
        <v>46</v>
      </c>
      <c r="AB1361" s="231" t="s">
        <v>239</v>
      </c>
      <c r="AC1361" s="231">
        <v>46</v>
      </c>
      <c r="AD1361" s="231" t="s">
        <v>239</v>
      </c>
      <c r="AE1361" s="231">
        <v>46</v>
      </c>
      <c r="AF1361" s="231" t="s">
        <v>239</v>
      </c>
      <c r="AG1361" s="231">
        <v>46</v>
      </c>
      <c r="AH1361" s="231" t="s">
        <v>239</v>
      </c>
      <c r="AI1361" s="231">
        <v>46</v>
      </c>
      <c r="AJ1361" s="231" t="s">
        <v>239</v>
      </c>
      <c r="AK1361" s="231">
        <v>46</v>
      </c>
      <c r="AL1361" s="232" t="s">
        <v>239</v>
      </c>
      <c r="AM1361" s="232">
        <v>0</v>
      </c>
    </row>
    <row r="1362" spans="1:39" ht="15.75" outlineLevel="1">
      <c r="A1362" s="412"/>
      <c r="B1362" s="10">
        <v>129676</v>
      </c>
      <c r="C1362" s="218" t="s">
        <v>1489</v>
      </c>
      <c r="D1362" s="218" t="s">
        <v>1490</v>
      </c>
      <c r="E1362" s="23" t="s">
        <v>138</v>
      </c>
      <c r="F1362" s="17" t="s">
        <v>45</v>
      </c>
      <c r="G1362" s="11" t="s">
        <v>1432</v>
      </c>
      <c r="H1362" s="12">
        <v>8</v>
      </c>
      <c r="I1362" s="11" t="s">
        <v>1433</v>
      </c>
      <c r="J1362" s="193" t="s">
        <v>1452</v>
      </c>
      <c r="K1362" s="17" t="s">
        <v>233</v>
      </c>
      <c r="L1362" s="17" t="s">
        <v>233</v>
      </c>
      <c r="M1362" s="231">
        <v>9113</v>
      </c>
      <c r="N1362" s="232">
        <v>9002.3681799999995</v>
      </c>
      <c r="O1362" s="132">
        <v>1262</v>
      </c>
      <c r="P1362" s="231" t="s">
        <v>239</v>
      </c>
      <c r="Q1362" s="232">
        <v>1262</v>
      </c>
      <c r="R1362" s="231" t="s">
        <v>239</v>
      </c>
      <c r="S1362" s="232">
        <v>1054</v>
      </c>
      <c r="T1362" s="231" t="s">
        <v>239</v>
      </c>
      <c r="U1362" s="232">
        <v>1194</v>
      </c>
      <c r="V1362" s="231" t="s">
        <v>239</v>
      </c>
      <c r="W1362" s="232">
        <v>1090</v>
      </c>
      <c r="X1362" s="231" t="s">
        <v>239</v>
      </c>
      <c r="Y1362" s="232">
        <v>1128</v>
      </c>
      <c r="Z1362" s="231" t="s">
        <v>239</v>
      </c>
      <c r="AA1362" s="232">
        <v>1086</v>
      </c>
      <c r="AB1362" s="231" t="s">
        <v>239</v>
      </c>
      <c r="AC1362" s="232">
        <v>979</v>
      </c>
      <c r="AD1362" s="231" t="s">
        <v>239</v>
      </c>
      <c r="AE1362" s="232">
        <v>878</v>
      </c>
      <c r="AF1362" s="231" t="s">
        <v>239</v>
      </c>
      <c r="AG1362" s="232">
        <v>1017</v>
      </c>
      <c r="AH1362" s="231" t="s">
        <v>239</v>
      </c>
      <c r="AI1362" s="232">
        <v>1102</v>
      </c>
      <c r="AJ1362" s="231" t="s">
        <v>239</v>
      </c>
      <c r="AK1362" s="232">
        <v>994</v>
      </c>
      <c r="AL1362" s="232" t="s">
        <v>239</v>
      </c>
      <c r="AM1362" s="232">
        <v>13046</v>
      </c>
    </row>
    <row r="1363" spans="1:39" ht="15.75" outlineLevel="1">
      <c r="A1363" s="411">
        <v>677</v>
      </c>
      <c r="B1363" s="10">
        <v>129677</v>
      </c>
      <c r="C1363" s="218" t="s">
        <v>1489</v>
      </c>
      <c r="D1363" s="218" t="s">
        <v>1490</v>
      </c>
      <c r="E1363" s="23" t="s">
        <v>44</v>
      </c>
      <c r="F1363" s="17" t="s">
        <v>45</v>
      </c>
      <c r="G1363" s="11" t="s">
        <v>1432</v>
      </c>
      <c r="H1363" s="12">
        <v>12</v>
      </c>
      <c r="I1363" s="11" t="s">
        <v>1433</v>
      </c>
      <c r="J1363" s="193" t="s">
        <v>216</v>
      </c>
      <c r="K1363" s="17" t="s">
        <v>233</v>
      </c>
      <c r="L1363" s="17" t="s">
        <v>233</v>
      </c>
      <c r="M1363" s="231">
        <v>46</v>
      </c>
      <c r="N1363" s="231">
        <v>46</v>
      </c>
      <c r="O1363" s="231">
        <v>46</v>
      </c>
      <c r="P1363" s="231" t="s">
        <v>239</v>
      </c>
      <c r="Q1363" s="231">
        <v>46</v>
      </c>
      <c r="R1363" s="231" t="s">
        <v>239</v>
      </c>
      <c r="S1363" s="231">
        <v>46</v>
      </c>
      <c r="T1363" s="231" t="s">
        <v>239</v>
      </c>
      <c r="U1363" s="231">
        <v>46</v>
      </c>
      <c r="V1363" s="230" t="s">
        <v>239</v>
      </c>
      <c r="W1363" s="231">
        <v>46</v>
      </c>
      <c r="X1363" s="231" t="s">
        <v>239</v>
      </c>
      <c r="Y1363" s="231">
        <v>46</v>
      </c>
      <c r="Z1363" s="231" t="s">
        <v>239</v>
      </c>
      <c r="AA1363" s="231">
        <v>46</v>
      </c>
      <c r="AB1363" s="231" t="s">
        <v>239</v>
      </c>
      <c r="AC1363" s="231">
        <v>46</v>
      </c>
      <c r="AD1363" s="231" t="s">
        <v>239</v>
      </c>
      <c r="AE1363" s="231">
        <v>46</v>
      </c>
      <c r="AF1363" s="231" t="s">
        <v>239</v>
      </c>
      <c r="AG1363" s="231">
        <v>46</v>
      </c>
      <c r="AH1363" s="231" t="s">
        <v>239</v>
      </c>
      <c r="AI1363" s="231">
        <v>46</v>
      </c>
      <c r="AJ1363" s="231" t="s">
        <v>239</v>
      </c>
      <c r="AK1363" s="231">
        <v>46</v>
      </c>
      <c r="AL1363" s="232" t="s">
        <v>239</v>
      </c>
      <c r="AM1363" s="232">
        <v>0</v>
      </c>
    </row>
    <row r="1364" spans="1:39" ht="15.75" outlineLevel="1">
      <c r="A1364" s="412"/>
      <c r="B1364" s="10">
        <v>129677</v>
      </c>
      <c r="C1364" s="218" t="s">
        <v>1489</v>
      </c>
      <c r="D1364" s="218" t="s">
        <v>1490</v>
      </c>
      <c r="E1364" s="23" t="s">
        <v>138</v>
      </c>
      <c r="F1364" s="17" t="s">
        <v>45</v>
      </c>
      <c r="G1364" s="11" t="s">
        <v>1432</v>
      </c>
      <c r="H1364" s="12">
        <v>18</v>
      </c>
      <c r="I1364" s="11" t="s">
        <v>1433</v>
      </c>
      <c r="J1364" s="193" t="s">
        <v>1453</v>
      </c>
      <c r="K1364" s="17" t="s">
        <v>233</v>
      </c>
      <c r="L1364" s="17" t="s">
        <v>233</v>
      </c>
      <c r="M1364" s="231">
        <v>0</v>
      </c>
      <c r="N1364" s="232">
        <v>0</v>
      </c>
      <c r="O1364" s="132">
        <v>0</v>
      </c>
      <c r="P1364" s="231" t="s">
        <v>239</v>
      </c>
      <c r="Q1364" s="232">
        <v>0</v>
      </c>
      <c r="R1364" s="231" t="s">
        <v>239</v>
      </c>
      <c r="S1364" s="232">
        <v>0</v>
      </c>
      <c r="T1364" s="231" t="s">
        <v>239</v>
      </c>
      <c r="U1364" s="232">
        <v>0</v>
      </c>
      <c r="V1364" s="231" t="s">
        <v>239</v>
      </c>
      <c r="W1364" s="232">
        <v>0</v>
      </c>
      <c r="X1364" s="231" t="s">
        <v>239</v>
      </c>
      <c r="Y1364" s="232">
        <v>0</v>
      </c>
      <c r="Z1364" s="231" t="s">
        <v>239</v>
      </c>
      <c r="AA1364" s="232">
        <v>0</v>
      </c>
      <c r="AB1364" s="231" t="s">
        <v>239</v>
      </c>
      <c r="AC1364" s="232">
        <v>0</v>
      </c>
      <c r="AD1364" s="231" t="s">
        <v>239</v>
      </c>
      <c r="AE1364" s="232">
        <v>0</v>
      </c>
      <c r="AF1364" s="231" t="s">
        <v>239</v>
      </c>
      <c r="AG1364" s="232">
        <v>0</v>
      </c>
      <c r="AH1364" s="231" t="s">
        <v>239</v>
      </c>
      <c r="AI1364" s="232">
        <v>0</v>
      </c>
      <c r="AJ1364" s="231" t="s">
        <v>239</v>
      </c>
      <c r="AK1364" s="232">
        <v>0</v>
      </c>
      <c r="AL1364" s="232" t="s">
        <v>239</v>
      </c>
      <c r="AM1364" s="232">
        <v>0</v>
      </c>
    </row>
    <row r="1365" spans="1:39" ht="15.75" outlineLevel="1">
      <c r="A1365" s="411">
        <v>678</v>
      </c>
      <c r="B1365" s="10">
        <v>129678</v>
      </c>
      <c r="C1365" s="218" t="s">
        <v>1489</v>
      </c>
      <c r="D1365" s="218" t="s">
        <v>1490</v>
      </c>
      <c r="E1365" s="23" t="s">
        <v>44</v>
      </c>
      <c r="F1365" s="17" t="s">
        <v>45</v>
      </c>
      <c r="G1365" s="11" t="s">
        <v>1432</v>
      </c>
      <c r="H1365" s="12">
        <v>17</v>
      </c>
      <c r="I1365" s="11" t="s">
        <v>1433</v>
      </c>
      <c r="J1365" s="193" t="s">
        <v>1454</v>
      </c>
      <c r="K1365" s="17" t="s">
        <v>233</v>
      </c>
      <c r="L1365" s="17" t="s">
        <v>233</v>
      </c>
      <c r="M1365" s="231">
        <v>30</v>
      </c>
      <c r="N1365" s="231">
        <v>30</v>
      </c>
      <c r="O1365" s="231">
        <v>30</v>
      </c>
      <c r="P1365" s="231" t="s">
        <v>239</v>
      </c>
      <c r="Q1365" s="231">
        <v>30</v>
      </c>
      <c r="R1365" s="231" t="s">
        <v>239</v>
      </c>
      <c r="S1365" s="231">
        <v>30</v>
      </c>
      <c r="T1365" s="231" t="s">
        <v>239</v>
      </c>
      <c r="U1365" s="231">
        <v>30</v>
      </c>
      <c r="V1365" s="231" t="s">
        <v>239</v>
      </c>
      <c r="W1365" s="231">
        <v>30</v>
      </c>
      <c r="X1365" s="231" t="s">
        <v>239</v>
      </c>
      <c r="Y1365" s="231">
        <v>30</v>
      </c>
      <c r="Z1365" s="231" t="s">
        <v>239</v>
      </c>
      <c r="AA1365" s="231">
        <v>30</v>
      </c>
      <c r="AB1365" s="231" t="s">
        <v>239</v>
      </c>
      <c r="AC1365" s="231">
        <v>30</v>
      </c>
      <c r="AD1365" s="231" t="s">
        <v>239</v>
      </c>
      <c r="AE1365" s="231">
        <v>30</v>
      </c>
      <c r="AF1365" s="231" t="s">
        <v>239</v>
      </c>
      <c r="AG1365" s="231">
        <v>30</v>
      </c>
      <c r="AH1365" s="231" t="s">
        <v>239</v>
      </c>
      <c r="AI1365" s="231">
        <v>30</v>
      </c>
      <c r="AJ1365" s="231" t="s">
        <v>239</v>
      </c>
      <c r="AK1365" s="231">
        <v>30</v>
      </c>
      <c r="AL1365" s="232" t="s">
        <v>239</v>
      </c>
      <c r="AM1365" s="232">
        <v>0</v>
      </c>
    </row>
    <row r="1366" spans="1:39" ht="15.75" outlineLevel="1">
      <c r="A1366" s="412"/>
      <c r="B1366" s="10">
        <v>129678</v>
      </c>
      <c r="C1366" s="218" t="s">
        <v>1489</v>
      </c>
      <c r="D1366" s="218" t="s">
        <v>1490</v>
      </c>
      <c r="E1366" s="23" t="s">
        <v>44</v>
      </c>
      <c r="F1366" s="17" t="s">
        <v>45</v>
      </c>
      <c r="G1366" s="11" t="s">
        <v>1432</v>
      </c>
      <c r="H1366" s="12">
        <v>25</v>
      </c>
      <c r="I1366" s="11" t="s">
        <v>1433</v>
      </c>
      <c r="J1366" s="191" t="s">
        <v>216</v>
      </c>
      <c r="K1366" s="17" t="s">
        <v>233</v>
      </c>
      <c r="L1366" s="17" t="s">
        <v>233</v>
      </c>
      <c r="M1366" s="231">
        <v>12282</v>
      </c>
      <c r="N1366" s="232">
        <v>12132.89652</v>
      </c>
      <c r="O1366" s="132">
        <v>743</v>
      </c>
      <c r="P1366" s="231" t="s">
        <v>239</v>
      </c>
      <c r="Q1366" s="232">
        <v>743</v>
      </c>
      <c r="R1366" s="231" t="s">
        <v>239</v>
      </c>
      <c r="S1366" s="232">
        <v>725</v>
      </c>
      <c r="T1366" s="231" t="s">
        <v>239</v>
      </c>
      <c r="U1366" s="232">
        <v>863</v>
      </c>
      <c r="V1366" s="230" t="s">
        <v>239</v>
      </c>
      <c r="W1366" s="232">
        <v>733</v>
      </c>
      <c r="X1366" s="231" t="s">
        <v>239</v>
      </c>
      <c r="Y1366" s="232">
        <v>654</v>
      </c>
      <c r="Z1366" s="231" t="s">
        <v>239</v>
      </c>
      <c r="AA1366" s="232">
        <v>680</v>
      </c>
      <c r="AB1366" s="231" t="s">
        <v>239</v>
      </c>
      <c r="AC1366" s="232">
        <v>982</v>
      </c>
      <c r="AD1366" s="231" t="s">
        <v>239</v>
      </c>
      <c r="AE1366" s="232">
        <v>676</v>
      </c>
      <c r="AF1366" s="231" t="s">
        <v>239</v>
      </c>
      <c r="AG1366" s="232">
        <v>752</v>
      </c>
      <c r="AH1366" s="231" t="s">
        <v>239</v>
      </c>
      <c r="AI1366" s="232">
        <v>674</v>
      </c>
      <c r="AJ1366" s="231" t="s">
        <v>239</v>
      </c>
      <c r="AK1366" s="232">
        <v>840</v>
      </c>
      <c r="AL1366" s="232" t="s">
        <v>239</v>
      </c>
      <c r="AM1366" s="232">
        <v>9065</v>
      </c>
    </row>
    <row r="1367" spans="1:39" ht="15.75" outlineLevel="1">
      <c r="A1367" s="411">
        <v>679</v>
      </c>
      <c r="B1367" s="10">
        <v>129679</v>
      </c>
      <c r="C1367" s="218" t="s">
        <v>1489</v>
      </c>
      <c r="D1367" s="218" t="s">
        <v>1490</v>
      </c>
      <c r="E1367" s="23" t="s">
        <v>138</v>
      </c>
      <c r="F1367" s="17" t="s">
        <v>45</v>
      </c>
      <c r="G1367" s="11" t="s">
        <v>1432</v>
      </c>
      <c r="H1367" s="12">
        <v>13</v>
      </c>
      <c r="I1367" s="11" t="s">
        <v>1433</v>
      </c>
      <c r="J1367" s="192" t="s">
        <v>1434</v>
      </c>
      <c r="K1367" s="17" t="s">
        <v>233</v>
      </c>
      <c r="L1367" s="17" t="s">
        <v>233</v>
      </c>
      <c r="M1367" s="231">
        <v>52</v>
      </c>
      <c r="N1367" s="231">
        <v>52</v>
      </c>
      <c r="O1367" s="231">
        <v>52</v>
      </c>
      <c r="P1367" s="231" t="s">
        <v>239</v>
      </c>
      <c r="Q1367" s="231">
        <v>52</v>
      </c>
      <c r="R1367" s="231" t="s">
        <v>239</v>
      </c>
      <c r="S1367" s="231">
        <v>52</v>
      </c>
      <c r="T1367" s="231" t="s">
        <v>239</v>
      </c>
      <c r="U1367" s="231">
        <v>52</v>
      </c>
      <c r="V1367" s="231" t="s">
        <v>239</v>
      </c>
      <c r="W1367" s="231">
        <v>52</v>
      </c>
      <c r="X1367" s="231" t="s">
        <v>239</v>
      </c>
      <c r="Y1367" s="231">
        <v>52</v>
      </c>
      <c r="Z1367" s="231" t="s">
        <v>239</v>
      </c>
      <c r="AA1367" s="231">
        <v>52</v>
      </c>
      <c r="AB1367" s="231" t="s">
        <v>239</v>
      </c>
      <c r="AC1367" s="231">
        <v>52</v>
      </c>
      <c r="AD1367" s="231" t="s">
        <v>239</v>
      </c>
      <c r="AE1367" s="231">
        <v>52</v>
      </c>
      <c r="AF1367" s="231" t="s">
        <v>239</v>
      </c>
      <c r="AG1367" s="231">
        <v>52</v>
      </c>
      <c r="AH1367" s="231" t="s">
        <v>239</v>
      </c>
      <c r="AI1367" s="231">
        <v>52</v>
      </c>
      <c r="AJ1367" s="231" t="s">
        <v>239</v>
      </c>
      <c r="AK1367" s="231">
        <v>52</v>
      </c>
      <c r="AL1367" s="232" t="s">
        <v>239</v>
      </c>
      <c r="AM1367" s="232">
        <v>0</v>
      </c>
    </row>
    <row r="1368" spans="1:39" ht="15.75" outlineLevel="1">
      <c r="A1368" s="412"/>
      <c r="B1368" s="10">
        <v>129679</v>
      </c>
      <c r="C1368" s="218" t="s">
        <v>1489</v>
      </c>
      <c r="D1368" s="218" t="s">
        <v>1490</v>
      </c>
      <c r="E1368" s="23" t="s">
        <v>44</v>
      </c>
      <c r="F1368" s="17" t="s">
        <v>45</v>
      </c>
      <c r="G1368" s="11" t="s">
        <v>1432</v>
      </c>
      <c r="H1368" s="12">
        <v>5</v>
      </c>
      <c r="I1368" s="11" t="s">
        <v>1433</v>
      </c>
      <c r="J1368" s="193" t="s">
        <v>1451</v>
      </c>
      <c r="K1368" s="17" t="s">
        <v>233</v>
      </c>
      <c r="L1368" s="17" t="s">
        <v>233</v>
      </c>
      <c r="M1368" s="231">
        <v>9613</v>
      </c>
      <c r="N1368" s="232">
        <v>9496.2981799999998</v>
      </c>
      <c r="O1368" s="132">
        <v>1776</v>
      </c>
      <c r="P1368" s="231" t="s">
        <v>239</v>
      </c>
      <c r="Q1368" s="232">
        <v>1776</v>
      </c>
      <c r="R1368" s="231" t="s">
        <v>239</v>
      </c>
      <c r="S1368" s="232">
        <v>1705</v>
      </c>
      <c r="T1368" s="231" t="s">
        <v>239</v>
      </c>
      <c r="U1368" s="232">
        <v>1783</v>
      </c>
      <c r="V1368" s="231" t="s">
        <v>239</v>
      </c>
      <c r="W1368" s="232">
        <v>1629</v>
      </c>
      <c r="X1368" s="231" t="s">
        <v>239</v>
      </c>
      <c r="Y1368" s="232">
        <v>1653</v>
      </c>
      <c r="Z1368" s="231" t="s">
        <v>239</v>
      </c>
      <c r="AA1368" s="232">
        <v>1653</v>
      </c>
      <c r="AB1368" s="231" t="s">
        <v>239</v>
      </c>
      <c r="AC1368" s="232">
        <v>1483</v>
      </c>
      <c r="AD1368" s="231" t="s">
        <v>239</v>
      </c>
      <c r="AE1368" s="232">
        <v>741</v>
      </c>
      <c r="AF1368" s="231" t="s">
        <v>239</v>
      </c>
      <c r="AG1368" s="232">
        <v>810</v>
      </c>
      <c r="AH1368" s="231" t="s">
        <v>239</v>
      </c>
      <c r="AI1368" s="232">
        <v>859</v>
      </c>
      <c r="AJ1368" s="231" t="s">
        <v>239</v>
      </c>
      <c r="AK1368" s="232">
        <v>1007</v>
      </c>
      <c r="AL1368" s="232" t="s">
        <v>239</v>
      </c>
      <c r="AM1368" s="232">
        <v>16875</v>
      </c>
    </row>
    <row r="1369" spans="1:39" ht="15.75" outlineLevel="1">
      <c r="A1369" s="411">
        <v>680</v>
      </c>
      <c r="B1369" s="10">
        <v>129680</v>
      </c>
      <c r="C1369" s="218" t="s">
        <v>1489</v>
      </c>
      <c r="D1369" s="218" t="s">
        <v>1490</v>
      </c>
      <c r="E1369" s="23" t="s">
        <v>138</v>
      </c>
      <c r="F1369" s="17" t="s">
        <v>45</v>
      </c>
      <c r="G1369" s="11" t="s">
        <v>1432</v>
      </c>
      <c r="H1369" s="12">
        <v>4</v>
      </c>
      <c r="I1369" s="11" t="s">
        <v>1433</v>
      </c>
      <c r="J1369" s="193" t="s">
        <v>208</v>
      </c>
      <c r="K1369" s="17" t="s">
        <v>233</v>
      </c>
      <c r="L1369" s="17" t="s">
        <v>233</v>
      </c>
      <c r="M1369" s="231">
        <v>52</v>
      </c>
      <c r="N1369" s="231">
        <v>52</v>
      </c>
      <c r="O1369" s="231">
        <v>52</v>
      </c>
      <c r="P1369" s="231" t="s">
        <v>239</v>
      </c>
      <c r="Q1369" s="231">
        <v>52</v>
      </c>
      <c r="R1369" s="231" t="s">
        <v>239</v>
      </c>
      <c r="S1369" s="231">
        <v>52</v>
      </c>
      <c r="T1369" s="231" t="s">
        <v>239</v>
      </c>
      <c r="U1369" s="231">
        <v>52</v>
      </c>
      <c r="V1369" s="230" t="s">
        <v>239</v>
      </c>
      <c r="W1369" s="231">
        <v>52</v>
      </c>
      <c r="X1369" s="231" t="s">
        <v>239</v>
      </c>
      <c r="Y1369" s="231">
        <v>52</v>
      </c>
      <c r="Z1369" s="231" t="s">
        <v>239</v>
      </c>
      <c r="AA1369" s="231">
        <v>52</v>
      </c>
      <c r="AB1369" s="231" t="s">
        <v>239</v>
      </c>
      <c r="AC1369" s="231">
        <v>52</v>
      </c>
      <c r="AD1369" s="231" t="s">
        <v>239</v>
      </c>
      <c r="AE1369" s="231">
        <v>52</v>
      </c>
      <c r="AF1369" s="231" t="s">
        <v>239</v>
      </c>
      <c r="AG1369" s="231">
        <v>52</v>
      </c>
      <c r="AH1369" s="231" t="s">
        <v>239</v>
      </c>
      <c r="AI1369" s="231">
        <v>52</v>
      </c>
      <c r="AJ1369" s="231" t="s">
        <v>239</v>
      </c>
      <c r="AK1369" s="231">
        <v>52</v>
      </c>
      <c r="AL1369" s="232" t="s">
        <v>239</v>
      </c>
      <c r="AM1369" s="232">
        <v>0</v>
      </c>
    </row>
    <row r="1370" spans="1:39" ht="15.75" outlineLevel="1">
      <c r="A1370" s="412"/>
      <c r="B1370" s="10">
        <v>129680</v>
      </c>
      <c r="C1370" s="218" t="s">
        <v>1489</v>
      </c>
      <c r="D1370" s="218" t="s">
        <v>1490</v>
      </c>
      <c r="E1370" s="23" t="s">
        <v>44</v>
      </c>
      <c r="F1370" s="17" t="s">
        <v>45</v>
      </c>
      <c r="G1370" s="11" t="s">
        <v>1432</v>
      </c>
      <c r="H1370" s="12">
        <v>18</v>
      </c>
      <c r="I1370" s="11" t="s">
        <v>1433</v>
      </c>
      <c r="J1370" s="193" t="s">
        <v>1452</v>
      </c>
      <c r="K1370" s="17" t="s">
        <v>233</v>
      </c>
      <c r="L1370" s="17" t="s">
        <v>233</v>
      </c>
      <c r="M1370" s="231">
        <v>0</v>
      </c>
      <c r="N1370" s="232">
        <v>0</v>
      </c>
      <c r="O1370" s="132">
        <v>0</v>
      </c>
      <c r="P1370" s="231" t="s">
        <v>239</v>
      </c>
      <c r="Q1370" s="232">
        <v>0</v>
      </c>
      <c r="R1370" s="231" t="s">
        <v>239</v>
      </c>
      <c r="S1370" s="232">
        <v>0</v>
      </c>
      <c r="T1370" s="231" t="s">
        <v>239</v>
      </c>
      <c r="U1370" s="232">
        <v>0</v>
      </c>
      <c r="V1370" s="231" t="s">
        <v>239</v>
      </c>
      <c r="W1370" s="232">
        <v>0</v>
      </c>
      <c r="X1370" s="231" t="s">
        <v>239</v>
      </c>
      <c r="Y1370" s="232">
        <v>0</v>
      </c>
      <c r="Z1370" s="231" t="s">
        <v>239</v>
      </c>
      <c r="AA1370" s="232">
        <v>0</v>
      </c>
      <c r="AB1370" s="231" t="s">
        <v>239</v>
      </c>
      <c r="AC1370" s="232">
        <v>0</v>
      </c>
      <c r="AD1370" s="231" t="s">
        <v>239</v>
      </c>
      <c r="AE1370" s="232">
        <v>0</v>
      </c>
      <c r="AF1370" s="231" t="s">
        <v>239</v>
      </c>
      <c r="AG1370" s="232">
        <v>0</v>
      </c>
      <c r="AH1370" s="231" t="s">
        <v>239</v>
      </c>
      <c r="AI1370" s="232">
        <v>0</v>
      </c>
      <c r="AJ1370" s="231" t="s">
        <v>239</v>
      </c>
      <c r="AK1370" s="232">
        <v>0</v>
      </c>
      <c r="AL1370" s="232" t="s">
        <v>239</v>
      </c>
      <c r="AM1370" s="232">
        <v>0</v>
      </c>
    </row>
    <row r="1371" spans="1:39" ht="15.75" outlineLevel="1">
      <c r="A1371" s="411">
        <v>681</v>
      </c>
      <c r="B1371" s="10">
        <v>129681</v>
      </c>
      <c r="C1371" s="218" t="s">
        <v>1489</v>
      </c>
      <c r="D1371" s="218" t="s">
        <v>1490</v>
      </c>
      <c r="E1371" s="23" t="s">
        <v>44</v>
      </c>
      <c r="F1371" s="17" t="s">
        <v>45</v>
      </c>
      <c r="G1371" s="11" t="s">
        <v>1432</v>
      </c>
      <c r="H1371" s="12">
        <v>17</v>
      </c>
      <c r="I1371" s="11" t="s">
        <v>1433</v>
      </c>
      <c r="J1371" s="193" t="s">
        <v>216</v>
      </c>
      <c r="K1371" s="17" t="s">
        <v>233</v>
      </c>
      <c r="L1371" s="17" t="s">
        <v>233</v>
      </c>
      <c r="M1371" s="231">
        <v>52</v>
      </c>
      <c r="N1371" s="231">
        <v>52</v>
      </c>
      <c r="O1371" s="231">
        <v>52</v>
      </c>
      <c r="P1371" s="231" t="s">
        <v>239</v>
      </c>
      <c r="Q1371" s="231">
        <v>52</v>
      </c>
      <c r="R1371" s="231" t="s">
        <v>239</v>
      </c>
      <c r="S1371" s="231">
        <v>52</v>
      </c>
      <c r="T1371" s="231" t="s">
        <v>239</v>
      </c>
      <c r="U1371" s="231">
        <v>52</v>
      </c>
      <c r="V1371" s="231" t="s">
        <v>239</v>
      </c>
      <c r="W1371" s="231">
        <v>52</v>
      </c>
      <c r="X1371" s="231" t="s">
        <v>239</v>
      </c>
      <c r="Y1371" s="231">
        <v>52</v>
      </c>
      <c r="Z1371" s="231" t="s">
        <v>239</v>
      </c>
      <c r="AA1371" s="231">
        <v>52</v>
      </c>
      <c r="AB1371" s="231" t="s">
        <v>239</v>
      </c>
      <c r="AC1371" s="231">
        <v>52</v>
      </c>
      <c r="AD1371" s="231" t="s">
        <v>239</v>
      </c>
      <c r="AE1371" s="231">
        <v>52</v>
      </c>
      <c r="AF1371" s="231" t="s">
        <v>239</v>
      </c>
      <c r="AG1371" s="231">
        <v>52</v>
      </c>
      <c r="AH1371" s="231" t="s">
        <v>239</v>
      </c>
      <c r="AI1371" s="231">
        <v>52</v>
      </c>
      <c r="AJ1371" s="231" t="s">
        <v>239</v>
      </c>
      <c r="AK1371" s="231">
        <v>52</v>
      </c>
      <c r="AL1371" s="232" t="s">
        <v>239</v>
      </c>
      <c r="AM1371" s="232">
        <v>0</v>
      </c>
    </row>
    <row r="1372" spans="1:39" ht="15.75" outlineLevel="1">
      <c r="A1372" s="412"/>
      <c r="B1372" s="10">
        <v>129681</v>
      </c>
      <c r="C1372" s="218" t="s">
        <v>1489</v>
      </c>
      <c r="D1372" s="218" t="s">
        <v>1490</v>
      </c>
      <c r="E1372" s="23" t="s">
        <v>138</v>
      </c>
      <c r="F1372" s="17" t="s">
        <v>45</v>
      </c>
      <c r="G1372" s="11" t="s">
        <v>1432</v>
      </c>
      <c r="H1372" s="12">
        <v>28</v>
      </c>
      <c r="I1372" s="11" t="s">
        <v>1433</v>
      </c>
      <c r="J1372" s="193" t="s">
        <v>1453</v>
      </c>
      <c r="K1372" s="17" t="s">
        <v>233</v>
      </c>
      <c r="L1372" s="17" t="s">
        <v>233</v>
      </c>
      <c r="M1372" s="231">
        <v>0</v>
      </c>
      <c r="N1372" s="232">
        <v>0</v>
      </c>
      <c r="O1372" s="132">
        <v>0</v>
      </c>
      <c r="P1372" s="231" t="s">
        <v>239</v>
      </c>
      <c r="Q1372" s="232">
        <v>0</v>
      </c>
      <c r="R1372" s="231" t="s">
        <v>239</v>
      </c>
      <c r="S1372" s="232">
        <v>0</v>
      </c>
      <c r="T1372" s="231" t="s">
        <v>239</v>
      </c>
      <c r="U1372" s="232">
        <v>0</v>
      </c>
      <c r="V1372" s="230" t="s">
        <v>239</v>
      </c>
      <c r="W1372" s="232">
        <v>0</v>
      </c>
      <c r="X1372" s="231" t="s">
        <v>239</v>
      </c>
      <c r="Y1372" s="232">
        <v>0</v>
      </c>
      <c r="Z1372" s="231" t="s">
        <v>239</v>
      </c>
      <c r="AA1372" s="232">
        <v>0</v>
      </c>
      <c r="AB1372" s="231" t="s">
        <v>239</v>
      </c>
      <c r="AC1372" s="232">
        <v>0</v>
      </c>
      <c r="AD1372" s="231" t="s">
        <v>239</v>
      </c>
      <c r="AE1372" s="232">
        <v>0</v>
      </c>
      <c r="AF1372" s="231" t="s">
        <v>239</v>
      </c>
      <c r="AG1372" s="232">
        <v>0</v>
      </c>
      <c r="AH1372" s="231" t="s">
        <v>239</v>
      </c>
      <c r="AI1372" s="232">
        <v>0</v>
      </c>
      <c r="AJ1372" s="231" t="s">
        <v>239</v>
      </c>
      <c r="AK1372" s="232">
        <v>0</v>
      </c>
      <c r="AL1372" s="232" t="s">
        <v>239</v>
      </c>
      <c r="AM1372" s="232">
        <v>0</v>
      </c>
    </row>
    <row r="1373" spans="1:39" ht="15.75" outlineLevel="1">
      <c r="A1373" s="411">
        <v>682</v>
      </c>
      <c r="B1373" s="10">
        <v>129682</v>
      </c>
      <c r="C1373" s="218" t="s">
        <v>1489</v>
      </c>
      <c r="D1373" s="218" t="s">
        <v>1490</v>
      </c>
      <c r="E1373" s="23" t="s">
        <v>44</v>
      </c>
      <c r="F1373" s="17" t="s">
        <v>45</v>
      </c>
      <c r="G1373" s="11" t="s">
        <v>1432</v>
      </c>
      <c r="H1373" s="12">
        <v>33</v>
      </c>
      <c r="I1373" s="11" t="s">
        <v>1433</v>
      </c>
      <c r="J1373" s="193" t="s">
        <v>1454</v>
      </c>
      <c r="K1373" s="17" t="s">
        <v>233</v>
      </c>
      <c r="L1373" s="17" t="s">
        <v>233</v>
      </c>
      <c r="M1373" s="231">
        <v>62.5</v>
      </c>
      <c r="N1373" s="231">
        <v>62.5</v>
      </c>
      <c r="O1373" s="231">
        <v>62.5</v>
      </c>
      <c r="P1373" s="231" t="s">
        <v>239</v>
      </c>
      <c r="Q1373" s="231">
        <v>62.5</v>
      </c>
      <c r="R1373" s="231" t="s">
        <v>239</v>
      </c>
      <c r="S1373" s="231">
        <v>62.5</v>
      </c>
      <c r="T1373" s="231" t="s">
        <v>239</v>
      </c>
      <c r="U1373" s="231">
        <v>62.5</v>
      </c>
      <c r="V1373" s="231" t="s">
        <v>239</v>
      </c>
      <c r="W1373" s="231">
        <v>62.5</v>
      </c>
      <c r="X1373" s="231" t="s">
        <v>239</v>
      </c>
      <c r="Y1373" s="231">
        <v>62.5</v>
      </c>
      <c r="Z1373" s="231" t="s">
        <v>239</v>
      </c>
      <c r="AA1373" s="231">
        <v>62.5</v>
      </c>
      <c r="AB1373" s="231" t="s">
        <v>239</v>
      </c>
      <c r="AC1373" s="231">
        <v>62.5</v>
      </c>
      <c r="AD1373" s="231" t="s">
        <v>239</v>
      </c>
      <c r="AE1373" s="231">
        <v>62.5</v>
      </c>
      <c r="AF1373" s="231" t="s">
        <v>239</v>
      </c>
      <c r="AG1373" s="231">
        <v>62.5</v>
      </c>
      <c r="AH1373" s="231" t="s">
        <v>239</v>
      </c>
      <c r="AI1373" s="231">
        <v>62.5</v>
      </c>
      <c r="AJ1373" s="231" t="s">
        <v>239</v>
      </c>
      <c r="AK1373" s="231">
        <v>62.5</v>
      </c>
      <c r="AL1373" s="232" t="s">
        <v>239</v>
      </c>
      <c r="AM1373" s="232"/>
    </row>
    <row r="1374" spans="1:39" ht="15.75" outlineLevel="1">
      <c r="A1374" s="412"/>
      <c r="B1374" s="10">
        <v>129682</v>
      </c>
      <c r="C1374" s="218" t="s">
        <v>1489</v>
      </c>
      <c r="D1374" s="218" t="s">
        <v>1490</v>
      </c>
      <c r="E1374" s="23" t="s">
        <v>138</v>
      </c>
      <c r="F1374" s="17" t="s">
        <v>45</v>
      </c>
      <c r="G1374" s="11" t="s">
        <v>1432</v>
      </c>
      <c r="H1374" s="12">
        <v>25</v>
      </c>
      <c r="I1374" s="11" t="s">
        <v>1433</v>
      </c>
      <c r="J1374" s="191" t="s">
        <v>216</v>
      </c>
      <c r="K1374" s="17" t="s">
        <v>233</v>
      </c>
      <c r="L1374" s="17" t="s">
        <v>233</v>
      </c>
      <c r="M1374" s="231">
        <v>0</v>
      </c>
      <c r="N1374" s="232">
        <v>14083.92002</v>
      </c>
      <c r="O1374" s="132">
        <v>1384</v>
      </c>
      <c r="P1374" s="231" t="s">
        <v>239</v>
      </c>
      <c r="Q1374" s="232">
        <v>1384</v>
      </c>
      <c r="R1374" s="231" t="s">
        <v>239</v>
      </c>
      <c r="S1374" s="232">
        <v>1386</v>
      </c>
      <c r="T1374" s="231" t="s">
        <v>239</v>
      </c>
      <c r="U1374" s="232">
        <v>1309</v>
      </c>
      <c r="V1374" s="231" t="s">
        <v>239</v>
      </c>
      <c r="W1374" s="232">
        <v>1083</v>
      </c>
      <c r="X1374" s="231" t="s">
        <v>239</v>
      </c>
      <c r="Y1374" s="232">
        <v>933</v>
      </c>
      <c r="Z1374" s="231" t="s">
        <v>239</v>
      </c>
      <c r="AA1374" s="232">
        <v>721</v>
      </c>
      <c r="AB1374" s="231" t="s">
        <v>239</v>
      </c>
      <c r="AC1374" s="232">
        <v>1346</v>
      </c>
      <c r="AD1374" s="231" t="s">
        <v>239</v>
      </c>
      <c r="AE1374" s="232">
        <v>902</v>
      </c>
      <c r="AF1374" s="231" t="s">
        <v>239</v>
      </c>
      <c r="AG1374" s="232">
        <v>1284</v>
      </c>
      <c r="AH1374" s="231" t="s">
        <v>239</v>
      </c>
      <c r="AI1374" s="232">
        <v>1032</v>
      </c>
      <c r="AJ1374" s="231" t="s">
        <v>239</v>
      </c>
      <c r="AK1374" s="232">
        <v>1191</v>
      </c>
      <c r="AL1374" s="232" t="s">
        <v>239</v>
      </c>
      <c r="AM1374" s="232">
        <v>13955</v>
      </c>
    </row>
    <row r="1375" spans="1:39" ht="15.75" outlineLevel="1">
      <c r="A1375" s="411">
        <v>683</v>
      </c>
      <c r="B1375" s="10">
        <v>129683</v>
      </c>
      <c r="C1375" s="218" t="s">
        <v>1489</v>
      </c>
      <c r="D1375" s="218" t="s">
        <v>1490</v>
      </c>
      <c r="E1375" s="23" t="s">
        <v>44</v>
      </c>
      <c r="F1375" s="17" t="s">
        <v>45</v>
      </c>
      <c r="G1375" s="11" t="s">
        <v>1432</v>
      </c>
      <c r="H1375" s="12">
        <v>9</v>
      </c>
      <c r="I1375" s="11" t="s">
        <v>1433</v>
      </c>
      <c r="J1375" s="192" t="s">
        <v>1434</v>
      </c>
      <c r="K1375" s="17" t="s">
        <v>233</v>
      </c>
      <c r="L1375" s="17" t="s">
        <v>233</v>
      </c>
      <c r="M1375" s="231">
        <v>62.5</v>
      </c>
      <c r="N1375" s="231">
        <v>62.5</v>
      </c>
      <c r="O1375" s="231">
        <v>62.5</v>
      </c>
      <c r="P1375" s="231" t="s">
        <v>239</v>
      </c>
      <c r="Q1375" s="231">
        <v>62.5</v>
      </c>
      <c r="R1375" s="231" t="s">
        <v>239</v>
      </c>
      <c r="S1375" s="231">
        <v>62.5</v>
      </c>
      <c r="T1375" s="231" t="s">
        <v>239</v>
      </c>
      <c r="U1375" s="231">
        <v>62.5</v>
      </c>
      <c r="V1375" s="230" t="s">
        <v>239</v>
      </c>
      <c r="W1375" s="231">
        <v>62.5</v>
      </c>
      <c r="X1375" s="231" t="s">
        <v>239</v>
      </c>
      <c r="Y1375" s="231">
        <v>62.5</v>
      </c>
      <c r="Z1375" s="231" t="s">
        <v>239</v>
      </c>
      <c r="AA1375" s="231">
        <v>62.5</v>
      </c>
      <c r="AB1375" s="231" t="s">
        <v>239</v>
      </c>
      <c r="AC1375" s="231">
        <v>62.5</v>
      </c>
      <c r="AD1375" s="231" t="s">
        <v>239</v>
      </c>
      <c r="AE1375" s="231">
        <v>62.5</v>
      </c>
      <c r="AF1375" s="231" t="s">
        <v>239</v>
      </c>
      <c r="AG1375" s="231">
        <v>62.5</v>
      </c>
      <c r="AH1375" s="231" t="s">
        <v>239</v>
      </c>
      <c r="AI1375" s="231">
        <v>62.5</v>
      </c>
      <c r="AJ1375" s="231" t="s">
        <v>239</v>
      </c>
      <c r="AK1375" s="231">
        <v>62.5</v>
      </c>
      <c r="AL1375" s="232" t="s">
        <v>239</v>
      </c>
      <c r="AM1375" s="232">
        <v>0</v>
      </c>
    </row>
    <row r="1376" spans="1:39" ht="15.75" outlineLevel="1">
      <c r="A1376" s="412"/>
      <c r="B1376" s="10">
        <v>129683</v>
      </c>
      <c r="C1376" s="218" t="s">
        <v>1489</v>
      </c>
      <c r="D1376" s="218" t="s">
        <v>1490</v>
      </c>
      <c r="E1376" s="23" t="s">
        <v>44</v>
      </c>
      <c r="F1376" s="17" t="s">
        <v>45</v>
      </c>
      <c r="G1376" s="11" t="s">
        <v>1432</v>
      </c>
      <c r="H1376" s="12">
        <v>18</v>
      </c>
      <c r="I1376" s="11" t="s">
        <v>1433</v>
      </c>
      <c r="J1376" s="192" t="s">
        <v>1480</v>
      </c>
      <c r="K1376" s="17" t="s">
        <v>233</v>
      </c>
      <c r="L1376" s="17" t="s">
        <v>233</v>
      </c>
      <c r="M1376" s="231">
        <v>0</v>
      </c>
      <c r="N1376" s="232">
        <v>0</v>
      </c>
      <c r="O1376" s="132">
        <v>0</v>
      </c>
      <c r="P1376" s="231" t="s">
        <v>239</v>
      </c>
      <c r="Q1376" s="232">
        <v>0</v>
      </c>
      <c r="R1376" s="231" t="s">
        <v>239</v>
      </c>
      <c r="S1376" s="232">
        <v>0</v>
      </c>
      <c r="T1376" s="231" t="s">
        <v>239</v>
      </c>
      <c r="U1376" s="232">
        <v>0</v>
      </c>
      <c r="V1376" s="231" t="s">
        <v>239</v>
      </c>
      <c r="W1376" s="232">
        <v>0</v>
      </c>
      <c r="X1376" s="231" t="s">
        <v>239</v>
      </c>
      <c r="Y1376" s="232">
        <v>0</v>
      </c>
      <c r="Z1376" s="231" t="s">
        <v>239</v>
      </c>
      <c r="AA1376" s="232">
        <v>0</v>
      </c>
      <c r="AB1376" s="231" t="s">
        <v>239</v>
      </c>
      <c r="AC1376" s="232">
        <v>0</v>
      </c>
      <c r="AD1376" s="231" t="s">
        <v>239</v>
      </c>
      <c r="AE1376" s="232">
        <v>0</v>
      </c>
      <c r="AF1376" s="231" t="s">
        <v>239</v>
      </c>
      <c r="AG1376" s="232">
        <v>0</v>
      </c>
      <c r="AH1376" s="231" t="s">
        <v>239</v>
      </c>
      <c r="AI1376" s="232">
        <v>0</v>
      </c>
      <c r="AJ1376" s="231" t="s">
        <v>239</v>
      </c>
      <c r="AK1376" s="232">
        <v>0</v>
      </c>
      <c r="AL1376" s="232" t="s">
        <v>239</v>
      </c>
      <c r="AM1376" s="232">
        <v>0</v>
      </c>
    </row>
    <row r="1377" spans="1:39" ht="15.75" outlineLevel="1">
      <c r="A1377" s="411">
        <v>684</v>
      </c>
      <c r="B1377" s="10">
        <v>129684</v>
      </c>
      <c r="C1377" s="218" t="s">
        <v>1489</v>
      </c>
      <c r="D1377" s="218" t="s">
        <v>1490</v>
      </c>
      <c r="E1377" s="23" t="s">
        <v>138</v>
      </c>
      <c r="F1377" s="17" t="s">
        <v>45</v>
      </c>
      <c r="G1377" s="11" t="s">
        <v>1432</v>
      </c>
      <c r="H1377" s="12">
        <v>17</v>
      </c>
      <c r="I1377" s="11" t="s">
        <v>1433</v>
      </c>
      <c r="J1377" s="192" t="s">
        <v>1452</v>
      </c>
      <c r="K1377" s="17" t="s">
        <v>233</v>
      </c>
      <c r="L1377" s="17" t="s">
        <v>233</v>
      </c>
      <c r="M1377" s="231">
        <v>0</v>
      </c>
      <c r="N1377" s="232">
        <v>0</v>
      </c>
      <c r="O1377" s="132">
        <v>0</v>
      </c>
      <c r="P1377" s="231" t="s">
        <v>239</v>
      </c>
      <c r="Q1377" s="232">
        <v>0</v>
      </c>
      <c r="R1377" s="231" t="s">
        <v>239</v>
      </c>
      <c r="S1377" s="232">
        <v>0</v>
      </c>
      <c r="T1377" s="231" t="s">
        <v>239</v>
      </c>
      <c r="U1377" s="232">
        <v>0</v>
      </c>
      <c r="V1377" s="231" t="s">
        <v>239</v>
      </c>
      <c r="W1377" s="232">
        <v>0</v>
      </c>
      <c r="X1377" s="231" t="s">
        <v>239</v>
      </c>
      <c r="Y1377" s="232">
        <v>0</v>
      </c>
      <c r="Z1377" s="231" t="s">
        <v>239</v>
      </c>
      <c r="AA1377" s="232">
        <v>0</v>
      </c>
      <c r="AB1377" s="231" t="s">
        <v>239</v>
      </c>
      <c r="AC1377" s="232">
        <v>0</v>
      </c>
      <c r="AD1377" s="231" t="s">
        <v>239</v>
      </c>
      <c r="AE1377" s="232">
        <v>0</v>
      </c>
      <c r="AF1377" s="231" t="s">
        <v>239</v>
      </c>
      <c r="AG1377" s="232">
        <v>0</v>
      </c>
      <c r="AH1377" s="231" t="s">
        <v>239</v>
      </c>
      <c r="AI1377" s="232">
        <v>0</v>
      </c>
      <c r="AJ1377" s="231" t="s">
        <v>239</v>
      </c>
      <c r="AK1377" s="232">
        <v>0</v>
      </c>
      <c r="AL1377" s="232" t="s">
        <v>239</v>
      </c>
      <c r="AM1377" s="232">
        <v>0</v>
      </c>
    </row>
    <row r="1378" spans="1:39" ht="15.75" outlineLevel="1">
      <c r="A1378" s="412"/>
      <c r="B1378" s="10">
        <v>129684</v>
      </c>
      <c r="C1378" s="218" t="s">
        <v>1489</v>
      </c>
      <c r="D1378" s="218" t="s">
        <v>1490</v>
      </c>
      <c r="E1378" s="23" t="s">
        <v>44</v>
      </c>
      <c r="F1378" s="17" t="s">
        <v>45</v>
      </c>
      <c r="G1378" s="11" t="s">
        <v>1432</v>
      </c>
      <c r="H1378" s="12">
        <v>25</v>
      </c>
      <c r="I1378" s="11" t="s">
        <v>1433</v>
      </c>
      <c r="J1378" s="374" t="s">
        <v>207</v>
      </c>
      <c r="K1378" s="17" t="s">
        <v>233</v>
      </c>
      <c r="L1378" s="17" t="s">
        <v>233</v>
      </c>
      <c r="M1378" s="231">
        <v>4617</v>
      </c>
      <c r="N1378" s="232">
        <v>4560.9496199999994</v>
      </c>
      <c r="O1378" s="132">
        <v>695</v>
      </c>
      <c r="P1378" s="231" t="s">
        <v>239</v>
      </c>
      <c r="Q1378" s="232">
        <v>695</v>
      </c>
      <c r="R1378" s="231" t="s">
        <v>239</v>
      </c>
      <c r="S1378" s="232">
        <v>505</v>
      </c>
      <c r="T1378" s="231" t="s">
        <v>239</v>
      </c>
      <c r="U1378" s="232">
        <v>272</v>
      </c>
      <c r="V1378" s="230" t="s">
        <v>239</v>
      </c>
      <c r="W1378" s="232">
        <v>362</v>
      </c>
      <c r="X1378" s="231" t="s">
        <v>239</v>
      </c>
      <c r="Y1378" s="232">
        <v>392</v>
      </c>
      <c r="Z1378" s="231" t="s">
        <v>239</v>
      </c>
      <c r="AA1378" s="232">
        <v>477</v>
      </c>
      <c r="AB1378" s="231" t="s">
        <v>239</v>
      </c>
      <c r="AC1378" s="232">
        <v>389</v>
      </c>
      <c r="AD1378" s="231" t="s">
        <v>239</v>
      </c>
      <c r="AE1378" s="232">
        <v>354</v>
      </c>
      <c r="AF1378" s="231" t="s">
        <v>239</v>
      </c>
      <c r="AG1378" s="232">
        <v>463</v>
      </c>
      <c r="AH1378" s="231" t="s">
        <v>239</v>
      </c>
      <c r="AI1378" s="232">
        <v>478</v>
      </c>
      <c r="AJ1378" s="231" t="s">
        <v>239</v>
      </c>
      <c r="AK1378" s="232">
        <v>454</v>
      </c>
      <c r="AL1378" s="232" t="s">
        <v>239</v>
      </c>
      <c r="AM1378" s="232">
        <v>5536</v>
      </c>
    </row>
    <row r="1379" spans="1:39" ht="15.75" outlineLevel="1">
      <c r="A1379" s="411">
        <v>685</v>
      </c>
      <c r="B1379" s="10">
        <v>129685</v>
      </c>
      <c r="C1379" s="218" t="s">
        <v>1489</v>
      </c>
      <c r="D1379" s="218" t="s">
        <v>1490</v>
      </c>
      <c r="E1379" s="23" t="s">
        <v>138</v>
      </c>
      <c r="F1379" s="17" t="s">
        <v>45</v>
      </c>
      <c r="G1379" s="11" t="s">
        <v>1432</v>
      </c>
      <c r="H1379" s="12">
        <v>13</v>
      </c>
      <c r="I1379" s="11" t="s">
        <v>1433</v>
      </c>
      <c r="J1379" s="375"/>
      <c r="K1379" s="17" t="s">
        <v>233</v>
      </c>
      <c r="L1379" s="17" t="s">
        <v>233</v>
      </c>
      <c r="M1379" s="231">
        <v>0</v>
      </c>
      <c r="N1379" s="232">
        <v>0</v>
      </c>
      <c r="O1379" s="132">
        <v>0</v>
      </c>
      <c r="P1379" s="231" t="s">
        <v>239</v>
      </c>
      <c r="Q1379" s="232">
        <v>0</v>
      </c>
      <c r="R1379" s="231" t="s">
        <v>239</v>
      </c>
      <c r="S1379" s="232">
        <v>0</v>
      </c>
      <c r="T1379" s="231" t="s">
        <v>239</v>
      </c>
      <c r="U1379" s="232">
        <v>0</v>
      </c>
      <c r="V1379" s="231" t="s">
        <v>239</v>
      </c>
      <c r="W1379" s="232">
        <v>0</v>
      </c>
      <c r="X1379" s="231" t="s">
        <v>239</v>
      </c>
      <c r="Y1379" s="232">
        <v>0</v>
      </c>
      <c r="Z1379" s="231" t="s">
        <v>239</v>
      </c>
      <c r="AA1379" s="232">
        <v>0</v>
      </c>
      <c r="AB1379" s="231" t="s">
        <v>239</v>
      </c>
      <c r="AC1379" s="232">
        <v>0</v>
      </c>
      <c r="AD1379" s="231" t="s">
        <v>239</v>
      </c>
      <c r="AE1379" s="232">
        <v>0</v>
      </c>
      <c r="AF1379" s="231" t="s">
        <v>239</v>
      </c>
      <c r="AG1379" s="232">
        <v>0</v>
      </c>
      <c r="AH1379" s="231" t="s">
        <v>239</v>
      </c>
      <c r="AI1379" s="232">
        <v>0</v>
      </c>
      <c r="AJ1379" s="231" t="s">
        <v>239</v>
      </c>
      <c r="AK1379" s="232">
        <v>0</v>
      </c>
      <c r="AL1379" s="232" t="s">
        <v>239</v>
      </c>
      <c r="AM1379" s="232">
        <v>0</v>
      </c>
    </row>
    <row r="1380" spans="1:39" ht="15.75" outlineLevel="1">
      <c r="A1380" s="412"/>
      <c r="B1380" s="10">
        <v>129685</v>
      </c>
      <c r="C1380" s="218" t="s">
        <v>1489</v>
      </c>
      <c r="D1380" s="218" t="s">
        <v>1490</v>
      </c>
      <c r="E1380" s="23" t="s">
        <v>44</v>
      </c>
      <c r="F1380" s="17" t="s">
        <v>45</v>
      </c>
      <c r="G1380" s="11" t="s">
        <v>1432</v>
      </c>
      <c r="H1380" s="12">
        <v>5</v>
      </c>
      <c r="I1380" s="11" t="s">
        <v>1433</v>
      </c>
      <c r="J1380" s="193" t="s">
        <v>1460</v>
      </c>
      <c r="K1380" s="17" t="s">
        <v>233</v>
      </c>
      <c r="L1380" s="17" t="s">
        <v>233</v>
      </c>
      <c r="M1380" s="231">
        <v>0</v>
      </c>
      <c r="N1380" s="232">
        <v>0</v>
      </c>
      <c r="O1380" s="132">
        <v>0</v>
      </c>
      <c r="P1380" s="231" t="s">
        <v>239</v>
      </c>
      <c r="Q1380" s="232">
        <v>0</v>
      </c>
      <c r="R1380" s="231" t="s">
        <v>239</v>
      </c>
      <c r="S1380" s="232">
        <v>0</v>
      </c>
      <c r="T1380" s="231" t="s">
        <v>239</v>
      </c>
      <c r="U1380" s="232">
        <v>0</v>
      </c>
      <c r="V1380" s="231" t="s">
        <v>239</v>
      </c>
      <c r="W1380" s="232">
        <v>0</v>
      </c>
      <c r="X1380" s="231" t="s">
        <v>239</v>
      </c>
      <c r="Y1380" s="232">
        <v>0</v>
      </c>
      <c r="Z1380" s="231" t="s">
        <v>239</v>
      </c>
      <c r="AA1380" s="232">
        <v>0</v>
      </c>
      <c r="AB1380" s="231" t="s">
        <v>239</v>
      </c>
      <c r="AC1380" s="232">
        <v>0</v>
      </c>
      <c r="AD1380" s="231" t="s">
        <v>239</v>
      </c>
      <c r="AE1380" s="232">
        <v>0</v>
      </c>
      <c r="AF1380" s="231" t="s">
        <v>239</v>
      </c>
      <c r="AG1380" s="232">
        <v>0</v>
      </c>
      <c r="AH1380" s="231" t="s">
        <v>239</v>
      </c>
      <c r="AI1380" s="232">
        <v>0</v>
      </c>
      <c r="AJ1380" s="231" t="s">
        <v>239</v>
      </c>
      <c r="AK1380" s="232">
        <v>0</v>
      </c>
      <c r="AL1380" s="232" t="s">
        <v>239</v>
      </c>
      <c r="AM1380" s="232">
        <v>0</v>
      </c>
    </row>
    <row r="1381" spans="1:39" ht="15.75" outlineLevel="1">
      <c r="A1381" s="411">
        <v>686</v>
      </c>
      <c r="B1381" s="10">
        <v>129686</v>
      </c>
      <c r="C1381" s="218" t="s">
        <v>1489</v>
      </c>
      <c r="D1381" s="218" t="s">
        <v>1490</v>
      </c>
      <c r="E1381" s="23" t="s">
        <v>44</v>
      </c>
      <c r="F1381" s="17" t="s">
        <v>45</v>
      </c>
      <c r="G1381" s="11" t="s">
        <v>1432</v>
      </c>
      <c r="H1381" s="12">
        <v>4</v>
      </c>
      <c r="I1381" s="11" t="s">
        <v>1433</v>
      </c>
      <c r="J1381" s="193" t="s">
        <v>1442</v>
      </c>
      <c r="K1381" s="17" t="s">
        <v>233</v>
      </c>
      <c r="L1381" s="17" t="s">
        <v>233</v>
      </c>
      <c r="M1381" s="231">
        <v>1</v>
      </c>
      <c r="N1381" s="231">
        <v>1</v>
      </c>
      <c r="O1381" s="231">
        <v>1</v>
      </c>
      <c r="P1381" s="231" t="s">
        <v>239</v>
      </c>
      <c r="Q1381" s="231">
        <v>1</v>
      </c>
      <c r="R1381" s="231" t="s">
        <v>239</v>
      </c>
      <c r="S1381" s="231">
        <v>1</v>
      </c>
      <c r="T1381" s="231" t="s">
        <v>239</v>
      </c>
      <c r="U1381" s="231">
        <v>1</v>
      </c>
      <c r="V1381" s="230" t="s">
        <v>239</v>
      </c>
      <c r="W1381" s="231">
        <v>1</v>
      </c>
      <c r="X1381" s="231" t="s">
        <v>239</v>
      </c>
      <c r="Y1381" s="231">
        <v>1</v>
      </c>
      <c r="Z1381" s="231" t="s">
        <v>239</v>
      </c>
      <c r="AA1381" s="231">
        <v>1</v>
      </c>
      <c r="AB1381" s="231" t="s">
        <v>239</v>
      </c>
      <c r="AC1381" s="231">
        <v>1</v>
      </c>
      <c r="AD1381" s="231" t="s">
        <v>239</v>
      </c>
      <c r="AE1381" s="231">
        <v>1</v>
      </c>
      <c r="AF1381" s="231" t="s">
        <v>239</v>
      </c>
      <c r="AG1381" s="231">
        <v>1</v>
      </c>
      <c r="AH1381" s="231" t="s">
        <v>239</v>
      </c>
      <c r="AI1381" s="231">
        <v>1</v>
      </c>
      <c r="AJ1381" s="231" t="s">
        <v>239</v>
      </c>
      <c r="AK1381" s="231">
        <v>1</v>
      </c>
      <c r="AL1381" s="232" t="s">
        <v>239</v>
      </c>
      <c r="AM1381" s="232">
        <v>0</v>
      </c>
    </row>
    <row r="1382" spans="1:39" ht="15.75" outlineLevel="1">
      <c r="A1382" s="412"/>
      <c r="B1382" s="10">
        <v>129686</v>
      </c>
      <c r="C1382" s="218" t="s">
        <v>1489</v>
      </c>
      <c r="D1382" s="218" t="s">
        <v>1490</v>
      </c>
      <c r="E1382" s="23" t="s">
        <v>138</v>
      </c>
      <c r="F1382" s="17" t="s">
        <v>45</v>
      </c>
      <c r="G1382" s="11" t="s">
        <v>1432</v>
      </c>
      <c r="H1382" s="12">
        <v>24</v>
      </c>
      <c r="I1382" s="11" t="s">
        <v>1433</v>
      </c>
      <c r="J1382" s="193" t="s">
        <v>1451</v>
      </c>
      <c r="K1382" s="17" t="s">
        <v>233</v>
      </c>
      <c r="L1382" s="17" t="s">
        <v>233</v>
      </c>
      <c r="M1382" s="231">
        <v>5436</v>
      </c>
      <c r="N1382" s="232">
        <v>5370.0069599999997</v>
      </c>
      <c r="O1382" s="132">
        <v>894</v>
      </c>
      <c r="P1382" s="231" t="s">
        <v>239</v>
      </c>
      <c r="Q1382" s="232">
        <v>894</v>
      </c>
      <c r="R1382" s="231" t="s">
        <v>239</v>
      </c>
      <c r="S1382" s="232">
        <v>901</v>
      </c>
      <c r="T1382" s="231" t="s">
        <v>239</v>
      </c>
      <c r="U1382" s="232">
        <v>989</v>
      </c>
      <c r="V1382" s="231" t="s">
        <v>239</v>
      </c>
      <c r="W1382" s="232">
        <v>1008</v>
      </c>
      <c r="X1382" s="231" t="s">
        <v>239</v>
      </c>
      <c r="Y1382" s="232">
        <v>998</v>
      </c>
      <c r="Z1382" s="231" t="s">
        <v>239</v>
      </c>
      <c r="AA1382" s="232">
        <v>1018</v>
      </c>
      <c r="AB1382" s="231" t="s">
        <v>239</v>
      </c>
      <c r="AC1382" s="232">
        <v>854</v>
      </c>
      <c r="AD1382" s="231" t="s">
        <v>239</v>
      </c>
      <c r="AE1382" s="232">
        <v>916</v>
      </c>
      <c r="AF1382" s="231" t="s">
        <v>239</v>
      </c>
      <c r="AG1382" s="232">
        <v>954</v>
      </c>
      <c r="AH1382" s="231" t="s">
        <v>239</v>
      </c>
      <c r="AI1382" s="232">
        <v>971</v>
      </c>
      <c r="AJ1382" s="231" t="s">
        <v>239</v>
      </c>
      <c r="AK1382" s="232">
        <v>1038</v>
      </c>
      <c r="AL1382" s="232" t="s">
        <v>239</v>
      </c>
      <c r="AM1382" s="232">
        <v>11435</v>
      </c>
    </row>
    <row r="1383" spans="1:39" ht="15.75" outlineLevel="1">
      <c r="A1383" s="411">
        <v>687</v>
      </c>
      <c r="B1383" s="10">
        <v>129687</v>
      </c>
      <c r="C1383" s="218" t="s">
        <v>1489</v>
      </c>
      <c r="D1383" s="218" t="s">
        <v>1490</v>
      </c>
      <c r="E1383" s="23" t="s">
        <v>44</v>
      </c>
      <c r="F1383" s="17" t="s">
        <v>45</v>
      </c>
      <c r="G1383" s="11" t="s">
        <v>1432</v>
      </c>
      <c r="H1383" s="12">
        <v>10</v>
      </c>
      <c r="I1383" s="11" t="s">
        <v>1433</v>
      </c>
      <c r="J1383" s="193" t="s">
        <v>208</v>
      </c>
      <c r="K1383" s="17" t="s">
        <v>233</v>
      </c>
      <c r="L1383" s="17" t="s">
        <v>233</v>
      </c>
      <c r="M1383" s="231">
        <v>24</v>
      </c>
      <c r="N1383" s="231">
        <v>24</v>
      </c>
      <c r="O1383" s="231">
        <v>24</v>
      </c>
      <c r="P1383" s="231" t="s">
        <v>239</v>
      </c>
      <c r="Q1383" s="231">
        <v>24</v>
      </c>
      <c r="R1383" s="231" t="s">
        <v>239</v>
      </c>
      <c r="S1383" s="231">
        <v>24</v>
      </c>
      <c r="T1383" s="231" t="s">
        <v>239</v>
      </c>
      <c r="U1383" s="231">
        <v>24</v>
      </c>
      <c r="V1383" s="231" t="s">
        <v>239</v>
      </c>
      <c r="W1383" s="231">
        <v>24</v>
      </c>
      <c r="X1383" s="231" t="s">
        <v>239</v>
      </c>
      <c r="Y1383" s="231">
        <v>24</v>
      </c>
      <c r="Z1383" s="231" t="s">
        <v>239</v>
      </c>
      <c r="AA1383" s="231">
        <v>24</v>
      </c>
      <c r="AB1383" s="231" t="s">
        <v>239</v>
      </c>
      <c r="AC1383" s="231">
        <v>24</v>
      </c>
      <c r="AD1383" s="231" t="s">
        <v>239</v>
      </c>
      <c r="AE1383" s="231">
        <v>24</v>
      </c>
      <c r="AF1383" s="231" t="s">
        <v>239</v>
      </c>
      <c r="AG1383" s="231">
        <v>24</v>
      </c>
      <c r="AH1383" s="231" t="s">
        <v>239</v>
      </c>
      <c r="AI1383" s="231">
        <v>24</v>
      </c>
      <c r="AJ1383" s="231" t="s">
        <v>239</v>
      </c>
      <c r="AK1383" s="231">
        <v>24</v>
      </c>
      <c r="AL1383" s="232" t="s">
        <v>239</v>
      </c>
      <c r="AM1383" s="232">
        <v>0</v>
      </c>
    </row>
    <row r="1384" spans="1:39" ht="15.75" outlineLevel="1">
      <c r="A1384" s="412"/>
      <c r="B1384" s="10">
        <v>129687</v>
      </c>
      <c r="C1384" s="218" t="s">
        <v>1489</v>
      </c>
      <c r="D1384" s="218" t="s">
        <v>1490</v>
      </c>
      <c r="E1384" s="23" t="s">
        <v>138</v>
      </c>
      <c r="F1384" s="17" t="s">
        <v>45</v>
      </c>
      <c r="G1384" s="11" t="s">
        <v>1432</v>
      </c>
      <c r="H1384" s="12">
        <v>17</v>
      </c>
      <c r="I1384" s="11" t="s">
        <v>1433</v>
      </c>
      <c r="J1384" s="193" t="s">
        <v>1452</v>
      </c>
      <c r="K1384" s="17" t="s">
        <v>233</v>
      </c>
      <c r="L1384" s="17" t="s">
        <v>233</v>
      </c>
      <c r="M1384" s="231">
        <v>15787</v>
      </c>
      <c r="N1384" s="232">
        <v>15595.345819999999</v>
      </c>
      <c r="O1384" s="132">
        <v>918</v>
      </c>
      <c r="P1384" s="231" t="s">
        <v>239</v>
      </c>
      <c r="Q1384" s="232">
        <v>918</v>
      </c>
      <c r="R1384" s="231" t="s">
        <v>239</v>
      </c>
      <c r="S1384" s="232">
        <v>901</v>
      </c>
      <c r="T1384" s="231" t="s">
        <v>239</v>
      </c>
      <c r="U1384" s="232">
        <v>421</v>
      </c>
      <c r="V1384" s="230" t="s">
        <v>239</v>
      </c>
      <c r="W1384" s="232">
        <v>409</v>
      </c>
      <c r="X1384" s="231" t="s">
        <v>239</v>
      </c>
      <c r="Y1384" s="232">
        <v>584</v>
      </c>
      <c r="Z1384" s="231" t="s">
        <v>239</v>
      </c>
      <c r="AA1384" s="232">
        <v>480</v>
      </c>
      <c r="AB1384" s="231" t="s">
        <v>239</v>
      </c>
      <c r="AC1384" s="232">
        <v>2</v>
      </c>
      <c r="AD1384" s="231" t="s">
        <v>239</v>
      </c>
      <c r="AE1384" s="232">
        <v>206</v>
      </c>
      <c r="AF1384" s="231" t="s">
        <v>239</v>
      </c>
      <c r="AG1384" s="232">
        <v>103</v>
      </c>
      <c r="AH1384" s="231" t="s">
        <v>239</v>
      </c>
      <c r="AI1384" s="232">
        <v>625</v>
      </c>
      <c r="AJ1384" s="231" t="s">
        <v>239</v>
      </c>
      <c r="AK1384" s="232">
        <v>498</v>
      </c>
      <c r="AL1384" s="232" t="s">
        <v>239</v>
      </c>
      <c r="AM1384" s="232">
        <v>6065</v>
      </c>
    </row>
    <row r="1385" spans="1:39" ht="15.75" outlineLevel="1">
      <c r="A1385" s="411">
        <v>688</v>
      </c>
      <c r="B1385" s="10">
        <v>129688</v>
      </c>
      <c r="C1385" s="218" t="s">
        <v>1489</v>
      </c>
      <c r="D1385" s="218" t="s">
        <v>1490</v>
      </c>
      <c r="E1385" s="23" t="s">
        <v>44</v>
      </c>
      <c r="F1385" s="17" t="s">
        <v>45</v>
      </c>
      <c r="G1385" s="11" t="s">
        <v>1432</v>
      </c>
      <c r="H1385" s="12">
        <v>32</v>
      </c>
      <c r="I1385" s="11" t="s">
        <v>1433</v>
      </c>
      <c r="J1385" s="193" t="s">
        <v>216</v>
      </c>
      <c r="K1385" s="17" t="s">
        <v>233</v>
      </c>
      <c r="L1385" s="17" t="s">
        <v>233</v>
      </c>
      <c r="M1385" s="231">
        <v>40</v>
      </c>
      <c r="N1385" s="231">
        <v>40</v>
      </c>
      <c r="O1385" s="231">
        <v>40</v>
      </c>
      <c r="P1385" s="231" t="s">
        <v>239</v>
      </c>
      <c r="Q1385" s="231">
        <v>40</v>
      </c>
      <c r="R1385" s="231" t="s">
        <v>239</v>
      </c>
      <c r="S1385" s="231">
        <v>40</v>
      </c>
      <c r="T1385" s="231" t="s">
        <v>239</v>
      </c>
      <c r="U1385" s="231">
        <v>40</v>
      </c>
      <c r="V1385" s="231" t="s">
        <v>239</v>
      </c>
      <c r="W1385" s="231">
        <v>40</v>
      </c>
      <c r="X1385" s="231" t="s">
        <v>239</v>
      </c>
      <c r="Y1385" s="231">
        <v>40</v>
      </c>
      <c r="Z1385" s="231" t="s">
        <v>239</v>
      </c>
      <c r="AA1385" s="231">
        <v>40</v>
      </c>
      <c r="AB1385" s="231" t="s">
        <v>239</v>
      </c>
      <c r="AC1385" s="231">
        <v>40</v>
      </c>
      <c r="AD1385" s="231" t="s">
        <v>239</v>
      </c>
      <c r="AE1385" s="231">
        <v>40</v>
      </c>
      <c r="AF1385" s="231" t="s">
        <v>239</v>
      </c>
      <c r="AG1385" s="231">
        <v>40</v>
      </c>
      <c r="AH1385" s="231" t="s">
        <v>239</v>
      </c>
      <c r="AI1385" s="231">
        <v>40</v>
      </c>
      <c r="AJ1385" s="231" t="s">
        <v>239</v>
      </c>
      <c r="AK1385" s="231">
        <v>40</v>
      </c>
      <c r="AL1385" s="232" t="s">
        <v>239</v>
      </c>
      <c r="AM1385" s="232">
        <v>0</v>
      </c>
    </row>
    <row r="1386" spans="1:39" ht="15.75" outlineLevel="1">
      <c r="A1386" s="412"/>
      <c r="B1386" s="10">
        <v>129688</v>
      </c>
      <c r="C1386" s="218" t="s">
        <v>1489</v>
      </c>
      <c r="D1386" s="218" t="s">
        <v>1490</v>
      </c>
      <c r="E1386" s="23" t="s">
        <v>44</v>
      </c>
      <c r="F1386" s="17" t="s">
        <v>45</v>
      </c>
      <c r="G1386" s="11" t="s">
        <v>1432</v>
      </c>
      <c r="H1386" s="12">
        <v>8</v>
      </c>
      <c r="I1386" s="11" t="s">
        <v>1433</v>
      </c>
      <c r="J1386" s="193" t="s">
        <v>1453</v>
      </c>
      <c r="K1386" s="17" t="s">
        <v>233</v>
      </c>
      <c r="L1386" s="17" t="s">
        <v>233</v>
      </c>
      <c r="M1386" s="231">
        <v>7827</v>
      </c>
      <c r="N1386" s="232">
        <v>7731.9802199999995</v>
      </c>
      <c r="O1386" s="132">
        <v>1252</v>
      </c>
      <c r="P1386" s="231" t="s">
        <v>239</v>
      </c>
      <c r="Q1386" s="232">
        <v>1252</v>
      </c>
      <c r="R1386" s="231" t="s">
        <v>239</v>
      </c>
      <c r="S1386" s="232">
        <v>1135</v>
      </c>
      <c r="T1386" s="231" t="s">
        <v>239</v>
      </c>
      <c r="U1386" s="232">
        <v>980</v>
      </c>
      <c r="V1386" s="231" t="s">
        <v>239</v>
      </c>
      <c r="W1386" s="232">
        <v>871</v>
      </c>
      <c r="X1386" s="231" t="s">
        <v>239</v>
      </c>
      <c r="Y1386" s="232">
        <v>757</v>
      </c>
      <c r="Z1386" s="231" t="s">
        <v>239</v>
      </c>
      <c r="AA1386" s="232">
        <v>686</v>
      </c>
      <c r="AB1386" s="231" t="s">
        <v>239</v>
      </c>
      <c r="AC1386" s="232">
        <v>781</v>
      </c>
      <c r="AD1386" s="231" t="s">
        <v>239</v>
      </c>
      <c r="AE1386" s="232">
        <v>771</v>
      </c>
      <c r="AF1386" s="231" t="s">
        <v>239</v>
      </c>
      <c r="AG1386" s="232">
        <v>798</v>
      </c>
      <c r="AH1386" s="231" t="s">
        <v>239</v>
      </c>
      <c r="AI1386" s="232">
        <v>848</v>
      </c>
      <c r="AJ1386" s="231" t="s">
        <v>239</v>
      </c>
      <c r="AK1386" s="232">
        <v>922</v>
      </c>
      <c r="AL1386" s="232" t="s">
        <v>239</v>
      </c>
      <c r="AM1386" s="232">
        <v>11053</v>
      </c>
    </row>
    <row r="1387" spans="1:39" ht="15.75" outlineLevel="1">
      <c r="A1387" s="411">
        <v>689</v>
      </c>
      <c r="B1387" s="10">
        <v>129689</v>
      </c>
      <c r="C1387" s="218" t="s">
        <v>1489</v>
      </c>
      <c r="D1387" s="218" t="s">
        <v>1490</v>
      </c>
      <c r="E1387" s="23" t="s">
        <v>138</v>
      </c>
      <c r="F1387" s="17" t="s">
        <v>45</v>
      </c>
      <c r="G1387" s="11" t="s">
        <v>1432</v>
      </c>
      <c r="H1387" s="12">
        <v>12</v>
      </c>
      <c r="I1387" s="11" t="s">
        <v>1433</v>
      </c>
      <c r="J1387" s="193" t="s">
        <v>1454</v>
      </c>
      <c r="K1387" s="17" t="s">
        <v>233</v>
      </c>
      <c r="L1387" s="17" t="s">
        <v>233</v>
      </c>
      <c r="M1387" s="231">
        <v>50</v>
      </c>
      <c r="N1387" s="231">
        <v>50</v>
      </c>
      <c r="O1387" s="231">
        <v>50</v>
      </c>
      <c r="P1387" s="231" t="s">
        <v>239</v>
      </c>
      <c r="Q1387" s="231">
        <v>50</v>
      </c>
      <c r="R1387" s="231" t="s">
        <v>239</v>
      </c>
      <c r="S1387" s="231">
        <v>50</v>
      </c>
      <c r="T1387" s="231" t="s">
        <v>239</v>
      </c>
      <c r="U1387" s="231">
        <v>50</v>
      </c>
      <c r="V1387" s="230" t="s">
        <v>239</v>
      </c>
      <c r="W1387" s="231">
        <v>50</v>
      </c>
      <c r="X1387" s="231" t="s">
        <v>239</v>
      </c>
      <c r="Y1387" s="231">
        <v>50</v>
      </c>
      <c r="Z1387" s="231" t="s">
        <v>239</v>
      </c>
      <c r="AA1387" s="231">
        <v>50</v>
      </c>
      <c r="AB1387" s="231" t="s">
        <v>239</v>
      </c>
      <c r="AC1387" s="231">
        <v>50</v>
      </c>
      <c r="AD1387" s="231" t="s">
        <v>239</v>
      </c>
      <c r="AE1387" s="231">
        <v>50</v>
      </c>
      <c r="AF1387" s="231" t="s">
        <v>239</v>
      </c>
      <c r="AG1387" s="231">
        <v>50</v>
      </c>
      <c r="AH1387" s="231" t="s">
        <v>239</v>
      </c>
      <c r="AI1387" s="231">
        <v>50</v>
      </c>
      <c r="AJ1387" s="231" t="s">
        <v>239</v>
      </c>
      <c r="AK1387" s="231">
        <v>50</v>
      </c>
      <c r="AL1387" s="232" t="s">
        <v>239</v>
      </c>
      <c r="AM1387" s="232">
        <v>0</v>
      </c>
    </row>
    <row r="1388" spans="1:39" ht="15.75" outlineLevel="1">
      <c r="A1388" s="412"/>
      <c r="B1388" s="10">
        <v>129689</v>
      </c>
      <c r="C1388" s="218" t="s">
        <v>1489</v>
      </c>
      <c r="D1388" s="218" t="s">
        <v>1490</v>
      </c>
      <c r="E1388" s="23" t="s">
        <v>44</v>
      </c>
      <c r="F1388" s="17" t="s">
        <v>45</v>
      </c>
      <c r="G1388" s="11" t="s">
        <v>1432</v>
      </c>
      <c r="H1388" s="12">
        <v>18</v>
      </c>
      <c r="I1388" s="11" t="s">
        <v>1433</v>
      </c>
      <c r="J1388" s="191" t="s">
        <v>216</v>
      </c>
      <c r="K1388" s="17" t="s">
        <v>233</v>
      </c>
      <c r="L1388" s="17" t="s">
        <v>233</v>
      </c>
      <c r="M1388" s="231">
        <v>12678</v>
      </c>
      <c r="N1388" s="232">
        <v>12524.08908</v>
      </c>
      <c r="O1388" s="132">
        <v>885</v>
      </c>
      <c r="P1388" s="231" t="s">
        <v>239</v>
      </c>
      <c r="Q1388" s="232">
        <v>885</v>
      </c>
      <c r="R1388" s="231" t="s">
        <v>239</v>
      </c>
      <c r="S1388" s="232">
        <v>805</v>
      </c>
      <c r="T1388" s="231" t="s">
        <v>239</v>
      </c>
      <c r="U1388" s="232">
        <v>1144</v>
      </c>
      <c r="V1388" s="231" t="s">
        <v>239</v>
      </c>
      <c r="W1388" s="232">
        <v>708</v>
      </c>
      <c r="X1388" s="231" t="s">
        <v>239</v>
      </c>
      <c r="Y1388" s="232">
        <v>629</v>
      </c>
      <c r="Z1388" s="231" t="s">
        <v>239</v>
      </c>
      <c r="AA1388" s="232">
        <v>769</v>
      </c>
      <c r="AB1388" s="231" t="s">
        <v>239</v>
      </c>
      <c r="AC1388" s="232">
        <v>870</v>
      </c>
      <c r="AD1388" s="231" t="s">
        <v>239</v>
      </c>
      <c r="AE1388" s="232">
        <v>685</v>
      </c>
      <c r="AF1388" s="231" t="s">
        <v>239</v>
      </c>
      <c r="AG1388" s="232">
        <v>726</v>
      </c>
      <c r="AH1388" s="231" t="s">
        <v>239</v>
      </c>
      <c r="AI1388" s="232">
        <v>808</v>
      </c>
      <c r="AJ1388" s="231" t="s">
        <v>239</v>
      </c>
      <c r="AK1388" s="232">
        <v>1032</v>
      </c>
      <c r="AL1388" s="232" t="s">
        <v>239</v>
      </c>
      <c r="AM1388" s="232">
        <v>9946</v>
      </c>
    </row>
    <row r="1389" spans="1:39" ht="15.75" outlineLevel="1">
      <c r="A1389" s="411">
        <v>690</v>
      </c>
      <c r="B1389" s="10">
        <v>129690</v>
      </c>
      <c r="C1389" s="218" t="s">
        <v>1489</v>
      </c>
      <c r="D1389" s="218" t="s">
        <v>1490</v>
      </c>
      <c r="E1389" s="23" t="s">
        <v>138</v>
      </c>
      <c r="F1389" s="17" t="s">
        <v>45</v>
      </c>
      <c r="G1389" s="11" t="s">
        <v>1432</v>
      </c>
      <c r="H1389" s="12">
        <v>17</v>
      </c>
      <c r="I1389" s="11" t="s">
        <v>1433</v>
      </c>
      <c r="J1389" s="192" t="s">
        <v>1434</v>
      </c>
      <c r="K1389" s="17" t="s">
        <v>233</v>
      </c>
      <c r="L1389" s="17" t="s">
        <v>233</v>
      </c>
      <c r="M1389" s="231">
        <v>0</v>
      </c>
      <c r="N1389" s="232">
        <v>0</v>
      </c>
      <c r="O1389" s="132">
        <v>0</v>
      </c>
      <c r="P1389" s="231" t="s">
        <v>239</v>
      </c>
      <c r="Q1389" s="232">
        <v>0</v>
      </c>
      <c r="R1389" s="231" t="s">
        <v>239</v>
      </c>
      <c r="S1389" s="232">
        <v>0</v>
      </c>
      <c r="T1389" s="231" t="s">
        <v>239</v>
      </c>
      <c r="U1389" s="232">
        <v>0</v>
      </c>
      <c r="V1389" s="231" t="s">
        <v>239</v>
      </c>
      <c r="W1389" s="232">
        <v>0</v>
      </c>
      <c r="X1389" s="231" t="s">
        <v>239</v>
      </c>
      <c r="Y1389" s="232">
        <v>0</v>
      </c>
      <c r="Z1389" s="231" t="s">
        <v>239</v>
      </c>
      <c r="AA1389" s="232">
        <v>0</v>
      </c>
      <c r="AB1389" s="231" t="s">
        <v>239</v>
      </c>
      <c r="AC1389" s="232">
        <v>0</v>
      </c>
      <c r="AD1389" s="231" t="s">
        <v>239</v>
      </c>
      <c r="AE1389" s="232">
        <v>0</v>
      </c>
      <c r="AF1389" s="231" t="s">
        <v>239</v>
      </c>
      <c r="AG1389" s="232">
        <v>0</v>
      </c>
      <c r="AH1389" s="231" t="s">
        <v>239</v>
      </c>
      <c r="AI1389" s="232">
        <v>0</v>
      </c>
      <c r="AJ1389" s="231" t="s">
        <v>239</v>
      </c>
      <c r="AK1389" s="232">
        <v>0</v>
      </c>
      <c r="AL1389" s="232" t="s">
        <v>239</v>
      </c>
      <c r="AM1389" s="232">
        <v>0</v>
      </c>
    </row>
    <row r="1390" spans="1:39" ht="15.75" outlineLevel="1">
      <c r="A1390" s="412"/>
      <c r="B1390" s="10">
        <v>129690</v>
      </c>
      <c r="C1390" s="218" t="s">
        <v>1489</v>
      </c>
      <c r="D1390" s="218" t="s">
        <v>1490</v>
      </c>
      <c r="E1390" s="23" t="s">
        <v>44</v>
      </c>
      <c r="F1390" s="17" t="s">
        <v>45</v>
      </c>
      <c r="G1390" s="11" t="s">
        <v>1432</v>
      </c>
      <c r="H1390" s="12">
        <v>25</v>
      </c>
      <c r="I1390" s="11" t="s">
        <v>1433</v>
      </c>
      <c r="J1390" s="192" t="s">
        <v>1480</v>
      </c>
      <c r="K1390" s="17" t="s">
        <v>233</v>
      </c>
      <c r="L1390" s="17" t="s">
        <v>233</v>
      </c>
      <c r="M1390" s="231">
        <v>8040</v>
      </c>
      <c r="N1390" s="232">
        <v>7942.3944000000001</v>
      </c>
      <c r="O1390" s="132">
        <v>1283</v>
      </c>
      <c r="P1390" s="231" t="s">
        <v>239</v>
      </c>
      <c r="Q1390" s="232">
        <v>1283</v>
      </c>
      <c r="R1390" s="231" t="s">
        <v>239</v>
      </c>
      <c r="S1390" s="232">
        <v>1299</v>
      </c>
      <c r="T1390" s="231" t="s">
        <v>239</v>
      </c>
      <c r="U1390" s="232">
        <v>1096</v>
      </c>
      <c r="V1390" s="230" t="s">
        <v>239</v>
      </c>
      <c r="W1390" s="232">
        <v>1017</v>
      </c>
      <c r="X1390" s="231" t="s">
        <v>239</v>
      </c>
      <c r="Y1390" s="232">
        <v>971</v>
      </c>
      <c r="Z1390" s="231" t="s">
        <v>239</v>
      </c>
      <c r="AA1390" s="232">
        <v>954</v>
      </c>
      <c r="AB1390" s="231" t="s">
        <v>239</v>
      </c>
      <c r="AC1390" s="232">
        <v>964</v>
      </c>
      <c r="AD1390" s="231" t="s">
        <v>239</v>
      </c>
      <c r="AE1390" s="232">
        <v>890</v>
      </c>
      <c r="AF1390" s="231" t="s">
        <v>239</v>
      </c>
      <c r="AG1390" s="232">
        <v>994</v>
      </c>
      <c r="AH1390" s="231" t="s">
        <v>239</v>
      </c>
      <c r="AI1390" s="232">
        <v>889</v>
      </c>
      <c r="AJ1390" s="231" t="s">
        <v>239</v>
      </c>
      <c r="AK1390" s="232">
        <v>1149</v>
      </c>
      <c r="AL1390" s="232" t="s">
        <v>239</v>
      </c>
      <c r="AM1390" s="232">
        <v>12789</v>
      </c>
    </row>
    <row r="1391" spans="1:39" ht="15.75" outlineLevel="1">
      <c r="A1391" s="411">
        <v>691</v>
      </c>
      <c r="B1391" s="10">
        <v>129691</v>
      </c>
      <c r="C1391" s="218" t="s">
        <v>1489</v>
      </c>
      <c r="D1391" s="218" t="s">
        <v>1490</v>
      </c>
      <c r="E1391" s="23" t="s">
        <v>44</v>
      </c>
      <c r="F1391" s="17" t="s">
        <v>45</v>
      </c>
      <c r="G1391" s="11" t="s">
        <v>1432</v>
      </c>
      <c r="H1391" s="12">
        <v>13</v>
      </c>
      <c r="I1391" s="11" t="s">
        <v>1433</v>
      </c>
      <c r="J1391" s="192" t="s">
        <v>1452</v>
      </c>
      <c r="K1391" s="17" t="s">
        <v>233</v>
      </c>
      <c r="L1391" s="17" t="s">
        <v>233</v>
      </c>
      <c r="M1391" s="231">
        <v>0</v>
      </c>
      <c r="N1391" s="232">
        <v>0</v>
      </c>
      <c r="O1391" s="132">
        <v>0</v>
      </c>
      <c r="P1391" s="231" t="s">
        <v>239</v>
      </c>
      <c r="Q1391" s="232">
        <v>0</v>
      </c>
      <c r="R1391" s="231" t="s">
        <v>239</v>
      </c>
      <c r="S1391" s="232">
        <v>0</v>
      </c>
      <c r="T1391" s="231" t="s">
        <v>239</v>
      </c>
      <c r="U1391" s="232">
        <v>0</v>
      </c>
      <c r="V1391" s="231" t="s">
        <v>239</v>
      </c>
      <c r="W1391" s="232">
        <v>0</v>
      </c>
      <c r="X1391" s="231" t="s">
        <v>239</v>
      </c>
      <c r="Y1391" s="232">
        <v>0</v>
      </c>
      <c r="Z1391" s="231" t="s">
        <v>239</v>
      </c>
      <c r="AA1391" s="232">
        <v>0</v>
      </c>
      <c r="AB1391" s="231" t="s">
        <v>239</v>
      </c>
      <c r="AC1391" s="232">
        <v>0</v>
      </c>
      <c r="AD1391" s="231" t="s">
        <v>239</v>
      </c>
      <c r="AE1391" s="232">
        <v>0</v>
      </c>
      <c r="AF1391" s="231" t="s">
        <v>239</v>
      </c>
      <c r="AG1391" s="232">
        <v>0</v>
      </c>
      <c r="AH1391" s="231" t="s">
        <v>239</v>
      </c>
      <c r="AI1391" s="232">
        <v>0</v>
      </c>
      <c r="AJ1391" s="231" t="s">
        <v>239</v>
      </c>
      <c r="AK1391" s="232">
        <v>0</v>
      </c>
      <c r="AL1391" s="232" t="s">
        <v>239</v>
      </c>
      <c r="AM1391" s="232">
        <v>0</v>
      </c>
    </row>
    <row r="1392" spans="1:39" ht="15.75" outlineLevel="1">
      <c r="A1392" s="412"/>
      <c r="B1392" s="10">
        <v>129691</v>
      </c>
      <c r="C1392" s="218" t="s">
        <v>1489</v>
      </c>
      <c r="D1392" s="218" t="s">
        <v>1490</v>
      </c>
      <c r="E1392" s="23" t="s">
        <v>138</v>
      </c>
      <c r="F1392" s="17" t="s">
        <v>45</v>
      </c>
      <c r="G1392" s="11" t="s">
        <v>1432</v>
      </c>
      <c r="H1392" s="12">
        <v>5</v>
      </c>
      <c r="I1392" s="11" t="s">
        <v>1433</v>
      </c>
      <c r="J1392" s="193" t="s">
        <v>1451</v>
      </c>
      <c r="K1392" s="17" t="s">
        <v>233</v>
      </c>
      <c r="L1392" s="17" t="s">
        <v>233</v>
      </c>
      <c r="M1392" s="231">
        <v>0</v>
      </c>
      <c r="N1392" s="232">
        <v>0</v>
      </c>
      <c r="O1392" s="132">
        <v>0</v>
      </c>
      <c r="P1392" s="231" t="s">
        <v>239</v>
      </c>
      <c r="Q1392" s="232">
        <v>0</v>
      </c>
      <c r="R1392" s="231" t="s">
        <v>239</v>
      </c>
      <c r="S1392" s="232">
        <v>0</v>
      </c>
      <c r="T1392" s="231" t="s">
        <v>239</v>
      </c>
      <c r="U1392" s="232">
        <v>0</v>
      </c>
      <c r="V1392" s="231" t="s">
        <v>239</v>
      </c>
      <c r="W1392" s="232">
        <v>0</v>
      </c>
      <c r="X1392" s="231" t="s">
        <v>239</v>
      </c>
      <c r="Y1392" s="232">
        <v>0</v>
      </c>
      <c r="Z1392" s="231" t="s">
        <v>239</v>
      </c>
      <c r="AA1392" s="232">
        <v>0</v>
      </c>
      <c r="AB1392" s="231" t="s">
        <v>239</v>
      </c>
      <c r="AC1392" s="232">
        <v>0</v>
      </c>
      <c r="AD1392" s="231" t="s">
        <v>239</v>
      </c>
      <c r="AE1392" s="232">
        <v>0</v>
      </c>
      <c r="AF1392" s="231" t="s">
        <v>239</v>
      </c>
      <c r="AG1392" s="232">
        <v>0</v>
      </c>
      <c r="AH1392" s="231" t="s">
        <v>239</v>
      </c>
      <c r="AI1392" s="232">
        <v>0</v>
      </c>
      <c r="AJ1392" s="231" t="s">
        <v>239</v>
      </c>
      <c r="AK1392" s="232">
        <v>0</v>
      </c>
      <c r="AL1392" s="232" t="s">
        <v>239</v>
      </c>
      <c r="AM1392" s="232">
        <v>0</v>
      </c>
    </row>
    <row r="1393" spans="1:39" ht="15.75" outlineLevel="1">
      <c r="A1393" s="411">
        <v>692</v>
      </c>
      <c r="B1393" s="10">
        <v>129692</v>
      </c>
      <c r="C1393" s="218" t="s">
        <v>1489</v>
      </c>
      <c r="D1393" s="218" t="s">
        <v>1490</v>
      </c>
      <c r="E1393" s="23" t="s">
        <v>44</v>
      </c>
      <c r="F1393" s="17" t="s">
        <v>45</v>
      </c>
      <c r="G1393" s="11" t="s">
        <v>1432</v>
      </c>
      <c r="H1393" s="12">
        <v>4</v>
      </c>
      <c r="I1393" s="11" t="s">
        <v>1433</v>
      </c>
      <c r="J1393" s="193" t="s">
        <v>208</v>
      </c>
      <c r="K1393" s="17" t="s">
        <v>233</v>
      </c>
      <c r="L1393" s="17" t="s">
        <v>233</v>
      </c>
      <c r="M1393" s="231">
        <v>28</v>
      </c>
      <c r="N1393" s="231">
        <v>28</v>
      </c>
      <c r="O1393" s="231">
        <v>28</v>
      </c>
      <c r="P1393" s="231" t="s">
        <v>239</v>
      </c>
      <c r="Q1393" s="231">
        <v>28</v>
      </c>
      <c r="R1393" s="231" t="s">
        <v>239</v>
      </c>
      <c r="S1393" s="231">
        <v>28</v>
      </c>
      <c r="T1393" s="231" t="s">
        <v>239</v>
      </c>
      <c r="U1393" s="231">
        <v>28</v>
      </c>
      <c r="V1393" s="230" t="s">
        <v>239</v>
      </c>
      <c r="W1393" s="231">
        <v>28</v>
      </c>
      <c r="X1393" s="231" t="s">
        <v>239</v>
      </c>
      <c r="Y1393" s="231">
        <v>28</v>
      </c>
      <c r="Z1393" s="231" t="s">
        <v>239</v>
      </c>
      <c r="AA1393" s="231">
        <v>28</v>
      </c>
      <c r="AB1393" s="231" t="s">
        <v>239</v>
      </c>
      <c r="AC1393" s="231">
        <v>28</v>
      </c>
      <c r="AD1393" s="231" t="s">
        <v>239</v>
      </c>
      <c r="AE1393" s="231">
        <v>28</v>
      </c>
      <c r="AF1393" s="231" t="s">
        <v>239</v>
      </c>
      <c r="AG1393" s="231">
        <v>28</v>
      </c>
      <c r="AH1393" s="231" t="s">
        <v>239</v>
      </c>
      <c r="AI1393" s="231">
        <v>28</v>
      </c>
      <c r="AJ1393" s="231" t="s">
        <v>239</v>
      </c>
      <c r="AK1393" s="231">
        <v>28</v>
      </c>
      <c r="AL1393" s="232" t="s">
        <v>239</v>
      </c>
      <c r="AM1393" s="232">
        <v>0</v>
      </c>
    </row>
    <row r="1394" spans="1:39" ht="15.75" outlineLevel="1">
      <c r="A1394" s="412"/>
      <c r="B1394" s="10">
        <v>129692</v>
      </c>
      <c r="C1394" s="218" t="s">
        <v>1489</v>
      </c>
      <c r="D1394" s="218" t="s">
        <v>1490</v>
      </c>
      <c r="E1394" s="23" t="s">
        <v>138</v>
      </c>
      <c r="F1394" s="17" t="s">
        <v>45</v>
      </c>
      <c r="G1394" s="11" t="s">
        <v>1432</v>
      </c>
      <c r="H1394" s="12">
        <v>18</v>
      </c>
      <c r="I1394" s="11" t="s">
        <v>1433</v>
      </c>
      <c r="J1394" s="193" t="s">
        <v>1452</v>
      </c>
      <c r="K1394" s="17" t="s">
        <v>233</v>
      </c>
      <c r="L1394" s="17" t="s">
        <v>233</v>
      </c>
      <c r="M1394" s="231">
        <v>6396</v>
      </c>
      <c r="N1394" s="232">
        <v>6318.3525599999994</v>
      </c>
      <c r="O1394" s="132">
        <v>139</v>
      </c>
      <c r="P1394" s="231" t="s">
        <v>239</v>
      </c>
      <c r="Q1394" s="232">
        <v>139</v>
      </c>
      <c r="R1394" s="231" t="s">
        <v>239</v>
      </c>
      <c r="S1394" s="232">
        <v>130</v>
      </c>
      <c r="T1394" s="231" t="s">
        <v>239</v>
      </c>
      <c r="U1394" s="232">
        <v>154</v>
      </c>
      <c r="V1394" s="231" t="s">
        <v>239</v>
      </c>
      <c r="W1394" s="232">
        <v>218</v>
      </c>
      <c r="X1394" s="231" t="s">
        <v>239</v>
      </c>
      <c r="Y1394" s="232">
        <v>41</v>
      </c>
      <c r="Z1394" s="231" t="s">
        <v>239</v>
      </c>
      <c r="AA1394" s="232">
        <v>82</v>
      </c>
      <c r="AB1394" s="231" t="s">
        <v>239</v>
      </c>
      <c r="AC1394" s="232">
        <v>285</v>
      </c>
      <c r="AD1394" s="231" t="s">
        <v>239</v>
      </c>
      <c r="AE1394" s="232">
        <v>5</v>
      </c>
      <c r="AF1394" s="231" t="s">
        <v>239</v>
      </c>
      <c r="AG1394" s="232">
        <v>210</v>
      </c>
      <c r="AH1394" s="231" t="s">
        <v>239</v>
      </c>
      <c r="AI1394" s="232">
        <v>153</v>
      </c>
      <c r="AJ1394" s="231" t="s">
        <v>239</v>
      </c>
      <c r="AK1394" s="232">
        <v>187</v>
      </c>
      <c r="AL1394" s="232" t="s">
        <v>239</v>
      </c>
      <c r="AM1394" s="232">
        <v>1743</v>
      </c>
    </row>
    <row r="1395" spans="1:39" ht="15.75" outlineLevel="1">
      <c r="A1395" s="411">
        <v>693</v>
      </c>
      <c r="B1395" s="10">
        <v>129693</v>
      </c>
      <c r="C1395" s="218" t="s">
        <v>1489</v>
      </c>
      <c r="D1395" s="218" t="s">
        <v>1490</v>
      </c>
      <c r="E1395" s="23" t="s">
        <v>44</v>
      </c>
      <c r="F1395" s="17" t="s">
        <v>45</v>
      </c>
      <c r="G1395" s="11" t="s">
        <v>1432</v>
      </c>
      <c r="H1395" s="12">
        <v>17</v>
      </c>
      <c r="I1395" s="11" t="s">
        <v>1433</v>
      </c>
      <c r="J1395" s="193" t="s">
        <v>216</v>
      </c>
      <c r="K1395" s="17" t="s">
        <v>233</v>
      </c>
      <c r="L1395" s="17" t="s">
        <v>233</v>
      </c>
      <c r="M1395" s="231">
        <v>32</v>
      </c>
      <c r="N1395" s="231">
        <v>32</v>
      </c>
      <c r="O1395" s="231">
        <v>32</v>
      </c>
      <c r="P1395" s="231" t="s">
        <v>239</v>
      </c>
      <c r="Q1395" s="231">
        <v>32</v>
      </c>
      <c r="R1395" s="231" t="s">
        <v>239</v>
      </c>
      <c r="S1395" s="231">
        <v>32</v>
      </c>
      <c r="T1395" s="231" t="s">
        <v>239</v>
      </c>
      <c r="U1395" s="231">
        <v>32</v>
      </c>
      <c r="V1395" s="231" t="s">
        <v>239</v>
      </c>
      <c r="W1395" s="231">
        <v>32</v>
      </c>
      <c r="X1395" s="231" t="s">
        <v>239</v>
      </c>
      <c r="Y1395" s="231">
        <v>32</v>
      </c>
      <c r="Z1395" s="231" t="s">
        <v>239</v>
      </c>
      <c r="AA1395" s="231">
        <v>32</v>
      </c>
      <c r="AB1395" s="231" t="s">
        <v>239</v>
      </c>
      <c r="AC1395" s="231">
        <v>32</v>
      </c>
      <c r="AD1395" s="231" t="s">
        <v>239</v>
      </c>
      <c r="AE1395" s="231">
        <v>32</v>
      </c>
      <c r="AF1395" s="231" t="s">
        <v>239</v>
      </c>
      <c r="AG1395" s="231">
        <v>32</v>
      </c>
      <c r="AH1395" s="231" t="s">
        <v>239</v>
      </c>
      <c r="AI1395" s="231">
        <v>32</v>
      </c>
      <c r="AJ1395" s="231" t="s">
        <v>239</v>
      </c>
      <c r="AK1395" s="231">
        <v>32</v>
      </c>
      <c r="AL1395" s="232" t="s">
        <v>239</v>
      </c>
      <c r="AM1395" s="232">
        <v>0</v>
      </c>
    </row>
    <row r="1396" spans="1:39" ht="15.75" outlineLevel="1">
      <c r="A1396" s="412"/>
      <c r="B1396" s="10">
        <v>129693</v>
      </c>
      <c r="C1396" s="218" t="s">
        <v>1489</v>
      </c>
      <c r="D1396" s="218" t="s">
        <v>1490</v>
      </c>
      <c r="E1396" s="23" t="s">
        <v>44</v>
      </c>
      <c r="F1396" s="17" t="s">
        <v>45</v>
      </c>
      <c r="G1396" s="11" t="s">
        <v>1432</v>
      </c>
      <c r="H1396" s="12">
        <v>28</v>
      </c>
      <c r="I1396" s="11" t="s">
        <v>1433</v>
      </c>
      <c r="J1396" s="193" t="s">
        <v>1453</v>
      </c>
      <c r="K1396" s="17" t="s">
        <v>233</v>
      </c>
      <c r="L1396" s="17" t="s">
        <v>233</v>
      </c>
      <c r="M1396" s="231">
        <v>5063</v>
      </c>
      <c r="N1396" s="232">
        <v>5001.5351799999999</v>
      </c>
      <c r="O1396" s="132">
        <v>1314</v>
      </c>
      <c r="P1396" s="231" t="s">
        <v>239</v>
      </c>
      <c r="Q1396" s="232">
        <v>1314</v>
      </c>
      <c r="R1396" s="231" t="s">
        <v>239</v>
      </c>
      <c r="S1396" s="232">
        <v>1084</v>
      </c>
      <c r="T1396" s="231" t="s">
        <v>239</v>
      </c>
      <c r="U1396" s="232">
        <v>900</v>
      </c>
      <c r="V1396" s="230" t="s">
        <v>239</v>
      </c>
      <c r="W1396" s="232">
        <v>668</v>
      </c>
      <c r="X1396" s="231" t="s">
        <v>239</v>
      </c>
      <c r="Y1396" s="232">
        <v>623</v>
      </c>
      <c r="Z1396" s="231" t="s">
        <v>239</v>
      </c>
      <c r="AA1396" s="232">
        <v>404</v>
      </c>
      <c r="AB1396" s="231" t="s">
        <v>239</v>
      </c>
      <c r="AC1396" s="232">
        <v>799</v>
      </c>
      <c r="AD1396" s="231" t="s">
        <v>239</v>
      </c>
      <c r="AE1396" s="232">
        <v>579</v>
      </c>
      <c r="AF1396" s="231" t="s">
        <v>239</v>
      </c>
      <c r="AG1396" s="232">
        <v>1421</v>
      </c>
      <c r="AH1396" s="231" t="s">
        <v>239</v>
      </c>
      <c r="AI1396" s="232">
        <v>1145</v>
      </c>
      <c r="AJ1396" s="231" t="s">
        <v>239</v>
      </c>
      <c r="AK1396" s="232">
        <v>1220</v>
      </c>
      <c r="AL1396" s="232" t="s">
        <v>239</v>
      </c>
      <c r="AM1396" s="232">
        <v>11471</v>
      </c>
    </row>
    <row r="1397" spans="1:39" ht="15.75" outlineLevel="1">
      <c r="A1397" s="411">
        <v>694</v>
      </c>
      <c r="B1397" s="10">
        <v>129694</v>
      </c>
      <c r="C1397" s="218" t="s">
        <v>1489</v>
      </c>
      <c r="D1397" s="218" t="s">
        <v>1490</v>
      </c>
      <c r="E1397" s="23" t="s">
        <v>138</v>
      </c>
      <c r="F1397" s="17" t="s">
        <v>45</v>
      </c>
      <c r="G1397" s="11" t="s">
        <v>1432</v>
      </c>
      <c r="H1397" s="12">
        <v>33</v>
      </c>
      <c r="I1397" s="11" t="s">
        <v>1433</v>
      </c>
      <c r="J1397" s="193" t="s">
        <v>1454</v>
      </c>
      <c r="K1397" s="17" t="s">
        <v>233</v>
      </c>
      <c r="L1397" s="17" t="s">
        <v>233</v>
      </c>
      <c r="M1397" s="231">
        <v>28</v>
      </c>
      <c r="N1397" s="231">
        <v>28</v>
      </c>
      <c r="O1397" s="231">
        <v>28</v>
      </c>
      <c r="P1397" s="231" t="s">
        <v>239</v>
      </c>
      <c r="Q1397" s="231">
        <v>28</v>
      </c>
      <c r="R1397" s="231" t="s">
        <v>239</v>
      </c>
      <c r="S1397" s="231">
        <v>28</v>
      </c>
      <c r="T1397" s="231" t="s">
        <v>239</v>
      </c>
      <c r="U1397" s="231">
        <v>28</v>
      </c>
      <c r="V1397" s="231" t="s">
        <v>239</v>
      </c>
      <c r="W1397" s="231">
        <v>28</v>
      </c>
      <c r="X1397" s="231" t="s">
        <v>239</v>
      </c>
      <c r="Y1397" s="231">
        <v>28</v>
      </c>
      <c r="Z1397" s="231" t="s">
        <v>239</v>
      </c>
      <c r="AA1397" s="231">
        <v>28</v>
      </c>
      <c r="AB1397" s="231" t="s">
        <v>239</v>
      </c>
      <c r="AC1397" s="231">
        <v>28</v>
      </c>
      <c r="AD1397" s="231" t="s">
        <v>239</v>
      </c>
      <c r="AE1397" s="231">
        <v>28</v>
      </c>
      <c r="AF1397" s="231" t="s">
        <v>239</v>
      </c>
      <c r="AG1397" s="231">
        <v>28</v>
      </c>
      <c r="AH1397" s="231" t="s">
        <v>239</v>
      </c>
      <c r="AI1397" s="231">
        <v>28</v>
      </c>
      <c r="AJ1397" s="231" t="s">
        <v>239</v>
      </c>
      <c r="AK1397" s="231">
        <v>28</v>
      </c>
      <c r="AL1397" s="232" t="s">
        <v>239</v>
      </c>
      <c r="AM1397" s="232">
        <v>0</v>
      </c>
    </row>
    <row r="1398" spans="1:39" ht="15.75" outlineLevel="1">
      <c r="A1398" s="412"/>
      <c r="B1398" s="10">
        <v>129694</v>
      </c>
      <c r="C1398" s="218" t="s">
        <v>1489</v>
      </c>
      <c r="D1398" s="218" t="s">
        <v>1490</v>
      </c>
      <c r="E1398" s="23" t="s">
        <v>44</v>
      </c>
      <c r="F1398" s="17" t="s">
        <v>45</v>
      </c>
      <c r="G1398" s="11" t="s">
        <v>1432</v>
      </c>
      <c r="H1398" s="12">
        <v>25</v>
      </c>
      <c r="I1398" s="11" t="s">
        <v>1433</v>
      </c>
      <c r="J1398" s="191" t="s">
        <v>216</v>
      </c>
      <c r="K1398" s="17" t="s">
        <v>233</v>
      </c>
      <c r="L1398" s="17" t="s">
        <v>233</v>
      </c>
      <c r="M1398" s="231">
        <v>0</v>
      </c>
      <c r="N1398" s="232">
        <v>0</v>
      </c>
      <c r="O1398" s="132">
        <v>400</v>
      </c>
      <c r="P1398" s="231" t="s">
        <v>239</v>
      </c>
      <c r="Q1398" s="232">
        <v>400</v>
      </c>
      <c r="R1398" s="231" t="s">
        <v>239</v>
      </c>
      <c r="S1398" s="232">
        <v>372</v>
      </c>
      <c r="T1398" s="231" t="s">
        <v>239</v>
      </c>
      <c r="U1398" s="232">
        <v>441</v>
      </c>
      <c r="V1398" s="231" t="s">
        <v>239</v>
      </c>
      <c r="W1398" s="232">
        <v>624</v>
      </c>
      <c r="X1398" s="231" t="s">
        <v>239</v>
      </c>
      <c r="Y1398" s="232">
        <v>117</v>
      </c>
      <c r="Z1398" s="231" t="s">
        <v>239</v>
      </c>
      <c r="AA1398" s="232">
        <v>233</v>
      </c>
      <c r="AB1398" s="231" t="s">
        <v>239</v>
      </c>
      <c r="AC1398" s="232">
        <v>815</v>
      </c>
      <c r="AD1398" s="231" t="s">
        <v>239</v>
      </c>
      <c r="AE1398" s="232">
        <v>13</v>
      </c>
      <c r="AF1398" s="231" t="s">
        <v>239</v>
      </c>
      <c r="AG1398" s="232">
        <v>601</v>
      </c>
      <c r="AH1398" s="231" t="s">
        <v>239</v>
      </c>
      <c r="AI1398" s="232">
        <v>437</v>
      </c>
      <c r="AJ1398" s="231" t="s">
        <v>239</v>
      </c>
      <c r="AK1398" s="232">
        <v>535</v>
      </c>
      <c r="AL1398" s="232" t="s">
        <v>239</v>
      </c>
      <c r="AM1398" s="232">
        <v>4988</v>
      </c>
    </row>
    <row r="1399" spans="1:39" ht="15.75" outlineLevel="1">
      <c r="A1399" s="411">
        <v>695</v>
      </c>
      <c r="B1399" s="10">
        <v>129695</v>
      </c>
      <c r="C1399" s="218" t="s">
        <v>1489</v>
      </c>
      <c r="D1399" s="218" t="s">
        <v>1490</v>
      </c>
      <c r="E1399" s="23" t="s">
        <v>138</v>
      </c>
      <c r="F1399" s="17" t="s">
        <v>45</v>
      </c>
      <c r="G1399" s="11" t="s">
        <v>1432</v>
      </c>
      <c r="H1399" s="12">
        <v>9</v>
      </c>
      <c r="I1399" s="11" t="s">
        <v>1433</v>
      </c>
      <c r="J1399" s="192" t="s">
        <v>1434</v>
      </c>
      <c r="K1399" s="17" t="s">
        <v>233</v>
      </c>
      <c r="L1399" s="17" t="s">
        <v>233</v>
      </c>
      <c r="M1399" s="231">
        <v>30</v>
      </c>
      <c r="N1399" s="231">
        <v>30</v>
      </c>
      <c r="O1399" s="231">
        <v>30</v>
      </c>
      <c r="P1399" s="231" t="s">
        <v>239</v>
      </c>
      <c r="Q1399" s="231">
        <v>30</v>
      </c>
      <c r="R1399" s="231" t="s">
        <v>239</v>
      </c>
      <c r="S1399" s="231">
        <v>30</v>
      </c>
      <c r="T1399" s="231" t="s">
        <v>239</v>
      </c>
      <c r="U1399" s="231">
        <v>30</v>
      </c>
      <c r="V1399" s="230" t="s">
        <v>239</v>
      </c>
      <c r="W1399" s="231">
        <v>30</v>
      </c>
      <c r="X1399" s="231" t="s">
        <v>239</v>
      </c>
      <c r="Y1399" s="231">
        <v>30</v>
      </c>
      <c r="Z1399" s="231" t="s">
        <v>239</v>
      </c>
      <c r="AA1399" s="231">
        <v>30</v>
      </c>
      <c r="AB1399" s="231" t="s">
        <v>239</v>
      </c>
      <c r="AC1399" s="231">
        <v>30</v>
      </c>
      <c r="AD1399" s="231" t="s">
        <v>239</v>
      </c>
      <c r="AE1399" s="231">
        <v>30</v>
      </c>
      <c r="AF1399" s="231" t="s">
        <v>239</v>
      </c>
      <c r="AG1399" s="231">
        <v>30</v>
      </c>
      <c r="AH1399" s="231" t="s">
        <v>239</v>
      </c>
      <c r="AI1399" s="231">
        <v>30</v>
      </c>
      <c r="AJ1399" s="231" t="s">
        <v>239</v>
      </c>
      <c r="AK1399" s="231">
        <v>30</v>
      </c>
      <c r="AL1399" s="232" t="s">
        <v>239</v>
      </c>
      <c r="AM1399" s="232">
        <v>0</v>
      </c>
    </row>
    <row r="1400" spans="1:39" ht="15.75" outlineLevel="1">
      <c r="A1400" s="412"/>
      <c r="B1400" s="10">
        <v>129695</v>
      </c>
      <c r="C1400" s="218" t="s">
        <v>1489</v>
      </c>
      <c r="D1400" s="218" t="s">
        <v>1490</v>
      </c>
      <c r="E1400" s="23" t="s">
        <v>44</v>
      </c>
      <c r="F1400" s="17" t="s">
        <v>45</v>
      </c>
      <c r="G1400" s="11" t="s">
        <v>1432</v>
      </c>
      <c r="H1400" s="12">
        <v>18</v>
      </c>
      <c r="I1400" s="11" t="s">
        <v>1433</v>
      </c>
      <c r="J1400" s="192" t="s">
        <v>1480</v>
      </c>
      <c r="K1400" s="17" t="s">
        <v>233</v>
      </c>
      <c r="L1400" s="17" t="s">
        <v>233</v>
      </c>
      <c r="M1400" s="231">
        <v>10682</v>
      </c>
      <c r="N1400" s="232">
        <v>10552.320519999999</v>
      </c>
      <c r="O1400" s="132">
        <v>1255</v>
      </c>
      <c r="P1400" s="231" t="s">
        <v>239</v>
      </c>
      <c r="Q1400" s="232">
        <v>1255</v>
      </c>
      <c r="R1400" s="231" t="s">
        <v>239</v>
      </c>
      <c r="S1400" s="232">
        <v>1213</v>
      </c>
      <c r="T1400" s="231" t="s">
        <v>239</v>
      </c>
      <c r="U1400" s="232">
        <v>1142</v>
      </c>
      <c r="V1400" s="231" t="s">
        <v>239</v>
      </c>
      <c r="W1400" s="232">
        <v>1299</v>
      </c>
      <c r="X1400" s="231" t="s">
        <v>239</v>
      </c>
      <c r="Y1400" s="232">
        <v>1100</v>
      </c>
      <c r="Z1400" s="231" t="s">
        <v>239</v>
      </c>
      <c r="AA1400" s="232">
        <v>991</v>
      </c>
      <c r="AB1400" s="231" t="s">
        <v>239</v>
      </c>
      <c r="AC1400" s="232">
        <v>1145</v>
      </c>
      <c r="AD1400" s="231" t="s">
        <v>239</v>
      </c>
      <c r="AE1400" s="232">
        <v>1089</v>
      </c>
      <c r="AF1400" s="231" t="s">
        <v>239</v>
      </c>
      <c r="AG1400" s="232">
        <v>1139</v>
      </c>
      <c r="AH1400" s="231" t="s">
        <v>239</v>
      </c>
      <c r="AI1400" s="232">
        <v>1299</v>
      </c>
      <c r="AJ1400" s="231" t="s">
        <v>239</v>
      </c>
      <c r="AK1400" s="232">
        <v>1191</v>
      </c>
      <c r="AL1400" s="232" t="s">
        <v>239</v>
      </c>
      <c r="AM1400" s="232">
        <v>14118</v>
      </c>
    </row>
    <row r="1401" spans="1:39" ht="15.75" outlineLevel="1">
      <c r="A1401" s="411">
        <v>696</v>
      </c>
      <c r="B1401" s="10">
        <v>129696</v>
      </c>
      <c r="C1401" s="218" t="s">
        <v>1489</v>
      </c>
      <c r="D1401" s="218" t="s">
        <v>1490</v>
      </c>
      <c r="E1401" s="23" t="s">
        <v>44</v>
      </c>
      <c r="F1401" s="17" t="s">
        <v>45</v>
      </c>
      <c r="G1401" s="11" t="s">
        <v>1432</v>
      </c>
      <c r="H1401" s="12">
        <v>17</v>
      </c>
      <c r="I1401" s="11" t="s">
        <v>1433</v>
      </c>
      <c r="J1401" s="192" t="s">
        <v>1452</v>
      </c>
      <c r="K1401" s="17" t="s">
        <v>233</v>
      </c>
      <c r="L1401" s="17" t="s">
        <v>233</v>
      </c>
      <c r="M1401" s="231">
        <v>22.5</v>
      </c>
      <c r="N1401" s="231">
        <v>22.5</v>
      </c>
      <c r="O1401" s="231">
        <v>22.5</v>
      </c>
      <c r="P1401" s="231" t="s">
        <v>239</v>
      </c>
      <c r="Q1401" s="231">
        <v>22.5</v>
      </c>
      <c r="R1401" s="231" t="s">
        <v>239</v>
      </c>
      <c r="S1401" s="231">
        <v>22.5</v>
      </c>
      <c r="T1401" s="231" t="s">
        <v>239</v>
      </c>
      <c r="U1401" s="231">
        <v>22.5</v>
      </c>
      <c r="V1401" s="231" t="s">
        <v>239</v>
      </c>
      <c r="W1401" s="231">
        <v>22.5</v>
      </c>
      <c r="X1401" s="231" t="s">
        <v>239</v>
      </c>
      <c r="Y1401" s="231">
        <v>22.5</v>
      </c>
      <c r="Z1401" s="231" t="s">
        <v>239</v>
      </c>
      <c r="AA1401" s="231">
        <v>22.5</v>
      </c>
      <c r="AB1401" s="231" t="s">
        <v>239</v>
      </c>
      <c r="AC1401" s="231">
        <v>22.5</v>
      </c>
      <c r="AD1401" s="231" t="s">
        <v>239</v>
      </c>
      <c r="AE1401" s="231">
        <v>22.5</v>
      </c>
      <c r="AF1401" s="231" t="s">
        <v>239</v>
      </c>
      <c r="AG1401" s="231">
        <v>22.5</v>
      </c>
      <c r="AH1401" s="231" t="s">
        <v>239</v>
      </c>
      <c r="AI1401" s="231">
        <v>22.5</v>
      </c>
      <c r="AJ1401" s="231" t="s">
        <v>239</v>
      </c>
      <c r="AK1401" s="231">
        <v>22.5</v>
      </c>
      <c r="AL1401" s="232" t="s">
        <v>239</v>
      </c>
      <c r="AM1401" s="232">
        <v>0</v>
      </c>
    </row>
    <row r="1402" spans="1:39" ht="15.75" outlineLevel="1">
      <c r="A1402" s="412"/>
      <c r="B1402" s="10">
        <v>129696</v>
      </c>
      <c r="C1402" s="218" t="s">
        <v>1489</v>
      </c>
      <c r="D1402" s="218" t="s">
        <v>1490</v>
      </c>
      <c r="E1402" s="23" t="s">
        <v>138</v>
      </c>
      <c r="F1402" s="17" t="s">
        <v>45</v>
      </c>
      <c r="G1402" s="11" t="s">
        <v>1432</v>
      </c>
      <c r="H1402" s="12">
        <v>25</v>
      </c>
      <c r="I1402" s="11" t="s">
        <v>1433</v>
      </c>
      <c r="J1402" s="374" t="s">
        <v>207</v>
      </c>
      <c r="K1402" s="17" t="s">
        <v>233</v>
      </c>
      <c r="L1402" s="17" t="s">
        <v>233</v>
      </c>
      <c r="M1402" s="231">
        <v>10197</v>
      </c>
      <c r="N1402" s="232">
        <v>10073.208419999999</v>
      </c>
      <c r="O1402" s="132">
        <v>833</v>
      </c>
      <c r="P1402" s="231" t="s">
        <v>239</v>
      </c>
      <c r="Q1402" s="232">
        <v>833</v>
      </c>
      <c r="R1402" s="231" t="s">
        <v>239</v>
      </c>
      <c r="S1402" s="232">
        <v>728</v>
      </c>
      <c r="T1402" s="231" t="s">
        <v>239</v>
      </c>
      <c r="U1402" s="232">
        <v>760</v>
      </c>
      <c r="V1402" s="230" t="s">
        <v>239</v>
      </c>
      <c r="W1402" s="232">
        <v>508</v>
      </c>
      <c r="X1402" s="231" t="s">
        <v>239</v>
      </c>
      <c r="Y1402" s="232">
        <v>580</v>
      </c>
      <c r="Z1402" s="231" t="s">
        <v>239</v>
      </c>
      <c r="AA1402" s="232">
        <v>661</v>
      </c>
      <c r="AB1402" s="231" t="s">
        <v>239</v>
      </c>
      <c r="AC1402" s="232">
        <v>798</v>
      </c>
      <c r="AD1402" s="231" t="s">
        <v>239</v>
      </c>
      <c r="AE1402" s="232">
        <v>852</v>
      </c>
      <c r="AF1402" s="231" t="s">
        <v>239</v>
      </c>
      <c r="AG1402" s="232">
        <v>971</v>
      </c>
      <c r="AH1402" s="231" t="s">
        <v>239</v>
      </c>
      <c r="AI1402" s="232">
        <v>586</v>
      </c>
      <c r="AJ1402" s="231" t="s">
        <v>239</v>
      </c>
      <c r="AK1402" s="232">
        <v>910</v>
      </c>
      <c r="AL1402" s="232" t="s">
        <v>239</v>
      </c>
      <c r="AM1402" s="232">
        <v>9020</v>
      </c>
    </row>
    <row r="1403" spans="1:39" ht="15.75" outlineLevel="1">
      <c r="A1403" s="411">
        <v>697</v>
      </c>
      <c r="B1403" s="10">
        <v>129697</v>
      </c>
      <c r="C1403" s="218" t="s">
        <v>1489</v>
      </c>
      <c r="D1403" s="218" t="s">
        <v>1490</v>
      </c>
      <c r="E1403" s="23" t="s">
        <v>44</v>
      </c>
      <c r="F1403" s="17" t="s">
        <v>45</v>
      </c>
      <c r="G1403" s="11" t="s">
        <v>1432</v>
      </c>
      <c r="H1403" s="12">
        <v>13</v>
      </c>
      <c r="I1403" s="11" t="s">
        <v>1433</v>
      </c>
      <c r="J1403" s="375"/>
      <c r="K1403" s="17" t="s">
        <v>233</v>
      </c>
      <c r="L1403" s="17" t="s">
        <v>233</v>
      </c>
      <c r="M1403" s="231">
        <v>10</v>
      </c>
      <c r="N1403" s="231">
        <v>10</v>
      </c>
      <c r="O1403" s="231">
        <v>10</v>
      </c>
      <c r="P1403" s="231" t="s">
        <v>239</v>
      </c>
      <c r="Q1403" s="231">
        <v>10</v>
      </c>
      <c r="R1403" s="231" t="s">
        <v>239</v>
      </c>
      <c r="S1403" s="231">
        <v>10</v>
      </c>
      <c r="T1403" s="231" t="s">
        <v>239</v>
      </c>
      <c r="U1403" s="231">
        <v>10</v>
      </c>
      <c r="V1403" s="231" t="s">
        <v>239</v>
      </c>
      <c r="W1403" s="231">
        <v>10</v>
      </c>
      <c r="X1403" s="231" t="s">
        <v>239</v>
      </c>
      <c r="Y1403" s="231">
        <v>10</v>
      </c>
      <c r="Z1403" s="231" t="s">
        <v>239</v>
      </c>
      <c r="AA1403" s="231">
        <v>10</v>
      </c>
      <c r="AB1403" s="231" t="s">
        <v>239</v>
      </c>
      <c r="AC1403" s="231">
        <v>10</v>
      </c>
      <c r="AD1403" s="231" t="s">
        <v>239</v>
      </c>
      <c r="AE1403" s="231">
        <v>10</v>
      </c>
      <c r="AF1403" s="231" t="s">
        <v>239</v>
      </c>
      <c r="AG1403" s="231">
        <v>10</v>
      </c>
      <c r="AH1403" s="231" t="s">
        <v>239</v>
      </c>
      <c r="AI1403" s="231">
        <v>10</v>
      </c>
      <c r="AJ1403" s="231" t="s">
        <v>239</v>
      </c>
      <c r="AK1403" s="231">
        <v>10</v>
      </c>
      <c r="AL1403" s="232" t="s">
        <v>239</v>
      </c>
      <c r="AM1403" s="232">
        <v>0</v>
      </c>
    </row>
    <row r="1404" spans="1:39" ht="15.75" outlineLevel="1">
      <c r="A1404" s="412"/>
      <c r="B1404" s="10">
        <v>129697</v>
      </c>
      <c r="C1404" s="218" t="s">
        <v>1489</v>
      </c>
      <c r="D1404" s="218" t="s">
        <v>1490</v>
      </c>
      <c r="E1404" s="23" t="s">
        <v>138</v>
      </c>
      <c r="F1404" s="17" t="s">
        <v>45</v>
      </c>
      <c r="G1404" s="11" t="s">
        <v>1432</v>
      </c>
      <c r="H1404" s="12">
        <v>5</v>
      </c>
      <c r="I1404" s="11" t="s">
        <v>1433</v>
      </c>
      <c r="J1404" s="193" t="s">
        <v>1460</v>
      </c>
      <c r="K1404" s="17" t="s">
        <v>233</v>
      </c>
      <c r="L1404" s="17" t="s">
        <v>233</v>
      </c>
      <c r="M1404" s="231">
        <v>8662</v>
      </c>
      <c r="N1404" s="232">
        <v>8556.8433199999999</v>
      </c>
      <c r="O1404" s="132">
        <v>749</v>
      </c>
      <c r="P1404" s="231" t="s">
        <v>239</v>
      </c>
      <c r="Q1404" s="232">
        <v>749</v>
      </c>
      <c r="R1404" s="231" t="s">
        <v>239</v>
      </c>
      <c r="S1404" s="232">
        <v>714</v>
      </c>
      <c r="T1404" s="231" t="s">
        <v>239</v>
      </c>
      <c r="U1404" s="232">
        <v>758</v>
      </c>
      <c r="V1404" s="231" t="s">
        <v>239</v>
      </c>
      <c r="W1404" s="232">
        <v>695</v>
      </c>
      <c r="X1404" s="231" t="s">
        <v>239</v>
      </c>
      <c r="Y1404" s="232">
        <v>604</v>
      </c>
      <c r="Z1404" s="231" t="s">
        <v>239</v>
      </c>
      <c r="AA1404" s="232">
        <v>598</v>
      </c>
      <c r="AB1404" s="231" t="s">
        <v>239</v>
      </c>
      <c r="AC1404" s="232">
        <v>609</v>
      </c>
      <c r="AD1404" s="231" t="s">
        <v>239</v>
      </c>
      <c r="AE1404" s="232">
        <v>496</v>
      </c>
      <c r="AF1404" s="231" t="s">
        <v>239</v>
      </c>
      <c r="AG1404" s="232">
        <v>512</v>
      </c>
      <c r="AH1404" s="231" t="s">
        <v>239</v>
      </c>
      <c r="AI1404" s="232">
        <v>5648</v>
      </c>
      <c r="AJ1404" s="231" t="s">
        <v>239</v>
      </c>
      <c r="AK1404" s="232">
        <v>545</v>
      </c>
      <c r="AL1404" s="232" t="s">
        <v>239</v>
      </c>
      <c r="AM1404" s="232">
        <v>12677</v>
      </c>
    </row>
    <row r="1405" spans="1:39" ht="15.75" outlineLevel="1">
      <c r="A1405" s="411">
        <v>698</v>
      </c>
      <c r="B1405" s="10">
        <v>129698</v>
      </c>
      <c r="C1405" s="218" t="s">
        <v>1489</v>
      </c>
      <c r="D1405" s="218" t="s">
        <v>1490</v>
      </c>
      <c r="E1405" s="23" t="s">
        <v>44</v>
      </c>
      <c r="F1405" s="17" t="s">
        <v>45</v>
      </c>
      <c r="G1405" s="11" t="s">
        <v>1432</v>
      </c>
      <c r="H1405" s="12">
        <v>4</v>
      </c>
      <c r="I1405" s="11" t="s">
        <v>1433</v>
      </c>
      <c r="J1405" s="193" t="s">
        <v>1451</v>
      </c>
      <c r="K1405" s="17" t="s">
        <v>233</v>
      </c>
      <c r="L1405" s="17" t="s">
        <v>233</v>
      </c>
      <c r="M1405" s="231">
        <v>10</v>
      </c>
      <c r="N1405" s="231">
        <v>10</v>
      </c>
      <c r="O1405" s="231">
        <v>10</v>
      </c>
      <c r="P1405" s="231" t="s">
        <v>239</v>
      </c>
      <c r="Q1405" s="231">
        <v>10</v>
      </c>
      <c r="R1405" s="231" t="s">
        <v>239</v>
      </c>
      <c r="S1405" s="231">
        <v>10</v>
      </c>
      <c r="T1405" s="231" t="s">
        <v>239</v>
      </c>
      <c r="U1405" s="231">
        <v>10</v>
      </c>
      <c r="V1405" s="230" t="s">
        <v>239</v>
      </c>
      <c r="W1405" s="231">
        <v>10</v>
      </c>
      <c r="X1405" s="231" t="s">
        <v>239</v>
      </c>
      <c r="Y1405" s="231">
        <v>10</v>
      </c>
      <c r="Z1405" s="231" t="s">
        <v>239</v>
      </c>
      <c r="AA1405" s="231">
        <v>10</v>
      </c>
      <c r="AB1405" s="231" t="s">
        <v>239</v>
      </c>
      <c r="AC1405" s="231">
        <v>10</v>
      </c>
      <c r="AD1405" s="231" t="s">
        <v>239</v>
      </c>
      <c r="AE1405" s="231">
        <v>10</v>
      </c>
      <c r="AF1405" s="231" t="s">
        <v>239</v>
      </c>
      <c r="AG1405" s="231">
        <v>10</v>
      </c>
      <c r="AH1405" s="231" t="s">
        <v>239</v>
      </c>
      <c r="AI1405" s="231">
        <v>10</v>
      </c>
      <c r="AJ1405" s="231" t="s">
        <v>239</v>
      </c>
      <c r="AK1405" s="231">
        <v>10</v>
      </c>
      <c r="AL1405" s="232" t="s">
        <v>239</v>
      </c>
      <c r="AM1405" s="232">
        <v>0</v>
      </c>
    </row>
    <row r="1406" spans="1:39" ht="15.75" outlineLevel="1">
      <c r="A1406" s="412"/>
      <c r="B1406" s="10">
        <v>129698</v>
      </c>
      <c r="C1406" s="218" t="s">
        <v>1489</v>
      </c>
      <c r="D1406" s="218" t="s">
        <v>1490</v>
      </c>
      <c r="E1406" s="23" t="s">
        <v>44</v>
      </c>
      <c r="F1406" s="17" t="s">
        <v>45</v>
      </c>
      <c r="G1406" s="11" t="s">
        <v>1432</v>
      </c>
      <c r="H1406" s="12">
        <v>24</v>
      </c>
      <c r="I1406" s="11" t="s">
        <v>1433</v>
      </c>
      <c r="J1406" s="193" t="s">
        <v>208</v>
      </c>
      <c r="K1406" s="17" t="s">
        <v>233</v>
      </c>
      <c r="L1406" s="17" t="s">
        <v>233</v>
      </c>
      <c r="M1406" s="231">
        <v>0</v>
      </c>
      <c r="N1406" s="232">
        <v>0</v>
      </c>
      <c r="O1406" s="132">
        <v>0</v>
      </c>
      <c r="P1406" s="231" t="s">
        <v>239</v>
      </c>
      <c r="Q1406" s="232">
        <v>0</v>
      </c>
      <c r="R1406" s="231" t="s">
        <v>239</v>
      </c>
      <c r="S1406" s="232">
        <v>0</v>
      </c>
      <c r="T1406" s="231" t="s">
        <v>239</v>
      </c>
      <c r="U1406" s="232">
        <v>0</v>
      </c>
      <c r="V1406" s="231" t="s">
        <v>239</v>
      </c>
      <c r="W1406" s="232">
        <v>0</v>
      </c>
      <c r="X1406" s="231" t="s">
        <v>239</v>
      </c>
      <c r="Y1406" s="232">
        <v>0</v>
      </c>
      <c r="Z1406" s="231" t="s">
        <v>239</v>
      </c>
      <c r="AA1406" s="232">
        <v>0</v>
      </c>
      <c r="AB1406" s="231" t="s">
        <v>239</v>
      </c>
      <c r="AC1406" s="232">
        <v>0</v>
      </c>
      <c r="AD1406" s="231" t="s">
        <v>239</v>
      </c>
      <c r="AE1406" s="232">
        <v>0</v>
      </c>
      <c r="AF1406" s="231" t="s">
        <v>239</v>
      </c>
      <c r="AG1406" s="232">
        <v>0</v>
      </c>
      <c r="AH1406" s="231" t="s">
        <v>239</v>
      </c>
      <c r="AI1406" s="232">
        <v>0</v>
      </c>
      <c r="AJ1406" s="231" t="s">
        <v>239</v>
      </c>
      <c r="AK1406" s="232">
        <v>0</v>
      </c>
      <c r="AL1406" s="232" t="s">
        <v>239</v>
      </c>
      <c r="AM1406" s="232">
        <v>0</v>
      </c>
    </row>
    <row r="1407" spans="1:39" ht="15.75" outlineLevel="1">
      <c r="A1407" s="411">
        <v>699</v>
      </c>
      <c r="B1407" s="10">
        <v>129699</v>
      </c>
      <c r="C1407" s="218" t="s">
        <v>1489</v>
      </c>
      <c r="D1407" s="218" t="s">
        <v>1490</v>
      </c>
      <c r="E1407" s="23" t="s">
        <v>138</v>
      </c>
      <c r="F1407" s="17" t="s">
        <v>45</v>
      </c>
      <c r="G1407" s="11" t="s">
        <v>1432</v>
      </c>
      <c r="H1407" s="12">
        <v>10</v>
      </c>
      <c r="I1407" s="11" t="s">
        <v>1433</v>
      </c>
      <c r="J1407" s="193" t="s">
        <v>1452</v>
      </c>
      <c r="K1407" s="17" t="s">
        <v>233</v>
      </c>
      <c r="L1407" s="17" t="s">
        <v>233</v>
      </c>
      <c r="M1407" s="231">
        <v>60</v>
      </c>
      <c r="N1407" s="231">
        <v>60</v>
      </c>
      <c r="O1407" s="231">
        <v>60</v>
      </c>
      <c r="P1407" s="231" t="s">
        <v>239</v>
      </c>
      <c r="Q1407" s="231">
        <v>60</v>
      </c>
      <c r="R1407" s="231" t="s">
        <v>239</v>
      </c>
      <c r="S1407" s="231">
        <v>60</v>
      </c>
      <c r="T1407" s="231" t="s">
        <v>239</v>
      </c>
      <c r="U1407" s="231">
        <v>60</v>
      </c>
      <c r="V1407" s="231" t="s">
        <v>239</v>
      </c>
      <c r="W1407" s="231">
        <v>60</v>
      </c>
      <c r="X1407" s="231" t="s">
        <v>239</v>
      </c>
      <c r="Y1407" s="231">
        <v>60</v>
      </c>
      <c r="Z1407" s="231" t="s">
        <v>239</v>
      </c>
      <c r="AA1407" s="231">
        <v>60</v>
      </c>
      <c r="AB1407" s="231" t="s">
        <v>239</v>
      </c>
      <c r="AC1407" s="231">
        <v>60</v>
      </c>
      <c r="AD1407" s="231" t="s">
        <v>239</v>
      </c>
      <c r="AE1407" s="231">
        <v>60</v>
      </c>
      <c r="AF1407" s="231" t="s">
        <v>239</v>
      </c>
      <c r="AG1407" s="231">
        <v>60</v>
      </c>
      <c r="AH1407" s="231" t="s">
        <v>239</v>
      </c>
      <c r="AI1407" s="231">
        <v>60</v>
      </c>
      <c r="AJ1407" s="231" t="s">
        <v>239</v>
      </c>
      <c r="AK1407" s="231">
        <v>60</v>
      </c>
      <c r="AL1407" s="232" t="s">
        <v>239</v>
      </c>
      <c r="AM1407" s="232">
        <v>0</v>
      </c>
    </row>
    <row r="1408" spans="1:39" ht="15.75" outlineLevel="1">
      <c r="A1408" s="412"/>
      <c r="B1408" s="10">
        <v>129699</v>
      </c>
      <c r="C1408" s="218" t="s">
        <v>1489</v>
      </c>
      <c r="D1408" s="218" t="s">
        <v>1490</v>
      </c>
      <c r="E1408" s="23" t="s">
        <v>44</v>
      </c>
      <c r="F1408" s="17" t="s">
        <v>45</v>
      </c>
      <c r="G1408" s="11" t="s">
        <v>1432</v>
      </c>
      <c r="H1408" s="12">
        <v>17</v>
      </c>
      <c r="I1408" s="11" t="s">
        <v>1433</v>
      </c>
      <c r="J1408" s="193" t="s">
        <v>216</v>
      </c>
      <c r="K1408" s="17" t="s">
        <v>233</v>
      </c>
      <c r="L1408" s="17" t="s">
        <v>233</v>
      </c>
      <c r="M1408" s="231">
        <v>12419</v>
      </c>
      <c r="N1408" s="232">
        <v>12268.233339999999</v>
      </c>
      <c r="O1408" s="132">
        <v>1113</v>
      </c>
      <c r="P1408" s="231" t="s">
        <v>239</v>
      </c>
      <c r="Q1408" s="232">
        <v>1113</v>
      </c>
      <c r="R1408" s="231" t="s">
        <v>239</v>
      </c>
      <c r="S1408" s="232">
        <v>759</v>
      </c>
      <c r="T1408" s="231" t="s">
        <v>239</v>
      </c>
      <c r="U1408" s="232">
        <v>818</v>
      </c>
      <c r="V1408" s="230" t="s">
        <v>239</v>
      </c>
      <c r="W1408" s="232">
        <v>730</v>
      </c>
      <c r="X1408" s="231" t="s">
        <v>239</v>
      </c>
      <c r="Y1408" s="232">
        <v>628</v>
      </c>
      <c r="Z1408" s="231" t="s">
        <v>239</v>
      </c>
      <c r="AA1408" s="232">
        <v>440</v>
      </c>
      <c r="AB1408" s="231" t="s">
        <v>239</v>
      </c>
      <c r="AC1408" s="232">
        <v>761</v>
      </c>
      <c r="AD1408" s="231" t="s">
        <v>239</v>
      </c>
      <c r="AE1408" s="232">
        <v>795</v>
      </c>
      <c r="AF1408" s="231" t="s">
        <v>239</v>
      </c>
      <c r="AG1408" s="232">
        <v>869</v>
      </c>
      <c r="AH1408" s="231" t="s">
        <v>239</v>
      </c>
      <c r="AI1408" s="232">
        <v>846</v>
      </c>
      <c r="AJ1408" s="231" t="s">
        <v>239</v>
      </c>
      <c r="AK1408" s="232">
        <v>938</v>
      </c>
      <c r="AL1408" s="232" t="s">
        <v>239</v>
      </c>
      <c r="AM1408" s="232">
        <v>9810</v>
      </c>
    </row>
    <row r="1409" spans="1:39" ht="15.75" outlineLevel="1">
      <c r="A1409" s="411">
        <v>700</v>
      </c>
      <c r="B1409" s="10">
        <v>129700</v>
      </c>
      <c r="C1409" s="218" t="s">
        <v>1489</v>
      </c>
      <c r="D1409" s="218" t="s">
        <v>1490</v>
      </c>
      <c r="E1409" s="23" t="s">
        <v>138</v>
      </c>
      <c r="F1409" s="17" t="s">
        <v>45</v>
      </c>
      <c r="G1409" s="11" t="s">
        <v>1432</v>
      </c>
      <c r="H1409" s="12">
        <v>32</v>
      </c>
      <c r="I1409" s="11" t="s">
        <v>1433</v>
      </c>
      <c r="J1409" s="193" t="s">
        <v>1453</v>
      </c>
      <c r="K1409" s="17" t="s">
        <v>233</v>
      </c>
      <c r="L1409" s="17" t="s">
        <v>233</v>
      </c>
      <c r="M1409" s="231">
        <v>60</v>
      </c>
      <c r="N1409" s="231">
        <v>60</v>
      </c>
      <c r="O1409" s="231">
        <v>60</v>
      </c>
      <c r="P1409" s="231" t="s">
        <v>239</v>
      </c>
      <c r="Q1409" s="231">
        <v>60</v>
      </c>
      <c r="R1409" s="231" t="s">
        <v>239</v>
      </c>
      <c r="S1409" s="231">
        <v>60</v>
      </c>
      <c r="T1409" s="231" t="s">
        <v>239</v>
      </c>
      <c r="U1409" s="231">
        <v>60</v>
      </c>
      <c r="V1409" s="231" t="s">
        <v>239</v>
      </c>
      <c r="W1409" s="231">
        <v>60</v>
      </c>
      <c r="X1409" s="231" t="s">
        <v>239</v>
      </c>
      <c r="Y1409" s="231">
        <v>60</v>
      </c>
      <c r="Z1409" s="231" t="s">
        <v>239</v>
      </c>
      <c r="AA1409" s="231">
        <v>60</v>
      </c>
      <c r="AB1409" s="231" t="s">
        <v>239</v>
      </c>
      <c r="AC1409" s="231">
        <v>60</v>
      </c>
      <c r="AD1409" s="231" t="s">
        <v>239</v>
      </c>
      <c r="AE1409" s="231">
        <v>60</v>
      </c>
      <c r="AF1409" s="231" t="s">
        <v>239</v>
      </c>
      <c r="AG1409" s="231">
        <v>60</v>
      </c>
      <c r="AH1409" s="231" t="s">
        <v>239</v>
      </c>
      <c r="AI1409" s="231">
        <v>60</v>
      </c>
      <c r="AJ1409" s="231" t="s">
        <v>239</v>
      </c>
      <c r="AK1409" s="231">
        <v>60</v>
      </c>
      <c r="AL1409" s="232" t="s">
        <v>239</v>
      </c>
      <c r="AM1409" s="232">
        <v>0</v>
      </c>
    </row>
    <row r="1410" spans="1:39" ht="15.75" outlineLevel="1">
      <c r="A1410" s="412"/>
      <c r="B1410" s="10">
        <v>129700</v>
      </c>
      <c r="C1410" s="218" t="s">
        <v>1489</v>
      </c>
      <c r="D1410" s="218" t="s">
        <v>1490</v>
      </c>
      <c r="E1410" s="23" t="s">
        <v>44</v>
      </c>
      <c r="F1410" s="17" t="s">
        <v>45</v>
      </c>
      <c r="G1410" s="11" t="s">
        <v>1432</v>
      </c>
      <c r="H1410" s="12">
        <v>8</v>
      </c>
      <c r="I1410" s="11" t="s">
        <v>1433</v>
      </c>
      <c r="J1410" s="193" t="s">
        <v>1454</v>
      </c>
      <c r="K1410" s="17" t="s">
        <v>233</v>
      </c>
      <c r="L1410" s="17" t="s">
        <v>233</v>
      </c>
      <c r="M1410" s="231">
        <v>0</v>
      </c>
      <c r="N1410" s="232">
        <v>0</v>
      </c>
      <c r="O1410" s="132">
        <v>0</v>
      </c>
      <c r="P1410" s="231" t="s">
        <v>239</v>
      </c>
      <c r="Q1410" s="232">
        <v>0</v>
      </c>
      <c r="R1410" s="231" t="s">
        <v>239</v>
      </c>
      <c r="S1410" s="232">
        <v>0</v>
      </c>
      <c r="T1410" s="231" t="s">
        <v>239</v>
      </c>
      <c r="U1410" s="232">
        <v>0</v>
      </c>
      <c r="V1410" s="231" t="s">
        <v>239</v>
      </c>
      <c r="W1410" s="232">
        <v>0</v>
      </c>
      <c r="X1410" s="231" t="s">
        <v>239</v>
      </c>
      <c r="Y1410" s="232">
        <v>0</v>
      </c>
      <c r="Z1410" s="231" t="s">
        <v>239</v>
      </c>
      <c r="AA1410" s="232">
        <v>0</v>
      </c>
      <c r="AB1410" s="231" t="s">
        <v>239</v>
      </c>
      <c r="AC1410" s="232">
        <v>0</v>
      </c>
      <c r="AD1410" s="231" t="s">
        <v>239</v>
      </c>
      <c r="AE1410" s="232">
        <v>0</v>
      </c>
      <c r="AF1410" s="231" t="s">
        <v>239</v>
      </c>
      <c r="AG1410" s="232">
        <v>0</v>
      </c>
      <c r="AH1410" s="231" t="s">
        <v>239</v>
      </c>
      <c r="AI1410" s="232">
        <v>0</v>
      </c>
      <c r="AJ1410" s="231" t="s">
        <v>239</v>
      </c>
      <c r="AK1410" s="232">
        <v>0</v>
      </c>
      <c r="AL1410" s="232" t="s">
        <v>239</v>
      </c>
      <c r="AM1410" s="232">
        <v>0</v>
      </c>
    </row>
    <row r="1411" spans="1:39" ht="15.75" outlineLevel="1">
      <c r="A1411" s="411">
        <v>701</v>
      </c>
      <c r="B1411" s="10">
        <v>129701</v>
      </c>
      <c r="C1411" s="218" t="s">
        <v>1489</v>
      </c>
      <c r="D1411" s="218" t="s">
        <v>1490</v>
      </c>
      <c r="E1411" s="23" t="s">
        <v>44</v>
      </c>
      <c r="F1411" s="17" t="s">
        <v>45</v>
      </c>
      <c r="G1411" s="11" t="s">
        <v>1432</v>
      </c>
      <c r="H1411" s="12">
        <v>12</v>
      </c>
      <c r="I1411" s="11" t="s">
        <v>1433</v>
      </c>
      <c r="J1411" s="191" t="s">
        <v>216</v>
      </c>
      <c r="K1411" s="17" t="s">
        <v>233</v>
      </c>
      <c r="L1411" s="17" t="s">
        <v>233</v>
      </c>
      <c r="M1411" s="231">
        <v>10</v>
      </c>
      <c r="N1411" s="231">
        <v>10</v>
      </c>
      <c r="O1411" s="231">
        <v>10</v>
      </c>
      <c r="P1411" s="231" t="s">
        <v>239</v>
      </c>
      <c r="Q1411" s="231">
        <v>10</v>
      </c>
      <c r="R1411" s="231" t="s">
        <v>239</v>
      </c>
      <c r="S1411" s="231">
        <v>10</v>
      </c>
      <c r="T1411" s="231" t="s">
        <v>239</v>
      </c>
      <c r="U1411" s="231">
        <v>10</v>
      </c>
      <c r="V1411" s="230" t="s">
        <v>239</v>
      </c>
      <c r="W1411" s="231">
        <v>10</v>
      </c>
      <c r="X1411" s="231" t="s">
        <v>239</v>
      </c>
      <c r="Y1411" s="231">
        <v>10</v>
      </c>
      <c r="Z1411" s="231" t="s">
        <v>239</v>
      </c>
      <c r="AA1411" s="231">
        <v>10</v>
      </c>
      <c r="AB1411" s="231" t="s">
        <v>239</v>
      </c>
      <c r="AC1411" s="231">
        <v>10</v>
      </c>
      <c r="AD1411" s="231" t="s">
        <v>239</v>
      </c>
      <c r="AE1411" s="231">
        <v>10</v>
      </c>
      <c r="AF1411" s="231" t="s">
        <v>239</v>
      </c>
      <c r="AG1411" s="231">
        <v>10</v>
      </c>
      <c r="AH1411" s="231" t="s">
        <v>239</v>
      </c>
      <c r="AI1411" s="231">
        <v>10</v>
      </c>
      <c r="AJ1411" s="231" t="s">
        <v>239</v>
      </c>
      <c r="AK1411" s="231">
        <v>10</v>
      </c>
      <c r="AL1411" s="232" t="s">
        <v>239</v>
      </c>
      <c r="AM1411" s="232">
        <v>0</v>
      </c>
    </row>
    <row r="1412" spans="1:39" ht="15.75" outlineLevel="1">
      <c r="A1412" s="412"/>
      <c r="B1412" s="10">
        <v>129701</v>
      </c>
      <c r="C1412" s="218" t="s">
        <v>1489</v>
      </c>
      <c r="D1412" s="218" t="s">
        <v>1490</v>
      </c>
      <c r="E1412" s="23" t="s">
        <v>138</v>
      </c>
      <c r="F1412" s="17" t="s">
        <v>45</v>
      </c>
      <c r="G1412" s="11" t="s">
        <v>1432</v>
      </c>
      <c r="H1412" s="12">
        <v>18</v>
      </c>
      <c r="I1412" s="11" t="s">
        <v>1433</v>
      </c>
      <c r="J1412" s="192" t="s">
        <v>1434</v>
      </c>
      <c r="K1412" s="17" t="s">
        <v>233</v>
      </c>
      <c r="L1412" s="17" t="s">
        <v>233</v>
      </c>
      <c r="M1412" s="231">
        <v>4988</v>
      </c>
      <c r="N1412" s="232">
        <v>4927.4456799999998</v>
      </c>
      <c r="O1412" s="132">
        <v>591</v>
      </c>
      <c r="P1412" s="231" t="s">
        <v>239</v>
      </c>
      <c r="Q1412" s="232">
        <v>591</v>
      </c>
      <c r="R1412" s="231" t="s">
        <v>239</v>
      </c>
      <c r="S1412" s="232">
        <v>533</v>
      </c>
      <c r="T1412" s="231" t="s">
        <v>239</v>
      </c>
      <c r="U1412" s="232">
        <v>549</v>
      </c>
      <c r="V1412" s="231" t="s">
        <v>239</v>
      </c>
      <c r="W1412" s="232">
        <v>587</v>
      </c>
      <c r="X1412" s="231" t="s">
        <v>239</v>
      </c>
      <c r="Y1412" s="232">
        <v>534</v>
      </c>
      <c r="Z1412" s="231" t="s">
        <v>239</v>
      </c>
      <c r="AA1412" s="232">
        <v>276</v>
      </c>
      <c r="AB1412" s="231" t="s">
        <v>239</v>
      </c>
      <c r="AC1412" s="232">
        <v>454</v>
      </c>
      <c r="AD1412" s="231" t="s">
        <v>239</v>
      </c>
      <c r="AE1412" s="232">
        <v>483</v>
      </c>
      <c r="AF1412" s="231" t="s">
        <v>239</v>
      </c>
      <c r="AG1412" s="232">
        <v>447</v>
      </c>
      <c r="AH1412" s="231" t="s">
        <v>239</v>
      </c>
      <c r="AI1412" s="232">
        <v>575</v>
      </c>
      <c r="AJ1412" s="231" t="s">
        <v>239</v>
      </c>
      <c r="AK1412" s="232">
        <v>463</v>
      </c>
      <c r="AL1412" s="232" t="s">
        <v>239</v>
      </c>
      <c r="AM1412" s="232">
        <v>6083</v>
      </c>
    </row>
    <row r="1413" spans="1:39" ht="15.75" outlineLevel="1">
      <c r="A1413" s="411">
        <v>702</v>
      </c>
      <c r="B1413" s="10">
        <v>129702</v>
      </c>
      <c r="C1413" s="218" t="s">
        <v>1489</v>
      </c>
      <c r="D1413" s="218" t="s">
        <v>1490</v>
      </c>
      <c r="E1413" s="23" t="s">
        <v>44</v>
      </c>
      <c r="F1413" s="17" t="s">
        <v>45</v>
      </c>
      <c r="G1413" s="11" t="s">
        <v>1432</v>
      </c>
      <c r="H1413" s="12">
        <v>17</v>
      </c>
      <c r="I1413" s="11" t="s">
        <v>1433</v>
      </c>
      <c r="J1413" s="192" t="s">
        <v>1480</v>
      </c>
      <c r="K1413" s="17" t="s">
        <v>233</v>
      </c>
      <c r="L1413" s="17" t="s">
        <v>233</v>
      </c>
      <c r="M1413" s="231">
        <v>10</v>
      </c>
      <c r="N1413" s="231">
        <v>10</v>
      </c>
      <c r="O1413" s="231">
        <v>10</v>
      </c>
      <c r="P1413" s="231" t="s">
        <v>239</v>
      </c>
      <c r="Q1413" s="231">
        <v>10</v>
      </c>
      <c r="R1413" s="231" t="s">
        <v>239</v>
      </c>
      <c r="S1413" s="231">
        <v>10</v>
      </c>
      <c r="T1413" s="231" t="s">
        <v>239</v>
      </c>
      <c r="U1413" s="231">
        <v>10</v>
      </c>
      <c r="V1413" s="231" t="s">
        <v>239</v>
      </c>
      <c r="W1413" s="231">
        <v>10</v>
      </c>
      <c r="X1413" s="231" t="s">
        <v>239</v>
      </c>
      <c r="Y1413" s="231">
        <v>10</v>
      </c>
      <c r="Z1413" s="231" t="s">
        <v>239</v>
      </c>
      <c r="AA1413" s="231">
        <v>10</v>
      </c>
      <c r="AB1413" s="231" t="s">
        <v>239</v>
      </c>
      <c r="AC1413" s="231">
        <v>10</v>
      </c>
      <c r="AD1413" s="231" t="s">
        <v>239</v>
      </c>
      <c r="AE1413" s="231">
        <v>10</v>
      </c>
      <c r="AF1413" s="231" t="s">
        <v>239</v>
      </c>
      <c r="AG1413" s="231">
        <v>10</v>
      </c>
      <c r="AH1413" s="231" t="s">
        <v>239</v>
      </c>
      <c r="AI1413" s="231">
        <v>10</v>
      </c>
      <c r="AJ1413" s="231" t="s">
        <v>239</v>
      </c>
      <c r="AK1413" s="231">
        <v>10</v>
      </c>
      <c r="AL1413" s="232" t="s">
        <v>239</v>
      </c>
      <c r="AM1413" s="232">
        <v>0</v>
      </c>
    </row>
    <row r="1414" spans="1:39" ht="15.75" outlineLevel="1">
      <c r="A1414" s="412"/>
      <c r="B1414" s="10">
        <v>129702</v>
      </c>
      <c r="C1414" s="218" t="s">
        <v>1489</v>
      </c>
      <c r="D1414" s="218" t="s">
        <v>1490</v>
      </c>
      <c r="E1414" s="23" t="s">
        <v>138</v>
      </c>
      <c r="F1414" s="17" t="s">
        <v>45</v>
      </c>
      <c r="G1414" s="11" t="s">
        <v>1432</v>
      </c>
      <c r="H1414" s="12">
        <v>25</v>
      </c>
      <c r="I1414" s="11" t="s">
        <v>1433</v>
      </c>
      <c r="J1414" s="192" t="s">
        <v>1452</v>
      </c>
      <c r="K1414" s="17" t="s">
        <v>233</v>
      </c>
      <c r="L1414" s="17" t="s">
        <v>233</v>
      </c>
      <c r="M1414" s="231">
        <v>0</v>
      </c>
      <c r="N1414" s="232">
        <v>0</v>
      </c>
      <c r="O1414" s="132">
        <v>0</v>
      </c>
      <c r="P1414" s="231" t="s">
        <v>239</v>
      </c>
      <c r="Q1414" s="232">
        <v>0</v>
      </c>
      <c r="R1414" s="231" t="s">
        <v>239</v>
      </c>
      <c r="S1414" s="232">
        <v>0</v>
      </c>
      <c r="T1414" s="231" t="s">
        <v>239</v>
      </c>
      <c r="U1414" s="232">
        <v>0</v>
      </c>
      <c r="V1414" s="230" t="s">
        <v>239</v>
      </c>
      <c r="W1414" s="232">
        <v>0</v>
      </c>
      <c r="X1414" s="231" t="s">
        <v>239</v>
      </c>
      <c r="Y1414" s="232">
        <v>0</v>
      </c>
      <c r="Z1414" s="231" t="s">
        <v>239</v>
      </c>
      <c r="AA1414" s="232">
        <v>0</v>
      </c>
      <c r="AB1414" s="231" t="s">
        <v>239</v>
      </c>
      <c r="AC1414" s="232">
        <v>0</v>
      </c>
      <c r="AD1414" s="231" t="s">
        <v>239</v>
      </c>
      <c r="AE1414" s="232">
        <v>0</v>
      </c>
      <c r="AF1414" s="231" t="s">
        <v>239</v>
      </c>
      <c r="AG1414" s="232">
        <v>0</v>
      </c>
      <c r="AH1414" s="231" t="s">
        <v>239</v>
      </c>
      <c r="AI1414" s="232">
        <v>0</v>
      </c>
      <c r="AJ1414" s="231" t="s">
        <v>239</v>
      </c>
      <c r="AK1414" s="232">
        <v>0</v>
      </c>
      <c r="AL1414" s="232" t="s">
        <v>239</v>
      </c>
      <c r="AM1414" s="232">
        <v>0</v>
      </c>
    </row>
    <row r="1415" spans="1:39" ht="15.75" outlineLevel="1">
      <c r="A1415" s="411">
        <v>703</v>
      </c>
      <c r="B1415" s="10">
        <v>129703</v>
      </c>
      <c r="C1415" s="218" t="s">
        <v>1489</v>
      </c>
      <c r="D1415" s="218" t="s">
        <v>1490</v>
      </c>
      <c r="E1415" s="23" t="s">
        <v>44</v>
      </c>
      <c r="F1415" s="17" t="s">
        <v>45</v>
      </c>
      <c r="G1415" s="11" t="s">
        <v>1432</v>
      </c>
      <c r="H1415" s="12">
        <v>13</v>
      </c>
      <c r="I1415" s="11" t="s">
        <v>1433</v>
      </c>
      <c r="J1415" s="374" t="s">
        <v>207</v>
      </c>
      <c r="K1415" s="17" t="s">
        <v>233</v>
      </c>
      <c r="L1415" s="17" t="s">
        <v>233</v>
      </c>
      <c r="M1415" s="231">
        <v>60</v>
      </c>
      <c r="N1415" s="231">
        <v>60</v>
      </c>
      <c r="O1415" s="231">
        <v>60</v>
      </c>
      <c r="P1415" s="231" t="s">
        <v>239</v>
      </c>
      <c r="Q1415" s="231">
        <v>60</v>
      </c>
      <c r="R1415" s="231" t="s">
        <v>239</v>
      </c>
      <c r="S1415" s="231">
        <v>60</v>
      </c>
      <c r="T1415" s="231" t="s">
        <v>239</v>
      </c>
      <c r="U1415" s="231">
        <v>60</v>
      </c>
      <c r="V1415" s="231" t="s">
        <v>239</v>
      </c>
      <c r="W1415" s="231">
        <v>60</v>
      </c>
      <c r="X1415" s="231" t="s">
        <v>239</v>
      </c>
      <c r="Y1415" s="231">
        <v>60</v>
      </c>
      <c r="Z1415" s="231" t="s">
        <v>239</v>
      </c>
      <c r="AA1415" s="231">
        <v>60</v>
      </c>
      <c r="AB1415" s="231" t="s">
        <v>239</v>
      </c>
      <c r="AC1415" s="231">
        <v>60</v>
      </c>
      <c r="AD1415" s="231" t="s">
        <v>239</v>
      </c>
      <c r="AE1415" s="231">
        <v>60</v>
      </c>
      <c r="AF1415" s="231" t="s">
        <v>239</v>
      </c>
      <c r="AG1415" s="231">
        <v>60</v>
      </c>
      <c r="AH1415" s="231" t="s">
        <v>239</v>
      </c>
      <c r="AI1415" s="231">
        <v>60</v>
      </c>
      <c r="AJ1415" s="231" t="s">
        <v>239</v>
      </c>
      <c r="AK1415" s="231">
        <v>60</v>
      </c>
      <c r="AL1415" s="232" t="s">
        <v>239</v>
      </c>
      <c r="AM1415" s="232">
        <v>0</v>
      </c>
    </row>
    <row r="1416" spans="1:39" ht="15.75" outlineLevel="1">
      <c r="A1416" s="412"/>
      <c r="B1416" s="10">
        <v>129703</v>
      </c>
      <c r="C1416" s="218" t="s">
        <v>1489</v>
      </c>
      <c r="D1416" s="218" t="s">
        <v>1490</v>
      </c>
      <c r="E1416" s="23" t="s">
        <v>44</v>
      </c>
      <c r="F1416" s="17" t="s">
        <v>45</v>
      </c>
      <c r="G1416" s="11" t="s">
        <v>1432</v>
      </c>
      <c r="H1416" s="12">
        <v>5</v>
      </c>
      <c r="I1416" s="11" t="s">
        <v>1433</v>
      </c>
      <c r="J1416" s="375"/>
      <c r="K1416" s="17" t="s">
        <v>233</v>
      </c>
      <c r="L1416" s="17" t="s">
        <v>233</v>
      </c>
      <c r="M1416" s="231">
        <v>0</v>
      </c>
      <c r="N1416" s="232">
        <v>0</v>
      </c>
      <c r="O1416" s="132">
        <v>361</v>
      </c>
      <c r="P1416" s="231" t="s">
        <v>239</v>
      </c>
      <c r="Q1416" s="232">
        <v>361</v>
      </c>
      <c r="R1416" s="231" t="s">
        <v>239</v>
      </c>
      <c r="S1416" s="232">
        <v>225</v>
      </c>
      <c r="T1416" s="231" t="s">
        <v>239</v>
      </c>
      <c r="U1416" s="232">
        <v>209</v>
      </c>
      <c r="V1416" s="231" t="s">
        <v>239</v>
      </c>
      <c r="W1416" s="232">
        <v>207</v>
      </c>
      <c r="X1416" s="231" t="s">
        <v>239</v>
      </c>
      <c r="Y1416" s="232">
        <v>168</v>
      </c>
      <c r="Z1416" s="231" t="s">
        <v>239</v>
      </c>
      <c r="AA1416" s="232">
        <v>169</v>
      </c>
      <c r="AB1416" s="231" t="s">
        <v>239</v>
      </c>
      <c r="AC1416" s="232">
        <v>219</v>
      </c>
      <c r="AD1416" s="231" t="s">
        <v>239</v>
      </c>
      <c r="AE1416" s="232">
        <v>239</v>
      </c>
      <c r="AF1416" s="231" t="s">
        <v>239</v>
      </c>
      <c r="AG1416" s="232">
        <v>267</v>
      </c>
      <c r="AH1416" s="231" t="s">
        <v>239</v>
      </c>
      <c r="AI1416" s="232">
        <v>257</v>
      </c>
      <c r="AJ1416" s="231" t="s">
        <v>239</v>
      </c>
      <c r="AK1416" s="232">
        <v>287</v>
      </c>
      <c r="AL1416" s="232" t="s">
        <v>239</v>
      </c>
      <c r="AM1416" s="232">
        <v>2969</v>
      </c>
    </row>
    <row r="1417" spans="1:39" ht="15.75" outlineLevel="1">
      <c r="A1417" s="411">
        <v>704</v>
      </c>
      <c r="B1417" s="10">
        <v>129704</v>
      </c>
      <c r="C1417" s="218" t="s">
        <v>1489</v>
      </c>
      <c r="D1417" s="218" t="s">
        <v>1490</v>
      </c>
      <c r="E1417" s="23" t="s">
        <v>138</v>
      </c>
      <c r="F1417" s="17" t="s">
        <v>45</v>
      </c>
      <c r="G1417" s="11" t="s">
        <v>1432</v>
      </c>
      <c r="H1417" s="12">
        <v>4</v>
      </c>
      <c r="I1417" s="11" t="s">
        <v>1433</v>
      </c>
      <c r="J1417" s="193" t="s">
        <v>1460</v>
      </c>
      <c r="K1417" s="17" t="s">
        <v>233</v>
      </c>
      <c r="L1417" s="17" t="s">
        <v>233</v>
      </c>
      <c r="M1417" s="231">
        <v>15.5</v>
      </c>
      <c r="N1417" s="231">
        <v>15.5</v>
      </c>
      <c r="O1417" s="231">
        <v>15.5</v>
      </c>
      <c r="P1417" s="231" t="s">
        <v>239</v>
      </c>
      <c r="Q1417" s="231">
        <v>15.5</v>
      </c>
      <c r="R1417" s="231" t="s">
        <v>239</v>
      </c>
      <c r="S1417" s="231">
        <v>15.5</v>
      </c>
      <c r="T1417" s="231" t="s">
        <v>239</v>
      </c>
      <c r="U1417" s="231">
        <v>15.5</v>
      </c>
      <c r="V1417" s="230" t="s">
        <v>239</v>
      </c>
      <c r="W1417" s="231">
        <v>15.5</v>
      </c>
      <c r="X1417" s="231" t="s">
        <v>239</v>
      </c>
      <c r="Y1417" s="231">
        <v>15.5</v>
      </c>
      <c r="Z1417" s="231" t="s">
        <v>239</v>
      </c>
      <c r="AA1417" s="231">
        <v>15.5</v>
      </c>
      <c r="AB1417" s="231" t="s">
        <v>239</v>
      </c>
      <c r="AC1417" s="231">
        <v>15.5</v>
      </c>
      <c r="AD1417" s="231" t="s">
        <v>239</v>
      </c>
      <c r="AE1417" s="231">
        <v>15.5</v>
      </c>
      <c r="AF1417" s="231" t="s">
        <v>239</v>
      </c>
      <c r="AG1417" s="231">
        <v>15.5</v>
      </c>
      <c r="AH1417" s="231" t="s">
        <v>239</v>
      </c>
      <c r="AI1417" s="231">
        <v>15.5</v>
      </c>
      <c r="AJ1417" s="231" t="s">
        <v>239</v>
      </c>
      <c r="AK1417" s="231">
        <v>15.5</v>
      </c>
      <c r="AL1417" s="232" t="s">
        <v>239</v>
      </c>
      <c r="AM1417" s="232">
        <v>0</v>
      </c>
    </row>
    <row r="1418" spans="1:39" ht="15.75" outlineLevel="1">
      <c r="A1418" s="412"/>
      <c r="B1418" s="10">
        <v>129704</v>
      </c>
      <c r="C1418" s="218" t="s">
        <v>1489</v>
      </c>
      <c r="D1418" s="218" t="s">
        <v>1490</v>
      </c>
      <c r="E1418" s="23" t="s">
        <v>44</v>
      </c>
      <c r="F1418" s="17" t="s">
        <v>45</v>
      </c>
      <c r="G1418" s="11" t="s">
        <v>1432</v>
      </c>
      <c r="H1418" s="12">
        <v>18</v>
      </c>
      <c r="I1418" s="11" t="s">
        <v>1433</v>
      </c>
      <c r="J1418" s="193" t="s">
        <v>1442</v>
      </c>
      <c r="K1418" s="17" t="s">
        <v>233</v>
      </c>
      <c r="L1418" s="17" t="s">
        <v>233</v>
      </c>
      <c r="M1418" s="231">
        <v>2285</v>
      </c>
      <c r="N1418" s="232">
        <v>2257.2601</v>
      </c>
      <c r="O1418" s="132">
        <v>111</v>
      </c>
      <c r="P1418" s="231" t="s">
        <v>239</v>
      </c>
      <c r="Q1418" s="232">
        <v>111</v>
      </c>
      <c r="R1418" s="231" t="s">
        <v>239</v>
      </c>
      <c r="S1418" s="232">
        <v>299</v>
      </c>
      <c r="T1418" s="231" t="s">
        <v>239</v>
      </c>
      <c r="U1418" s="232">
        <v>264</v>
      </c>
      <c r="V1418" s="231" t="s">
        <v>239</v>
      </c>
      <c r="W1418" s="232">
        <v>18</v>
      </c>
      <c r="X1418" s="231" t="s">
        <v>239</v>
      </c>
      <c r="Y1418" s="232">
        <v>154</v>
      </c>
      <c r="Z1418" s="231" t="s">
        <v>239</v>
      </c>
      <c r="AA1418" s="232">
        <v>0</v>
      </c>
      <c r="AB1418" s="231" t="s">
        <v>239</v>
      </c>
      <c r="AC1418" s="232">
        <v>12</v>
      </c>
      <c r="AD1418" s="231" t="s">
        <v>239</v>
      </c>
      <c r="AE1418" s="232">
        <v>59</v>
      </c>
      <c r="AF1418" s="231" t="s">
        <v>239</v>
      </c>
      <c r="AG1418" s="232">
        <v>209</v>
      </c>
      <c r="AH1418" s="231" t="s">
        <v>239</v>
      </c>
      <c r="AI1418" s="232">
        <v>108</v>
      </c>
      <c r="AJ1418" s="231" t="s">
        <v>239</v>
      </c>
      <c r="AK1418" s="232">
        <v>227</v>
      </c>
      <c r="AL1418" s="232" t="s">
        <v>239</v>
      </c>
      <c r="AM1418" s="232">
        <v>1572</v>
      </c>
    </row>
    <row r="1419" spans="1:39" ht="15.75" outlineLevel="1">
      <c r="A1419" s="411">
        <v>705</v>
      </c>
      <c r="B1419" s="10">
        <v>129705</v>
      </c>
      <c r="C1419" s="218" t="s">
        <v>1489</v>
      </c>
      <c r="D1419" s="218" t="s">
        <v>1490</v>
      </c>
      <c r="E1419" s="23" t="s">
        <v>138</v>
      </c>
      <c r="F1419" s="17" t="s">
        <v>45</v>
      </c>
      <c r="G1419" s="11" t="s">
        <v>1432</v>
      </c>
      <c r="H1419" s="12">
        <v>17</v>
      </c>
      <c r="I1419" s="11" t="s">
        <v>1433</v>
      </c>
      <c r="J1419" s="193" t="s">
        <v>1460</v>
      </c>
      <c r="K1419" s="17" t="s">
        <v>233</v>
      </c>
      <c r="L1419" s="17" t="s">
        <v>233</v>
      </c>
      <c r="M1419" s="231">
        <v>1</v>
      </c>
      <c r="N1419" s="231">
        <v>1</v>
      </c>
      <c r="O1419" s="231">
        <v>1</v>
      </c>
      <c r="P1419" s="231" t="s">
        <v>239</v>
      </c>
      <c r="Q1419" s="231">
        <v>1</v>
      </c>
      <c r="R1419" s="231" t="s">
        <v>239</v>
      </c>
      <c r="S1419" s="231">
        <v>1</v>
      </c>
      <c r="T1419" s="231" t="s">
        <v>239</v>
      </c>
      <c r="U1419" s="231">
        <v>1</v>
      </c>
      <c r="V1419" s="231" t="s">
        <v>239</v>
      </c>
      <c r="W1419" s="231">
        <v>1</v>
      </c>
      <c r="X1419" s="231" t="s">
        <v>239</v>
      </c>
      <c r="Y1419" s="231">
        <v>1</v>
      </c>
      <c r="Z1419" s="231" t="s">
        <v>239</v>
      </c>
      <c r="AA1419" s="231">
        <v>1</v>
      </c>
      <c r="AB1419" s="231" t="s">
        <v>239</v>
      </c>
      <c r="AC1419" s="231">
        <v>1</v>
      </c>
      <c r="AD1419" s="231" t="s">
        <v>239</v>
      </c>
      <c r="AE1419" s="231">
        <v>1</v>
      </c>
      <c r="AF1419" s="231" t="s">
        <v>239</v>
      </c>
      <c r="AG1419" s="231">
        <v>1</v>
      </c>
      <c r="AH1419" s="231" t="s">
        <v>239</v>
      </c>
      <c r="AI1419" s="231">
        <v>1</v>
      </c>
      <c r="AJ1419" s="231" t="s">
        <v>239</v>
      </c>
      <c r="AK1419" s="231">
        <v>1</v>
      </c>
      <c r="AL1419" s="232" t="s">
        <v>239</v>
      </c>
      <c r="AM1419" s="232">
        <v>0</v>
      </c>
    </row>
    <row r="1420" spans="1:39" ht="15.75" outlineLevel="1">
      <c r="A1420" s="412"/>
      <c r="B1420" s="10">
        <v>129705</v>
      </c>
      <c r="C1420" s="218" t="s">
        <v>1489</v>
      </c>
      <c r="D1420" s="218" t="s">
        <v>1490</v>
      </c>
      <c r="E1420" s="23" t="s">
        <v>44</v>
      </c>
      <c r="F1420" s="17" t="s">
        <v>45</v>
      </c>
      <c r="G1420" s="11" t="s">
        <v>1432</v>
      </c>
      <c r="H1420" s="12">
        <v>28</v>
      </c>
      <c r="I1420" s="11" t="s">
        <v>1433</v>
      </c>
      <c r="J1420" s="193" t="s">
        <v>1451</v>
      </c>
      <c r="K1420" s="17" t="s">
        <v>233</v>
      </c>
      <c r="L1420" s="17" t="s">
        <v>233</v>
      </c>
      <c r="M1420" s="231">
        <v>3913</v>
      </c>
      <c r="N1420" s="232">
        <v>3865.4961799999996</v>
      </c>
      <c r="O1420" s="132">
        <v>488</v>
      </c>
      <c r="P1420" s="231" t="s">
        <v>239</v>
      </c>
      <c r="Q1420" s="232">
        <v>488</v>
      </c>
      <c r="R1420" s="231" t="s">
        <v>239</v>
      </c>
      <c r="S1420" s="232">
        <v>357</v>
      </c>
      <c r="T1420" s="231" t="s">
        <v>239</v>
      </c>
      <c r="U1420" s="232">
        <v>467</v>
      </c>
      <c r="V1420" s="230" t="s">
        <v>239</v>
      </c>
      <c r="W1420" s="232">
        <v>454</v>
      </c>
      <c r="X1420" s="231" t="s">
        <v>239</v>
      </c>
      <c r="Y1420" s="232">
        <v>456</v>
      </c>
      <c r="Z1420" s="231" t="s">
        <v>239</v>
      </c>
      <c r="AA1420" s="232">
        <v>479</v>
      </c>
      <c r="AB1420" s="231" t="s">
        <v>239</v>
      </c>
      <c r="AC1420" s="232">
        <v>353</v>
      </c>
      <c r="AD1420" s="231" t="s">
        <v>239</v>
      </c>
      <c r="AE1420" s="232">
        <v>350</v>
      </c>
      <c r="AF1420" s="231" t="s">
        <v>239</v>
      </c>
      <c r="AG1420" s="232">
        <v>350</v>
      </c>
      <c r="AH1420" s="231" t="s">
        <v>239</v>
      </c>
      <c r="AI1420" s="232">
        <v>369</v>
      </c>
      <c r="AJ1420" s="231" t="s">
        <v>239</v>
      </c>
      <c r="AK1420" s="232">
        <v>332</v>
      </c>
      <c r="AL1420" s="232" t="s">
        <v>239</v>
      </c>
      <c r="AM1420" s="232">
        <v>4943</v>
      </c>
    </row>
    <row r="1421" spans="1:39" ht="15.75" outlineLevel="1">
      <c r="A1421" s="411">
        <v>706</v>
      </c>
      <c r="B1421" s="10">
        <v>129706</v>
      </c>
      <c r="C1421" s="218" t="s">
        <v>1489</v>
      </c>
      <c r="D1421" s="218" t="s">
        <v>1490</v>
      </c>
      <c r="E1421" s="23" t="s">
        <v>44</v>
      </c>
      <c r="F1421" s="17" t="s">
        <v>45</v>
      </c>
      <c r="G1421" s="11" t="s">
        <v>1432</v>
      </c>
      <c r="H1421" s="12">
        <v>33</v>
      </c>
      <c r="I1421" s="11" t="s">
        <v>1433</v>
      </c>
      <c r="J1421" s="193" t="s">
        <v>208</v>
      </c>
      <c r="K1421" s="17" t="s">
        <v>233</v>
      </c>
      <c r="L1421" s="17" t="s">
        <v>233</v>
      </c>
      <c r="M1421" s="231">
        <v>17.600000000000001</v>
      </c>
      <c r="N1421" s="231">
        <v>17.600000000000001</v>
      </c>
      <c r="O1421" s="231">
        <v>17.600000000000001</v>
      </c>
      <c r="P1421" s="231" t="s">
        <v>239</v>
      </c>
      <c r="Q1421" s="231">
        <v>17.600000000000001</v>
      </c>
      <c r="R1421" s="231" t="s">
        <v>239</v>
      </c>
      <c r="S1421" s="231">
        <v>17.600000000000001</v>
      </c>
      <c r="T1421" s="231" t="s">
        <v>239</v>
      </c>
      <c r="U1421" s="231">
        <v>17.600000000000001</v>
      </c>
      <c r="V1421" s="231" t="s">
        <v>239</v>
      </c>
      <c r="W1421" s="231">
        <v>17.600000000000001</v>
      </c>
      <c r="X1421" s="231" t="s">
        <v>239</v>
      </c>
      <c r="Y1421" s="231">
        <v>17.600000000000001</v>
      </c>
      <c r="Z1421" s="231" t="s">
        <v>239</v>
      </c>
      <c r="AA1421" s="231">
        <v>17.600000000000001</v>
      </c>
      <c r="AB1421" s="231" t="s">
        <v>239</v>
      </c>
      <c r="AC1421" s="231">
        <v>17.600000000000001</v>
      </c>
      <c r="AD1421" s="231" t="s">
        <v>239</v>
      </c>
      <c r="AE1421" s="231">
        <v>17.600000000000001</v>
      </c>
      <c r="AF1421" s="231" t="s">
        <v>239</v>
      </c>
      <c r="AG1421" s="231">
        <v>17.600000000000001</v>
      </c>
      <c r="AH1421" s="231" t="s">
        <v>239</v>
      </c>
      <c r="AI1421" s="231">
        <v>17.600000000000001</v>
      </c>
      <c r="AJ1421" s="231" t="s">
        <v>239</v>
      </c>
      <c r="AK1421" s="231">
        <v>17.600000000000001</v>
      </c>
      <c r="AL1421" s="232" t="s">
        <v>239</v>
      </c>
      <c r="AM1421" s="232">
        <v>0</v>
      </c>
    </row>
    <row r="1422" spans="1:39" ht="15.75" outlineLevel="1">
      <c r="A1422" s="412"/>
      <c r="B1422" s="10">
        <v>129706</v>
      </c>
      <c r="C1422" s="218" t="s">
        <v>1489</v>
      </c>
      <c r="D1422" s="218" t="s">
        <v>1490</v>
      </c>
      <c r="E1422" s="23" t="s">
        <v>138</v>
      </c>
      <c r="F1422" s="17" t="s">
        <v>45</v>
      </c>
      <c r="G1422" s="11" t="s">
        <v>1432</v>
      </c>
      <c r="H1422" s="12">
        <v>25</v>
      </c>
      <c r="I1422" s="11" t="s">
        <v>1433</v>
      </c>
      <c r="J1422" s="193" t="s">
        <v>1452</v>
      </c>
      <c r="K1422" s="17" t="s">
        <v>233</v>
      </c>
      <c r="L1422" s="17" t="s">
        <v>233</v>
      </c>
      <c r="M1422" s="231">
        <v>6746</v>
      </c>
      <c r="N1422" s="232">
        <v>6664.1035599999996</v>
      </c>
      <c r="O1422" s="132">
        <v>741</v>
      </c>
      <c r="P1422" s="231" t="s">
        <v>239</v>
      </c>
      <c r="Q1422" s="232">
        <v>741</v>
      </c>
      <c r="R1422" s="231" t="s">
        <v>239</v>
      </c>
      <c r="S1422" s="232">
        <v>756</v>
      </c>
      <c r="T1422" s="231" t="s">
        <v>239</v>
      </c>
      <c r="U1422" s="232">
        <v>506</v>
      </c>
      <c r="V1422" s="231" t="s">
        <v>239</v>
      </c>
      <c r="W1422" s="232">
        <v>545</v>
      </c>
      <c r="X1422" s="231" t="s">
        <v>239</v>
      </c>
      <c r="Y1422" s="232">
        <v>437</v>
      </c>
      <c r="Z1422" s="231" t="s">
        <v>239</v>
      </c>
      <c r="AA1422" s="232">
        <v>324</v>
      </c>
      <c r="AB1422" s="231" t="s">
        <v>239</v>
      </c>
      <c r="AC1422" s="232">
        <v>410</v>
      </c>
      <c r="AD1422" s="231" t="s">
        <v>239</v>
      </c>
      <c r="AE1422" s="232">
        <v>412</v>
      </c>
      <c r="AF1422" s="231" t="s">
        <v>239</v>
      </c>
      <c r="AG1422" s="232">
        <v>554</v>
      </c>
      <c r="AH1422" s="231" t="s">
        <v>239</v>
      </c>
      <c r="AI1422" s="232">
        <v>618</v>
      </c>
      <c r="AJ1422" s="231" t="s">
        <v>239</v>
      </c>
      <c r="AK1422" s="232">
        <v>714</v>
      </c>
      <c r="AL1422" s="232" t="s">
        <v>239</v>
      </c>
      <c r="AM1422" s="232">
        <v>6758</v>
      </c>
    </row>
    <row r="1423" spans="1:39" ht="15.75" outlineLevel="1">
      <c r="A1423" s="411">
        <v>707</v>
      </c>
      <c r="B1423" s="10">
        <v>129707</v>
      </c>
      <c r="C1423" s="218" t="s">
        <v>1489</v>
      </c>
      <c r="D1423" s="218" t="s">
        <v>1490</v>
      </c>
      <c r="E1423" s="23" t="s">
        <v>44</v>
      </c>
      <c r="F1423" s="17" t="s">
        <v>45</v>
      </c>
      <c r="G1423" s="11" t="s">
        <v>1432</v>
      </c>
      <c r="H1423" s="12">
        <v>9</v>
      </c>
      <c r="I1423" s="11" t="s">
        <v>1433</v>
      </c>
      <c r="J1423" s="193" t="s">
        <v>216</v>
      </c>
      <c r="K1423" s="17" t="s">
        <v>233</v>
      </c>
      <c r="L1423" s="17" t="s">
        <v>233</v>
      </c>
      <c r="M1423" s="231">
        <v>1</v>
      </c>
      <c r="N1423" s="231">
        <v>1</v>
      </c>
      <c r="O1423" s="231">
        <v>1</v>
      </c>
      <c r="P1423" s="231" t="s">
        <v>239</v>
      </c>
      <c r="Q1423" s="231">
        <v>1</v>
      </c>
      <c r="R1423" s="231" t="s">
        <v>239</v>
      </c>
      <c r="S1423" s="231">
        <v>1</v>
      </c>
      <c r="T1423" s="231" t="s">
        <v>239</v>
      </c>
      <c r="U1423" s="231">
        <v>1</v>
      </c>
      <c r="V1423" s="230" t="s">
        <v>239</v>
      </c>
      <c r="W1423" s="231">
        <v>1</v>
      </c>
      <c r="X1423" s="231" t="s">
        <v>239</v>
      </c>
      <c r="Y1423" s="231">
        <v>1</v>
      </c>
      <c r="Z1423" s="231" t="s">
        <v>239</v>
      </c>
      <c r="AA1423" s="231">
        <v>1</v>
      </c>
      <c r="AB1423" s="231" t="s">
        <v>239</v>
      </c>
      <c r="AC1423" s="231">
        <v>1</v>
      </c>
      <c r="AD1423" s="231" t="s">
        <v>239</v>
      </c>
      <c r="AE1423" s="231">
        <v>1</v>
      </c>
      <c r="AF1423" s="231" t="s">
        <v>239</v>
      </c>
      <c r="AG1423" s="231">
        <v>1</v>
      </c>
      <c r="AH1423" s="231" t="s">
        <v>239</v>
      </c>
      <c r="AI1423" s="231">
        <v>1</v>
      </c>
      <c r="AJ1423" s="231" t="s">
        <v>239</v>
      </c>
      <c r="AK1423" s="231">
        <v>1</v>
      </c>
      <c r="AL1423" s="232" t="s">
        <v>239</v>
      </c>
      <c r="AM1423" s="232">
        <v>0</v>
      </c>
    </row>
    <row r="1424" spans="1:39" ht="15.75" outlineLevel="1">
      <c r="A1424" s="412"/>
      <c r="B1424" s="10">
        <v>129707</v>
      </c>
      <c r="C1424" s="218" t="s">
        <v>1489</v>
      </c>
      <c r="D1424" s="218" t="s">
        <v>1490</v>
      </c>
      <c r="E1424" s="23" t="s">
        <v>138</v>
      </c>
      <c r="F1424" s="17" t="s">
        <v>45</v>
      </c>
      <c r="G1424" s="11" t="s">
        <v>1432</v>
      </c>
      <c r="H1424" s="12">
        <v>18</v>
      </c>
      <c r="I1424" s="11" t="s">
        <v>1433</v>
      </c>
      <c r="J1424" s="193" t="s">
        <v>1453</v>
      </c>
      <c r="K1424" s="17" t="s">
        <v>233</v>
      </c>
      <c r="L1424" s="17" t="s">
        <v>233</v>
      </c>
      <c r="M1424" s="231">
        <v>4930</v>
      </c>
      <c r="N1424" s="232">
        <v>4870.1498000000001</v>
      </c>
      <c r="O1424" s="132">
        <v>798</v>
      </c>
      <c r="P1424" s="231" t="s">
        <v>239</v>
      </c>
      <c r="Q1424" s="232">
        <v>798</v>
      </c>
      <c r="R1424" s="231" t="s">
        <v>239</v>
      </c>
      <c r="S1424" s="232">
        <v>814</v>
      </c>
      <c r="T1424" s="231" t="s">
        <v>239</v>
      </c>
      <c r="U1424" s="232">
        <v>775</v>
      </c>
      <c r="V1424" s="231" t="s">
        <v>239</v>
      </c>
      <c r="W1424" s="232">
        <v>672</v>
      </c>
      <c r="X1424" s="231" t="s">
        <v>239</v>
      </c>
      <c r="Y1424" s="232">
        <v>633</v>
      </c>
      <c r="Z1424" s="231" t="s">
        <v>239</v>
      </c>
      <c r="AA1424" s="232">
        <v>679</v>
      </c>
      <c r="AB1424" s="231" t="s">
        <v>239</v>
      </c>
      <c r="AC1424" s="232">
        <v>579</v>
      </c>
      <c r="AD1424" s="231" t="s">
        <v>239</v>
      </c>
      <c r="AE1424" s="232">
        <v>636</v>
      </c>
      <c r="AF1424" s="231" t="s">
        <v>239</v>
      </c>
      <c r="AG1424" s="232">
        <v>609</v>
      </c>
      <c r="AH1424" s="231" t="s">
        <v>239</v>
      </c>
      <c r="AI1424" s="232">
        <v>782</v>
      </c>
      <c r="AJ1424" s="231" t="s">
        <v>239</v>
      </c>
      <c r="AK1424" s="232">
        <v>719</v>
      </c>
      <c r="AL1424" s="232" t="s">
        <v>239</v>
      </c>
      <c r="AM1424" s="232">
        <v>8494</v>
      </c>
    </row>
    <row r="1425" spans="1:39" ht="15.75" outlineLevel="1">
      <c r="A1425" s="411">
        <v>708</v>
      </c>
      <c r="B1425" s="10">
        <v>129708</v>
      </c>
      <c r="C1425" s="218" t="s">
        <v>1489</v>
      </c>
      <c r="D1425" s="218" t="s">
        <v>1490</v>
      </c>
      <c r="E1425" s="23" t="s">
        <v>44</v>
      </c>
      <c r="F1425" s="17" t="s">
        <v>45</v>
      </c>
      <c r="G1425" s="11" t="s">
        <v>1432</v>
      </c>
      <c r="H1425" s="12">
        <v>17</v>
      </c>
      <c r="I1425" s="11" t="s">
        <v>1433</v>
      </c>
      <c r="J1425" s="193" t="s">
        <v>1454</v>
      </c>
      <c r="K1425" s="17" t="s">
        <v>233</v>
      </c>
      <c r="L1425" s="17" t="s">
        <v>233</v>
      </c>
      <c r="M1425" s="231">
        <v>21</v>
      </c>
      <c r="N1425" s="231">
        <v>21</v>
      </c>
      <c r="O1425" s="231">
        <v>21</v>
      </c>
      <c r="P1425" s="231" t="s">
        <v>239</v>
      </c>
      <c r="Q1425" s="231">
        <v>21</v>
      </c>
      <c r="R1425" s="231" t="s">
        <v>239</v>
      </c>
      <c r="S1425" s="231">
        <v>21</v>
      </c>
      <c r="T1425" s="231" t="s">
        <v>239</v>
      </c>
      <c r="U1425" s="231">
        <v>21</v>
      </c>
      <c r="V1425" s="231" t="s">
        <v>239</v>
      </c>
      <c r="W1425" s="231">
        <v>21</v>
      </c>
      <c r="X1425" s="231" t="s">
        <v>239</v>
      </c>
      <c r="Y1425" s="231">
        <v>21</v>
      </c>
      <c r="Z1425" s="231" t="s">
        <v>239</v>
      </c>
      <c r="AA1425" s="231">
        <v>21</v>
      </c>
      <c r="AB1425" s="231" t="s">
        <v>239</v>
      </c>
      <c r="AC1425" s="231">
        <v>21</v>
      </c>
      <c r="AD1425" s="231" t="s">
        <v>239</v>
      </c>
      <c r="AE1425" s="231">
        <v>21</v>
      </c>
      <c r="AF1425" s="231" t="s">
        <v>239</v>
      </c>
      <c r="AG1425" s="231">
        <v>21</v>
      </c>
      <c r="AH1425" s="231" t="s">
        <v>239</v>
      </c>
      <c r="AI1425" s="231">
        <v>21</v>
      </c>
      <c r="AJ1425" s="231" t="s">
        <v>239</v>
      </c>
      <c r="AK1425" s="231">
        <v>21</v>
      </c>
      <c r="AL1425" s="232" t="s">
        <v>239</v>
      </c>
      <c r="AM1425" s="232">
        <v>0</v>
      </c>
    </row>
    <row r="1426" spans="1:39" ht="15.75" outlineLevel="1">
      <c r="A1426" s="412"/>
      <c r="B1426" s="10">
        <v>129708</v>
      </c>
      <c r="C1426" s="218" t="s">
        <v>1489</v>
      </c>
      <c r="D1426" s="218" t="s">
        <v>1490</v>
      </c>
      <c r="E1426" s="23" t="s">
        <v>44</v>
      </c>
      <c r="F1426" s="17" t="s">
        <v>45</v>
      </c>
      <c r="G1426" s="11" t="s">
        <v>1432</v>
      </c>
      <c r="H1426" s="12">
        <v>25</v>
      </c>
      <c r="I1426" s="11" t="s">
        <v>1433</v>
      </c>
      <c r="J1426" s="191" t="s">
        <v>216</v>
      </c>
      <c r="K1426" s="17" t="s">
        <v>233</v>
      </c>
      <c r="L1426" s="17" t="s">
        <v>233</v>
      </c>
      <c r="M1426" s="231">
        <v>4222</v>
      </c>
      <c r="N1426" s="232">
        <v>4170.7449200000001</v>
      </c>
      <c r="O1426" s="132">
        <v>902</v>
      </c>
      <c r="P1426" s="231" t="s">
        <v>239</v>
      </c>
      <c r="Q1426" s="232">
        <v>902</v>
      </c>
      <c r="R1426" s="231" t="s">
        <v>239</v>
      </c>
      <c r="S1426" s="232">
        <v>881</v>
      </c>
      <c r="T1426" s="231" t="s">
        <v>239</v>
      </c>
      <c r="U1426" s="232">
        <v>718</v>
      </c>
      <c r="V1426" s="230" t="s">
        <v>239</v>
      </c>
      <c r="W1426" s="232">
        <v>662</v>
      </c>
      <c r="X1426" s="231" t="s">
        <v>239</v>
      </c>
      <c r="Y1426" s="232">
        <v>640</v>
      </c>
      <c r="Z1426" s="231" t="s">
        <v>239</v>
      </c>
      <c r="AA1426" s="232">
        <v>803</v>
      </c>
      <c r="AB1426" s="231" t="s">
        <v>239</v>
      </c>
      <c r="AC1426" s="232">
        <v>782</v>
      </c>
      <c r="AD1426" s="231" t="s">
        <v>239</v>
      </c>
      <c r="AE1426" s="232">
        <v>726</v>
      </c>
      <c r="AF1426" s="231" t="s">
        <v>239</v>
      </c>
      <c r="AG1426" s="232">
        <v>720</v>
      </c>
      <c r="AH1426" s="231" t="s">
        <v>239</v>
      </c>
      <c r="AI1426" s="232">
        <v>719</v>
      </c>
      <c r="AJ1426" s="231" t="s">
        <v>239</v>
      </c>
      <c r="AK1426" s="232">
        <v>723</v>
      </c>
      <c r="AL1426" s="232" t="s">
        <v>239</v>
      </c>
      <c r="AM1426" s="232">
        <v>9178</v>
      </c>
    </row>
    <row r="1427" spans="1:39" ht="15.75" outlineLevel="1">
      <c r="A1427" s="411">
        <v>709</v>
      </c>
      <c r="B1427" s="10">
        <v>129709</v>
      </c>
      <c r="C1427" s="218" t="s">
        <v>1489</v>
      </c>
      <c r="D1427" s="218" t="s">
        <v>1490</v>
      </c>
      <c r="E1427" s="23" t="s">
        <v>138</v>
      </c>
      <c r="F1427" s="17" t="s">
        <v>45</v>
      </c>
      <c r="G1427" s="11" t="s">
        <v>1432</v>
      </c>
      <c r="H1427" s="12">
        <v>13</v>
      </c>
      <c r="I1427" s="11" t="s">
        <v>1433</v>
      </c>
      <c r="J1427" s="192" t="s">
        <v>1434</v>
      </c>
      <c r="K1427" s="17" t="s">
        <v>233</v>
      </c>
      <c r="L1427" s="17" t="s">
        <v>233</v>
      </c>
      <c r="M1427" s="231">
        <v>29</v>
      </c>
      <c r="N1427" s="231">
        <v>29</v>
      </c>
      <c r="O1427" s="231">
        <v>29</v>
      </c>
      <c r="P1427" s="231" t="s">
        <v>239</v>
      </c>
      <c r="Q1427" s="231">
        <v>29</v>
      </c>
      <c r="R1427" s="231" t="s">
        <v>239</v>
      </c>
      <c r="S1427" s="231">
        <v>29</v>
      </c>
      <c r="T1427" s="231" t="s">
        <v>239</v>
      </c>
      <c r="U1427" s="231">
        <v>29</v>
      </c>
      <c r="V1427" s="231" t="s">
        <v>239</v>
      </c>
      <c r="W1427" s="231">
        <v>29</v>
      </c>
      <c r="X1427" s="231" t="s">
        <v>239</v>
      </c>
      <c r="Y1427" s="231">
        <v>29</v>
      </c>
      <c r="Z1427" s="231" t="s">
        <v>239</v>
      </c>
      <c r="AA1427" s="231">
        <v>29</v>
      </c>
      <c r="AB1427" s="231" t="s">
        <v>239</v>
      </c>
      <c r="AC1427" s="231">
        <v>29</v>
      </c>
      <c r="AD1427" s="231" t="s">
        <v>239</v>
      </c>
      <c r="AE1427" s="231">
        <v>29</v>
      </c>
      <c r="AF1427" s="231" t="s">
        <v>239</v>
      </c>
      <c r="AG1427" s="231">
        <v>29</v>
      </c>
      <c r="AH1427" s="231" t="s">
        <v>239</v>
      </c>
      <c r="AI1427" s="231">
        <v>29</v>
      </c>
      <c r="AJ1427" s="231" t="s">
        <v>239</v>
      </c>
      <c r="AK1427" s="231">
        <v>29</v>
      </c>
      <c r="AL1427" s="232" t="s">
        <v>239</v>
      </c>
      <c r="AM1427" s="232">
        <v>0</v>
      </c>
    </row>
    <row r="1428" spans="1:39" ht="15.75" outlineLevel="1">
      <c r="A1428" s="412"/>
      <c r="B1428" s="10">
        <v>129709</v>
      </c>
      <c r="C1428" s="218" t="s">
        <v>1489</v>
      </c>
      <c r="D1428" s="218" t="s">
        <v>1490</v>
      </c>
      <c r="E1428" s="23" t="s">
        <v>44</v>
      </c>
      <c r="F1428" s="17" t="s">
        <v>45</v>
      </c>
      <c r="G1428" s="11" t="s">
        <v>1432</v>
      </c>
      <c r="H1428" s="12">
        <v>5</v>
      </c>
      <c r="I1428" s="11" t="s">
        <v>1433</v>
      </c>
      <c r="J1428" s="192" t="s">
        <v>1480</v>
      </c>
      <c r="K1428" s="17" t="s">
        <v>233</v>
      </c>
      <c r="L1428" s="17" t="s">
        <v>233</v>
      </c>
      <c r="M1428" s="231">
        <v>8939</v>
      </c>
      <c r="N1428" s="232">
        <v>8830.4805400000005</v>
      </c>
      <c r="O1428" s="132">
        <v>1348</v>
      </c>
      <c r="P1428" s="231" t="s">
        <v>239</v>
      </c>
      <c r="Q1428" s="232">
        <v>1348</v>
      </c>
      <c r="R1428" s="231" t="s">
        <v>239</v>
      </c>
      <c r="S1428" s="232">
        <v>1474</v>
      </c>
      <c r="T1428" s="231" t="s">
        <v>239</v>
      </c>
      <c r="U1428" s="232">
        <v>1349</v>
      </c>
      <c r="V1428" s="231" t="s">
        <v>239</v>
      </c>
      <c r="W1428" s="232">
        <v>1243</v>
      </c>
      <c r="X1428" s="231" t="s">
        <v>239</v>
      </c>
      <c r="Y1428" s="232">
        <v>1163</v>
      </c>
      <c r="Z1428" s="231" t="s">
        <v>239</v>
      </c>
      <c r="AA1428" s="232">
        <v>1158</v>
      </c>
      <c r="AB1428" s="231" t="s">
        <v>239</v>
      </c>
      <c r="AC1428" s="232">
        <v>1135</v>
      </c>
      <c r="AD1428" s="231" t="s">
        <v>239</v>
      </c>
      <c r="AE1428" s="232">
        <v>1028</v>
      </c>
      <c r="AF1428" s="231" t="s">
        <v>239</v>
      </c>
      <c r="AG1428" s="232">
        <v>954</v>
      </c>
      <c r="AH1428" s="231" t="s">
        <v>239</v>
      </c>
      <c r="AI1428" s="232">
        <v>1022</v>
      </c>
      <c r="AJ1428" s="231" t="s">
        <v>239</v>
      </c>
      <c r="AK1428" s="232">
        <v>981</v>
      </c>
      <c r="AL1428" s="232" t="s">
        <v>239</v>
      </c>
      <c r="AM1428" s="232">
        <v>14203</v>
      </c>
    </row>
    <row r="1429" spans="1:39" ht="15.75" outlineLevel="1">
      <c r="A1429" s="411">
        <v>710</v>
      </c>
      <c r="B1429" s="10">
        <v>129710</v>
      </c>
      <c r="C1429" s="218" t="s">
        <v>1489</v>
      </c>
      <c r="D1429" s="218" t="s">
        <v>1490</v>
      </c>
      <c r="E1429" s="23" t="s">
        <v>138</v>
      </c>
      <c r="F1429" s="17" t="s">
        <v>45</v>
      </c>
      <c r="G1429" s="11" t="s">
        <v>1432</v>
      </c>
      <c r="H1429" s="12">
        <v>4</v>
      </c>
      <c r="I1429" s="11" t="s">
        <v>1433</v>
      </c>
      <c r="J1429" s="192" t="s">
        <v>1452</v>
      </c>
      <c r="K1429" s="17" t="s">
        <v>233</v>
      </c>
      <c r="L1429" s="17" t="s">
        <v>233</v>
      </c>
      <c r="M1429" s="231">
        <v>29</v>
      </c>
      <c r="N1429" s="231">
        <v>29</v>
      </c>
      <c r="O1429" s="231">
        <v>29</v>
      </c>
      <c r="P1429" s="231" t="s">
        <v>239</v>
      </c>
      <c r="Q1429" s="231">
        <v>29</v>
      </c>
      <c r="R1429" s="231" t="s">
        <v>239</v>
      </c>
      <c r="S1429" s="231">
        <v>29</v>
      </c>
      <c r="T1429" s="231" t="s">
        <v>239</v>
      </c>
      <c r="U1429" s="231">
        <v>29</v>
      </c>
      <c r="V1429" s="230" t="s">
        <v>239</v>
      </c>
      <c r="W1429" s="231">
        <v>29</v>
      </c>
      <c r="X1429" s="231" t="s">
        <v>239</v>
      </c>
      <c r="Y1429" s="231">
        <v>29</v>
      </c>
      <c r="Z1429" s="231" t="s">
        <v>239</v>
      </c>
      <c r="AA1429" s="231">
        <v>29</v>
      </c>
      <c r="AB1429" s="231" t="s">
        <v>239</v>
      </c>
      <c r="AC1429" s="231">
        <v>29</v>
      </c>
      <c r="AD1429" s="231" t="s">
        <v>239</v>
      </c>
      <c r="AE1429" s="231">
        <v>29</v>
      </c>
      <c r="AF1429" s="231" t="s">
        <v>239</v>
      </c>
      <c r="AG1429" s="231">
        <v>29</v>
      </c>
      <c r="AH1429" s="231" t="s">
        <v>239</v>
      </c>
      <c r="AI1429" s="231">
        <v>29</v>
      </c>
      <c r="AJ1429" s="231" t="s">
        <v>239</v>
      </c>
      <c r="AK1429" s="231">
        <v>29</v>
      </c>
      <c r="AL1429" s="232" t="s">
        <v>239</v>
      </c>
      <c r="AM1429" s="232">
        <v>0</v>
      </c>
    </row>
    <row r="1430" spans="1:39" ht="15.75" outlineLevel="1">
      <c r="A1430" s="412"/>
      <c r="B1430" s="10">
        <v>129710</v>
      </c>
      <c r="C1430" s="218" t="s">
        <v>1489</v>
      </c>
      <c r="D1430" s="218" t="s">
        <v>1490</v>
      </c>
      <c r="E1430" s="23" t="s">
        <v>44</v>
      </c>
      <c r="F1430" s="17" t="s">
        <v>45</v>
      </c>
      <c r="G1430" s="11" t="s">
        <v>1432</v>
      </c>
      <c r="H1430" s="12">
        <v>24</v>
      </c>
      <c r="I1430" s="11" t="s">
        <v>1433</v>
      </c>
      <c r="J1430" s="374" t="s">
        <v>207</v>
      </c>
      <c r="K1430" s="17" t="s">
        <v>233</v>
      </c>
      <c r="L1430" s="17" t="s">
        <v>233</v>
      </c>
      <c r="M1430" s="231">
        <v>0</v>
      </c>
      <c r="N1430" s="232">
        <v>0</v>
      </c>
      <c r="O1430" s="132">
        <v>0</v>
      </c>
      <c r="P1430" s="231" t="s">
        <v>239</v>
      </c>
      <c r="Q1430" s="232">
        <v>0</v>
      </c>
      <c r="R1430" s="231" t="s">
        <v>239</v>
      </c>
      <c r="S1430" s="232">
        <v>0</v>
      </c>
      <c r="T1430" s="231" t="s">
        <v>239</v>
      </c>
      <c r="U1430" s="232">
        <v>0</v>
      </c>
      <c r="V1430" s="231" t="s">
        <v>239</v>
      </c>
      <c r="W1430" s="232">
        <v>0</v>
      </c>
      <c r="X1430" s="231" t="s">
        <v>239</v>
      </c>
      <c r="Y1430" s="232">
        <v>0</v>
      </c>
      <c r="Z1430" s="231" t="s">
        <v>239</v>
      </c>
      <c r="AA1430" s="232">
        <v>0</v>
      </c>
      <c r="AB1430" s="231" t="s">
        <v>239</v>
      </c>
      <c r="AC1430" s="232">
        <v>0</v>
      </c>
      <c r="AD1430" s="231" t="s">
        <v>239</v>
      </c>
      <c r="AE1430" s="232">
        <v>0</v>
      </c>
      <c r="AF1430" s="231" t="s">
        <v>239</v>
      </c>
      <c r="AG1430" s="232">
        <v>0</v>
      </c>
      <c r="AH1430" s="231" t="s">
        <v>239</v>
      </c>
      <c r="AI1430" s="232">
        <v>0</v>
      </c>
      <c r="AJ1430" s="231" t="s">
        <v>239</v>
      </c>
      <c r="AK1430" s="232">
        <v>0</v>
      </c>
      <c r="AL1430" s="232" t="s">
        <v>239</v>
      </c>
      <c r="AM1430" s="232">
        <v>0</v>
      </c>
    </row>
    <row r="1431" spans="1:39" ht="15.75" outlineLevel="1">
      <c r="A1431" s="411">
        <v>711</v>
      </c>
      <c r="B1431" s="10">
        <v>129711</v>
      </c>
      <c r="C1431" s="218" t="s">
        <v>1489</v>
      </c>
      <c r="D1431" s="218" t="s">
        <v>1490</v>
      </c>
      <c r="E1431" s="23" t="s">
        <v>44</v>
      </c>
      <c r="F1431" s="17" t="s">
        <v>45</v>
      </c>
      <c r="G1431" s="11" t="s">
        <v>1432</v>
      </c>
      <c r="H1431" s="12">
        <v>10</v>
      </c>
      <c r="I1431" s="11" t="s">
        <v>1433</v>
      </c>
      <c r="J1431" s="375"/>
      <c r="K1431" s="17" t="s">
        <v>233</v>
      </c>
      <c r="L1431" s="17" t="s">
        <v>233</v>
      </c>
      <c r="M1431" s="231">
        <v>30</v>
      </c>
      <c r="N1431" s="231">
        <v>30</v>
      </c>
      <c r="O1431" s="231">
        <v>30</v>
      </c>
      <c r="P1431" s="231" t="s">
        <v>239</v>
      </c>
      <c r="Q1431" s="231">
        <v>30</v>
      </c>
      <c r="R1431" s="231" t="s">
        <v>239</v>
      </c>
      <c r="S1431" s="231">
        <v>30</v>
      </c>
      <c r="T1431" s="231" t="s">
        <v>239</v>
      </c>
      <c r="U1431" s="231">
        <v>30</v>
      </c>
      <c r="V1431" s="231" t="s">
        <v>239</v>
      </c>
      <c r="W1431" s="231">
        <v>30</v>
      </c>
      <c r="X1431" s="231" t="s">
        <v>239</v>
      </c>
      <c r="Y1431" s="231">
        <v>30</v>
      </c>
      <c r="Z1431" s="231" t="s">
        <v>239</v>
      </c>
      <c r="AA1431" s="231">
        <v>30</v>
      </c>
      <c r="AB1431" s="231" t="s">
        <v>239</v>
      </c>
      <c r="AC1431" s="231">
        <v>30</v>
      </c>
      <c r="AD1431" s="231" t="s">
        <v>239</v>
      </c>
      <c r="AE1431" s="231">
        <v>30</v>
      </c>
      <c r="AF1431" s="231" t="s">
        <v>239</v>
      </c>
      <c r="AG1431" s="231">
        <v>30</v>
      </c>
      <c r="AH1431" s="231" t="s">
        <v>239</v>
      </c>
      <c r="AI1431" s="231">
        <v>30</v>
      </c>
      <c r="AJ1431" s="231" t="s">
        <v>239</v>
      </c>
      <c r="AK1431" s="231">
        <v>30</v>
      </c>
      <c r="AL1431" s="232" t="s">
        <v>239</v>
      </c>
      <c r="AM1431" s="232">
        <v>0</v>
      </c>
    </row>
    <row r="1432" spans="1:39" ht="15.75" outlineLevel="1">
      <c r="A1432" s="412"/>
      <c r="B1432" s="10">
        <v>129711</v>
      </c>
      <c r="C1432" s="218" t="s">
        <v>1489</v>
      </c>
      <c r="D1432" s="218" t="s">
        <v>1490</v>
      </c>
      <c r="E1432" s="23" t="s">
        <v>138</v>
      </c>
      <c r="F1432" s="17" t="s">
        <v>45</v>
      </c>
      <c r="G1432" s="11" t="s">
        <v>1432</v>
      </c>
      <c r="H1432" s="12">
        <v>17</v>
      </c>
      <c r="I1432" s="11" t="s">
        <v>1433</v>
      </c>
      <c r="J1432" s="193" t="s">
        <v>1451</v>
      </c>
      <c r="K1432" s="17" t="s">
        <v>233</v>
      </c>
      <c r="L1432" s="17" t="s">
        <v>233</v>
      </c>
      <c r="M1432" s="231">
        <v>7899</v>
      </c>
      <c r="N1432" s="232">
        <v>7803.1061399999999</v>
      </c>
      <c r="O1432" s="132">
        <v>815</v>
      </c>
      <c r="P1432" s="231" t="s">
        <v>239</v>
      </c>
      <c r="Q1432" s="232">
        <v>815</v>
      </c>
      <c r="R1432" s="231" t="s">
        <v>239</v>
      </c>
      <c r="S1432" s="232">
        <v>959</v>
      </c>
      <c r="T1432" s="231" t="s">
        <v>239</v>
      </c>
      <c r="U1432" s="232">
        <v>810</v>
      </c>
      <c r="V1432" s="230" t="s">
        <v>239</v>
      </c>
      <c r="W1432" s="232">
        <v>603</v>
      </c>
      <c r="X1432" s="231" t="s">
        <v>239</v>
      </c>
      <c r="Y1432" s="232">
        <v>758</v>
      </c>
      <c r="Z1432" s="231" t="s">
        <v>239</v>
      </c>
      <c r="AA1432" s="232">
        <v>677</v>
      </c>
      <c r="AB1432" s="231" t="s">
        <v>239</v>
      </c>
      <c r="AC1432" s="232">
        <v>580</v>
      </c>
      <c r="AD1432" s="231" t="s">
        <v>239</v>
      </c>
      <c r="AE1432" s="232">
        <v>753</v>
      </c>
      <c r="AF1432" s="231" t="s">
        <v>239</v>
      </c>
      <c r="AG1432" s="232">
        <v>657</v>
      </c>
      <c r="AH1432" s="231" t="s">
        <v>239</v>
      </c>
      <c r="AI1432" s="232">
        <v>750</v>
      </c>
      <c r="AJ1432" s="231" t="s">
        <v>239</v>
      </c>
      <c r="AK1432" s="232">
        <v>660</v>
      </c>
      <c r="AL1432" s="232" t="s">
        <v>239</v>
      </c>
      <c r="AM1432" s="232">
        <v>8837</v>
      </c>
    </row>
    <row r="1433" spans="1:39" ht="15.75" outlineLevel="1">
      <c r="A1433" s="411">
        <v>712</v>
      </c>
      <c r="B1433" s="10">
        <v>129712</v>
      </c>
      <c r="C1433" s="218" t="s">
        <v>1489</v>
      </c>
      <c r="D1433" s="218" t="s">
        <v>1490</v>
      </c>
      <c r="E1433" s="23" t="s">
        <v>44</v>
      </c>
      <c r="F1433" s="17" t="s">
        <v>45</v>
      </c>
      <c r="G1433" s="11" t="s">
        <v>1432</v>
      </c>
      <c r="H1433" s="12">
        <v>32</v>
      </c>
      <c r="I1433" s="11" t="s">
        <v>1433</v>
      </c>
      <c r="J1433" s="193" t="s">
        <v>208</v>
      </c>
      <c r="K1433" s="17" t="s">
        <v>233</v>
      </c>
      <c r="L1433" s="17" t="s">
        <v>233</v>
      </c>
      <c r="M1433" s="231">
        <v>0.4</v>
      </c>
      <c r="N1433" s="231">
        <v>0.4</v>
      </c>
      <c r="O1433" s="231">
        <v>0.4</v>
      </c>
      <c r="P1433" s="231" t="s">
        <v>239</v>
      </c>
      <c r="Q1433" s="231">
        <v>0.4</v>
      </c>
      <c r="R1433" s="231" t="s">
        <v>239</v>
      </c>
      <c r="S1433" s="231">
        <v>0.4</v>
      </c>
      <c r="T1433" s="231" t="s">
        <v>239</v>
      </c>
      <c r="U1433" s="231">
        <v>0.4</v>
      </c>
      <c r="V1433" s="231" t="s">
        <v>239</v>
      </c>
      <c r="W1433" s="231">
        <v>0.4</v>
      </c>
      <c r="X1433" s="231" t="s">
        <v>239</v>
      </c>
      <c r="Y1433" s="231">
        <v>0.4</v>
      </c>
      <c r="Z1433" s="231" t="s">
        <v>239</v>
      </c>
      <c r="AA1433" s="231">
        <v>0.4</v>
      </c>
      <c r="AB1433" s="231" t="s">
        <v>239</v>
      </c>
      <c r="AC1433" s="231">
        <v>0.4</v>
      </c>
      <c r="AD1433" s="231" t="s">
        <v>239</v>
      </c>
      <c r="AE1433" s="231">
        <v>0.4</v>
      </c>
      <c r="AF1433" s="231" t="s">
        <v>239</v>
      </c>
      <c r="AG1433" s="231">
        <v>0.4</v>
      </c>
      <c r="AH1433" s="231" t="s">
        <v>239</v>
      </c>
      <c r="AI1433" s="231">
        <v>0.4</v>
      </c>
      <c r="AJ1433" s="231" t="s">
        <v>239</v>
      </c>
      <c r="AK1433" s="231">
        <v>0.4</v>
      </c>
      <c r="AL1433" s="232" t="s">
        <v>239</v>
      </c>
      <c r="AM1433" s="232">
        <v>0</v>
      </c>
    </row>
    <row r="1434" spans="1:39" ht="15.75" outlineLevel="1">
      <c r="A1434" s="412"/>
      <c r="B1434" s="10">
        <v>129712</v>
      </c>
      <c r="C1434" s="218" t="s">
        <v>1489</v>
      </c>
      <c r="D1434" s="218" t="s">
        <v>1490</v>
      </c>
      <c r="E1434" s="23" t="s">
        <v>138</v>
      </c>
      <c r="F1434" s="17" t="s">
        <v>45</v>
      </c>
      <c r="G1434" s="11" t="s">
        <v>1432</v>
      </c>
      <c r="H1434" s="12">
        <v>8</v>
      </c>
      <c r="I1434" s="11" t="s">
        <v>1433</v>
      </c>
      <c r="J1434" s="193" t="s">
        <v>1452</v>
      </c>
      <c r="K1434" s="17" t="s">
        <v>233</v>
      </c>
      <c r="L1434" s="17" t="s">
        <v>233</v>
      </c>
      <c r="M1434" s="231">
        <v>215</v>
      </c>
      <c r="N1434" s="232">
        <v>212.38989999999998</v>
      </c>
      <c r="O1434" s="132">
        <v>125</v>
      </c>
      <c r="P1434" s="231" t="s">
        <v>239</v>
      </c>
      <c r="Q1434" s="232">
        <v>125</v>
      </c>
      <c r="R1434" s="231" t="s">
        <v>239</v>
      </c>
      <c r="S1434" s="232">
        <v>83</v>
      </c>
      <c r="T1434" s="231" t="s">
        <v>239</v>
      </c>
      <c r="U1434" s="232">
        <v>10</v>
      </c>
      <c r="V1434" s="231" t="s">
        <v>239</v>
      </c>
      <c r="W1434" s="232">
        <v>5</v>
      </c>
      <c r="X1434" s="231" t="s">
        <v>239</v>
      </c>
      <c r="Y1434" s="232">
        <v>274</v>
      </c>
      <c r="Z1434" s="231" t="s">
        <v>239</v>
      </c>
      <c r="AA1434" s="232">
        <v>0</v>
      </c>
      <c r="AB1434" s="231" t="s">
        <v>239</v>
      </c>
      <c r="AC1434" s="232">
        <v>4</v>
      </c>
      <c r="AD1434" s="231" t="s">
        <v>239</v>
      </c>
      <c r="AE1434" s="232">
        <v>16</v>
      </c>
      <c r="AF1434" s="231" t="s">
        <v>239</v>
      </c>
      <c r="AG1434" s="232">
        <v>496</v>
      </c>
      <c r="AH1434" s="231" t="s">
        <v>239</v>
      </c>
      <c r="AI1434" s="232">
        <v>30</v>
      </c>
      <c r="AJ1434" s="231" t="s">
        <v>239</v>
      </c>
      <c r="AK1434" s="232">
        <v>9</v>
      </c>
      <c r="AL1434" s="232" t="s">
        <v>239</v>
      </c>
      <c r="AM1434" s="232">
        <v>1177</v>
      </c>
    </row>
    <row r="1435" spans="1:39" ht="15.75" outlineLevel="1">
      <c r="A1435" s="411">
        <v>713</v>
      </c>
      <c r="B1435" s="10">
        <v>129713</v>
      </c>
      <c r="C1435" s="218" t="s">
        <v>1489</v>
      </c>
      <c r="D1435" s="218" t="s">
        <v>1490</v>
      </c>
      <c r="E1435" s="23" t="s">
        <v>44</v>
      </c>
      <c r="F1435" s="17" t="s">
        <v>45</v>
      </c>
      <c r="G1435" s="11" t="s">
        <v>1432</v>
      </c>
      <c r="H1435" s="12">
        <v>12</v>
      </c>
      <c r="I1435" s="11" t="s">
        <v>1433</v>
      </c>
      <c r="J1435" s="193" t="s">
        <v>216</v>
      </c>
      <c r="K1435" s="17" t="s">
        <v>233</v>
      </c>
      <c r="L1435" s="17" t="s">
        <v>233</v>
      </c>
      <c r="M1435" s="231">
        <v>0.8</v>
      </c>
      <c r="N1435" s="231">
        <v>0.8</v>
      </c>
      <c r="O1435" s="231">
        <v>0.8</v>
      </c>
      <c r="P1435" s="231" t="s">
        <v>239</v>
      </c>
      <c r="Q1435" s="231">
        <v>0.8</v>
      </c>
      <c r="R1435" s="231" t="s">
        <v>239</v>
      </c>
      <c r="S1435" s="231">
        <v>0.8</v>
      </c>
      <c r="T1435" s="231" t="s">
        <v>239</v>
      </c>
      <c r="U1435" s="231">
        <v>0.8</v>
      </c>
      <c r="V1435" s="230" t="s">
        <v>239</v>
      </c>
      <c r="W1435" s="231">
        <v>0.8</v>
      </c>
      <c r="X1435" s="231" t="s">
        <v>239</v>
      </c>
      <c r="Y1435" s="231">
        <v>0.8</v>
      </c>
      <c r="Z1435" s="231" t="s">
        <v>239</v>
      </c>
      <c r="AA1435" s="231">
        <v>0.8</v>
      </c>
      <c r="AB1435" s="231" t="s">
        <v>239</v>
      </c>
      <c r="AC1435" s="231">
        <v>0.8</v>
      </c>
      <c r="AD1435" s="231" t="s">
        <v>239</v>
      </c>
      <c r="AE1435" s="231">
        <v>0.8</v>
      </c>
      <c r="AF1435" s="231" t="s">
        <v>239</v>
      </c>
      <c r="AG1435" s="231">
        <v>0.8</v>
      </c>
      <c r="AH1435" s="231" t="s">
        <v>239</v>
      </c>
      <c r="AI1435" s="231">
        <v>0.8</v>
      </c>
      <c r="AJ1435" s="231" t="s">
        <v>239</v>
      </c>
      <c r="AK1435" s="231">
        <v>0.8</v>
      </c>
      <c r="AL1435" s="232" t="s">
        <v>239</v>
      </c>
      <c r="AM1435" s="232">
        <v>0</v>
      </c>
    </row>
    <row r="1436" spans="1:39" ht="15.75" outlineLevel="1">
      <c r="A1436" s="412"/>
      <c r="B1436" s="10">
        <v>129713</v>
      </c>
      <c r="C1436" s="218" t="s">
        <v>1489</v>
      </c>
      <c r="D1436" s="218" t="s">
        <v>1490</v>
      </c>
      <c r="E1436" s="23" t="s">
        <v>44</v>
      </c>
      <c r="F1436" s="17" t="s">
        <v>45</v>
      </c>
      <c r="G1436" s="11" t="s">
        <v>1432</v>
      </c>
      <c r="H1436" s="12">
        <v>18</v>
      </c>
      <c r="I1436" s="11" t="s">
        <v>1433</v>
      </c>
      <c r="J1436" s="193" t="s">
        <v>1453</v>
      </c>
      <c r="K1436" s="17" t="s">
        <v>233</v>
      </c>
      <c r="L1436" s="17" t="s">
        <v>233</v>
      </c>
      <c r="M1436" s="231">
        <v>4656</v>
      </c>
      <c r="N1436" s="232">
        <v>4599.4761600000002</v>
      </c>
      <c r="O1436" s="132">
        <v>1034</v>
      </c>
      <c r="P1436" s="231" t="s">
        <v>239</v>
      </c>
      <c r="Q1436" s="232">
        <v>1034</v>
      </c>
      <c r="R1436" s="231" t="s">
        <v>239</v>
      </c>
      <c r="S1436" s="232">
        <v>1002</v>
      </c>
      <c r="T1436" s="231" t="s">
        <v>239</v>
      </c>
      <c r="U1436" s="232">
        <v>1050</v>
      </c>
      <c r="V1436" s="231" t="s">
        <v>239</v>
      </c>
      <c r="W1436" s="232">
        <v>841</v>
      </c>
      <c r="X1436" s="231" t="s">
        <v>239</v>
      </c>
      <c r="Y1436" s="232">
        <v>772</v>
      </c>
      <c r="Z1436" s="231" t="s">
        <v>239</v>
      </c>
      <c r="AA1436" s="232">
        <v>690</v>
      </c>
      <c r="AB1436" s="231" t="s">
        <v>239</v>
      </c>
      <c r="AC1436" s="232">
        <v>787</v>
      </c>
      <c r="AD1436" s="231" t="s">
        <v>239</v>
      </c>
      <c r="AE1436" s="232">
        <v>777</v>
      </c>
      <c r="AF1436" s="231" t="s">
        <v>239</v>
      </c>
      <c r="AG1436" s="232">
        <v>812</v>
      </c>
      <c r="AH1436" s="231" t="s">
        <v>239</v>
      </c>
      <c r="AI1436" s="232">
        <v>843</v>
      </c>
      <c r="AJ1436" s="231" t="s">
        <v>239</v>
      </c>
      <c r="AK1436" s="232">
        <v>811</v>
      </c>
      <c r="AL1436" s="232" t="s">
        <v>239</v>
      </c>
      <c r="AM1436" s="232">
        <v>10453</v>
      </c>
    </row>
    <row r="1437" spans="1:39" ht="15.75" outlineLevel="1">
      <c r="A1437" s="411">
        <v>714</v>
      </c>
      <c r="B1437" s="10">
        <v>129714</v>
      </c>
      <c r="C1437" s="218" t="s">
        <v>1489</v>
      </c>
      <c r="D1437" s="218" t="s">
        <v>1490</v>
      </c>
      <c r="E1437" s="23" t="s">
        <v>138</v>
      </c>
      <c r="F1437" s="17" t="s">
        <v>45</v>
      </c>
      <c r="G1437" s="11" t="s">
        <v>1432</v>
      </c>
      <c r="H1437" s="12">
        <v>17</v>
      </c>
      <c r="I1437" s="11" t="s">
        <v>1433</v>
      </c>
      <c r="J1437" s="193" t="s">
        <v>1454</v>
      </c>
      <c r="K1437" s="17" t="s">
        <v>233</v>
      </c>
      <c r="L1437" s="17" t="s">
        <v>233</v>
      </c>
      <c r="M1437" s="231">
        <v>1</v>
      </c>
      <c r="N1437" s="231">
        <v>1</v>
      </c>
      <c r="O1437" s="231">
        <v>1</v>
      </c>
      <c r="P1437" s="231" t="s">
        <v>239</v>
      </c>
      <c r="Q1437" s="231">
        <v>1</v>
      </c>
      <c r="R1437" s="231" t="s">
        <v>239</v>
      </c>
      <c r="S1437" s="231">
        <v>1</v>
      </c>
      <c r="T1437" s="231" t="s">
        <v>239</v>
      </c>
      <c r="U1437" s="231">
        <v>1</v>
      </c>
      <c r="V1437" s="231" t="s">
        <v>239</v>
      </c>
      <c r="W1437" s="231">
        <v>1</v>
      </c>
      <c r="X1437" s="231" t="s">
        <v>239</v>
      </c>
      <c r="Y1437" s="231">
        <v>1</v>
      </c>
      <c r="Z1437" s="231" t="s">
        <v>239</v>
      </c>
      <c r="AA1437" s="231">
        <v>1</v>
      </c>
      <c r="AB1437" s="231" t="s">
        <v>239</v>
      </c>
      <c r="AC1437" s="231">
        <v>1</v>
      </c>
      <c r="AD1437" s="231" t="s">
        <v>239</v>
      </c>
      <c r="AE1437" s="231">
        <v>1</v>
      </c>
      <c r="AF1437" s="231" t="s">
        <v>239</v>
      </c>
      <c r="AG1437" s="231">
        <v>1</v>
      </c>
      <c r="AH1437" s="231" t="s">
        <v>239</v>
      </c>
      <c r="AI1437" s="231">
        <v>1</v>
      </c>
      <c r="AJ1437" s="231" t="s">
        <v>239</v>
      </c>
      <c r="AK1437" s="231">
        <v>1</v>
      </c>
      <c r="AL1437" s="232" t="s">
        <v>239</v>
      </c>
      <c r="AM1437" s="232">
        <v>0</v>
      </c>
    </row>
    <row r="1438" spans="1:39" ht="15.75" outlineLevel="1">
      <c r="A1438" s="412"/>
      <c r="B1438" s="10">
        <v>129714</v>
      </c>
      <c r="C1438" s="218" t="s">
        <v>1489</v>
      </c>
      <c r="D1438" s="218" t="s">
        <v>1490</v>
      </c>
      <c r="E1438" s="23" t="s">
        <v>44</v>
      </c>
      <c r="F1438" s="17" t="s">
        <v>45</v>
      </c>
      <c r="G1438" s="11" t="s">
        <v>1432</v>
      </c>
      <c r="H1438" s="12">
        <v>25</v>
      </c>
      <c r="I1438" s="11" t="s">
        <v>1433</v>
      </c>
      <c r="J1438" s="191" t="s">
        <v>216</v>
      </c>
      <c r="K1438" s="17" t="s">
        <v>233</v>
      </c>
      <c r="L1438" s="17" t="s">
        <v>233</v>
      </c>
      <c r="M1438" s="231">
        <v>4955</v>
      </c>
      <c r="N1438" s="232">
        <v>4894.8463000000002</v>
      </c>
      <c r="O1438" s="132">
        <v>635</v>
      </c>
      <c r="P1438" s="231" t="s">
        <v>239</v>
      </c>
      <c r="Q1438" s="232">
        <v>635</v>
      </c>
      <c r="R1438" s="231" t="s">
        <v>239</v>
      </c>
      <c r="S1438" s="232">
        <v>716</v>
      </c>
      <c r="T1438" s="231" t="s">
        <v>239</v>
      </c>
      <c r="U1438" s="232">
        <v>710</v>
      </c>
      <c r="V1438" s="230" t="s">
        <v>239</v>
      </c>
      <c r="W1438" s="232">
        <v>478</v>
      </c>
      <c r="X1438" s="231" t="s">
        <v>239</v>
      </c>
      <c r="Y1438" s="232">
        <v>467</v>
      </c>
      <c r="Z1438" s="231" t="s">
        <v>239</v>
      </c>
      <c r="AA1438" s="232">
        <v>452</v>
      </c>
      <c r="AB1438" s="231" t="s">
        <v>239</v>
      </c>
      <c r="AC1438" s="232">
        <v>449</v>
      </c>
      <c r="AD1438" s="231" t="s">
        <v>239</v>
      </c>
      <c r="AE1438" s="232">
        <v>511</v>
      </c>
      <c r="AF1438" s="231" t="s">
        <v>239</v>
      </c>
      <c r="AG1438" s="232">
        <v>549</v>
      </c>
      <c r="AH1438" s="231" t="s">
        <v>239</v>
      </c>
      <c r="AI1438" s="232">
        <v>633</v>
      </c>
      <c r="AJ1438" s="231" t="s">
        <v>239</v>
      </c>
      <c r="AK1438" s="232">
        <v>651</v>
      </c>
      <c r="AL1438" s="232" t="s">
        <v>239</v>
      </c>
      <c r="AM1438" s="232">
        <v>6886</v>
      </c>
    </row>
    <row r="1439" spans="1:39" ht="15.75" outlineLevel="1">
      <c r="A1439" s="411">
        <v>715</v>
      </c>
      <c r="B1439" s="10">
        <v>129715</v>
      </c>
      <c r="C1439" s="218" t="s">
        <v>1489</v>
      </c>
      <c r="D1439" s="218" t="s">
        <v>1490</v>
      </c>
      <c r="E1439" s="23" t="s">
        <v>138</v>
      </c>
      <c r="F1439" s="17" t="s">
        <v>45</v>
      </c>
      <c r="G1439" s="11" t="s">
        <v>1432</v>
      </c>
      <c r="H1439" s="12">
        <v>13</v>
      </c>
      <c r="I1439" s="11" t="s">
        <v>1433</v>
      </c>
      <c r="J1439" s="192" t="s">
        <v>1434</v>
      </c>
      <c r="K1439" s="17" t="s">
        <v>233</v>
      </c>
      <c r="L1439" s="17" t="s">
        <v>233</v>
      </c>
      <c r="M1439" s="231">
        <v>1</v>
      </c>
      <c r="N1439" s="231">
        <v>1</v>
      </c>
      <c r="O1439" s="231">
        <v>1</v>
      </c>
      <c r="P1439" s="231" t="s">
        <v>239</v>
      </c>
      <c r="Q1439" s="231">
        <v>1</v>
      </c>
      <c r="R1439" s="231" t="s">
        <v>239</v>
      </c>
      <c r="S1439" s="231">
        <v>1</v>
      </c>
      <c r="T1439" s="231" t="s">
        <v>239</v>
      </c>
      <c r="U1439" s="231">
        <v>1</v>
      </c>
      <c r="V1439" s="231" t="s">
        <v>239</v>
      </c>
      <c r="W1439" s="231">
        <v>1</v>
      </c>
      <c r="X1439" s="231" t="s">
        <v>239</v>
      </c>
      <c r="Y1439" s="231">
        <v>1</v>
      </c>
      <c r="Z1439" s="231" t="s">
        <v>239</v>
      </c>
      <c r="AA1439" s="231">
        <v>1</v>
      </c>
      <c r="AB1439" s="231" t="s">
        <v>239</v>
      </c>
      <c r="AC1439" s="231">
        <v>1</v>
      </c>
      <c r="AD1439" s="231" t="s">
        <v>239</v>
      </c>
      <c r="AE1439" s="231">
        <v>1</v>
      </c>
      <c r="AF1439" s="231" t="s">
        <v>239</v>
      </c>
      <c r="AG1439" s="231">
        <v>1</v>
      </c>
      <c r="AH1439" s="231" t="s">
        <v>239</v>
      </c>
      <c r="AI1439" s="231">
        <v>1</v>
      </c>
      <c r="AJ1439" s="231" t="s">
        <v>239</v>
      </c>
      <c r="AK1439" s="231">
        <v>1</v>
      </c>
      <c r="AL1439" s="232" t="s">
        <v>239</v>
      </c>
      <c r="AM1439" s="232">
        <v>0</v>
      </c>
    </row>
    <row r="1440" spans="1:39" ht="15.75" outlineLevel="1">
      <c r="A1440" s="412"/>
      <c r="B1440" s="10">
        <v>129715</v>
      </c>
      <c r="C1440" s="218" t="s">
        <v>1489</v>
      </c>
      <c r="D1440" s="218" t="s">
        <v>1490</v>
      </c>
      <c r="E1440" s="23" t="s">
        <v>44</v>
      </c>
      <c r="F1440" s="17" t="s">
        <v>45</v>
      </c>
      <c r="G1440" s="11" t="s">
        <v>1432</v>
      </c>
      <c r="H1440" s="12">
        <v>5</v>
      </c>
      <c r="I1440" s="11" t="s">
        <v>1433</v>
      </c>
      <c r="J1440" s="193" t="s">
        <v>1451</v>
      </c>
      <c r="K1440" s="17" t="s">
        <v>233</v>
      </c>
      <c r="L1440" s="17" t="s">
        <v>233</v>
      </c>
      <c r="M1440" s="231">
        <v>0</v>
      </c>
      <c r="N1440" s="232">
        <v>0</v>
      </c>
      <c r="O1440" s="132">
        <v>0</v>
      </c>
      <c r="P1440" s="231" t="s">
        <v>239</v>
      </c>
      <c r="Q1440" s="232">
        <v>0</v>
      </c>
      <c r="R1440" s="231" t="s">
        <v>239</v>
      </c>
      <c r="S1440" s="232">
        <v>0</v>
      </c>
      <c r="T1440" s="231" t="s">
        <v>239</v>
      </c>
      <c r="U1440" s="232">
        <v>0</v>
      </c>
      <c r="V1440" s="231" t="s">
        <v>239</v>
      </c>
      <c r="W1440" s="232">
        <v>0</v>
      </c>
      <c r="X1440" s="231" t="s">
        <v>239</v>
      </c>
      <c r="Y1440" s="232">
        <v>0</v>
      </c>
      <c r="Z1440" s="231" t="s">
        <v>239</v>
      </c>
      <c r="AA1440" s="232">
        <v>0</v>
      </c>
      <c r="AB1440" s="231" t="s">
        <v>239</v>
      </c>
      <c r="AC1440" s="232">
        <v>0</v>
      </c>
      <c r="AD1440" s="231" t="s">
        <v>239</v>
      </c>
      <c r="AE1440" s="232">
        <v>0</v>
      </c>
      <c r="AF1440" s="231" t="s">
        <v>239</v>
      </c>
      <c r="AG1440" s="232">
        <v>0</v>
      </c>
      <c r="AH1440" s="231" t="s">
        <v>239</v>
      </c>
      <c r="AI1440" s="232">
        <v>0</v>
      </c>
      <c r="AJ1440" s="231" t="s">
        <v>239</v>
      </c>
      <c r="AK1440" s="232">
        <v>0</v>
      </c>
      <c r="AL1440" s="232" t="s">
        <v>239</v>
      </c>
      <c r="AM1440" s="232">
        <v>0</v>
      </c>
    </row>
    <row r="1441" spans="1:39" ht="15.75" outlineLevel="1">
      <c r="A1441" s="411">
        <v>716</v>
      </c>
      <c r="B1441" s="10">
        <v>129716</v>
      </c>
      <c r="C1441" s="218" t="s">
        <v>1489</v>
      </c>
      <c r="D1441" s="218" t="s">
        <v>1490</v>
      </c>
      <c r="E1441" s="23" t="s">
        <v>138</v>
      </c>
      <c r="F1441" s="17" t="s">
        <v>45</v>
      </c>
      <c r="G1441" s="11" t="s">
        <v>1432</v>
      </c>
      <c r="H1441" s="12">
        <v>4</v>
      </c>
      <c r="I1441" s="11" t="s">
        <v>1433</v>
      </c>
      <c r="J1441" s="193" t="s">
        <v>208</v>
      </c>
      <c r="K1441" s="17" t="s">
        <v>233</v>
      </c>
      <c r="L1441" s="17" t="s">
        <v>233</v>
      </c>
      <c r="M1441" s="231">
        <v>11.5</v>
      </c>
      <c r="N1441" s="231">
        <v>11.5</v>
      </c>
      <c r="O1441" s="231">
        <v>11.5</v>
      </c>
      <c r="P1441" s="231" t="s">
        <v>239</v>
      </c>
      <c r="Q1441" s="231">
        <v>11.5</v>
      </c>
      <c r="R1441" s="231" t="s">
        <v>239</v>
      </c>
      <c r="S1441" s="231">
        <v>11.5</v>
      </c>
      <c r="T1441" s="231" t="s">
        <v>239</v>
      </c>
      <c r="U1441" s="231">
        <v>11.5</v>
      </c>
      <c r="V1441" s="230" t="s">
        <v>239</v>
      </c>
      <c r="W1441" s="231">
        <v>11.5</v>
      </c>
      <c r="X1441" s="231" t="s">
        <v>239</v>
      </c>
      <c r="Y1441" s="231">
        <v>11.5</v>
      </c>
      <c r="Z1441" s="231" t="s">
        <v>239</v>
      </c>
      <c r="AA1441" s="231">
        <v>11.5</v>
      </c>
      <c r="AB1441" s="231" t="s">
        <v>239</v>
      </c>
      <c r="AC1441" s="231">
        <v>11.5</v>
      </c>
      <c r="AD1441" s="231" t="s">
        <v>239</v>
      </c>
      <c r="AE1441" s="231">
        <v>11.5</v>
      </c>
      <c r="AF1441" s="231" t="s">
        <v>239</v>
      </c>
      <c r="AG1441" s="231">
        <v>11.5</v>
      </c>
      <c r="AH1441" s="231" t="s">
        <v>239</v>
      </c>
      <c r="AI1441" s="231">
        <v>11.5</v>
      </c>
      <c r="AJ1441" s="231" t="s">
        <v>239</v>
      </c>
      <c r="AK1441" s="231">
        <v>11.5</v>
      </c>
      <c r="AL1441" s="232" t="s">
        <v>239</v>
      </c>
      <c r="AM1441" s="232">
        <v>0</v>
      </c>
    </row>
    <row r="1442" spans="1:39" ht="15.75" outlineLevel="1">
      <c r="A1442" s="412"/>
      <c r="B1442" s="10">
        <v>129716</v>
      </c>
      <c r="C1442" s="218" t="s">
        <v>1489</v>
      </c>
      <c r="D1442" s="218" t="s">
        <v>1490</v>
      </c>
      <c r="E1442" s="23" t="s">
        <v>44</v>
      </c>
      <c r="F1442" s="17" t="s">
        <v>45</v>
      </c>
      <c r="G1442" s="11" t="s">
        <v>1432</v>
      </c>
      <c r="H1442" s="12">
        <v>18</v>
      </c>
      <c r="I1442" s="11" t="s">
        <v>1433</v>
      </c>
      <c r="J1442" s="193" t="s">
        <v>1452</v>
      </c>
      <c r="K1442" s="17" t="s">
        <v>233</v>
      </c>
      <c r="L1442" s="17" t="s">
        <v>233</v>
      </c>
      <c r="M1442" s="231">
        <v>42363</v>
      </c>
      <c r="N1442" s="232">
        <v>41848.713179999999</v>
      </c>
      <c r="O1442" s="132">
        <v>1451</v>
      </c>
      <c r="P1442" s="231" t="s">
        <v>239</v>
      </c>
      <c r="Q1442" s="232">
        <v>1451</v>
      </c>
      <c r="R1442" s="231" t="s">
        <v>239</v>
      </c>
      <c r="S1442" s="232">
        <v>1432</v>
      </c>
      <c r="T1442" s="231" t="s">
        <v>239</v>
      </c>
      <c r="U1442" s="232">
        <v>1515</v>
      </c>
      <c r="V1442" s="231" t="s">
        <v>239</v>
      </c>
      <c r="W1442" s="232">
        <v>1354</v>
      </c>
      <c r="X1442" s="231" t="s">
        <v>239</v>
      </c>
      <c r="Y1442" s="232">
        <v>1392</v>
      </c>
      <c r="Z1442" s="231" t="s">
        <v>239</v>
      </c>
      <c r="AA1442" s="232">
        <v>1356</v>
      </c>
      <c r="AB1442" s="231" t="s">
        <v>239</v>
      </c>
      <c r="AC1442" s="232">
        <v>1256</v>
      </c>
      <c r="AD1442" s="231" t="s">
        <v>239</v>
      </c>
      <c r="AE1442" s="232">
        <v>1261</v>
      </c>
      <c r="AF1442" s="231" t="s">
        <v>239</v>
      </c>
      <c r="AG1442" s="232">
        <v>433</v>
      </c>
      <c r="AH1442" s="231" t="s">
        <v>239</v>
      </c>
      <c r="AI1442" s="232">
        <v>573</v>
      </c>
      <c r="AJ1442" s="231" t="s">
        <v>239</v>
      </c>
      <c r="AK1442" s="232">
        <v>363</v>
      </c>
      <c r="AL1442" s="232" t="s">
        <v>239</v>
      </c>
      <c r="AM1442" s="232">
        <v>13837</v>
      </c>
    </row>
    <row r="1443" spans="1:39" ht="15.75" outlineLevel="1">
      <c r="A1443" s="411">
        <v>717</v>
      </c>
      <c r="B1443" s="10">
        <v>129717</v>
      </c>
      <c r="C1443" s="218" t="s">
        <v>1489</v>
      </c>
      <c r="D1443" s="218" t="s">
        <v>1490</v>
      </c>
      <c r="E1443" s="23" t="s">
        <v>138</v>
      </c>
      <c r="F1443" s="17" t="s">
        <v>45</v>
      </c>
      <c r="G1443" s="11" t="s">
        <v>1432</v>
      </c>
      <c r="H1443" s="12">
        <v>17</v>
      </c>
      <c r="I1443" s="11" t="s">
        <v>1433</v>
      </c>
      <c r="J1443" s="193" t="s">
        <v>216</v>
      </c>
      <c r="K1443" s="17" t="s">
        <v>233</v>
      </c>
      <c r="L1443" s="17" t="s">
        <v>233</v>
      </c>
      <c r="M1443" s="231">
        <v>12.7</v>
      </c>
      <c r="N1443" s="231">
        <v>12.7</v>
      </c>
      <c r="O1443" s="231">
        <v>12.7</v>
      </c>
      <c r="P1443" s="231" t="s">
        <v>239</v>
      </c>
      <c r="Q1443" s="231">
        <v>12.7</v>
      </c>
      <c r="R1443" s="231" t="s">
        <v>239</v>
      </c>
      <c r="S1443" s="231">
        <v>12.7</v>
      </c>
      <c r="T1443" s="231" t="s">
        <v>239</v>
      </c>
      <c r="U1443" s="231">
        <v>12.7</v>
      </c>
      <c r="V1443" s="231" t="s">
        <v>239</v>
      </c>
      <c r="W1443" s="231">
        <v>12.7</v>
      </c>
      <c r="X1443" s="231" t="s">
        <v>239</v>
      </c>
      <c r="Y1443" s="231">
        <v>12.7</v>
      </c>
      <c r="Z1443" s="231" t="s">
        <v>239</v>
      </c>
      <c r="AA1443" s="231">
        <v>12.7</v>
      </c>
      <c r="AB1443" s="231" t="s">
        <v>239</v>
      </c>
      <c r="AC1443" s="231">
        <v>12.7</v>
      </c>
      <c r="AD1443" s="231" t="s">
        <v>239</v>
      </c>
      <c r="AE1443" s="231">
        <v>12.7</v>
      </c>
      <c r="AF1443" s="231" t="s">
        <v>239</v>
      </c>
      <c r="AG1443" s="231">
        <v>12.7</v>
      </c>
      <c r="AH1443" s="231" t="s">
        <v>239</v>
      </c>
      <c r="AI1443" s="231">
        <v>12.7</v>
      </c>
      <c r="AJ1443" s="231" t="s">
        <v>239</v>
      </c>
      <c r="AK1443" s="231">
        <v>12.7</v>
      </c>
      <c r="AL1443" s="232" t="s">
        <v>239</v>
      </c>
      <c r="AM1443" s="232">
        <v>0</v>
      </c>
    </row>
    <row r="1444" spans="1:39" ht="15.75" outlineLevel="1">
      <c r="A1444" s="412"/>
      <c r="B1444" s="10">
        <v>129717</v>
      </c>
      <c r="C1444" s="218" t="s">
        <v>1489</v>
      </c>
      <c r="D1444" s="218" t="s">
        <v>1490</v>
      </c>
      <c r="E1444" s="23" t="s">
        <v>44</v>
      </c>
      <c r="F1444" s="17" t="s">
        <v>45</v>
      </c>
      <c r="G1444" s="11" t="s">
        <v>1432</v>
      </c>
      <c r="H1444" s="12">
        <v>28</v>
      </c>
      <c r="I1444" s="11" t="s">
        <v>1433</v>
      </c>
      <c r="J1444" s="193" t="s">
        <v>1453</v>
      </c>
      <c r="K1444" s="17" t="s">
        <v>233</v>
      </c>
      <c r="L1444" s="17" t="s">
        <v>233</v>
      </c>
      <c r="M1444" s="231">
        <v>59016</v>
      </c>
      <c r="N1444" s="232">
        <v>58299.545760000001</v>
      </c>
      <c r="O1444" s="132">
        <v>2850</v>
      </c>
      <c r="P1444" s="231" t="s">
        <v>239</v>
      </c>
      <c r="Q1444" s="232">
        <v>2850</v>
      </c>
      <c r="R1444" s="231" t="s">
        <v>239</v>
      </c>
      <c r="S1444" s="232">
        <v>2174</v>
      </c>
      <c r="T1444" s="231" t="s">
        <v>239</v>
      </c>
      <c r="U1444" s="232">
        <v>2433</v>
      </c>
      <c r="V1444" s="230" t="s">
        <v>239</v>
      </c>
      <c r="W1444" s="232">
        <v>2356</v>
      </c>
      <c r="X1444" s="231" t="s">
        <v>239</v>
      </c>
      <c r="Y1444" s="232">
        <v>2154</v>
      </c>
      <c r="Z1444" s="231" t="s">
        <v>239</v>
      </c>
      <c r="AA1444" s="232">
        <v>1999</v>
      </c>
      <c r="AB1444" s="231" t="s">
        <v>239</v>
      </c>
      <c r="AC1444" s="232">
        <v>2021</v>
      </c>
      <c r="AD1444" s="231" t="s">
        <v>239</v>
      </c>
      <c r="AE1444" s="232">
        <v>2210</v>
      </c>
      <c r="AF1444" s="231" t="s">
        <v>239</v>
      </c>
      <c r="AG1444" s="232">
        <v>1987</v>
      </c>
      <c r="AH1444" s="231" t="s">
        <v>239</v>
      </c>
      <c r="AI1444" s="232">
        <v>1908</v>
      </c>
      <c r="AJ1444" s="231" t="s">
        <v>239</v>
      </c>
      <c r="AK1444" s="232">
        <v>2370</v>
      </c>
      <c r="AL1444" s="232" t="s">
        <v>239</v>
      </c>
      <c r="AM1444" s="232">
        <v>27312</v>
      </c>
    </row>
    <row r="1445" spans="1:39" ht="15.75" outlineLevel="1">
      <c r="A1445" s="411">
        <v>718</v>
      </c>
      <c r="B1445" s="10">
        <v>129718</v>
      </c>
      <c r="C1445" s="218" t="s">
        <v>1489</v>
      </c>
      <c r="D1445" s="218" t="s">
        <v>1490</v>
      </c>
      <c r="E1445" s="23" t="s">
        <v>44</v>
      </c>
      <c r="F1445" s="17" t="s">
        <v>45</v>
      </c>
      <c r="G1445" s="11" t="s">
        <v>1432</v>
      </c>
      <c r="H1445" s="12">
        <v>33</v>
      </c>
      <c r="I1445" s="11" t="s">
        <v>1433</v>
      </c>
      <c r="J1445" s="193" t="s">
        <v>1454</v>
      </c>
      <c r="K1445" s="17" t="s">
        <v>233</v>
      </c>
      <c r="L1445" s="17" t="s">
        <v>233</v>
      </c>
      <c r="M1445" s="231">
        <v>46</v>
      </c>
      <c r="N1445" s="231">
        <v>46</v>
      </c>
      <c r="O1445" s="231">
        <v>46</v>
      </c>
      <c r="P1445" s="231" t="s">
        <v>239</v>
      </c>
      <c r="Q1445" s="231">
        <v>46</v>
      </c>
      <c r="R1445" s="231" t="s">
        <v>239</v>
      </c>
      <c r="S1445" s="231">
        <v>46</v>
      </c>
      <c r="T1445" s="231" t="s">
        <v>239</v>
      </c>
      <c r="U1445" s="231">
        <v>46</v>
      </c>
      <c r="V1445" s="231" t="s">
        <v>239</v>
      </c>
      <c r="W1445" s="231">
        <v>46</v>
      </c>
      <c r="X1445" s="231" t="s">
        <v>239</v>
      </c>
      <c r="Y1445" s="231">
        <v>46</v>
      </c>
      <c r="Z1445" s="231" t="s">
        <v>239</v>
      </c>
      <c r="AA1445" s="231">
        <v>46</v>
      </c>
      <c r="AB1445" s="231" t="s">
        <v>239</v>
      </c>
      <c r="AC1445" s="231">
        <v>46</v>
      </c>
      <c r="AD1445" s="231" t="s">
        <v>239</v>
      </c>
      <c r="AE1445" s="231">
        <v>46</v>
      </c>
      <c r="AF1445" s="231" t="s">
        <v>239</v>
      </c>
      <c r="AG1445" s="231">
        <v>46</v>
      </c>
      <c r="AH1445" s="231" t="s">
        <v>239</v>
      </c>
      <c r="AI1445" s="231">
        <v>46</v>
      </c>
      <c r="AJ1445" s="231" t="s">
        <v>239</v>
      </c>
      <c r="AK1445" s="231">
        <v>46</v>
      </c>
      <c r="AL1445" s="232" t="s">
        <v>239</v>
      </c>
      <c r="AM1445" s="232">
        <v>0</v>
      </c>
    </row>
    <row r="1446" spans="1:39" ht="15.75" outlineLevel="1">
      <c r="A1446" s="412"/>
      <c r="B1446" s="10">
        <v>129718</v>
      </c>
      <c r="C1446" s="218" t="s">
        <v>1489</v>
      </c>
      <c r="D1446" s="218" t="s">
        <v>1490</v>
      </c>
      <c r="E1446" s="23" t="s">
        <v>138</v>
      </c>
      <c r="F1446" s="17" t="s">
        <v>45</v>
      </c>
      <c r="G1446" s="11" t="s">
        <v>1432</v>
      </c>
      <c r="H1446" s="12">
        <v>25</v>
      </c>
      <c r="I1446" s="11" t="s">
        <v>1433</v>
      </c>
      <c r="J1446" s="191" t="s">
        <v>216</v>
      </c>
      <c r="K1446" s="17" t="s">
        <v>233</v>
      </c>
      <c r="L1446" s="17" t="s">
        <v>233</v>
      </c>
      <c r="M1446" s="231">
        <v>11275</v>
      </c>
      <c r="N1446" s="232">
        <v>11138.121499999999</v>
      </c>
      <c r="O1446" s="132">
        <v>2034</v>
      </c>
      <c r="P1446" s="231" t="s">
        <v>239</v>
      </c>
      <c r="Q1446" s="232">
        <v>2034</v>
      </c>
      <c r="R1446" s="231" t="s">
        <v>239</v>
      </c>
      <c r="S1446" s="232">
        <v>1967</v>
      </c>
      <c r="T1446" s="231" t="s">
        <v>239</v>
      </c>
      <c r="U1446" s="232">
        <v>2032</v>
      </c>
      <c r="V1446" s="231" t="s">
        <v>239</v>
      </c>
      <c r="W1446" s="232">
        <v>2003</v>
      </c>
      <c r="X1446" s="231" t="s">
        <v>239</v>
      </c>
      <c r="Y1446" s="232">
        <v>2126</v>
      </c>
      <c r="Z1446" s="231" t="s">
        <v>239</v>
      </c>
      <c r="AA1446" s="232">
        <v>2080</v>
      </c>
      <c r="AB1446" s="231" t="s">
        <v>239</v>
      </c>
      <c r="AC1446" s="232">
        <v>2062</v>
      </c>
      <c r="AD1446" s="231" t="s">
        <v>239</v>
      </c>
      <c r="AE1446" s="232">
        <v>1903</v>
      </c>
      <c r="AF1446" s="231" t="s">
        <v>239</v>
      </c>
      <c r="AG1446" s="232">
        <v>1680</v>
      </c>
      <c r="AH1446" s="231" t="s">
        <v>239</v>
      </c>
      <c r="AI1446" s="232">
        <v>1505</v>
      </c>
      <c r="AJ1446" s="231" t="s">
        <v>239</v>
      </c>
      <c r="AK1446" s="232">
        <v>1619</v>
      </c>
      <c r="AL1446" s="232" t="s">
        <v>239</v>
      </c>
      <c r="AM1446" s="232">
        <v>23045</v>
      </c>
    </row>
    <row r="1447" spans="1:39" ht="15.75" outlineLevel="1">
      <c r="A1447" s="411">
        <v>719</v>
      </c>
      <c r="B1447" s="10">
        <v>129719</v>
      </c>
      <c r="C1447" s="218" t="s">
        <v>1489</v>
      </c>
      <c r="D1447" s="218" t="s">
        <v>1490</v>
      </c>
      <c r="E1447" s="23" t="s">
        <v>44</v>
      </c>
      <c r="F1447" s="17" t="s">
        <v>45</v>
      </c>
      <c r="G1447" s="11" t="s">
        <v>1432</v>
      </c>
      <c r="H1447" s="12">
        <v>9</v>
      </c>
      <c r="I1447" s="11" t="s">
        <v>1433</v>
      </c>
      <c r="J1447" s="192" t="s">
        <v>1434</v>
      </c>
      <c r="K1447" s="17" t="s">
        <v>233</v>
      </c>
      <c r="L1447" s="17" t="s">
        <v>233</v>
      </c>
      <c r="M1447" s="231">
        <v>46</v>
      </c>
      <c r="N1447" s="231">
        <v>46</v>
      </c>
      <c r="O1447" s="231">
        <v>46</v>
      </c>
      <c r="P1447" s="231" t="s">
        <v>239</v>
      </c>
      <c r="Q1447" s="231">
        <v>46</v>
      </c>
      <c r="R1447" s="231" t="s">
        <v>239</v>
      </c>
      <c r="S1447" s="231">
        <v>46</v>
      </c>
      <c r="T1447" s="231" t="s">
        <v>239</v>
      </c>
      <c r="U1447" s="231">
        <v>46</v>
      </c>
      <c r="V1447" s="230" t="s">
        <v>239</v>
      </c>
      <c r="W1447" s="231">
        <v>46</v>
      </c>
      <c r="X1447" s="231" t="s">
        <v>239</v>
      </c>
      <c r="Y1447" s="231">
        <v>46</v>
      </c>
      <c r="Z1447" s="231" t="s">
        <v>239</v>
      </c>
      <c r="AA1447" s="231">
        <v>46</v>
      </c>
      <c r="AB1447" s="231" t="s">
        <v>239</v>
      </c>
      <c r="AC1447" s="231">
        <v>46</v>
      </c>
      <c r="AD1447" s="231" t="s">
        <v>239</v>
      </c>
      <c r="AE1447" s="231">
        <v>46</v>
      </c>
      <c r="AF1447" s="231" t="s">
        <v>239</v>
      </c>
      <c r="AG1447" s="231">
        <v>46</v>
      </c>
      <c r="AH1447" s="231" t="s">
        <v>239</v>
      </c>
      <c r="AI1447" s="231">
        <v>46</v>
      </c>
      <c r="AJ1447" s="231" t="s">
        <v>239</v>
      </c>
      <c r="AK1447" s="231">
        <v>46</v>
      </c>
      <c r="AL1447" s="232" t="s">
        <v>239</v>
      </c>
      <c r="AM1447" s="232">
        <v>0</v>
      </c>
    </row>
    <row r="1448" spans="1:39" ht="15.75" outlineLevel="1">
      <c r="A1448" s="412"/>
      <c r="B1448" s="10">
        <v>129719</v>
      </c>
      <c r="C1448" s="218" t="s">
        <v>1489</v>
      </c>
      <c r="D1448" s="218" t="s">
        <v>1490</v>
      </c>
      <c r="E1448" s="23" t="s">
        <v>138</v>
      </c>
      <c r="F1448" s="17" t="s">
        <v>45</v>
      </c>
      <c r="G1448" s="11" t="s">
        <v>1432</v>
      </c>
      <c r="H1448" s="12">
        <v>18</v>
      </c>
      <c r="I1448" s="11" t="s">
        <v>1433</v>
      </c>
      <c r="J1448" s="192" t="s">
        <v>1480</v>
      </c>
      <c r="K1448" s="17" t="s">
        <v>233</v>
      </c>
      <c r="L1448" s="17" t="s">
        <v>233</v>
      </c>
      <c r="M1448" s="231">
        <v>0</v>
      </c>
      <c r="N1448" s="232">
        <v>0</v>
      </c>
      <c r="O1448" s="132">
        <v>0</v>
      </c>
      <c r="P1448" s="231" t="s">
        <v>239</v>
      </c>
      <c r="Q1448" s="232">
        <v>0</v>
      </c>
      <c r="R1448" s="231" t="s">
        <v>239</v>
      </c>
      <c r="S1448" s="232">
        <v>0</v>
      </c>
      <c r="T1448" s="231" t="s">
        <v>239</v>
      </c>
      <c r="U1448" s="232">
        <v>0</v>
      </c>
      <c r="V1448" s="231" t="s">
        <v>239</v>
      </c>
      <c r="W1448" s="232">
        <v>0</v>
      </c>
      <c r="X1448" s="231" t="s">
        <v>239</v>
      </c>
      <c r="Y1448" s="232">
        <v>0</v>
      </c>
      <c r="Z1448" s="231" t="s">
        <v>239</v>
      </c>
      <c r="AA1448" s="232">
        <v>0</v>
      </c>
      <c r="AB1448" s="231" t="s">
        <v>239</v>
      </c>
      <c r="AC1448" s="232">
        <v>0</v>
      </c>
      <c r="AD1448" s="231" t="s">
        <v>239</v>
      </c>
      <c r="AE1448" s="232">
        <v>0</v>
      </c>
      <c r="AF1448" s="231" t="s">
        <v>239</v>
      </c>
      <c r="AG1448" s="232">
        <v>0</v>
      </c>
      <c r="AH1448" s="231" t="s">
        <v>239</v>
      </c>
      <c r="AI1448" s="232">
        <v>0</v>
      </c>
      <c r="AJ1448" s="231" t="s">
        <v>239</v>
      </c>
      <c r="AK1448" s="232">
        <v>0</v>
      </c>
      <c r="AL1448" s="232" t="s">
        <v>239</v>
      </c>
      <c r="AM1448" s="232">
        <v>0</v>
      </c>
    </row>
    <row r="1449" spans="1:39" ht="15.75" outlineLevel="1">
      <c r="A1449" s="411">
        <v>720</v>
      </c>
      <c r="B1449" s="10">
        <v>129720</v>
      </c>
      <c r="C1449" s="218" t="s">
        <v>1489</v>
      </c>
      <c r="D1449" s="218" t="s">
        <v>1490</v>
      </c>
      <c r="E1449" s="23" t="s">
        <v>44</v>
      </c>
      <c r="F1449" s="17" t="s">
        <v>45</v>
      </c>
      <c r="G1449" s="11" t="s">
        <v>1432</v>
      </c>
      <c r="H1449" s="12">
        <v>17</v>
      </c>
      <c r="I1449" s="11" t="s">
        <v>1433</v>
      </c>
      <c r="J1449" s="193" t="s">
        <v>1451</v>
      </c>
      <c r="K1449" s="17" t="s">
        <v>233</v>
      </c>
      <c r="L1449" s="17" t="s">
        <v>233</v>
      </c>
      <c r="M1449" s="231">
        <v>55</v>
      </c>
      <c r="N1449" s="231">
        <v>55</v>
      </c>
      <c r="O1449" s="231">
        <v>55</v>
      </c>
      <c r="P1449" s="231" t="s">
        <v>239</v>
      </c>
      <c r="Q1449" s="231">
        <v>55</v>
      </c>
      <c r="R1449" s="231" t="s">
        <v>239</v>
      </c>
      <c r="S1449" s="231">
        <v>55</v>
      </c>
      <c r="T1449" s="231" t="s">
        <v>239</v>
      </c>
      <c r="U1449" s="231">
        <v>55</v>
      </c>
      <c r="V1449" s="231" t="s">
        <v>239</v>
      </c>
      <c r="W1449" s="231">
        <v>55</v>
      </c>
      <c r="X1449" s="231" t="s">
        <v>239</v>
      </c>
      <c r="Y1449" s="231">
        <v>55</v>
      </c>
      <c r="Z1449" s="231" t="s">
        <v>239</v>
      </c>
      <c r="AA1449" s="231">
        <v>55</v>
      </c>
      <c r="AB1449" s="231" t="s">
        <v>239</v>
      </c>
      <c r="AC1449" s="231">
        <v>55</v>
      </c>
      <c r="AD1449" s="231" t="s">
        <v>239</v>
      </c>
      <c r="AE1449" s="231">
        <v>55</v>
      </c>
      <c r="AF1449" s="231" t="s">
        <v>239</v>
      </c>
      <c r="AG1449" s="231">
        <v>55</v>
      </c>
      <c r="AH1449" s="231" t="s">
        <v>239</v>
      </c>
      <c r="AI1449" s="231">
        <v>55</v>
      </c>
      <c r="AJ1449" s="231" t="s">
        <v>239</v>
      </c>
      <c r="AK1449" s="231">
        <v>55</v>
      </c>
      <c r="AL1449" s="232" t="s">
        <v>239</v>
      </c>
      <c r="AM1449" s="232">
        <v>0</v>
      </c>
    </row>
    <row r="1450" spans="1:39" ht="15.75" outlineLevel="1">
      <c r="A1450" s="412"/>
      <c r="B1450" s="10">
        <v>129720</v>
      </c>
      <c r="C1450" s="218" t="s">
        <v>1489</v>
      </c>
      <c r="D1450" s="218" t="s">
        <v>1490</v>
      </c>
      <c r="E1450" s="23" t="s">
        <v>138</v>
      </c>
      <c r="F1450" s="17" t="s">
        <v>45</v>
      </c>
      <c r="G1450" s="11" t="s">
        <v>1432</v>
      </c>
      <c r="H1450" s="12">
        <v>25</v>
      </c>
      <c r="I1450" s="11" t="s">
        <v>1433</v>
      </c>
      <c r="J1450" s="193" t="s">
        <v>208</v>
      </c>
      <c r="K1450" s="17" t="s">
        <v>233</v>
      </c>
      <c r="L1450" s="17" t="s">
        <v>233</v>
      </c>
      <c r="M1450" s="231">
        <v>21842</v>
      </c>
      <c r="N1450" s="232">
        <v>21576.83812</v>
      </c>
      <c r="O1450" s="132">
        <v>2807</v>
      </c>
      <c r="P1450" s="231" t="s">
        <v>239</v>
      </c>
      <c r="Q1450" s="232">
        <v>2807</v>
      </c>
      <c r="R1450" s="231" t="s">
        <v>239</v>
      </c>
      <c r="S1450" s="232">
        <v>2528</v>
      </c>
      <c r="T1450" s="231" t="s">
        <v>239</v>
      </c>
      <c r="U1450" s="232">
        <v>2848</v>
      </c>
      <c r="V1450" s="230" t="s">
        <v>239</v>
      </c>
      <c r="W1450" s="232">
        <v>2406</v>
      </c>
      <c r="X1450" s="231" t="s">
        <v>239</v>
      </c>
      <c r="Y1450" s="232">
        <v>2103</v>
      </c>
      <c r="Z1450" s="231" t="s">
        <v>239</v>
      </c>
      <c r="AA1450" s="232">
        <v>2278</v>
      </c>
      <c r="AB1450" s="231" t="s">
        <v>239</v>
      </c>
      <c r="AC1450" s="232">
        <v>2147</v>
      </c>
      <c r="AD1450" s="231" t="s">
        <v>239</v>
      </c>
      <c r="AE1450" s="232">
        <v>2115</v>
      </c>
      <c r="AF1450" s="231" t="s">
        <v>239</v>
      </c>
      <c r="AG1450" s="232">
        <v>2039</v>
      </c>
      <c r="AH1450" s="231" t="s">
        <v>239</v>
      </c>
      <c r="AI1450" s="232">
        <v>1917</v>
      </c>
      <c r="AJ1450" s="231" t="s">
        <v>239</v>
      </c>
      <c r="AK1450" s="232">
        <v>1930</v>
      </c>
      <c r="AL1450" s="232" t="s">
        <v>239</v>
      </c>
      <c r="AM1450" s="232">
        <v>27925</v>
      </c>
    </row>
    <row r="1451" spans="1:39" ht="15.75" outlineLevel="1">
      <c r="A1451" s="411">
        <v>721</v>
      </c>
      <c r="B1451" s="10">
        <v>129721</v>
      </c>
      <c r="C1451" s="218" t="s">
        <v>1489</v>
      </c>
      <c r="D1451" s="218" t="s">
        <v>1490</v>
      </c>
      <c r="E1451" s="23" t="s">
        <v>44</v>
      </c>
      <c r="F1451" s="17" t="s">
        <v>45</v>
      </c>
      <c r="G1451" s="11" t="s">
        <v>1432</v>
      </c>
      <c r="H1451" s="12">
        <v>13</v>
      </c>
      <c r="I1451" s="11" t="s">
        <v>1433</v>
      </c>
      <c r="J1451" s="193" t="s">
        <v>1452</v>
      </c>
      <c r="K1451" s="17" t="s">
        <v>233</v>
      </c>
      <c r="L1451" s="17" t="s">
        <v>233</v>
      </c>
      <c r="M1451" s="231">
        <v>55</v>
      </c>
      <c r="N1451" s="231">
        <v>55</v>
      </c>
      <c r="O1451" s="231">
        <v>55</v>
      </c>
      <c r="P1451" s="231" t="s">
        <v>239</v>
      </c>
      <c r="Q1451" s="231">
        <v>55</v>
      </c>
      <c r="R1451" s="231" t="s">
        <v>239</v>
      </c>
      <c r="S1451" s="231">
        <v>55</v>
      </c>
      <c r="T1451" s="231" t="s">
        <v>239</v>
      </c>
      <c r="U1451" s="231">
        <v>55</v>
      </c>
      <c r="V1451" s="231" t="s">
        <v>239</v>
      </c>
      <c r="W1451" s="231">
        <v>55</v>
      </c>
      <c r="X1451" s="231" t="s">
        <v>239</v>
      </c>
      <c r="Y1451" s="231">
        <v>55</v>
      </c>
      <c r="Z1451" s="231" t="s">
        <v>239</v>
      </c>
      <c r="AA1451" s="231">
        <v>55</v>
      </c>
      <c r="AB1451" s="231" t="s">
        <v>239</v>
      </c>
      <c r="AC1451" s="231">
        <v>55</v>
      </c>
      <c r="AD1451" s="231" t="s">
        <v>239</v>
      </c>
      <c r="AE1451" s="231">
        <v>55</v>
      </c>
      <c r="AF1451" s="231" t="s">
        <v>239</v>
      </c>
      <c r="AG1451" s="231">
        <v>55</v>
      </c>
      <c r="AH1451" s="231" t="s">
        <v>239</v>
      </c>
      <c r="AI1451" s="231">
        <v>55</v>
      </c>
      <c r="AJ1451" s="231" t="s">
        <v>239</v>
      </c>
      <c r="AK1451" s="231">
        <v>55</v>
      </c>
      <c r="AL1451" s="232" t="s">
        <v>239</v>
      </c>
      <c r="AM1451" s="232">
        <v>0</v>
      </c>
    </row>
    <row r="1452" spans="1:39" ht="15.75" outlineLevel="1">
      <c r="A1452" s="412"/>
      <c r="B1452" s="10">
        <v>129721</v>
      </c>
      <c r="C1452" s="218" t="s">
        <v>1489</v>
      </c>
      <c r="D1452" s="218" t="s">
        <v>1490</v>
      </c>
      <c r="E1452" s="23" t="s">
        <v>138</v>
      </c>
      <c r="F1452" s="17" t="s">
        <v>45</v>
      </c>
      <c r="G1452" s="11" t="s">
        <v>1432</v>
      </c>
      <c r="H1452" s="12">
        <v>5</v>
      </c>
      <c r="I1452" s="11" t="s">
        <v>1433</v>
      </c>
      <c r="J1452" s="193" t="s">
        <v>216</v>
      </c>
      <c r="K1452" s="17" t="s">
        <v>233</v>
      </c>
      <c r="L1452" s="17" t="s">
        <v>233</v>
      </c>
      <c r="M1452" s="231">
        <v>0</v>
      </c>
      <c r="N1452" s="232">
        <v>0</v>
      </c>
      <c r="O1452" s="132">
        <v>0</v>
      </c>
      <c r="P1452" s="231" t="s">
        <v>239</v>
      </c>
      <c r="Q1452" s="232">
        <v>0</v>
      </c>
      <c r="R1452" s="231" t="s">
        <v>239</v>
      </c>
      <c r="S1452" s="232">
        <v>0</v>
      </c>
      <c r="T1452" s="231" t="s">
        <v>239</v>
      </c>
      <c r="U1452" s="232">
        <v>0</v>
      </c>
      <c r="V1452" s="231" t="s">
        <v>239</v>
      </c>
      <c r="W1452" s="232">
        <v>0</v>
      </c>
      <c r="X1452" s="231" t="s">
        <v>239</v>
      </c>
      <c r="Y1452" s="232">
        <v>0</v>
      </c>
      <c r="Z1452" s="231" t="s">
        <v>239</v>
      </c>
      <c r="AA1452" s="232">
        <v>0</v>
      </c>
      <c r="AB1452" s="231" t="s">
        <v>239</v>
      </c>
      <c r="AC1452" s="232">
        <v>0</v>
      </c>
      <c r="AD1452" s="231" t="s">
        <v>239</v>
      </c>
      <c r="AE1452" s="232">
        <v>0</v>
      </c>
      <c r="AF1452" s="231" t="s">
        <v>239</v>
      </c>
      <c r="AG1452" s="232">
        <v>0</v>
      </c>
      <c r="AH1452" s="231" t="s">
        <v>239</v>
      </c>
      <c r="AI1452" s="232">
        <v>0</v>
      </c>
      <c r="AJ1452" s="231" t="s">
        <v>239</v>
      </c>
      <c r="AK1452" s="232">
        <v>0</v>
      </c>
      <c r="AL1452" s="232" t="s">
        <v>239</v>
      </c>
      <c r="AM1452" s="232">
        <v>0</v>
      </c>
    </row>
    <row r="1453" spans="1:39" ht="15.75" outlineLevel="1">
      <c r="A1453" s="411">
        <v>722</v>
      </c>
      <c r="B1453" s="10">
        <v>129722</v>
      </c>
      <c r="C1453" s="218" t="s">
        <v>1489</v>
      </c>
      <c r="D1453" s="218" t="s">
        <v>1490</v>
      </c>
      <c r="E1453" s="23" t="s">
        <v>44</v>
      </c>
      <c r="F1453" s="17" t="s">
        <v>45</v>
      </c>
      <c r="G1453" s="11" t="s">
        <v>1432</v>
      </c>
      <c r="H1453" s="12">
        <v>4</v>
      </c>
      <c r="I1453" s="11" t="s">
        <v>1433</v>
      </c>
      <c r="J1453" s="193" t="s">
        <v>1453</v>
      </c>
      <c r="K1453" s="17" t="s">
        <v>233</v>
      </c>
      <c r="L1453" s="17" t="s">
        <v>233</v>
      </c>
      <c r="M1453" s="231">
        <v>18</v>
      </c>
      <c r="N1453" s="231">
        <v>18</v>
      </c>
      <c r="O1453" s="231">
        <v>18</v>
      </c>
      <c r="P1453" s="231" t="s">
        <v>239</v>
      </c>
      <c r="Q1453" s="231">
        <v>18</v>
      </c>
      <c r="R1453" s="231" t="s">
        <v>239</v>
      </c>
      <c r="S1453" s="231">
        <v>18</v>
      </c>
      <c r="T1453" s="231" t="s">
        <v>239</v>
      </c>
      <c r="U1453" s="231">
        <v>18</v>
      </c>
      <c r="V1453" s="230" t="s">
        <v>239</v>
      </c>
      <c r="W1453" s="231">
        <v>18</v>
      </c>
      <c r="X1453" s="231" t="s">
        <v>239</v>
      </c>
      <c r="Y1453" s="231">
        <v>18</v>
      </c>
      <c r="Z1453" s="231" t="s">
        <v>239</v>
      </c>
      <c r="AA1453" s="231">
        <v>18</v>
      </c>
      <c r="AB1453" s="231" t="s">
        <v>239</v>
      </c>
      <c r="AC1453" s="231">
        <v>18</v>
      </c>
      <c r="AD1453" s="231" t="s">
        <v>239</v>
      </c>
      <c r="AE1453" s="231">
        <v>18</v>
      </c>
      <c r="AF1453" s="231" t="s">
        <v>239</v>
      </c>
      <c r="AG1453" s="231">
        <v>18</v>
      </c>
      <c r="AH1453" s="231" t="s">
        <v>239</v>
      </c>
      <c r="AI1453" s="231">
        <v>18</v>
      </c>
      <c r="AJ1453" s="231" t="s">
        <v>239</v>
      </c>
      <c r="AK1453" s="231">
        <v>18</v>
      </c>
      <c r="AL1453" s="232" t="s">
        <v>239</v>
      </c>
      <c r="AM1453" s="232">
        <v>0</v>
      </c>
    </row>
    <row r="1454" spans="1:39" ht="15.75" outlineLevel="1">
      <c r="A1454" s="412"/>
      <c r="B1454" s="10">
        <v>129722</v>
      </c>
      <c r="C1454" s="218" t="s">
        <v>1489</v>
      </c>
      <c r="D1454" s="218" t="s">
        <v>1490</v>
      </c>
      <c r="E1454" s="23" t="s">
        <v>44</v>
      </c>
      <c r="F1454" s="17" t="s">
        <v>45</v>
      </c>
      <c r="G1454" s="11" t="s">
        <v>1432</v>
      </c>
      <c r="H1454" s="12">
        <v>24</v>
      </c>
      <c r="I1454" s="11" t="s">
        <v>1433</v>
      </c>
      <c r="J1454" s="193" t="s">
        <v>1454</v>
      </c>
      <c r="K1454" s="17" t="s">
        <v>233</v>
      </c>
      <c r="L1454" s="17" t="s">
        <v>233</v>
      </c>
      <c r="M1454" s="231">
        <v>6212</v>
      </c>
      <c r="N1454" s="232">
        <v>6136.5863199999994</v>
      </c>
      <c r="O1454" s="132">
        <v>392</v>
      </c>
      <c r="P1454" s="231" t="s">
        <v>239</v>
      </c>
      <c r="Q1454" s="232">
        <v>392</v>
      </c>
      <c r="R1454" s="231" t="s">
        <v>239</v>
      </c>
      <c r="S1454" s="232">
        <v>390</v>
      </c>
      <c r="T1454" s="231" t="s">
        <v>239</v>
      </c>
      <c r="U1454" s="232">
        <v>411</v>
      </c>
      <c r="V1454" s="231" t="s">
        <v>239</v>
      </c>
      <c r="W1454" s="232">
        <v>403</v>
      </c>
      <c r="X1454" s="231" t="s">
        <v>239</v>
      </c>
      <c r="Y1454" s="232">
        <v>401</v>
      </c>
      <c r="Z1454" s="231" t="s">
        <v>239</v>
      </c>
      <c r="AA1454" s="232">
        <v>351</v>
      </c>
      <c r="AB1454" s="231" t="s">
        <v>239</v>
      </c>
      <c r="AC1454" s="232">
        <v>305</v>
      </c>
      <c r="AD1454" s="231" t="s">
        <v>239</v>
      </c>
      <c r="AE1454" s="232">
        <v>305</v>
      </c>
      <c r="AF1454" s="231" t="s">
        <v>239</v>
      </c>
      <c r="AG1454" s="232">
        <v>320</v>
      </c>
      <c r="AH1454" s="231" t="s">
        <v>239</v>
      </c>
      <c r="AI1454" s="232">
        <v>320</v>
      </c>
      <c r="AJ1454" s="231" t="s">
        <v>239</v>
      </c>
      <c r="AK1454" s="232">
        <v>418</v>
      </c>
      <c r="AL1454" s="232" t="s">
        <v>239</v>
      </c>
      <c r="AM1454" s="232">
        <v>4408</v>
      </c>
    </row>
    <row r="1455" spans="1:39" ht="15.75" outlineLevel="1">
      <c r="A1455" s="411">
        <v>723</v>
      </c>
      <c r="B1455" s="10">
        <v>129723</v>
      </c>
      <c r="C1455" s="218" t="s">
        <v>1489</v>
      </c>
      <c r="D1455" s="218" t="s">
        <v>1490</v>
      </c>
      <c r="E1455" s="23" t="s">
        <v>138</v>
      </c>
      <c r="F1455" s="17" t="s">
        <v>45</v>
      </c>
      <c r="G1455" s="11" t="s">
        <v>1432</v>
      </c>
      <c r="H1455" s="12">
        <v>10</v>
      </c>
      <c r="I1455" s="11" t="s">
        <v>1433</v>
      </c>
      <c r="J1455" s="191" t="s">
        <v>216</v>
      </c>
      <c r="K1455" s="17" t="s">
        <v>233</v>
      </c>
      <c r="L1455" s="17" t="s">
        <v>233</v>
      </c>
      <c r="M1455" s="231">
        <v>18</v>
      </c>
      <c r="N1455" s="231">
        <v>18</v>
      </c>
      <c r="O1455" s="231">
        <v>18</v>
      </c>
      <c r="P1455" s="231" t="s">
        <v>239</v>
      </c>
      <c r="Q1455" s="231">
        <v>18</v>
      </c>
      <c r="R1455" s="231" t="s">
        <v>239</v>
      </c>
      <c r="S1455" s="231">
        <v>18</v>
      </c>
      <c r="T1455" s="231" t="s">
        <v>239</v>
      </c>
      <c r="U1455" s="231">
        <v>18</v>
      </c>
      <c r="V1455" s="231" t="s">
        <v>239</v>
      </c>
      <c r="W1455" s="231">
        <v>18</v>
      </c>
      <c r="X1455" s="231" t="s">
        <v>239</v>
      </c>
      <c r="Y1455" s="231">
        <v>18</v>
      </c>
      <c r="Z1455" s="231" t="s">
        <v>239</v>
      </c>
      <c r="AA1455" s="231">
        <v>18</v>
      </c>
      <c r="AB1455" s="231" t="s">
        <v>239</v>
      </c>
      <c r="AC1455" s="231">
        <v>18</v>
      </c>
      <c r="AD1455" s="231" t="s">
        <v>239</v>
      </c>
      <c r="AE1455" s="231">
        <v>18</v>
      </c>
      <c r="AF1455" s="231" t="s">
        <v>239</v>
      </c>
      <c r="AG1455" s="231">
        <v>18</v>
      </c>
      <c r="AH1455" s="231" t="s">
        <v>239</v>
      </c>
      <c r="AI1455" s="231">
        <v>18</v>
      </c>
      <c r="AJ1455" s="231" t="s">
        <v>239</v>
      </c>
      <c r="AK1455" s="231">
        <v>18</v>
      </c>
      <c r="AL1455" s="232" t="s">
        <v>239</v>
      </c>
      <c r="AM1455" s="232">
        <v>0</v>
      </c>
    </row>
    <row r="1456" spans="1:39" ht="15.75" outlineLevel="1">
      <c r="A1456" s="412"/>
      <c r="B1456" s="10">
        <v>129723</v>
      </c>
      <c r="C1456" s="218" t="s">
        <v>1489</v>
      </c>
      <c r="D1456" s="218" t="s">
        <v>1490</v>
      </c>
      <c r="E1456" s="23" t="s">
        <v>44</v>
      </c>
      <c r="F1456" s="17" t="s">
        <v>45</v>
      </c>
      <c r="G1456" s="11" t="s">
        <v>1432</v>
      </c>
      <c r="H1456" s="12">
        <v>17</v>
      </c>
      <c r="I1456" s="11" t="s">
        <v>1433</v>
      </c>
      <c r="J1456" s="192" t="s">
        <v>1434</v>
      </c>
      <c r="K1456" s="17" t="s">
        <v>233</v>
      </c>
      <c r="L1456" s="17" t="s">
        <v>233</v>
      </c>
      <c r="M1456" s="231">
        <v>4263</v>
      </c>
      <c r="N1456" s="232">
        <v>4211.2471799999994</v>
      </c>
      <c r="O1456" s="132">
        <v>627</v>
      </c>
      <c r="P1456" s="231" t="s">
        <v>239</v>
      </c>
      <c r="Q1456" s="232">
        <v>627</v>
      </c>
      <c r="R1456" s="231" t="s">
        <v>239</v>
      </c>
      <c r="S1456" s="232">
        <v>587</v>
      </c>
      <c r="T1456" s="231" t="s">
        <v>239</v>
      </c>
      <c r="U1456" s="232">
        <v>561</v>
      </c>
      <c r="V1456" s="230" t="s">
        <v>239</v>
      </c>
      <c r="W1456" s="232">
        <v>572</v>
      </c>
      <c r="X1456" s="231" t="s">
        <v>239</v>
      </c>
      <c r="Y1456" s="232">
        <v>614</v>
      </c>
      <c r="Z1456" s="231" t="s">
        <v>239</v>
      </c>
      <c r="AA1456" s="232">
        <v>559</v>
      </c>
      <c r="AB1456" s="231" t="s">
        <v>239</v>
      </c>
      <c r="AC1456" s="232">
        <v>557</v>
      </c>
      <c r="AD1456" s="231" t="s">
        <v>239</v>
      </c>
      <c r="AE1456" s="232">
        <v>514</v>
      </c>
      <c r="AF1456" s="231" t="s">
        <v>239</v>
      </c>
      <c r="AG1456" s="232">
        <v>571</v>
      </c>
      <c r="AH1456" s="231" t="s">
        <v>239</v>
      </c>
      <c r="AI1456" s="232">
        <v>609</v>
      </c>
      <c r="AJ1456" s="231" t="s">
        <v>239</v>
      </c>
      <c r="AK1456" s="232">
        <v>571</v>
      </c>
      <c r="AL1456" s="232" t="s">
        <v>239</v>
      </c>
      <c r="AM1456" s="232">
        <v>6969</v>
      </c>
    </row>
    <row r="1457" spans="1:39" ht="15.75" outlineLevel="1">
      <c r="A1457" s="411">
        <v>724</v>
      </c>
      <c r="B1457" s="10">
        <v>129724</v>
      </c>
      <c r="C1457" s="218" t="s">
        <v>1489</v>
      </c>
      <c r="D1457" s="218" t="s">
        <v>1490</v>
      </c>
      <c r="E1457" s="23" t="s">
        <v>138</v>
      </c>
      <c r="F1457" s="17" t="s">
        <v>45</v>
      </c>
      <c r="G1457" s="11" t="s">
        <v>1432</v>
      </c>
      <c r="H1457" s="12">
        <v>32</v>
      </c>
      <c r="I1457" s="11" t="s">
        <v>1433</v>
      </c>
      <c r="J1457" s="192" t="s">
        <v>1480</v>
      </c>
      <c r="K1457" s="17" t="s">
        <v>233</v>
      </c>
      <c r="L1457" s="17" t="s">
        <v>233</v>
      </c>
      <c r="M1457" s="231">
        <v>18</v>
      </c>
      <c r="N1457" s="231">
        <v>18</v>
      </c>
      <c r="O1457" s="231">
        <v>18</v>
      </c>
      <c r="P1457" s="231" t="s">
        <v>239</v>
      </c>
      <c r="Q1457" s="231">
        <v>18</v>
      </c>
      <c r="R1457" s="231" t="s">
        <v>239</v>
      </c>
      <c r="S1457" s="231">
        <v>18</v>
      </c>
      <c r="T1457" s="231" t="s">
        <v>239</v>
      </c>
      <c r="U1457" s="231">
        <v>18</v>
      </c>
      <c r="V1457" s="231" t="s">
        <v>239</v>
      </c>
      <c r="W1457" s="231">
        <v>18</v>
      </c>
      <c r="X1457" s="231" t="s">
        <v>239</v>
      </c>
      <c r="Y1457" s="231">
        <v>18</v>
      </c>
      <c r="Z1457" s="231" t="s">
        <v>239</v>
      </c>
      <c r="AA1457" s="231">
        <v>18</v>
      </c>
      <c r="AB1457" s="231" t="s">
        <v>239</v>
      </c>
      <c r="AC1457" s="231">
        <v>18</v>
      </c>
      <c r="AD1457" s="231" t="s">
        <v>239</v>
      </c>
      <c r="AE1457" s="231">
        <v>18</v>
      </c>
      <c r="AF1457" s="231" t="s">
        <v>239</v>
      </c>
      <c r="AG1457" s="231">
        <v>18</v>
      </c>
      <c r="AH1457" s="231" t="s">
        <v>239</v>
      </c>
      <c r="AI1457" s="231">
        <v>18</v>
      </c>
      <c r="AJ1457" s="231" t="s">
        <v>239</v>
      </c>
      <c r="AK1457" s="231">
        <v>18</v>
      </c>
      <c r="AL1457" s="232" t="s">
        <v>239</v>
      </c>
      <c r="AM1457" s="232">
        <v>0</v>
      </c>
    </row>
    <row r="1458" spans="1:39" ht="15.75" outlineLevel="1">
      <c r="A1458" s="412"/>
      <c r="B1458" s="10">
        <v>129724</v>
      </c>
      <c r="C1458" s="218" t="s">
        <v>1489</v>
      </c>
      <c r="D1458" s="218" t="s">
        <v>1490</v>
      </c>
      <c r="E1458" s="23" t="s">
        <v>44</v>
      </c>
      <c r="F1458" s="17" t="s">
        <v>45</v>
      </c>
      <c r="G1458" s="11" t="s">
        <v>1432</v>
      </c>
      <c r="H1458" s="12">
        <v>8</v>
      </c>
      <c r="I1458" s="11" t="s">
        <v>1433</v>
      </c>
      <c r="J1458" s="193" t="s">
        <v>1451</v>
      </c>
      <c r="K1458" s="17" t="s">
        <v>233</v>
      </c>
      <c r="L1458" s="17" t="s">
        <v>233</v>
      </c>
      <c r="M1458" s="231">
        <v>0</v>
      </c>
      <c r="N1458" s="232">
        <v>0</v>
      </c>
      <c r="O1458" s="132">
        <v>0</v>
      </c>
      <c r="P1458" s="231" t="s">
        <v>239</v>
      </c>
      <c r="Q1458" s="232">
        <v>0</v>
      </c>
      <c r="R1458" s="231" t="s">
        <v>239</v>
      </c>
      <c r="S1458" s="232">
        <v>0</v>
      </c>
      <c r="T1458" s="231" t="s">
        <v>239</v>
      </c>
      <c r="U1458" s="232">
        <v>0</v>
      </c>
      <c r="V1458" s="231" t="s">
        <v>239</v>
      </c>
      <c r="W1458" s="232">
        <v>0</v>
      </c>
      <c r="X1458" s="231" t="s">
        <v>239</v>
      </c>
      <c r="Y1458" s="232">
        <v>0</v>
      </c>
      <c r="Z1458" s="231" t="s">
        <v>239</v>
      </c>
      <c r="AA1458" s="232">
        <v>0</v>
      </c>
      <c r="AB1458" s="231" t="s">
        <v>239</v>
      </c>
      <c r="AC1458" s="232">
        <v>0</v>
      </c>
      <c r="AD1458" s="231" t="s">
        <v>239</v>
      </c>
      <c r="AE1458" s="232">
        <v>0</v>
      </c>
      <c r="AF1458" s="231" t="s">
        <v>239</v>
      </c>
      <c r="AG1458" s="232">
        <v>0</v>
      </c>
      <c r="AH1458" s="231" t="s">
        <v>239</v>
      </c>
      <c r="AI1458" s="232">
        <v>0</v>
      </c>
      <c r="AJ1458" s="231" t="s">
        <v>239</v>
      </c>
      <c r="AK1458" s="232">
        <v>0</v>
      </c>
      <c r="AL1458" s="232" t="s">
        <v>239</v>
      </c>
      <c r="AM1458" s="232">
        <v>0</v>
      </c>
    </row>
    <row r="1459" spans="1:39" ht="15.75" outlineLevel="1">
      <c r="A1459" s="411">
        <v>725</v>
      </c>
      <c r="B1459" s="10">
        <v>129725</v>
      </c>
      <c r="C1459" s="218" t="s">
        <v>1489</v>
      </c>
      <c r="D1459" s="218" t="s">
        <v>1490</v>
      </c>
      <c r="E1459" s="23" t="s">
        <v>44</v>
      </c>
      <c r="F1459" s="17" t="s">
        <v>45</v>
      </c>
      <c r="G1459" s="11" t="s">
        <v>1432</v>
      </c>
      <c r="H1459" s="12">
        <v>12</v>
      </c>
      <c r="I1459" s="11" t="s">
        <v>1433</v>
      </c>
      <c r="J1459" s="193" t="s">
        <v>208</v>
      </c>
      <c r="K1459" s="17" t="s">
        <v>233</v>
      </c>
      <c r="L1459" s="17" t="s">
        <v>233</v>
      </c>
      <c r="M1459" s="231">
        <v>55.56</v>
      </c>
      <c r="N1459" s="231">
        <v>55.56</v>
      </c>
      <c r="O1459" s="231">
        <v>55.56</v>
      </c>
      <c r="P1459" s="231" t="s">
        <v>239</v>
      </c>
      <c r="Q1459" s="231">
        <v>55.56</v>
      </c>
      <c r="R1459" s="231" t="s">
        <v>239</v>
      </c>
      <c r="S1459" s="231">
        <v>55.56</v>
      </c>
      <c r="T1459" s="231" t="s">
        <v>239</v>
      </c>
      <c r="U1459" s="231">
        <v>55.56</v>
      </c>
      <c r="V1459" s="230" t="s">
        <v>239</v>
      </c>
      <c r="W1459" s="231">
        <v>55.56</v>
      </c>
      <c r="X1459" s="231" t="s">
        <v>239</v>
      </c>
      <c r="Y1459" s="231">
        <v>55.56</v>
      </c>
      <c r="Z1459" s="231" t="s">
        <v>239</v>
      </c>
      <c r="AA1459" s="231">
        <v>55.56</v>
      </c>
      <c r="AB1459" s="231" t="s">
        <v>239</v>
      </c>
      <c r="AC1459" s="231">
        <v>55.56</v>
      </c>
      <c r="AD1459" s="231" t="s">
        <v>239</v>
      </c>
      <c r="AE1459" s="231">
        <v>55.56</v>
      </c>
      <c r="AF1459" s="231" t="s">
        <v>239</v>
      </c>
      <c r="AG1459" s="231">
        <v>55.56</v>
      </c>
      <c r="AH1459" s="231" t="s">
        <v>239</v>
      </c>
      <c r="AI1459" s="231">
        <v>55.56</v>
      </c>
      <c r="AJ1459" s="231" t="s">
        <v>239</v>
      </c>
      <c r="AK1459" s="231">
        <v>55.56</v>
      </c>
      <c r="AL1459" s="232" t="s">
        <v>239</v>
      </c>
      <c r="AM1459" s="232">
        <v>0</v>
      </c>
    </row>
    <row r="1460" spans="1:39" ht="15.75" outlineLevel="1">
      <c r="A1460" s="412"/>
      <c r="B1460" s="10">
        <v>129725</v>
      </c>
      <c r="C1460" s="218" t="s">
        <v>1489</v>
      </c>
      <c r="D1460" s="218" t="s">
        <v>1490</v>
      </c>
      <c r="E1460" s="23" t="s">
        <v>138</v>
      </c>
      <c r="F1460" s="17" t="s">
        <v>45</v>
      </c>
      <c r="G1460" s="11" t="s">
        <v>1432</v>
      </c>
      <c r="H1460" s="12">
        <v>18</v>
      </c>
      <c r="I1460" s="11" t="s">
        <v>1433</v>
      </c>
      <c r="J1460" s="193" t="s">
        <v>1452</v>
      </c>
      <c r="K1460" s="17" t="s">
        <v>233</v>
      </c>
      <c r="L1460" s="17" t="s">
        <v>233</v>
      </c>
      <c r="M1460" s="231">
        <v>15028</v>
      </c>
      <c r="N1460" s="232">
        <v>14845.560079999999</v>
      </c>
      <c r="O1460" s="132">
        <v>986</v>
      </c>
      <c r="P1460" s="231" t="s">
        <v>239</v>
      </c>
      <c r="Q1460" s="232">
        <v>986</v>
      </c>
      <c r="R1460" s="231" t="s">
        <v>239</v>
      </c>
      <c r="S1460" s="232">
        <v>935</v>
      </c>
      <c r="T1460" s="231" t="s">
        <v>239</v>
      </c>
      <c r="U1460" s="232">
        <v>955</v>
      </c>
      <c r="V1460" s="231" t="s">
        <v>239</v>
      </c>
      <c r="W1460" s="232">
        <v>1039</v>
      </c>
      <c r="X1460" s="231" t="s">
        <v>239</v>
      </c>
      <c r="Y1460" s="232">
        <v>952</v>
      </c>
      <c r="Z1460" s="231" t="s">
        <v>239</v>
      </c>
      <c r="AA1460" s="232">
        <v>1322</v>
      </c>
      <c r="AB1460" s="231" t="s">
        <v>239</v>
      </c>
      <c r="AC1460" s="232">
        <v>1003</v>
      </c>
      <c r="AD1460" s="231" t="s">
        <v>239</v>
      </c>
      <c r="AE1460" s="232">
        <v>954</v>
      </c>
      <c r="AF1460" s="231" t="s">
        <v>239</v>
      </c>
      <c r="AG1460" s="232">
        <v>1109</v>
      </c>
      <c r="AH1460" s="231" t="s">
        <v>239</v>
      </c>
      <c r="AI1460" s="232">
        <v>1042</v>
      </c>
      <c r="AJ1460" s="231" t="s">
        <v>239</v>
      </c>
      <c r="AK1460" s="232">
        <v>1163</v>
      </c>
      <c r="AL1460" s="232" t="s">
        <v>239</v>
      </c>
      <c r="AM1460" s="232">
        <v>12446</v>
      </c>
    </row>
    <row r="1461" spans="1:39" ht="15.75" outlineLevel="1">
      <c r="A1461" s="411">
        <v>726</v>
      </c>
      <c r="B1461" s="10">
        <v>129726</v>
      </c>
      <c r="C1461" s="218" t="s">
        <v>1489</v>
      </c>
      <c r="D1461" s="218" t="s">
        <v>1490</v>
      </c>
      <c r="E1461" s="23" t="s">
        <v>44</v>
      </c>
      <c r="F1461" s="17" t="s">
        <v>45</v>
      </c>
      <c r="G1461" s="11" t="s">
        <v>1432</v>
      </c>
      <c r="H1461" s="12">
        <v>17</v>
      </c>
      <c r="I1461" s="11" t="s">
        <v>1433</v>
      </c>
      <c r="J1461" s="193" t="s">
        <v>216</v>
      </c>
      <c r="K1461" s="17" t="s">
        <v>233</v>
      </c>
      <c r="L1461" s="17" t="s">
        <v>233</v>
      </c>
      <c r="M1461" s="231">
        <v>6</v>
      </c>
      <c r="N1461" s="231">
        <v>6</v>
      </c>
      <c r="O1461" s="231">
        <v>6</v>
      </c>
      <c r="P1461" s="231" t="s">
        <v>239</v>
      </c>
      <c r="Q1461" s="231">
        <v>6</v>
      </c>
      <c r="R1461" s="231" t="s">
        <v>239</v>
      </c>
      <c r="S1461" s="231">
        <v>6</v>
      </c>
      <c r="T1461" s="231" t="s">
        <v>239</v>
      </c>
      <c r="U1461" s="231">
        <v>6</v>
      </c>
      <c r="V1461" s="231" t="s">
        <v>239</v>
      </c>
      <c r="W1461" s="231">
        <v>6</v>
      </c>
      <c r="X1461" s="231" t="s">
        <v>239</v>
      </c>
      <c r="Y1461" s="231">
        <v>6</v>
      </c>
      <c r="Z1461" s="231" t="s">
        <v>239</v>
      </c>
      <c r="AA1461" s="231">
        <v>6</v>
      </c>
      <c r="AB1461" s="231" t="s">
        <v>239</v>
      </c>
      <c r="AC1461" s="231">
        <v>6</v>
      </c>
      <c r="AD1461" s="231" t="s">
        <v>239</v>
      </c>
      <c r="AE1461" s="231">
        <v>6</v>
      </c>
      <c r="AF1461" s="231" t="s">
        <v>239</v>
      </c>
      <c r="AG1461" s="231">
        <v>6</v>
      </c>
      <c r="AH1461" s="231" t="s">
        <v>239</v>
      </c>
      <c r="AI1461" s="231">
        <v>6</v>
      </c>
      <c r="AJ1461" s="231" t="s">
        <v>239</v>
      </c>
      <c r="AK1461" s="231">
        <v>6</v>
      </c>
      <c r="AL1461" s="232" t="s">
        <v>239</v>
      </c>
      <c r="AM1461" s="232">
        <v>0</v>
      </c>
    </row>
    <row r="1462" spans="1:39" ht="15.75" outlineLevel="1">
      <c r="A1462" s="412"/>
      <c r="B1462" s="10">
        <v>129726</v>
      </c>
      <c r="C1462" s="218" t="s">
        <v>1489</v>
      </c>
      <c r="D1462" s="218" t="s">
        <v>1490</v>
      </c>
      <c r="E1462" s="23" t="s">
        <v>138</v>
      </c>
      <c r="F1462" s="17" t="s">
        <v>45</v>
      </c>
      <c r="G1462" s="11" t="s">
        <v>1432</v>
      </c>
      <c r="H1462" s="12">
        <v>25</v>
      </c>
      <c r="I1462" s="11" t="s">
        <v>1433</v>
      </c>
      <c r="J1462" s="193" t="s">
        <v>1453</v>
      </c>
      <c r="K1462" s="17" t="s">
        <v>233</v>
      </c>
      <c r="L1462" s="17" t="s">
        <v>233</v>
      </c>
      <c r="M1462" s="231">
        <v>2849</v>
      </c>
      <c r="N1462" s="232">
        <v>2814.4131400000001</v>
      </c>
      <c r="O1462" s="132">
        <v>1865</v>
      </c>
      <c r="P1462" s="231" t="s">
        <v>239</v>
      </c>
      <c r="Q1462" s="232">
        <v>1865</v>
      </c>
      <c r="R1462" s="231" t="s">
        <v>239</v>
      </c>
      <c r="S1462" s="232">
        <v>1687</v>
      </c>
      <c r="T1462" s="231" t="s">
        <v>239</v>
      </c>
      <c r="U1462" s="232">
        <v>1847</v>
      </c>
      <c r="V1462" s="230" t="s">
        <v>239</v>
      </c>
      <c r="W1462" s="232">
        <v>1664</v>
      </c>
      <c r="X1462" s="231" t="s">
        <v>239</v>
      </c>
      <c r="Y1462" s="232">
        <v>1555</v>
      </c>
      <c r="Z1462" s="231" t="s">
        <v>239</v>
      </c>
      <c r="AA1462" s="232">
        <v>1757</v>
      </c>
      <c r="AB1462" s="231" t="s">
        <v>239</v>
      </c>
      <c r="AC1462" s="232">
        <v>1738</v>
      </c>
      <c r="AD1462" s="231" t="s">
        <v>239</v>
      </c>
      <c r="AE1462" s="232">
        <v>1702</v>
      </c>
      <c r="AF1462" s="231" t="s">
        <v>239</v>
      </c>
      <c r="AG1462" s="232">
        <v>1654</v>
      </c>
      <c r="AH1462" s="231" t="s">
        <v>239</v>
      </c>
      <c r="AI1462" s="232">
        <v>1620</v>
      </c>
      <c r="AJ1462" s="231" t="s">
        <v>239</v>
      </c>
      <c r="AK1462" s="232">
        <v>1930</v>
      </c>
      <c r="AL1462" s="232" t="s">
        <v>239</v>
      </c>
      <c r="AM1462" s="232">
        <v>20884</v>
      </c>
    </row>
    <row r="1463" spans="1:39" ht="15.75" outlineLevel="1">
      <c r="A1463" s="411">
        <v>727</v>
      </c>
      <c r="B1463" s="10">
        <v>129727</v>
      </c>
      <c r="C1463" s="218" t="s">
        <v>1489</v>
      </c>
      <c r="D1463" s="218" t="s">
        <v>1490</v>
      </c>
      <c r="E1463" s="23" t="s">
        <v>44</v>
      </c>
      <c r="F1463" s="17" t="s">
        <v>45</v>
      </c>
      <c r="G1463" s="11" t="s">
        <v>1432</v>
      </c>
      <c r="H1463" s="12">
        <v>13</v>
      </c>
      <c r="I1463" s="11" t="s">
        <v>1433</v>
      </c>
      <c r="J1463" s="193" t="s">
        <v>1454</v>
      </c>
      <c r="K1463" s="17" t="s">
        <v>233</v>
      </c>
      <c r="L1463" s="17" t="s">
        <v>233</v>
      </c>
      <c r="M1463" s="231">
        <v>14.6</v>
      </c>
      <c r="N1463" s="231">
        <v>14.6</v>
      </c>
      <c r="O1463" s="231">
        <v>14.6</v>
      </c>
      <c r="P1463" s="231" t="s">
        <v>239</v>
      </c>
      <c r="Q1463" s="231">
        <v>14.6</v>
      </c>
      <c r="R1463" s="231" t="s">
        <v>239</v>
      </c>
      <c r="S1463" s="231">
        <v>14.6</v>
      </c>
      <c r="T1463" s="231" t="s">
        <v>239</v>
      </c>
      <c r="U1463" s="231">
        <v>14.6</v>
      </c>
      <c r="V1463" s="231" t="s">
        <v>239</v>
      </c>
      <c r="W1463" s="231">
        <v>14.6</v>
      </c>
      <c r="X1463" s="231" t="s">
        <v>239</v>
      </c>
      <c r="Y1463" s="231">
        <v>14.6</v>
      </c>
      <c r="Z1463" s="231" t="s">
        <v>239</v>
      </c>
      <c r="AA1463" s="231">
        <v>14.6</v>
      </c>
      <c r="AB1463" s="231" t="s">
        <v>239</v>
      </c>
      <c r="AC1463" s="231">
        <v>14.6</v>
      </c>
      <c r="AD1463" s="231" t="s">
        <v>239</v>
      </c>
      <c r="AE1463" s="231">
        <v>14.6</v>
      </c>
      <c r="AF1463" s="231" t="s">
        <v>239</v>
      </c>
      <c r="AG1463" s="231">
        <v>14.6</v>
      </c>
      <c r="AH1463" s="231" t="s">
        <v>239</v>
      </c>
      <c r="AI1463" s="231">
        <v>14.6</v>
      </c>
      <c r="AJ1463" s="231" t="s">
        <v>239</v>
      </c>
      <c r="AK1463" s="231">
        <v>14.6</v>
      </c>
      <c r="AL1463" s="232" t="s">
        <v>239</v>
      </c>
      <c r="AM1463" s="232">
        <v>0</v>
      </c>
    </row>
    <row r="1464" spans="1:39" ht="15.75" outlineLevel="1">
      <c r="A1464" s="412"/>
      <c r="B1464" s="10">
        <v>129727</v>
      </c>
      <c r="C1464" s="218" t="s">
        <v>1489</v>
      </c>
      <c r="D1464" s="218" t="s">
        <v>1490</v>
      </c>
      <c r="E1464" s="23" t="s">
        <v>44</v>
      </c>
      <c r="F1464" s="17" t="s">
        <v>45</v>
      </c>
      <c r="G1464" s="11" t="s">
        <v>1432</v>
      </c>
      <c r="H1464" s="12">
        <v>5</v>
      </c>
      <c r="I1464" s="11" t="s">
        <v>1433</v>
      </c>
      <c r="J1464" s="193" t="s">
        <v>1451</v>
      </c>
      <c r="K1464" s="17" t="s">
        <v>233</v>
      </c>
      <c r="L1464" s="17" t="s">
        <v>233</v>
      </c>
      <c r="M1464" s="231">
        <v>24462</v>
      </c>
      <c r="N1464" s="232">
        <v>24165.031319999998</v>
      </c>
      <c r="O1464" s="132">
        <v>2432</v>
      </c>
      <c r="P1464" s="231" t="s">
        <v>239</v>
      </c>
      <c r="Q1464" s="232">
        <v>2432</v>
      </c>
      <c r="R1464" s="231" t="s">
        <v>239</v>
      </c>
      <c r="S1464" s="232">
        <v>1772</v>
      </c>
      <c r="T1464" s="231" t="s">
        <v>239</v>
      </c>
      <c r="U1464" s="232">
        <v>1825</v>
      </c>
      <c r="V1464" s="231" t="s">
        <v>239</v>
      </c>
      <c r="W1464" s="232">
        <v>1822</v>
      </c>
      <c r="X1464" s="231" t="s">
        <v>239</v>
      </c>
      <c r="Y1464" s="232">
        <v>1794</v>
      </c>
      <c r="Z1464" s="231" t="s">
        <v>239</v>
      </c>
      <c r="AA1464" s="232">
        <v>1613</v>
      </c>
      <c r="AB1464" s="231" t="s">
        <v>239</v>
      </c>
      <c r="AC1464" s="232">
        <v>1829</v>
      </c>
      <c r="AD1464" s="231" t="s">
        <v>239</v>
      </c>
      <c r="AE1464" s="232">
        <v>2065</v>
      </c>
      <c r="AF1464" s="231" t="s">
        <v>239</v>
      </c>
      <c r="AG1464" s="232">
        <v>1913</v>
      </c>
      <c r="AH1464" s="231" t="s">
        <v>239</v>
      </c>
      <c r="AI1464" s="232">
        <v>1990</v>
      </c>
      <c r="AJ1464" s="231" t="s">
        <v>239</v>
      </c>
      <c r="AK1464" s="232">
        <v>1979</v>
      </c>
      <c r="AL1464" s="232" t="s">
        <v>239</v>
      </c>
      <c r="AM1464" s="232">
        <v>23466</v>
      </c>
    </row>
    <row r="1465" spans="1:39" ht="15.75" outlineLevel="1">
      <c r="A1465" s="411">
        <v>728</v>
      </c>
      <c r="B1465" s="10">
        <v>129728</v>
      </c>
      <c r="C1465" s="218" t="s">
        <v>1489</v>
      </c>
      <c r="D1465" s="218" t="s">
        <v>1490</v>
      </c>
      <c r="E1465" s="23" t="s">
        <v>138</v>
      </c>
      <c r="F1465" s="17" t="s">
        <v>45</v>
      </c>
      <c r="G1465" s="11" t="s">
        <v>1432</v>
      </c>
      <c r="H1465" s="12">
        <v>4</v>
      </c>
      <c r="I1465" s="11" t="s">
        <v>1433</v>
      </c>
      <c r="J1465" s="193" t="s">
        <v>208</v>
      </c>
      <c r="K1465" s="17" t="s">
        <v>233</v>
      </c>
      <c r="L1465" s="17" t="s">
        <v>233</v>
      </c>
      <c r="M1465" s="231">
        <v>24.8</v>
      </c>
      <c r="N1465" s="231">
        <v>24.8</v>
      </c>
      <c r="O1465" s="231">
        <v>24.8</v>
      </c>
      <c r="P1465" s="231" t="s">
        <v>239</v>
      </c>
      <c r="Q1465" s="231">
        <v>24.8</v>
      </c>
      <c r="R1465" s="231" t="s">
        <v>239</v>
      </c>
      <c r="S1465" s="231">
        <v>24.8</v>
      </c>
      <c r="T1465" s="231" t="s">
        <v>239</v>
      </c>
      <c r="U1465" s="231">
        <v>24.8</v>
      </c>
      <c r="V1465" s="230" t="s">
        <v>239</v>
      </c>
      <c r="W1465" s="231">
        <v>24.8</v>
      </c>
      <c r="X1465" s="231" t="s">
        <v>239</v>
      </c>
      <c r="Y1465" s="231">
        <v>24.8</v>
      </c>
      <c r="Z1465" s="231" t="s">
        <v>239</v>
      </c>
      <c r="AA1465" s="231">
        <v>24.8</v>
      </c>
      <c r="AB1465" s="231" t="s">
        <v>239</v>
      </c>
      <c r="AC1465" s="231">
        <v>24.8</v>
      </c>
      <c r="AD1465" s="231" t="s">
        <v>239</v>
      </c>
      <c r="AE1465" s="231">
        <v>24.8</v>
      </c>
      <c r="AF1465" s="231" t="s">
        <v>239</v>
      </c>
      <c r="AG1465" s="231">
        <v>24.8</v>
      </c>
      <c r="AH1465" s="231" t="s">
        <v>239</v>
      </c>
      <c r="AI1465" s="231">
        <v>24.8</v>
      </c>
      <c r="AJ1465" s="231" t="s">
        <v>239</v>
      </c>
      <c r="AK1465" s="231">
        <v>24.8</v>
      </c>
      <c r="AL1465" s="232" t="s">
        <v>239</v>
      </c>
      <c r="AM1465" s="232">
        <v>0</v>
      </c>
    </row>
    <row r="1466" spans="1:39" ht="15.75" outlineLevel="1">
      <c r="A1466" s="412"/>
      <c r="B1466" s="10">
        <v>129728</v>
      </c>
      <c r="C1466" s="218" t="s">
        <v>1489</v>
      </c>
      <c r="D1466" s="218" t="s">
        <v>1490</v>
      </c>
      <c r="E1466" s="23" t="s">
        <v>44</v>
      </c>
      <c r="F1466" s="17" t="s">
        <v>45</v>
      </c>
      <c r="G1466" s="11" t="s">
        <v>1432</v>
      </c>
      <c r="H1466" s="12">
        <v>18</v>
      </c>
      <c r="I1466" s="11" t="s">
        <v>1433</v>
      </c>
      <c r="J1466" s="193" t="s">
        <v>1452</v>
      </c>
      <c r="K1466" s="17" t="s">
        <v>233</v>
      </c>
      <c r="L1466" s="17" t="s">
        <v>233</v>
      </c>
      <c r="M1466" s="231">
        <v>90558</v>
      </c>
      <c r="N1466" s="232">
        <v>89458.625879999992</v>
      </c>
      <c r="O1466" s="132">
        <v>2049</v>
      </c>
      <c r="P1466" s="231" t="s">
        <v>239</v>
      </c>
      <c r="Q1466" s="232">
        <v>2049</v>
      </c>
      <c r="R1466" s="231" t="s">
        <v>239</v>
      </c>
      <c r="S1466" s="232">
        <v>2237</v>
      </c>
      <c r="T1466" s="231" t="s">
        <v>239</v>
      </c>
      <c r="U1466" s="232">
        <v>1952</v>
      </c>
      <c r="V1466" s="231" t="s">
        <v>239</v>
      </c>
      <c r="W1466" s="232">
        <v>1925</v>
      </c>
      <c r="X1466" s="231" t="s">
        <v>239</v>
      </c>
      <c r="Y1466" s="232">
        <v>789</v>
      </c>
      <c r="Z1466" s="231" t="s">
        <v>239</v>
      </c>
      <c r="AA1466" s="232">
        <v>1149</v>
      </c>
      <c r="AB1466" s="231" t="s">
        <v>239</v>
      </c>
      <c r="AC1466" s="232">
        <v>1403</v>
      </c>
      <c r="AD1466" s="231" t="s">
        <v>239</v>
      </c>
      <c r="AE1466" s="232">
        <v>1013</v>
      </c>
      <c r="AF1466" s="231" t="s">
        <v>239</v>
      </c>
      <c r="AG1466" s="232">
        <v>318</v>
      </c>
      <c r="AH1466" s="231" t="s">
        <v>239</v>
      </c>
      <c r="AI1466" s="232">
        <v>284</v>
      </c>
      <c r="AJ1466" s="231" t="s">
        <v>239</v>
      </c>
      <c r="AK1466" s="232">
        <v>340</v>
      </c>
      <c r="AL1466" s="232" t="s">
        <v>239</v>
      </c>
      <c r="AM1466" s="232">
        <v>15508</v>
      </c>
    </row>
    <row r="1467" spans="1:39" ht="15.75" outlineLevel="1">
      <c r="A1467" s="411">
        <v>729</v>
      </c>
      <c r="B1467" s="10">
        <v>129729</v>
      </c>
      <c r="C1467" s="218" t="s">
        <v>1489</v>
      </c>
      <c r="D1467" s="218" t="s">
        <v>1490</v>
      </c>
      <c r="E1467" s="23" t="s">
        <v>138</v>
      </c>
      <c r="F1467" s="17" t="s">
        <v>45</v>
      </c>
      <c r="G1467" s="11" t="s">
        <v>1432</v>
      </c>
      <c r="H1467" s="12">
        <v>17</v>
      </c>
      <c r="I1467" s="11" t="s">
        <v>1433</v>
      </c>
      <c r="J1467" s="193" t="s">
        <v>216</v>
      </c>
      <c r="K1467" s="17" t="s">
        <v>233</v>
      </c>
      <c r="L1467" s="17" t="s">
        <v>233</v>
      </c>
      <c r="M1467" s="231">
        <v>46</v>
      </c>
      <c r="N1467" s="231">
        <v>46</v>
      </c>
      <c r="O1467" s="231">
        <v>46</v>
      </c>
      <c r="P1467" s="231" t="s">
        <v>239</v>
      </c>
      <c r="Q1467" s="231">
        <v>46</v>
      </c>
      <c r="R1467" s="231" t="s">
        <v>239</v>
      </c>
      <c r="S1467" s="231">
        <v>46</v>
      </c>
      <c r="T1467" s="231" t="s">
        <v>239</v>
      </c>
      <c r="U1467" s="231">
        <v>46</v>
      </c>
      <c r="V1467" s="231" t="s">
        <v>239</v>
      </c>
      <c r="W1467" s="231">
        <v>46</v>
      </c>
      <c r="X1467" s="231" t="s">
        <v>239</v>
      </c>
      <c r="Y1467" s="231">
        <v>46</v>
      </c>
      <c r="Z1467" s="231" t="s">
        <v>239</v>
      </c>
      <c r="AA1467" s="231">
        <v>46</v>
      </c>
      <c r="AB1467" s="231" t="s">
        <v>239</v>
      </c>
      <c r="AC1467" s="231">
        <v>46</v>
      </c>
      <c r="AD1467" s="231" t="s">
        <v>239</v>
      </c>
      <c r="AE1467" s="231">
        <v>46</v>
      </c>
      <c r="AF1467" s="231" t="s">
        <v>239</v>
      </c>
      <c r="AG1467" s="231">
        <v>46</v>
      </c>
      <c r="AH1467" s="231" t="s">
        <v>239</v>
      </c>
      <c r="AI1467" s="231">
        <v>46</v>
      </c>
      <c r="AJ1467" s="231" t="s">
        <v>239</v>
      </c>
      <c r="AK1467" s="231">
        <v>46</v>
      </c>
      <c r="AL1467" s="232" t="s">
        <v>239</v>
      </c>
      <c r="AM1467" s="232">
        <v>0</v>
      </c>
    </row>
    <row r="1468" spans="1:39" ht="15.75" outlineLevel="1">
      <c r="A1468" s="412"/>
      <c r="B1468" s="10">
        <v>129729</v>
      </c>
      <c r="C1468" s="218" t="s">
        <v>1489</v>
      </c>
      <c r="D1468" s="218" t="s">
        <v>1490</v>
      </c>
      <c r="E1468" s="23" t="s">
        <v>44</v>
      </c>
      <c r="F1468" s="17" t="s">
        <v>45</v>
      </c>
      <c r="G1468" s="11" t="s">
        <v>1432</v>
      </c>
      <c r="H1468" s="12">
        <v>28</v>
      </c>
      <c r="I1468" s="11" t="s">
        <v>1433</v>
      </c>
      <c r="J1468" s="193" t="s">
        <v>1453</v>
      </c>
      <c r="K1468" s="17" t="s">
        <v>233</v>
      </c>
      <c r="L1468" s="17" t="s">
        <v>233</v>
      </c>
      <c r="M1468" s="231">
        <v>11956</v>
      </c>
      <c r="N1468" s="232">
        <v>11810.854159999999</v>
      </c>
      <c r="O1468" s="132">
        <v>1485</v>
      </c>
      <c r="P1468" s="231" t="s">
        <v>239</v>
      </c>
      <c r="Q1468" s="232">
        <v>1485</v>
      </c>
      <c r="R1468" s="231" t="s">
        <v>239</v>
      </c>
      <c r="S1468" s="232">
        <v>1559</v>
      </c>
      <c r="T1468" s="231" t="s">
        <v>239</v>
      </c>
      <c r="U1468" s="232">
        <v>1497</v>
      </c>
      <c r="V1468" s="230" t="s">
        <v>239</v>
      </c>
      <c r="W1468" s="232">
        <v>1590</v>
      </c>
      <c r="X1468" s="231" t="s">
        <v>239</v>
      </c>
      <c r="Y1468" s="232">
        <v>1578</v>
      </c>
      <c r="Z1468" s="231" t="s">
        <v>239</v>
      </c>
      <c r="AA1468" s="232">
        <v>1544</v>
      </c>
      <c r="AB1468" s="231" t="s">
        <v>239</v>
      </c>
      <c r="AC1468" s="232">
        <v>1511</v>
      </c>
      <c r="AD1468" s="231" t="s">
        <v>239</v>
      </c>
      <c r="AE1468" s="232">
        <v>1361</v>
      </c>
      <c r="AF1468" s="231" t="s">
        <v>239</v>
      </c>
      <c r="AG1468" s="232">
        <v>1251</v>
      </c>
      <c r="AH1468" s="231" t="s">
        <v>239</v>
      </c>
      <c r="AI1468" s="232">
        <v>1206</v>
      </c>
      <c r="AJ1468" s="231" t="s">
        <v>239</v>
      </c>
      <c r="AK1468" s="232">
        <v>1304</v>
      </c>
      <c r="AL1468" s="232" t="s">
        <v>239</v>
      </c>
      <c r="AM1468" s="232">
        <v>17371</v>
      </c>
    </row>
    <row r="1469" spans="1:39" ht="15.75" outlineLevel="1">
      <c r="A1469" s="411">
        <v>730</v>
      </c>
      <c r="B1469" s="10">
        <v>129730</v>
      </c>
      <c r="C1469" s="218" t="s">
        <v>1489</v>
      </c>
      <c r="D1469" s="218" t="s">
        <v>1490</v>
      </c>
      <c r="E1469" s="23" t="s">
        <v>44</v>
      </c>
      <c r="F1469" s="17" t="s">
        <v>45</v>
      </c>
      <c r="G1469" s="11" t="s">
        <v>1432</v>
      </c>
      <c r="H1469" s="12">
        <v>33</v>
      </c>
      <c r="I1469" s="11" t="s">
        <v>1433</v>
      </c>
      <c r="J1469" s="193" t="s">
        <v>1454</v>
      </c>
      <c r="K1469" s="17" t="s">
        <v>233</v>
      </c>
      <c r="L1469" s="17" t="s">
        <v>233</v>
      </c>
      <c r="M1469" s="231">
        <v>17</v>
      </c>
      <c r="N1469" s="231">
        <v>17</v>
      </c>
      <c r="O1469" s="231">
        <v>17</v>
      </c>
      <c r="P1469" s="231" t="s">
        <v>239</v>
      </c>
      <c r="Q1469" s="231">
        <v>17</v>
      </c>
      <c r="R1469" s="231" t="s">
        <v>239</v>
      </c>
      <c r="S1469" s="231">
        <v>17</v>
      </c>
      <c r="T1469" s="231" t="s">
        <v>239</v>
      </c>
      <c r="U1469" s="231">
        <v>17</v>
      </c>
      <c r="V1469" s="231" t="s">
        <v>239</v>
      </c>
      <c r="W1469" s="231">
        <v>17</v>
      </c>
      <c r="X1469" s="231" t="s">
        <v>239</v>
      </c>
      <c r="Y1469" s="231">
        <v>17</v>
      </c>
      <c r="Z1469" s="231" t="s">
        <v>239</v>
      </c>
      <c r="AA1469" s="231">
        <v>17</v>
      </c>
      <c r="AB1469" s="231" t="s">
        <v>239</v>
      </c>
      <c r="AC1469" s="231">
        <v>17</v>
      </c>
      <c r="AD1469" s="231" t="s">
        <v>239</v>
      </c>
      <c r="AE1469" s="231">
        <v>17</v>
      </c>
      <c r="AF1469" s="231" t="s">
        <v>239</v>
      </c>
      <c r="AG1469" s="231">
        <v>17</v>
      </c>
      <c r="AH1469" s="231" t="s">
        <v>239</v>
      </c>
      <c r="AI1469" s="231">
        <v>17</v>
      </c>
      <c r="AJ1469" s="231" t="s">
        <v>239</v>
      </c>
      <c r="AK1469" s="231">
        <v>17</v>
      </c>
      <c r="AL1469" s="232" t="s">
        <v>239</v>
      </c>
      <c r="AM1469" s="232">
        <v>0</v>
      </c>
    </row>
    <row r="1470" spans="1:39" ht="15.75" outlineLevel="1">
      <c r="A1470" s="412"/>
      <c r="B1470" s="10">
        <v>129730</v>
      </c>
      <c r="C1470" s="218" t="s">
        <v>1489</v>
      </c>
      <c r="D1470" s="218" t="s">
        <v>1490</v>
      </c>
      <c r="E1470" s="23" t="s">
        <v>138</v>
      </c>
      <c r="F1470" s="17" t="s">
        <v>45</v>
      </c>
      <c r="G1470" s="11" t="s">
        <v>1432</v>
      </c>
      <c r="H1470" s="12">
        <v>25</v>
      </c>
      <c r="I1470" s="11" t="s">
        <v>1433</v>
      </c>
      <c r="J1470" s="191" t="s">
        <v>216</v>
      </c>
      <c r="K1470" s="17" t="s">
        <v>233</v>
      </c>
      <c r="L1470" s="17" t="s">
        <v>233</v>
      </c>
      <c r="M1470" s="231">
        <v>5871</v>
      </c>
      <c r="N1470" s="232">
        <v>5799.72606</v>
      </c>
      <c r="O1470" s="132">
        <v>543</v>
      </c>
      <c r="P1470" s="231" t="s">
        <v>239</v>
      </c>
      <c r="Q1470" s="232">
        <v>543</v>
      </c>
      <c r="R1470" s="231" t="s">
        <v>239</v>
      </c>
      <c r="S1470" s="232">
        <v>529</v>
      </c>
      <c r="T1470" s="231" t="s">
        <v>239</v>
      </c>
      <c r="U1470" s="232">
        <v>544</v>
      </c>
      <c r="V1470" s="231" t="s">
        <v>239</v>
      </c>
      <c r="W1470" s="232">
        <v>507</v>
      </c>
      <c r="X1470" s="231" t="s">
        <v>239</v>
      </c>
      <c r="Y1470" s="232">
        <v>445</v>
      </c>
      <c r="Z1470" s="231" t="s">
        <v>239</v>
      </c>
      <c r="AA1470" s="232">
        <v>577</v>
      </c>
      <c r="AB1470" s="231" t="s">
        <v>239</v>
      </c>
      <c r="AC1470" s="232">
        <v>533</v>
      </c>
      <c r="AD1470" s="231" t="s">
        <v>239</v>
      </c>
      <c r="AE1470" s="232">
        <v>568</v>
      </c>
      <c r="AF1470" s="231" t="s">
        <v>239</v>
      </c>
      <c r="AG1470" s="232">
        <v>552</v>
      </c>
      <c r="AH1470" s="231" t="s">
        <v>239</v>
      </c>
      <c r="AI1470" s="232">
        <v>658</v>
      </c>
      <c r="AJ1470" s="231" t="s">
        <v>239</v>
      </c>
      <c r="AK1470" s="232">
        <v>757</v>
      </c>
      <c r="AL1470" s="232" t="s">
        <v>239</v>
      </c>
      <c r="AM1470" s="232">
        <v>6756</v>
      </c>
    </row>
    <row r="1471" spans="1:39" ht="15.75" outlineLevel="1">
      <c r="A1471" s="411">
        <v>731</v>
      </c>
      <c r="B1471" s="10">
        <v>129731</v>
      </c>
      <c r="C1471" s="218" t="s">
        <v>1489</v>
      </c>
      <c r="D1471" s="218" t="s">
        <v>1490</v>
      </c>
      <c r="E1471" s="23" t="s">
        <v>44</v>
      </c>
      <c r="F1471" s="17" t="s">
        <v>45</v>
      </c>
      <c r="G1471" s="11" t="s">
        <v>1432</v>
      </c>
      <c r="H1471" s="12">
        <v>9</v>
      </c>
      <c r="I1471" s="11" t="s">
        <v>1433</v>
      </c>
      <c r="J1471" s="192" t="s">
        <v>1434</v>
      </c>
      <c r="K1471" s="17" t="s">
        <v>233</v>
      </c>
      <c r="L1471" s="17" t="s">
        <v>233</v>
      </c>
      <c r="M1471" s="231">
        <v>2.2000000000000002</v>
      </c>
      <c r="N1471" s="231">
        <v>2.2000000000000002</v>
      </c>
      <c r="O1471" s="231">
        <v>2.2000000000000002</v>
      </c>
      <c r="P1471" s="231" t="s">
        <v>239</v>
      </c>
      <c r="Q1471" s="231">
        <v>2.2000000000000002</v>
      </c>
      <c r="R1471" s="231" t="s">
        <v>239</v>
      </c>
      <c r="S1471" s="231">
        <v>2.2000000000000002</v>
      </c>
      <c r="T1471" s="231" t="s">
        <v>239</v>
      </c>
      <c r="U1471" s="231">
        <v>2.2000000000000002</v>
      </c>
      <c r="V1471" s="230" t="s">
        <v>239</v>
      </c>
      <c r="W1471" s="231">
        <v>2.2000000000000002</v>
      </c>
      <c r="X1471" s="231" t="s">
        <v>239</v>
      </c>
      <c r="Y1471" s="231">
        <v>2.2000000000000002</v>
      </c>
      <c r="Z1471" s="231" t="s">
        <v>239</v>
      </c>
      <c r="AA1471" s="231">
        <v>2.2000000000000002</v>
      </c>
      <c r="AB1471" s="231" t="s">
        <v>239</v>
      </c>
      <c r="AC1471" s="231">
        <v>2.2000000000000002</v>
      </c>
      <c r="AD1471" s="231" t="s">
        <v>239</v>
      </c>
      <c r="AE1471" s="231">
        <v>2.2000000000000002</v>
      </c>
      <c r="AF1471" s="231" t="s">
        <v>239</v>
      </c>
      <c r="AG1471" s="231">
        <v>2.2000000000000002</v>
      </c>
      <c r="AH1471" s="231" t="s">
        <v>239</v>
      </c>
      <c r="AI1471" s="231">
        <v>2.2000000000000002</v>
      </c>
      <c r="AJ1471" s="231" t="s">
        <v>239</v>
      </c>
      <c r="AK1471" s="231">
        <v>2.2000000000000002</v>
      </c>
      <c r="AL1471" s="232" t="s">
        <v>239</v>
      </c>
      <c r="AM1471" s="232">
        <v>0</v>
      </c>
    </row>
    <row r="1472" spans="1:39" ht="15.75" outlineLevel="1">
      <c r="A1472" s="412"/>
      <c r="B1472" s="10">
        <v>129731</v>
      </c>
      <c r="C1472" s="218" t="s">
        <v>1489</v>
      </c>
      <c r="D1472" s="218" t="s">
        <v>1490</v>
      </c>
      <c r="E1472" s="23" t="s">
        <v>138</v>
      </c>
      <c r="F1472" s="17" t="s">
        <v>45</v>
      </c>
      <c r="G1472" s="11" t="s">
        <v>1432</v>
      </c>
      <c r="H1472" s="12">
        <v>18</v>
      </c>
      <c r="I1472" s="11" t="s">
        <v>1433</v>
      </c>
      <c r="J1472" s="192" t="s">
        <v>1480</v>
      </c>
      <c r="K1472" s="17" t="s">
        <v>233</v>
      </c>
      <c r="L1472" s="17" t="s">
        <v>233</v>
      </c>
      <c r="M1472" s="231">
        <v>9144</v>
      </c>
      <c r="N1472" s="232">
        <v>9032.9918399999988</v>
      </c>
      <c r="O1472" s="132">
        <v>1416</v>
      </c>
      <c r="P1472" s="231" t="s">
        <v>239</v>
      </c>
      <c r="Q1472" s="232">
        <v>1416</v>
      </c>
      <c r="R1472" s="231" t="s">
        <v>239</v>
      </c>
      <c r="S1472" s="232">
        <v>1394</v>
      </c>
      <c r="T1472" s="231" t="s">
        <v>239</v>
      </c>
      <c r="U1472" s="232">
        <v>1357</v>
      </c>
      <c r="V1472" s="231" t="s">
        <v>239</v>
      </c>
      <c r="W1472" s="232">
        <v>1362</v>
      </c>
      <c r="X1472" s="231" t="s">
        <v>239</v>
      </c>
      <c r="Y1472" s="232">
        <v>1216</v>
      </c>
      <c r="Z1472" s="231" t="s">
        <v>239</v>
      </c>
      <c r="AA1472" s="232">
        <v>1189</v>
      </c>
      <c r="AB1472" s="231" t="s">
        <v>239</v>
      </c>
      <c r="AC1472" s="232">
        <v>1184</v>
      </c>
      <c r="AD1472" s="231" t="s">
        <v>239</v>
      </c>
      <c r="AE1472" s="232">
        <v>1159</v>
      </c>
      <c r="AF1472" s="231" t="s">
        <v>239</v>
      </c>
      <c r="AG1472" s="232">
        <v>1053</v>
      </c>
      <c r="AH1472" s="231" t="s">
        <v>239</v>
      </c>
      <c r="AI1472" s="232">
        <v>998</v>
      </c>
      <c r="AJ1472" s="231" t="s">
        <v>239</v>
      </c>
      <c r="AK1472" s="232">
        <v>1655</v>
      </c>
      <c r="AL1472" s="232" t="s">
        <v>239</v>
      </c>
      <c r="AM1472" s="232">
        <v>15399</v>
      </c>
    </row>
    <row r="1473" spans="1:39" ht="15.75" outlineLevel="1">
      <c r="A1473" s="411">
        <v>732</v>
      </c>
      <c r="B1473" s="10">
        <v>129732</v>
      </c>
      <c r="C1473" s="218" t="s">
        <v>1489</v>
      </c>
      <c r="D1473" s="218" t="s">
        <v>1490</v>
      </c>
      <c r="E1473" s="23" t="s">
        <v>44</v>
      </c>
      <c r="F1473" s="17" t="s">
        <v>45</v>
      </c>
      <c r="G1473" s="11" t="s">
        <v>1432</v>
      </c>
      <c r="H1473" s="12">
        <v>17</v>
      </c>
      <c r="I1473" s="11" t="s">
        <v>1433</v>
      </c>
      <c r="J1473" s="193" t="s">
        <v>1451</v>
      </c>
      <c r="K1473" s="17" t="s">
        <v>233</v>
      </c>
      <c r="L1473" s="17" t="s">
        <v>233</v>
      </c>
      <c r="M1473" s="231">
        <v>14</v>
      </c>
      <c r="N1473" s="231">
        <v>14</v>
      </c>
      <c r="O1473" s="231">
        <v>14</v>
      </c>
      <c r="P1473" s="231" t="s">
        <v>239</v>
      </c>
      <c r="Q1473" s="231">
        <v>14</v>
      </c>
      <c r="R1473" s="231" t="s">
        <v>239</v>
      </c>
      <c r="S1473" s="231">
        <v>14</v>
      </c>
      <c r="T1473" s="231" t="s">
        <v>239</v>
      </c>
      <c r="U1473" s="231">
        <v>14</v>
      </c>
      <c r="V1473" s="231" t="s">
        <v>239</v>
      </c>
      <c r="W1473" s="231">
        <v>14</v>
      </c>
      <c r="X1473" s="231" t="s">
        <v>239</v>
      </c>
      <c r="Y1473" s="231">
        <v>14</v>
      </c>
      <c r="Z1473" s="231" t="s">
        <v>239</v>
      </c>
      <c r="AA1473" s="231">
        <v>14</v>
      </c>
      <c r="AB1473" s="231" t="s">
        <v>239</v>
      </c>
      <c r="AC1473" s="231">
        <v>14</v>
      </c>
      <c r="AD1473" s="231" t="s">
        <v>239</v>
      </c>
      <c r="AE1473" s="231">
        <v>14</v>
      </c>
      <c r="AF1473" s="231" t="s">
        <v>239</v>
      </c>
      <c r="AG1473" s="231">
        <v>14</v>
      </c>
      <c r="AH1473" s="231" t="s">
        <v>239</v>
      </c>
      <c r="AI1473" s="231">
        <v>14</v>
      </c>
      <c r="AJ1473" s="231" t="s">
        <v>239</v>
      </c>
      <c r="AK1473" s="231">
        <v>14</v>
      </c>
      <c r="AL1473" s="232" t="s">
        <v>239</v>
      </c>
      <c r="AM1473" s="232">
        <v>0</v>
      </c>
    </row>
    <row r="1474" spans="1:39" ht="15.75" outlineLevel="1">
      <c r="A1474" s="412"/>
      <c r="B1474" s="10">
        <v>129732</v>
      </c>
      <c r="C1474" s="218" t="s">
        <v>1489</v>
      </c>
      <c r="D1474" s="218" t="s">
        <v>1490</v>
      </c>
      <c r="E1474" s="23" t="s">
        <v>44</v>
      </c>
      <c r="F1474" s="17" t="s">
        <v>45</v>
      </c>
      <c r="G1474" s="11" t="s">
        <v>1432</v>
      </c>
      <c r="H1474" s="12">
        <v>25</v>
      </c>
      <c r="I1474" s="11" t="s">
        <v>1433</v>
      </c>
      <c r="J1474" s="193" t="s">
        <v>208</v>
      </c>
      <c r="K1474" s="17" t="s">
        <v>233</v>
      </c>
      <c r="L1474" s="17" t="s">
        <v>233</v>
      </c>
      <c r="M1474" s="231">
        <v>6094</v>
      </c>
      <c r="N1474" s="232">
        <v>6020.0188399999997</v>
      </c>
      <c r="O1474" s="132">
        <v>973</v>
      </c>
      <c r="P1474" s="231" t="s">
        <v>239</v>
      </c>
      <c r="Q1474" s="232">
        <v>973</v>
      </c>
      <c r="R1474" s="231" t="s">
        <v>239</v>
      </c>
      <c r="S1474" s="232">
        <v>923</v>
      </c>
      <c r="T1474" s="231" t="s">
        <v>239</v>
      </c>
      <c r="U1474" s="232">
        <v>329</v>
      </c>
      <c r="V1474" s="230" t="s">
        <v>239</v>
      </c>
      <c r="W1474" s="232">
        <v>300</v>
      </c>
      <c r="X1474" s="231" t="s">
        <v>239</v>
      </c>
      <c r="Y1474" s="232">
        <v>326</v>
      </c>
      <c r="Z1474" s="231" t="s">
        <v>239</v>
      </c>
      <c r="AA1474" s="232">
        <v>264</v>
      </c>
      <c r="AB1474" s="231" t="s">
        <v>239</v>
      </c>
      <c r="AC1474" s="232">
        <v>154</v>
      </c>
      <c r="AD1474" s="231" t="s">
        <v>239</v>
      </c>
      <c r="AE1474" s="232">
        <v>153</v>
      </c>
      <c r="AF1474" s="231" t="s">
        <v>239</v>
      </c>
      <c r="AG1474" s="232">
        <v>225</v>
      </c>
      <c r="AH1474" s="231" t="s">
        <v>239</v>
      </c>
      <c r="AI1474" s="232">
        <v>549</v>
      </c>
      <c r="AJ1474" s="231" t="s">
        <v>239</v>
      </c>
      <c r="AK1474" s="232">
        <v>214</v>
      </c>
      <c r="AL1474" s="232" t="s">
        <v>239</v>
      </c>
      <c r="AM1474" s="232">
        <v>5383</v>
      </c>
    </row>
    <row r="1475" spans="1:39" ht="15.75" outlineLevel="1">
      <c r="A1475" s="411">
        <v>733</v>
      </c>
      <c r="B1475" s="10">
        <v>129733</v>
      </c>
      <c r="C1475" s="218" t="s">
        <v>1489</v>
      </c>
      <c r="D1475" s="218" t="s">
        <v>1490</v>
      </c>
      <c r="E1475" s="23" t="s">
        <v>138</v>
      </c>
      <c r="F1475" s="17" t="s">
        <v>45</v>
      </c>
      <c r="G1475" s="11" t="s">
        <v>1432</v>
      </c>
      <c r="H1475" s="12">
        <v>13</v>
      </c>
      <c r="I1475" s="11" t="s">
        <v>1433</v>
      </c>
      <c r="J1475" s="193" t="s">
        <v>1452</v>
      </c>
      <c r="K1475" s="17" t="s">
        <v>233</v>
      </c>
      <c r="L1475" s="17" t="s">
        <v>233</v>
      </c>
      <c r="M1475" s="231">
        <v>2</v>
      </c>
      <c r="N1475" s="231">
        <v>2</v>
      </c>
      <c r="O1475" s="231">
        <v>2</v>
      </c>
      <c r="P1475" s="231" t="s">
        <v>239</v>
      </c>
      <c r="Q1475" s="231">
        <v>2</v>
      </c>
      <c r="R1475" s="231" t="s">
        <v>239</v>
      </c>
      <c r="S1475" s="231">
        <v>2</v>
      </c>
      <c r="T1475" s="231" t="s">
        <v>239</v>
      </c>
      <c r="U1475" s="231">
        <v>2</v>
      </c>
      <c r="V1475" s="231" t="s">
        <v>239</v>
      </c>
      <c r="W1475" s="231">
        <v>2</v>
      </c>
      <c r="X1475" s="231" t="s">
        <v>239</v>
      </c>
      <c r="Y1475" s="231">
        <v>2</v>
      </c>
      <c r="Z1475" s="231" t="s">
        <v>239</v>
      </c>
      <c r="AA1475" s="231">
        <v>2</v>
      </c>
      <c r="AB1475" s="231" t="s">
        <v>239</v>
      </c>
      <c r="AC1475" s="231">
        <v>2</v>
      </c>
      <c r="AD1475" s="231" t="s">
        <v>239</v>
      </c>
      <c r="AE1475" s="231">
        <v>2</v>
      </c>
      <c r="AF1475" s="231" t="s">
        <v>239</v>
      </c>
      <c r="AG1475" s="231">
        <v>2</v>
      </c>
      <c r="AH1475" s="231" t="s">
        <v>239</v>
      </c>
      <c r="AI1475" s="231">
        <v>2</v>
      </c>
      <c r="AJ1475" s="231" t="s">
        <v>239</v>
      </c>
      <c r="AK1475" s="231">
        <v>2</v>
      </c>
      <c r="AL1475" s="232" t="s">
        <v>239</v>
      </c>
      <c r="AM1475" s="232">
        <v>0</v>
      </c>
    </row>
    <row r="1476" spans="1:39" ht="15.75" outlineLevel="1">
      <c r="A1476" s="412"/>
      <c r="B1476" s="10">
        <v>129733</v>
      </c>
      <c r="C1476" s="218" t="s">
        <v>1489</v>
      </c>
      <c r="D1476" s="218" t="s">
        <v>1490</v>
      </c>
      <c r="E1476" s="23" t="s">
        <v>44</v>
      </c>
      <c r="F1476" s="17" t="s">
        <v>45</v>
      </c>
      <c r="G1476" s="11" t="s">
        <v>1432</v>
      </c>
      <c r="H1476" s="12">
        <v>5</v>
      </c>
      <c r="I1476" s="11" t="s">
        <v>1433</v>
      </c>
      <c r="J1476" s="193" t="s">
        <v>216</v>
      </c>
      <c r="K1476" s="17" t="s">
        <v>233</v>
      </c>
      <c r="L1476" s="17" t="s">
        <v>233</v>
      </c>
      <c r="M1476" s="231">
        <v>3611</v>
      </c>
      <c r="N1476" s="232">
        <v>3567.16246</v>
      </c>
      <c r="O1476" s="132">
        <v>298</v>
      </c>
      <c r="P1476" s="231" t="s">
        <v>239</v>
      </c>
      <c r="Q1476" s="232">
        <v>298</v>
      </c>
      <c r="R1476" s="231" t="s">
        <v>239</v>
      </c>
      <c r="S1476" s="232">
        <v>273</v>
      </c>
      <c r="T1476" s="231" t="s">
        <v>239</v>
      </c>
      <c r="U1476" s="232">
        <v>288</v>
      </c>
      <c r="V1476" s="231" t="s">
        <v>239</v>
      </c>
      <c r="W1476" s="232">
        <v>324</v>
      </c>
      <c r="X1476" s="231" t="s">
        <v>239</v>
      </c>
      <c r="Y1476" s="232">
        <v>373</v>
      </c>
      <c r="Z1476" s="231" t="s">
        <v>239</v>
      </c>
      <c r="AA1476" s="232">
        <v>510</v>
      </c>
      <c r="AB1476" s="231" t="s">
        <v>239</v>
      </c>
      <c r="AC1476" s="232">
        <v>505</v>
      </c>
      <c r="AD1476" s="231" t="s">
        <v>239</v>
      </c>
      <c r="AE1476" s="232">
        <v>503</v>
      </c>
      <c r="AF1476" s="231" t="s">
        <v>239</v>
      </c>
      <c r="AG1476" s="232">
        <v>504</v>
      </c>
      <c r="AH1476" s="231" t="s">
        <v>239</v>
      </c>
      <c r="AI1476" s="232">
        <v>588</v>
      </c>
      <c r="AJ1476" s="231" t="s">
        <v>239</v>
      </c>
      <c r="AK1476" s="232">
        <v>532</v>
      </c>
      <c r="AL1476" s="232" t="s">
        <v>239</v>
      </c>
      <c r="AM1476" s="232">
        <v>4996</v>
      </c>
    </row>
    <row r="1477" spans="1:39" ht="15.75" outlineLevel="1">
      <c r="A1477" s="411">
        <v>734</v>
      </c>
      <c r="B1477" s="10">
        <v>129734</v>
      </c>
      <c r="C1477" s="218" t="s">
        <v>1489</v>
      </c>
      <c r="D1477" s="218" t="s">
        <v>1490</v>
      </c>
      <c r="E1477" s="23" t="s">
        <v>138</v>
      </c>
      <c r="F1477" s="17" t="s">
        <v>45</v>
      </c>
      <c r="G1477" s="11" t="s">
        <v>1432</v>
      </c>
      <c r="H1477" s="12">
        <v>4</v>
      </c>
      <c r="I1477" s="11" t="s">
        <v>1433</v>
      </c>
      <c r="J1477" s="193" t="s">
        <v>1453</v>
      </c>
      <c r="K1477" s="17" t="s">
        <v>233</v>
      </c>
      <c r="L1477" s="17" t="s">
        <v>233</v>
      </c>
      <c r="M1477" s="231">
        <v>21</v>
      </c>
      <c r="N1477" s="231">
        <v>21</v>
      </c>
      <c r="O1477" s="231">
        <v>21</v>
      </c>
      <c r="P1477" s="231" t="s">
        <v>239</v>
      </c>
      <c r="Q1477" s="231">
        <v>21</v>
      </c>
      <c r="R1477" s="231" t="s">
        <v>239</v>
      </c>
      <c r="S1477" s="231">
        <v>21</v>
      </c>
      <c r="T1477" s="231" t="s">
        <v>239</v>
      </c>
      <c r="U1477" s="231">
        <v>21</v>
      </c>
      <c r="V1477" s="230" t="s">
        <v>239</v>
      </c>
      <c r="W1477" s="231">
        <v>21</v>
      </c>
      <c r="X1477" s="231" t="s">
        <v>239</v>
      </c>
      <c r="Y1477" s="231">
        <v>21</v>
      </c>
      <c r="Z1477" s="231" t="s">
        <v>239</v>
      </c>
      <c r="AA1477" s="231">
        <v>21</v>
      </c>
      <c r="AB1477" s="231" t="s">
        <v>239</v>
      </c>
      <c r="AC1477" s="231">
        <v>21</v>
      </c>
      <c r="AD1477" s="231" t="s">
        <v>239</v>
      </c>
      <c r="AE1477" s="231">
        <v>21</v>
      </c>
      <c r="AF1477" s="231" t="s">
        <v>239</v>
      </c>
      <c r="AG1477" s="231">
        <v>21</v>
      </c>
      <c r="AH1477" s="231" t="s">
        <v>239</v>
      </c>
      <c r="AI1477" s="231">
        <v>21</v>
      </c>
      <c r="AJ1477" s="231" t="s">
        <v>239</v>
      </c>
      <c r="AK1477" s="231">
        <v>21</v>
      </c>
      <c r="AL1477" s="232" t="s">
        <v>239</v>
      </c>
      <c r="AM1477" s="232">
        <v>0</v>
      </c>
    </row>
    <row r="1478" spans="1:39" ht="15.75" outlineLevel="1">
      <c r="A1478" s="412"/>
      <c r="B1478" s="10">
        <v>129734</v>
      </c>
      <c r="C1478" s="218" t="s">
        <v>1489</v>
      </c>
      <c r="D1478" s="218" t="s">
        <v>1490</v>
      </c>
      <c r="E1478" s="23" t="s">
        <v>44</v>
      </c>
      <c r="F1478" s="17" t="s">
        <v>45</v>
      </c>
      <c r="G1478" s="11" t="s">
        <v>1432</v>
      </c>
      <c r="H1478" s="12">
        <v>24</v>
      </c>
      <c r="I1478" s="11" t="s">
        <v>1433</v>
      </c>
      <c r="J1478" s="193" t="s">
        <v>1454</v>
      </c>
      <c r="K1478" s="17" t="s">
        <v>233</v>
      </c>
      <c r="L1478" s="17" t="s">
        <v>233</v>
      </c>
      <c r="M1478" s="231">
        <v>4227</v>
      </c>
      <c r="N1478" s="232">
        <v>4175.6842200000001</v>
      </c>
      <c r="O1478" s="132">
        <v>779</v>
      </c>
      <c r="P1478" s="231" t="s">
        <v>239</v>
      </c>
      <c r="Q1478" s="232">
        <v>779</v>
      </c>
      <c r="R1478" s="231" t="s">
        <v>239</v>
      </c>
      <c r="S1478" s="232">
        <v>718</v>
      </c>
      <c r="T1478" s="231" t="s">
        <v>239</v>
      </c>
      <c r="U1478" s="232">
        <v>733</v>
      </c>
      <c r="V1478" s="231" t="s">
        <v>239</v>
      </c>
      <c r="W1478" s="232">
        <v>671</v>
      </c>
      <c r="X1478" s="231" t="s">
        <v>239</v>
      </c>
      <c r="Y1478" s="232">
        <v>694</v>
      </c>
      <c r="Z1478" s="231" t="s">
        <v>239</v>
      </c>
      <c r="AA1478" s="232">
        <v>754</v>
      </c>
      <c r="AB1478" s="231" t="s">
        <v>239</v>
      </c>
      <c r="AC1478" s="232">
        <v>783</v>
      </c>
      <c r="AD1478" s="231" t="s">
        <v>239</v>
      </c>
      <c r="AE1478" s="232">
        <v>752</v>
      </c>
      <c r="AF1478" s="231" t="s">
        <v>239</v>
      </c>
      <c r="AG1478" s="232">
        <v>726</v>
      </c>
      <c r="AH1478" s="231" t="s">
        <v>239</v>
      </c>
      <c r="AI1478" s="232">
        <v>693</v>
      </c>
      <c r="AJ1478" s="231" t="s">
        <v>239</v>
      </c>
      <c r="AK1478" s="232">
        <v>818</v>
      </c>
      <c r="AL1478" s="232" t="s">
        <v>239</v>
      </c>
      <c r="AM1478" s="232">
        <v>8900</v>
      </c>
    </row>
    <row r="1479" spans="1:39" ht="15.75" outlineLevel="1">
      <c r="A1479" s="411">
        <v>735</v>
      </c>
      <c r="B1479" s="10">
        <v>129735</v>
      </c>
      <c r="C1479" s="218" t="s">
        <v>1489</v>
      </c>
      <c r="D1479" s="218" t="s">
        <v>1490</v>
      </c>
      <c r="E1479" s="23" t="s">
        <v>44</v>
      </c>
      <c r="F1479" s="17" t="s">
        <v>45</v>
      </c>
      <c r="G1479" s="11" t="s">
        <v>1432</v>
      </c>
      <c r="H1479" s="12">
        <v>10</v>
      </c>
      <c r="I1479" s="11" t="s">
        <v>1433</v>
      </c>
      <c r="J1479" s="191" t="s">
        <v>216</v>
      </c>
      <c r="K1479" s="17" t="s">
        <v>233</v>
      </c>
      <c r="L1479" s="17" t="s">
        <v>233</v>
      </c>
      <c r="M1479" s="231">
        <v>21</v>
      </c>
      <c r="N1479" s="231">
        <v>21</v>
      </c>
      <c r="O1479" s="231">
        <v>21</v>
      </c>
      <c r="P1479" s="231" t="s">
        <v>239</v>
      </c>
      <c r="Q1479" s="231">
        <v>21</v>
      </c>
      <c r="R1479" s="231" t="s">
        <v>239</v>
      </c>
      <c r="S1479" s="231">
        <v>21</v>
      </c>
      <c r="T1479" s="231" t="s">
        <v>239</v>
      </c>
      <c r="U1479" s="231">
        <v>21</v>
      </c>
      <c r="V1479" s="231" t="s">
        <v>239</v>
      </c>
      <c r="W1479" s="231">
        <v>21</v>
      </c>
      <c r="X1479" s="231" t="s">
        <v>239</v>
      </c>
      <c r="Y1479" s="231">
        <v>21</v>
      </c>
      <c r="Z1479" s="231" t="s">
        <v>239</v>
      </c>
      <c r="AA1479" s="231">
        <v>21</v>
      </c>
      <c r="AB1479" s="231" t="s">
        <v>239</v>
      </c>
      <c r="AC1479" s="231">
        <v>21</v>
      </c>
      <c r="AD1479" s="231" t="s">
        <v>239</v>
      </c>
      <c r="AE1479" s="231">
        <v>21</v>
      </c>
      <c r="AF1479" s="231" t="s">
        <v>239</v>
      </c>
      <c r="AG1479" s="231">
        <v>21</v>
      </c>
      <c r="AH1479" s="231" t="s">
        <v>239</v>
      </c>
      <c r="AI1479" s="231">
        <v>21</v>
      </c>
      <c r="AJ1479" s="231" t="s">
        <v>239</v>
      </c>
      <c r="AK1479" s="231">
        <v>21</v>
      </c>
      <c r="AL1479" s="232" t="s">
        <v>239</v>
      </c>
      <c r="AM1479" s="232">
        <v>0</v>
      </c>
    </row>
    <row r="1480" spans="1:39" ht="15.75" outlineLevel="1">
      <c r="A1480" s="412"/>
      <c r="B1480" s="10">
        <v>129735</v>
      </c>
      <c r="C1480" s="218" t="s">
        <v>1489</v>
      </c>
      <c r="D1480" s="218" t="s">
        <v>1490</v>
      </c>
      <c r="E1480" s="23" t="s">
        <v>138</v>
      </c>
      <c r="F1480" s="17" t="s">
        <v>45</v>
      </c>
      <c r="G1480" s="11" t="s">
        <v>1432</v>
      </c>
      <c r="H1480" s="12">
        <v>17</v>
      </c>
      <c r="I1480" s="11" t="s">
        <v>1433</v>
      </c>
      <c r="J1480" s="192" t="s">
        <v>1434</v>
      </c>
      <c r="K1480" s="17" t="s">
        <v>233</v>
      </c>
      <c r="L1480" s="17" t="s">
        <v>233</v>
      </c>
      <c r="M1480" s="231">
        <v>0</v>
      </c>
      <c r="N1480" s="232">
        <v>0</v>
      </c>
      <c r="O1480" s="132">
        <v>0</v>
      </c>
      <c r="P1480" s="231" t="s">
        <v>239</v>
      </c>
      <c r="Q1480" s="232">
        <v>0</v>
      </c>
      <c r="R1480" s="231" t="s">
        <v>239</v>
      </c>
      <c r="S1480" s="232">
        <v>0</v>
      </c>
      <c r="T1480" s="231" t="s">
        <v>239</v>
      </c>
      <c r="U1480" s="232">
        <v>0</v>
      </c>
      <c r="V1480" s="230" t="s">
        <v>239</v>
      </c>
      <c r="W1480" s="232">
        <v>0</v>
      </c>
      <c r="X1480" s="231" t="s">
        <v>239</v>
      </c>
      <c r="Y1480" s="232">
        <v>0</v>
      </c>
      <c r="Z1480" s="231" t="s">
        <v>239</v>
      </c>
      <c r="AA1480" s="232">
        <v>0</v>
      </c>
      <c r="AB1480" s="231" t="s">
        <v>239</v>
      </c>
      <c r="AC1480" s="232">
        <v>0</v>
      </c>
      <c r="AD1480" s="231" t="s">
        <v>239</v>
      </c>
      <c r="AE1480" s="232">
        <v>0</v>
      </c>
      <c r="AF1480" s="231" t="s">
        <v>239</v>
      </c>
      <c r="AG1480" s="232">
        <v>0</v>
      </c>
      <c r="AH1480" s="231" t="s">
        <v>239</v>
      </c>
      <c r="AI1480" s="232">
        <v>0</v>
      </c>
      <c r="AJ1480" s="231" t="s">
        <v>239</v>
      </c>
      <c r="AK1480" s="232">
        <v>0</v>
      </c>
      <c r="AL1480" s="232" t="s">
        <v>239</v>
      </c>
      <c r="AM1480" s="232">
        <v>0</v>
      </c>
    </row>
    <row r="1481" spans="1:39" ht="15.75" outlineLevel="1">
      <c r="A1481" s="411">
        <v>736</v>
      </c>
      <c r="B1481" s="10">
        <v>129736</v>
      </c>
      <c r="C1481" s="218" t="s">
        <v>1489</v>
      </c>
      <c r="D1481" s="218" t="s">
        <v>1490</v>
      </c>
      <c r="E1481" s="23" t="s">
        <v>44</v>
      </c>
      <c r="F1481" s="17" t="s">
        <v>45</v>
      </c>
      <c r="G1481" s="11" t="s">
        <v>1432</v>
      </c>
      <c r="H1481" s="12">
        <v>32</v>
      </c>
      <c r="I1481" s="11" t="s">
        <v>1433</v>
      </c>
      <c r="J1481" s="192" t="s">
        <v>1480</v>
      </c>
      <c r="K1481" s="17" t="s">
        <v>233</v>
      </c>
      <c r="L1481" s="17" t="s">
        <v>233</v>
      </c>
      <c r="M1481" s="231">
        <v>21</v>
      </c>
      <c r="N1481" s="231">
        <v>21</v>
      </c>
      <c r="O1481" s="231">
        <v>21</v>
      </c>
      <c r="P1481" s="231" t="s">
        <v>239</v>
      </c>
      <c r="Q1481" s="231">
        <v>21</v>
      </c>
      <c r="R1481" s="231" t="s">
        <v>239</v>
      </c>
      <c r="S1481" s="231">
        <v>21</v>
      </c>
      <c r="T1481" s="231" t="s">
        <v>239</v>
      </c>
      <c r="U1481" s="231">
        <v>21</v>
      </c>
      <c r="V1481" s="231" t="s">
        <v>239</v>
      </c>
      <c r="W1481" s="231">
        <v>21</v>
      </c>
      <c r="X1481" s="231" t="s">
        <v>239</v>
      </c>
      <c r="Y1481" s="231">
        <v>21</v>
      </c>
      <c r="Z1481" s="231" t="s">
        <v>239</v>
      </c>
      <c r="AA1481" s="231">
        <v>21</v>
      </c>
      <c r="AB1481" s="231" t="s">
        <v>239</v>
      </c>
      <c r="AC1481" s="231">
        <v>21</v>
      </c>
      <c r="AD1481" s="231" t="s">
        <v>239</v>
      </c>
      <c r="AE1481" s="231">
        <v>21</v>
      </c>
      <c r="AF1481" s="231" t="s">
        <v>239</v>
      </c>
      <c r="AG1481" s="231">
        <v>21</v>
      </c>
      <c r="AH1481" s="231" t="s">
        <v>239</v>
      </c>
      <c r="AI1481" s="231">
        <v>21</v>
      </c>
      <c r="AJ1481" s="231" t="s">
        <v>239</v>
      </c>
      <c r="AK1481" s="231">
        <v>21</v>
      </c>
      <c r="AL1481" s="232" t="s">
        <v>239</v>
      </c>
      <c r="AM1481" s="232">
        <v>0</v>
      </c>
    </row>
    <row r="1482" spans="1:39" ht="15.75" outlineLevel="1">
      <c r="A1482" s="412"/>
      <c r="B1482" s="10">
        <v>129736</v>
      </c>
      <c r="C1482" s="218" t="s">
        <v>1489</v>
      </c>
      <c r="D1482" s="218" t="s">
        <v>1490</v>
      </c>
      <c r="E1482" s="23" t="s">
        <v>138</v>
      </c>
      <c r="F1482" s="17" t="s">
        <v>45</v>
      </c>
      <c r="G1482" s="11" t="s">
        <v>1432</v>
      </c>
      <c r="H1482" s="12">
        <v>8</v>
      </c>
      <c r="I1482" s="11" t="s">
        <v>1433</v>
      </c>
      <c r="J1482" s="192" t="s">
        <v>1452</v>
      </c>
      <c r="K1482" s="17" t="s">
        <v>233</v>
      </c>
      <c r="L1482" s="17" t="s">
        <v>233</v>
      </c>
      <c r="M1482" s="231">
        <v>0</v>
      </c>
      <c r="N1482" s="232">
        <v>0</v>
      </c>
      <c r="O1482" s="132">
        <v>0</v>
      </c>
      <c r="P1482" s="231" t="s">
        <v>239</v>
      </c>
      <c r="Q1482" s="232">
        <v>0</v>
      </c>
      <c r="R1482" s="231" t="s">
        <v>239</v>
      </c>
      <c r="S1482" s="232">
        <v>0</v>
      </c>
      <c r="T1482" s="231" t="s">
        <v>239</v>
      </c>
      <c r="U1482" s="232">
        <v>0</v>
      </c>
      <c r="V1482" s="231" t="s">
        <v>239</v>
      </c>
      <c r="W1482" s="232">
        <v>0</v>
      </c>
      <c r="X1482" s="231" t="s">
        <v>239</v>
      </c>
      <c r="Y1482" s="232">
        <v>0</v>
      </c>
      <c r="Z1482" s="231" t="s">
        <v>239</v>
      </c>
      <c r="AA1482" s="232">
        <v>0</v>
      </c>
      <c r="AB1482" s="231" t="s">
        <v>239</v>
      </c>
      <c r="AC1482" s="232">
        <v>0</v>
      </c>
      <c r="AD1482" s="231" t="s">
        <v>239</v>
      </c>
      <c r="AE1482" s="232">
        <v>0</v>
      </c>
      <c r="AF1482" s="231" t="s">
        <v>239</v>
      </c>
      <c r="AG1482" s="232">
        <v>0</v>
      </c>
      <c r="AH1482" s="231" t="s">
        <v>239</v>
      </c>
      <c r="AI1482" s="232">
        <v>0</v>
      </c>
      <c r="AJ1482" s="231" t="s">
        <v>239</v>
      </c>
      <c r="AK1482" s="232">
        <v>0</v>
      </c>
      <c r="AL1482" s="232" t="s">
        <v>239</v>
      </c>
      <c r="AM1482" s="232">
        <v>0</v>
      </c>
    </row>
    <row r="1483" spans="1:39" ht="15.75" outlineLevel="1">
      <c r="A1483" s="411">
        <v>737</v>
      </c>
      <c r="B1483" s="10">
        <v>129737</v>
      </c>
      <c r="C1483" s="218" t="s">
        <v>1489</v>
      </c>
      <c r="D1483" s="218" t="s">
        <v>1490</v>
      </c>
      <c r="E1483" s="23" t="s">
        <v>44</v>
      </c>
      <c r="F1483" s="17" t="s">
        <v>45</v>
      </c>
      <c r="G1483" s="11" t="s">
        <v>1432</v>
      </c>
      <c r="H1483" s="12">
        <v>12</v>
      </c>
      <c r="I1483" s="11" t="s">
        <v>1433</v>
      </c>
      <c r="J1483" s="374" t="s">
        <v>207</v>
      </c>
      <c r="K1483" s="17" t="s">
        <v>233</v>
      </c>
      <c r="L1483" s="17" t="s">
        <v>233</v>
      </c>
      <c r="M1483" s="231">
        <v>3</v>
      </c>
      <c r="N1483" s="231">
        <v>3</v>
      </c>
      <c r="O1483" s="231">
        <v>3</v>
      </c>
      <c r="P1483" s="231" t="s">
        <v>239</v>
      </c>
      <c r="Q1483" s="231">
        <v>3</v>
      </c>
      <c r="R1483" s="231" t="s">
        <v>239</v>
      </c>
      <c r="S1483" s="231">
        <v>3</v>
      </c>
      <c r="T1483" s="231" t="s">
        <v>239</v>
      </c>
      <c r="U1483" s="231">
        <v>3</v>
      </c>
      <c r="V1483" s="230" t="s">
        <v>239</v>
      </c>
      <c r="W1483" s="231">
        <v>3</v>
      </c>
      <c r="X1483" s="231" t="s">
        <v>239</v>
      </c>
      <c r="Y1483" s="231">
        <v>3</v>
      </c>
      <c r="Z1483" s="231" t="s">
        <v>239</v>
      </c>
      <c r="AA1483" s="231">
        <v>3</v>
      </c>
      <c r="AB1483" s="231" t="s">
        <v>239</v>
      </c>
      <c r="AC1483" s="231">
        <v>3</v>
      </c>
      <c r="AD1483" s="231" t="s">
        <v>239</v>
      </c>
      <c r="AE1483" s="231">
        <v>3</v>
      </c>
      <c r="AF1483" s="231" t="s">
        <v>239</v>
      </c>
      <c r="AG1483" s="231">
        <v>3</v>
      </c>
      <c r="AH1483" s="231" t="s">
        <v>239</v>
      </c>
      <c r="AI1483" s="231">
        <v>3</v>
      </c>
      <c r="AJ1483" s="231" t="s">
        <v>239</v>
      </c>
      <c r="AK1483" s="231">
        <v>3</v>
      </c>
      <c r="AL1483" s="232" t="s">
        <v>239</v>
      </c>
      <c r="AM1483" s="232">
        <v>0</v>
      </c>
    </row>
    <row r="1484" spans="1:39" ht="15.75" outlineLevel="1">
      <c r="A1484" s="412"/>
      <c r="B1484" s="10">
        <v>129737</v>
      </c>
      <c r="C1484" s="218" t="s">
        <v>1489</v>
      </c>
      <c r="D1484" s="218" t="s">
        <v>1490</v>
      </c>
      <c r="E1484" s="23" t="s">
        <v>44</v>
      </c>
      <c r="F1484" s="17" t="s">
        <v>45</v>
      </c>
      <c r="G1484" s="11" t="s">
        <v>1432</v>
      </c>
      <c r="H1484" s="12">
        <v>18</v>
      </c>
      <c r="I1484" s="11" t="s">
        <v>1433</v>
      </c>
      <c r="J1484" s="375"/>
      <c r="K1484" s="17" t="s">
        <v>233</v>
      </c>
      <c r="L1484" s="17" t="s">
        <v>233</v>
      </c>
      <c r="M1484" s="231">
        <v>13936</v>
      </c>
      <c r="N1484" s="232">
        <v>13766.81696</v>
      </c>
      <c r="O1484" s="132">
        <v>1221</v>
      </c>
      <c r="P1484" s="231" t="s">
        <v>239</v>
      </c>
      <c r="Q1484" s="232">
        <v>1221</v>
      </c>
      <c r="R1484" s="231" t="s">
        <v>239</v>
      </c>
      <c r="S1484" s="232">
        <v>1020</v>
      </c>
      <c r="T1484" s="231" t="s">
        <v>239</v>
      </c>
      <c r="U1484" s="232">
        <v>1108</v>
      </c>
      <c r="V1484" s="231" t="s">
        <v>239</v>
      </c>
      <c r="W1484" s="232">
        <v>1042</v>
      </c>
      <c r="X1484" s="231" t="s">
        <v>239</v>
      </c>
      <c r="Y1484" s="232">
        <v>1052</v>
      </c>
      <c r="Z1484" s="231" t="s">
        <v>239</v>
      </c>
      <c r="AA1484" s="232">
        <v>1017</v>
      </c>
      <c r="AB1484" s="231" t="s">
        <v>239</v>
      </c>
      <c r="AC1484" s="232">
        <v>1012</v>
      </c>
      <c r="AD1484" s="231" t="s">
        <v>239</v>
      </c>
      <c r="AE1484" s="232">
        <v>950</v>
      </c>
      <c r="AF1484" s="231" t="s">
        <v>239</v>
      </c>
      <c r="AG1484" s="232">
        <v>969</v>
      </c>
      <c r="AH1484" s="231" t="s">
        <v>239</v>
      </c>
      <c r="AI1484" s="232">
        <v>951</v>
      </c>
      <c r="AJ1484" s="231" t="s">
        <v>239</v>
      </c>
      <c r="AK1484" s="232">
        <v>1107</v>
      </c>
      <c r="AL1484" s="232" t="s">
        <v>239</v>
      </c>
      <c r="AM1484" s="232">
        <v>12670</v>
      </c>
    </row>
    <row r="1485" spans="1:39" ht="15.75" outlineLevel="1">
      <c r="A1485" s="411">
        <v>738</v>
      </c>
      <c r="B1485" s="10">
        <v>129738</v>
      </c>
      <c r="C1485" s="218" t="s">
        <v>1489</v>
      </c>
      <c r="D1485" s="218" t="s">
        <v>1490</v>
      </c>
      <c r="E1485" s="23" t="s">
        <v>138</v>
      </c>
      <c r="F1485" s="17" t="s">
        <v>45</v>
      </c>
      <c r="G1485" s="11" t="s">
        <v>1432</v>
      </c>
      <c r="H1485" s="12">
        <v>17</v>
      </c>
      <c r="I1485" s="11" t="s">
        <v>1433</v>
      </c>
      <c r="J1485" s="193" t="s">
        <v>1460</v>
      </c>
      <c r="K1485" s="17" t="s">
        <v>233</v>
      </c>
      <c r="L1485" s="17" t="s">
        <v>233</v>
      </c>
      <c r="M1485" s="231">
        <v>3</v>
      </c>
      <c r="N1485" s="231">
        <v>3</v>
      </c>
      <c r="O1485" s="231">
        <v>3</v>
      </c>
      <c r="P1485" s="231" t="s">
        <v>239</v>
      </c>
      <c r="Q1485" s="231">
        <v>3</v>
      </c>
      <c r="R1485" s="231" t="s">
        <v>239</v>
      </c>
      <c r="S1485" s="231">
        <v>3</v>
      </c>
      <c r="T1485" s="231" t="s">
        <v>239</v>
      </c>
      <c r="U1485" s="231">
        <v>3</v>
      </c>
      <c r="V1485" s="231" t="s">
        <v>239</v>
      </c>
      <c r="W1485" s="231">
        <v>3</v>
      </c>
      <c r="X1485" s="231" t="s">
        <v>239</v>
      </c>
      <c r="Y1485" s="231">
        <v>3</v>
      </c>
      <c r="Z1485" s="231" t="s">
        <v>239</v>
      </c>
      <c r="AA1485" s="231">
        <v>3</v>
      </c>
      <c r="AB1485" s="231" t="s">
        <v>239</v>
      </c>
      <c r="AC1485" s="231">
        <v>3</v>
      </c>
      <c r="AD1485" s="231" t="s">
        <v>239</v>
      </c>
      <c r="AE1485" s="231">
        <v>3</v>
      </c>
      <c r="AF1485" s="231" t="s">
        <v>239</v>
      </c>
      <c r="AG1485" s="231">
        <v>3</v>
      </c>
      <c r="AH1485" s="231" t="s">
        <v>239</v>
      </c>
      <c r="AI1485" s="231">
        <v>3</v>
      </c>
      <c r="AJ1485" s="231" t="s">
        <v>239</v>
      </c>
      <c r="AK1485" s="231">
        <v>3</v>
      </c>
      <c r="AL1485" s="232" t="s">
        <v>239</v>
      </c>
      <c r="AM1485" s="232">
        <v>0</v>
      </c>
    </row>
    <row r="1486" spans="1:39" ht="15.75" outlineLevel="1">
      <c r="A1486" s="412"/>
      <c r="B1486" s="10">
        <v>129738</v>
      </c>
      <c r="C1486" s="218" t="s">
        <v>1489</v>
      </c>
      <c r="D1486" s="218" t="s">
        <v>1490</v>
      </c>
      <c r="E1486" s="23" t="s">
        <v>44</v>
      </c>
      <c r="F1486" s="17" t="s">
        <v>45</v>
      </c>
      <c r="G1486" s="11" t="s">
        <v>1432</v>
      </c>
      <c r="H1486" s="12">
        <v>25</v>
      </c>
      <c r="I1486" s="11" t="s">
        <v>1433</v>
      </c>
      <c r="J1486" s="193" t="s">
        <v>1451</v>
      </c>
      <c r="K1486" s="17" t="s">
        <v>233</v>
      </c>
      <c r="L1486" s="17" t="s">
        <v>233</v>
      </c>
      <c r="M1486" s="231">
        <v>0</v>
      </c>
      <c r="N1486" s="232">
        <v>0</v>
      </c>
      <c r="O1486" s="132">
        <v>0</v>
      </c>
      <c r="P1486" s="231" t="s">
        <v>239</v>
      </c>
      <c r="Q1486" s="232">
        <v>0</v>
      </c>
      <c r="R1486" s="231" t="s">
        <v>239</v>
      </c>
      <c r="S1486" s="232">
        <v>0</v>
      </c>
      <c r="T1486" s="231" t="s">
        <v>239</v>
      </c>
      <c r="U1486" s="232">
        <v>0</v>
      </c>
      <c r="V1486" s="230" t="s">
        <v>239</v>
      </c>
      <c r="W1486" s="232">
        <v>0</v>
      </c>
      <c r="X1486" s="231" t="s">
        <v>239</v>
      </c>
      <c r="Y1486" s="232">
        <v>0</v>
      </c>
      <c r="Z1486" s="231" t="s">
        <v>239</v>
      </c>
      <c r="AA1486" s="232">
        <v>0</v>
      </c>
      <c r="AB1486" s="231" t="s">
        <v>239</v>
      </c>
      <c r="AC1486" s="232">
        <v>0</v>
      </c>
      <c r="AD1486" s="231" t="s">
        <v>239</v>
      </c>
      <c r="AE1486" s="232">
        <v>0</v>
      </c>
      <c r="AF1486" s="231" t="s">
        <v>239</v>
      </c>
      <c r="AG1486" s="232">
        <v>0</v>
      </c>
      <c r="AH1486" s="231" t="s">
        <v>239</v>
      </c>
      <c r="AI1486" s="232">
        <v>0</v>
      </c>
      <c r="AJ1486" s="231" t="s">
        <v>239</v>
      </c>
      <c r="AK1486" s="232">
        <v>0</v>
      </c>
      <c r="AL1486" s="232" t="s">
        <v>239</v>
      </c>
      <c r="AM1486" s="232">
        <v>0</v>
      </c>
    </row>
    <row r="1487" spans="1:39" ht="15.75" outlineLevel="1">
      <c r="A1487" s="411">
        <v>739</v>
      </c>
      <c r="B1487" s="10">
        <v>129739</v>
      </c>
      <c r="C1487" s="218" t="s">
        <v>1489</v>
      </c>
      <c r="D1487" s="218" t="s">
        <v>1490</v>
      </c>
      <c r="E1487" s="23" t="s">
        <v>138</v>
      </c>
      <c r="F1487" s="17" t="s">
        <v>45</v>
      </c>
      <c r="G1487" s="11" t="s">
        <v>1432</v>
      </c>
      <c r="H1487" s="12">
        <v>13</v>
      </c>
      <c r="I1487" s="11" t="s">
        <v>1433</v>
      </c>
      <c r="J1487" s="193" t="s">
        <v>208</v>
      </c>
      <c r="K1487" s="17" t="s">
        <v>233</v>
      </c>
      <c r="L1487" s="17" t="s">
        <v>233</v>
      </c>
      <c r="M1487" s="231">
        <v>24</v>
      </c>
      <c r="N1487" s="231">
        <v>24</v>
      </c>
      <c r="O1487" s="231">
        <v>24</v>
      </c>
      <c r="P1487" s="231" t="s">
        <v>239</v>
      </c>
      <c r="Q1487" s="231">
        <v>24</v>
      </c>
      <c r="R1487" s="231" t="s">
        <v>239</v>
      </c>
      <c r="S1487" s="231">
        <v>24</v>
      </c>
      <c r="T1487" s="231" t="s">
        <v>239</v>
      </c>
      <c r="U1487" s="231">
        <v>24</v>
      </c>
      <c r="V1487" s="231" t="s">
        <v>239</v>
      </c>
      <c r="W1487" s="231">
        <v>24</v>
      </c>
      <c r="X1487" s="231" t="s">
        <v>239</v>
      </c>
      <c r="Y1487" s="231">
        <v>24</v>
      </c>
      <c r="Z1487" s="231" t="s">
        <v>239</v>
      </c>
      <c r="AA1487" s="231">
        <v>24</v>
      </c>
      <c r="AB1487" s="231" t="s">
        <v>239</v>
      </c>
      <c r="AC1487" s="231">
        <v>24</v>
      </c>
      <c r="AD1487" s="231" t="s">
        <v>239</v>
      </c>
      <c r="AE1487" s="231">
        <v>24</v>
      </c>
      <c r="AF1487" s="231" t="s">
        <v>239</v>
      </c>
      <c r="AG1487" s="231">
        <v>24</v>
      </c>
      <c r="AH1487" s="231" t="s">
        <v>239</v>
      </c>
      <c r="AI1487" s="231">
        <v>24</v>
      </c>
      <c r="AJ1487" s="231" t="s">
        <v>239</v>
      </c>
      <c r="AK1487" s="231">
        <v>24</v>
      </c>
      <c r="AL1487" s="232" t="s">
        <v>239</v>
      </c>
      <c r="AM1487" s="232">
        <v>0</v>
      </c>
    </row>
    <row r="1488" spans="1:39" ht="15.75" outlineLevel="1">
      <c r="A1488" s="412"/>
      <c r="B1488" s="10">
        <v>129739</v>
      </c>
      <c r="C1488" s="218" t="s">
        <v>1489</v>
      </c>
      <c r="D1488" s="218" t="s">
        <v>1490</v>
      </c>
      <c r="E1488" s="23" t="s">
        <v>44</v>
      </c>
      <c r="F1488" s="17" t="s">
        <v>45</v>
      </c>
      <c r="G1488" s="11" t="s">
        <v>1432</v>
      </c>
      <c r="H1488" s="12">
        <v>5</v>
      </c>
      <c r="I1488" s="11" t="s">
        <v>1433</v>
      </c>
      <c r="J1488" s="193" t="s">
        <v>1452</v>
      </c>
      <c r="K1488" s="17" t="s">
        <v>233</v>
      </c>
      <c r="L1488" s="17" t="s">
        <v>233</v>
      </c>
      <c r="M1488" s="231">
        <v>14687</v>
      </c>
      <c r="N1488" s="232">
        <v>14508.69982</v>
      </c>
      <c r="O1488" s="132">
        <v>754</v>
      </c>
      <c r="P1488" s="231" t="s">
        <v>239</v>
      </c>
      <c r="Q1488" s="232">
        <v>754</v>
      </c>
      <c r="R1488" s="231" t="s">
        <v>239</v>
      </c>
      <c r="S1488" s="232">
        <v>739</v>
      </c>
      <c r="T1488" s="231" t="s">
        <v>239</v>
      </c>
      <c r="U1488" s="232">
        <v>739</v>
      </c>
      <c r="V1488" s="231" t="s">
        <v>239</v>
      </c>
      <c r="W1488" s="232">
        <v>722</v>
      </c>
      <c r="X1488" s="231" t="s">
        <v>239</v>
      </c>
      <c r="Y1488" s="232">
        <v>825</v>
      </c>
      <c r="Z1488" s="231" t="s">
        <v>239</v>
      </c>
      <c r="AA1488" s="232">
        <v>555</v>
      </c>
      <c r="AB1488" s="231" t="s">
        <v>239</v>
      </c>
      <c r="AC1488" s="232">
        <v>154</v>
      </c>
      <c r="AD1488" s="231" t="s">
        <v>239</v>
      </c>
      <c r="AE1488" s="232">
        <v>531</v>
      </c>
      <c r="AF1488" s="231" t="s">
        <v>239</v>
      </c>
      <c r="AG1488" s="232">
        <v>431</v>
      </c>
      <c r="AH1488" s="231" t="s">
        <v>239</v>
      </c>
      <c r="AI1488" s="232">
        <v>157</v>
      </c>
      <c r="AJ1488" s="231" t="s">
        <v>239</v>
      </c>
      <c r="AK1488" s="232">
        <v>376</v>
      </c>
      <c r="AL1488" s="232" t="s">
        <v>239</v>
      </c>
      <c r="AM1488" s="232">
        <v>6737</v>
      </c>
    </row>
    <row r="1489" spans="1:39" ht="15.75" outlineLevel="1">
      <c r="A1489" s="411">
        <v>740</v>
      </c>
      <c r="B1489" s="10">
        <v>129740</v>
      </c>
      <c r="C1489" s="218" t="s">
        <v>1489</v>
      </c>
      <c r="D1489" s="218" t="s">
        <v>1490</v>
      </c>
      <c r="E1489" s="23" t="s">
        <v>44</v>
      </c>
      <c r="F1489" s="17" t="s">
        <v>45</v>
      </c>
      <c r="G1489" s="11" t="s">
        <v>1432</v>
      </c>
      <c r="H1489" s="12">
        <v>4</v>
      </c>
      <c r="I1489" s="11" t="s">
        <v>1433</v>
      </c>
      <c r="J1489" s="193" t="s">
        <v>216</v>
      </c>
      <c r="K1489" s="17" t="s">
        <v>233</v>
      </c>
      <c r="L1489" s="17" t="s">
        <v>233</v>
      </c>
      <c r="M1489" s="231">
        <v>21</v>
      </c>
      <c r="N1489" s="231">
        <v>21</v>
      </c>
      <c r="O1489" s="231">
        <v>21</v>
      </c>
      <c r="P1489" s="231" t="s">
        <v>239</v>
      </c>
      <c r="Q1489" s="231">
        <v>21</v>
      </c>
      <c r="R1489" s="231" t="s">
        <v>239</v>
      </c>
      <c r="S1489" s="231">
        <v>21</v>
      </c>
      <c r="T1489" s="231" t="s">
        <v>239</v>
      </c>
      <c r="U1489" s="231">
        <v>21</v>
      </c>
      <c r="V1489" s="230" t="s">
        <v>239</v>
      </c>
      <c r="W1489" s="231">
        <v>21</v>
      </c>
      <c r="X1489" s="231" t="s">
        <v>239</v>
      </c>
      <c r="Y1489" s="231">
        <v>21</v>
      </c>
      <c r="Z1489" s="231" t="s">
        <v>239</v>
      </c>
      <c r="AA1489" s="231">
        <v>21</v>
      </c>
      <c r="AB1489" s="231" t="s">
        <v>239</v>
      </c>
      <c r="AC1489" s="231">
        <v>21</v>
      </c>
      <c r="AD1489" s="231" t="s">
        <v>239</v>
      </c>
      <c r="AE1489" s="231">
        <v>21</v>
      </c>
      <c r="AF1489" s="231" t="s">
        <v>239</v>
      </c>
      <c r="AG1489" s="231">
        <v>21</v>
      </c>
      <c r="AH1489" s="231" t="s">
        <v>239</v>
      </c>
      <c r="AI1489" s="231">
        <v>21</v>
      </c>
      <c r="AJ1489" s="231" t="s">
        <v>239</v>
      </c>
      <c r="AK1489" s="231">
        <v>21</v>
      </c>
      <c r="AL1489" s="232" t="s">
        <v>239</v>
      </c>
      <c r="AM1489" s="232">
        <v>0</v>
      </c>
    </row>
    <row r="1490" spans="1:39" ht="15.75" outlineLevel="1">
      <c r="A1490" s="412"/>
      <c r="B1490" s="10">
        <v>129740</v>
      </c>
      <c r="C1490" s="218" t="s">
        <v>1489</v>
      </c>
      <c r="D1490" s="218" t="s">
        <v>1490</v>
      </c>
      <c r="E1490" s="23" t="s">
        <v>138</v>
      </c>
      <c r="F1490" s="17" t="s">
        <v>45</v>
      </c>
      <c r="G1490" s="11" t="s">
        <v>1432</v>
      </c>
      <c r="H1490" s="12">
        <v>18</v>
      </c>
      <c r="I1490" s="11" t="s">
        <v>1433</v>
      </c>
      <c r="J1490" s="193" t="s">
        <v>1453</v>
      </c>
      <c r="K1490" s="17" t="s">
        <v>233</v>
      </c>
      <c r="L1490" s="17" t="s">
        <v>233</v>
      </c>
      <c r="M1490" s="231">
        <v>8280</v>
      </c>
      <c r="N1490" s="232">
        <v>8179.4807999999994</v>
      </c>
      <c r="O1490" s="132">
        <v>880</v>
      </c>
      <c r="P1490" s="231" t="s">
        <v>239</v>
      </c>
      <c r="Q1490" s="232">
        <v>880</v>
      </c>
      <c r="R1490" s="231" t="s">
        <v>239</v>
      </c>
      <c r="S1490" s="232">
        <v>853</v>
      </c>
      <c r="T1490" s="231" t="s">
        <v>239</v>
      </c>
      <c r="U1490" s="232">
        <v>805</v>
      </c>
      <c r="V1490" s="231" t="s">
        <v>239</v>
      </c>
      <c r="W1490" s="232">
        <v>767</v>
      </c>
      <c r="X1490" s="231" t="s">
        <v>239</v>
      </c>
      <c r="Y1490" s="232">
        <v>763</v>
      </c>
      <c r="Z1490" s="231" t="s">
        <v>239</v>
      </c>
      <c r="AA1490" s="232">
        <v>819</v>
      </c>
      <c r="AB1490" s="231" t="s">
        <v>239</v>
      </c>
      <c r="AC1490" s="232">
        <v>781</v>
      </c>
      <c r="AD1490" s="231" t="s">
        <v>239</v>
      </c>
      <c r="AE1490" s="232">
        <v>703</v>
      </c>
      <c r="AF1490" s="231" t="s">
        <v>239</v>
      </c>
      <c r="AG1490" s="232">
        <v>662</v>
      </c>
      <c r="AH1490" s="231" t="s">
        <v>239</v>
      </c>
      <c r="AI1490" s="232">
        <v>988</v>
      </c>
      <c r="AJ1490" s="231" t="s">
        <v>239</v>
      </c>
      <c r="AK1490" s="232">
        <v>780</v>
      </c>
      <c r="AL1490" s="232" t="s">
        <v>239</v>
      </c>
      <c r="AM1490" s="232">
        <v>9681</v>
      </c>
    </row>
    <row r="1491" spans="1:39" ht="15.75" outlineLevel="1">
      <c r="A1491" s="411">
        <v>741</v>
      </c>
      <c r="B1491" s="10">
        <v>129741</v>
      </c>
      <c r="C1491" s="218" t="s">
        <v>1489</v>
      </c>
      <c r="D1491" s="218" t="s">
        <v>1490</v>
      </c>
      <c r="E1491" s="23" t="s">
        <v>44</v>
      </c>
      <c r="F1491" s="17" t="s">
        <v>45</v>
      </c>
      <c r="G1491" s="11" t="s">
        <v>1432</v>
      </c>
      <c r="H1491" s="12">
        <v>17</v>
      </c>
      <c r="I1491" s="11" t="s">
        <v>1433</v>
      </c>
      <c r="J1491" s="193" t="s">
        <v>1454</v>
      </c>
      <c r="K1491" s="17" t="s">
        <v>233</v>
      </c>
      <c r="L1491" s="17" t="s">
        <v>233</v>
      </c>
      <c r="M1491" s="231">
        <v>18</v>
      </c>
      <c r="N1491" s="231">
        <v>18</v>
      </c>
      <c r="O1491" s="231">
        <v>18</v>
      </c>
      <c r="P1491" s="231" t="s">
        <v>239</v>
      </c>
      <c r="Q1491" s="231">
        <v>18</v>
      </c>
      <c r="R1491" s="231" t="s">
        <v>239</v>
      </c>
      <c r="S1491" s="231">
        <v>18</v>
      </c>
      <c r="T1491" s="231" t="s">
        <v>239</v>
      </c>
      <c r="U1491" s="231">
        <v>18</v>
      </c>
      <c r="V1491" s="231" t="s">
        <v>239</v>
      </c>
      <c r="W1491" s="231">
        <v>18</v>
      </c>
      <c r="X1491" s="231" t="s">
        <v>239</v>
      </c>
      <c r="Y1491" s="231">
        <v>18</v>
      </c>
      <c r="Z1491" s="231" t="s">
        <v>239</v>
      </c>
      <c r="AA1491" s="231">
        <v>18</v>
      </c>
      <c r="AB1491" s="231" t="s">
        <v>239</v>
      </c>
      <c r="AC1491" s="231">
        <v>18</v>
      </c>
      <c r="AD1491" s="231" t="s">
        <v>239</v>
      </c>
      <c r="AE1491" s="231">
        <v>18</v>
      </c>
      <c r="AF1491" s="231" t="s">
        <v>239</v>
      </c>
      <c r="AG1491" s="231">
        <v>18</v>
      </c>
      <c r="AH1491" s="231" t="s">
        <v>239</v>
      </c>
      <c r="AI1491" s="231">
        <v>18</v>
      </c>
      <c r="AJ1491" s="231" t="s">
        <v>239</v>
      </c>
      <c r="AK1491" s="231">
        <v>18</v>
      </c>
      <c r="AL1491" s="232" t="s">
        <v>239</v>
      </c>
      <c r="AM1491" s="232">
        <v>0</v>
      </c>
    </row>
    <row r="1492" spans="1:39" ht="15.75" outlineLevel="1">
      <c r="A1492" s="412"/>
      <c r="B1492" s="10">
        <v>129741</v>
      </c>
      <c r="C1492" s="218" t="s">
        <v>1489</v>
      </c>
      <c r="D1492" s="218" t="s">
        <v>1490</v>
      </c>
      <c r="E1492" s="23" t="s">
        <v>138</v>
      </c>
      <c r="F1492" s="17" t="s">
        <v>45</v>
      </c>
      <c r="G1492" s="11" t="s">
        <v>1432</v>
      </c>
      <c r="H1492" s="12">
        <v>28</v>
      </c>
      <c r="I1492" s="11" t="s">
        <v>1433</v>
      </c>
      <c r="J1492" s="191" t="s">
        <v>216</v>
      </c>
      <c r="K1492" s="17" t="s">
        <v>233</v>
      </c>
      <c r="L1492" s="17" t="s">
        <v>233</v>
      </c>
      <c r="M1492" s="231">
        <v>4116</v>
      </c>
      <c r="N1492" s="232">
        <v>4066.0317599999998</v>
      </c>
      <c r="O1492" s="132">
        <v>414</v>
      </c>
      <c r="P1492" s="231" t="s">
        <v>239</v>
      </c>
      <c r="Q1492" s="232">
        <v>414</v>
      </c>
      <c r="R1492" s="231" t="s">
        <v>239</v>
      </c>
      <c r="S1492" s="232">
        <v>482</v>
      </c>
      <c r="T1492" s="231" t="s">
        <v>239</v>
      </c>
      <c r="U1492" s="232">
        <v>314</v>
      </c>
      <c r="V1492" s="230" t="s">
        <v>239</v>
      </c>
      <c r="W1492" s="232">
        <v>321</v>
      </c>
      <c r="X1492" s="231" t="s">
        <v>239</v>
      </c>
      <c r="Y1492" s="232">
        <v>282</v>
      </c>
      <c r="Z1492" s="231" t="s">
        <v>239</v>
      </c>
      <c r="AA1492" s="232">
        <v>438</v>
      </c>
      <c r="AB1492" s="231" t="s">
        <v>239</v>
      </c>
      <c r="AC1492" s="232">
        <v>343</v>
      </c>
      <c r="AD1492" s="231" t="s">
        <v>239</v>
      </c>
      <c r="AE1492" s="232">
        <v>234</v>
      </c>
      <c r="AF1492" s="231" t="s">
        <v>239</v>
      </c>
      <c r="AG1492" s="232">
        <v>259</v>
      </c>
      <c r="AH1492" s="231" t="s">
        <v>239</v>
      </c>
      <c r="AI1492" s="232">
        <v>360</v>
      </c>
      <c r="AJ1492" s="231" t="s">
        <v>239</v>
      </c>
      <c r="AK1492" s="232">
        <v>401</v>
      </c>
      <c r="AL1492" s="232" t="s">
        <v>239</v>
      </c>
      <c r="AM1492" s="232">
        <v>4262</v>
      </c>
    </row>
    <row r="1493" spans="1:39" ht="15.75" outlineLevel="1">
      <c r="A1493" s="411">
        <v>742</v>
      </c>
      <c r="B1493" s="10">
        <v>129742</v>
      </c>
      <c r="C1493" s="218" t="s">
        <v>1489</v>
      </c>
      <c r="D1493" s="218" t="s">
        <v>1490</v>
      </c>
      <c r="E1493" s="23" t="s">
        <v>44</v>
      </c>
      <c r="F1493" s="17" t="s">
        <v>45</v>
      </c>
      <c r="G1493" s="11" t="s">
        <v>1432</v>
      </c>
      <c r="H1493" s="12">
        <v>33</v>
      </c>
      <c r="I1493" s="11" t="s">
        <v>1433</v>
      </c>
      <c r="J1493" s="192" t="s">
        <v>1434</v>
      </c>
      <c r="K1493" s="17" t="s">
        <v>233</v>
      </c>
      <c r="L1493" s="17" t="s">
        <v>233</v>
      </c>
      <c r="M1493" s="231">
        <v>18.5</v>
      </c>
      <c r="N1493" s="231">
        <v>18.5</v>
      </c>
      <c r="O1493" s="231">
        <v>18.5</v>
      </c>
      <c r="P1493" s="231" t="s">
        <v>239</v>
      </c>
      <c r="Q1493" s="231">
        <v>18.5</v>
      </c>
      <c r="R1493" s="231" t="s">
        <v>239</v>
      </c>
      <c r="S1493" s="231">
        <v>18.5</v>
      </c>
      <c r="T1493" s="231" t="s">
        <v>239</v>
      </c>
      <c r="U1493" s="231">
        <v>18.5</v>
      </c>
      <c r="V1493" s="231" t="s">
        <v>239</v>
      </c>
      <c r="W1493" s="231">
        <v>18.5</v>
      </c>
      <c r="X1493" s="231" t="s">
        <v>239</v>
      </c>
      <c r="Y1493" s="231">
        <v>18.5</v>
      </c>
      <c r="Z1493" s="231" t="s">
        <v>239</v>
      </c>
      <c r="AA1493" s="231">
        <v>18.5</v>
      </c>
      <c r="AB1493" s="231" t="s">
        <v>239</v>
      </c>
      <c r="AC1493" s="231">
        <v>18.5</v>
      </c>
      <c r="AD1493" s="231" t="s">
        <v>239</v>
      </c>
      <c r="AE1493" s="231">
        <v>18.5</v>
      </c>
      <c r="AF1493" s="231" t="s">
        <v>239</v>
      </c>
      <c r="AG1493" s="231">
        <v>18.5</v>
      </c>
      <c r="AH1493" s="231" t="s">
        <v>239</v>
      </c>
      <c r="AI1493" s="231">
        <v>18.5</v>
      </c>
      <c r="AJ1493" s="231" t="s">
        <v>239</v>
      </c>
      <c r="AK1493" s="231">
        <v>18.5</v>
      </c>
      <c r="AL1493" s="232" t="s">
        <v>239</v>
      </c>
      <c r="AM1493" s="232">
        <v>0</v>
      </c>
    </row>
    <row r="1494" spans="1:39" ht="15.75" outlineLevel="1">
      <c r="A1494" s="412"/>
      <c r="B1494" s="10">
        <v>129742</v>
      </c>
      <c r="C1494" s="218" t="s">
        <v>1489</v>
      </c>
      <c r="D1494" s="218" t="s">
        <v>1490</v>
      </c>
      <c r="E1494" s="23" t="s">
        <v>44</v>
      </c>
      <c r="F1494" s="17" t="s">
        <v>45</v>
      </c>
      <c r="G1494" s="11" t="s">
        <v>1432</v>
      </c>
      <c r="H1494" s="12">
        <v>25</v>
      </c>
      <c r="I1494" s="11" t="s">
        <v>1433</v>
      </c>
      <c r="J1494" s="192" t="s">
        <v>1480</v>
      </c>
      <c r="K1494" s="17" t="s">
        <v>233</v>
      </c>
      <c r="L1494" s="17" t="s">
        <v>233</v>
      </c>
      <c r="M1494" s="231">
        <v>10028</v>
      </c>
      <c r="N1494" s="232">
        <v>9906.26008</v>
      </c>
      <c r="O1494" s="132">
        <v>905</v>
      </c>
      <c r="P1494" s="231" t="s">
        <v>239</v>
      </c>
      <c r="Q1494" s="232">
        <v>905</v>
      </c>
      <c r="R1494" s="231" t="s">
        <v>239</v>
      </c>
      <c r="S1494" s="232">
        <v>967</v>
      </c>
      <c r="T1494" s="231" t="s">
        <v>239</v>
      </c>
      <c r="U1494" s="232">
        <v>922</v>
      </c>
      <c r="V1494" s="231" t="s">
        <v>239</v>
      </c>
      <c r="W1494" s="232">
        <v>912</v>
      </c>
      <c r="X1494" s="231" t="s">
        <v>239</v>
      </c>
      <c r="Y1494" s="232">
        <v>803</v>
      </c>
      <c r="Z1494" s="231" t="s">
        <v>239</v>
      </c>
      <c r="AA1494" s="232">
        <v>894</v>
      </c>
      <c r="AB1494" s="231" t="s">
        <v>239</v>
      </c>
      <c r="AC1494" s="232">
        <v>840</v>
      </c>
      <c r="AD1494" s="231" t="s">
        <v>239</v>
      </c>
      <c r="AE1494" s="232">
        <v>800</v>
      </c>
      <c r="AF1494" s="231" t="s">
        <v>239</v>
      </c>
      <c r="AG1494" s="232">
        <v>704</v>
      </c>
      <c r="AH1494" s="231" t="s">
        <v>239</v>
      </c>
      <c r="AI1494" s="232">
        <v>1041</v>
      </c>
      <c r="AJ1494" s="231" t="s">
        <v>239</v>
      </c>
      <c r="AK1494" s="232">
        <v>964</v>
      </c>
      <c r="AL1494" s="232" t="s">
        <v>239</v>
      </c>
      <c r="AM1494" s="232">
        <v>10657</v>
      </c>
    </row>
    <row r="1495" spans="1:39" ht="15.75" outlineLevel="1">
      <c r="A1495" s="411">
        <v>743</v>
      </c>
      <c r="B1495" s="10">
        <v>129743</v>
      </c>
      <c r="C1495" s="218" t="s">
        <v>1489</v>
      </c>
      <c r="D1495" s="218" t="s">
        <v>1490</v>
      </c>
      <c r="E1495" s="23" t="s">
        <v>138</v>
      </c>
      <c r="F1495" s="17" t="s">
        <v>45</v>
      </c>
      <c r="G1495" s="11" t="s">
        <v>1432</v>
      </c>
      <c r="H1495" s="12">
        <v>9</v>
      </c>
      <c r="I1495" s="11" t="s">
        <v>1433</v>
      </c>
      <c r="J1495" s="192" t="s">
        <v>1452</v>
      </c>
      <c r="K1495" s="17" t="s">
        <v>233</v>
      </c>
      <c r="L1495" s="17" t="s">
        <v>233</v>
      </c>
      <c r="M1495" s="231">
        <v>1.4</v>
      </c>
      <c r="N1495" s="231">
        <v>1.4</v>
      </c>
      <c r="O1495" s="231">
        <v>1.4</v>
      </c>
      <c r="P1495" s="231" t="s">
        <v>239</v>
      </c>
      <c r="Q1495" s="231">
        <v>1.4</v>
      </c>
      <c r="R1495" s="231" t="s">
        <v>239</v>
      </c>
      <c r="S1495" s="231">
        <v>1.4</v>
      </c>
      <c r="T1495" s="231" t="s">
        <v>239</v>
      </c>
      <c r="U1495" s="231">
        <v>1.4</v>
      </c>
      <c r="V1495" s="230" t="s">
        <v>239</v>
      </c>
      <c r="W1495" s="231">
        <v>1.4</v>
      </c>
      <c r="X1495" s="231" t="s">
        <v>239</v>
      </c>
      <c r="Y1495" s="231">
        <v>1.4</v>
      </c>
      <c r="Z1495" s="231" t="s">
        <v>239</v>
      </c>
      <c r="AA1495" s="231">
        <v>1.4</v>
      </c>
      <c r="AB1495" s="231" t="s">
        <v>239</v>
      </c>
      <c r="AC1495" s="231">
        <v>1.4</v>
      </c>
      <c r="AD1495" s="231" t="s">
        <v>239</v>
      </c>
      <c r="AE1495" s="231">
        <v>1.4</v>
      </c>
      <c r="AF1495" s="231" t="s">
        <v>239</v>
      </c>
      <c r="AG1495" s="231">
        <v>1.4</v>
      </c>
      <c r="AH1495" s="231" t="s">
        <v>239</v>
      </c>
      <c r="AI1495" s="231">
        <v>1.4</v>
      </c>
      <c r="AJ1495" s="231" t="s">
        <v>239</v>
      </c>
      <c r="AK1495" s="231">
        <v>1.4</v>
      </c>
      <c r="AL1495" s="232" t="s">
        <v>239</v>
      </c>
      <c r="AM1495" s="232">
        <v>0</v>
      </c>
    </row>
    <row r="1496" spans="1:39" ht="15.75" outlineLevel="1">
      <c r="A1496" s="412"/>
      <c r="B1496" s="10">
        <v>129743</v>
      </c>
      <c r="C1496" s="218" t="s">
        <v>1489</v>
      </c>
      <c r="D1496" s="218" t="s">
        <v>1490</v>
      </c>
      <c r="E1496" s="23" t="s">
        <v>44</v>
      </c>
      <c r="F1496" s="17" t="s">
        <v>45</v>
      </c>
      <c r="G1496" s="11" t="s">
        <v>1432</v>
      </c>
      <c r="H1496" s="12">
        <v>18</v>
      </c>
      <c r="I1496" s="11" t="s">
        <v>1433</v>
      </c>
      <c r="J1496" s="193" t="s">
        <v>1451</v>
      </c>
      <c r="K1496" s="17" t="s">
        <v>233</v>
      </c>
      <c r="L1496" s="17" t="s">
        <v>233</v>
      </c>
      <c r="M1496" s="231">
        <v>11717</v>
      </c>
      <c r="N1496" s="232">
        <v>11574.75562</v>
      </c>
      <c r="O1496" s="132">
        <v>779</v>
      </c>
      <c r="P1496" s="231" t="s">
        <v>239</v>
      </c>
      <c r="Q1496" s="232">
        <v>779</v>
      </c>
      <c r="R1496" s="231" t="s">
        <v>239</v>
      </c>
      <c r="S1496" s="232">
        <v>973</v>
      </c>
      <c r="T1496" s="231" t="s">
        <v>239</v>
      </c>
      <c r="U1496" s="232">
        <v>1042</v>
      </c>
      <c r="V1496" s="231" t="s">
        <v>239</v>
      </c>
      <c r="W1496" s="232">
        <v>793</v>
      </c>
      <c r="X1496" s="231" t="s">
        <v>239</v>
      </c>
      <c r="Y1496" s="232">
        <v>1213</v>
      </c>
      <c r="Z1496" s="231" t="s">
        <v>239</v>
      </c>
      <c r="AA1496" s="232">
        <v>511</v>
      </c>
      <c r="AB1496" s="231" t="s">
        <v>239</v>
      </c>
      <c r="AC1496" s="232">
        <v>358</v>
      </c>
      <c r="AD1496" s="231" t="s">
        <v>239</v>
      </c>
      <c r="AE1496" s="232">
        <v>301</v>
      </c>
      <c r="AF1496" s="231" t="s">
        <v>239</v>
      </c>
      <c r="AG1496" s="232">
        <v>158</v>
      </c>
      <c r="AH1496" s="231" t="s">
        <v>239</v>
      </c>
      <c r="AI1496" s="232">
        <v>484</v>
      </c>
      <c r="AJ1496" s="231" t="s">
        <v>239</v>
      </c>
      <c r="AK1496" s="232">
        <v>553</v>
      </c>
      <c r="AL1496" s="232" t="s">
        <v>239</v>
      </c>
      <c r="AM1496" s="232">
        <v>7944</v>
      </c>
    </row>
    <row r="1497" spans="1:39" ht="15.75" outlineLevel="1">
      <c r="A1497" s="411">
        <v>744</v>
      </c>
      <c r="B1497" s="10">
        <v>129744</v>
      </c>
      <c r="C1497" s="218" t="s">
        <v>1489</v>
      </c>
      <c r="D1497" s="218" t="s">
        <v>1490</v>
      </c>
      <c r="E1497" s="23" t="s">
        <v>138</v>
      </c>
      <c r="F1497" s="17" t="s">
        <v>45</v>
      </c>
      <c r="G1497" s="11" t="s">
        <v>1432</v>
      </c>
      <c r="H1497" s="12">
        <v>17</v>
      </c>
      <c r="I1497" s="11" t="s">
        <v>1433</v>
      </c>
      <c r="J1497" s="193" t="s">
        <v>208</v>
      </c>
      <c r="K1497" s="17" t="s">
        <v>233</v>
      </c>
      <c r="L1497" s="17" t="s">
        <v>233</v>
      </c>
      <c r="M1497" s="231">
        <v>40</v>
      </c>
      <c r="N1497" s="231">
        <v>40</v>
      </c>
      <c r="O1497" s="231">
        <v>40</v>
      </c>
      <c r="P1497" s="231" t="s">
        <v>239</v>
      </c>
      <c r="Q1497" s="231">
        <v>40</v>
      </c>
      <c r="R1497" s="231" t="s">
        <v>239</v>
      </c>
      <c r="S1497" s="231">
        <v>40</v>
      </c>
      <c r="T1497" s="231" t="s">
        <v>239</v>
      </c>
      <c r="U1497" s="231">
        <v>40</v>
      </c>
      <c r="V1497" s="231" t="s">
        <v>239</v>
      </c>
      <c r="W1497" s="231">
        <v>40</v>
      </c>
      <c r="X1497" s="231" t="s">
        <v>239</v>
      </c>
      <c r="Y1497" s="231">
        <v>40</v>
      </c>
      <c r="Z1497" s="231" t="s">
        <v>239</v>
      </c>
      <c r="AA1497" s="231">
        <v>40</v>
      </c>
      <c r="AB1497" s="231" t="s">
        <v>239</v>
      </c>
      <c r="AC1497" s="231">
        <v>40</v>
      </c>
      <c r="AD1497" s="231" t="s">
        <v>239</v>
      </c>
      <c r="AE1497" s="231">
        <v>40</v>
      </c>
      <c r="AF1497" s="231" t="s">
        <v>239</v>
      </c>
      <c r="AG1497" s="231">
        <v>40</v>
      </c>
      <c r="AH1497" s="231" t="s">
        <v>239</v>
      </c>
      <c r="AI1497" s="231">
        <v>40</v>
      </c>
      <c r="AJ1497" s="231" t="s">
        <v>239</v>
      </c>
      <c r="AK1497" s="231">
        <v>40</v>
      </c>
      <c r="AL1497" s="232" t="s">
        <v>239</v>
      </c>
      <c r="AM1497" s="232">
        <v>0</v>
      </c>
    </row>
    <row r="1498" spans="1:39" ht="15.75" outlineLevel="1">
      <c r="A1498" s="412"/>
      <c r="B1498" s="10">
        <v>129744</v>
      </c>
      <c r="C1498" s="218" t="s">
        <v>1489</v>
      </c>
      <c r="D1498" s="218" t="s">
        <v>1490</v>
      </c>
      <c r="E1498" s="23" t="s">
        <v>44</v>
      </c>
      <c r="F1498" s="17" t="s">
        <v>45</v>
      </c>
      <c r="G1498" s="11" t="s">
        <v>1432</v>
      </c>
      <c r="H1498" s="12">
        <v>25</v>
      </c>
      <c r="I1498" s="11" t="s">
        <v>1433</v>
      </c>
      <c r="J1498" s="193" t="s">
        <v>1452</v>
      </c>
      <c r="K1498" s="17" t="s">
        <v>233</v>
      </c>
      <c r="L1498" s="17" t="s">
        <v>233</v>
      </c>
      <c r="M1498" s="231">
        <v>22930</v>
      </c>
      <c r="N1498" s="232">
        <v>22651.629799999999</v>
      </c>
      <c r="O1498" s="132">
        <v>853</v>
      </c>
      <c r="P1498" s="231" t="s">
        <v>239</v>
      </c>
      <c r="Q1498" s="232">
        <v>853</v>
      </c>
      <c r="R1498" s="231" t="s">
        <v>239</v>
      </c>
      <c r="S1498" s="232">
        <v>672</v>
      </c>
      <c r="T1498" s="231" t="s">
        <v>239</v>
      </c>
      <c r="U1498" s="232">
        <v>635</v>
      </c>
      <c r="V1498" s="230" t="s">
        <v>239</v>
      </c>
      <c r="W1498" s="232">
        <v>692</v>
      </c>
      <c r="X1498" s="231" t="s">
        <v>239</v>
      </c>
      <c r="Y1498" s="232">
        <v>752</v>
      </c>
      <c r="Z1498" s="231" t="s">
        <v>239</v>
      </c>
      <c r="AA1498" s="232">
        <v>974</v>
      </c>
      <c r="AB1498" s="231" t="s">
        <v>239</v>
      </c>
      <c r="AC1498" s="232">
        <v>676</v>
      </c>
      <c r="AD1498" s="231" t="s">
        <v>239</v>
      </c>
      <c r="AE1498" s="232">
        <v>721</v>
      </c>
      <c r="AF1498" s="231" t="s">
        <v>239</v>
      </c>
      <c r="AG1498" s="232">
        <v>662</v>
      </c>
      <c r="AH1498" s="231" t="s">
        <v>239</v>
      </c>
      <c r="AI1498" s="232">
        <v>814</v>
      </c>
      <c r="AJ1498" s="231" t="s">
        <v>239</v>
      </c>
      <c r="AK1498" s="232">
        <v>738</v>
      </c>
      <c r="AL1498" s="232" t="s">
        <v>239</v>
      </c>
      <c r="AM1498" s="232">
        <v>9042</v>
      </c>
    </row>
    <row r="1499" spans="1:39" ht="15.75" outlineLevel="1">
      <c r="A1499" s="411">
        <v>745</v>
      </c>
      <c r="B1499" s="10">
        <v>129745</v>
      </c>
      <c r="C1499" s="218" t="s">
        <v>1489</v>
      </c>
      <c r="D1499" s="218" t="s">
        <v>1490</v>
      </c>
      <c r="E1499" s="23" t="s">
        <v>44</v>
      </c>
      <c r="F1499" s="17" t="s">
        <v>45</v>
      </c>
      <c r="G1499" s="11" t="s">
        <v>1432</v>
      </c>
      <c r="H1499" s="12">
        <v>13</v>
      </c>
      <c r="I1499" s="11" t="s">
        <v>1433</v>
      </c>
      <c r="J1499" s="193" t="s">
        <v>216</v>
      </c>
      <c r="K1499" s="17" t="s">
        <v>233</v>
      </c>
      <c r="L1499" s="17" t="s">
        <v>233</v>
      </c>
      <c r="M1499" s="231">
        <v>19</v>
      </c>
      <c r="N1499" s="231">
        <v>19</v>
      </c>
      <c r="O1499" s="231">
        <v>19</v>
      </c>
      <c r="P1499" s="231" t="s">
        <v>239</v>
      </c>
      <c r="Q1499" s="231">
        <v>19</v>
      </c>
      <c r="R1499" s="231" t="s">
        <v>239</v>
      </c>
      <c r="S1499" s="231">
        <v>19</v>
      </c>
      <c r="T1499" s="231" t="s">
        <v>239</v>
      </c>
      <c r="U1499" s="231">
        <v>19</v>
      </c>
      <c r="V1499" s="231" t="s">
        <v>239</v>
      </c>
      <c r="W1499" s="231">
        <v>19</v>
      </c>
      <c r="X1499" s="231" t="s">
        <v>239</v>
      </c>
      <c r="Y1499" s="231">
        <v>19</v>
      </c>
      <c r="Z1499" s="231" t="s">
        <v>239</v>
      </c>
      <c r="AA1499" s="231">
        <v>19</v>
      </c>
      <c r="AB1499" s="231" t="s">
        <v>239</v>
      </c>
      <c r="AC1499" s="231">
        <v>19</v>
      </c>
      <c r="AD1499" s="231" t="s">
        <v>239</v>
      </c>
      <c r="AE1499" s="231">
        <v>19</v>
      </c>
      <c r="AF1499" s="231" t="s">
        <v>239</v>
      </c>
      <c r="AG1499" s="231">
        <v>19</v>
      </c>
      <c r="AH1499" s="231" t="s">
        <v>239</v>
      </c>
      <c r="AI1499" s="231">
        <v>19</v>
      </c>
      <c r="AJ1499" s="231" t="s">
        <v>239</v>
      </c>
      <c r="AK1499" s="231">
        <v>19</v>
      </c>
      <c r="AL1499" s="232" t="s">
        <v>239</v>
      </c>
      <c r="AM1499" s="232">
        <v>0</v>
      </c>
    </row>
    <row r="1500" spans="1:39" ht="15.75" outlineLevel="1">
      <c r="A1500" s="412"/>
      <c r="B1500" s="10">
        <v>129745</v>
      </c>
      <c r="C1500" s="218" t="s">
        <v>1489</v>
      </c>
      <c r="D1500" s="218" t="s">
        <v>1490</v>
      </c>
      <c r="E1500" s="23" t="s">
        <v>138</v>
      </c>
      <c r="F1500" s="17" t="s">
        <v>45</v>
      </c>
      <c r="G1500" s="11" t="s">
        <v>1432</v>
      </c>
      <c r="H1500" s="12">
        <v>5</v>
      </c>
      <c r="I1500" s="11" t="s">
        <v>1433</v>
      </c>
      <c r="J1500" s="193" t="s">
        <v>1453</v>
      </c>
      <c r="K1500" s="17" t="s">
        <v>233</v>
      </c>
      <c r="L1500" s="17" t="s">
        <v>233</v>
      </c>
      <c r="M1500" s="231">
        <v>2822</v>
      </c>
      <c r="N1500" s="232">
        <v>2787.7409199999997</v>
      </c>
      <c r="O1500" s="132">
        <v>693</v>
      </c>
      <c r="P1500" s="231" t="s">
        <v>239</v>
      </c>
      <c r="Q1500" s="232">
        <v>693</v>
      </c>
      <c r="R1500" s="231" t="s">
        <v>239</v>
      </c>
      <c r="S1500" s="232">
        <v>566</v>
      </c>
      <c r="T1500" s="231" t="s">
        <v>239</v>
      </c>
      <c r="U1500" s="232">
        <v>571</v>
      </c>
      <c r="V1500" s="231" t="s">
        <v>239</v>
      </c>
      <c r="W1500" s="232">
        <v>538</v>
      </c>
      <c r="X1500" s="231" t="s">
        <v>239</v>
      </c>
      <c r="Y1500" s="232">
        <v>599</v>
      </c>
      <c r="Z1500" s="231" t="s">
        <v>239</v>
      </c>
      <c r="AA1500" s="232">
        <v>506</v>
      </c>
      <c r="AB1500" s="231" t="s">
        <v>239</v>
      </c>
      <c r="AC1500" s="232">
        <v>768</v>
      </c>
      <c r="AD1500" s="231" t="s">
        <v>239</v>
      </c>
      <c r="AE1500" s="232">
        <v>653</v>
      </c>
      <c r="AF1500" s="231" t="s">
        <v>239</v>
      </c>
      <c r="AG1500" s="232">
        <v>491</v>
      </c>
      <c r="AH1500" s="231" t="s">
        <v>239</v>
      </c>
      <c r="AI1500" s="232">
        <v>416</v>
      </c>
      <c r="AJ1500" s="231" t="s">
        <v>239</v>
      </c>
      <c r="AK1500" s="232">
        <v>934</v>
      </c>
      <c r="AL1500" s="232" t="s">
        <v>239</v>
      </c>
      <c r="AM1500" s="232">
        <v>7428</v>
      </c>
    </row>
    <row r="1501" spans="1:39" ht="15.75" outlineLevel="1">
      <c r="A1501" s="411">
        <v>746</v>
      </c>
      <c r="B1501" s="10">
        <v>129746</v>
      </c>
      <c r="C1501" s="218" t="s">
        <v>1489</v>
      </c>
      <c r="D1501" s="218" t="s">
        <v>1490</v>
      </c>
      <c r="E1501" s="23" t="s">
        <v>44</v>
      </c>
      <c r="F1501" s="17" t="s">
        <v>45</v>
      </c>
      <c r="G1501" s="11" t="s">
        <v>1432</v>
      </c>
      <c r="H1501" s="12">
        <v>4</v>
      </c>
      <c r="I1501" s="11" t="s">
        <v>1433</v>
      </c>
      <c r="J1501" s="193" t="s">
        <v>1454</v>
      </c>
      <c r="K1501" s="17" t="s">
        <v>233</v>
      </c>
      <c r="L1501" s="17" t="s">
        <v>233</v>
      </c>
      <c r="M1501" s="231">
        <v>16</v>
      </c>
      <c r="N1501" s="231">
        <v>16</v>
      </c>
      <c r="O1501" s="231">
        <v>16</v>
      </c>
      <c r="P1501" s="231" t="s">
        <v>239</v>
      </c>
      <c r="Q1501" s="231">
        <v>16</v>
      </c>
      <c r="R1501" s="231" t="s">
        <v>239</v>
      </c>
      <c r="S1501" s="231">
        <v>16</v>
      </c>
      <c r="T1501" s="231" t="s">
        <v>239</v>
      </c>
      <c r="U1501" s="231">
        <v>16</v>
      </c>
      <c r="V1501" s="230" t="s">
        <v>239</v>
      </c>
      <c r="W1501" s="231">
        <v>16</v>
      </c>
      <c r="X1501" s="231" t="s">
        <v>239</v>
      </c>
      <c r="Y1501" s="231">
        <v>16</v>
      </c>
      <c r="Z1501" s="231" t="s">
        <v>239</v>
      </c>
      <c r="AA1501" s="231">
        <v>16</v>
      </c>
      <c r="AB1501" s="231" t="s">
        <v>239</v>
      </c>
      <c r="AC1501" s="231">
        <v>16</v>
      </c>
      <c r="AD1501" s="231" t="s">
        <v>239</v>
      </c>
      <c r="AE1501" s="231">
        <v>16</v>
      </c>
      <c r="AF1501" s="231" t="s">
        <v>239</v>
      </c>
      <c r="AG1501" s="231">
        <v>16</v>
      </c>
      <c r="AH1501" s="231" t="s">
        <v>239</v>
      </c>
      <c r="AI1501" s="231">
        <v>16</v>
      </c>
      <c r="AJ1501" s="231" t="s">
        <v>239</v>
      </c>
      <c r="AK1501" s="231">
        <v>16</v>
      </c>
      <c r="AL1501" s="232" t="s">
        <v>239</v>
      </c>
      <c r="AM1501" s="232">
        <v>0</v>
      </c>
    </row>
    <row r="1502" spans="1:39" ht="15.75" outlineLevel="1">
      <c r="A1502" s="412"/>
      <c r="B1502" s="10">
        <v>129746</v>
      </c>
      <c r="C1502" s="218" t="s">
        <v>1489</v>
      </c>
      <c r="D1502" s="218" t="s">
        <v>1490</v>
      </c>
      <c r="E1502" s="23" t="s">
        <v>138</v>
      </c>
      <c r="F1502" s="17" t="s">
        <v>45</v>
      </c>
      <c r="G1502" s="11" t="s">
        <v>1432</v>
      </c>
      <c r="H1502" s="12">
        <v>24</v>
      </c>
      <c r="I1502" s="11" t="s">
        <v>1433</v>
      </c>
      <c r="J1502" s="191" t="s">
        <v>216</v>
      </c>
      <c r="K1502" s="17" t="s">
        <v>233</v>
      </c>
      <c r="L1502" s="17" t="s">
        <v>233</v>
      </c>
      <c r="M1502" s="231">
        <v>1816</v>
      </c>
      <c r="N1502" s="232">
        <v>1793.9537599999999</v>
      </c>
      <c r="O1502" s="132">
        <v>418</v>
      </c>
      <c r="P1502" s="231" t="s">
        <v>239</v>
      </c>
      <c r="Q1502" s="232">
        <v>418</v>
      </c>
      <c r="R1502" s="231" t="s">
        <v>239</v>
      </c>
      <c r="S1502" s="232">
        <v>356</v>
      </c>
      <c r="T1502" s="231" t="s">
        <v>239</v>
      </c>
      <c r="U1502" s="232">
        <v>357</v>
      </c>
      <c r="V1502" s="231" t="s">
        <v>239</v>
      </c>
      <c r="W1502" s="232">
        <v>311</v>
      </c>
      <c r="X1502" s="231" t="s">
        <v>239</v>
      </c>
      <c r="Y1502" s="232">
        <v>356</v>
      </c>
      <c r="Z1502" s="231" t="s">
        <v>239</v>
      </c>
      <c r="AA1502" s="232">
        <v>306</v>
      </c>
      <c r="AB1502" s="231" t="s">
        <v>239</v>
      </c>
      <c r="AC1502" s="232">
        <v>303</v>
      </c>
      <c r="AD1502" s="231" t="s">
        <v>239</v>
      </c>
      <c r="AE1502" s="232">
        <v>304</v>
      </c>
      <c r="AF1502" s="231" t="s">
        <v>239</v>
      </c>
      <c r="AG1502" s="232">
        <v>304</v>
      </c>
      <c r="AH1502" s="231" t="s">
        <v>239</v>
      </c>
      <c r="AI1502" s="232">
        <v>340</v>
      </c>
      <c r="AJ1502" s="231" t="s">
        <v>239</v>
      </c>
      <c r="AK1502" s="232">
        <v>340</v>
      </c>
      <c r="AL1502" s="232" t="s">
        <v>239</v>
      </c>
      <c r="AM1502" s="232">
        <v>4113</v>
      </c>
    </row>
    <row r="1503" spans="1:39" ht="15.75" outlineLevel="1">
      <c r="A1503" s="411">
        <v>747</v>
      </c>
      <c r="B1503" s="10">
        <v>129747</v>
      </c>
      <c r="C1503" s="218" t="s">
        <v>1489</v>
      </c>
      <c r="D1503" s="218" t="s">
        <v>1490</v>
      </c>
      <c r="E1503" s="23" t="s">
        <v>44</v>
      </c>
      <c r="F1503" s="17" t="s">
        <v>45</v>
      </c>
      <c r="G1503" s="11" t="s">
        <v>1432</v>
      </c>
      <c r="H1503" s="12">
        <v>10</v>
      </c>
      <c r="I1503" s="11" t="s">
        <v>1433</v>
      </c>
      <c r="J1503" s="192" t="s">
        <v>1434</v>
      </c>
      <c r="K1503" s="17" t="s">
        <v>233</v>
      </c>
      <c r="L1503" s="17" t="s">
        <v>233</v>
      </c>
      <c r="M1503" s="231">
        <v>16</v>
      </c>
      <c r="N1503" s="231">
        <v>16</v>
      </c>
      <c r="O1503" s="231">
        <v>16</v>
      </c>
      <c r="P1503" s="231" t="s">
        <v>239</v>
      </c>
      <c r="Q1503" s="231">
        <v>16</v>
      </c>
      <c r="R1503" s="231" t="s">
        <v>239</v>
      </c>
      <c r="S1503" s="231">
        <v>16</v>
      </c>
      <c r="T1503" s="231" t="s">
        <v>239</v>
      </c>
      <c r="U1503" s="231">
        <v>16</v>
      </c>
      <c r="V1503" s="231" t="s">
        <v>239</v>
      </c>
      <c r="W1503" s="231">
        <v>16</v>
      </c>
      <c r="X1503" s="231" t="s">
        <v>239</v>
      </c>
      <c r="Y1503" s="231">
        <v>16</v>
      </c>
      <c r="Z1503" s="231" t="s">
        <v>239</v>
      </c>
      <c r="AA1503" s="231">
        <v>16</v>
      </c>
      <c r="AB1503" s="231" t="s">
        <v>239</v>
      </c>
      <c r="AC1503" s="231">
        <v>16</v>
      </c>
      <c r="AD1503" s="231" t="s">
        <v>239</v>
      </c>
      <c r="AE1503" s="231">
        <v>16</v>
      </c>
      <c r="AF1503" s="231" t="s">
        <v>239</v>
      </c>
      <c r="AG1503" s="231">
        <v>16</v>
      </c>
      <c r="AH1503" s="231" t="s">
        <v>239</v>
      </c>
      <c r="AI1503" s="231">
        <v>16</v>
      </c>
      <c r="AJ1503" s="231" t="s">
        <v>239</v>
      </c>
      <c r="AK1503" s="231">
        <v>16</v>
      </c>
      <c r="AL1503" s="232" t="s">
        <v>239</v>
      </c>
      <c r="AM1503" s="232">
        <v>0</v>
      </c>
    </row>
    <row r="1504" spans="1:39" ht="15.75" outlineLevel="1">
      <c r="A1504" s="412"/>
      <c r="B1504" s="10">
        <v>129747</v>
      </c>
      <c r="C1504" s="218" t="s">
        <v>1489</v>
      </c>
      <c r="D1504" s="218" t="s">
        <v>1490</v>
      </c>
      <c r="E1504" s="23" t="s">
        <v>44</v>
      </c>
      <c r="F1504" s="17" t="s">
        <v>45</v>
      </c>
      <c r="G1504" s="11" t="s">
        <v>1432</v>
      </c>
      <c r="H1504" s="12">
        <v>17</v>
      </c>
      <c r="I1504" s="11" t="s">
        <v>1433</v>
      </c>
      <c r="J1504" s="192" t="s">
        <v>1480</v>
      </c>
      <c r="K1504" s="17" t="s">
        <v>233</v>
      </c>
      <c r="L1504" s="17" t="s">
        <v>233</v>
      </c>
      <c r="M1504" s="231">
        <v>0</v>
      </c>
      <c r="N1504" s="232">
        <v>0</v>
      </c>
      <c r="O1504" s="132">
        <v>0</v>
      </c>
      <c r="P1504" s="231" t="s">
        <v>239</v>
      </c>
      <c r="Q1504" s="232">
        <v>0</v>
      </c>
      <c r="R1504" s="231" t="s">
        <v>239</v>
      </c>
      <c r="S1504" s="232">
        <v>0</v>
      </c>
      <c r="T1504" s="231" t="s">
        <v>239</v>
      </c>
      <c r="U1504" s="232">
        <v>0</v>
      </c>
      <c r="V1504" s="230" t="s">
        <v>239</v>
      </c>
      <c r="W1504" s="232">
        <v>0</v>
      </c>
      <c r="X1504" s="231" t="s">
        <v>239</v>
      </c>
      <c r="Y1504" s="232">
        <v>0</v>
      </c>
      <c r="Z1504" s="231" t="s">
        <v>239</v>
      </c>
      <c r="AA1504" s="232">
        <v>0</v>
      </c>
      <c r="AB1504" s="231" t="s">
        <v>239</v>
      </c>
      <c r="AC1504" s="232">
        <v>0</v>
      </c>
      <c r="AD1504" s="231" t="s">
        <v>239</v>
      </c>
      <c r="AE1504" s="232">
        <v>0</v>
      </c>
      <c r="AF1504" s="231" t="s">
        <v>239</v>
      </c>
      <c r="AG1504" s="232">
        <v>0</v>
      </c>
      <c r="AH1504" s="231" t="s">
        <v>239</v>
      </c>
      <c r="AI1504" s="232">
        <v>0</v>
      </c>
      <c r="AJ1504" s="231" t="s">
        <v>239</v>
      </c>
      <c r="AK1504" s="232">
        <v>0</v>
      </c>
      <c r="AL1504" s="232" t="s">
        <v>239</v>
      </c>
      <c r="AM1504" s="232">
        <v>0</v>
      </c>
    </row>
    <row r="1505" spans="1:39" ht="15.75" outlineLevel="1">
      <c r="A1505" s="411">
        <v>748</v>
      </c>
      <c r="B1505" s="10">
        <v>129748</v>
      </c>
      <c r="C1505" s="218" t="s">
        <v>1489</v>
      </c>
      <c r="D1505" s="218" t="s">
        <v>1490</v>
      </c>
      <c r="E1505" s="23" t="s">
        <v>44</v>
      </c>
      <c r="F1505" s="17" t="s">
        <v>45</v>
      </c>
      <c r="G1505" s="11" t="s">
        <v>1432</v>
      </c>
      <c r="H1505" s="12">
        <v>32</v>
      </c>
      <c r="I1505" s="11" t="s">
        <v>1433</v>
      </c>
      <c r="J1505" s="192" t="s">
        <v>1452</v>
      </c>
      <c r="K1505" s="17" t="s">
        <v>233</v>
      </c>
      <c r="L1505" s="17" t="s">
        <v>233</v>
      </c>
      <c r="M1505" s="231">
        <v>30</v>
      </c>
      <c r="N1505" s="231">
        <v>30</v>
      </c>
      <c r="O1505" s="231">
        <v>30</v>
      </c>
      <c r="P1505" s="231" t="s">
        <v>239</v>
      </c>
      <c r="Q1505" s="231">
        <v>30</v>
      </c>
      <c r="R1505" s="231" t="s">
        <v>239</v>
      </c>
      <c r="S1505" s="231">
        <v>30</v>
      </c>
      <c r="T1505" s="231" t="s">
        <v>239</v>
      </c>
      <c r="U1505" s="231">
        <v>30</v>
      </c>
      <c r="V1505" s="231" t="s">
        <v>239</v>
      </c>
      <c r="W1505" s="231">
        <v>30</v>
      </c>
      <c r="X1505" s="231" t="s">
        <v>239</v>
      </c>
      <c r="Y1505" s="231">
        <v>30</v>
      </c>
      <c r="Z1505" s="231" t="s">
        <v>239</v>
      </c>
      <c r="AA1505" s="231">
        <v>30</v>
      </c>
      <c r="AB1505" s="231" t="s">
        <v>239</v>
      </c>
      <c r="AC1505" s="231">
        <v>30</v>
      </c>
      <c r="AD1505" s="231" t="s">
        <v>239</v>
      </c>
      <c r="AE1505" s="231">
        <v>30</v>
      </c>
      <c r="AF1505" s="231" t="s">
        <v>239</v>
      </c>
      <c r="AG1505" s="231">
        <v>30</v>
      </c>
      <c r="AH1505" s="231" t="s">
        <v>239</v>
      </c>
      <c r="AI1505" s="231">
        <v>30</v>
      </c>
      <c r="AJ1505" s="231" t="s">
        <v>239</v>
      </c>
      <c r="AK1505" s="231">
        <v>30</v>
      </c>
      <c r="AL1505" s="232" t="s">
        <v>239</v>
      </c>
      <c r="AM1505" s="232">
        <v>0</v>
      </c>
    </row>
    <row r="1506" spans="1:39" ht="15.75" outlineLevel="1">
      <c r="A1506" s="412"/>
      <c r="B1506" s="10">
        <v>129748</v>
      </c>
      <c r="C1506" s="218" t="s">
        <v>1489</v>
      </c>
      <c r="D1506" s="218" t="s">
        <v>1490</v>
      </c>
      <c r="E1506" s="23" t="s">
        <v>138</v>
      </c>
      <c r="F1506" s="17" t="s">
        <v>45</v>
      </c>
      <c r="G1506" s="11" t="s">
        <v>1432</v>
      </c>
      <c r="H1506" s="12">
        <v>8</v>
      </c>
      <c r="I1506" s="11" t="s">
        <v>1433</v>
      </c>
      <c r="J1506" s="374" t="s">
        <v>207</v>
      </c>
      <c r="K1506" s="17" t="s">
        <v>233</v>
      </c>
      <c r="L1506" s="17" t="s">
        <v>233</v>
      </c>
      <c r="M1506" s="231">
        <v>4800</v>
      </c>
      <c r="N1506" s="232">
        <v>4741.7280000000001</v>
      </c>
      <c r="O1506" s="132">
        <v>1209</v>
      </c>
      <c r="P1506" s="231" t="s">
        <v>239</v>
      </c>
      <c r="Q1506" s="232">
        <v>1209</v>
      </c>
      <c r="R1506" s="231" t="s">
        <v>239</v>
      </c>
      <c r="S1506" s="232">
        <v>1261</v>
      </c>
      <c r="T1506" s="231" t="s">
        <v>239</v>
      </c>
      <c r="U1506" s="232">
        <v>1338</v>
      </c>
      <c r="V1506" s="231" t="s">
        <v>239</v>
      </c>
      <c r="W1506" s="232">
        <v>1157</v>
      </c>
      <c r="X1506" s="231" t="s">
        <v>239</v>
      </c>
      <c r="Y1506" s="232">
        <v>1209</v>
      </c>
      <c r="Z1506" s="231" t="s">
        <v>239</v>
      </c>
      <c r="AA1506" s="232">
        <v>1455</v>
      </c>
      <c r="AB1506" s="231" t="s">
        <v>239</v>
      </c>
      <c r="AC1506" s="232">
        <v>1277</v>
      </c>
      <c r="AD1506" s="231" t="s">
        <v>239</v>
      </c>
      <c r="AE1506" s="232">
        <v>1132</v>
      </c>
      <c r="AF1506" s="231" t="s">
        <v>239</v>
      </c>
      <c r="AG1506" s="232">
        <v>1056</v>
      </c>
      <c r="AH1506" s="231" t="s">
        <v>239</v>
      </c>
      <c r="AI1506" s="232">
        <v>1087</v>
      </c>
      <c r="AJ1506" s="231" t="s">
        <v>239</v>
      </c>
      <c r="AK1506" s="232">
        <v>1102</v>
      </c>
      <c r="AL1506" s="232" t="s">
        <v>239</v>
      </c>
      <c r="AM1506" s="232">
        <v>14492</v>
      </c>
    </row>
    <row r="1507" spans="1:39" ht="15.75" outlineLevel="1">
      <c r="A1507" s="411">
        <v>749</v>
      </c>
      <c r="B1507" s="10">
        <v>129749</v>
      </c>
      <c r="C1507" s="218" t="s">
        <v>1489</v>
      </c>
      <c r="D1507" s="218" t="s">
        <v>1490</v>
      </c>
      <c r="E1507" s="23" t="s">
        <v>44</v>
      </c>
      <c r="F1507" s="17" t="s">
        <v>45</v>
      </c>
      <c r="G1507" s="11" t="s">
        <v>1432</v>
      </c>
      <c r="H1507" s="12">
        <v>12</v>
      </c>
      <c r="I1507" s="11" t="s">
        <v>1433</v>
      </c>
      <c r="J1507" s="375"/>
      <c r="K1507" s="17" t="s">
        <v>233</v>
      </c>
      <c r="L1507" s="17" t="s">
        <v>233</v>
      </c>
      <c r="M1507" s="231">
        <v>30</v>
      </c>
      <c r="N1507" s="231">
        <v>30</v>
      </c>
      <c r="O1507" s="231">
        <v>30</v>
      </c>
      <c r="P1507" s="231" t="s">
        <v>239</v>
      </c>
      <c r="Q1507" s="231">
        <v>30</v>
      </c>
      <c r="R1507" s="231" t="s">
        <v>239</v>
      </c>
      <c r="S1507" s="231">
        <v>30</v>
      </c>
      <c r="T1507" s="231" t="s">
        <v>239</v>
      </c>
      <c r="U1507" s="231">
        <v>30</v>
      </c>
      <c r="V1507" s="230" t="s">
        <v>239</v>
      </c>
      <c r="W1507" s="231">
        <v>30</v>
      </c>
      <c r="X1507" s="231" t="s">
        <v>239</v>
      </c>
      <c r="Y1507" s="231">
        <v>30</v>
      </c>
      <c r="Z1507" s="231" t="s">
        <v>239</v>
      </c>
      <c r="AA1507" s="231">
        <v>30</v>
      </c>
      <c r="AB1507" s="231" t="s">
        <v>239</v>
      </c>
      <c r="AC1507" s="231">
        <v>30</v>
      </c>
      <c r="AD1507" s="231" t="s">
        <v>239</v>
      </c>
      <c r="AE1507" s="231">
        <v>30</v>
      </c>
      <c r="AF1507" s="231" t="s">
        <v>239</v>
      </c>
      <c r="AG1507" s="231">
        <v>30</v>
      </c>
      <c r="AH1507" s="231" t="s">
        <v>239</v>
      </c>
      <c r="AI1507" s="231">
        <v>30</v>
      </c>
      <c r="AJ1507" s="231" t="s">
        <v>239</v>
      </c>
      <c r="AK1507" s="231">
        <v>30</v>
      </c>
      <c r="AL1507" s="232" t="s">
        <v>239</v>
      </c>
      <c r="AM1507" s="232">
        <v>0</v>
      </c>
    </row>
    <row r="1508" spans="1:39" ht="15.75" outlineLevel="1">
      <c r="A1508" s="412"/>
      <c r="B1508" s="10">
        <v>129749</v>
      </c>
      <c r="C1508" s="218" t="s">
        <v>1489</v>
      </c>
      <c r="D1508" s="218" t="s">
        <v>1490</v>
      </c>
      <c r="E1508" s="23" t="s">
        <v>138</v>
      </c>
      <c r="F1508" s="17" t="s">
        <v>45</v>
      </c>
      <c r="G1508" s="11" t="s">
        <v>1432</v>
      </c>
      <c r="H1508" s="12">
        <v>18</v>
      </c>
      <c r="I1508" s="11" t="s">
        <v>1433</v>
      </c>
      <c r="J1508" s="193" t="s">
        <v>1451</v>
      </c>
      <c r="K1508" s="17" t="s">
        <v>233</v>
      </c>
      <c r="L1508" s="17" t="s">
        <v>233</v>
      </c>
      <c r="M1508" s="231">
        <v>0</v>
      </c>
      <c r="N1508" s="232">
        <v>0</v>
      </c>
      <c r="O1508" s="132">
        <v>0</v>
      </c>
      <c r="P1508" s="231" t="s">
        <v>239</v>
      </c>
      <c r="Q1508" s="232">
        <v>0</v>
      </c>
      <c r="R1508" s="231" t="s">
        <v>239</v>
      </c>
      <c r="S1508" s="232">
        <v>0</v>
      </c>
      <c r="T1508" s="231" t="s">
        <v>239</v>
      </c>
      <c r="U1508" s="232">
        <v>0</v>
      </c>
      <c r="V1508" s="231" t="s">
        <v>239</v>
      </c>
      <c r="W1508" s="232">
        <v>0</v>
      </c>
      <c r="X1508" s="231" t="s">
        <v>239</v>
      </c>
      <c r="Y1508" s="232">
        <v>0</v>
      </c>
      <c r="Z1508" s="231" t="s">
        <v>239</v>
      </c>
      <c r="AA1508" s="232">
        <v>0</v>
      </c>
      <c r="AB1508" s="231" t="s">
        <v>239</v>
      </c>
      <c r="AC1508" s="232">
        <v>0</v>
      </c>
      <c r="AD1508" s="231" t="s">
        <v>239</v>
      </c>
      <c r="AE1508" s="232">
        <v>0</v>
      </c>
      <c r="AF1508" s="231" t="s">
        <v>239</v>
      </c>
      <c r="AG1508" s="232">
        <v>0</v>
      </c>
      <c r="AH1508" s="231" t="s">
        <v>239</v>
      </c>
      <c r="AI1508" s="232">
        <v>0</v>
      </c>
      <c r="AJ1508" s="231" t="s">
        <v>239</v>
      </c>
      <c r="AK1508" s="232">
        <v>0</v>
      </c>
      <c r="AL1508" s="232" t="s">
        <v>239</v>
      </c>
      <c r="AM1508" s="232">
        <v>0</v>
      </c>
    </row>
    <row r="1509" spans="1:39" ht="15.75" outlineLevel="1">
      <c r="A1509" s="411">
        <v>750</v>
      </c>
      <c r="B1509" s="10">
        <v>129750</v>
      </c>
      <c r="C1509" s="218" t="s">
        <v>1489</v>
      </c>
      <c r="D1509" s="218" t="s">
        <v>1490</v>
      </c>
      <c r="E1509" s="23" t="s">
        <v>44</v>
      </c>
      <c r="F1509" s="17" t="s">
        <v>45</v>
      </c>
      <c r="G1509" s="11" t="s">
        <v>1432</v>
      </c>
      <c r="H1509" s="12">
        <v>17</v>
      </c>
      <c r="I1509" s="11" t="s">
        <v>1433</v>
      </c>
      <c r="J1509" s="193" t="s">
        <v>208</v>
      </c>
      <c r="K1509" s="17" t="s">
        <v>233</v>
      </c>
      <c r="L1509" s="17" t="s">
        <v>233</v>
      </c>
      <c r="M1509" s="231">
        <v>30</v>
      </c>
      <c r="N1509" s="231">
        <v>30</v>
      </c>
      <c r="O1509" s="231">
        <v>30</v>
      </c>
      <c r="P1509" s="231" t="s">
        <v>239</v>
      </c>
      <c r="Q1509" s="231">
        <v>30</v>
      </c>
      <c r="R1509" s="231" t="s">
        <v>239</v>
      </c>
      <c r="S1509" s="231">
        <v>30</v>
      </c>
      <c r="T1509" s="231" t="s">
        <v>239</v>
      </c>
      <c r="U1509" s="231">
        <v>30</v>
      </c>
      <c r="V1509" s="231" t="s">
        <v>239</v>
      </c>
      <c r="W1509" s="231">
        <v>30</v>
      </c>
      <c r="X1509" s="231" t="s">
        <v>239</v>
      </c>
      <c r="Y1509" s="231">
        <v>30</v>
      </c>
      <c r="Z1509" s="231" t="s">
        <v>239</v>
      </c>
      <c r="AA1509" s="231">
        <v>30</v>
      </c>
      <c r="AB1509" s="231" t="s">
        <v>239</v>
      </c>
      <c r="AC1509" s="231">
        <v>30</v>
      </c>
      <c r="AD1509" s="231" t="s">
        <v>239</v>
      </c>
      <c r="AE1509" s="231">
        <v>30</v>
      </c>
      <c r="AF1509" s="231" t="s">
        <v>239</v>
      </c>
      <c r="AG1509" s="231">
        <v>30</v>
      </c>
      <c r="AH1509" s="231" t="s">
        <v>239</v>
      </c>
      <c r="AI1509" s="231">
        <v>30</v>
      </c>
      <c r="AJ1509" s="231" t="s">
        <v>239</v>
      </c>
      <c r="AK1509" s="231">
        <v>30</v>
      </c>
      <c r="AL1509" s="232" t="s">
        <v>239</v>
      </c>
      <c r="AM1509" s="232">
        <v>0</v>
      </c>
    </row>
    <row r="1510" spans="1:39" ht="15.75" outlineLevel="1">
      <c r="A1510" s="412"/>
      <c r="B1510" s="10">
        <v>129750</v>
      </c>
      <c r="C1510" s="218" t="s">
        <v>1489</v>
      </c>
      <c r="D1510" s="218" t="s">
        <v>1490</v>
      </c>
      <c r="E1510" s="23" t="s">
        <v>44</v>
      </c>
      <c r="F1510" s="17" t="s">
        <v>45</v>
      </c>
      <c r="G1510" s="11" t="s">
        <v>1432</v>
      </c>
      <c r="H1510" s="12">
        <v>25</v>
      </c>
      <c r="I1510" s="11" t="s">
        <v>1433</v>
      </c>
      <c r="J1510" s="193" t="s">
        <v>1452</v>
      </c>
      <c r="K1510" s="17" t="s">
        <v>233</v>
      </c>
      <c r="L1510" s="17" t="s">
        <v>233</v>
      </c>
      <c r="M1510" s="231">
        <v>0</v>
      </c>
      <c r="N1510" s="232">
        <v>0</v>
      </c>
      <c r="O1510" s="132">
        <v>0</v>
      </c>
      <c r="P1510" s="231" t="s">
        <v>239</v>
      </c>
      <c r="Q1510" s="232">
        <v>0</v>
      </c>
      <c r="R1510" s="231" t="s">
        <v>239</v>
      </c>
      <c r="S1510" s="232">
        <v>0</v>
      </c>
      <c r="T1510" s="231" t="s">
        <v>239</v>
      </c>
      <c r="U1510" s="232">
        <v>0</v>
      </c>
      <c r="V1510" s="230" t="s">
        <v>239</v>
      </c>
      <c r="W1510" s="232">
        <v>0</v>
      </c>
      <c r="X1510" s="231" t="s">
        <v>239</v>
      </c>
      <c r="Y1510" s="232">
        <v>0</v>
      </c>
      <c r="Z1510" s="231" t="s">
        <v>239</v>
      </c>
      <c r="AA1510" s="232">
        <v>0</v>
      </c>
      <c r="AB1510" s="231" t="s">
        <v>239</v>
      </c>
      <c r="AC1510" s="232">
        <v>0</v>
      </c>
      <c r="AD1510" s="231" t="s">
        <v>239</v>
      </c>
      <c r="AE1510" s="232">
        <v>0</v>
      </c>
      <c r="AF1510" s="231" t="s">
        <v>239</v>
      </c>
      <c r="AG1510" s="232">
        <v>0</v>
      </c>
      <c r="AH1510" s="231" t="s">
        <v>239</v>
      </c>
      <c r="AI1510" s="232">
        <v>0</v>
      </c>
      <c r="AJ1510" s="231" t="s">
        <v>239</v>
      </c>
      <c r="AK1510" s="232">
        <v>0</v>
      </c>
      <c r="AL1510" s="232" t="s">
        <v>239</v>
      </c>
      <c r="AM1510" s="232">
        <v>0</v>
      </c>
    </row>
    <row r="1511" spans="1:39" ht="15.75" outlineLevel="1">
      <c r="A1511" s="411">
        <v>751</v>
      </c>
      <c r="B1511" s="10">
        <v>129751</v>
      </c>
      <c r="C1511" s="218" t="s">
        <v>1489</v>
      </c>
      <c r="D1511" s="218" t="s">
        <v>1490</v>
      </c>
      <c r="E1511" s="23" t="s">
        <v>138</v>
      </c>
      <c r="F1511" s="17" t="s">
        <v>45</v>
      </c>
      <c r="G1511" s="11" t="s">
        <v>1432</v>
      </c>
      <c r="H1511" s="12">
        <v>13</v>
      </c>
      <c r="I1511" s="11" t="s">
        <v>1433</v>
      </c>
      <c r="J1511" s="193" t="s">
        <v>216</v>
      </c>
      <c r="K1511" s="17" t="s">
        <v>233</v>
      </c>
      <c r="L1511" s="17" t="s">
        <v>233</v>
      </c>
      <c r="M1511" s="231">
        <v>30</v>
      </c>
      <c r="N1511" s="231">
        <v>30</v>
      </c>
      <c r="O1511" s="231">
        <v>30</v>
      </c>
      <c r="P1511" s="231" t="s">
        <v>239</v>
      </c>
      <c r="Q1511" s="231">
        <v>30</v>
      </c>
      <c r="R1511" s="231" t="s">
        <v>239</v>
      </c>
      <c r="S1511" s="231">
        <v>30</v>
      </c>
      <c r="T1511" s="231" t="s">
        <v>239</v>
      </c>
      <c r="U1511" s="231">
        <v>30</v>
      </c>
      <c r="V1511" s="231" t="s">
        <v>239</v>
      </c>
      <c r="W1511" s="231">
        <v>30</v>
      </c>
      <c r="X1511" s="231" t="s">
        <v>239</v>
      </c>
      <c r="Y1511" s="231">
        <v>30</v>
      </c>
      <c r="Z1511" s="231" t="s">
        <v>239</v>
      </c>
      <c r="AA1511" s="231">
        <v>30</v>
      </c>
      <c r="AB1511" s="231" t="s">
        <v>239</v>
      </c>
      <c r="AC1511" s="231">
        <v>30</v>
      </c>
      <c r="AD1511" s="231" t="s">
        <v>239</v>
      </c>
      <c r="AE1511" s="231">
        <v>30</v>
      </c>
      <c r="AF1511" s="231" t="s">
        <v>239</v>
      </c>
      <c r="AG1511" s="231">
        <v>30</v>
      </c>
      <c r="AH1511" s="231" t="s">
        <v>239</v>
      </c>
      <c r="AI1511" s="231">
        <v>30</v>
      </c>
      <c r="AJ1511" s="231" t="s">
        <v>239</v>
      </c>
      <c r="AK1511" s="231">
        <v>30</v>
      </c>
      <c r="AL1511" s="232" t="s">
        <v>239</v>
      </c>
      <c r="AM1511" s="232">
        <v>0</v>
      </c>
    </row>
    <row r="1512" spans="1:39" ht="15.75" outlineLevel="1">
      <c r="A1512" s="412"/>
      <c r="B1512" s="10">
        <v>129751</v>
      </c>
      <c r="C1512" s="218" t="s">
        <v>1489</v>
      </c>
      <c r="D1512" s="218" t="s">
        <v>1490</v>
      </c>
      <c r="E1512" s="23" t="s">
        <v>44</v>
      </c>
      <c r="F1512" s="17" t="s">
        <v>45</v>
      </c>
      <c r="G1512" s="11" t="s">
        <v>1432</v>
      </c>
      <c r="H1512" s="12">
        <v>5</v>
      </c>
      <c r="I1512" s="11" t="s">
        <v>1433</v>
      </c>
      <c r="J1512" s="193" t="s">
        <v>1453</v>
      </c>
      <c r="K1512" s="17" t="s">
        <v>233</v>
      </c>
      <c r="L1512" s="17" t="s">
        <v>233</v>
      </c>
      <c r="M1512" s="231">
        <v>0</v>
      </c>
      <c r="N1512" s="232">
        <v>0</v>
      </c>
      <c r="O1512" s="132">
        <v>0</v>
      </c>
      <c r="P1512" s="231" t="s">
        <v>239</v>
      </c>
      <c r="Q1512" s="232">
        <v>0</v>
      </c>
      <c r="R1512" s="231" t="s">
        <v>239</v>
      </c>
      <c r="S1512" s="232">
        <v>0</v>
      </c>
      <c r="T1512" s="231" t="s">
        <v>239</v>
      </c>
      <c r="U1512" s="232">
        <v>0</v>
      </c>
      <c r="V1512" s="231" t="s">
        <v>239</v>
      </c>
      <c r="W1512" s="232">
        <v>0</v>
      </c>
      <c r="X1512" s="231" t="s">
        <v>239</v>
      </c>
      <c r="Y1512" s="232">
        <v>0</v>
      </c>
      <c r="Z1512" s="231" t="s">
        <v>239</v>
      </c>
      <c r="AA1512" s="232">
        <v>0</v>
      </c>
      <c r="AB1512" s="231" t="s">
        <v>239</v>
      </c>
      <c r="AC1512" s="232">
        <v>0</v>
      </c>
      <c r="AD1512" s="231" t="s">
        <v>239</v>
      </c>
      <c r="AE1512" s="232">
        <v>0</v>
      </c>
      <c r="AF1512" s="231" t="s">
        <v>239</v>
      </c>
      <c r="AG1512" s="232">
        <v>0</v>
      </c>
      <c r="AH1512" s="231" t="s">
        <v>239</v>
      </c>
      <c r="AI1512" s="232">
        <v>0</v>
      </c>
      <c r="AJ1512" s="231" t="s">
        <v>239</v>
      </c>
      <c r="AK1512" s="232">
        <v>0</v>
      </c>
      <c r="AL1512" s="232" t="s">
        <v>239</v>
      </c>
      <c r="AM1512" s="232">
        <v>0</v>
      </c>
    </row>
    <row r="1513" spans="1:39" ht="15.75" outlineLevel="1">
      <c r="A1513" s="411">
        <v>752</v>
      </c>
      <c r="B1513" s="10">
        <v>129752</v>
      </c>
      <c r="C1513" s="218" t="s">
        <v>1489</v>
      </c>
      <c r="D1513" s="218" t="s">
        <v>1490</v>
      </c>
      <c r="E1513" s="23" t="s">
        <v>138</v>
      </c>
      <c r="F1513" s="17" t="s">
        <v>45</v>
      </c>
      <c r="G1513" s="11" t="s">
        <v>1432</v>
      </c>
      <c r="H1513" s="12">
        <v>4</v>
      </c>
      <c r="I1513" s="11" t="s">
        <v>1433</v>
      </c>
      <c r="J1513" s="193" t="s">
        <v>1454</v>
      </c>
      <c r="K1513" s="17" t="s">
        <v>233</v>
      </c>
      <c r="L1513" s="17" t="s">
        <v>233</v>
      </c>
      <c r="M1513" s="231">
        <v>5.5</v>
      </c>
      <c r="N1513" s="231">
        <v>5.5</v>
      </c>
      <c r="O1513" s="231">
        <v>5.5</v>
      </c>
      <c r="P1513" s="231" t="s">
        <v>239</v>
      </c>
      <c r="Q1513" s="231">
        <v>5.5</v>
      </c>
      <c r="R1513" s="231" t="s">
        <v>239</v>
      </c>
      <c r="S1513" s="231">
        <v>5.5</v>
      </c>
      <c r="T1513" s="231" t="s">
        <v>239</v>
      </c>
      <c r="U1513" s="231">
        <v>5.5</v>
      </c>
      <c r="V1513" s="230" t="s">
        <v>239</v>
      </c>
      <c r="W1513" s="231">
        <v>5.5</v>
      </c>
      <c r="X1513" s="231" t="s">
        <v>239</v>
      </c>
      <c r="Y1513" s="231">
        <v>5.5</v>
      </c>
      <c r="Z1513" s="231" t="s">
        <v>239</v>
      </c>
      <c r="AA1513" s="231">
        <v>5.5</v>
      </c>
      <c r="AB1513" s="231" t="s">
        <v>239</v>
      </c>
      <c r="AC1513" s="231">
        <v>5.5</v>
      </c>
      <c r="AD1513" s="231" t="s">
        <v>239</v>
      </c>
      <c r="AE1513" s="231">
        <v>5.5</v>
      </c>
      <c r="AF1513" s="231" t="s">
        <v>239</v>
      </c>
      <c r="AG1513" s="231">
        <v>5.5</v>
      </c>
      <c r="AH1513" s="231" t="s">
        <v>239</v>
      </c>
      <c r="AI1513" s="231">
        <v>5.5</v>
      </c>
      <c r="AJ1513" s="231" t="s">
        <v>239</v>
      </c>
      <c r="AK1513" s="231">
        <v>5.5</v>
      </c>
      <c r="AL1513" s="232" t="s">
        <v>239</v>
      </c>
      <c r="AM1513" s="232">
        <v>0</v>
      </c>
    </row>
    <row r="1514" spans="1:39" ht="15.75" outlineLevel="1">
      <c r="A1514" s="412"/>
      <c r="B1514" s="10">
        <v>129752</v>
      </c>
      <c r="C1514" s="218" t="s">
        <v>1489</v>
      </c>
      <c r="D1514" s="218" t="s">
        <v>1490</v>
      </c>
      <c r="E1514" s="23" t="s">
        <v>44</v>
      </c>
      <c r="F1514" s="17" t="s">
        <v>45</v>
      </c>
      <c r="G1514" s="11" t="s">
        <v>1432</v>
      </c>
      <c r="H1514" s="12">
        <v>18</v>
      </c>
      <c r="I1514" s="11" t="s">
        <v>1433</v>
      </c>
      <c r="J1514" s="191" t="s">
        <v>216</v>
      </c>
      <c r="K1514" s="17" t="s">
        <v>233</v>
      </c>
      <c r="L1514" s="17" t="s">
        <v>233</v>
      </c>
      <c r="M1514" s="231">
        <v>685</v>
      </c>
      <c r="N1514" s="232">
        <v>676.68409999999994</v>
      </c>
      <c r="O1514" s="132">
        <v>200</v>
      </c>
      <c r="P1514" s="231" t="s">
        <v>239</v>
      </c>
      <c r="Q1514" s="232">
        <v>200</v>
      </c>
      <c r="R1514" s="231" t="s">
        <v>239</v>
      </c>
      <c r="S1514" s="232">
        <v>230</v>
      </c>
      <c r="T1514" s="231" t="s">
        <v>239</v>
      </c>
      <c r="U1514" s="232">
        <v>176</v>
      </c>
      <c r="V1514" s="231" t="s">
        <v>239</v>
      </c>
      <c r="W1514" s="232">
        <v>188</v>
      </c>
      <c r="X1514" s="231" t="s">
        <v>239</v>
      </c>
      <c r="Y1514" s="232">
        <v>255</v>
      </c>
      <c r="Z1514" s="231" t="s">
        <v>239</v>
      </c>
      <c r="AA1514" s="232">
        <v>248</v>
      </c>
      <c r="AB1514" s="231" t="s">
        <v>239</v>
      </c>
      <c r="AC1514" s="232">
        <v>243</v>
      </c>
      <c r="AD1514" s="231" t="s">
        <v>239</v>
      </c>
      <c r="AE1514" s="232">
        <v>266</v>
      </c>
      <c r="AF1514" s="231" t="s">
        <v>239</v>
      </c>
      <c r="AG1514" s="232">
        <v>209</v>
      </c>
      <c r="AH1514" s="231" t="s">
        <v>239</v>
      </c>
      <c r="AI1514" s="232">
        <v>300</v>
      </c>
      <c r="AJ1514" s="231" t="s">
        <v>239</v>
      </c>
      <c r="AK1514" s="232">
        <v>298</v>
      </c>
      <c r="AL1514" s="232" t="s">
        <v>239</v>
      </c>
      <c r="AM1514" s="232">
        <v>2813</v>
      </c>
    </row>
    <row r="1515" spans="1:39" ht="15.75" outlineLevel="1">
      <c r="A1515" s="411">
        <v>753</v>
      </c>
      <c r="B1515" s="10">
        <v>129753</v>
      </c>
      <c r="C1515" s="218" t="s">
        <v>1489</v>
      </c>
      <c r="D1515" s="218" t="s">
        <v>1490</v>
      </c>
      <c r="E1515" s="23" t="s">
        <v>44</v>
      </c>
      <c r="F1515" s="17" t="s">
        <v>45</v>
      </c>
      <c r="G1515" s="11" t="s">
        <v>1432</v>
      </c>
      <c r="H1515" s="12">
        <v>17</v>
      </c>
      <c r="I1515" s="11" t="s">
        <v>1433</v>
      </c>
      <c r="J1515" s="192" t="s">
        <v>1434</v>
      </c>
      <c r="K1515" s="17" t="s">
        <v>233</v>
      </c>
      <c r="L1515" s="17" t="s">
        <v>233</v>
      </c>
      <c r="M1515" s="231">
        <v>17</v>
      </c>
      <c r="N1515" s="231">
        <v>17</v>
      </c>
      <c r="O1515" s="231">
        <v>17</v>
      </c>
      <c r="P1515" s="231" t="s">
        <v>239</v>
      </c>
      <c r="Q1515" s="231">
        <v>17</v>
      </c>
      <c r="R1515" s="231" t="s">
        <v>239</v>
      </c>
      <c r="S1515" s="231">
        <v>17</v>
      </c>
      <c r="T1515" s="231" t="s">
        <v>239</v>
      </c>
      <c r="U1515" s="231">
        <v>17</v>
      </c>
      <c r="V1515" s="231" t="s">
        <v>239</v>
      </c>
      <c r="W1515" s="231">
        <v>17</v>
      </c>
      <c r="X1515" s="231" t="s">
        <v>239</v>
      </c>
      <c r="Y1515" s="231">
        <v>17</v>
      </c>
      <c r="Z1515" s="231" t="s">
        <v>239</v>
      </c>
      <c r="AA1515" s="231">
        <v>17</v>
      </c>
      <c r="AB1515" s="231" t="s">
        <v>239</v>
      </c>
      <c r="AC1515" s="231">
        <v>17</v>
      </c>
      <c r="AD1515" s="231" t="s">
        <v>239</v>
      </c>
      <c r="AE1515" s="231">
        <v>17</v>
      </c>
      <c r="AF1515" s="231" t="s">
        <v>239</v>
      </c>
      <c r="AG1515" s="231">
        <v>17</v>
      </c>
      <c r="AH1515" s="231" t="s">
        <v>239</v>
      </c>
      <c r="AI1515" s="231">
        <v>17</v>
      </c>
      <c r="AJ1515" s="231" t="s">
        <v>239</v>
      </c>
      <c r="AK1515" s="231">
        <v>17</v>
      </c>
      <c r="AL1515" s="232" t="s">
        <v>239</v>
      </c>
      <c r="AM1515" s="232">
        <v>0</v>
      </c>
    </row>
    <row r="1516" spans="1:39" ht="15.75" outlineLevel="1">
      <c r="A1516" s="412"/>
      <c r="B1516" s="10">
        <v>129753</v>
      </c>
      <c r="C1516" s="218" t="s">
        <v>1489</v>
      </c>
      <c r="D1516" s="218" t="s">
        <v>1490</v>
      </c>
      <c r="E1516" s="23" t="s">
        <v>138</v>
      </c>
      <c r="F1516" s="17" t="s">
        <v>45</v>
      </c>
      <c r="G1516" s="11" t="s">
        <v>1432</v>
      </c>
      <c r="H1516" s="12">
        <v>28</v>
      </c>
      <c r="I1516" s="11" t="s">
        <v>1433</v>
      </c>
      <c r="J1516" s="192" t="s">
        <v>1480</v>
      </c>
      <c r="K1516" s="17" t="s">
        <v>233</v>
      </c>
      <c r="L1516" s="17" t="s">
        <v>233</v>
      </c>
      <c r="M1516" s="231">
        <v>8160</v>
      </c>
      <c r="N1516" s="232">
        <v>8060.9375999999993</v>
      </c>
      <c r="O1516" s="132">
        <v>632</v>
      </c>
      <c r="P1516" s="231" t="s">
        <v>239</v>
      </c>
      <c r="Q1516" s="232">
        <v>632</v>
      </c>
      <c r="R1516" s="231" t="s">
        <v>239</v>
      </c>
      <c r="S1516" s="232">
        <v>632</v>
      </c>
      <c r="T1516" s="231" t="s">
        <v>239</v>
      </c>
      <c r="U1516" s="232">
        <v>632</v>
      </c>
      <c r="V1516" s="230" t="s">
        <v>239</v>
      </c>
      <c r="W1516" s="232">
        <v>632</v>
      </c>
      <c r="X1516" s="231" t="s">
        <v>239</v>
      </c>
      <c r="Y1516" s="232">
        <v>632</v>
      </c>
      <c r="Z1516" s="231" t="s">
        <v>239</v>
      </c>
      <c r="AA1516" s="232">
        <v>702</v>
      </c>
      <c r="AB1516" s="231" t="s">
        <v>239</v>
      </c>
      <c r="AC1516" s="232">
        <v>702</v>
      </c>
      <c r="AD1516" s="231" t="s">
        <v>239</v>
      </c>
      <c r="AE1516" s="232">
        <v>702</v>
      </c>
      <c r="AF1516" s="231" t="s">
        <v>239</v>
      </c>
      <c r="AG1516" s="232">
        <v>702</v>
      </c>
      <c r="AH1516" s="231" t="s">
        <v>239</v>
      </c>
      <c r="AI1516" s="232">
        <v>702</v>
      </c>
      <c r="AJ1516" s="231" t="s">
        <v>239</v>
      </c>
      <c r="AK1516" s="232">
        <v>702</v>
      </c>
      <c r="AL1516" s="232" t="s">
        <v>239</v>
      </c>
      <c r="AM1516" s="232">
        <v>8004</v>
      </c>
    </row>
    <row r="1517" spans="1:39" ht="15.75" outlineLevel="1">
      <c r="A1517" s="411">
        <v>754</v>
      </c>
      <c r="B1517" s="10">
        <v>129754</v>
      </c>
      <c r="C1517" s="218" t="s">
        <v>1489</v>
      </c>
      <c r="D1517" s="218" t="s">
        <v>1490</v>
      </c>
      <c r="E1517" s="23" t="s">
        <v>44</v>
      </c>
      <c r="F1517" s="17" t="s">
        <v>45</v>
      </c>
      <c r="G1517" s="11" t="s">
        <v>1432</v>
      </c>
      <c r="H1517" s="12">
        <v>33</v>
      </c>
      <c r="I1517" s="11" t="s">
        <v>1433</v>
      </c>
      <c r="J1517" s="192" t="s">
        <v>1452</v>
      </c>
      <c r="K1517" s="17" t="s">
        <v>233</v>
      </c>
      <c r="L1517" s="17" t="s">
        <v>233</v>
      </c>
      <c r="M1517" s="231">
        <v>22</v>
      </c>
      <c r="N1517" s="231">
        <v>22</v>
      </c>
      <c r="O1517" s="231">
        <v>22</v>
      </c>
      <c r="P1517" s="231" t="s">
        <v>239</v>
      </c>
      <c r="Q1517" s="231">
        <v>22</v>
      </c>
      <c r="R1517" s="231" t="s">
        <v>239</v>
      </c>
      <c r="S1517" s="231">
        <v>22</v>
      </c>
      <c r="T1517" s="231" t="s">
        <v>239</v>
      </c>
      <c r="U1517" s="231">
        <v>22</v>
      </c>
      <c r="V1517" s="231" t="s">
        <v>239</v>
      </c>
      <c r="W1517" s="231">
        <v>22</v>
      </c>
      <c r="X1517" s="231" t="s">
        <v>239</v>
      </c>
      <c r="Y1517" s="231">
        <v>22</v>
      </c>
      <c r="Z1517" s="231" t="s">
        <v>239</v>
      </c>
      <c r="AA1517" s="231">
        <v>22</v>
      </c>
      <c r="AB1517" s="231" t="s">
        <v>239</v>
      </c>
      <c r="AC1517" s="231">
        <v>22</v>
      </c>
      <c r="AD1517" s="231" t="s">
        <v>239</v>
      </c>
      <c r="AE1517" s="231">
        <v>22</v>
      </c>
      <c r="AF1517" s="231" t="s">
        <v>239</v>
      </c>
      <c r="AG1517" s="231">
        <v>22</v>
      </c>
      <c r="AH1517" s="231" t="s">
        <v>239</v>
      </c>
      <c r="AI1517" s="231">
        <v>22</v>
      </c>
      <c r="AJ1517" s="231" t="s">
        <v>239</v>
      </c>
      <c r="AK1517" s="231">
        <v>22</v>
      </c>
      <c r="AL1517" s="232" t="s">
        <v>239</v>
      </c>
      <c r="AM1517" s="232">
        <v>0</v>
      </c>
    </row>
    <row r="1518" spans="1:39" ht="15.75" outlineLevel="1">
      <c r="A1518" s="412"/>
      <c r="B1518" s="10">
        <v>129754</v>
      </c>
      <c r="C1518" s="218" t="s">
        <v>1489</v>
      </c>
      <c r="D1518" s="218" t="s">
        <v>1490</v>
      </c>
      <c r="E1518" s="23" t="s">
        <v>138</v>
      </c>
      <c r="F1518" s="17" t="s">
        <v>45</v>
      </c>
      <c r="G1518" s="11" t="s">
        <v>1432</v>
      </c>
      <c r="H1518" s="12">
        <v>25</v>
      </c>
      <c r="I1518" s="11" t="s">
        <v>1433</v>
      </c>
      <c r="J1518" s="374" t="s">
        <v>207</v>
      </c>
      <c r="K1518" s="17" t="s">
        <v>233</v>
      </c>
      <c r="L1518" s="17" t="s">
        <v>233</v>
      </c>
      <c r="M1518" s="231">
        <v>2556</v>
      </c>
      <c r="N1518" s="232">
        <v>2524.9701599999999</v>
      </c>
      <c r="O1518" s="132">
        <v>351</v>
      </c>
      <c r="P1518" s="231" t="s">
        <v>239</v>
      </c>
      <c r="Q1518" s="232">
        <v>351</v>
      </c>
      <c r="R1518" s="231" t="s">
        <v>239</v>
      </c>
      <c r="S1518" s="232">
        <v>714</v>
      </c>
      <c r="T1518" s="231" t="s">
        <v>239</v>
      </c>
      <c r="U1518" s="232">
        <v>806</v>
      </c>
      <c r="V1518" s="231" t="s">
        <v>239</v>
      </c>
      <c r="W1518" s="232">
        <v>735</v>
      </c>
      <c r="X1518" s="231" t="s">
        <v>239</v>
      </c>
      <c r="Y1518" s="232">
        <v>695</v>
      </c>
      <c r="Z1518" s="231" t="s">
        <v>239</v>
      </c>
      <c r="AA1518" s="232">
        <v>687</v>
      </c>
      <c r="AB1518" s="231" t="s">
        <v>239</v>
      </c>
      <c r="AC1518" s="232">
        <v>639</v>
      </c>
      <c r="AD1518" s="231" t="s">
        <v>239</v>
      </c>
      <c r="AE1518" s="232">
        <v>591</v>
      </c>
      <c r="AF1518" s="231" t="s">
        <v>239</v>
      </c>
      <c r="AG1518" s="232">
        <v>554</v>
      </c>
      <c r="AH1518" s="231" t="s">
        <v>239</v>
      </c>
      <c r="AI1518" s="232">
        <v>571</v>
      </c>
      <c r="AJ1518" s="231" t="s">
        <v>239</v>
      </c>
      <c r="AK1518" s="232">
        <v>511</v>
      </c>
      <c r="AL1518" s="232" t="s">
        <v>239</v>
      </c>
      <c r="AM1518" s="232">
        <v>7205</v>
      </c>
    </row>
    <row r="1519" spans="1:39" ht="15.75" outlineLevel="1">
      <c r="A1519" s="411">
        <v>755</v>
      </c>
      <c r="B1519" s="10">
        <v>129755</v>
      </c>
      <c r="C1519" s="218" t="s">
        <v>1489</v>
      </c>
      <c r="D1519" s="218" t="s">
        <v>1490</v>
      </c>
      <c r="E1519" s="23" t="s">
        <v>44</v>
      </c>
      <c r="F1519" s="17" t="s">
        <v>45</v>
      </c>
      <c r="G1519" s="11" t="s">
        <v>1432</v>
      </c>
      <c r="H1519" s="12">
        <v>9</v>
      </c>
      <c r="I1519" s="11" t="s">
        <v>1433</v>
      </c>
      <c r="J1519" s="375"/>
      <c r="K1519" s="17" t="s">
        <v>233</v>
      </c>
      <c r="L1519" s="17" t="s">
        <v>233</v>
      </c>
      <c r="M1519" s="231">
        <v>3</v>
      </c>
      <c r="N1519" s="231">
        <v>3</v>
      </c>
      <c r="O1519" s="231">
        <v>3</v>
      </c>
      <c r="P1519" s="231" t="s">
        <v>239</v>
      </c>
      <c r="Q1519" s="231">
        <v>3</v>
      </c>
      <c r="R1519" s="231" t="s">
        <v>239</v>
      </c>
      <c r="S1519" s="231">
        <v>3</v>
      </c>
      <c r="T1519" s="231" t="s">
        <v>239</v>
      </c>
      <c r="U1519" s="231">
        <v>3</v>
      </c>
      <c r="V1519" s="230" t="s">
        <v>239</v>
      </c>
      <c r="W1519" s="231">
        <v>3</v>
      </c>
      <c r="X1519" s="231" t="s">
        <v>239</v>
      </c>
      <c r="Y1519" s="231">
        <v>3</v>
      </c>
      <c r="Z1519" s="231" t="s">
        <v>239</v>
      </c>
      <c r="AA1519" s="231">
        <v>3</v>
      </c>
      <c r="AB1519" s="231" t="s">
        <v>239</v>
      </c>
      <c r="AC1519" s="231">
        <v>3</v>
      </c>
      <c r="AD1519" s="231" t="s">
        <v>239</v>
      </c>
      <c r="AE1519" s="231">
        <v>3</v>
      </c>
      <c r="AF1519" s="231" t="s">
        <v>239</v>
      </c>
      <c r="AG1519" s="231">
        <v>3</v>
      </c>
      <c r="AH1519" s="231" t="s">
        <v>239</v>
      </c>
      <c r="AI1519" s="231">
        <v>3</v>
      </c>
      <c r="AJ1519" s="231" t="s">
        <v>239</v>
      </c>
      <c r="AK1519" s="231">
        <v>3</v>
      </c>
      <c r="AL1519" s="232" t="s">
        <v>239</v>
      </c>
      <c r="AM1519" s="232">
        <v>0</v>
      </c>
    </row>
    <row r="1520" spans="1:39" ht="15.75" outlineLevel="1">
      <c r="A1520" s="412"/>
      <c r="B1520" s="10">
        <v>129755</v>
      </c>
      <c r="C1520" s="218" t="s">
        <v>1489</v>
      </c>
      <c r="D1520" s="218" t="s">
        <v>1490</v>
      </c>
      <c r="E1520" s="23" t="s">
        <v>44</v>
      </c>
      <c r="F1520" s="17" t="s">
        <v>45</v>
      </c>
      <c r="G1520" s="11" t="s">
        <v>1432</v>
      </c>
      <c r="H1520" s="12">
        <v>18</v>
      </c>
      <c r="I1520" s="11" t="s">
        <v>1433</v>
      </c>
      <c r="J1520" s="193" t="s">
        <v>1460</v>
      </c>
      <c r="K1520" s="17" t="s">
        <v>233</v>
      </c>
      <c r="L1520" s="17" t="s">
        <v>233</v>
      </c>
      <c r="M1520" s="231">
        <v>22248</v>
      </c>
      <c r="N1520" s="232">
        <v>21977.90928</v>
      </c>
      <c r="O1520" s="132">
        <v>1620</v>
      </c>
      <c r="P1520" s="231" t="s">
        <v>239</v>
      </c>
      <c r="Q1520" s="232">
        <v>1620</v>
      </c>
      <c r="R1520" s="231" t="s">
        <v>239</v>
      </c>
      <c r="S1520" s="232">
        <v>1463</v>
      </c>
      <c r="T1520" s="231" t="s">
        <v>239</v>
      </c>
      <c r="U1520" s="232">
        <v>1615</v>
      </c>
      <c r="V1520" s="231" t="s">
        <v>239</v>
      </c>
      <c r="W1520" s="232">
        <v>1657</v>
      </c>
      <c r="X1520" s="231" t="s">
        <v>239</v>
      </c>
      <c r="Y1520" s="232">
        <v>1506</v>
      </c>
      <c r="Z1520" s="231" t="s">
        <v>239</v>
      </c>
      <c r="AA1520" s="232">
        <v>1547</v>
      </c>
      <c r="AB1520" s="231" t="s">
        <v>239</v>
      </c>
      <c r="AC1520" s="232">
        <v>1528</v>
      </c>
      <c r="AD1520" s="231" t="s">
        <v>239</v>
      </c>
      <c r="AE1520" s="232">
        <v>1629</v>
      </c>
      <c r="AF1520" s="231" t="s">
        <v>239</v>
      </c>
      <c r="AG1520" s="232">
        <v>1762</v>
      </c>
      <c r="AH1520" s="231" t="s">
        <v>239</v>
      </c>
      <c r="AI1520" s="232">
        <v>1805</v>
      </c>
      <c r="AJ1520" s="231" t="s">
        <v>239</v>
      </c>
      <c r="AK1520" s="232">
        <v>1524</v>
      </c>
      <c r="AL1520" s="232" t="s">
        <v>239</v>
      </c>
      <c r="AM1520" s="232">
        <v>19276</v>
      </c>
    </row>
    <row r="1521" spans="1:39" ht="15.75" outlineLevel="1">
      <c r="A1521" s="411">
        <v>756</v>
      </c>
      <c r="B1521" s="10">
        <v>129756</v>
      </c>
      <c r="C1521" s="218" t="s">
        <v>1489</v>
      </c>
      <c r="D1521" s="218" t="s">
        <v>1490</v>
      </c>
      <c r="E1521" s="23" t="s">
        <v>138</v>
      </c>
      <c r="F1521" s="17" t="s">
        <v>45</v>
      </c>
      <c r="G1521" s="11" t="s">
        <v>1432</v>
      </c>
      <c r="H1521" s="12">
        <v>17</v>
      </c>
      <c r="I1521" s="11" t="s">
        <v>1433</v>
      </c>
      <c r="J1521" s="193" t="s">
        <v>1451</v>
      </c>
      <c r="K1521" s="17" t="s">
        <v>233</v>
      </c>
      <c r="L1521" s="17" t="s">
        <v>233</v>
      </c>
      <c r="M1521" s="231">
        <v>32</v>
      </c>
      <c r="N1521" s="231">
        <v>32</v>
      </c>
      <c r="O1521" s="231">
        <v>32</v>
      </c>
      <c r="P1521" s="231" t="s">
        <v>239</v>
      </c>
      <c r="Q1521" s="231">
        <v>32</v>
      </c>
      <c r="R1521" s="231" t="s">
        <v>239</v>
      </c>
      <c r="S1521" s="231">
        <v>32</v>
      </c>
      <c r="T1521" s="231" t="s">
        <v>239</v>
      </c>
      <c r="U1521" s="231">
        <v>32</v>
      </c>
      <c r="V1521" s="231" t="s">
        <v>239</v>
      </c>
      <c r="W1521" s="231">
        <v>32</v>
      </c>
      <c r="X1521" s="231" t="s">
        <v>239</v>
      </c>
      <c r="Y1521" s="231">
        <v>32</v>
      </c>
      <c r="Z1521" s="231" t="s">
        <v>239</v>
      </c>
      <c r="AA1521" s="231">
        <v>32</v>
      </c>
      <c r="AB1521" s="231" t="s">
        <v>239</v>
      </c>
      <c r="AC1521" s="231">
        <v>32</v>
      </c>
      <c r="AD1521" s="231" t="s">
        <v>239</v>
      </c>
      <c r="AE1521" s="231">
        <v>32</v>
      </c>
      <c r="AF1521" s="231" t="s">
        <v>239</v>
      </c>
      <c r="AG1521" s="231">
        <v>32</v>
      </c>
      <c r="AH1521" s="231" t="s">
        <v>239</v>
      </c>
      <c r="AI1521" s="231">
        <v>32</v>
      </c>
      <c r="AJ1521" s="231" t="s">
        <v>239</v>
      </c>
      <c r="AK1521" s="231">
        <v>32</v>
      </c>
      <c r="AL1521" s="232" t="s">
        <v>239</v>
      </c>
      <c r="AM1521" s="232">
        <v>0</v>
      </c>
    </row>
    <row r="1522" spans="1:39" ht="15.75" outlineLevel="1">
      <c r="A1522" s="412"/>
      <c r="B1522" s="10">
        <v>129756</v>
      </c>
      <c r="C1522" s="218" t="s">
        <v>1489</v>
      </c>
      <c r="D1522" s="218" t="s">
        <v>1490</v>
      </c>
      <c r="E1522" s="23" t="s">
        <v>44</v>
      </c>
      <c r="F1522" s="17" t="s">
        <v>45</v>
      </c>
      <c r="G1522" s="11" t="s">
        <v>1432</v>
      </c>
      <c r="H1522" s="12">
        <v>25</v>
      </c>
      <c r="I1522" s="11" t="s">
        <v>1433</v>
      </c>
      <c r="J1522" s="193" t="s">
        <v>208</v>
      </c>
      <c r="K1522" s="17" t="s">
        <v>233</v>
      </c>
      <c r="L1522" s="17" t="s">
        <v>233</v>
      </c>
      <c r="M1522" s="231">
        <v>15819</v>
      </c>
      <c r="N1522" s="232">
        <v>15626.957339999999</v>
      </c>
      <c r="O1522" s="132">
        <v>1565</v>
      </c>
      <c r="P1522" s="231" t="s">
        <v>239</v>
      </c>
      <c r="Q1522" s="232">
        <v>1565</v>
      </c>
      <c r="R1522" s="231" t="s">
        <v>239</v>
      </c>
      <c r="S1522" s="232">
        <v>1385</v>
      </c>
      <c r="T1522" s="231" t="s">
        <v>239</v>
      </c>
      <c r="U1522" s="232">
        <v>1576</v>
      </c>
      <c r="V1522" s="230" t="s">
        <v>239</v>
      </c>
      <c r="W1522" s="232">
        <v>1449</v>
      </c>
      <c r="X1522" s="231" t="s">
        <v>239</v>
      </c>
      <c r="Y1522" s="232">
        <v>1430</v>
      </c>
      <c r="Z1522" s="231" t="s">
        <v>239</v>
      </c>
      <c r="AA1522" s="232">
        <v>1370</v>
      </c>
      <c r="AB1522" s="231" t="s">
        <v>239</v>
      </c>
      <c r="AC1522" s="232">
        <v>1072</v>
      </c>
      <c r="AD1522" s="231" t="s">
        <v>239</v>
      </c>
      <c r="AE1522" s="232">
        <v>1226</v>
      </c>
      <c r="AF1522" s="231" t="s">
        <v>239</v>
      </c>
      <c r="AG1522" s="232">
        <v>1363</v>
      </c>
      <c r="AH1522" s="231" t="s">
        <v>239</v>
      </c>
      <c r="AI1522" s="232">
        <v>1330</v>
      </c>
      <c r="AJ1522" s="231" t="s">
        <v>239</v>
      </c>
      <c r="AK1522" s="232">
        <v>1299</v>
      </c>
      <c r="AL1522" s="232" t="s">
        <v>239</v>
      </c>
      <c r="AM1522" s="232">
        <v>16630</v>
      </c>
    </row>
    <row r="1523" spans="1:39" ht="15.75" outlineLevel="1">
      <c r="A1523" s="411">
        <v>757</v>
      </c>
      <c r="B1523" s="10">
        <v>129757</v>
      </c>
      <c r="C1523" s="218" t="s">
        <v>1489</v>
      </c>
      <c r="D1523" s="218" t="s">
        <v>1490</v>
      </c>
      <c r="E1523" s="23" t="s">
        <v>138</v>
      </c>
      <c r="F1523" s="17" t="s">
        <v>45</v>
      </c>
      <c r="G1523" s="11" t="s">
        <v>1432</v>
      </c>
      <c r="H1523" s="12">
        <v>13</v>
      </c>
      <c r="I1523" s="11" t="s">
        <v>1433</v>
      </c>
      <c r="J1523" s="193" t="s">
        <v>1452</v>
      </c>
      <c r="K1523" s="17" t="s">
        <v>233</v>
      </c>
      <c r="L1523" s="17" t="s">
        <v>233</v>
      </c>
      <c r="M1523" s="231">
        <v>25</v>
      </c>
      <c r="N1523" s="231">
        <v>25</v>
      </c>
      <c r="O1523" s="231">
        <v>25</v>
      </c>
      <c r="P1523" s="231" t="s">
        <v>239</v>
      </c>
      <c r="Q1523" s="231">
        <v>25</v>
      </c>
      <c r="R1523" s="231" t="s">
        <v>239</v>
      </c>
      <c r="S1523" s="231">
        <v>25</v>
      </c>
      <c r="T1523" s="231" t="s">
        <v>239</v>
      </c>
      <c r="U1523" s="231">
        <v>25</v>
      </c>
      <c r="V1523" s="231" t="s">
        <v>239</v>
      </c>
      <c r="W1523" s="231">
        <v>25</v>
      </c>
      <c r="X1523" s="231" t="s">
        <v>239</v>
      </c>
      <c r="Y1523" s="231">
        <v>25</v>
      </c>
      <c r="Z1523" s="231" t="s">
        <v>239</v>
      </c>
      <c r="AA1523" s="231">
        <v>25</v>
      </c>
      <c r="AB1523" s="231" t="s">
        <v>239</v>
      </c>
      <c r="AC1523" s="231">
        <v>25</v>
      </c>
      <c r="AD1523" s="231" t="s">
        <v>239</v>
      </c>
      <c r="AE1523" s="231">
        <v>25</v>
      </c>
      <c r="AF1523" s="231" t="s">
        <v>239</v>
      </c>
      <c r="AG1523" s="231">
        <v>25</v>
      </c>
      <c r="AH1523" s="231" t="s">
        <v>239</v>
      </c>
      <c r="AI1523" s="231">
        <v>25</v>
      </c>
      <c r="AJ1523" s="231" t="s">
        <v>239</v>
      </c>
      <c r="AK1523" s="231">
        <v>25</v>
      </c>
      <c r="AL1523" s="232" t="s">
        <v>239</v>
      </c>
      <c r="AM1523" s="232">
        <v>0</v>
      </c>
    </row>
    <row r="1524" spans="1:39" ht="15.75" outlineLevel="1">
      <c r="A1524" s="412"/>
      <c r="B1524" s="10">
        <v>129757</v>
      </c>
      <c r="C1524" s="218" t="s">
        <v>1489</v>
      </c>
      <c r="D1524" s="218" t="s">
        <v>1490</v>
      </c>
      <c r="E1524" s="23" t="s">
        <v>44</v>
      </c>
      <c r="F1524" s="17" t="s">
        <v>45</v>
      </c>
      <c r="G1524" s="11" t="s">
        <v>1432</v>
      </c>
      <c r="H1524" s="12">
        <v>5</v>
      </c>
      <c r="I1524" s="11" t="s">
        <v>1433</v>
      </c>
      <c r="J1524" s="193" t="s">
        <v>216</v>
      </c>
      <c r="K1524" s="17" t="s">
        <v>233</v>
      </c>
      <c r="L1524" s="17" t="s">
        <v>233</v>
      </c>
      <c r="M1524" s="231">
        <v>22537</v>
      </c>
      <c r="N1524" s="232">
        <v>22263.400819999999</v>
      </c>
      <c r="O1524" s="132">
        <v>1890</v>
      </c>
      <c r="P1524" s="231" t="s">
        <v>239</v>
      </c>
      <c r="Q1524" s="232">
        <v>1890</v>
      </c>
      <c r="R1524" s="231" t="s">
        <v>239</v>
      </c>
      <c r="S1524" s="232">
        <v>1448</v>
      </c>
      <c r="T1524" s="231" t="s">
        <v>239</v>
      </c>
      <c r="U1524" s="232">
        <v>1524</v>
      </c>
      <c r="V1524" s="231" t="s">
        <v>239</v>
      </c>
      <c r="W1524" s="232">
        <v>1322</v>
      </c>
      <c r="X1524" s="231" t="s">
        <v>239</v>
      </c>
      <c r="Y1524" s="232">
        <v>1154</v>
      </c>
      <c r="Z1524" s="231" t="s">
        <v>239</v>
      </c>
      <c r="AA1524" s="232">
        <v>1621</v>
      </c>
      <c r="AB1524" s="231" t="s">
        <v>239</v>
      </c>
      <c r="AC1524" s="232">
        <v>1167</v>
      </c>
      <c r="AD1524" s="231" t="s">
        <v>239</v>
      </c>
      <c r="AE1524" s="232">
        <v>1372</v>
      </c>
      <c r="AF1524" s="231" t="s">
        <v>239</v>
      </c>
      <c r="AG1524" s="232">
        <v>1652</v>
      </c>
      <c r="AH1524" s="231" t="s">
        <v>239</v>
      </c>
      <c r="AI1524" s="232">
        <v>1597</v>
      </c>
      <c r="AJ1524" s="231" t="s">
        <v>239</v>
      </c>
      <c r="AK1524" s="232">
        <v>1529</v>
      </c>
      <c r="AL1524" s="232" t="s">
        <v>239</v>
      </c>
      <c r="AM1524" s="232">
        <v>18166</v>
      </c>
    </row>
    <row r="1525" spans="1:39" ht="15.75" outlineLevel="1">
      <c r="A1525" s="411">
        <v>758</v>
      </c>
      <c r="B1525" s="10">
        <v>129758</v>
      </c>
      <c r="C1525" s="218" t="s">
        <v>1489</v>
      </c>
      <c r="D1525" s="218" t="s">
        <v>1490</v>
      </c>
      <c r="E1525" s="23" t="s">
        <v>44</v>
      </c>
      <c r="F1525" s="17" t="s">
        <v>45</v>
      </c>
      <c r="G1525" s="11" t="s">
        <v>1432</v>
      </c>
      <c r="H1525" s="12">
        <v>4</v>
      </c>
      <c r="I1525" s="11" t="s">
        <v>1433</v>
      </c>
      <c r="J1525" s="193" t="s">
        <v>1453</v>
      </c>
      <c r="K1525" s="17" t="s">
        <v>233</v>
      </c>
      <c r="L1525" s="17" t="s">
        <v>233</v>
      </c>
      <c r="M1525" s="231">
        <v>44</v>
      </c>
      <c r="N1525" s="231">
        <v>44</v>
      </c>
      <c r="O1525" s="231">
        <v>44</v>
      </c>
      <c r="P1525" s="231" t="s">
        <v>239</v>
      </c>
      <c r="Q1525" s="231">
        <v>44</v>
      </c>
      <c r="R1525" s="231" t="s">
        <v>239</v>
      </c>
      <c r="S1525" s="231">
        <v>44</v>
      </c>
      <c r="T1525" s="231" t="s">
        <v>239</v>
      </c>
      <c r="U1525" s="231">
        <v>44</v>
      </c>
      <c r="V1525" s="230" t="s">
        <v>239</v>
      </c>
      <c r="W1525" s="231">
        <v>44</v>
      </c>
      <c r="X1525" s="231" t="s">
        <v>239</v>
      </c>
      <c r="Y1525" s="231">
        <v>44</v>
      </c>
      <c r="Z1525" s="231" t="s">
        <v>239</v>
      </c>
      <c r="AA1525" s="231">
        <v>44</v>
      </c>
      <c r="AB1525" s="231" t="s">
        <v>239</v>
      </c>
      <c r="AC1525" s="231">
        <v>44</v>
      </c>
      <c r="AD1525" s="231" t="s">
        <v>239</v>
      </c>
      <c r="AE1525" s="231">
        <v>44</v>
      </c>
      <c r="AF1525" s="231" t="s">
        <v>239</v>
      </c>
      <c r="AG1525" s="231">
        <v>44</v>
      </c>
      <c r="AH1525" s="231" t="s">
        <v>239</v>
      </c>
      <c r="AI1525" s="231">
        <v>44</v>
      </c>
      <c r="AJ1525" s="231" t="s">
        <v>239</v>
      </c>
      <c r="AK1525" s="231">
        <v>44</v>
      </c>
      <c r="AL1525" s="232" t="s">
        <v>239</v>
      </c>
      <c r="AM1525" s="232">
        <v>0</v>
      </c>
    </row>
    <row r="1526" spans="1:39" ht="15.75" outlineLevel="1">
      <c r="A1526" s="412"/>
      <c r="B1526" s="10">
        <v>129758</v>
      </c>
      <c r="C1526" s="218" t="s">
        <v>1489</v>
      </c>
      <c r="D1526" s="218" t="s">
        <v>1490</v>
      </c>
      <c r="E1526" s="23" t="s">
        <v>138</v>
      </c>
      <c r="F1526" s="17" t="s">
        <v>45</v>
      </c>
      <c r="G1526" s="11" t="s">
        <v>1432</v>
      </c>
      <c r="H1526" s="12">
        <v>24</v>
      </c>
      <c r="I1526" s="11" t="s">
        <v>1433</v>
      </c>
      <c r="J1526" s="193" t="s">
        <v>1454</v>
      </c>
      <c r="K1526" s="17" t="s">
        <v>233</v>
      </c>
      <c r="L1526" s="17" t="s">
        <v>233</v>
      </c>
      <c r="M1526" s="231">
        <v>28462</v>
      </c>
      <c r="N1526" s="232">
        <v>28116.471320000001</v>
      </c>
      <c r="O1526" s="132">
        <v>1825</v>
      </c>
      <c r="P1526" s="231" t="s">
        <v>239</v>
      </c>
      <c r="Q1526" s="232">
        <v>1825</v>
      </c>
      <c r="R1526" s="231" t="s">
        <v>239</v>
      </c>
      <c r="S1526" s="232">
        <v>1987</v>
      </c>
      <c r="T1526" s="231" t="s">
        <v>239</v>
      </c>
      <c r="U1526" s="232">
        <v>1773</v>
      </c>
      <c r="V1526" s="231" t="s">
        <v>239</v>
      </c>
      <c r="W1526" s="232">
        <v>1586</v>
      </c>
      <c r="X1526" s="231" t="s">
        <v>239</v>
      </c>
      <c r="Y1526" s="232">
        <v>1358</v>
      </c>
      <c r="Z1526" s="231" t="s">
        <v>239</v>
      </c>
      <c r="AA1526" s="232">
        <v>1215</v>
      </c>
      <c r="AB1526" s="231" t="s">
        <v>239</v>
      </c>
      <c r="AC1526" s="232">
        <v>1042</v>
      </c>
      <c r="AD1526" s="231" t="s">
        <v>239</v>
      </c>
      <c r="AE1526" s="232">
        <v>1072</v>
      </c>
      <c r="AF1526" s="231" t="s">
        <v>239</v>
      </c>
      <c r="AG1526" s="232">
        <v>1001</v>
      </c>
      <c r="AH1526" s="231" t="s">
        <v>239</v>
      </c>
      <c r="AI1526" s="232">
        <v>1017</v>
      </c>
      <c r="AJ1526" s="231" t="s">
        <v>239</v>
      </c>
      <c r="AK1526" s="232">
        <v>1543</v>
      </c>
      <c r="AL1526" s="232" t="s">
        <v>239</v>
      </c>
      <c r="AM1526" s="232">
        <v>17244</v>
      </c>
    </row>
    <row r="1527" spans="1:39" ht="15.75" outlineLevel="1">
      <c r="A1527" s="411">
        <v>759</v>
      </c>
      <c r="B1527" s="10">
        <v>129759</v>
      </c>
      <c r="C1527" s="218" t="s">
        <v>1489</v>
      </c>
      <c r="D1527" s="218" t="s">
        <v>1490</v>
      </c>
      <c r="E1527" s="23" t="s">
        <v>44</v>
      </c>
      <c r="F1527" s="17" t="s">
        <v>45</v>
      </c>
      <c r="G1527" s="11" t="s">
        <v>1432</v>
      </c>
      <c r="H1527" s="12">
        <v>10</v>
      </c>
      <c r="I1527" s="11" t="s">
        <v>1433</v>
      </c>
      <c r="J1527" s="191" t="s">
        <v>216</v>
      </c>
      <c r="K1527" s="17" t="s">
        <v>233</v>
      </c>
      <c r="L1527" s="17" t="s">
        <v>233</v>
      </c>
      <c r="M1527" s="231">
        <v>2.5</v>
      </c>
      <c r="N1527" s="231">
        <v>2.5</v>
      </c>
      <c r="O1527" s="231">
        <v>2.5</v>
      </c>
      <c r="P1527" s="231" t="s">
        <v>239</v>
      </c>
      <c r="Q1527" s="231">
        <v>2.5</v>
      </c>
      <c r="R1527" s="231" t="s">
        <v>239</v>
      </c>
      <c r="S1527" s="231">
        <v>2.5</v>
      </c>
      <c r="T1527" s="231" t="s">
        <v>239</v>
      </c>
      <c r="U1527" s="231">
        <v>2.5</v>
      </c>
      <c r="V1527" s="231" t="s">
        <v>239</v>
      </c>
      <c r="W1527" s="231">
        <v>2.5</v>
      </c>
      <c r="X1527" s="231" t="s">
        <v>239</v>
      </c>
      <c r="Y1527" s="231">
        <v>2.5</v>
      </c>
      <c r="Z1527" s="231" t="s">
        <v>239</v>
      </c>
      <c r="AA1527" s="231">
        <v>2.5</v>
      </c>
      <c r="AB1527" s="231" t="s">
        <v>239</v>
      </c>
      <c r="AC1527" s="231">
        <v>2.5</v>
      </c>
      <c r="AD1527" s="231" t="s">
        <v>239</v>
      </c>
      <c r="AE1527" s="231">
        <v>2.5</v>
      </c>
      <c r="AF1527" s="231" t="s">
        <v>239</v>
      </c>
      <c r="AG1527" s="231">
        <v>2.5</v>
      </c>
      <c r="AH1527" s="231" t="s">
        <v>239</v>
      </c>
      <c r="AI1527" s="231">
        <v>2.5</v>
      </c>
      <c r="AJ1527" s="231" t="s">
        <v>239</v>
      </c>
      <c r="AK1527" s="231">
        <v>2.5</v>
      </c>
      <c r="AL1527" s="232" t="s">
        <v>239</v>
      </c>
      <c r="AM1527" s="232">
        <v>0</v>
      </c>
    </row>
    <row r="1528" spans="1:39" ht="15.75" outlineLevel="1">
      <c r="A1528" s="412"/>
      <c r="B1528" s="10">
        <v>129759</v>
      </c>
      <c r="C1528" s="218" t="s">
        <v>1489</v>
      </c>
      <c r="D1528" s="218" t="s">
        <v>1490</v>
      </c>
      <c r="E1528" s="23" t="s">
        <v>138</v>
      </c>
      <c r="F1528" s="17" t="s">
        <v>45</v>
      </c>
      <c r="G1528" s="11" t="s">
        <v>1432</v>
      </c>
      <c r="H1528" s="12">
        <v>17</v>
      </c>
      <c r="I1528" s="11" t="s">
        <v>1433</v>
      </c>
      <c r="J1528" s="192" t="s">
        <v>1434</v>
      </c>
      <c r="K1528" s="17" t="s">
        <v>233</v>
      </c>
      <c r="L1528" s="17" t="s">
        <v>233</v>
      </c>
      <c r="M1528" s="231">
        <v>8301</v>
      </c>
      <c r="N1528" s="232">
        <v>8200.2258600000005</v>
      </c>
      <c r="O1528" s="132">
        <v>1129</v>
      </c>
      <c r="P1528" s="231" t="s">
        <v>239</v>
      </c>
      <c r="Q1528" s="232">
        <v>1129</v>
      </c>
      <c r="R1528" s="231" t="s">
        <v>239</v>
      </c>
      <c r="S1528" s="232">
        <v>948</v>
      </c>
      <c r="T1528" s="231" t="s">
        <v>239</v>
      </c>
      <c r="U1528" s="232">
        <v>1059</v>
      </c>
      <c r="V1528" s="230" t="s">
        <v>239</v>
      </c>
      <c r="W1528" s="232">
        <v>1014</v>
      </c>
      <c r="X1528" s="231" t="s">
        <v>239</v>
      </c>
      <c r="Y1528" s="232">
        <v>859</v>
      </c>
      <c r="Z1528" s="231" t="s">
        <v>239</v>
      </c>
      <c r="AA1528" s="232">
        <v>1429</v>
      </c>
      <c r="AB1528" s="231" t="s">
        <v>239</v>
      </c>
      <c r="AC1528" s="232">
        <v>1451</v>
      </c>
      <c r="AD1528" s="231" t="s">
        <v>239</v>
      </c>
      <c r="AE1528" s="232">
        <v>1168</v>
      </c>
      <c r="AF1528" s="231" t="s">
        <v>239</v>
      </c>
      <c r="AG1528" s="232">
        <v>1154</v>
      </c>
      <c r="AH1528" s="231" t="s">
        <v>239</v>
      </c>
      <c r="AI1528" s="232">
        <v>1068</v>
      </c>
      <c r="AJ1528" s="231" t="s">
        <v>239</v>
      </c>
      <c r="AK1528" s="232">
        <v>1181</v>
      </c>
      <c r="AL1528" s="232" t="s">
        <v>239</v>
      </c>
      <c r="AM1528" s="232">
        <v>13589</v>
      </c>
    </row>
    <row r="1529" spans="1:39" ht="15.75" outlineLevel="1">
      <c r="A1529" s="411">
        <v>760</v>
      </c>
      <c r="B1529" s="10">
        <v>129760</v>
      </c>
      <c r="C1529" s="218" t="s">
        <v>1489</v>
      </c>
      <c r="D1529" s="218" t="s">
        <v>1490</v>
      </c>
      <c r="E1529" s="23" t="s">
        <v>44</v>
      </c>
      <c r="F1529" s="17" t="s">
        <v>45</v>
      </c>
      <c r="G1529" s="11" t="s">
        <v>1432</v>
      </c>
      <c r="H1529" s="12">
        <v>32</v>
      </c>
      <c r="I1529" s="11" t="s">
        <v>1433</v>
      </c>
      <c r="J1529" s="192" t="s">
        <v>1480</v>
      </c>
      <c r="K1529" s="17" t="s">
        <v>233</v>
      </c>
      <c r="L1529" s="17" t="s">
        <v>233</v>
      </c>
      <c r="M1529" s="231">
        <v>1.4</v>
      </c>
      <c r="N1529" s="231">
        <v>1.4</v>
      </c>
      <c r="O1529" s="231">
        <v>1.4</v>
      </c>
      <c r="P1529" s="231" t="s">
        <v>239</v>
      </c>
      <c r="Q1529" s="231">
        <v>1.4</v>
      </c>
      <c r="R1529" s="231" t="s">
        <v>239</v>
      </c>
      <c r="S1529" s="231">
        <v>1.4</v>
      </c>
      <c r="T1529" s="231" t="s">
        <v>239</v>
      </c>
      <c r="U1529" s="231">
        <v>1.4</v>
      </c>
      <c r="V1529" s="231" t="s">
        <v>239</v>
      </c>
      <c r="W1529" s="231">
        <v>1.4</v>
      </c>
      <c r="X1529" s="231" t="s">
        <v>239</v>
      </c>
      <c r="Y1529" s="231">
        <v>1.4</v>
      </c>
      <c r="Z1529" s="231" t="s">
        <v>239</v>
      </c>
      <c r="AA1529" s="231">
        <v>1.4</v>
      </c>
      <c r="AB1529" s="231" t="s">
        <v>239</v>
      </c>
      <c r="AC1529" s="231">
        <v>1.4</v>
      </c>
      <c r="AD1529" s="231" t="s">
        <v>239</v>
      </c>
      <c r="AE1529" s="231">
        <v>1.4</v>
      </c>
      <c r="AF1529" s="231" t="s">
        <v>239</v>
      </c>
      <c r="AG1529" s="231">
        <v>1.4</v>
      </c>
      <c r="AH1529" s="231" t="s">
        <v>239</v>
      </c>
      <c r="AI1529" s="231">
        <v>1.4</v>
      </c>
      <c r="AJ1529" s="231" t="s">
        <v>239</v>
      </c>
      <c r="AK1529" s="231">
        <v>1.4</v>
      </c>
      <c r="AL1529" s="232" t="s">
        <v>239</v>
      </c>
      <c r="AM1529" s="232">
        <v>0</v>
      </c>
    </row>
    <row r="1530" spans="1:39" ht="15.75" outlineLevel="1">
      <c r="A1530" s="412"/>
      <c r="B1530" s="10">
        <v>129760</v>
      </c>
      <c r="C1530" s="218" t="s">
        <v>1489</v>
      </c>
      <c r="D1530" s="218" t="s">
        <v>1490</v>
      </c>
      <c r="E1530" s="23" t="s">
        <v>44</v>
      </c>
      <c r="F1530" s="17" t="s">
        <v>45</v>
      </c>
      <c r="G1530" s="11" t="s">
        <v>1432</v>
      </c>
      <c r="H1530" s="12">
        <v>8</v>
      </c>
      <c r="I1530" s="11" t="s">
        <v>1433</v>
      </c>
      <c r="J1530" s="192" t="s">
        <v>1452</v>
      </c>
      <c r="K1530" s="17" t="s">
        <v>233</v>
      </c>
      <c r="L1530" s="17" t="s">
        <v>233</v>
      </c>
      <c r="M1530" s="231">
        <v>11249</v>
      </c>
      <c r="N1530" s="232">
        <v>11112.43714</v>
      </c>
      <c r="O1530" s="132">
        <v>1020</v>
      </c>
      <c r="P1530" s="231" t="s">
        <v>239</v>
      </c>
      <c r="Q1530" s="232">
        <v>1020</v>
      </c>
      <c r="R1530" s="231" t="s">
        <v>239</v>
      </c>
      <c r="S1530" s="232">
        <v>1020</v>
      </c>
      <c r="T1530" s="231" t="s">
        <v>239</v>
      </c>
      <c r="U1530" s="232">
        <v>1020</v>
      </c>
      <c r="V1530" s="231" t="s">
        <v>239</v>
      </c>
      <c r="W1530" s="232">
        <v>1020</v>
      </c>
      <c r="X1530" s="231" t="s">
        <v>239</v>
      </c>
      <c r="Y1530" s="232">
        <v>1020</v>
      </c>
      <c r="Z1530" s="231" t="s">
        <v>239</v>
      </c>
      <c r="AA1530" s="232">
        <v>1576</v>
      </c>
      <c r="AB1530" s="231" t="s">
        <v>239</v>
      </c>
      <c r="AC1530" s="232">
        <v>1576</v>
      </c>
      <c r="AD1530" s="231" t="s">
        <v>239</v>
      </c>
      <c r="AE1530" s="232">
        <v>1576</v>
      </c>
      <c r="AF1530" s="231" t="s">
        <v>239</v>
      </c>
      <c r="AG1530" s="232">
        <v>1576</v>
      </c>
      <c r="AH1530" s="231" t="s">
        <v>239</v>
      </c>
      <c r="AI1530" s="232">
        <v>1576</v>
      </c>
      <c r="AJ1530" s="231" t="s">
        <v>239</v>
      </c>
      <c r="AK1530" s="232">
        <v>1576</v>
      </c>
      <c r="AL1530" s="232" t="s">
        <v>239</v>
      </c>
      <c r="AM1530" s="232">
        <v>15576</v>
      </c>
    </row>
    <row r="1531" spans="1:39" ht="15.75" outlineLevel="1">
      <c r="A1531" s="411">
        <v>761</v>
      </c>
      <c r="B1531" s="10">
        <v>129761</v>
      </c>
      <c r="C1531" s="218" t="s">
        <v>1489</v>
      </c>
      <c r="D1531" s="218" t="s">
        <v>1490</v>
      </c>
      <c r="E1531" s="23" t="s">
        <v>138</v>
      </c>
      <c r="F1531" s="17" t="s">
        <v>45</v>
      </c>
      <c r="G1531" s="11" t="s">
        <v>1432</v>
      </c>
      <c r="H1531" s="12">
        <v>12</v>
      </c>
      <c r="I1531" s="11" t="s">
        <v>1433</v>
      </c>
      <c r="J1531" s="374" t="s">
        <v>207</v>
      </c>
      <c r="K1531" s="17" t="s">
        <v>233</v>
      </c>
      <c r="L1531" s="17" t="s">
        <v>233</v>
      </c>
      <c r="M1531" s="231">
        <v>29</v>
      </c>
      <c r="N1531" s="231">
        <v>29</v>
      </c>
      <c r="O1531" s="231">
        <v>29</v>
      </c>
      <c r="P1531" s="231" t="s">
        <v>239</v>
      </c>
      <c r="Q1531" s="231">
        <v>29</v>
      </c>
      <c r="R1531" s="231" t="s">
        <v>239</v>
      </c>
      <c r="S1531" s="231">
        <v>29</v>
      </c>
      <c r="T1531" s="231" t="s">
        <v>239</v>
      </c>
      <c r="U1531" s="231">
        <v>29</v>
      </c>
      <c r="V1531" s="230" t="s">
        <v>239</v>
      </c>
      <c r="W1531" s="231">
        <v>29</v>
      </c>
      <c r="X1531" s="231" t="s">
        <v>239</v>
      </c>
      <c r="Y1531" s="231">
        <v>29</v>
      </c>
      <c r="Z1531" s="231" t="s">
        <v>239</v>
      </c>
      <c r="AA1531" s="231">
        <v>29</v>
      </c>
      <c r="AB1531" s="231" t="s">
        <v>239</v>
      </c>
      <c r="AC1531" s="231">
        <v>29</v>
      </c>
      <c r="AD1531" s="231" t="s">
        <v>239</v>
      </c>
      <c r="AE1531" s="231">
        <v>29</v>
      </c>
      <c r="AF1531" s="231" t="s">
        <v>239</v>
      </c>
      <c r="AG1531" s="231">
        <v>29</v>
      </c>
      <c r="AH1531" s="231" t="s">
        <v>239</v>
      </c>
      <c r="AI1531" s="231">
        <v>29</v>
      </c>
      <c r="AJ1531" s="231" t="s">
        <v>239</v>
      </c>
      <c r="AK1531" s="231">
        <v>29</v>
      </c>
      <c r="AL1531" s="232" t="s">
        <v>239</v>
      </c>
      <c r="AM1531" s="232">
        <v>0</v>
      </c>
    </row>
    <row r="1532" spans="1:39" ht="15.75" outlineLevel="1">
      <c r="A1532" s="412"/>
      <c r="B1532" s="10">
        <v>129761</v>
      </c>
      <c r="C1532" s="218" t="s">
        <v>1489</v>
      </c>
      <c r="D1532" s="218" t="s">
        <v>1490</v>
      </c>
      <c r="E1532" s="23" t="s">
        <v>44</v>
      </c>
      <c r="F1532" s="17" t="s">
        <v>45</v>
      </c>
      <c r="G1532" s="11" t="s">
        <v>1432</v>
      </c>
      <c r="H1532" s="12">
        <v>18</v>
      </c>
      <c r="I1532" s="11" t="s">
        <v>1433</v>
      </c>
      <c r="J1532" s="375"/>
      <c r="K1532" s="17" t="s">
        <v>233</v>
      </c>
      <c r="L1532" s="17" t="s">
        <v>233</v>
      </c>
      <c r="M1532" s="231">
        <v>9583</v>
      </c>
      <c r="N1532" s="232">
        <v>9466.6623799999998</v>
      </c>
      <c r="O1532" s="132">
        <v>998</v>
      </c>
      <c r="P1532" s="231" t="s">
        <v>239</v>
      </c>
      <c r="Q1532" s="232">
        <v>998</v>
      </c>
      <c r="R1532" s="231" t="s">
        <v>239</v>
      </c>
      <c r="S1532" s="232">
        <v>962</v>
      </c>
      <c r="T1532" s="231" t="s">
        <v>239</v>
      </c>
      <c r="U1532" s="232">
        <v>861</v>
      </c>
      <c r="V1532" s="231" t="s">
        <v>239</v>
      </c>
      <c r="W1532" s="232">
        <v>895</v>
      </c>
      <c r="X1532" s="231" t="s">
        <v>239</v>
      </c>
      <c r="Y1532" s="232">
        <v>729</v>
      </c>
      <c r="Z1532" s="231" t="s">
        <v>239</v>
      </c>
      <c r="AA1532" s="232">
        <v>716</v>
      </c>
      <c r="AB1532" s="231" t="s">
        <v>239</v>
      </c>
      <c r="AC1532" s="232">
        <v>1086</v>
      </c>
      <c r="AD1532" s="231" t="s">
        <v>239</v>
      </c>
      <c r="AE1532" s="232">
        <v>1045</v>
      </c>
      <c r="AF1532" s="231" t="s">
        <v>239</v>
      </c>
      <c r="AG1532" s="232">
        <v>949</v>
      </c>
      <c r="AH1532" s="231" t="s">
        <v>239</v>
      </c>
      <c r="AI1532" s="232">
        <v>1010</v>
      </c>
      <c r="AJ1532" s="231" t="s">
        <v>239</v>
      </c>
      <c r="AK1532" s="232">
        <v>1053</v>
      </c>
      <c r="AL1532" s="232" t="s">
        <v>239</v>
      </c>
      <c r="AM1532" s="232">
        <v>11302</v>
      </c>
    </row>
    <row r="1533" spans="1:39" ht="15.75" outlineLevel="1">
      <c r="A1533" s="411">
        <v>762</v>
      </c>
      <c r="B1533" s="10">
        <v>129762</v>
      </c>
      <c r="C1533" s="218" t="s">
        <v>1489</v>
      </c>
      <c r="D1533" s="218" t="s">
        <v>1490</v>
      </c>
      <c r="E1533" s="23" t="s">
        <v>138</v>
      </c>
      <c r="F1533" s="17" t="s">
        <v>45</v>
      </c>
      <c r="G1533" s="11" t="s">
        <v>1432</v>
      </c>
      <c r="H1533" s="12">
        <v>17</v>
      </c>
      <c r="I1533" s="11" t="s">
        <v>1433</v>
      </c>
      <c r="J1533" s="193" t="s">
        <v>1460</v>
      </c>
      <c r="K1533" s="17" t="s">
        <v>233</v>
      </c>
      <c r="L1533" s="17" t="s">
        <v>233</v>
      </c>
      <c r="M1533" s="231">
        <v>29</v>
      </c>
      <c r="N1533" s="231">
        <v>29</v>
      </c>
      <c r="O1533" s="231">
        <v>29</v>
      </c>
      <c r="P1533" s="231" t="s">
        <v>239</v>
      </c>
      <c r="Q1533" s="231">
        <v>29</v>
      </c>
      <c r="R1533" s="231" t="s">
        <v>239</v>
      </c>
      <c r="S1533" s="231">
        <v>29</v>
      </c>
      <c r="T1533" s="231" t="s">
        <v>239</v>
      </c>
      <c r="U1533" s="231">
        <v>29</v>
      </c>
      <c r="V1533" s="231" t="s">
        <v>239</v>
      </c>
      <c r="W1533" s="231">
        <v>29</v>
      </c>
      <c r="X1533" s="231" t="s">
        <v>239</v>
      </c>
      <c r="Y1533" s="231">
        <v>29</v>
      </c>
      <c r="Z1533" s="231" t="s">
        <v>239</v>
      </c>
      <c r="AA1533" s="231">
        <v>29</v>
      </c>
      <c r="AB1533" s="231" t="s">
        <v>239</v>
      </c>
      <c r="AC1533" s="231">
        <v>29</v>
      </c>
      <c r="AD1533" s="231" t="s">
        <v>239</v>
      </c>
      <c r="AE1533" s="231">
        <v>29</v>
      </c>
      <c r="AF1533" s="231" t="s">
        <v>239</v>
      </c>
      <c r="AG1533" s="231">
        <v>29</v>
      </c>
      <c r="AH1533" s="231" t="s">
        <v>239</v>
      </c>
      <c r="AI1533" s="231">
        <v>29</v>
      </c>
      <c r="AJ1533" s="231" t="s">
        <v>239</v>
      </c>
      <c r="AK1533" s="231">
        <v>29</v>
      </c>
      <c r="AL1533" s="232" t="s">
        <v>239</v>
      </c>
      <c r="AM1533" s="232">
        <v>0</v>
      </c>
    </row>
    <row r="1534" spans="1:39" ht="15.75" outlineLevel="1">
      <c r="A1534" s="412"/>
      <c r="B1534" s="10">
        <v>129762</v>
      </c>
      <c r="C1534" s="218" t="s">
        <v>1489</v>
      </c>
      <c r="D1534" s="218" t="s">
        <v>1490</v>
      </c>
      <c r="E1534" s="23" t="s">
        <v>44</v>
      </c>
      <c r="F1534" s="17" t="s">
        <v>45</v>
      </c>
      <c r="G1534" s="11" t="s">
        <v>1432</v>
      </c>
      <c r="H1534" s="12">
        <v>25</v>
      </c>
      <c r="I1534" s="11" t="s">
        <v>1433</v>
      </c>
      <c r="J1534" s="193" t="s">
        <v>1451</v>
      </c>
      <c r="K1534" s="17" t="s">
        <v>233</v>
      </c>
      <c r="L1534" s="17" t="s">
        <v>233</v>
      </c>
      <c r="M1534" s="231">
        <v>0</v>
      </c>
      <c r="N1534" s="232">
        <v>0</v>
      </c>
      <c r="O1534" s="132">
        <v>0</v>
      </c>
      <c r="P1534" s="231" t="s">
        <v>239</v>
      </c>
      <c r="Q1534" s="232">
        <v>0</v>
      </c>
      <c r="R1534" s="231" t="s">
        <v>239</v>
      </c>
      <c r="S1534" s="232">
        <v>0</v>
      </c>
      <c r="T1534" s="231" t="s">
        <v>239</v>
      </c>
      <c r="U1534" s="232">
        <v>0</v>
      </c>
      <c r="V1534" s="230" t="s">
        <v>239</v>
      </c>
      <c r="W1534" s="232">
        <v>0</v>
      </c>
      <c r="X1534" s="231" t="s">
        <v>239</v>
      </c>
      <c r="Y1534" s="232">
        <v>0</v>
      </c>
      <c r="Z1534" s="231" t="s">
        <v>239</v>
      </c>
      <c r="AA1534" s="232">
        <v>0</v>
      </c>
      <c r="AB1534" s="231" t="s">
        <v>239</v>
      </c>
      <c r="AC1534" s="232">
        <v>0</v>
      </c>
      <c r="AD1534" s="231" t="s">
        <v>239</v>
      </c>
      <c r="AE1534" s="232">
        <v>0</v>
      </c>
      <c r="AF1534" s="231" t="s">
        <v>239</v>
      </c>
      <c r="AG1534" s="232">
        <v>0</v>
      </c>
      <c r="AH1534" s="231" t="s">
        <v>239</v>
      </c>
      <c r="AI1534" s="232">
        <v>0</v>
      </c>
      <c r="AJ1534" s="231" t="s">
        <v>239</v>
      </c>
      <c r="AK1534" s="232">
        <v>0</v>
      </c>
      <c r="AL1534" s="232" t="s">
        <v>239</v>
      </c>
      <c r="AM1534" s="232">
        <v>0</v>
      </c>
    </row>
    <row r="1535" spans="1:39" ht="15.75" outlineLevel="1">
      <c r="A1535" s="411">
        <v>763</v>
      </c>
      <c r="B1535" s="10">
        <v>129763</v>
      </c>
      <c r="C1535" s="218" t="s">
        <v>1489</v>
      </c>
      <c r="D1535" s="218" t="s">
        <v>1490</v>
      </c>
      <c r="E1535" s="23" t="s">
        <v>44</v>
      </c>
      <c r="F1535" s="17" t="s">
        <v>45</v>
      </c>
      <c r="G1535" s="11" t="s">
        <v>1432</v>
      </c>
      <c r="H1535" s="12">
        <v>13</v>
      </c>
      <c r="I1535" s="11" t="s">
        <v>1433</v>
      </c>
      <c r="J1535" s="193" t="s">
        <v>208</v>
      </c>
      <c r="K1535" s="17" t="s">
        <v>233</v>
      </c>
      <c r="L1535" s="17" t="s">
        <v>233</v>
      </c>
      <c r="M1535" s="231">
        <v>68.5</v>
      </c>
      <c r="N1535" s="231">
        <v>68.5</v>
      </c>
      <c r="O1535" s="231">
        <v>68.5</v>
      </c>
      <c r="P1535" s="231" t="s">
        <v>239</v>
      </c>
      <c r="Q1535" s="231">
        <v>68.5</v>
      </c>
      <c r="R1535" s="231" t="s">
        <v>239</v>
      </c>
      <c r="S1535" s="231">
        <v>68.5</v>
      </c>
      <c r="T1535" s="231" t="s">
        <v>239</v>
      </c>
      <c r="U1535" s="231">
        <v>68.5</v>
      </c>
      <c r="V1535" s="231" t="s">
        <v>239</v>
      </c>
      <c r="W1535" s="231">
        <v>68.5</v>
      </c>
      <c r="X1535" s="231" t="s">
        <v>239</v>
      </c>
      <c r="Y1535" s="231">
        <v>68.5</v>
      </c>
      <c r="Z1535" s="231" t="s">
        <v>239</v>
      </c>
      <c r="AA1535" s="231">
        <v>68.5</v>
      </c>
      <c r="AB1535" s="231" t="s">
        <v>239</v>
      </c>
      <c r="AC1535" s="231">
        <v>68.5</v>
      </c>
      <c r="AD1535" s="231" t="s">
        <v>239</v>
      </c>
      <c r="AE1535" s="231">
        <v>68.5</v>
      </c>
      <c r="AF1535" s="231" t="s">
        <v>239</v>
      </c>
      <c r="AG1535" s="231">
        <v>68.5</v>
      </c>
      <c r="AH1535" s="231" t="s">
        <v>239</v>
      </c>
      <c r="AI1535" s="231">
        <v>68.5</v>
      </c>
      <c r="AJ1535" s="231" t="s">
        <v>239</v>
      </c>
      <c r="AK1535" s="231">
        <v>68.5</v>
      </c>
      <c r="AL1535" s="232" t="s">
        <v>239</v>
      </c>
      <c r="AM1535" s="232">
        <v>0</v>
      </c>
    </row>
    <row r="1536" spans="1:39" ht="15.75" outlineLevel="1">
      <c r="A1536" s="412"/>
      <c r="B1536" s="10">
        <v>129763</v>
      </c>
      <c r="C1536" s="218" t="s">
        <v>1489</v>
      </c>
      <c r="D1536" s="218" t="s">
        <v>1490</v>
      </c>
      <c r="E1536" s="23" t="s">
        <v>138</v>
      </c>
      <c r="F1536" s="17" t="s">
        <v>45</v>
      </c>
      <c r="G1536" s="11" t="s">
        <v>1432</v>
      </c>
      <c r="H1536" s="12">
        <v>5</v>
      </c>
      <c r="I1536" s="11" t="s">
        <v>1433</v>
      </c>
      <c r="J1536" s="193" t="s">
        <v>1452</v>
      </c>
      <c r="K1536" s="17" t="s">
        <v>233</v>
      </c>
      <c r="L1536" s="17" t="s">
        <v>233</v>
      </c>
      <c r="M1536" s="231">
        <v>62907</v>
      </c>
      <c r="N1536" s="232">
        <v>62143.309020000001</v>
      </c>
      <c r="O1536" s="132">
        <v>5373</v>
      </c>
      <c r="P1536" s="231" t="s">
        <v>239</v>
      </c>
      <c r="Q1536" s="232">
        <v>5373</v>
      </c>
      <c r="R1536" s="231" t="s">
        <v>239</v>
      </c>
      <c r="S1536" s="232">
        <v>5973</v>
      </c>
      <c r="T1536" s="231" t="s">
        <v>239</v>
      </c>
      <c r="U1536" s="232">
        <v>5773</v>
      </c>
      <c r="V1536" s="231" t="s">
        <v>239</v>
      </c>
      <c r="W1536" s="232">
        <v>5773</v>
      </c>
      <c r="X1536" s="231" t="s">
        <v>239</v>
      </c>
      <c r="Y1536" s="232">
        <v>6273</v>
      </c>
      <c r="Z1536" s="231" t="s">
        <v>239</v>
      </c>
      <c r="AA1536" s="232">
        <v>4961</v>
      </c>
      <c r="AB1536" s="231" t="s">
        <v>239</v>
      </c>
      <c r="AC1536" s="232">
        <v>3961</v>
      </c>
      <c r="AD1536" s="231" t="s">
        <v>239</v>
      </c>
      <c r="AE1536" s="232">
        <v>2761</v>
      </c>
      <c r="AF1536" s="231" t="s">
        <v>239</v>
      </c>
      <c r="AG1536" s="232">
        <v>2761</v>
      </c>
      <c r="AH1536" s="231" t="s">
        <v>239</v>
      </c>
      <c r="AI1536" s="232">
        <v>2761</v>
      </c>
      <c r="AJ1536" s="231" t="s">
        <v>239</v>
      </c>
      <c r="AK1536" s="232">
        <v>2761</v>
      </c>
      <c r="AL1536" s="232" t="s">
        <v>239</v>
      </c>
      <c r="AM1536" s="232">
        <v>54504</v>
      </c>
    </row>
    <row r="1537" spans="1:39" ht="15.75" outlineLevel="1">
      <c r="A1537" s="411">
        <v>764</v>
      </c>
      <c r="B1537" s="10">
        <v>129764</v>
      </c>
      <c r="C1537" s="218" t="s">
        <v>1489</v>
      </c>
      <c r="D1537" s="218" t="s">
        <v>1490</v>
      </c>
      <c r="E1537" s="23" t="s">
        <v>44</v>
      </c>
      <c r="F1537" s="17" t="s">
        <v>45</v>
      </c>
      <c r="G1537" s="11" t="s">
        <v>1432</v>
      </c>
      <c r="H1537" s="12">
        <v>4</v>
      </c>
      <c r="I1537" s="11" t="s">
        <v>1433</v>
      </c>
      <c r="J1537" s="193" t="s">
        <v>216</v>
      </c>
      <c r="K1537" s="17" t="s">
        <v>233</v>
      </c>
      <c r="L1537" s="17" t="s">
        <v>233</v>
      </c>
      <c r="M1537" s="231">
        <v>23</v>
      </c>
      <c r="N1537" s="231">
        <v>23</v>
      </c>
      <c r="O1537" s="231">
        <v>23</v>
      </c>
      <c r="P1537" s="231" t="s">
        <v>239</v>
      </c>
      <c r="Q1537" s="231">
        <v>23</v>
      </c>
      <c r="R1537" s="231" t="s">
        <v>239</v>
      </c>
      <c r="S1537" s="231">
        <v>23</v>
      </c>
      <c r="T1537" s="231" t="s">
        <v>239</v>
      </c>
      <c r="U1537" s="231">
        <v>23</v>
      </c>
      <c r="V1537" s="230" t="s">
        <v>239</v>
      </c>
      <c r="W1537" s="231">
        <v>23</v>
      </c>
      <c r="X1537" s="231" t="s">
        <v>239</v>
      </c>
      <c r="Y1537" s="231">
        <v>23</v>
      </c>
      <c r="Z1537" s="231" t="s">
        <v>239</v>
      </c>
      <c r="AA1537" s="231">
        <v>23</v>
      </c>
      <c r="AB1537" s="231" t="s">
        <v>239</v>
      </c>
      <c r="AC1537" s="231">
        <v>23</v>
      </c>
      <c r="AD1537" s="231" t="s">
        <v>239</v>
      </c>
      <c r="AE1537" s="231">
        <v>23</v>
      </c>
      <c r="AF1537" s="231" t="s">
        <v>239</v>
      </c>
      <c r="AG1537" s="231">
        <v>23</v>
      </c>
      <c r="AH1537" s="231" t="s">
        <v>239</v>
      </c>
      <c r="AI1537" s="231">
        <v>23</v>
      </c>
      <c r="AJ1537" s="231" t="s">
        <v>239</v>
      </c>
      <c r="AK1537" s="231">
        <v>23</v>
      </c>
      <c r="AL1537" s="232" t="s">
        <v>239</v>
      </c>
      <c r="AM1537" s="232">
        <v>0</v>
      </c>
    </row>
    <row r="1538" spans="1:39" ht="15.75" outlineLevel="1">
      <c r="A1538" s="412"/>
      <c r="B1538" s="10">
        <v>129764</v>
      </c>
      <c r="C1538" s="218" t="s">
        <v>1489</v>
      </c>
      <c r="D1538" s="218" t="s">
        <v>1490</v>
      </c>
      <c r="E1538" s="23" t="s">
        <v>138</v>
      </c>
      <c r="F1538" s="17" t="s">
        <v>45</v>
      </c>
      <c r="G1538" s="11" t="s">
        <v>1432</v>
      </c>
      <c r="H1538" s="12">
        <v>18</v>
      </c>
      <c r="I1538" s="11" t="s">
        <v>1433</v>
      </c>
      <c r="J1538" s="193" t="s">
        <v>1453</v>
      </c>
      <c r="K1538" s="17" t="s">
        <v>233</v>
      </c>
      <c r="L1538" s="17" t="s">
        <v>233</v>
      </c>
      <c r="M1538" s="231">
        <v>6146</v>
      </c>
      <c r="N1538" s="232">
        <v>6071.3875600000001</v>
      </c>
      <c r="O1538" s="132">
        <v>473</v>
      </c>
      <c r="P1538" s="231" t="s">
        <v>239</v>
      </c>
      <c r="Q1538" s="232">
        <v>473</v>
      </c>
      <c r="R1538" s="231" t="s">
        <v>239</v>
      </c>
      <c r="S1538" s="232">
        <v>350</v>
      </c>
      <c r="T1538" s="231" t="s">
        <v>239</v>
      </c>
      <c r="U1538" s="232">
        <v>112</v>
      </c>
      <c r="V1538" s="231" t="s">
        <v>239</v>
      </c>
      <c r="W1538" s="232">
        <v>119</v>
      </c>
      <c r="X1538" s="231" t="s">
        <v>239</v>
      </c>
      <c r="Y1538" s="232">
        <v>155</v>
      </c>
      <c r="Z1538" s="231" t="s">
        <v>239</v>
      </c>
      <c r="AA1538" s="232">
        <v>0</v>
      </c>
      <c r="AB1538" s="231" t="s">
        <v>239</v>
      </c>
      <c r="AC1538" s="232">
        <v>240</v>
      </c>
      <c r="AD1538" s="231" t="s">
        <v>239</v>
      </c>
      <c r="AE1538" s="232">
        <v>153</v>
      </c>
      <c r="AF1538" s="231" t="s">
        <v>239</v>
      </c>
      <c r="AG1538" s="232">
        <v>159</v>
      </c>
      <c r="AH1538" s="231" t="s">
        <v>239</v>
      </c>
      <c r="AI1538" s="232">
        <v>371</v>
      </c>
      <c r="AJ1538" s="231" t="s">
        <v>239</v>
      </c>
      <c r="AK1538" s="232">
        <v>301</v>
      </c>
      <c r="AL1538" s="232" t="s">
        <v>239</v>
      </c>
      <c r="AM1538" s="232">
        <v>2906</v>
      </c>
    </row>
    <row r="1539" spans="1:39" ht="15.75" outlineLevel="1">
      <c r="A1539" s="411">
        <v>765</v>
      </c>
      <c r="B1539" s="10">
        <v>129765</v>
      </c>
      <c r="C1539" s="218" t="s">
        <v>1489</v>
      </c>
      <c r="D1539" s="218" t="s">
        <v>1490</v>
      </c>
      <c r="E1539" s="23" t="s">
        <v>44</v>
      </c>
      <c r="F1539" s="17" t="s">
        <v>45</v>
      </c>
      <c r="G1539" s="11" t="s">
        <v>1432</v>
      </c>
      <c r="H1539" s="12">
        <v>17</v>
      </c>
      <c r="I1539" s="11" t="s">
        <v>1433</v>
      </c>
      <c r="J1539" s="193" t="s">
        <v>1454</v>
      </c>
      <c r="K1539" s="17" t="s">
        <v>233</v>
      </c>
      <c r="L1539" s="17" t="s">
        <v>233</v>
      </c>
      <c r="M1539" s="231">
        <v>16</v>
      </c>
      <c r="N1539" s="231">
        <v>16</v>
      </c>
      <c r="O1539" s="231">
        <v>16</v>
      </c>
      <c r="P1539" s="231" t="s">
        <v>239</v>
      </c>
      <c r="Q1539" s="231">
        <v>16</v>
      </c>
      <c r="R1539" s="231" t="s">
        <v>239</v>
      </c>
      <c r="S1539" s="231">
        <v>16</v>
      </c>
      <c r="T1539" s="231" t="s">
        <v>239</v>
      </c>
      <c r="U1539" s="231">
        <v>16</v>
      </c>
      <c r="V1539" s="231" t="s">
        <v>239</v>
      </c>
      <c r="W1539" s="231">
        <v>16</v>
      </c>
      <c r="X1539" s="231" t="s">
        <v>239</v>
      </c>
      <c r="Y1539" s="231">
        <v>16</v>
      </c>
      <c r="Z1539" s="231" t="s">
        <v>239</v>
      </c>
      <c r="AA1539" s="231">
        <v>16</v>
      </c>
      <c r="AB1539" s="231" t="s">
        <v>239</v>
      </c>
      <c r="AC1539" s="231">
        <v>16</v>
      </c>
      <c r="AD1539" s="231" t="s">
        <v>239</v>
      </c>
      <c r="AE1539" s="231">
        <v>16</v>
      </c>
      <c r="AF1539" s="231" t="s">
        <v>239</v>
      </c>
      <c r="AG1539" s="231">
        <v>16</v>
      </c>
      <c r="AH1539" s="231" t="s">
        <v>239</v>
      </c>
      <c r="AI1539" s="231">
        <v>16</v>
      </c>
      <c r="AJ1539" s="231" t="s">
        <v>239</v>
      </c>
      <c r="AK1539" s="231">
        <v>16</v>
      </c>
      <c r="AL1539" s="232" t="s">
        <v>239</v>
      </c>
      <c r="AM1539" s="232">
        <v>0</v>
      </c>
    </row>
    <row r="1540" spans="1:39" ht="15.75" outlineLevel="1">
      <c r="A1540" s="412"/>
      <c r="B1540" s="10">
        <v>129765</v>
      </c>
      <c r="C1540" s="218" t="s">
        <v>1489</v>
      </c>
      <c r="D1540" s="218" t="s">
        <v>1490</v>
      </c>
      <c r="E1540" s="23" t="s">
        <v>44</v>
      </c>
      <c r="F1540" s="17" t="s">
        <v>45</v>
      </c>
      <c r="G1540" s="11" t="s">
        <v>1432</v>
      </c>
      <c r="H1540" s="12">
        <v>28</v>
      </c>
      <c r="I1540" s="11" t="s">
        <v>1433</v>
      </c>
      <c r="J1540" s="191" t="s">
        <v>216</v>
      </c>
      <c r="K1540" s="17" t="s">
        <v>233</v>
      </c>
      <c r="L1540" s="17" t="s">
        <v>233</v>
      </c>
      <c r="M1540" s="231">
        <v>8606</v>
      </c>
      <c r="N1540" s="232">
        <v>8501.5231599999988</v>
      </c>
      <c r="O1540" s="132">
        <v>658</v>
      </c>
      <c r="P1540" s="231" t="s">
        <v>239</v>
      </c>
      <c r="Q1540" s="232">
        <v>658</v>
      </c>
      <c r="R1540" s="231" t="s">
        <v>239</v>
      </c>
      <c r="S1540" s="232">
        <v>369</v>
      </c>
      <c r="T1540" s="231" t="s">
        <v>239</v>
      </c>
      <c r="U1540" s="232">
        <v>545</v>
      </c>
      <c r="V1540" s="230" t="s">
        <v>239</v>
      </c>
      <c r="W1540" s="232">
        <v>589</v>
      </c>
      <c r="X1540" s="231" t="s">
        <v>239</v>
      </c>
      <c r="Y1540" s="232">
        <v>610</v>
      </c>
      <c r="Z1540" s="231" t="s">
        <v>239</v>
      </c>
      <c r="AA1540" s="232">
        <v>604</v>
      </c>
      <c r="AB1540" s="231" t="s">
        <v>239</v>
      </c>
      <c r="AC1540" s="232">
        <v>732</v>
      </c>
      <c r="AD1540" s="231" t="s">
        <v>239</v>
      </c>
      <c r="AE1540" s="232">
        <v>630</v>
      </c>
      <c r="AF1540" s="231" t="s">
        <v>239</v>
      </c>
      <c r="AG1540" s="232">
        <v>657</v>
      </c>
      <c r="AH1540" s="231" t="s">
        <v>239</v>
      </c>
      <c r="AI1540" s="232">
        <v>758</v>
      </c>
      <c r="AJ1540" s="231" t="s">
        <v>239</v>
      </c>
      <c r="AK1540" s="232">
        <v>773</v>
      </c>
      <c r="AL1540" s="232" t="s">
        <v>239</v>
      </c>
      <c r="AM1540" s="232">
        <v>7583</v>
      </c>
    </row>
    <row r="1541" spans="1:39" ht="15.75" outlineLevel="1">
      <c r="A1541" s="411">
        <v>766</v>
      </c>
      <c r="B1541" s="10">
        <v>129766</v>
      </c>
      <c r="C1541" s="218" t="s">
        <v>1489</v>
      </c>
      <c r="D1541" s="218" t="s">
        <v>1490</v>
      </c>
      <c r="E1541" s="23" t="s">
        <v>138</v>
      </c>
      <c r="F1541" s="17" t="s">
        <v>45</v>
      </c>
      <c r="G1541" s="11" t="s">
        <v>1432</v>
      </c>
      <c r="H1541" s="12">
        <v>33</v>
      </c>
      <c r="I1541" s="11" t="s">
        <v>1433</v>
      </c>
      <c r="J1541" s="192" t="s">
        <v>1434</v>
      </c>
      <c r="K1541" s="17" t="s">
        <v>233</v>
      </c>
      <c r="L1541" s="17" t="s">
        <v>233</v>
      </c>
      <c r="M1541" s="231">
        <v>77</v>
      </c>
      <c r="N1541" s="231">
        <v>77</v>
      </c>
      <c r="O1541" s="231">
        <v>77</v>
      </c>
      <c r="P1541" s="231" t="s">
        <v>239</v>
      </c>
      <c r="Q1541" s="231">
        <v>77</v>
      </c>
      <c r="R1541" s="231" t="s">
        <v>239</v>
      </c>
      <c r="S1541" s="231">
        <v>77</v>
      </c>
      <c r="T1541" s="231" t="s">
        <v>239</v>
      </c>
      <c r="U1541" s="231">
        <v>77</v>
      </c>
      <c r="V1541" s="231" t="s">
        <v>239</v>
      </c>
      <c r="W1541" s="231">
        <v>77</v>
      </c>
      <c r="X1541" s="231" t="s">
        <v>239</v>
      </c>
      <c r="Y1541" s="231">
        <v>77</v>
      </c>
      <c r="Z1541" s="231" t="s">
        <v>239</v>
      </c>
      <c r="AA1541" s="231">
        <v>77</v>
      </c>
      <c r="AB1541" s="231" t="s">
        <v>239</v>
      </c>
      <c r="AC1541" s="231">
        <v>77</v>
      </c>
      <c r="AD1541" s="231" t="s">
        <v>239</v>
      </c>
      <c r="AE1541" s="231">
        <v>77</v>
      </c>
      <c r="AF1541" s="231" t="s">
        <v>239</v>
      </c>
      <c r="AG1541" s="231">
        <v>77</v>
      </c>
      <c r="AH1541" s="231" t="s">
        <v>239</v>
      </c>
      <c r="AI1541" s="231">
        <v>77</v>
      </c>
      <c r="AJ1541" s="231" t="s">
        <v>239</v>
      </c>
      <c r="AK1541" s="231">
        <v>77</v>
      </c>
      <c r="AL1541" s="232" t="s">
        <v>239</v>
      </c>
      <c r="AM1541" s="232">
        <v>0</v>
      </c>
    </row>
    <row r="1542" spans="1:39" ht="15.75" outlineLevel="1">
      <c r="A1542" s="412"/>
      <c r="B1542" s="10">
        <v>129766</v>
      </c>
      <c r="C1542" s="218" t="s">
        <v>1489</v>
      </c>
      <c r="D1542" s="218" t="s">
        <v>1490</v>
      </c>
      <c r="E1542" s="23" t="s">
        <v>44</v>
      </c>
      <c r="F1542" s="17" t="s">
        <v>45</v>
      </c>
      <c r="G1542" s="11" t="s">
        <v>1432</v>
      </c>
      <c r="H1542" s="12">
        <v>25</v>
      </c>
      <c r="I1542" s="11" t="s">
        <v>1433</v>
      </c>
      <c r="J1542" s="192" t="s">
        <v>1480</v>
      </c>
      <c r="K1542" s="17" t="s">
        <v>233</v>
      </c>
      <c r="L1542" s="17" t="s">
        <v>233</v>
      </c>
      <c r="M1542" s="231">
        <v>123508</v>
      </c>
      <c r="N1542" s="232">
        <v>122008.61288</v>
      </c>
      <c r="O1542" s="132">
        <v>1959</v>
      </c>
      <c r="P1542" s="231" t="s">
        <v>239</v>
      </c>
      <c r="Q1542" s="232">
        <v>1959</v>
      </c>
      <c r="R1542" s="231" t="s">
        <v>239</v>
      </c>
      <c r="S1542" s="232">
        <v>1829</v>
      </c>
      <c r="T1542" s="231" t="s">
        <v>239</v>
      </c>
      <c r="U1542" s="232">
        <v>2314</v>
      </c>
      <c r="V1542" s="231" t="s">
        <v>239</v>
      </c>
      <c r="W1542" s="232">
        <v>2252</v>
      </c>
      <c r="X1542" s="231" t="s">
        <v>239</v>
      </c>
      <c r="Y1542" s="232">
        <v>2139</v>
      </c>
      <c r="Z1542" s="231" t="s">
        <v>239</v>
      </c>
      <c r="AA1542" s="232">
        <v>2004</v>
      </c>
      <c r="AB1542" s="231" t="s">
        <v>239</v>
      </c>
      <c r="AC1542" s="232">
        <v>1890</v>
      </c>
      <c r="AD1542" s="231" t="s">
        <v>239</v>
      </c>
      <c r="AE1542" s="232">
        <v>2066</v>
      </c>
      <c r="AF1542" s="231" t="s">
        <v>239</v>
      </c>
      <c r="AG1542" s="232">
        <v>1805</v>
      </c>
      <c r="AH1542" s="231" t="s">
        <v>239</v>
      </c>
      <c r="AI1542" s="232">
        <v>1677</v>
      </c>
      <c r="AJ1542" s="231" t="s">
        <v>239</v>
      </c>
      <c r="AK1542" s="232">
        <v>1744</v>
      </c>
      <c r="AL1542" s="232" t="s">
        <v>239</v>
      </c>
      <c r="AM1542" s="232">
        <v>23638</v>
      </c>
    </row>
    <row r="1543" spans="1:39" ht="15.75" outlineLevel="1">
      <c r="A1543" s="411">
        <v>767</v>
      </c>
      <c r="B1543" s="10">
        <v>129767</v>
      </c>
      <c r="C1543" s="218" t="s">
        <v>1489</v>
      </c>
      <c r="D1543" s="218" t="s">
        <v>1490</v>
      </c>
      <c r="E1543" s="23" t="s">
        <v>138</v>
      </c>
      <c r="F1543" s="17" t="s">
        <v>45</v>
      </c>
      <c r="G1543" s="11" t="s">
        <v>1432</v>
      </c>
      <c r="H1543" s="12">
        <v>9</v>
      </c>
      <c r="I1543" s="11" t="s">
        <v>1433</v>
      </c>
      <c r="J1543" s="192" t="s">
        <v>1452</v>
      </c>
      <c r="K1543" s="17" t="s">
        <v>233</v>
      </c>
      <c r="L1543" s="17" t="s">
        <v>233</v>
      </c>
      <c r="M1543" s="231">
        <v>77</v>
      </c>
      <c r="N1543" s="231">
        <v>77</v>
      </c>
      <c r="O1543" s="231">
        <v>77</v>
      </c>
      <c r="P1543" s="231" t="s">
        <v>239</v>
      </c>
      <c r="Q1543" s="231">
        <v>77</v>
      </c>
      <c r="R1543" s="231" t="s">
        <v>239</v>
      </c>
      <c r="S1543" s="231">
        <v>77</v>
      </c>
      <c r="T1543" s="231" t="s">
        <v>239</v>
      </c>
      <c r="U1543" s="231">
        <v>77</v>
      </c>
      <c r="V1543" s="230" t="s">
        <v>239</v>
      </c>
      <c r="W1543" s="231">
        <v>77</v>
      </c>
      <c r="X1543" s="231" t="s">
        <v>239</v>
      </c>
      <c r="Y1543" s="231">
        <v>77</v>
      </c>
      <c r="Z1543" s="231" t="s">
        <v>239</v>
      </c>
      <c r="AA1543" s="231">
        <v>77</v>
      </c>
      <c r="AB1543" s="231" t="s">
        <v>239</v>
      </c>
      <c r="AC1543" s="231">
        <v>77</v>
      </c>
      <c r="AD1543" s="231" t="s">
        <v>239</v>
      </c>
      <c r="AE1543" s="231">
        <v>77</v>
      </c>
      <c r="AF1543" s="231" t="s">
        <v>239</v>
      </c>
      <c r="AG1543" s="231">
        <v>77</v>
      </c>
      <c r="AH1543" s="231" t="s">
        <v>239</v>
      </c>
      <c r="AI1543" s="231">
        <v>77</v>
      </c>
      <c r="AJ1543" s="231" t="s">
        <v>239</v>
      </c>
      <c r="AK1543" s="231">
        <v>77</v>
      </c>
      <c r="AL1543" s="232" t="s">
        <v>239</v>
      </c>
      <c r="AM1543" s="232">
        <v>0</v>
      </c>
    </row>
    <row r="1544" spans="1:39" ht="15.75" outlineLevel="1">
      <c r="A1544" s="412"/>
      <c r="B1544" s="10">
        <v>129767</v>
      </c>
      <c r="C1544" s="218" t="s">
        <v>1489</v>
      </c>
      <c r="D1544" s="218" t="s">
        <v>1490</v>
      </c>
      <c r="E1544" s="23" t="s">
        <v>44</v>
      </c>
      <c r="F1544" s="17" t="s">
        <v>45</v>
      </c>
      <c r="G1544" s="11" t="s">
        <v>1432</v>
      </c>
      <c r="H1544" s="12">
        <v>18</v>
      </c>
      <c r="I1544" s="11" t="s">
        <v>1433</v>
      </c>
      <c r="J1544" s="374" t="s">
        <v>207</v>
      </c>
      <c r="K1544" s="17" t="s">
        <v>233</v>
      </c>
      <c r="L1544" s="17" t="s">
        <v>233</v>
      </c>
      <c r="M1544" s="231">
        <v>0</v>
      </c>
      <c r="N1544" s="232">
        <v>0</v>
      </c>
      <c r="O1544" s="132">
        <v>0</v>
      </c>
      <c r="P1544" s="231" t="s">
        <v>239</v>
      </c>
      <c r="Q1544" s="232">
        <v>0</v>
      </c>
      <c r="R1544" s="231" t="s">
        <v>239</v>
      </c>
      <c r="S1544" s="232">
        <v>0</v>
      </c>
      <c r="T1544" s="231" t="s">
        <v>239</v>
      </c>
      <c r="U1544" s="232">
        <v>0</v>
      </c>
      <c r="V1544" s="231" t="s">
        <v>239</v>
      </c>
      <c r="W1544" s="232">
        <v>0</v>
      </c>
      <c r="X1544" s="231" t="s">
        <v>239</v>
      </c>
      <c r="Y1544" s="232">
        <v>0</v>
      </c>
      <c r="Z1544" s="231" t="s">
        <v>239</v>
      </c>
      <c r="AA1544" s="232">
        <v>0</v>
      </c>
      <c r="AB1544" s="231" t="s">
        <v>239</v>
      </c>
      <c r="AC1544" s="232">
        <v>0</v>
      </c>
      <c r="AD1544" s="231" t="s">
        <v>239</v>
      </c>
      <c r="AE1544" s="232">
        <v>0</v>
      </c>
      <c r="AF1544" s="231" t="s">
        <v>239</v>
      </c>
      <c r="AG1544" s="232">
        <v>0</v>
      </c>
      <c r="AH1544" s="231" t="s">
        <v>239</v>
      </c>
      <c r="AI1544" s="232">
        <v>0</v>
      </c>
      <c r="AJ1544" s="231" t="s">
        <v>239</v>
      </c>
      <c r="AK1544" s="232">
        <v>0</v>
      </c>
      <c r="AL1544" s="232" t="s">
        <v>239</v>
      </c>
      <c r="AM1544" s="232">
        <v>0</v>
      </c>
    </row>
    <row r="1545" spans="1:39" ht="15.75" outlineLevel="1">
      <c r="A1545" s="411">
        <v>768</v>
      </c>
      <c r="B1545" s="10">
        <v>129768</v>
      </c>
      <c r="C1545" s="218" t="s">
        <v>1489</v>
      </c>
      <c r="D1545" s="218" t="s">
        <v>1490</v>
      </c>
      <c r="E1545" s="23" t="s">
        <v>44</v>
      </c>
      <c r="F1545" s="17" t="s">
        <v>45</v>
      </c>
      <c r="G1545" s="11" t="s">
        <v>1432</v>
      </c>
      <c r="H1545" s="12">
        <v>17</v>
      </c>
      <c r="I1545" s="11" t="s">
        <v>1433</v>
      </c>
      <c r="J1545" s="375"/>
      <c r="K1545" s="17" t="s">
        <v>233</v>
      </c>
      <c r="L1545" s="17" t="s">
        <v>233</v>
      </c>
      <c r="M1545" s="231">
        <v>77</v>
      </c>
      <c r="N1545" s="231">
        <v>77</v>
      </c>
      <c r="O1545" s="231">
        <v>77</v>
      </c>
      <c r="P1545" s="231" t="s">
        <v>239</v>
      </c>
      <c r="Q1545" s="231">
        <v>77</v>
      </c>
      <c r="R1545" s="231" t="s">
        <v>239</v>
      </c>
      <c r="S1545" s="231">
        <v>77</v>
      </c>
      <c r="T1545" s="231" t="s">
        <v>239</v>
      </c>
      <c r="U1545" s="231">
        <v>77</v>
      </c>
      <c r="V1545" s="231" t="s">
        <v>239</v>
      </c>
      <c r="W1545" s="231">
        <v>77</v>
      </c>
      <c r="X1545" s="231" t="s">
        <v>239</v>
      </c>
      <c r="Y1545" s="231">
        <v>77</v>
      </c>
      <c r="Z1545" s="231" t="s">
        <v>239</v>
      </c>
      <c r="AA1545" s="231">
        <v>77</v>
      </c>
      <c r="AB1545" s="231" t="s">
        <v>239</v>
      </c>
      <c r="AC1545" s="231">
        <v>77</v>
      </c>
      <c r="AD1545" s="231" t="s">
        <v>239</v>
      </c>
      <c r="AE1545" s="231">
        <v>77</v>
      </c>
      <c r="AF1545" s="231" t="s">
        <v>239</v>
      </c>
      <c r="AG1545" s="231">
        <v>77</v>
      </c>
      <c r="AH1545" s="231" t="s">
        <v>239</v>
      </c>
      <c r="AI1545" s="231">
        <v>77</v>
      </c>
      <c r="AJ1545" s="231" t="s">
        <v>239</v>
      </c>
      <c r="AK1545" s="231">
        <v>77</v>
      </c>
      <c r="AL1545" s="232" t="s">
        <v>239</v>
      </c>
      <c r="AM1545" s="232">
        <v>0</v>
      </c>
    </row>
    <row r="1546" spans="1:39" ht="15.75" outlineLevel="1">
      <c r="A1546" s="412"/>
      <c r="B1546" s="10">
        <v>129768</v>
      </c>
      <c r="C1546" s="218" t="s">
        <v>1489</v>
      </c>
      <c r="D1546" s="218" t="s">
        <v>1490</v>
      </c>
      <c r="E1546" s="23" t="s">
        <v>138</v>
      </c>
      <c r="F1546" s="17" t="s">
        <v>45</v>
      </c>
      <c r="G1546" s="11" t="s">
        <v>1432</v>
      </c>
      <c r="H1546" s="12">
        <v>25</v>
      </c>
      <c r="I1546" s="11" t="s">
        <v>1433</v>
      </c>
      <c r="J1546" s="193" t="s">
        <v>1460</v>
      </c>
      <c r="K1546" s="17" t="s">
        <v>233</v>
      </c>
      <c r="L1546" s="17" t="s">
        <v>233</v>
      </c>
      <c r="M1546" s="231">
        <v>0</v>
      </c>
      <c r="N1546" s="232">
        <v>0</v>
      </c>
      <c r="O1546" s="132">
        <v>0</v>
      </c>
      <c r="P1546" s="231" t="s">
        <v>239</v>
      </c>
      <c r="Q1546" s="232">
        <v>0</v>
      </c>
      <c r="R1546" s="231" t="s">
        <v>239</v>
      </c>
      <c r="S1546" s="232">
        <v>0</v>
      </c>
      <c r="T1546" s="231" t="s">
        <v>239</v>
      </c>
      <c r="U1546" s="232">
        <v>0</v>
      </c>
      <c r="V1546" s="230" t="s">
        <v>239</v>
      </c>
      <c r="W1546" s="232">
        <v>0</v>
      </c>
      <c r="X1546" s="231" t="s">
        <v>239</v>
      </c>
      <c r="Y1546" s="232">
        <v>0</v>
      </c>
      <c r="Z1546" s="231" t="s">
        <v>239</v>
      </c>
      <c r="AA1546" s="232">
        <v>0</v>
      </c>
      <c r="AB1546" s="231" t="s">
        <v>239</v>
      </c>
      <c r="AC1546" s="232">
        <v>0</v>
      </c>
      <c r="AD1546" s="231" t="s">
        <v>239</v>
      </c>
      <c r="AE1546" s="232">
        <v>0</v>
      </c>
      <c r="AF1546" s="231" t="s">
        <v>239</v>
      </c>
      <c r="AG1546" s="232">
        <v>0</v>
      </c>
      <c r="AH1546" s="231" t="s">
        <v>239</v>
      </c>
      <c r="AI1546" s="232">
        <v>0</v>
      </c>
      <c r="AJ1546" s="231" t="s">
        <v>239</v>
      </c>
      <c r="AK1546" s="232">
        <v>0</v>
      </c>
      <c r="AL1546" s="232" t="s">
        <v>239</v>
      </c>
      <c r="AM1546" s="232">
        <v>0</v>
      </c>
    </row>
    <row r="1547" spans="1:39" ht="15.75" outlineLevel="1">
      <c r="A1547" s="411">
        <v>769</v>
      </c>
      <c r="B1547" s="10">
        <v>129769</v>
      </c>
      <c r="C1547" s="218" t="s">
        <v>1489</v>
      </c>
      <c r="D1547" s="218" t="s">
        <v>1490</v>
      </c>
      <c r="E1547" s="23" t="s">
        <v>44</v>
      </c>
      <c r="F1547" s="17" t="s">
        <v>45</v>
      </c>
      <c r="G1547" s="11" t="s">
        <v>1432</v>
      </c>
      <c r="H1547" s="12">
        <v>13</v>
      </c>
      <c r="I1547" s="11" t="s">
        <v>1433</v>
      </c>
      <c r="J1547" s="193" t="s">
        <v>1442</v>
      </c>
      <c r="K1547" s="17" t="s">
        <v>233</v>
      </c>
      <c r="L1547" s="17" t="s">
        <v>233</v>
      </c>
      <c r="M1547" s="231">
        <v>35</v>
      </c>
      <c r="N1547" s="231">
        <v>35</v>
      </c>
      <c r="O1547" s="231">
        <v>35</v>
      </c>
      <c r="P1547" s="231" t="s">
        <v>239</v>
      </c>
      <c r="Q1547" s="231">
        <v>35</v>
      </c>
      <c r="R1547" s="231" t="s">
        <v>239</v>
      </c>
      <c r="S1547" s="231">
        <v>35</v>
      </c>
      <c r="T1547" s="231" t="s">
        <v>239</v>
      </c>
      <c r="U1547" s="231">
        <v>35</v>
      </c>
      <c r="V1547" s="231" t="s">
        <v>239</v>
      </c>
      <c r="W1547" s="231">
        <v>35</v>
      </c>
      <c r="X1547" s="231" t="s">
        <v>239</v>
      </c>
      <c r="Y1547" s="231">
        <v>35</v>
      </c>
      <c r="Z1547" s="231" t="s">
        <v>239</v>
      </c>
      <c r="AA1547" s="231">
        <v>35</v>
      </c>
      <c r="AB1547" s="231" t="s">
        <v>239</v>
      </c>
      <c r="AC1547" s="231">
        <v>35</v>
      </c>
      <c r="AD1547" s="231" t="s">
        <v>239</v>
      </c>
      <c r="AE1547" s="231">
        <v>35</v>
      </c>
      <c r="AF1547" s="231" t="s">
        <v>239</v>
      </c>
      <c r="AG1547" s="231">
        <v>35</v>
      </c>
      <c r="AH1547" s="231" t="s">
        <v>239</v>
      </c>
      <c r="AI1547" s="231">
        <v>35</v>
      </c>
      <c r="AJ1547" s="231" t="s">
        <v>239</v>
      </c>
      <c r="AK1547" s="231">
        <v>35</v>
      </c>
      <c r="AL1547" s="232" t="s">
        <v>239</v>
      </c>
      <c r="AM1547" s="232">
        <v>0</v>
      </c>
    </row>
    <row r="1548" spans="1:39" ht="15.75" outlineLevel="1">
      <c r="A1548" s="412"/>
      <c r="B1548" s="10">
        <v>129769</v>
      </c>
      <c r="C1548" s="218" t="s">
        <v>1489</v>
      </c>
      <c r="D1548" s="218" t="s">
        <v>1490</v>
      </c>
      <c r="E1548" s="23" t="s">
        <v>138</v>
      </c>
      <c r="F1548" s="17" t="s">
        <v>45</v>
      </c>
      <c r="G1548" s="11" t="s">
        <v>1432</v>
      </c>
      <c r="H1548" s="12">
        <v>5</v>
      </c>
      <c r="I1548" s="11" t="s">
        <v>1433</v>
      </c>
      <c r="J1548" s="193" t="s">
        <v>1460</v>
      </c>
      <c r="K1548" s="17" t="s">
        <v>233</v>
      </c>
      <c r="L1548" s="17" t="s">
        <v>233</v>
      </c>
      <c r="M1548" s="231">
        <v>3129</v>
      </c>
      <c r="N1548" s="232">
        <v>3091.0139399999998</v>
      </c>
      <c r="O1548" s="132">
        <v>626</v>
      </c>
      <c r="P1548" s="231" t="s">
        <v>239</v>
      </c>
      <c r="Q1548" s="232">
        <v>626</v>
      </c>
      <c r="R1548" s="231" t="s">
        <v>239</v>
      </c>
      <c r="S1548" s="232">
        <v>684</v>
      </c>
      <c r="T1548" s="231" t="s">
        <v>239</v>
      </c>
      <c r="U1548" s="232">
        <v>925</v>
      </c>
      <c r="V1548" s="231" t="s">
        <v>239</v>
      </c>
      <c r="W1548" s="232">
        <v>859</v>
      </c>
      <c r="X1548" s="231" t="s">
        <v>239</v>
      </c>
      <c r="Y1548" s="232">
        <v>854</v>
      </c>
      <c r="Z1548" s="231" t="s">
        <v>239</v>
      </c>
      <c r="AA1548" s="232">
        <v>167</v>
      </c>
      <c r="AB1548" s="231" t="s">
        <v>239</v>
      </c>
      <c r="AC1548" s="232">
        <v>1209</v>
      </c>
      <c r="AD1548" s="231" t="s">
        <v>239</v>
      </c>
      <c r="AE1548" s="232">
        <v>203</v>
      </c>
      <c r="AF1548" s="231" t="s">
        <v>239</v>
      </c>
      <c r="AG1548" s="232">
        <v>159</v>
      </c>
      <c r="AH1548" s="231" t="s">
        <v>239</v>
      </c>
      <c r="AI1548" s="232">
        <v>269</v>
      </c>
      <c r="AJ1548" s="231" t="s">
        <v>239</v>
      </c>
      <c r="AK1548" s="232">
        <v>269</v>
      </c>
      <c r="AL1548" s="232" t="s">
        <v>239</v>
      </c>
      <c r="AM1548" s="232">
        <v>6850</v>
      </c>
    </row>
    <row r="1549" spans="1:39" ht="15.75" outlineLevel="1">
      <c r="A1549" s="411">
        <v>770</v>
      </c>
      <c r="B1549" s="10">
        <v>129770</v>
      </c>
      <c r="C1549" s="218" t="s">
        <v>1489</v>
      </c>
      <c r="D1549" s="218" t="s">
        <v>1490</v>
      </c>
      <c r="E1549" s="23" t="s">
        <v>44</v>
      </c>
      <c r="F1549" s="17" t="s">
        <v>45</v>
      </c>
      <c r="G1549" s="11" t="s">
        <v>1432</v>
      </c>
      <c r="H1549" s="12">
        <v>4</v>
      </c>
      <c r="I1549" s="11" t="s">
        <v>1433</v>
      </c>
      <c r="J1549" s="193" t="s">
        <v>1436</v>
      </c>
      <c r="K1549" s="17" t="s">
        <v>233</v>
      </c>
      <c r="L1549" s="17" t="s">
        <v>233</v>
      </c>
      <c r="M1549" s="231">
        <v>1</v>
      </c>
      <c r="N1549" s="231">
        <v>1</v>
      </c>
      <c r="O1549" s="231">
        <v>1</v>
      </c>
      <c r="P1549" s="231" t="s">
        <v>239</v>
      </c>
      <c r="Q1549" s="231">
        <v>1</v>
      </c>
      <c r="R1549" s="231" t="s">
        <v>239</v>
      </c>
      <c r="S1549" s="231">
        <v>1</v>
      </c>
      <c r="T1549" s="231" t="s">
        <v>239</v>
      </c>
      <c r="U1549" s="231">
        <v>1</v>
      </c>
      <c r="V1549" s="230" t="s">
        <v>239</v>
      </c>
      <c r="W1549" s="231">
        <v>1</v>
      </c>
      <c r="X1549" s="231" t="s">
        <v>239</v>
      </c>
      <c r="Y1549" s="231">
        <v>1</v>
      </c>
      <c r="Z1549" s="231" t="s">
        <v>239</v>
      </c>
      <c r="AA1549" s="231">
        <v>1</v>
      </c>
      <c r="AB1549" s="231" t="s">
        <v>239</v>
      </c>
      <c r="AC1549" s="231">
        <v>1</v>
      </c>
      <c r="AD1549" s="231" t="s">
        <v>239</v>
      </c>
      <c r="AE1549" s="231">
        <v>1</v>
      </c>
      <c r="AF1549" s="231" t="s">
        <v>239</v>
      </c>
      <c r="AG1549" s="231">
        <v>1</v>
      </c>
      <c r="AH1549" s="231" t="s">
        <v>239</v>
      </c>
      <c r="AI1549" s="231">
        <v>1</v>
      </c>
      <c r="AJ1549" s="231" t="s">
        <v>239</v>
      </c>
      <c r="AK1549" s="231">
        <v>1</v>
      </c>
      <c r="AL1549" s="232" t="s">
        <v>239</v>
      </c>
      <c r="AM1549" s="232">
        <v>0</v>
      </c>
    </row>
    <row r="1550" spans="1:39" ht="15.75" outlineLevel="1">
      <c r="A1550" s="412"/>
      <c r="B1550" s="10">
        <v>129770</v>
      </c>
      <c r="C1550" s="218" t="s">
        <v>1489</v>
      </c>
      <c r="D1550" s="218" t="s">
        <v>1490</v>
      </c>
      <c r="E1550" s="23" t="s">
        <v>44</v>
      </c>
      <c r="F1550" s="17" t="s">
        <v>45</v>
      </c>
      <c r="G1550" s="11" t="s">
        <v>1432</v>
      </c>
      <c r="H1550" s="12">
        <v>24</v>
      </c>
      <c r="I1550" s="11" t="s">
        <v>1433</v>
      </c>
      <c r="J1550" s="193" t="s">
        <v>1436</v>
      </c>
      <c r="K1550" s="17" t="s">
        <v>233</v>
      </c>
      <c r="L1550" s="17" t="s">
        <v>233</v>
      </c>
      <c r="M1550" s="231">
        <v>6052</v>
      </c>
      <c r="N1550" s="232">
        <v>5978.5287199999993</v>
      </c>
      <c r="O1550" s="132">
        <v>1240</v>
      </c>
      <c r="P1550" s="231" t="s">
        <v>239</v>
      </c>
      <c r="Q1550" s="232">
        <v>1240</v>
      </c>
      <c r="R1550" s="231" t="s">
        <v>239</v>
      </c>
      <c r="S1550" s="232">
        <v>1235</v>
      </c>
      <c r="T1550" s="231" t="s">
        <v>239</v>
      </c>
      <c r="U1550" s="232">
        <v>810</v>
      </c>
      <c r="V1550" s="231" t="s">
        <v>239</v>
      </c>
      <c r="W1550" s="232">
        <v>841</v>
      </c>
      <c r="X1550" s="231" t="s">
        <v>239</v>
      </c>
      <c r="Y1550" s="232">
        <v>805</v>
      </c>
      <c r="Z1550" s="231" t="s">
        <v>239</v>
      </c>
      <c r="AA1550" s="232">
        <v>823</v>
      </c>
      <c r="AB1550" s="231" t="s">
        <v>239</v>
      </c>
      <c r="AC1550" s="232">
        <v>812</v>
      </c>
      <c r="AD1550" s="231" t="s">
        <v>239</v>
      </c>
      <c r="AE1550" s="232">
        <v>832</v>
      </c>
      <c r="AF1550" s="231" t="s">
        <v>239</v>
      </c>
      <c r="AG1550" s="232">
        <v>854</v>
      </c>
      <c r="AH1550" s="231" t="s">
        <v>239</v>
      </c>
      <c r="AI1550" s="232">
        <v>1043</v>
      </c>
      <c r="AJ1550" s="231" t="s">
        <v>239</v>
      </c>
      <c r="AK1550" s="232">
        <v>957</v>
      </c>
      <c r="AL1550" s="232" t="s">
        <v>239</v>
      </c>
      <c r="AM1550" s="232">
        <v>11492</v>
      </c>
    </row>
    <row r="1551" spans="1:39" ht="15.75" outlineLevel="1">
      <c r="A1551" s="411">
        <v>771</v>
      </c>
      <c r="B1551" s="10">
        <v>129771</v>
      </c>
      <c r="C1551" s="218" t="s">
        <v>1489</v>
      </c>
      <c r="D1551" s="218" t="s">
        <v>1490</v>
      </c>
      <c r="E1551" s="23" t="s">
        <v>138</v>
      </c>
      <c r="F1551" s="17" t="s">
        <v>45</v>
      </c>
      <c r="G1551" s="11" t="s">
        <v>1432</v>
      </c>
      <c r="H1551" s="12">
        <v>10</v>
      </c>
      <c r="I1551" s="11" t="s">
        <v>1433</v>
      </c>
      <c r="J1551" s="193" t="s">
        <v>1442</v>
      </c>
      <c r="K1551" s="17" t="s">
        <v>233</v>
      </c>
      <c r="L1551" s="17" t="s">
        <v>233</v>
      </c>
      <c r="M1551" s="231">
        <v>86</v>
      </c>
      <c r="N1551" s="231">
        <v>86</v>
      </c>
      <c r="O1551" s="231">
        <v>86</v>
      </c>
      <c r="P1551" s="231" t="s">
        <v>239</v>
      </c>
      <c r="Q1551" s="231">
        <v>86</v>
      </c>
      <c r="R1551" s="231" t="s">
        <v>239</v>
      </c>
      <c r="S1551" s="231">
        <v>86</v>
      </c>
      <c r="T1551" s="231" t="s">
        <v>239</v>
      </c>
      <c r="U1551" s="231">
        <v>86</v>
      </c>
      <c r="V1551" s="231" t="s">
        <v>239</v>
      </c>
      <c r="W1551" s="231">
        <v>86</v>
      </c>
      <c r="X1551" s="231" t="s">
        <v>239</v>
      </c>
      <c r="Y1551" s="231">
        <v>86</v>
      </c>
      <c r="Z1551" s="231" t="s">
        <v>239</v>
      </c>
      <c r="AA1551" s="231">
        <v>86</v>
      </c>
      <c r="AB1551" s="231" t="s">
        <v>239</v>
      </c>
      <c r="AC1551" s="231">
        <v>86</v>
      </c>
      <c r="AD1551" s="231" t="s">
        <v>239</v>
      </c>
      <c r="AE1551" s="231">
        <v>86</v>
      </c>
      <c r="AF1551" s="231" t="s">
        <v>239</v>
      </c>
      <c r="AG1551" s="231">
        <v>86</v>
      </c>
      <c r="AH1551" s="231" t="s">
        <v>239</v>
      </c>
      <c r="AI1551" s="231">
        <v>86</v>
      </c>
      <c r="AJ1551" s="231" t="s">
        <v>239</v>
      </c>
      <c r="AK1551" s="231">
        <v>86</v>
      </c>
      <c r="AL1551" s="232" t="s">
        <v>239</v>
      </c>
      <c r="AM1551" s="232">
        <v>0</v>
      </c>
    </row>
    <row r="1552" spans="1:39" ht="15.75" outlineLevel="1">
      <c r="A1552" s="412"/>
      <c r="B1552" s="10">
        <v>129771</v>
      </c>
      <c r="C1552" s="218" t="s">
        <v>1489</v>
      </c>
      <c r="D1552" s="218" t="s">
        <v>1490</v>
      </c>
      <c r="E1552" s="23" t="s">
        <v>44</v>
      </c>
      <c r="F1552" s="17" t="s">
        <v>45</v>
      </c>
      <c r="G1552" s="11" t="s">
        <v>1432</v>
      </c>
      <c r="H1552" s="12">
        <v>17</v>
      </c>
      <c r="I1552" s="11" t="s">
        <v>1433</v>
      </c>
      <c r="J1552" s="193" t="s">
        <v>1436</v>
      </c>
      <c r="K1552" s="17" t="s">
        <v>233</v>
      </c>
      <c r="L1552" s="17" t="s">
        <v>233</v>
      </c>
      <c r="M1552" s="231">
        <v>18435</v>
      </c>
      <c r="N1552" s="232">
        <v>18211.199099999998</v>
      </c>
      <c r="O1552" s="132">
        <v>2535</v>
      </c>
      <c r="P1552" s="231" t="s">
        <v>239</v>
      </c>
      <c r="Q1552" s="232">
        <v>2535</v>
      </c>
      <c r="R1552" s="231" t="s">
        <v>239</v>
      </c>
      <c r="S1552" s="232">
        <v>2475</v>
      </c>
      <c r="T1552" s="231" t="s">
        <v>239</v>
      </c>
      <c r="U1552" s="232">
        <v>2730</v>
      </c>
      <c r="V1552" s="230" t="s">
        <v>239</v>
      </c>
      <c r="W1552" s="232">
        <v>2657</v>
      </c>
      <c r="X1552" s="231" t="s">
        <v>239</v>
      </c>
      <c r="Y1552" s="232">
        <v>365</v>
      </c>
      <c r="Z1552" s="231" t="s">
        <v>239</v>
      </c>
      <c r="AA1552" s="232">
        <v>2265</v>
      </c>
      <c r="AB1552" s="231" t="s">
        <v>239</v>
      </c>
      <c r="AC1552" s="232">
        <v>1024</v>
      </c>
      <c r="AD1552" s="231" t="s">
        <v>239</v>
      </c>
      <c r="AE1552" s="232">
        <v>804</v>
      </c>
      <c r="AF1552" s="231" t="s">
        <v>239</v>
      </c>
      <c r="AG1552" s="232">
        <v>362</v>
      </c>
      <c r="AH1552" s="231" t="s">
        <v>239</v>
      </c>
      <c r="AI1552" s="232">
        <v>622</v>
      </c>
      <c r="AJ1552" s="231" t="s">
        <v>239</v>
      </c>
      <c r="AK1552" s="232">
        <v>549</v>
      </c>
      <c r="AL1552" s="232" t="s">
        <v>239</v>
      </c>
      <c r="AM1552" s="232">
        <v>18923</v>
      </c>
    </row>
    <row r="1553" spans="1:39" ht="15.75" outlineLevel="1">
      <c r="A1553" s="411">
        <v>772</v>
      </c>
      <c r="B1553" s="10">
        <v>129772</v>
      </c>
      <c r="C1553" s="218" t="s">
        <v>1489</v>
      </c>
      <c r="D1553" s="218" t="s">
        <v>1490</v>
      </c>
      <c r="E1553" s="23" t="s">
        <v>138</v>
      </c>
      <c r="F1553" s="17" t="s">
        <v>45</v>
      </c>
      <c r="G1553" s="11" t="s">
        <v>1432</v>
      </c>
      <c r="H1553" s="12">
        <v>32</v>
      </c>
      <c r="I1553" s="11" t="s">
        <v>1433</v>
      </c>
      <c r="J1553" s="193" t="s">
        <v>1460</v>
      </c>
      <c r="K1553" s="17" t="s">
        <v>233</v>
      </c>
      <c r="L1553" s="17" t="s">
        <v>233</v>
      </c>
      <c r="M1553" s="231">
        <v>86</v>
      </c>
      <c r="N1553" s="231">
        <v>86</v>
      </c>
      <c r="O1553" s="231">
        <v>86</v>
      </c>
      <c r="P1553" s="231" t="s">
        <v>239</v>
      </c>
      <c r="Q1553" s="231">
        <v>86</v>
      </c>
      <c r="R1553" s="231" t="s">
        <v>239</v>
      </c>
      <c r="S1553" s="231">
        <v>86</v>
      </c>
      <c r="T1553" s="231" t="s">
        <v>239</v>
      </c>
      <c r="U1553" s="231">
        <v>86</v>
      </c>
      <c r="V1553" s="231" t="s">
        <v>239</v>
      </c>
      <c r="W1553" s="231">
        <v>86</v>
      </c>
      <c r="X1553" s="231" t="s">
        <v>239</v>
      </c>
      <c r="Y1553" s="231">
        <v>86</v>
      </c>
      <c r="Z1553" s="231" t="s">
        <v>239</v>
      </c>
      <c r="AA1553" s="231">
        <v>86</v>
      </c>
      <c r="AB1553" s="231" t="s">
        <v>239</v>
      </c>
      <c r="AC1553" s="231">
        <v>86</v>
      </c>
      <c r="AD1553" s="231" t="s">
        <v>239</v>
      </c>
      <c r="AE1553" s="231">
        <v>86</v>
      </c>
      <c r="AF1553" s="231" t="s">
        <v>239</v>
      </c>
      <c r="AG1553" s="231">
        <v>86</v>
      </c>
      <c r="AH1553" s="231" t="s">
        <v>239</v>
      </c>
      <c r="AI1553" s="231">
        <v>86</v>
      </c>
      <c r="AJ1553" s="231" t="s">
        <v>239</v>
      </c>
      <c r="AK1553" s="231">
        <v>86</v>
      </c>
      <c r="AL1553" s="232" t="s">
        <v>239</v>
      </c>
      <c r="AM1553" s="232">
        <v>0</v>
      </c>
    </row>
    <row r="1554" spans="1:39" ht="15.75" outlineLevel="1">
      <c r="A1554" s="412"/>
      <c r="B1554" s="10">
        <v>129772</v>
      </c>
      <c r="C1554" s="218" t="s">
        <v>1489</v>
      </c>
      <c r="D1554" s="218" t="s">
        <v>1490</v>
      </c>
      <c r="E1554" s="23" t="s">
        <v>44</v>
      </c>
      <c r="F1554" s="17" t="s">
        <v>45</v>
      </c>
      <c r="G1554" s="11" t="s">
        <v>1432</v>
      </c>
      <c r="H1554" s="12">
        <v>8</v>
      </c>
      <c r="I1554" s="11" t="s">
        <v>1433</v>
      </c>
      <c r="J1554" s="193" t="s">
        <v>1446</v>
      </c>
      <c r="K1554" s="17" t="s">
        <v>233</v>
      </c>
      <c r="L1554" s="17" t="s">
        <v>233</v>
      </c>
      <c r="M1554" s="231">
        <v>0</v>
      </c>
      <c r="N1554" s="232">
        <v>0</v>
      </c>
      <c r="O1554" s="132">
        <v>0</v>
      </c>
      <c r="P1554" s="231" t="s">
        <v>239</v>
      </c>
      <c r="Q1554" s="232">
        <v>0</v>
      </c>
      <c r="R1554" s="231" t="s">
        <v>239</v>
      </c>
      <c r="S1554" s="232">
        <v>0</v>
      </c>
      <c r="T1554" s="231" t="s">
        <v>239</v>
      </c>
      <c r="U1554" s="232">
        <v>0</v>
      </c>
      <c r="V1554" s="231" t="s">
        <v>239</v>
      </c>
      <c r="W1554" s="232">
        <v>0</v>
      </c>
      <c r="X1554" s="231" t="s">
        <v>239</v>
      </c>
      <c r="Y1554" s="232">
        <v>0</v>
      </c>
      <c r="Z1554" s="231" t="s">
        <v>239</v>
      </c>
      <c r="AA1554" s="232">
        <v>0</v>
      </c>
      <c r="AB1554" s="231" t="s">
        <v>239</v>
      </c>
      <c r="AC1554" s="232">
        <v>0</v>
      </c>
      <c r="AD1554" s="231" t="s">
        <v>239</v>
      </c>
      <c r="AE1554" s="232">
        <v>0</v>
      </c>
      <c r="AF1554" s="231" t="s">
        <v>239</v>
      </c>
      <c r="AG1554" s="232">
        <v>0</v>
      </c>
      <c r="AH1554" s="231" t="s">
        <v>239</v>
      </c>
      <c r="AI1554" s="232">
        <v>0</v>
      </c>
      <c r="AJ1554" s="231" t="s">
        <v>239</v>
      </c>
      <c r="AK1554" s="232">
        <v>0</v>
      </c>
      <c r="AL1554" s="232" t="s">
        <v>239</v>
      </c>
      <c r="AM1554" s="232">
        <v>0</v>
      </c>
    </row>
    <row r="1555" spans="1:39" ht="15.75" outlineLevel="1">
      <c r="A1555" s="411">
        <v>773</v>
      </c>
      <c r="B1555" s="10">
        <v>129773</v>
      </c>
      <c r="C1555" s="218" t="s">
        <v>1489</v>
      </c>
      <c r="D1555" s="218" t="s">
        <v>1490</v>
      </c>
      <c r="E1555" s="23" t="s">
        <v>44</v>
      </c>
      <c r="F1555" s="17" t="s">
        <v>45</v>
      </c>
      <c r="G1555" s="11" t="s">
        <v>1432</v>
      </c>
      <c r="H1555" s="12">
        <v>12</v>
      </c>
      <c r="I1555" s="11" t="s">
        <v>1433</v>
      </c>
      <c r="J1555" s="193" t="s">
        <v>1461</v>
      </c>
      <c r="K1555" s="17" t="s">
        <v>233</v>
      </c>
      <c r="L1555" s="17" t="s">
        <v>233</v>
      </c>
      <c r="M1555" s="231">
        <v>86</v>
      </c>
      <c r="N1555" s="231">
        <v>86</v>
      </c>
      <c r="O1555" s="231">
        <v>86</v>
      </c>
      <c r="P1555" s="231" t="s">
        <v>239</v>
      </c>
      <c r="Q1555" s="231">
        <v>86</v>
      </c>
      <c r="R1555" s="231" t="s">
        <v>239</v>
      </c>
      <c r="S1555" s="231">
        <v>86</v>
      </c>
      <c r="T1555" s="231" t="s">
        <v>239</v>
      </c>
      <c r="U1555" s="231">
        <v>86</v>
      </c>
      <c r="V1555" s="230" t="s">
        <v>239</v>
      </c>
      <c r="W1555" s="231">
        <v>86</v>
      </c>
      <c r="X1555" s="231" t="s">
        <v>239</v>
      </c>
      <c r="Y1555" s="231">
        <v>86</v>
      </c>
      <c r="Z1555" s="231" t="s">
        <v>239</v>
      </c>
      <c r="AA1555" s="231">
        <v>86</v>
      </c>
      <c r="AB1555" s="231" t="s">
        <v>239</v>
      </c>
      <c r="AC1555" s="231">
        <v>86</v>
      </c>
      <c r="AD1555" s="231" t="s">
        <v>239</v>
      </c>
      <c r="AE1555" s="231">
        <v>86</v>
      </c>
      <c r="AF1555" s="231" t="s">
        <v>239</v>
      </c>
      <c r="AG1555" s="231">
        <v>86</v>
      </c>
      <c r="AH1555" s="231" t="s">
        <v>239</v>
      </c>
      <c r="AI1555" s="231">
        <v>86</v>
      </c>
      <c r="AJ1555" s="231" t="s">
        <v>239</v>
      </c>
      <c r="AK1555" s="231">
        <v>86</v>
      </c>
      <c r="AL1555" s="232" t="s">
        <v>239</v>
      </c>
      <c r="AM1555" s="232">
        <v>0</v>
      </c>
    </row>
    <row r="1556" spans="1:39" ht="15.75" outlineLevel="1">
      <c r="A1556" s="412"/>
      <c r="B1556" s="10">
        <v>129773</v>
      </c>
      <c r="C1556" s="218" t="s">
        <v>1489</v>
      </c>
      <c r="D1556" s="218" t="s">
        <v>1490</v>
      </c>
      <c r="E1556" s="23" t="s">
        <v>138</v>
      </c>
      <c r="F1556" s="17" t="s">
        <v>45</v>
      </c>
      <c r="G1556" s="11" t="s">
        <v>1432</v>
      </c>
      <c r="H1556" s="12">
        <v>18</v>
      </c>
      <c r="I1556" s="11" t="s">
        <v>1433</v>
      </c>
      <c r="J1556" s="193" t="s">
        <v>1448</v>
      </c>
      <c r="K1556" s="17" t="s">
        <v>233</v>
      </c>
      <c r="L1556" s="17" t="s">
        <v>233</v>
      </c>
      <c r="M1556" s="231">
        <v>0</v>
      </c>
      <c r="N1556" s="232">
        <v>0</v>
      </c>
      <c r="O1556" s="132">
        <v>0</v>
      </c>
      <c r="P1556" s="231" t="s">
        <v>239</v>
      </c>
      <c r="Q1556" s="232">
        <v>0</v>
      </c>
      <c r="R1556" s="231" t="s">
        <v>239</v>
      </c>
      <c r="S1556" s="232">
        <v>0</v>
      </c>
      <c r="T1556" s="231" t="s">
        <v>239</v>
      </c>
      <c r="U1556" s="232">
        <v>0</v>
      </c>
      <c r="V1556" s="231" t="s">
        <v>239</v>
      </c>
      <c r="W1556" s="232">
        <v>0</v>
      </c>
      <c r="X1556" s="231" t="s">
        <v>239</v>
      </c>
      <c r="Y1556" s="232">
        <v>0</v>
      </c>
      <c r="Z1556" s="231" t="s">
        <v>239</v>
      </c>
      <c r="AA1556" s="232">
        <v>0</v>
      </c>
      <c r="AB1556" s="231" t="s">
        <v>239</v>
      </c>
      <c r="AC1556" s="232">
        <v>0</v>
      </c>
      <c r="AD1556" s="231" t="s">
        <v>239</v>
      </c>
      <c r="AE1556" s="232">
        <v>0</v>
      </c>
      <c r="AF1556" s="231" t="s">
        <v>239</v>
      </c>
      <c r="AG1556" s="232">
        <v>0</v>
      </c>
      <c r="AH1556" s="231" t="s">
        <v>239</v>
      </c>
      <c r="AI1556" s="232">
        <v>0</v>
      </c>
      <c r="AJ1556" s="231" t="s">
        <v>239</v>
      </c>
      <c r="AK1556" s="232">
        <v>0</v>
      </c>
      <c r="AL1556" s="232" t="s">
        <v>239</v>
      </c>
      <c r="AM1556" s="232">
        <v>0</v>
      </c>
    </row>
    <row r="1557" spans="1:39" ht="15.75" outlineLevel="1">
      <c r="A1557" s="411">
        <v>774</v>
      </c>
      <c r="B1557" s="10">
        <v>129774</v>
      </c>
      <c r="C1557" s="218" t="s">
        <v>1489</v>
      </c>
      <c r="D1557" s="218" t="s">
        <v>1490</v>
      </c>
      <c r="E1557" s="23" t="s">
        <v>44</v>
      </c>
      <c r="F1557" s="17" t="s">
        <v>45</v>
      </c>
      <c r="G1557" s="11" t="s">
        <v>1432</v>
      </c>
      <c r="H1557" s="12">
        <v>17</v>
      </c>
      <c r="I1557" s="11" t="s">
        <v>1433</v>
      </c>
      <c r="J1557" s="193" t="s">
        <v>1448</v>
      </c>
      <c r="K1557" s="17" t="s">
        <v>233</v>
      </c>
      <c r="L1557" s="17" t="s">
        <v>233</v>
      </c>
      <c r="M1557" s="231">
        <v>1</v>
      </c>
      <c r="N1557" s="231">
        <v>1</v>
      </c>
      <c r="O1557" s="231">
        <v>1</v>
      </c>
      <c r="P1557" s="231" t="s">
        <v>239</v>
      </c>
      <c r="Q1557" s="231">
        <v>1</v>
      </c>
      <c r="R1557" s="231" t="s">
        <v>239</v>
      </c>
      <c r="S1557" s="231">
        <v>1</v>
      </c>
      <c r="T1557" s="231" t="s">
        <v>239</v>
      </c>
      <c r="U1557" s="231">
        <v>1</v>
      </c>
      <c r="V1557" s="231" t="s">
        <v>239</v>
      </c>
      <c r="W1557" s="231">
        <v>1</v>
      </c>
      <c r="X1557" s="231" t="s">
        <v>239</v>
      </c>
      <c r="Y1557" s="231">
        <v>1</v>
      </c>
      <c r="Z1557" s="231" t="s">
        <v>239</v>
      </c>
      <c r="AA1557" s="231">
        <v>1</v>
      </c>
      <c r="AB1557" s="231" t="s">
        <v>239</v>
      </c>
      <c r="AC1557" s="231">
        <v>1</v>
      </c>
      <c r="AD1557" s="231" t="s">
        <v>239</v>
      </c>
      <c r="AE1557" s="231">
        <v>1</v>
      </c>
      <c r="AF1557" s="231" t="s">
        <v>239</v>
      </c>
      <c r="AG1557" s="231">
        <v>1</v>
      </c>
      <c r="AH1557" s="231" t="s">
        <v>239</v>
      </c>
      <c r="AI1557" s="231">
        <v>1</v>
      </c>
      <c r="AJ1557" s="231" t="s">
        <v>239</v>
      </c>
      <c r="AK1557" s="231">
        <v>1</v>
      </c>
      <c r="AL1557" s="232" t="s">
        <v>239</v>
      </c>
      <c r="AM1557" s="232">
        <v>0</v>
      </c>
    </row>
    <row r="1558" spans="1:39" ht="15.75" outlineLevel="1">
      <c r="A1558" s="412"/>
      <c r="B1558" s="10">
        <v>129774</v>
      </c>
      <c r="C1558" s="218" t="s">
        <v>1489</v>
      </c>
      <c r="D1558" s="218" t="s">
        <v>1490</v>
      </c>
      <c r="E1558" s="23" t="s">
        <v>138</v>
      </c>
      <c r="F1558" s="17" t="s">
        <v>45</v>
      </c>
      <c r="G1558" s="11" t="s">
        <v>1432</v>
      </c>
      <c r="H1558" s="12">
        <v>25</v>
      </c>
      <c r="I1558" s="11" t="s">
        <v>1433</v>
      </c>
      <c r="J1558" s="193" t="s">
        <v>216</v>
      </c>
      <c r="K1558" s="17" t="s">
        <v>233</v>
      </c>
      <c r="L1558" s="17" t="s">
        <v>233</v>
      </c>
      <c r="M1558" s="231">
        <v>5592</v>
      </c>
      <c r="N1558" s="232">
        <v>5524.11312</v>
      </c>
      <c r="O1558" s="132">
        <v>752</v>
      </c>
      <c r="P1558" s="231" t="s">
        <v>239</v>
      </c>
      <c r="Q1558" s="232">
        <v>752</v>
      </c>
      <c r="R1558" s="231" t="s">
        <v>239</v>
      </c>
      <c r="S1558" s="232">
        <v>805</v>
      </c>
      <c r="T1558" s="231" t="s">
        <v>239</v>
      </c>
      <c r="U1558" s="232">
        <v>783</v>
      </c>
      <c r="V1558" s="230" t="s">
        <v>239</v>
      </c>
      <c r="W1558" s="232">
        <v>616</v>
      </c>
      <c r="X1558" s="231" t="s">
        <v>239</v>
      </c>
      <c r="Y1558" s="232">
        <v>586</v>
      </c>
      <c r="Z1558" s="231" t="s">
        <v>239</v>
      </c>
      <c r="AA1558" s="232">
        <v>524</v>
      </c>
      <c r="AB1558" s="231" t="s">
        <v>239</v>
      </c>
      <c r="AC1558" s="232">
        <v>631</v>
      </c>
      <c r="AD1558" s="231" t="s">
        <v>239</v>
      </c>
      <c r="AE1558" s="232">
        <v>749</v>
      </c>
      <c r="AF1558" s="231" t="s">
        <v>239</v>
      </c>
      <c r="AG1558" s="232">
        <v>659</v>
      </c>
      <c r="AH1558" s="231" t="s">
        <v>239</v>
      </c>
      <c r="AI1558" s="232">
        <v>907</v>
      </c>
      <c r="AJ1558" s="231" t="s">
        <v>239</v>
      </c>
      <c r="AK1558" s="232">
        <v>724</v>
      </c>
      <c r="AL1558" s="232" t="s">
        <v>239</v>
      </c>
      <c r="AM1558" s="232">
        <v>8488</v>
      </c>
    </row>
    <row r="1559" spans="1:39" ht="15.75" outlineLevel="1">
      <c r="A1559" s="411">
        <v>775</v>
      </c>
      <c r="B1559" s="10">
        <v>129775</v>
      </c>
      <c r="C1559" s="218" t="s">
        <v>1489</v>
      </c>
      <c r="D1559" s="218" t="s">
        <v>1490</v>
      </c>
      <c r="E1559" s="23" t="s">
        <v>44</v>
      </c>
      <c r="F1559" s="17" t="s">
        <v>45</v>
      </c>
      <c r="G1559" s="11" t="s">
        <v>1432</v>
      </c>
      <c r="H1559" s="12">
        <v>13</v>
      </c>
      <c r="I1559" s="11" t="s">
        <v>1433</v>
      </c>
      <c r="J1559" s="193" t="s">
        <v>1449</v>
      </c>
      <c r="K1559" s="17" t="s">
        <v>233</v>
      </c>
      <c r="L1559" s="17" t="s">
        <v>233</v>
      </c>
      <c r="M1559" s="231">
        <v>1</v>
      </c>
      <c r="N1559" s="231">
        <v>1</v>
      </c>
      <c r="O1559" s="231">
        <v>1</v>
      </c>
      <c r="P1559" s="231" t="s">
        <v>239</v>
      </c>
      <c r="Q1559" s="231">
        <v>1</v>
      </c>
      <c r="R1559" s="231" t="s">
        <v>239</v>
      </c>
      <c r="S1559" s="231">
        <v>1</v>
      </c>
      <c r="T1559" s="231" t="s">
        <v>239</v>
      </c>
      <c r="U1559" s="231">
        <v>1</v>
      </c>
      <c r="V1559" s="231" t="s">
        <v>239</v>
      </c>
      <c r="W1559" s="231">
        <v>1</v>
      </c>
      <c r="X1559" s="231" t="s">
        <v>239</v>
      </c>
      <c r="Y1559" s="231">
        <v>1</v>
      </c>
      <c r="Z1559" s="231" t="s">
        <v>239</v>
      </c>
      <c r="AA1559" s="231">
        <v>1</v>
      </c>
      <c r="AB1559" s="231" t="s">
        <v>239</v>
      </c>
      <c r="AC1559" s="231">
        <v>1</v>
      </c>
      <c r="AD1559" s="231" t="s">
        <v>239</v>
      </c>
      <c r="AE1559" s="231">
        <v>1</v>
      </c>
      <c r="AF1559" s="231" t="s">
        <v>239</v>
      </c>
      <c r="AG1559" s="231">
        <v>1</v>
      </c>
      <c r="AH1559" s="231" t="s">
        <v>239</v>
      </c>
      <c r="AI1559" s="231">
        <v>1</v>
      </c>
      <c r="AJ1559" s="231" t="s">
        <v>239</v>
      </c>
      <c r="AK1559" s="231">
        <v>1</v>
      </c>
      <c r="AL1559" s="232" t="s">
        <v>239</v>
      </c>
      <c r="AM1559" s="232">
        <v>0</v>
      </c>
    </row>
    <row r="1560" spans="1:39" ht="15.75" outlineLevel="1">
      <c r="A1560" s="412"/>
      <c r="B1560" s="10">
        <v>129775</v>
      </c>
      <c r="C1560" s="218" t="s">
        <v>1489</v>
      </c>
      <c r="D1560" s="218" t="s">
        <v>1490</v>
      </c>
      <c r="E1560" s="23" t="s">
        <v>44</v>
      </c>
      <c r="F1560" s="17" t="s">
        <v>45</v>
      </c>
      <c r="G1560" s="11" t="s">
        <v>1432</v>
      </c>
      <c r="H1560" s="12">
        <v>5</v>
      </c>
      <c r="I1560" s="11" t="s">
        <v>1433</v>
      </c>
      <c r="J1560" s="193" t="s">
        <v>1450</v>
      </c>
      <c r="K1560" s="17" t="s">
        <v>233</v>
      </c>
      <c r="L1560" s="17" t="s">
        <v>233</v>
      </c>
      <c r="M1560" s="231">
        <v>0</v>
      </c>
      <c r="N1560" s="232">
        <v>0</v>
      </c>
      <c r="O1560" s="132">
        <v>0</v>
      </c>
      <c r="P1560" s="231" t="s">
        <v>239</v>
      </c>
      <c r="Q1560" s="232">
        <v>0</v>
      </c>
      <c r="R1560" s="231" t="s">
        <v>239</v>
      </c>
      <c r="S1560" s="232">
        <v>0</v>
      </c>
      <c r="T1560" s="231" t="s">
        <v>239</v>
      </c>
      <c r="U1560" s="232">
        <v>0</v>
      </c>
      <c r="V1560" s="231" t="s">
        <v>239</v>
      </c>
      <c r="W1560" s="232">
        <v>0</v>
      </c>
      <c r="X1560" s="231" t="s">
        <v>239</v>
      </c>
      <c r="Y1560" s="232">
        <v>0</v>
      </c>
      <c r="Z1560" s="231" t="s">
        <v>239</v>
      </c>
      <c r="AA1560" s="232">
        <v>0</v>
      </c>
      <c r="AB1560" s="231" t="s">
        <v>239</v>
      </c>
      <c r="AC1560" s="232">
        <v>0</v>
      </c>
      <c r="AD1560" s="231" t="s">
        <v>239</v>
      </c>
      <c r="AE1560" s="232">
        <v>0</v>
      </c>
      <c r="AF1560" s="231" t="s">
        <v>239</v>
      </c>
      <c r="AG1560" s="232">
        <v>0</v>
      </c>
      <c r="AH1560" s="231" t="s">
        <v>239</v>
      </c>
      <c r="AI1560" s="232">
        <v>0</v>
      </c>
      <c r="AJ1560" s="231" t="s">
        <v>239</v>
      </c>
      <c r="AK1560" s="232">
        <v>0</v>
      </c>
      <c r="AL1560" s="232" t="s">
        <v>239</v>
      </c>
      <c r="AM1560" s="232">
        <v>0</v>
      </c>
    </row>
    <row r="1561" spans="1:39" ht="15.75" outlineLevel="1">
      <c r="A1561" s="411">
        <v>776</v>
      </c>
      <c r="B1561" s="10">
        <v>129776</v>
      </c>
      <c r="C1561" s="218" t="s">
        <v>1489</v>
      </c>
      <c r="D1561" s="218" t="s">
        <v>1490</v>
      </c>
      <c r="E1561" s="23" t="s">
        <v>138</v>
      </c>
      <c r="F1561" s="17" t="s">
        <v>45</v>
      </c>
      <c r="G1561" s="11" t="s">
        <v>1432</v>
      </c>
      <c r="H1561" s="12">
        <v>4</v>
      </c>
      <c r="I1561" s="11" t="s">
        <v>1433</v>
      </c>
      <c r="J1561" s="193" t="s">
        <v>1451</v>
      </c>
      <c r="K1561" s="17" t="s">
        <v>233</v>
      </c>
      <c r="L1561" s="17" t="s">
        <v>233</v>
      </c>
      <c r="M1561" s="231">
        <v>27</v>
      </c>
      <c r="N1561" s="231">
        <v>27</v>
      </c>
      <c r="O1561" s="231">
        <v>27</v>
      </c>
      <c r="P1561" s="231" t="s">
        <v>239</v>
      </c>
      <c r="Q1561" s="231">
        <v>27</v>
      </c>
      <c r="R1561" s="231" t="s">
        <v>239</v>
      </c>
      <c r="S1561" s="231">
        <v>27</v>
      </c>
      <c r="T1561" s="231" t="s">
        <v>239</v>
      </c>
      <c r="U1561" s="231">
        <v>27</v>
      </c>
      <c r="V1561" s="230" t="s">
        <v>239</v>
      </c>
      <c r="W1561" s="231">
        <v>27</v>
      </c>
      <c r="X1561" s="231" t="s">
        <v>239</v>
      </c>
      <c r="Y1561" s="231">
        <v>27</v>
      </c>
      <c r="Z1561" s="231" t="s">
        <v>239</v>
      </c>
      <c r="AA1561" s="231">
        <v>27</v>
      </c>
      <c r="AB1561" s="231" t="s">
        <v>239</v>
      </c>
      <c r="AC1561" s="231">
        <v>27</v>
      </c>
      <c r="AD1561" s="231" t="s">
        <v>239</v>
      </c>
      <c r="AE1561" s="231">
        <v>27</v>
      </c>
      <c r="AF1561" s="231" t="s">
        <v>239</v>
      </c>
      <c r="AG1561" s="231">
        <v>27</v>
      </c>
      <c r="AH1561" s="231" t="s">
        <v>239</v>
      </c>
      <c r="AI1561" s="231">
        <v>27</v>
      </c>
      <c r="AJ1561" s="231" t="s">
        <v>239</v>
      </c>
      <c r="AK1561" s="231">
        <v>27</v>
      </c>
      <c r="AL1561" s="232" t="s">
        <v>239</v>
      </c>
      <c r="AM1561" s="232">
        <v>0</v>
      </c>
    </row>
    <row r="1562" spans="1:39" ht="15.75" outlineLevel="1">
      <c r="A1562" s="412"/>
      <c r="B1562" s="10">
        <v>129776</v>
      </c>
      <c r="C1562" s="218" t="s">
        <v>1489</v>
      </c>
      <c r="D1562" s="218" t="s">
        <v>1490</v>
      </c>
      <c r="E1562" s="23" t="s">
        <v>44</v>
      </c>
      <c r="F1562" s="17" t="s">
        <v>45</v>
      </c>
      <c r="G1562" s="11" t="s">
        <v>1432</v>
      </c>
      <c r="H1562" s="12">
        <v>18</v>
      </c>
      <c r="I1562" s="11" t="s">
        <v>1433</v>
      </c>
      <c r="J1562" s="193" t="s">
        <v>208</v>
      </c>
      <c r="K1562" s="17" t="s">
        <v>233</v>
      </c>
      <c r="L1562" s="17" t="s">
        <v>233</v>
      </c>
      <c r="M1562" s="231">
        <v>3336</v>
      </c>
      <c r="N1562" s="232">
        <v>3295.5009599999998</v>
      </c>
      <c r="O1562" s="132">
        <v>1314</v>
      </c>
      <c r="P1562" s="231" t="s">
        <v>239</v>
      </c>
      <c r="Q1562" s="232">
        <v>1314</v>
      </c>
      <c r="R1562" s="231" t="s">
        <v>239</v>
      </c>
      <c r="S1562" s="232">
        <v>1154</v>
      </c>
      <c r="T1562" s="231" t="s">
        <v>239</v>
      </c>
      <c r="U1562" s="232">
        <v>1012</v>
      </c>
      <c r="V1562" s="231" t="s">
        <v>239</v>
      </c>
      <c r="W1562" s="232">
        <v>1009</v>
      </c>
      <c r="X1562" s="231" t="s">
        <v>239</v>
      </c>
      <c r="Y1562" s="232">
        <v>1006</v>
      </c>
      <c r="Z1562" s="231" t="s">
        <v>239</v>
      </c>
      <c r="AA1562" s="232">
        <v>997</v>
      </c>
      <c r="AB1562" s="231" t="s">
        <v>239</v>
      </c>
      <c r="AC1562" s="232">
        <v>958</v>
      </c>
      <c r="AD1562" s="231" t="s">
        <v>239</v>
      </c>
      <c r="AE1562" s="232">
        <v>756</v>
      </c>
      <c r="AF1562" s="231" t="s">
        <v>239</v>
      </c>
      <c r="AG1562" s="232">
        <v>999</v>
      </c>
      <c r="AH1562" s="231" t="s">
        <v>239</v>
      </c>
      <c r="AI1562" s="232">
        <v>951</v>
      </c>
      <c r="AJ1562" s="231" t="s">
        <v>239</v>
      </c>
      <c r="AK1562" s="232">
        <v>1084</v>
      </c>
      <c r="AL1562" s="232" t="s">
        <v>239</v>
      </c>
      <c r="AM1562" s="232">
        <v>12554</v>
      </c>
    </row>
    <row r="1563" spans="1:39" ht="15.75" outlineLevel="1">
      <c r="A1563" s="411">
        <v>777</v>
      </c>
      <c r="B1563" s="10">
        <v>129777</v>
      </c>
      <c r="C1563" s="218" t="s">
        <v>1489</v>
      </c>
      <c r="D1563" s="218" t="s">
        <v>1490</v>
      </c>
      <c r="E1563" s="23" t="s">
        <v>138</v>
      </c>
      <c r="F1563" s="17" t="s">
        <v>45</v>
      </c>
      <c r="G1563" s="11" t="s">
        <v>1432</v>
      </c>
      <c r="H1563" s="12">
        <v>17</v>
      </c>
      <c r="I1563" s="11" t="s">
        <v>1433</v>
      </c>
      <c r="J1563" s="193" t="s">
        <v>1452</v>
      </c>
      <c r="K1563" s="17" t="s">
        <v>233</v>
      </c>
      <c r="L1563" s="17" t="s">
        <v>233</v>
      </c>
      <c r="M1563" s="231">
        <v>15</v>
      </c>
      <c r="N1563" s="231">
        <v>15</v>
      </c>
      <c r="O1563" s="231">
        <v>15</v>
      </c>
      <c r="P1563" s="231" t="s">
        <v>239</v>
      </c>
      <c r="Q1563" s="231">
        <v>15</v>
      </c>
      <c r="R1563" s="231" t="s">
        <v>239</v>
      </c>
      <c r="S1563" s="231">
        <v>15</v>
      </c>
      <c r="T1563" s="231" t="s">
        <v>239</v>
      </c>
      <c r="U1563" s="231">
        <v>15</v>
      </c>
      <c r="V1563" s="231" t="s">
        <v>239</v>
      </c>
      <c r="W1563" s="231">
        <v>15</v>
      </c>
      <c r="X1563" s="231" t="s">
        <v>239</v>
      </c>
      <c r="Y1563" s="231">
        <v>15</v>
      </c>
      <c r="Z1563" s="231" t="s">
        <v>239</v>
      </c>
      <c r="AA1563" s="231">
        <v>15</v>
      </c>
      <c r="AB1563" s="231" t="s">
        <v>239</v>
      </c>
      <c r="AC1563" s="231">
        <v>15</v>
      </c>
      <c r="AD1563" s="231" t="s">
        <v>239</v>
      </c>
      <c r="AE1563" s="231">
        <v>15</v>
      </c>
      <c r="AF1563" s="231" t="s">
        <v>239</v>
      </c>
      <c r="AG1563" s="231">
        <v>15</v>
      </c>
      <c r="AH1563" s="231" t="s">
        <v>239</v>
      </c>
      <c r="AI1563" s="231">
        <v>15</v>
      </c>
      <c r="AJ1563" s="231" t="s">
        <v>239</v>
      </c>
      <c r="AK1563" s="231">
        <v>15</v>
      </c>
      <c r="AL1563" s="232" t="s">
        <v>239</v>
      </c>
      <c r="AM1563" s="232">
        <v>0</v>
      </c>
    </row>
    <row r="1564" spans="1:39" ht="15.75" outlineLevel="1">
      <c r="A1564" s="412"/>
      <c r="B1564" s="10">
        <v>129777</v>
      </c>
      <c r="C1564" s="218" t="s">
        <v>1489</v>
      </c>
      <c r="D1564" s="218" t="s">
        <v>1490</v>
      </c>
      <c r="E1564" s="23" t="s">
        <v>44</v>
      </c>
      <c r="F1564" s="17" t="s">
        <v>45</v>
      </c>
      <c r="G1564" s="11" t="s">
        <v>1432</v>
      </c>
      <c r="H1564" s="12">
        <v>28</v>
      </c>
      <c r="I1564" s="11" t="s">
        <v>1433</v>
      </c>
      <c r="J1564" s="193" t="s">
        <v>216</v>
      </c>
      <c r="K1564" s="17" t="s">
        <v>233</v>
      </c>
      <c r="L1564" s="17" t="s">
        <v>233</v>
      </c>
      <c r="M1564" s="231">
        <v>7878</v>
      </c>
      <c r="N1564" s="232">
        <v>7782.3610799999997</v>
      </c>
      <c r="O1564" s="132">
        <v>1471</v>
      </c>
      <c r="P1564" s="231" t="s">
        <v>239</v>
      </c>
      <c r="Q1564" s="232">
        <v>1471</v>
      </c>
      <c r="R1564" s="231" t="s">
        <v>239</v>
      </c>
      <c r="S1564" s="232">
        <v>1324</v>
      </c>
      <c r="T1564" s="231" t="s">
        <v>239</v>
      </c>
      <c r="U1564" s="232">
        <v>1498</v>
      </c>
      <c r="V1564" s="230" t="s">
        <v>239</v>
      </c>
      <c r="W1564" s="232">
        <v>1480</v>
      </c>
      <c r="X1564" s="231" t="s">
        <v>239</v>
      </c>
      <c r="Y1564" s="232">
        <v>1527</v>
      </c>
      <c r="Z1564" s="231" t="s">
        <v>239</v>
      </c>
      <c r="AA1564" s="232">
        <v>1584</v>
      </c>
      <c r="AB1564" s="231" t="s">
        <v>239</v>
      </c>
      <c r="AC1564" s="232">
        <v>1468</v>
      </c>
      <c r="AD1564" s="231" t="s">
        <v>239</v>
      </c>
      <c r="AE1564" s="232">
        <v>1316</v>
      </c>
      <c r="AF1564" s="231" t="s">
        <v>239</v>
      </c>
      <c r="AG1564" s="232">
        <v>1165</v>
      </c>
      <c r="AH1564" s="231" t="s">
        <v>239</v>
      </c>
      <c r="AI1564" s="232">
        <v>934</v>
      </c>
      <c r="AJ1564" s="231" t="s">
        <v>239</v>
      </c>
      <c r="AK1564" s="232">
        <v>1230</v>
      </c>
      <c r="AL1564" s="232" t="s">
        <v>239</v>
      </c>
      <c r="AM1564" s="232">
        <v>16468</v>
      </c>
    </row>
    <row r="1565" spans="1:39" ht="15.75" outlineLevel="1">
      <c r="A1565" s="411">
        <v>778</v>
      </c>
      <c r="B1565" s="10">
        <v>129778</v>
      </c>
      <c r="C1565" s="218" t="s">
        <v>1489</v>
      </c>
      <c r="D1565" s="218" t="s">
        <v>1490</v>
      </c>
      <c r="E1565" s="23" t="s">
        <v>44</v>
      </c>
      <c r="F1565" s="17" t="s">
        <v>45</v>
      </c>
      <c r="G1565" s="11" t="s">
        <v>1432</v>
      </c>
      <c r="H1565" s="12">
        <v>33</v>
      </c>
      <c r="I1565" s="11" t="s">
        <v>1433</v>
      </c>
      <c r="J1565" s="193" t="s">
        <v>1453</v>
      </c>
      <c r="K1565" s="17" t="s">
        <v>233</v>
      </c>
      <c r="L1565" s="17" t="s">
        <v>233</v>
      </c>
      <c r="M1565" s="231">
        <v>0.6</v>
      </c>
      <c r="N1565" s="231">
        <v>0.6</v>
      </c>
      <c r="O1565" s="231">
        <v>0.6</v>
      </c>
      <c r="P1565" s="231" t="s">
        <v>239</v>
      </c>
      <c r="Q1565" s="231">
        <v>0.6</v>
      </c>
      <c r="R1565" s="231" t="s">
        <v>239</v>
      </c>
      <c r="S1565" s="231">
        <v>0.6</v>
      </c>
      <c r="T1565" s="231" t="s">
        <v>239</v>
      </c>
      <c r="U1565" s="231">
        <v>0.6</v>
      </c>
      <c r="V1565" s="231" t="s">
        <v>239</v>
      </c>
      <c r="W1565" s="231">
        <v>0.6</v>
      </c>
      <c r="X1565" s="231" t="s">
        <v>239</v>
      </c>
      <c r="Y1565" s="231">
        <v>0.6</v>
      </c>
      <c r="Z1565" s="231" t="s">
        <v>239</v>
      </c>
      <c r="AA1565" s="231">
        <v>0.6</v>
      </c>
      <c r="AB1565" s="231" t="s">
        <v>239</v>
      </c>
      <c r="AC1565" s="231">
        <v>0.6</v>
      </c>
      <c r="AD1565" s="231" t="s">
        <v>239</v>
      </c>
      <c r="AE1565" s="231">
        <v>0.6</v>
      </c>
      <c r="AF1565" s="231" t="s">
        <v>239</v>
      </c>
      <c r="AG1565" s="231">
        <v>0.6</v>
      </c>
      <c r="AH1565" s="231" t="s">
        <v>239</v>
      </c>
      <c r="AI1565" s="231">
        <v>0.6</v>
      </c>
      <c r="AJ1565" s="231" t="s">
        <v>239</v>
      </c>
      <c r="AK1565" s="231">
        <v>0.6</v>
      </c>
      <c r="AL1565" s="232" t="s">
        <v>239</v>
      </c>
      <c r="AM1565" s="232">
        <v>0</v>
      </c>
    </row>
    <row r="1566" spans="1:39" ht="15.75" outlineLevel="1">
      <c r="A1566" s="412"/>
      <c r="B1566" s="10">
        <v>129778</v>
      </c>
      <c r="C1566" s="218" t="s">
        <v>1489</v>
      </c>
      <c r="D1566" s="218" t="s">
        <v>1490</v>
      </c>
      <c r="E1566" s="23" t="s">
        <v>138</v>
      </c>
      <c r="F1566" s="17" t="s">
        <v>45</v>
      </c>
      <c r="G1566" s="11" t="s">
        <v>1432</v>
      </c>
      <c r="H1566" s="12">
        <v>25</v>
      </c>
      <c r="I1566" s="11" t="s">
        <v>1433</v>
      </c>
      <c r="J1566" s="193" t="s">
        <v>1451</v>
      </c>
      <c r="K1566" s="17" t="s">
        <v>233</v>
      </c>
      <c r="L1566" s="17" t="s">
        <v>233</v>
      </c>
      <c r="M1566" s="231">
        <v>10427</v>
      </c>
      <c r="N1566" s="232">
        <v>10300.416219999999</v>
      </c>
      <c r="O1566" s="132">
        <v>986</v>
      </c>
      <c r="P1566" s="231" t="s">
        <v>239</v>
      </c>
      <c r="Q1566" s="232">
        <v>986</v>
      </c>
      <c r="R1566" s="231" t="s">
        <v>239</v>
      </c>
      <c r="S1566" s="232">
        <v>836</v>
      </c>
      <c r="T1566" s="231" t="s">
        <v>239</v>
      </c>
      <c r="U1566" s="232">
        <v>890</v>
      </c>
      <c r="V1566" s="231" t="s">
        <v>239</v>
      </c>
      <c r="W1566" s="232">
        <v>710</v>
      </c>
      <c r="X1566" s="231" t="s">
        <v>239</v>
      </c>
      <c r="Y1566" s="232">
        <v>603</v>
      </c>
      <c r="Z1566" s="231" t="s">
        <v>239</v>
      </c>
      <c r="AA1566" s="232">
        <v>533</v>
      </c>
      <c r="AB1566" s="231" t="s">
        <v>239</v>
      </c>
      <c r="AC1566" s="232">
        <v>461</v>
      </c>
      <c r="AD1566" s="231" t="s">
        <v>239</v>
      </c>
      <c r="AE1566" s="232">
        <v>545</v>
      </c>
      <c r="AF1566" s="231" t="s">
        <v>239</v>
      </c>
      <c r="AG1566" s="232">
        <v>541</v>
      </c>
      <c r="AH1566" s="231" t="s">
        <v>239</v>
      </c>
      <c r="AI1566" s="232">
        <v>731</v>
      </c>
      <c r="AJ1566" s="231" t="s">
        <v>239</v>
      </c>
      <c r="AK1566" s="232">
        <v>586</v>
      </c>
      <c r="AL1566" s="232" t="s">
        <v>239</v>
      </c>
      <c r="AM1566" s="232">
        <v>8408</v>
      </c>
    </row>
    <row r="1567" spans="1:39" ht="15.75" outlineLevel="1">
      <c r="A1567" s="411">
        <v>779</v>
      </c>
      <c r="B1567" s="10">
        <v>129779</v>
      </c>
      <c r="C1567" s="218" t="s">
        <v>1489</v>
      </c>
      <c r="D1567" s="218" t="s">
        <v>1490</v>
      </c>
      <c r="E1567" s="23" t="s">
        <v>44</v>
      </c>
      <c r="F1567" s="17" t="s">
        <v>45</v>
      </c>
      <c r="G1567" s="11" t="s">
        <v>1432</v>
      </c>
      <c r="H1567" s="12">
        <v>9</v>
      </c>
      <c r="I1567" s="11" t="s">
        <v>1433</v>
      </c>
      <c r="J1567" s="193" t="s">
        <v>208</v>
      </c>
      <c r="K1567" s="17" t="s">
        <v>233</v>
      </c>
      <c r="L1567" s="17" t="s">
        <v>233</v>
      </c>
      <c r="M1567" s="231">
        <v>2</v>
      </c>
      <c r="N1567" s="231">
        <v>2</v>
      </c>
      <c r="O1567" s="231">
        <v>2</v>
      </c>
      <c r="P1567" s="231" t="s">
        <v>239</v>
      </c>
      <c r="Q1567" s="231">
        <v>2</v>
      </c>
      <c r="R1567" s="231" t="s">
        <v>239</v>
      </c>
      <c r="S1567" s="231">
        <v>2</v>
      </c>
      <c r="T1567" s="231" t="s">
        <v>239</v>
      </c>
      <c r="U1567" s="231">
        <v>2</v>
      </c>
      <c r="V1567" s="230" t="s">
        <v>239</v>
      </c>
      <c r="W1567" s="231">
        <v>2</v>
      </c>
      <c r="X1567" s="231" t="s">
        <v>239</v>
      </c>
      <c r="Y1567" s="231">
        <v>2</v>
      </c>
      <c r="Z1567" s="231" t="s">
        <v>239</v>
      </c>
      <c r="AA1567" s="231">
        <v>2</v>
      </c>
      <c r="AB1567" s="231" t="s">
        <v>239</v>
      </c>
      <c r="AC1567" s="231">
        <v>2</v>
      </c>
      <c r="AD1567" s="231" t="s">
        <v>239</v>
      </c>
      <c r="AE1567" s="231">
        <v>2</v>
      </c>
      <c r="AF1567" s="231" t="s">
        <v>239</v>
      </c>
      <c r="AG1567" s="231">
        <v>2</v>
      </c>
      <c r="AH1567" s="231" t="s">
        <v>239</v>
      </c>
      <c r="AI1567" s="231">
        <v>2</v>
      </c>
      <c r="AJ1567" s="231" t="s">
        <v>239</v>
      </c>
      <c r="AK1567" s="231">
        <v>2</v>
      </c>
      <c r="AL1567" s="232" t="s">
        <v>239</v>
      </c>
      <c r="AM1567" s="232">
        <v>0</v>
      </c>
    </row>
    <row r="1568" spans="1:39" ht="15.75" outlineLevel="1">
      <c r="A1568" s="412"/>
      <c r="B1568" s="10">
        <v>129779</v>
      </c>
      <c r="C1568" s="218" t="s">
        <v>1489</v>
      </c>
      <c r="D1568" s="218" t="s">
        <v>1490</v>
      </c>
      <c r="E1568" s="23" t="s">
        <v>138</v>
      </c>
      <c r="F1568" s="17" t="s">
        <v>45</v>
      </c>
      <c r="G1568" s="11" t="s">
        <v>1432</v>
      </c>
      <c r="H1568" s="12">
        <v>18</v>
      </c>
      <c r="I1568" s="11" t="s">
        <v>1433</v>
      </c>
      <c r="J1568" s="193" t="s">
        <v>1452</v>
      </c>
      <c r="K1568" s="17" t="s">
        <v>233</v>
      </c>
      <c r="L1568" s="17" t="s">
        <v>233</v>
      </c>
      <c r="M1568" s="231">
        <v>10032</v>
      </c>
      <c r="N1568" s="232">
        <v>9910.2115199999989</v>
      </c>
      <c r="O1568" s="132">
        <v>1963</v>
      </c>
      <c r="P1568" s="231" t="s">
        <v>239</v>
      </c>
      <c r="Q1568" s="232">
        <v>1963</v>
      </c>
      <c r="R1568" s="231" t="s">
        <v>239</v>
      </c>
      <c r="S1568" s="232">
        <v>1741</v>
      </c>
      <c r="T1568" s="231" t="s">
        <v>239</v>
      </c>
      <c r="U1568" s="232">
        <v>1922</v>
      </c>
      <c r="V1568" s="231" t="s">
        <v>239</v>
      </c>
      <c r="W1568" s="232">
        <v>1751</v>
      </c>
      <c r="X1568" s="231" t="s">
        <v>239</v>
      </c>
      <c r="Y1568" s="232">
        <v>1756</v>
      </c>
      <c r="Z1568" s="231" t="s">
        <v>239</v>
      </c>
      <c r="AA1568" s="232">
        <v>1718</v>
      </c>
      <c r="AB1568" s="231" t="s">
        <v>239</v>
      </c>
      <c r="AC1568" s="232">
        <v>1541</v>
      </c>
      <c r="AD1568" s="231" t="s">
        <v>239</v>
      </c>
      <c r="AE1568" s="232">
        <v>1520</v>
      </c>
      <c r="AF1568" s="231" t="s">
        <v>239</v>
      </c>
      <c r="AG1568" s="232">
        <v>1632</v>
      </c>
      <c r="AH1568" s="231" t="s">
        <v>239</v>
      </c>
      <c r="AI1568" s="232">
        <v>1616</v>
      </c>
      <c r="AJ1568" s="231" t="s">
        <v>239</v>
      </c>
      <c r="AK1568" s="232">
        <v>1667</v>
      </c>
      <c r="AL1568" s="232" t="s">
        <v>239</v>
      </c>
      <c r="AM1568" s="232">
        <v>20790</v>
      </c>
    </row>
    <row r="1569" spans="1:39" ht="15.75" outlineLevel="1">
      <c r="A1569" s="411">
        <v>780</v>
      </c>
      <c r="B1569" s="10">
        <v>129780</v>
      </c>
      <c r="C1569" s="218" t="s">
        <v>1489</v>
      </c>
      <c r="D1569" s="218" t="s">
        <v>1490</v>
      </c>
      <c r="E1569" s="23" t="s">
        <v>44</v>
      </c>
      <c r="F1569" s="17" t="s">
        <v>45</v>
      </c>
      <c r="G1569" s="11" t="s">
        <v>1432</v>
      </c>
      <c r="H1569" s="12">
        <v>17</v>
      </c>
      <c r="I1569" s="11" t="s">
        <v>1433</v>
      </c>
      <c r="J1569" s="193" t="s">
        <v>216</v>
      </c>
      <c r="K1569" s="17" t="s">
        <v>233</v>
      </c>
      <c r="L1569" s="17" t="s">
        <v>233</v>
      </c>
      <c r="M1569" s="231">
        <v>15</v>
      </c>
      <c r="N1569" s="231">
        <v>15</v>
      </c>
      <c r="O1569" s="231">
        <v>15</v>
      </c>
      <c r="P1569" s="231" t="s">
        <v>239</v>
      </c>
      <c r="Q1569" s="231">
        <v>15</v>
      </c>
      <c r="R1569" s="231" t="s">
        <v>239</v>
      </c>
      <c r="S1569" s="231">
        <v>15</v>
      </c>
      <c r="T1569" s="231" t="s">
        <v>239</v>
      </c>
      <c r="U1569" s="231">
        <v>15</v>
      </c>
      <c r="V1569" s="231" t="s">
        <v>239</v>
      </c>
      <c r="W1569" s="231">
        <v>15</v>
      </c>
      <c r="X1569" s="231" t="s">
        <v>239</v>
      </c>
      <c r="Y1569" s="231">
        <v>15</v>
      </c>
      <c r="Z1569" s="231" t="s">
        <v>239</v>
      </c>
      <c r="AA1569" s="231">
        <v>15</v>
      </c>
      <c r="AB1569" s="231" t="s">
        <v>239</v>
      </c>
      <c r="AC1569" s="231">
        <v>15</v>
      </c>
      <c r="AD1569" s="231" t="s">
        <v>239</v>
      </c>
      <c r="AE1569" s="231">
        <v>15</v>
      </c>
      <c r="AF1569" s="231" t="s">
        <v>239</v>
      </c>
      <c r="AG1569" s="231">
        <v>15</v>
      </c>
      <c r="AH1569" s="231" t="s">
        <v>239</v>
      </c>
      <c r="AI1569" s="231">
        <v>15</v>
      </c>
      <c r="AJ1569" s="231" t="s">
        <v>239</v>
      </c>
      <c r="AK1569" s="231">
        <v>15</v>
      </c>
      <c r="AL1569" s="232" t="s">
        <v>239</v>
      </c>
      <c r="AM1569" s="232">
        <v>0</v>
      </c>
    </row>
    <row r="1570" spans="1:39" ht="15.75" outlineLevel="1">
      <c r="A1570" s="412"/>
      <c r="B1570" s="10">
        <v>129780</v>
      </c>
      <c r="C1570" s="218" t="s">
        <v>1489</v>
      </c>
      <c r="D1570" s="218" t="s">
        <v>1490</v>
      </c>
      <c r="E1570" s="23" t="s">
        <v>138</v>
      </c>
      <c r="F1570" s="17" t="s">
        <v>45</v>
      </c>
      <c r="G1570" s="11" t="s">
        <v>1432</v>
      </c>
      <c r="H1570" s="12">
        <v>25</v>
      </c>
      <c r="I1570" s="11" t="s">
        <v>1433</v>
      </c>
      <c r="J1570" s="193" t="s">
        <v>1453</v>
      </c>
      <c r="K1570" s="17" t="s">
        <v>233</v>
      </c>
      <c r="L1570" s="17" t="s">
        <v>233</v>
      </c>
      <c r="M1570" s="231">
        <v>4992</v>
      </c>
      <c r="N1570" s="232">
        <v>4931.3971199999996</v>
      </c>
      <c r="O1570" s="132">
        <v>608</v>
      </c>
      <c r="P1570" s="231" t="s">
        <v>239</v>
      </c>
      <c r="Q1570" s="232">
        <v>608</v>
      </c>
      <c r="R1570" s="231" t="s">
        <v>239</v>
      </c>
      <c r="S1570" s="232">
        <v>573</v>
      </c>
      <c r="T1570" s="231" t="s">
        <v>239</v>
      </c>
      <c r="U1570" s="232">
        <v>261</v>
      </c>
      <c r="V1570" s="230" t="s">
        <v>239</v>
      </c>
      <c r="W1570" s="232">
        <v>253</v>
      </c>
      <c r="X1570" s="231" t="s">
        <v>239</v>
      </c>
      <c r="Y1570" s="232">
        <v>179</v>
      </c>
      <c r="Z1570" s="231" t="s">
        <v>239</v>
      </c>
      <c r="AA1570" s="232">
        <v>238</v>
      </c>
      <c r="AB1570" s="231" t="s">
        <v>239</v>
      </c>
      <c r="AC1570" s="232">
        <v>237</v>
      </c>
      <c r="AD1570" s="231" t="s">
        <v>239</v>
      </c>
      <c r="AE1570" s="232">
        <v>148</v>
      </c>
      <c r="AF1570" s="231" t="s">
        <v>239</v>
      </c>
      <c r="AG1570" s="232">
        <v>266</v>
      </c>
      <c r="AH1570" s="231" t="s">
        <v>239</v>
      </c>
      <c r="AI1570" s="232">
        <v>331</v>
      </c>
      <c r="AJ1570" s="231" t="s">
        <v>239</v>
      </c>
      <c r="AK1570" s="232">
        <v>382</v>
      </c>
      <c r="AL1570" s="232" t="s">
        <v>239</v>
      </c>
      <c r="AM1570" s="232">
        <v>4084</v>
      </c>
    </row>
    <row r="1571" spans="1:39" ht="15.75" outlineLevel="1">
      <c r="A1571" s="411">
        <v>781</v>
      </c>
      <c r="B1571" s="10">
        <v>129781</v>
      </c>
      <c r="C1571" s="218" t="s">
        <v>1489</v>
      </c>
      <c r="D1571" s="218" t="s">
        <v>1490</v>
      </c>
      <c r="E1571" s="23" t="s">
        <v>44</v>
      </c>
      <c r="F1571" s="17" t="s">
        <v>45</v>
      </c>
      <c r="G1571" s="11" t="s">
        <v>1432</v>
      </c>
      <c r="H1571" s="12">
        <v>13</v>
      </c>
      <c r="I1571" s="11" t="s">
        <v>1433</v>
      </c>
      <c r="J1571" s="193" t="s">
        <v>1454</v>
      </c>
      <c r="K1571" s="17" t="s">
        <v>233</v>
      </c>
      <c r="L1571" s="17" t="s">
        <v>233</v>
      </c>
      <c r="M1571" s="231">
        <v>0</v>
      </c>
      <c r="N1571" s="232">
        <v>0</v>
      </c>
      <c r="O1571" s="132">
        <v>0</v>
      </c>
      <c r="P1571" s="231" t="s">
        <v>239</v>
      </c>
      <c r="Q1571" s="232">
        <v>0</v>
      </c>
      <c r="R1571" s="231" t="s">
        <v>239</v>
      </c>
      <c r="S1571" s="232">
        <v>0</v>
      </c>
      <c r="T1571" s="231" t="s">
        <v>239</v>
      </c>
      <c r="U1571" s="232">
        <v>0</v>
      </c>
      <c r="V1571" s="231" t="s">
        <v>239</v>
      </c>
      <c r="W1571" s="232">
        <v>0</v>
      </c>
      <c r="X1571" s="231" t="s">
        <v>239</v>
      </c>
      <c r="Y1571" s="232">
        <v>0</v>
      </c>
      <c r="Z1571" s="231" t="s">
        <v>239</v>
      </c>
      <c r="AA1571" s="232">
        <v>0</v>
      </c>
      <c r="AB1571" s="231" t="s">
        <v>239</v>
      </c>
      <c r="AC1571" s="232">
        <v>0</v>
      </c>
      <c r="AD1571" s="231" t="s">
        <v>239</v>
      </c>
      <c r="AE1571" s="232">
        <v>0</v>
      </c>
      <c r="AF1571" s="231" t="s">
        <v>239</v>
      </c>
      <c r="AG1571" s="232">
        <v>0</v>
      </c>
      <c r="AH1571" s="231" t="s">
        <v>239</v>
      </c>
      <c r="AI1571" s="232">
        <v>0</v>
      </c>
      <c r="AJ1571" s="231" t="s">
        <v>239</v>
      </c>
      <c r="AK1571" s="232">
        <v>0</v>
      </c>
      <c r="AL1571" s="232" t="s">
        <v>239</v>
      </c>
      <c r="AM1571" s="232">
        <v>0</v>
      </c>
    </row>
    <row r="1572" spans="1:39" ht="15.75" outlineLevel="1">
      <c r="A1572" s="412"/>
      <c r="B1572" s="10">
        <v>129781</v>
      </c>
      <c r="C1572" s="218" t="s">
        <v>1489</v>
      </c>
      <c r="D1572" s="218" t="s">
        <v>1490</v>
      </c>
      <c r="E1572" s="23" t="s">
        <v>138</v>
      </c>
      <c r="F1572" s="17" t="s">
        <v>45</v>
      </c>
      <c r="G1572" s="11" t="s">
        <v>1432</v>
      </c>
      <c r="H1572" s="12">
        <v>5</v>
      </c>
      <c r="I1572" s="11" t="s">
        <v>1433</v>
      </c>
      <c r="J1572" s="191" t="s">
        <v>216</v>
      </c>
      <c r="K1572" s="17" t="s">
        <v>233</v>
      </c>
      <c r="L1572" s="17" t="s">
        <v>233</v>
      </c>
      <c r="M1572" s="231">
        <v>3288</v>
      </c>
      <c r="N1572" s="232">
        <v>3248.0836799999997</v>
      </c>
      <c r="O1572" s="132">
        <v>894</v>
      </c>
      <c r="P1572" s="231" t="s">
        <v>239</v>
      </c>
      <c r="Q1572" s="232">
        <v>894</v>
      </c>
      <c r="R1572" s="231" t="s">
        <v>239</v>
      </c>
      <c r="S1572" s="232">
        <v>713</v>
      </c>
      <c r="T1572" s="231" t="s">
        <v>239</v>
      </c>
      <c r="U1572" s="232">
        <v>775</v>
      </c>
      <c r="V1572" s="231" t="s">
        <v>239</v>
      </c>
      <c r="W1572" s="232">
        <v>664</v>
      </c>
      <c r="X1572" s="231" t="s">
        <v>239</v>
      </c>
      <c r="Y1572" s="232">
        <v>664</v>
      </c>
      <c r="Z1572" s="231" t="s">
        <v>239</v>
      </c>
      <c r="AA1572" s="232">
        <v>0</v>
      </c>
      <c r="AB1572" s="231" t="s">
        <v>239</v>
      </c>
      <c r="AC1572" s="232">
        <v>564</v>
      </c>
      <c r="AD1572" s="231" t="s">
        <v>239</v>
      </c>
      <c r="AE1572" s="232">
        <v>530</v>
      </c>
      <c r="AF1572" s="231" t="s">
        <v>239</v>
      </c>
      <c r="AG1572" s="232">
        <v>626</v>
      </c>
      <c r="AH1572" s="231" t="s">
        <v>239</v>
      </c>
      <c r="AI1572" s="232">
        <v>672</v>
      </c>
      <c r="AJ1572" s="231" t="s">
        <v>239</v>
      </c>
      <c r="AK1572" s="232">
        <v>672</v>
      </c>
      <c r="AL1572" s="232" t="s">
        <v>239</v>
      </c>
      <c r="AM1572" s="232">
        <v>7668</v>
      </c>
    </row>
    <row r="1573" spans="1:39" ht="15.75" outlineLevel="1">
      <c r="A1573" s="411">
        <v>782</v>
      </c>
      <c r="B1573" s="10">
        <v>129782</v>
      </c>
      <c r="C1573" s="218" t="s">
        <v>1489</v>
      </c>
      <c r="D1573" s="218" t="s">
        <v>1490</v>
      </c>
      <c r="E1573" s="23" t="s">
        <v>44</v>
      </c>
      <c r="F1573" s="17" t="s">
        <v>45</v>
      </c>
      <c r="G1573" s="11" t="s">
        <v>1432</v>
      </c>
      <c r="H1573" s="12">
        <v>4</v>
      </c>
      <c r="I1573" s="11" t="s">
        <v>1433</v>
      </c>
      <c r="J1573" s="192" t="s">
        <v>1434</v>
      </c>
      <c r="K1573" s="17" t="s">
        <v>233</v>
      </c>
      <c r="L1573" s="17" t="s">
        <v>233</v>
      </c>
      <c r="M1573" s="231">
        <v>18</v>
      </c>
      <c r="N1573" s="231">
        <v>18</v>
      </c>
      <c r="O1573" s="231">
        <v>18</v>
      </c>
      <c r="P1573" s="231" t="s">
        <v>239</v>
      </c>
      <c r="Q1573" s="231">
        <v>18</v>
      </c>
      <c r="R1573" s="231" t="s">
        <v>239</v>
      </c>
      <c r="S1573" s="231">
        <v>18</v>
      </c>
      <c r="T1573" s="231" t="s">
        <v>239</v>
      </c>
      <c r="U1573" s="231">
        <v>18</v>
      </c>
      <c r="V1573" s="230" t="s">
        <v>239</v>
      </c>
      <c r="W1573" s="231">
        <v>18</v>
      </c>
      <c r="X1573" s="231" t="s">
        <v>239</v>
      </c>
      <c r="Y1573" s="231">
        <v>18</v>
      </c>
      <c r="Z1573" s="231" t="s">
        <v>239</v>
      </c>
      <c r="AA1573" s="231">
        <v>18</v>
      </c>
      <c r="AB1573" s="231" t="s">
        <v>239</v>
      </c>
      <c r="AC1573" s="231">
        <v>18</v>
      </c>
      <c r="AD1573" s="231" t="s">
        <v>239</v>
      </c>
      <c r="AE1573" s="231">
        <v>18</v>
      </c>
      <c r="AF1573" s="231" t="s">
        <v>239</v>
      </c>
      <c r="AG1573" s="231">
        <v>18</v>
      </c>
      <c r="AH1573" s="231" t="s">
        <v>239</v>
      </c>
      <c r="AI1573" s="231">
        <v>18</v>
      </c>
      <c r="AJ1573" s="231" t="s">
        <v>239</v>
      </c>
      <c r="AK1573" s="231">
        <v>18</v>
      </c>
      <c r="AL1573" s="232" t="s">
        <v>239</v>
      </c>
      <c r="AM1573" s="232">
        <v>0</v>
      </c>
    </row>
    <row r="1574" spans="1:39" ht="15.75" outlineLevel="1">
      <c r="A1574" s="412"/>
      <c r="B1574" s="10">
        <v>129782</v>
      </c>
      <c r="C1574" s="218" t="s">
        <v>1489</v>
      </c>
      <c r="D1574" s="218" t="s">
        <v>1490</v>
      </c>
      <c r="E1574" s="23" t="s">
        <v>44</v>
      </c>
      <c r="F1574" s="17" t="s">
        <v>45</v>
      </c>
      <c r="G1574" s="11" t="s">
        <v>1432</v>
      </c>
      <c r="H1574" s="12">
        <v>24</v>
      </c>
      <c r="I1574" s="11" t="s">
        <v>1433</v>
      </c>
      <c r="J1574" s="193" t="s">
        <v>1451</v>
      </c>
      <c r="K1574" s="17" t="s">
        <v>233</v>
      </c>
      <c r="L1574" s="17" t="s">
        <v>233</v>
      </c>
      <c r="M1574" s="231">
        <v>2812</v>
      </c>
      <c r="N1574" s="232">
        <v>2777.8623199999997</v>
      </c>
      <c r="O1574" s="132">
        <v>225</v>
      </c>
      <c r="P1574" s="231" t="s">
        <v>239</v>
      </c>
      <c r="Q1574" s="232">
        <v>225</v>
      </c>
      <c r="R1574" s="231" t="s">
        <v>239</v>
      </c>
      <c r="S1574" s="232">
        <v>532</v>
      </c>
      <c r="T1574" s="231" t="s">
        <v>239</v>
      </c>
      <c r="U1574" s="232">
        <v>469</v>
      </c>
      <c r="V1574" s="231" t="s">
        <v>239</v>
      </c>
      <c r="W1574" s="232">
        <v>339</v>
      </c>
      <c r="X1574" s="231" t="s">
        <v>239</v>
      </c>
      <c r="Y1574" s="232">
        <v>155</v>
      </c>
      <c r="Z1574" s="231" t="s">
        <v>239</v>
      </c>
      <c r="AA1574" s="232">
        <v>247</v>
      </c>
      <c r="AB1574" s="231" t="s">
        <v>239</v>
      </c>
      <c r="AC1574" s="232">
        <v>157</v>
      </c>
      <c r="AD1574" s="231" t="s">
        <v>239</v>
      </c>
      <c r="AE1574" s="232">
        <v>0</v>
      </c>
      <c r="AF1574" s="231" t="s">
        <v>239</v>
      </c>
      <c r="AG1574" s="232">
        <v>103</v>
      </c>
      <c r="AH1574" s="231" t="s">
        <v>239</v>
      </c>
      <c r="AI1574" s="232">
        <v>150</v>
      </c>
      <c r="AJ1574" s="231" t="s">
        <v>239</v>
      </c>
      <c r="AK1574" s="232">
        <v>4</v>
      </c>
      <c r="AL1574" s="232" t="s">
        <v>239</v>
      </c>
      <c r="AM1574" s="232">
        <v>2606</v>
      </c>
    </row>
    <row r="1575" spans="1:39" ht="15.75" outlineLevel="1">
      <c r="A1575" s="411">
        <v>783</v>
      </c>
      <c r="B1575" s="10">
        <v>129783</v>
      </c>
      <c r="C1575" s="218" t="s">
        <v>1489</v>
      </c>
      <c r="D1575" s="218" t="s">
        <v>1490</v>
      </c>
      <c r="E1575" s="23" t="s">
        <v>138</v>
      </c>
      <c r="F1575" s="17" t="s">
        <v>45</v>
      </c>
      <c r="G1575" s="11" t="s">
        <v>1432</v>
      </c>
      <c r="H1575" s="12">
        <v>10</v>
      </c>
      <c r="I1575" s="11" t="s">
        <v>1433</v>
      </c>
      <c r="J1575" s="193" t="s">
        <v>208</v>
      </c>
      <c r="K1575" s="17" t="s">
        <v>233</v>
      </c>
      <c r="L1575" s="17" t="s">
        <v>233</v>
      </c>
      <c r="M1575" s="231">
        <v>0</v>
      </c>
      <c r="N1575" s="232">
        <v>0</v>
      </c>
      <c r="O1575" s="132">
        <v>0</v>
      </c>
      <c r="P1575" s="231" t="s">
        <v>239</v>
      </c>
      <c r="Q1575" s="232">
        <v>0</v>
      </c>
      <c r="R1575" s="231" t="s">
        <v>239</v>
      </c>
      <c r="S1575" s="232">
        <v>0</v>
      </c>
      <c r="T1575" s="231" t="s">
        <v>239</v>
      </c>
      <c r="U1575" s="232">
        <v>0</v>
      </c>
      <c r="V1575" s="231" t="s">
        <v>239</v>
      </c>
      <c r="W1575" s="232">
        <v>0</v>
      </c>
      <c r="X1575" s="231" t="s">
        <v>239</v>
      </c>
      <c r="Y1575" s="232">
        <v>0</v>
      </c>
      <c r="Z1575" s="231" t="s">
        <v>239</v>
      </c>
      <c r="AA1575" s="232">
        <v>0</v>
      </c>
      <c r="AB1575" s="231" t="s">
        <v>239</v>
      </c>
      <c r="AC1575" s="232">
        <v>0</v>
      </c>
      <c r="AD1575" s="231" t="s">
        <v>239</v>
      </c>
      <c r="AE1575" s="232">
        <v>0</v>
      </c>
      <c r="AF1575" s="231" t="s">
        <v>239</v>
      </c>
      <c r="AG1575" s="232">
        <v>0</v>
      </c>
      <c r="AH1575" s="231" t="s">
        <v>239</v>
      </c>
      <c r="AI1575" s="232">
        <v>0</v>
      </c>
      <c r="AJ1575" s="231" t="s">
        <v>239</v>
      </c>
      <c r="AK1575" s="232">
        <v>0</v>
      </c>
      <c r="AL1575" s="232" t="s">
        <v>239</v>
      </c>
      <c r="AM1575" s="232">
        <v>0</v>
      </c>
    </row>
    <row r="1576" spans="1:39" ht="15.75" outlineLevel="1">
      <c r="A1576" s="412"/>
      <c r="B1576" s="10">
        <v>129783</v>
      </c>
      <c r="C1576" s="218" t="s">
        <v>1489</v>
      </c>
      <c r="D1576" s="218" t="s">
        <v>1490</v>
      </c>
      <c r="E1576" s="23" t="s">
        <v>44</v>
      </c>
      <c r="F1576" s="17" t="s">
        <v>45</v>
      </c>
      <c r="G1576" s="11" t="s">
        <v>1432</v>
      </c>
      <c r="H1576" s="12">
        <v>17</v>
      </c>
      <c r="I1576" s="11" t="s">
        <v>1433</v>
      </c>
      <c r="J1576" s="193" t="s">
        <v>1452</v>
      </c>
      <c r="K1576" s="17" t="s">
        <v>233</v>
      </c>
      <c r="L1576" s="17" t="s">
        <v>233</v>
      </c>
      <c r="M1576" s="231">
        <v>0</v>
      </c>
      <c r="N1576" s="232">
        <v>0</v>
      </c>
      <c r="O1576" s="132">
        <v>0</v>
      </c>
      <c r="P1576" s="231" t="s">
        <v>239</v>
      </c>
      <c r="Q1576" s="232">
        <v>0</v>
      </c>
      <c r="R1576" s="231" t="s">
        <v>239</v>
      </c>
      <c r="S1576" s="232">
        <v>0</v>
      </c>
      <c r="T1576" s="231" t="s">
        <v>239</v>
      </c>
      <c r="U1576" s="232">
        <v>0</v>
      </c>
      <c r="V1576" s="230" t="s">
        <v>239</v>
      </c>
      <c r="W1576" s="232">
        <v>0</v>
      </c>
      <c r="X1576" s="231" t="s">
        <v>239</v>
      </c>
      <c r="Y1576" s="232">
        <v>0</v>
      </c>
      <c r="Z1576" s="231" t="s">
        <v>239</v>
      </c>
      <c r="AA1576" s="232">
        <v>0</v>
      </c>
      <c r="AB1576" s="231" t="s">
        <v>239</v>
      </c>
      <c r="AC1576" s="232">
        <v>0</v>
      </c>
      <c r="AD1576" s="231" t="s">
        <v>239</v>
      </c>
      <c r="AE1576" s="232">
        <v>0</v>
      </c>
      <c r="AF1576" s="231" t="s">
        <v>239</v>
      </c>
      <c r="AG1576" s="232">
        <v>0</v>
      </c>
      <c r="AH1576" s="231" t="s">
        <v>239</v>
      </c>
      <c r="AI1576" s="232">
        <v>0</v>
      </c>
      <c r="AJ1576" s="231" t="s">
        <v>239</v>
      </c>
      <c r="AK1576" s="232">
        <v>0</v>
      </c>
      <c r="AL1576" s="232" t="s">
        <v>239</v>
      </c>
      <c r="AM1576" s="232">
        <v>0</v>
      </c>
    </row>
    <row r="1577" spans="1:39" ht="15.75" outlineLevel="1">
      <c r="A1577" s="411">
        <v>784</v>
      </c>
      <c r="B1577" s="10">
        <v>129784</v>
      </c>
      <c r="C1577" s="218" t="s">
        <v>1489</v>
      </c>
      <c r="D1577" s="218" t="s">
        <v>1490</v>
      </c>
      <c r="E1577" s="23" t="s">
        <v>138</v>
      </c>
      <c r="F1577" s="17" t="s">
        <v>45</v>
      </c>
      <c r="G1577" s="11" t="s">
        <v>1432</v>
      </c>
      <c r="H1577" s="12">
        <v>32</v>
      </c>
      <c r="I1577" s="11" t="s">
        <v>1433</v>
      </c>
      <c r="J1577" s="193" t="s">
        <v>216</v>
      </c>
      <c r="K1577" s="17" t="s">
        <v>233</v>
      </c>
      <c r="L1577" s="17" t="s">
        <v>233</v>
      </c>
      <c r="M1577" s="231">
        <v>38</v>
      </c>
      <c r="N1577" s="231">
        <v>38</v>
      </c>
      <c r="O1577" s="231">
        <v>38</v>
      </c>
      <c r="P1577" s="231" t="s">
        <v>239</v>
      </c>
      <c r="Q1577" s="231">
        <v>38</v>
      </c>
      <c r="R1577" s="231" t="s">
        <v>239</v>
      </c>
      <c r="S1577" s="231">
        <v>38</v>
      </c>
      <c r="T1577" s="231" t="s">
        <v>239</v>
      </c>
      <c r="U1577" s="231">
        <v>38</v>
      </c>
      <c r="V1577" s="231" t="s">
        <v>239</v>
      </c>
      <c r="W1577" s="231">
        <v>38</v>
      </c>
      <c r="X1577" s="231" t="s">
        <v>239</v>
      </c>
      <c r="Y1577" s="231">
        <v>38</v>
      </c>
      <c r="Z1577" s="231" t="s">
        <v>239</v>
      </c>
      <c r="AA1577" s="231">
        <v>38</v>
      </c>
      <c r="AB1577" s="231" t="s">
        <v>239</v>
      </c>
      <c r="AC1577" s="231">
        <v>38</v>
      </c>
      <c r="AD1577" s="231" t="s">
        <v>239</v>
      </c>
      <c r="AE1577" s="231">
        <v>38</v>
      </c>
      <c r="AF1577" s="231" t="s">
        <v>239</v>
      </c>
      <c r="AG1577" s="231">
        <v>38</v>
      </c>
      <c r="AH1577" s="231" t="s">
        <v>239</v>
      </c>
      <c r="AI1577" s="231">
        <v>38</v>
      </c>
      <c r="AJ1577" s="231" t="s">
        <v>239</v>
      </c>
      <c r="AK1577" s="231">
        <v>38</v>
      </c>
      <c r="AL1577" s="232" t="s">
        <v>239</v>
      </c>
      <c r="AM1577" s="232">
        <v>0</v>
      </c>
    </row>
    <row r="1578" spans="1:39" ht="15.75" outlineLevel="1">
      <c r="A1578" s="412"/>
      <c r="B1578" s="10">
        <v>129784</v>
      </c>
      <c r="C1578" s="218" t="s">
        <v>1489</v>
      </c>
      <c r="D1578" s="218" t="s">
        <v>1490</v>
      </c>
      <c r="E1578" s="23" t="s">
        <v>44</v>
      </c>
      <c r="F1578" s="17" t="s">
        <v>45</v>
      </c>
      <c r="G1578" s="11" t="s">
        <v>1432</v>
      </c>
      <c r="H1578" s="12">
        <v>8</v>
      </c>
      <c r="I1578" s="11" t="s">
        <v>1433</v>
      </c>
      <c r="J1578" s="193" t="s">
        <v>1453</v>
      </c>
      <c r="K1578" s="17" t="s">
        <v>233</v>
      </c>
      <c r="L1578" s="17" t="s">
        <v>233</v>
      </c>
      <c r="M1578" s="231">
        <v>31846</v>
      </c>
      <c r="N1578" s="232">
        <v>31459.38956</v>
      </c>
      <c r="O1578" s="132">
        <v>1175</v>
      </c>
      <c r="P1578" s="231" t="s">
        <v>239</v>
      </c>
      <c r="Q1578" s="232">
        <v>1175</v>
      </c>
      <c r="R1578" s="231" t="s">
        <v>239</v>
      </c>
      <c r="S1578" s="232">
        <v>1067</v>
      </c>
      <c r="T1578" s="231" t="s">
        <v>239</v>
      </c>
      <c r="U1578" s="232">
        <v>1097</v>
      </c>
      <c r="V1578" s="231" t="s">
        <v>239</v>
      </c>
      <c r="W1578" s="232">
        <v>1051</v>
      </c>
      <c r="X1578" s="231" t="s">
        <v>239</v>
      </c>
      <c r="Y1578" s="232">
        <v>958</v>
      </c>
      <c r="Z1578" s="231" t="s">
        <v>239</v>
      </c>
      <c r="AA1578" s="232">
        <v>1008</v>
      </c>
      <c r="AB1578" s="231" t="s">
        <v>239</v>
      </c>
      <c r="AC1578" s="232">
        <v>1032</v>
      </c>
      <c r="AD1578" s="231" t="s">
        <v>239</v>
      </c>
      <c r="AE1578" s="232">
        <v>1010</v>
      </c>
      <c r="AF1578" s="231" t="s">
        <v>239</v>
      </c>
      <c r="AG1578" s="232">
        <v>1147</v>
      </c>
      <c r="AH1578" s="231" t="s">
        <v>239</v>
      </c>
      <c r="AI1578" s="232">
        <v>1395</v>
      </c>
      <c r="AJ1578" s="231" t="s">
        <v>239</v>
      </c>
      <c r="AK1578" s="232">
        <v>1140</v>
      </c>
      <c r="AL1578" s="232" t="s">
        <v>239</v>
      </c>
      <c r="AM1578" s="232">
        <v>13255</v>
      </c>
    </row>
    <row r="1579" spans="1:39" ht="15.75" outlineLevel="1">
      <c r="A1579" s="411">
        <v>785</v>
      </c>
      <c r="B1579" s="10">
        <v>129785</v>
      </c>
      <c r="C1579" s="218" t="s">
        <v>1489</v>
      </c>
      <c r="D1579" s="218" t="s">
        <v>1490</v>
      </c>
      <c r="E1579" s="23" t="s">
        <v>44</v>
      </c>
      <c r="F1579" s="17" t="s">
        <v>45</v>
      </c>
      <c r="G1579" s="11" t="s">
        <v>1432</v>
      </c>
      <c r="H1579" s="12">
        <v>12</v>
      </c>
      <c r="I1579" s="11" t="s">
        <v>1433</v>
      </c>
      <c r="J1579" s="193" t="s">
        <v>1454</v>
      </c>
      <c r="K1579" s="17" t="s">
        <v>233</v>
      </c>
      <c r="L1579" s="17" t="s">
        <v>233</v>
      </c>
      <c r="M1579" s="231">
        <v>0</v>
      </c>
      <c r="N1579" s="232">
        <v>0</v>
      </c>
      <c r="O1579" s="132">
        <v>0</v>
      </c>
      <c r="P1579" s="231" t="s">
        <v>239</v>
      </c>
      <c r="Q1579" s="232">
        <v>0</v>
      </c>
      <c r="R1579" s="231" t="s">
        <v>239</v>
      </c>
      <c r="S1579" s="232">
        <v>0</v>
      </c>
      <c r="T1579" s="231" t="s">
        <v>239</v>
      </c>
      <c r="U1579" s="232">
        <v>0</v>
      </c>
      <c r="V1579" s="230" t="s">
        <v>239</v>
      </c>
      <c r="W1579" s="232">
        <v>0</v>
      </c>
      <c r="X1579" s="231" t="s">
        <v>239</v>
      </c>
      <c r="Y1579" s="232">
        <v>0</v>
      </c>
      <c r="Z1579" s="231" t="s">
        <v>239</v>
      </c>
      <c r="AA1579" s="232">
        <v>0</v>
      </c>
      <c r="AB1579" s="231" t="s">
        <v>239</v>
      </c>
      <c r="AC1579" s="232">
        <v>0</v>
      </c>
      <c r="AD1579" s="231" t="s">
        <v>239</v>
      </c>
      <c r="AE1579" s="232">
        <v>0</v>
      </c>
      <c r="AF1579" s="231" t="s">
        <v>239</v>
      </c>
      <c r="AG1579" s="232">
        <v>0</v>
      </c>
      <c r="AH1579" s="231" t="s">
        <v>239</v>
      </c>
      <c r="AI1579" s="232">
        <v>0</v>
      </c>
      <c r="AJ1579" s="231" t="s">
        <v>239</v>
      </c>
      <c r="AK1579" s="232">
        <v>0</v>
      </c>
      <c r="AL1579" s="232" t="s">
        <v>239</v>
      </c>
      <c r="AM1579" s="232">
        <v>0</v>
      </c>
    </row>
    <row r="1580" spans="1:39" ht="15.75" outlineLevel="1">
      <c r="A1580" s="412"/>
      <c r="B1580" s="10">
        <v>129785</v>
      </c>
      <c r="C1580" s="218" t="s">
        <v>1489</v>
      </c>
      <c r="D1580" s="218" t="s">
        <v>1490</v>
      </c>
      <c r="E1580" s="23" t="s">
        <v>138</v>
      </c>
      <c r="F1580" s="17" t="s">
        <v>45</v>
      </c>
      <c r="G1580" s="11" t="s">
        <v>1432</v>
      </c>
      <c r="H1580" s="12">
        <v>18</v>
      </c>
      <c r="I1580" s="11" t="s">
        <v>1433</v>
      </c>
      <c r="J1580" s="191" t="s">
        <v>216</v>
      </c>
      <c r="K1580" s="17" t="s">
        <v>233</v>
      </c>
      <c r="L1580" s="17" t="s">
        <v>233</v>
      </c>
      <c r="M1580" s="231">
        <v>0</v>
      </c>
      <c r="N1580" s="232">
        <v>0</v>
      </c>
      <c r="O1580" s="132">
        <v>0</v>
      </c>
      <c r="P1580" s="231" t="s">
        <v>239</v>
      </c>
      <c r="Q1580" s="232">
        <v>0</v>
      </c>
      <c r="R1580" s="231" t="s">
        <v>239</v>
      </c>
      <c r="S1580" s="232">
        <v>0</v>
      </c>
      <c r="T1580" s="231" t="s">
        <v>239</v>
      </c>
      <c r="U1580" s="232">
        <v>0</v>
      </c>
      <c r="V1580" s="231" t="s">
        <v>239</v>
      </c>
      <c r="W1580" s="232">
        <v>0</v>
      </c>
      <c r="X1580" s="231" t="s">
        <v>239</v>
      </c>
      <c r="Y1580" s="232">
        <v>0</v>
      </c>
      <c r="Z1580" s="231" t="s">
        <v>239</v>
      </c>
      <c r="AA1580" s="232">
        <v>0</v>
      </c>
      <c r="AB1580" s="231" t="s">
        <v>239</v>
      </c>
      <c r="AC1580" s="232">
        <v>0</v>
      </c>
      <c r="AD1580" s="231" t="s">
        <v>239</v>
      </c>
      <c r="AE1580" s="232">
        <v>0</v>
      </c>
      <c r="AF1580" s="231" t="s">
        <v>239</v>
      </c>
      <c r="AG1580" s="232">
        <v>0</v>
      </c>
      <c r="AH1580" s="231" t="s">
        <v>239</v>
      </c>
      <c r="AI1580" s="232">
        <v>0</v>
      </c>
      <c r="AJ1580" s="231" t="s">
        <v>239</v>
      </c>
      <c r="AK1580" s="232">
        <v>0</v>
      </c>
      <c r="AL1580" s="232" t="s">
        <v>239</v>
      </c>
      <c r="AM1580" s="232">
        <v>0</v>
      </c>
    </row>
    <row r="1581" spans="1:39" ht="15.75" outlineLevel="1">
      <c r="A1581" s="411">
        <v>786</v>
      </c>
      <c r="B1581" s="10">
        <v>129786</v>
      </c>
      <c r="C1581" s="218" t="s">
        <v>1489</v>
      </c>
      <c r="D1581" s="218" t="s">
        <v>1490</v>
      </c>
      <c r="E1581" s="23" t="s">
        <v>44</v>
      </c>
      <c r="F1581" s="17" t="s">
        <v>45</v>
      </c>
      <c r="G1581" s="11" t="s">
        <v>1432</v>
      </c>
      <c r="H1581" s="12">
        <v>17</v>
      </c>
      <c r="I1581" s="11" t="s">
        <v>1433</v>
      </c>
      <c r="J1581" s="192" t="s">
        <v>1434</v>
      </c>
      <c r="K1581" s="17" t="s">
        <v>233</v>
      </c>
      <c r="L1581" s="17" t="s">
        <v>233</v>
      </c>
      <c r="M1581" s="231">
        <v>0.875</v>
      </c>
      <c r="N1581" s="231">
        <v>0.875</v>
      </c>
      <c r="O1581" s="231">
        <v>0.875</v>
      </c>
      <c r="P1581" s="231" t="s">
        <v>239</v>
      </c>
      <c r="Q1581" s="231">
        <v>0.875</v>
      </c>
      <c r="R1581" s="231" t="s">
        <v>239</v>
      </c>
      <c r="S1581" s="231">
        <v>0.875</v>
      </c>
      <c r="T1581" s="231" t="s">
        <v>239</v>
      </c>
      <c r="U1581" s="231">
        <v>0.875</v>
      </c>
      <c r="V1581" s="231" t="s">
        <v>239</v>
      </c>
      <c r="W1581" s="231">
        <v>0.875</v>
      </c>
      <c r="X1581" s="231" t="s">
        <v>239</v>
      </c>
      <c r="Y1581" s="231">
        <v>0.875</v>
      </c>
      <c r="Z1581" s="231" t="s">
        <v>239</v>
      </c>
      <c r="AA1581" s="231">
        <v>0.875</v>
      </c>
      <c r="AB1581" s="231" t="s">
        <v>239</v>
      </c>
      <c r="AC1581" s="231">
        <v>0.875</v>
      </c>
      <c r="AD1581" s="231" t="s">
        <v>239</v>
      </c>
      <c r="AE1581" s="231">
        <v>0.875</v>
      </c>
      <c r="AF1581" s="231" t="s">
        <v>239</v>
      </c>
      <c r="AG1581" s="231">
        <v>0.875</v>
      </c>
      <c r="AH1581" s="231" t="s">
        <v>239</v>
      </c>
      <c r="AI1581" s="231">
        <v>0.875</v>
      </c>
      <c r="AJ1581" s="231" t="s">
        <v>239</v>
      </c>
      <c r="AK1581" s="231">
        <v>0.875</v>
      </c>
      <c r="AL1581" s="232" t="s">
        <v>239</v>
      </c>
      <c r="AM1581" s="232">
        <v>0</v>
      </c>
    </row>
    <row r="1582" spans="1:39" ht="15.75" outlineLevel="1">
      <c r="A1582" s="412"/>
      <c r="B1582" s="10">
        <v>129786</v>
      </c>
      <c r="C1582" s="218" t="s">
        <v>1489</v>
      </c>
      <c r="D1582" s="218" t="s">
        <v>1490</v>
      </c>
      <c r="E1582" s="23" t="s">
        <v>138</v>
      </c>
      <c r="F1582" s="17" t="s">
        <v>45</v>
      </c>
      <c r="G1582" s="11" t="s">
        <v>1432</v>
      </c>
      <c r="H1582" s="12">
        <v>25</v>
      </c>
      <c r="I1582" s="11" t="s">
        <v>1433</v>
      </c>
      <c r="J1582" s="192" t="s">
        <v>1480</v>
      </c>
      <c r="K1582" s="17" t="s">
        <v>233</v>
      </c>
      <c r="L1582" s="17" t="s">
        <v>233</v>
      </c>
      <c r="M1582" s="231">
        <v>4380</v>
      </c>
      <c r="N1582" s="232">
        <v>4326.8267999999998</v>
      </c>
      <c r="O1582" s="132">
        <v>1316</v>
      </c>
      <c r="P1582" s="231" t="s">
        <v>239</v>
      </c>
      <c r="Q1582" s="232">
        <v>1316</v>
      </c>
      <c r="R1582" s="231" t="s">
        <v>239</v>
      </c>
      <c r="S1582" s="232">
        <v>1512</v>
      </c>
      <c r="T1582" s="231" t="s">
        <v>239</v>
      </c>
      <c r="U1582" s="232">
        <v>1340</v>
      </c>
      <c r="V1582" s="230" t="s">
        <v>239</v>
      </c>
      <c r="W1582" s="232">
        <v>0</v>
      </c>
      <c r="X1582" s="231" t="s">
        <v>239</v>
      </c>
      <c r="Y1582" s="232">
        <v>158</v>
      </c>
      <c r="Z1582" s="231" t="s">
        <v>239</v>
      </c>
      <c r="AA1582" s="232">
        <v>1256</v>
      </c>
      <c r="AB1582" s="231" t="s">
        <v>239</v>
      </c>
      <c r="AC1582" s="232">
        <v>1334</v>
      </c>
      <c r="AD1582" s="231" t="s">
        <v>239</v>
      </c>
      <c r="AE1582" s="232">
        <v>1442</v>
      </c>
      <c r="AF1582" s="231" t="s">
        <v>239</v>
      </c>
      <c r="AG1582" s="232">
        <v>1438</v>
      </c>
      <c r="AH1582" s="231" t="s">
        <v>239</v>
      </c>
      <c r="AI1582" s="232">
        <v>1153</v>
      </c>
      <c r="AJ1582" s="231" t="s">
        <v>239</v>
      </c>
      <c r="AK1582" s="232">
        <v>1210</v>
      </c>
      <c r="AL1582" s="232" t="s">
        <v>239</v>
      </c>
      <c r="AM1582" s="232">
        <v>13475</v>
      </c>
    </row>
    <row r="1583" spans="1:39" ht="15.75" outlineLevel="1">
      <c r="A1583" s="411">
        <v>787</v>
      </c>
      <c r="B1583" s="10">
        <v>129787</v>
      </c>
      <c r="C1583" s="218" t="s">
        <v>1489</v>
      </c>
      <c r="D1583" s="218" t="s">
        <v>1490</v>
      </c>
      <c r="E1583" s="23" t="s">
        <v>44</v>
      </c>
      <c r="F1583" s="17" t="s">
        <v>45</v>
      </c>
      <c r="G1583" s="11" t="s">
        <v>1432</v>
      </c>
      <c r="H1583" s="12">
        <v>13</v>
      </c>
      <c r="I1583" s="11" t="s">
        <v>1433</v>
      </c>
      <c r="J1583" s="192" t="s">
        <v>1452</v>
      </c>
      <c r="K1583" s="17" t="s">
        <v>233</v>
      </c>
      <c r="L1583" s="17" t="s">
        <v>233</v>
      </c>
      <c r="M1583" s="231">
        <v>0</v>
      </c>
      <c r="N1583" s="232">
        <v>0</v>
      </c>
      <c r="O1583" s="132">
        <v>0</v>
      </c>
      <c r="P1583" s="231" t="s">
        <v>239</v>
      </c>
      <c r="Q1583" s="232">
        <v>0</v>
      </c>
      <c r="R1583" s="231" t="s">
        <v>239</v>
      </c>
      <c r="S1583" s="232">
        <v>0</v>
      </c>
      <c r="T1583" s="231" t="s">
        <v>239</v>
      </c>
      <c r="U1583" s="232">
        <v>0</v>
      </c>
      <c r="V1583" s="231" t="s">
        <v>239</v>
      </c>
      <c r="W1583" s="232">
        <v>0</v>
      </c>
      <c r="X1583" s="231" t="s">
        <v>239</v>
      </c>
      <c r="Y1583" s="232">
        <v>0</v>
      </c>
      <c r="Z1583" s="231" t="s">
        <v>239</v>
      </c>
      <c r="AA1583" s="232">
        <v>0</v>
      </c>
      <c r="AB1583" s="231" t="s">
        <v>239</v>
      </c>
      <c r="AC1583" s="232">
        <v>0</v>
      </c>
      <c r="AD1583" s="231" t="s">
        <v>239</v>
      </c>
      <c r="AE1583" s="232">
        <v>0</v>
      </c>
      <c r="AF1583" s="231" t="s">
        <v>239</v>
      </c>
      <c r="AG1583" s="232">
        <v>0</v>
      </c>
      <c r="AH1583" s="231" t="s">
        <v>239</v>
      </c>
      <c r="AI1583" s="232">
        <v>0</v>
      </c>
      <c r="AJ1583" s="231" t="s">
        <v>239</v>
      </c>
      <c r="AK1583" s="232">
        <v>0</v>
      </c>
      <c r="AL1583" s="232" t="s">
        <v>239</v>
      </c>
      <c r="AM1583" s="232">
        <v>0</v>
      </c>
    </row>
    <row r="1584" spans="1:39" ht="15.75" outlineLevel="1">
      <c r="A1584" s="412"/>
      <c r="B1584" s="10">
        <v>129787</v>
      </c>
      <c r="C1584" s="218" t="s">
        <v>1489</v>
      </c>
      <c r="D1584" s="218" t="s">
        <v>1490</v>
      </c>
      <c r="E1584" s="23" t="s">
        <v>44</v>
      </c>
      <c r="F1584" s="17" t="s">
        <v>45</v>
      </c>
      <c r="G1584" s="11" t="s">
        <v>1432</v>
      </c>
      <c r="H1584" s="12">
        <v>5</v>
      </c>
      <c r="I1584" s="11" t="s">
        <v>1433</v>
      </c>
      <c r="J1584" s="374" t="s">
        <v>207</v>
      </c>
      <c r="K1584" s="17" t="s">
        <v>233</v>
      </c>
      <c r="L1584" s="17" t="s">
        <v>233</v>
      </c>
      <c r="M1584" s="231">
        <v>0</v>
      </c>
      <c r="N1584" s="232">
        <v>0</v>
      </c>
      <c r="O1584" s="132">
        <v>0</v>
      </c>
      <c r="P1584" s="231" t="s">
        <v>239</v>
      </c>
      <c r="Q1584" s="232">
        <v>0</v>
      </c>
      <c r="R1584" s="231" t="s">
        <v>239</v>
      </c>
      <c r="S1584" s="232">
        <v>0</v>
      </c>
      <c r="T1584" s="231" t="s">
        <v>239</v>
      </c>
      <c r="U1584" s="232">
        <v>0</v>
      </c>
      <c r="V1584" s="231" t="s">
        <v>239</v>
      </c>
      <c r="W1584" s="232">
        <v>0</v>
      </c>
      <c r="X1584" s="231" t="s">
        <v>239</v>
      </c>
      <c r="Y1584" s="232">
        <v>0</v>
      </c>
      <c r="Z1584" s="231" t="s">
        <v>239</v>
      </c>
      <c r="AA1584" s="232">
        <v>0</v>
      </c>
      <c r="AB1584" s="231" t="s">
        <v>239</v>
      </c>
      <c r="AC1584" s="232">
        <v>0</v>
      </c>
      <c r="AD1584" s="231" t="s">
        <v>239</v>
      </c>
      <c r="AE1584" s="232">
        <v>0</v>
      </c>
      <c r="AF1584" s="231" t="s">
        <v>239</v>
      </c>
      <c r="AG1584" s="232">
        <v>0</v>
      </c>
      <c r="AH1584" s="231" t="s">
        <v>239</v>
      </c>
      <c r="AI1584" s="232">
        <v>0</v>
      </c>
      <c r="AJ1584" s="231" t="s">
        <v>239</v>
      </c>
      <c r="AK1584" s="232">
        <v>0</v>
      </c>
      <c r="AL1584" s="232" t="s">
        <v>239</v>
      </c>
      <c r="AM1584" s="232">
        <v>0</v>
      </c>
    </row>
    <row r="1585" spans="1:39" ht="15.75" outlineLevel="1">
      <c r="A1585" s="411">
        <v>788</v>
      </c>
      <c r="B1585" s="10">
        <v>129788</v>
      </c>
      <c r="C1585" s="218" t="s">
        <v>1489</v>
      </c>
      <c r="D1585" s="218" t="s">
        <v>1490</v>
      </c>
      <c r="E1585" s="23" t="s">
        <v>138</v>
      </c>
      <c r="F1585" s="17" t="s">
        <v>45</v>
      </c>
      <c r="G1585" s="11" t="s">
        <v>1432</v>
      </c>
      <c r="H1585" s="12">
        <v>4</v>
      </c>
      <c r="I1585" s="11" t="s">
        <v>1433</v>
      </c>
      <c r="J1585" s="375"/>
      <c r="K1585" s="17" t="s">
        <v>233</v>
      </c>
      <c r="L1585" s="17" t="s">
        <v>233</v>
      </c>
      <c r="M1585" s="231">
        <v>40</v>
      </c>
      <c r="N1585" s="231">
        <v>40</v>
      </c>
      <c r="O1585" s="231">
        <v>40</v>
      </c>
      <c r="P1585" s="231" t="s">
        <v>239</v>
      </c>
      <c r="Q1585" s="231">
        <v>40</v>
      </c>
      <c r="R1585" s="231" t="s">
        <v>239</v>
      </c>
      <c r="S1585" s="231">
        <v>40</v>
      </c>
      <c r="T1585" s="231" t="s">
        <v>239</v>
      </c>
      <c r="U1585" s="231">
        <v>40</v>
      </c>
      <c r="V1585" s="230" t="s">
        <v>239</v>
      </c>
      <c r="W1585" s="231">
        <v>40</v>
      </c>
      <c r="X1585" s="231" t="s">
        <v>239</v>
      </c>
      <c r="Y1585" s="231">
        <v>40</v>
      </c>
      <c r="Z1585" s="231" t="s">
        <v>239</v>
      </c>
      <c r="AA1585" s="231">
        <v>40</v>
      </c>
      <c r="AB1585" s="231" t="s">
        <v>239</v>
      </c>
      <c r="AC1585" s="231">
        <v>40</v>
      </c>
      <c r="AD1585" s="231" t="s">
        <v>239</v>
      </c>
      <c r="AE1585" s="231">
        <v>40</v>
      </c>
      <c r="AF1585" s="231" t="s">
        <v>239</v>
      </c>
      <c r="AG1585" s="231">
        <v>40</v>
      </c>
      <c r="AH1585" s="231" t="s">
        <v>239</v>
      </c>
      <c r="AI1585" s="231">
        <v>40</v>
      </c>
      <c r="AJ1585" s="231" t="s">
        <v>239</v>
      </c>
      <c r="AK1585" s="231">
        <v>40</v>
      </c>
      <c r="AL1585" s="232" t="s">
        <v>239</v>
      </c>
      <c r="AM1585" s="232">
        <v>0</v>
      </c>
    </row>
    <row r="1586" spans="1:39" ht="15.75" outlineLevel="1">
      <c r="A1586" s="412"/>
      <c r="B1586" s="10">
        <v>129788</v>
      </c>
      <c r="C1586" s="218" t="s">
        <v>1489</v>
      </c>
      <c r="D1586" s="218" t="s">
        <v>1490</v>
      </c>
      <c r="E1586" s="23" t="s">
        <v>44</v>
      </c>
      <c r="F1586" s="17" t="s">
        <v>45</v>
      </c>
      <c r="G1586" s="11" t="s">
        <v>1432</v>
      </c>
      <c r="H1586" s="12">
        <v>18</v>
      </c>
      <c r="I1586" s="11" t="s">
        <v>1433</v>
      </c>
      <c r="J1586" s="193" t="s">
        <v>1460</v>
      </c>
      <c r="K1586" s="17" t="s">
        <v>233</v>
      </c>
      <c r="L1586" s="17" t="s">
        <v>233</v>
      </c>
      <c r="M1586" s="231">
        <v>7590</v>
      </c>
      <c r="N1586" s="232">
        <v>7497.8573999999999</v>
      </c>
      <c r="O1586" s="132">
        <v>1053</v>
      </c>
      <c r="P1586" s="231" t="s">
        <v>239</v>
      </c>
      <c r="Q1586" s="232">
        <v>1053</v>
      </c>
      <c r="R1586" s="231" t="s">
        <v>239</v>
      </c>
      <c r="S1586" s="232">
        <v>929</v>
      </c>
      <c r="T1586" s="231" t="s">
        <v>239</v>
      </c>
      <c r="U1586" s="232">
        <v>1058</v>
      </c>
      <c r="V1586" s="231" t="s">
        <v>239</v>
      </c>
      <c r="W1586" s="232">
        <v>959</v>
      </c>
      <c r="X1586" s="231" t="s">
        <v>239</v>
      </c>
      <c r="Y1586" s="232">
        <v>956</v>
      </c>
      <c r="Z1586" s="231" t="s">
        <v>239</v>
      </c>
      <c r="AA1586" s="232">
        <v>904</v>
      </c>
      <c r="AB1586" s="231" t="s">
        <v>239</v>
      </c>
      <c r="AC1586" s="232">
        <v>905</v>
      </c>
      <c r="AD1586" s="231" t="s">
        <v>239</v>
      </c>
      <c r="AE1586" s="232">
        <v>1022</v>
      </c>
      <c r="AF1586" s="231" t="s">
        <v>239</v>
      </c>
      <c r="AG1586" s="232">
        <v>956</v>
      </c>
      <c r="AH1586" s="231" t="s">
        <v>239</v>
      </c>
      <c r="AI1586" s="232">
        <v>1187</v>
      </c>
      <c r="AJ1586" s="231" t="s">
        <v>239</v>
      </c>
      <c r="AK1586" s="232">
        <v>1035</v>
      </c>
      <c r="AL1586" s="232" t="s">
        <v>239</v>
      </c>
      <c r="AM1586" s="232">
        <v>12017</v>
      </c>
    </row>
    <row r="1587" spans="1:39" ht="15.75" outlineLevel="1">
      <c r="A1587" s="411">
        <v>789</v>
      </c>
      <c r="B1587" s="10">
        <v>129789</v>
      </c>
      <c r="C1587" s="218" t="s">
        <v>1489</v>
      </c>
      <c r="D1587" s="218" t="s">
        <v>1490</v>
      </c>
      <c r="E1587" s="23" t="s">
        <v>138</v>
      </c>
      <c r="F1587" s="17" t="s">
        <v>45</v>
      </c>
      <c r="G1587" s="11" t="s">
        <v>1432</v>
      </c>
      <c r="H1587" s="12">
        <v>17</v>
      </c>
      <c r="I1587" s="11" t="s">
        <v>1433</v>
      </c>
      <c r="J1587" s="193" t="s">
        <v>1442</v>
      </c>
      <c r="K1587" s="17" t="s">
        <v>233</v>
      </c>
      <c r="L1587" s="17" t="s">
        <v>233</v>
      </c>
      <c r="M1587" s="231">
        <v>40</v>
      </c>
      <c r="N1587" s="231">
        <v>40</v>
      </c>
      <c r="O1587" s="231">
        <v>40</v>
      </c>
      <c r="P1587" s="231" t="s">
        <v>239</v>
      </c>
      <c r="Q1587" s="231">
        <v>40</v>
      </c>
      <c r="R1587" s="231" t="s">
        <v>239</v>
      </c>
      <c r="S1587" s="231">
        <v>40</v>
      </c>
      <c r="T1587" s="231" t="s">
        <v>239</v>
      </c>
      <c r="U1587" s="231">
        <v>40</v>
      </c>
      <c r="V1587" s="231" t="s">
        <v>239</v>
      </c>
      <c r="W1587" s="231">
        <v>40</v>
      </c>
      <c r="X1587" s="231" t="s">
        <v>239</v>
      </c>
      <c r="Y1587" s="231">
        <v>40</v>
      </c>
      <c r="Z1587" s="231" t="s">
        <v>239</v>
      </c>
      <c r="AA1587" s="231">
        <v>40</v>
      </c>
      <c r="AB1587" s="231" t="s">
        <v>239</v>
      </c>
      <c r="AC1587" s="231">
        <v>40</v>
      </c>
      <c r="AD1587" s="231" t="s">
        <v>239</v>
      </c>
      <c r="AE1587" s="231">
        <v>40</v>
      </c>
      <c r="AF1587" s="231" t="s">
        <v>239</v>
      </c>
      <c r="AG1587" s="231">
        <v>40</v>
      </c>
      <c r="AH1587" s="231" t="s">
        <v>239</v>
      </c>
      <c r="AI1587" s="231">
        <v>40</v>
      </c>
      <c r="AJ1587" s="231" t="s">
        <v>239</v>
      </c>
      <c r="AK1587" s="231">
        <v>40</v>
      </c>
      <c r="AL1587" s="232" t="s">
        <v>239</v>
      </c>
      <c r="AM1587" s="232">
        <v>0</v>
      </c>
    </row>
    <row r="1588" spans="1:39" ht="15.75" outlineLevel="1">
      <c r="A1588" s="412"/>
      <c r="B1588" s="10">
        <v>129789</v>
      </c>
      <c r="C1588" s="218" t="s">
        <v>1489</v>
      </c>
      <c r="D1588" s="218" t="s">
        <v>1490</v>
      </c>
      <c r="E1588" s="23" t="s">
        <v>44</v>
      </c>
      <c r="F1588" s="17" t="s">
        <v>45</v>
      </c>
      <c r="G1588" s="11" t="s">
        <v>1432</v>
      </c>
      <c r="H1588" s="12">
        <v>28</v>
      </c>
      <c r="I1588" s="11" t="s">
        <v>1433</v>
      </c>
      <c r="J1588" s="193" t="s">
        <v>1460</v>
      </c>
      <c r="K1588" s="17" t="s">
        <v>233</v>
      </c>
      <c r="L1588" s="17" t="s">
        <v>233</v>
      </c>
      <c r="M1588" s="231">
        <v>0</v>
      </c>
      <c r="N1588" s="232">
        <v>0</v>
      </c>
      <c r="O1588" s="132">
        <v>0</v>
      </c>
      <c r="P1588" s="231" t="s">
        <v>239</v>
      </c>
      <c r="Q1588" s="232">
        <v>0</v>
      </c>
      <c r="R1588" s="231" t="s">
        <v>239</v>
      </c>
      <c r="S1588" s="232">
        <v>0</v>
      </c>
      <c r="T1588" s="231" t="s">
        <v>239</v>
      </c>
      <c r="U1588" s="232">
        <v>0</v>
      </c>
      <c r="V1588" s="230" t="s">
        <v>239</v>
      </c>
      <c r="W1588" s="232">
        <v>0</v>
      </c>
      <c r="X1588" s="231" t="s">
        <v>239</v>
      </c>
      <c r="Y1588" s="232">
        <v>0</v>
      </c>
      <c r="Z1588" s="231" t="s">
        <v>239</v>
      </c>
      <c r="AA1588" s="232">
        <v>0</v>
      </c>
      <c r="AB1588" s="231" t="s">
        <v>239</v>
      </c>
      <c r="AC1588" s="232">
        <v>0</v>
      </c>
      <c r="AD1588" s="231" t="s">
        <v>239</v>
      </c>
      <c r="AE1588" s="232">
        <v>0</v>
      </c>
      <c r="AF1588" s="231" t="s">
        <v>239</v>
      </c>
      <c r="AG1588" s="232">
        <v>0</v>
      </c>
      <c r="AH1588" s="231" t="s">
        <v>239</v>
      </c>
      <c r="AI1588" s="232">
        <v>0</v>
      </c>
      <c r="AJ1588" s="231" t="s">
        <v>239</v>
      </c>
      <c r="AK1588" s="232">
        <v>0</v>
      </c>
      <c r="AL1588" s="232" t="s">
        <v>239</v>
      </c>
      <c r="AM1588" s="232">
        <v>0</v>
      </c>
    </row>
    <row r="1589" spans="1:39" ht="15.75" outlineLevel="1">
      <c r="A1589" s="411">
        <v>790</v>
      </c>
      <c r="B1589" s="10">
        <v>129790</v>
      </c>
      <c r="C1589" s="218" t="s">
        <v>1489</v>
      </c>
      <c r="D1589" s="218" t="s">
        <v>1490</v>
      </c>
      <c r="E1589" s="23" t="s">
        <v>44</v>
      </c>
      <c r="F1589" s="17" t="s">
        <v>45</v>
      </c>
      <c r="G1589" s="11" t="s">
        <v>1432</v>
      </c>
      <c r="H1589" s="12">
        <v>33</v>
      </c>
      <c r="I1589" s="11" t="s">
        <v>1433</v>
      </c>
      <c r="J1589" s="192" t="s">
        <v>1434</v>
      </c>
      <c r="K1589" s="17" t="s">
        <v>233</v>
      </c>
      <c r="L1589" s="17" t="s">
        <v>233</v>
      </c>
      <c r="M1589" s="231">
        <v>22.2</v>
      </c>
      <c r="N1589" s="231">
        <v>22.2</v>
      </c>
      <c r="O1589" s="231">
        <v>22.2</v>
      </c>
      <c r="P1589" s="231" t="s">
        <v>239</v>
      </c>
      <c r="Q1589" s="231">
        <v>22.2</v>
      </c>
      <c r="R1589" s="231" t="s">
        <v>239</v>
      </c>
      <c r="S1589" s="231">
        <v>22.2</v>
      </c>
      <c r="T1589" s="231" t="s">
        <v>239</v>
      </c>
      <c r="U1589" s="231">
        <v>22.2</v>
      </c>
      <c r="V1589" s="231" t="s">
        <v>239</v>
      </c>
      <c r="W1589" s="231">
        <v>22.2</v>
      </c>
      <c r="X1589" s="231" t="s">
        <v>239</v>
      </c>
      <c r="Y1589" s="231">
        <v>22.2</v>
      </c>
      <c r="Z1589" s="231" t="s">
        <v>239</v>
      </c>
      <c r="AA1589" s="231">
        <v>22.2</v>
      </c>
      <c r="AB1589" s="231" t="s">
        <v>239</v>
      </c>
      <c r="AC1589" s="231">
        <v>22.2</v>
      </c>
      <c r="AD1589" s="231" t="s">
        <v>239</v>
      </c>
      <c r="AE1589" s="231">
        <v>22.2</v>
      </c>
      <c r="AF1589" s="231" t="s">
        <v>239</v>
      </c>
      <c r="AG1589" s="231">
        <v>22.2</v>
      </c>
      <c r="AH1589" s="231" t="s">
        <v>239</v>
      </c>
      <c r="AI1589" s="231">
        <v>22.2</v>
      </c>
      <c r="AJ1589" s="231" t="s">
        <v>239</v>
      </c>
      <c r="AK1589" s="231">
        <v>22.2</v>
      </c>
      <c r="AL1589" s="232" t="s">
        <v>239</v>
      </c>
      <c r="AM1589" s="232">
        <v>0</v>
      </c>
    </row>
    <row r="1590" spans="1:39" ht="15.75" outlineLevel="1">
      <c r="A1590" s="412"/>
      <c r="B1590" s="10">
        <v>129790</v>
      </c>
      <c r="C1590" s="218" t="s">
        <v>1489</v>
      </c>
      <c r="D1590" s="218" t="s">
        <v>1490</v>
      </c>
      <c r="E1590" s="23" t="s">
        <v>138</v>
      </c>
      <c r="F1590" s="17" t="s">
        <v>45</v>
      </c>
      <c r="G1590" s="11" t="s">
        <v>1432</v>
      </c>
      <c r="H1590" s="12">
        <v>25</v>
      </c>
      <c r="I1590" s="11" t="s">
        <v>1433</v>
      </c>
      <c r="J1590" s="192" t="s">
        <v>1480</v>
      </c>
      <c r="K1590" s="17" t="s">
        <v>233</v>
      </c>
      <c r="L1590" s="17" t="s">
        <v>233</v>
      </c>
      <c r="M1590" s="231">
        <v>12140</v>
      </c>
      <c r="N1590" s="232">
        <v>11992.6204</v>
      </c>
      <c r="O1590" s="132">
        <v>1450</v>
      </c>
      <c r="P1590" s="231" t="s">
        <v>239</v>
      </c>
      <c r="Q1590" s="232">
        <v>1450</v>
      </c>
      <c r="R1590" s="231" t="s">
        <v>239</v>
      </c>
      <c r="S1590" s="232">
        <v>1450</v>
      </c>
      <c r="T1590" s="231" t="s">
        <v>239</v>
      </c>
      <c r="U1590" s="232">
        <v>1486</v>
      </c>
      <c r="V1590" s="231" t="s">
        <v>239</v>
      </c>
      <c r="W1590" s="232">
        <v>1450</v>
      </c>
      <c r="X1590" s="231" t="s">
        <v>239</v>
      </c>
      <c r="Y1590" s="232">
        <v>1339</v>
      </c>
      <c r="Z1590" s="231" t="s">
        <v>239</v>
      </c>
      <c r="AA1590" s="232">
        <v>1403</v>
      </c>
      <c r="AB1590" s="231" t="s">
        <v>239</v>
      </c>
      <c r="AC1590" s="232">
        <v>1580</v>
      </c>
      <c r="AD1590" s="231" t="s">
        <v>239</v>
      </c>
      <c r="AE1590" s="232">
        <v>1509</v>
      </c>
      <c r="AF1590" s="231" t="s">
        <v>239</v>
      </c>
      <c r="AG1590" s="232">
        <v>1580</v>
      </c>
      <c r="AH1590" s="231" t="s">
        <v>239</v>
      </c>
      <c r="AI1590" s="232">
        <v>2156</v>
      </c>
      <c r="AJ1590" s="231" t="s">
        <v>239</v>
      </c>
      <c r="AK1590" s="232">
        <v>1702</v>
      </c>
      <c r="AL1590" s="232" t="s">
        <v>239</v>
      </c>
      <c r="AM1590" s="232">
        <v>18555</v>
      </c>
    </row>
    <row r="1591" spans="1:39" ht="15.75" outlineLevel="1">
      <c r="A1591" s="411">
        <v>791</v>
      </c>
      <c r="B1591" s="10">
        <v>129791</v>
      </c>
      <c r="C1591" s="218" t="s">
        <v>1489</v>
      </c>
      <c r="D1591" s="218" t="s">
        <v>1490</v>
      </c>
      <c r="E1591" s="23" t="s">
        <v>44</v>
      </c>
      <c r="F1591" s="17" t="s">
        <v>45</v>
      </c>
      <c r="G1591" s="11" t="s">
        <v>1432</v>
      </c>
      <c r="H1591" s="12">
        <v>9</v>
      </c>
      <c r="I1591" s="11" t="s">
        <v>1433</v>
      </c>
      <c r="J1591" s="192" t="s">
        <v>1452</v>
      </c>
      <c r="K1591" s="17" t="s">
        <v>233</v>
      </c>
      <c r="L1591" s="17" t="s">
        <v>233</v>
      </c>
      <c r="M1591" s="231">
        <v>22.2</v>
      </c>
      <c r="N1591" s="231">
        <v>22.2</v>
      </c>
      <c r="O1591" s="231">
        <v>22.2</v>
      </c>
      <c r="P1591" s="231" t="s">
        <v>239</v>
      </c>
      <c r="Q1591" s="231">
        <v>22.2</v>
      </c>
      <c r="R1591" s="231" t="s">
        <v>239</v>
      </c>
      <c r="S1591" s="231">
        <v>22.2</v>
      </c>
      <c r="T1591" s="231" t="s">
        <v>239</v>
      </c>
      <c r="U1591" s="231">
        <v>22.2</v>
      </c>
      <c r="V1591" s="230" t="s">
        <v>239</v>
      </c>
      <c r="W1591" s="231">
        <v>22.2</v>
      </c>
      <c r="X1591" s="231" t="s">
        <v>239</v>
      </c>
      <c r="Y1591" s="231">
        <v>22.2</v>
      </c>
      <c r="Z1591" s="231" t="s">
        <v>239</v>
      </c>
      <c r="AA1591" s="231">
        <v>22.2</v>
      </c>
      <c r="AB1591" s="231" t="s">
        <v>239</v>
      </c>
      <c r="AC1591" s="231">
        <v>22.2</v>
      </c>
      <c r="AD1591" s="231" t="s">
        <v>239</v>
      </c>
      <c r="AE1591" s="231">
        <v>22.2</v>
      </c>
      <c r="AF1591" s="231" t="s">
        <v>239</v>
      </c>
      <c r="AG1591" s="231">
        <v>22.2</v>
      </c>
      <c r="AH1591" s="231" t="s">
        <v>239</v>
      </c>
      <c r="AI1591" s="231">
        <v>22.2</v>
      </c>
      <c r="AJ1591" s="231" t="s">
        <v>239</v>
      </c>
      <c r="AK1591" s="231">
        <v>22.2</v>
      </c>
      <c r="AL1591" s="232" t="s">
        <v>239</v>
      </c>
      <c r="AM1591" s="232">
        <v>0</v>
      </c>
    </row>
    <row r="1592" spans="1:39" ht="15.75" outlineLevel="1">
      <c r="A1592" s="412"/>
      <c r="B1592" s="10">
        <v>129791</v>
      </c>
      <c r="C1592" s="218" t="s">
        <v>1489</v>
      </c>
      <c r="D1592" s="218" t="s">
        <v>1490</v>
      </c>
      <c r="E1592" s="23" t="s">
        <v>138</v>
      </c>
      <c r="F1592" s="17" t="s">
        <v>45</v>
      </c>
      <c r="G1592" s="11" t="s">
        <v>1432</v>
      </c>
      <c r="H1592" s="12">
        <v>32</v>
      </c>
      <c r="I1592" s="11" t="s">
        <v>1433</v>
      </c>
      <c r="J1592" s="374" t="s">
        <v>207</v>
      </c>
      <c r="K1592" s="17" t="s">
        <v>233</v>
      </c>
      <c r="L1592" s="17" t="s">
        <v>233</v>
      </c>
      <c r="M1592" s="231">
        <v>0</v>
      </c>
      <c r="N1592" s="232">
        <v>0</v>
      </c>
      <c r="O1592" s="132">
        <v>0</v>
      </c>
      <c r="P1592" s="231" t="s">
        <v>239</v>
      </c>
      <c r="Q1592" s="232">
        <v>0</v>
      </c>
      <c r="R1592" s="231" t="s">
        <v>239</v>
      </c>
      <c r="S1592" s="232">
        <v>0</v>
      </c>
      <c r="T1592" s="231" t="s">
        <v>239</v>
      </c>
      <c r="U1592" s="232">
        <v>0</v>
      </c>
      <c r="V1592" s="231" t="s">
        <v>239</v>
      </c>
      <c r="W1592" s="232">
        <v>0</v>
      </c>
      <c r="X1592" s="231" t="s">
        <v>239</v>
      </c>
      <c r="Y1592" s="232">
        <v>0</v>
      </c>
      <c r="Z1592" s="231" t="s">
        <v>239</v>
      </c>
      <c r="AA1592" s="232">
        <v>0</v>
      </c>
      <c r="AB1592" s="231" t="s">
        <v>239</v>
      </c>
      <c r="AC1592" s="232">
        <v>0</v>
      </c>
      <c r="AD1592" s="231" t="s">
        <v>239</v>
      </c>
      <c r="AE1592" s="232">
        <v>0</v>
      </c>
      <c r="AF1592" s="231" t="s">
        <v>239</v>
      </c>
      <c r="AG1592" s="232">
        <v>0</v>
      </c>
      <c r="AH1592" s="231" t="s">
        <v>239</v>
      </c>
      <c r="AI1592" s="232">
        <v>0</v>
      </c>
      <c r="AJ1592" s="231" t="s">
        <v>239</v>
      </c>
      <c r="AK1592" s="232">
        <v>0</v>
      </c>
      <c r="AL1592" s="232" t="s">
        <v>239</v>
      </c>
      <c r="AM1592" s="232">
        <v>0</v>
      </c>
    </row>
    <row r="1593" spans="1:39" ht="15.75" outlineLevel="1">
      <c r="A1593" s="411">
        <v>792</v>
      </c>
      <c r="B1593" s="10">
        <v>129792</v>
      </c>
      <c r="C1593" s="218" t="s">
        <v>1489</v>
      </c>
      <c r="D1593" s="218" t="s">
        <v>1490</v>
      </c>
      <c r="E1593" s="23" t="s">
        <v>44</v>
      </c>
      <c r="F1593" s="17" t="s">
        <v>45</v>
      </c>
      <c r="G1593" s="11" t="s">
        <v>1432</v>
      </c>
      <c r="H1593" s="12">
        <v>44</v>
      </c>
      <c r="I1593" s="11" t="s">
        <v>1433</v>
      </c>
      <c r="J1593" s="375"/>
      <c r="K1593" s="17" t="s">
        <v>233</v>
      </c>
      <c r="L1593" s="17" t="s">
        <v>233</v>
      </c>
      <c r="M1593" s="231">
        <v>22.2</v>
      </c>
      <c r="N1593" s="231">
        <v>22.2</v>
      </c>
      <c r="O1593" s="231">
        <v>22.2</v>
      </c>
      <c r="P1593" s="231" t="s">
        <v>239</v>
      </c>
      <c r="Q1593" s="231">
        <v>22.2</v>
      </c>
      <c r="R1593" s="231" t="s">
        <v>239</v>
      </c>
      <c r="S1593" s="231">
        <v>22.2</v>
      </c>
      <c r="T1593" s="231" t="s">
        <v>239</v>
      </c>
      <c r="U1593" s="231">
        <v>22.2</v>
      </c>
      <c r="V1593" s="231" t="s">
        <v>239</v>
      </c>
      <c r="W1593" s="231">
        <v>22.2</v>
      </c>
      <c r="X1593" s="231" t="s">
        <v>239</v>
      </c>
      <c r="Y1593" s="231">
        <v>22.2</v>
      </c>
      <c r="Z1593" s="231" t="s">
        <v>239</v>
      </c>
      <c r="AA1593" s="231">
        <v>22.2</v>
      </c>
      <c r="AB1593" s="231" t="s">
        <v>239</v>
      </c>
      <c r="AC1593" s="231">
        <v>22.2</v>
      </c>
      <c r="AD1593" s="231" t="s">
        <v>239</v>
      </c>
      <c r="AE1593" s="231">
        <v>22.2</v>
      </c>
      <c r="AF1593" s="231" t="s">
        <v>239</v>
      </c>
      <c r="AG1593" s="231">
        <v>22.2</v>
      </c>
      <c r="AH1593" s="231" t="s">
        <v>239</v>
      </c>
      <c r="AI1593" s="231">
        <v>22.2</v>
      </c>
      <c r="AJ1593" s="231" t="s">
        <v>239</v>
      </c>
      <c r="AK1593" s="231">
        <v>22.2</v>
      </c>
      <c r="AL1593" s="232" t="s">
        <v>239</v>
      </c>
      <c r="AM1593" s="232">
        <v>0</v>
      </c>
    </row>
    <row r="1594" spans="1:39" ht="15.75" outlineLevel="1">
      <c r="A1594" s="412"/>
      <c r="B1594" s="10">
        <v>129792</v>
      </c>
      <c r="C1594" s="218" t="s">
        <v>1489</v>
      </c>
      <c r="D1594" s="218" t="s">
        <v>1490</v>
      </c>
      <c r="E1594" s="23" t="s">
        <v>44</v>
      </c>
      <c r="F1594" s="17" t="s">
        <v>45</v>
      </c>
      <c r="G1594" s="11" t="s">
        <v>1432</v>
      </c>
      <c r="H1594" s="12">
        <v>19</v>
      </c>
      <c r="I1594" s="11" t="s">
        <v>1433</v>
      </c>
      <c r="J1594" s="193" t="s">
        <v>1460</v>
      </c>
      <c r="K1594" s="17" t="s">
        <v>233</v>
      </c>
      <c r="L1594" s="17" t="s">
        <v>233</v>
      </c>
      <c r="M1594" s="231">
        <v>0</v>
      </c>
      <c r="N1594" s="232">
        <v>0</v>
      </c>
      <c r="O1594" s="132">
        <v>0</v>
      </c>
      <c r="P1594" s="231" t="s">
        <v>239</v>
      </c>
      <c r="Q1594" s="232">
        <v>0</v>
      </c>
      <c r="R1594" s="231" t="s">
        <v>239</v>
      </c>
      <c r="S1594" s="232">
        <v>0</v>
      </c>
      <c r="T1594" s="231" t="s">
        <v>239</v>
      </c>
      <c r="U1594" s="232">
        <v>0</v>
      </c>
      <c r="V1594" s="230" t="s">
        <v>239</v>
      </c>
      <c r="W1594" s="232">
        <v>0</v>
      </c>
      <c r="X1594" s="231" t="s">
        <v>239</v>
      </c>
      <c r="Y1594" s="232">
        <v>0</v>
      </c>
      <c r="Z1594" s="231" t="s">
        <v>239</v>
      </c>
      <c r="AA1594" s="232">
        <v>0</v>
      </c>
      <c r="AB1594" s="231" t="s">
        <v>239</v>
      </c>
      <c r="AC1594" s="232">
        <v>0</v>
      </c>
      <c r="AD1594" s="231" t="s">
        <v>239</v>
      </c>
      <c r="AE1594" s="232">
        <v>0</v>
      </c>
      <c r="AF1594" s="231" t="s">
        <v>239</v>
      </c>
      <c r="AG1594" s="232">
        <v>0</v>
      </c>
      <c r="AH1594" s="231" t="s">
        <v>239</v>
      </c>
      <c r="AI1594" s="232">
        <v>0</v>
      </c>
      <c r="AJ1594" s="231" t="s">
        <v>239</v>
      </c>
      <c r="AK1594" s="232">
        <v>0</v>
      </c>
      <c r="AL1594" s="232" t="s">
        <v>239</v>
      </c>
      <c r="AM1594" s="232">
        <v>0</v>
      </c>
    </row>
    <row r="1595" spans="1:39" ht="15.75" outlineLevel="1">
      <c r="A1595" s="411">
        <v>793</v>
      </c>
      <c r="B1595" s="10">
        <v>129793</v>
      </c>
      <c r="C1595" s="218" t="s">
        <v>1489</v>
      </c>
      <c r="D1595" s="218" t="s">
        <v>1490</v>
      </c>
      <c r="E1595" s="23" t="s">
        <v>138</v>
      </c>
      <c r="F1595" s="17" t="s">
        <v>45</v>
      </c>
      <c r="G1595" s="11" t="s">
        <v>1432</v>
      </c>
      <c r="H1595" s="12">
        <v>24</v>
      </c>
      <c r="I1595" s="11" t="s">
        <v>1433</v>
      </c>
      <c r="J1595" s="193" t="s">
        <v>1442</v>
      </c>
      <c r="K1595" s="17" t="s">
        <v>233</v>
      </c>
      <c r="L1595" s="17" t="s">
        <v>233</v>
      </c>
      <c r="M1595" s="231">
        <v>20</v>
      </c>
      <c r="N1595" s="231">
        <v>20</v>
      </c>
      <c r="O1595" s="231">
        <v>20</v>
      </c>
      <c r="P1595" s="231" t="s">
        <v>239</v>
      </c>
      <c r="Q1595" s="231">
        <v>20</v>
      </c>
      <c r="R1595" s="231" t="s">
        <v>239</v>
      </c>
      <c r="S1595" s="231">
        <v>20</v>
      </c>
      <c r="T1595" s="231" t="s">
        <v>239</v>
      </c>
      <c r="U1595" s="231">
        <v>20</v>
      </c>
      <c r="V1595" s="231" t="s">
        <v>239</v>
      </c>
      <c r="W1595" s="231">
        <v>20</v>
      </c>
      <c r="X1595" s="231" t="s">
        <v>239</v>
      </c>
      <c r="Y1595" s="231">
        <v>20</v>
      </c>
      <c r="Z1595" s="231" t="s">
        <v>239</v>
      </c>
      <c r="AA1595" s="231">
        <v>20</v>
      </c>
      <c r="AB1595" s="231" t="s">
        <v>239</v>
      </c>
      <c r="AC1595" s="231">
        <v>20</v>
      </c>
      <c r="AD1595" s="231" t="s">
        <v>239</v>
      </c>
      <c r="AE1595" s="231">
        <v>20</v>
      </c>
      <c r="AF1595" s="231" t="s">
        <v>239</v>
      </c>
      <c r="AG1595" s="231">
        <v>20</v>
      </c>
      <c r="AH1595" s="231" t="s">
        <v>239</v>
      </c>
      <c r="AI1595" s="231">
        <v>20</v>
      </c>
      <c r="AJ1595" s="231" t="s">
        <v>239</v>
      </c>
      <c r="AK1595" s="231">
        <v>20</v>
      </c>
      <c r="AL1595" s="232" t="s">
        <v>239</v>
      </c>
      <c r="AM1595" s="232">
        <v>0</v>
      </c>
    </row>
    <row r="1596" spans="1:39" ht="15.75" outlineLevel="1">
      <c r="A1596" s="412"/>
      <c r="B1596" s="10">
        <v>129793</v>
      </c>
      <c r="C1596" s="218" t="s">
        <v>1489</v>
      </c>
      <c r="D1596" s="218" t="s">
        <v>1490</v>
      </c>
      <c r="E1596" s="23" t="s">
        <v>44</v>
      </c>
      <c r="F1596" s="17" t="s">
        <v>45</v>
      </c>
      <c r="G1596" s="11" t="s">
        <v>1432</v>
      </c>
      <c r="H1596" s="12">
        <v>35</v>
      </c>
      <c r="I1596" s="11" t="s">
        <v>1433</v>
      </c>
      <c r="J1596" s="193" t="s">
        <v>1460</v>
      </c>
      <c r="K1596" s="17" t="s">
        <v>233</v>
      </c>
      <c r="L1596" s="17" t="s">
        <v>233</v>
      </c>
      <c r="M1596" s="231">
        <v>12474</v>
      </c>
      <c r="N1596" s="232">
        <v>12322.565639999999</v>
      </c>
      <c r="O1596" s="132">
        <v>1200</v>
      </c>
      <c r="P1596" s="231" t="s">
        <v>239</v>
      </c>
      <c r="Q1596" s="232">
        <v>1200</v>
      </c>
      <c r="R1596" s="231" t="s">
        <v>239</v>
      </c>
      <c r="S1596" s="232">
        <v>1155</v>
      </c>
      <c r="T1596" s="231" t="s">
        <v>239</v>
      </c>
      <c r="U1596" s="232">
        <v>1058</v>
      </c>
      <c r="V1596" s="231" t="s">
        <v>239</v>
      </c>
      <c r="W1596" s="232">
        <v>993</v>
      </c>
      <c r="X1596" s="231" t="s">
        <v>239</v>
      </c>
      <c r="Y1596" s="232">
        <v>1001</v>
      </c>
      <c r="Z1596" s="231" t="s">
        <v>239</v>
      </c>
      <c r="AA1596" s="232">
        <v>1055</v>
      </c>
      <c r="AB1596" s="231" t="s">
        <v>239</v>
      </c>
      <c r="AC1596" s="232">
        <v>978</v>
      </c>
      <c r="AD1596" s="231" t="s">
        <v>239</v>
      </c>
      <c r="AE1596" s="232">
        <v>1050</v>
      </c>
      <c r="AF1596" s="231" t="s">
        <v>239</v>
      </c>
      <c r="AG1596" s="232">
        <v>1050</v>
      </c>
      <c r="AH1596" s="231" t="s">
        <v>239</v>
      </c>
      <c r="AI1596" s="232">
        <v>1035</v>
      </c>
      <c r="AJ1596" s="231" t="s">
        <v>239</v>
      </c>
      <c r="AK1596" s="232">
        <v>0</v>
      </c>
      <c r="AL1596" s="232" t="s">
        <v>239</v>
      </c>
      <c r="AM1596" s="232">
        <v>11775</v>
      </c>
    </row>
    <row r="1597" spans="1:39" ht="15.75">
      <c r="A1597" s="411">
        <v>794</v>
      </c>
      <c r="B1597" s="10">
        <v>129794</v>
      </c>
      <c r="C1597" s="218" t="s">
        <v>1489</v>
      </c>
      <c r="D1597" s="218" t="s">
        <v>1490</v>
      </c>
      <c r="E1597" s="23" t="s">
        <v>138</v>
      </c>
      <c r="F1597" s="17" t="s">
        <v>45</v>
      </c>
      <c r="G1597" s="11" t="s">
        <v>1432</v>
      </c>
      <c r="H1597" s="12">
        <v>17</v>
      </c>
      <c r="I1597" s="11" t="s">
        <v>1433</v>
      </c>
      <c r="J1597" s="192" t="s">
        <v>1484</v>
      </c>
      <c r="K1597" s="17" t="s">
        <v>233</v>
      </c>
      <c r="L1597" s="17" t="s">
        <v>233</v>
      </c>
      <c r="M1597" s="231">
        <v>18</v>
      </c>
      <c r="N1597" s="231">
        <v>18</v>
      </c>
      <c r="O1597" s="231">
        <v>18</v>
      </c>
      <c r="P1597" s="231" t="s">
        <v>239</v>
      </c>
      <c r="Q1597" s="231">
        <v>18</v>
      </c>
      <c r="R1597" s="231" t="s">
        <v>239</v>
      </c>
      <c r="S1597" s="231">
        <v>18</v>
      </c>
      <c r="T1597" s="231" t="s">
        <v>239</v>
      </c>
      <c r="U1597" s="231">
        <v>18</v>
      </c>
      <c r="V1597" s="230" t="s">
        <v>239</v>
      </c>
      <c r="W1597" s="231">
        <v>18</v>
      </c>
      <c r="X1597" s="231" t="s">
        <v>239</v>
      </c>
      <c r="Y1597" s="231">
        <v>18</v>
      </c>
      <c r="Z1597" s="231" t="s">
        <v>239</v>
      </c>
      <c r="AA1597" s="231">
        <v>18</v>
      </c>
      <c r="AB1597" s="231" t="s">
        <v>239</v>
      </c>
      <c r="AC1597" s="231">
        <v>18</v>
      </c>
      <c r="AD1597" s="231" t="s">
        <v>239</v>
      </c>
      <c r="AE1597" s="231">
        <v>18</v>
      </c>
      <c r="AF1597" s="231" t="s">
        <v>239</v>
      </c>
      <c r="AG1597" s="231">
        <v>18</v>
      </c>
      <c r="AH1597" s="231" t="s">
        <v>239</v>
      </c>
      <c r="AI1597" s="231">
        <v>18</v>
      </c>
      <c r="AJ1597" s="231" t="s">
        <v>239</v>
      </c>
      <c r="AK1597" s="231">
        <v>18</v>
      </c>
      <c r="AL1597" s="232" t="s">
        <v>239</v>
      </c>
      <c r="AM1597" s="232">
        <v>0</v>
      </c>
    </row>
    <row r="1598" spans="1:39" ht="15.75">
      <c r="A1598" s="412"/>
      <c r="B1598" s="4">
        <v>129794</v>
      </c>
      <c r="C1598" s="218" t="s">
        <v>1489</v>
      </c>
      <c r="D1598" s="218" t="s">
        <v>1490</v>
      </c>
      <c r="E1598" s="23" t="s">
        <v>44</v>
      </c>
      <c r="F1598" s="17" t="s">
        <v>45</v>
      </c>
      <c r="G1598" s="11" t="s">
        <v>1432</v>
      </c>
      <c r="H1598" s="12">
        <v>4</v>
      </c>
      <c r="I1598" s="11" t="s">
        <v>1433</v>
      </c>
      <c r="J1598" s="192" t="s">
        <v>1454</v>
      </c>
      <c r="K1598" s="17" t="s">
        <v>233</v>
      </c>
      <c r="L1598" s="17" t="s">
        <v>233</v>
      </c>
      <c r="M1598" s="231">
        <v>4233</v>
      </c>
      <c r="N1598" s="232">
        <v>4181.6113800000003</v>
      </c>
      <c r="O1598" s="132">
        <v>706</v>
      </c>
      <c r="P1598" s="231" t="s">
        <v>239</v>
      </c>
      <c r="Q1598" s="232">
        <v>706</v>
      </c>
      <c r="R1598" s="231" t="s">
        <v>239</v>
      </c>
      <c r="S1598" s="232">
        <v>607</v>
      </c>
      <c r="T1598" s="231" t="s">
        <v>239</v>
      </c>
      <c r="U1598" s="232">
        <v>714</v>
      </c>
      <c r="V1598" s="231" t="s">
        <v>239</v>
      </c>
      <c r="W1598" s="232">
        <v>634</v>
      </c>
      <c r="X1598" s="231" t="s">
        <v>239</v>
      </c>
      <c r="Y1598" s="232">
        <v>503</v>
      </c>
      <c r="Z1598" s="231" t="s">
        <v>239</v>
      </c>
      <c r="AA1598" s="232">
        <v>355</v>
      </c>
      <c r="AB1598" s="231" t="s">
        <v>239</v>
      </c>
      <c r="AC1598" s="232">
        <v>454</v>
      </c>
      <c r="AD1598" s="231" t="s">
        <v>239</v>
      </c>
      <c r="AE1598" s="232">
        <v>353</v>
      </c>
      <c r="AF1598" s="231" t="s">
        <v>239</v>
      </c>
      <c r="AG1598" s="232">
        <v>709</v>
      </c>
      <c r="AH1598" s="231" t="s">
        <v>239</v>
      </c>
      <c r="AI1598" s="232">
        <v>575</v>
      </c>
      <c r="AJ1598" s="231" t="s">
        <v>239</v>
      </c>
      <c r="AK1598" s="232">
        <v>749</v>
      </c>
      <c r="AL1598" s="232" t="s">
        <v>239</v>
      </c>
      <c r="AM1598" s="232">
        <v>7065</v>
      </c>
    </row>
    <row r="1599" spans="1:39" ht="15.75" hidden="1" outlineLevel="1">
      <c r="A1599" s="63">
        <v>795</v>
      </c>
      <c r="B1599" s="95" t="s">
        <v>382</v>
      </c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</row>
    <row r="1600" spans="1:39" ht="15.75" hidden="1" outlineLevel="1">
      <c r="A1600" s="63">
        <v>796</v>
      </c>
      <c r="B1600" s="95" t="s">
        <v>386</v>
      </c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  <c r="AE1600" s="10"/>
      <c r="AF1600" s="10"/>
      <c r="AG1600" s="10"/>
      <c r="AH1600" s="10"/>
      <c r="AI1600" s="10"/>
      <c r="AJ1600" s="10"/>
      <c r="AK1600" s="10"/>
      <c r="AL1600" s="10"/>
      <c r="AM1600" s="10"/>
    </row>
    <row r="1601" spans="1:39" ht="15.75" hidden="1" outlineLevel="1">
      <c r="A1601" s="63">
        <v>797</v>
      </c>
      <c r="B1601" s="95" t="s">
        <v>387</v>
      </c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</row>
    <row r="1602" spans="1:39" ht="15.75" hidden="1" outlineLevel="1">
      <c r="A1602" s="63">
        <v>798</v>
      </c>
      <c r="B1602" s="95" t="s">
        <v>388</v>
      </c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0"/>
      <c r="AM1602" s="10"/>
    </row>
    <row r="1603" spans="1:39" ht="15.75" hidden="1" outlineLevel="1">
      <c r="A1603" s="63">
        <v>799</v>
      </c>
      <c r="B1603" s="95" t="s">
        <v>389</v>
      </c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</row>
    <row r="1604" spans="1:39" ht="15.75" hidden="1" outlineLevel="1">
      <c r="A1604" s="63">
        <v>800</v>
      </c>
      <c r="B1604" s="95" t="s">
        <v>390</v>
      </c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0"/>
      <c r="AM1604" s="10"/>
    </row>
    <row r="1605" spans="1:39" ht="15.75" hidden="1" outlineLevel="1">
      <c r="A1605" s="63">
        <v>801</v>
      </c>
      <c r="B1605" s="95" t="s">
        <v>392</v>
      </c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</row>
    <row r="1606" spans="1:39" ht="15.75" hidden="1" outlineLevel="1">
      <c r="A1606" s="63">
        <v>802</v>
      </c>
      <c r="B1606" s="95" t="s">
        <v>393</v>
      </c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0"/>
      <c r="AM1606" s="10"/>
    </row>
    <row r="1607" spans="1:39" ht="15.75" hidden="1" outlineLevel="1">
      <c r="A1607" s="63">
        <v>803</v>
      </c>
      <c r="B1607" s="95" t="s">
        <v>396</v>
      </c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</row>
    <row r="1608" spans="1:39" ht="15.75" hidden="1" outlineLevel="1">
      <c r="A1608" s="63">
        <v>804</v>
      </c>
      <c r="B1608" s="95" t="s">
        <v>397</v>
      </c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0"/>
      <c r="AM1608" s="10"/>
    </row>
    <row r="1609" spans="1:39" ht="15.75" hidden="1" outlineLevel="1">
      <c r="A1609" s="63">
        <v>805</v>
      </c>
      <c r="B1609" s="95" t="s">
        <v>398</v>
      </c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</row>
    <row r="1610" spans="1:39" ht="15.75" hidden="1" outlineLevel="1">
      <c r="A1610" s="63">
        <v>806</v>
      </c>
      <c r="B1610" s="95" t="s">
        <v>399</v>
      </c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0"/>
      <c r="AM1610" s="10"/>
    </row>
    <row r="1611" spans="1:39" ht="15.75" hidden="1" outlineLevel="1">
      <c r="A1611" s="63">
        <v>807</v>
      </c>
      <c r="B1611" s="95" t="s">
        <v>402</v>
      </c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</row>
    <row r="1612" spans="1:39" ht="15.75" hidden="1" outlineLevel="1">
      <c r="A1612" s="63">
        <v>808</v>
      </c>
      <c r="B1612" s="95" t="s">
        <v>403</v>
      </c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0"/>
      <c r="AM1612" s="10"/>
    </row>
    <row r="1613" spans="1:39" ht="15.75" hidden="1" outlineLevel="1">
      <c r="A1613" s="63">
        <v>809</v>
      </c>
      <c r="B1613" s="95" t="s">
        <v>404</v>
      </c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</row>
    <row r="1614" spans="1:39" ht="15.75" hidden="1" outlineLevel="1">
      <c r="A1614" s="63">
        <v>810</v>
      </c>
      <c r="B1614" s="95" t="s">
        <v>405</v>
      </c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0"/>
      <c r="AM1614" s="10"/>
    </row>
    <row r="1615" spans="1:39" ht="15.75" hidden="1" outlineLevel="1">
      <c r="A1615" s="63">
        <v>811</v>
      </c>
      <c r="B1615" s="95" t="s">
        <v>406</v>
      </c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</row>
    <row r="1616" spans="1:39" ht="15.75" hidden="1" outlineLevel="1">
      <c r="A1616" s="63">
        <v>812</v>
      </c>
      <c r="B1616" s="95" t="s">
        <v>407</v>
      </c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/>
      <c r="AK1616" s="10"/>
      <c r="AL1616" s="10"/>
      <c r="AM1616" s="10"/>
    </row>
    <row r="1617" spans="1:39" ht="15.75" hidden="1" outlineLevel="1">
      <c r="A1617" s="63">
        <v>813</v>
      </c>
      <c r="B1617" s="95" t="s">
        <v>409</v>
      </c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</row>
    <row r="1618" spans="1:39" ht="15.75" hidden="1" outlineLevel="1">
      <c r="A1618" s="63">
        <v>814</v>
      </c>
      <c r="B1618" s="95" t="s">
        <v>410</v>
      </c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10"/>
      <c r="AI1618" s="10"/>
      <c r="AJ1618" s="10"/>
      <c r="AK1618" s="10"/>
      <c r="AL1618" s="10"/>
      <c r="AM1618" s="10"/>
    </row>
    <row r="1619" spans="1:39" ht="15.75" hidden="1" outlineLevel="1">
      <c r="A1619" s="63">
        <v>815</v>
      </c>
      <c r="B1619" s="95" t="s">
        <v>412</v>
      </c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</row>
    <row r="1620" spans="1:39" ht="15.75" hidden="1" outlineLevel="1">
      <c r="A1620" s="63">
        <v>816</v>
      </c>
      <c r="B1620" s="95" t="s">
        <v>414</v>
      </c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0"/>
      <c r="AH1620" s="10"/>
      <c r="AI1620" s="10"/>
      <c r="AJ1620" s="10"/>
      <c r="AK1620" s="10"/>
      <c r="AL1620" s="10"/>
      <c r="AM1620" s="10"/>
    </row>
    <row r="1621" spans="1:39" ht="15.75" hidden="1" outlineLevel="1">
      <c r="A1621" s="63">
        <v>817</v>
      </c>
      <c r="B1621" s="95" t="s">
        <v>415</v>
      </c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/>
    </row>
    <row r="1622" spans="1:39" ht="15.75" hidden="1" outlineLevel="1">
      <c r="A1622" s="63">
        <v>818</v>
      </c>
      <c r="B1622" s="95" t="s">
        <v>416</v>
      </c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0"/>
      <c r="AH1622" s="10"/>
      <c r="AI1622" s="10"/>
      <c r="AJ1622" s="10"/>
      <c r="AK1622" s="10"/>
      <c r="AL1622" s="10"/>
      <c r="AM1622" s="10"/>
    </row>
    <row r="1623" spans="1:39" ht="15.75" hidden="1" outlineLevel="1">
      <c r="A1623" s="63">
        <v>819</v>
      </c>
      <c r="B1623" s="95" t="s">
        <v>417</v>
      </c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</row>
    <row r="1624" spans="1:39" ht="15.75" hidden="1" outlineLevel="1">
      <c r="A1624" s="63">
        <v>820</v>
      </c>
      <c r="B1624" s="95" t="s">
        <v>419</v>
      </c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0"/>
      <c r="AH1624" s="10"/>
      <c r="AI1624" s="10"/>
      <c r="AJ1624" s="10"/>
      <c r="AK1624" s="10"/>
      <c r="AL1624" s="10"/>
      <c r="AM1624" s="10"/>
    </row>
    <row r="1625" spans="1:39" ht="15.75" hidden="1" outlineLevel="1">
      <c r="A1625" s="63">
        <v>821</v>
      </c>
      <c r="B1625" s="95" t="s">
        <v>420</v>
      </c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</row>
    <row r="1626" spans="1:39" ht="15.75" hidden="1" outlineLevel="1">
      <c r="A1626" s="63">
        <v>822</v>
      </c>
      <c r="B1626" s="95" t="s">
        <v>421</v>
      </c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0"/>
      <c r="AM1626" s="10"/>
    </row>
    <row r="1627" spans="1:39" ht="15.75" hidden="1" outlineLevel="1">
      <c r="A1627" s="63">
        <v>823</v>
      </c>
      <c r="B1627" s="95" t="s">
        <v>422</v>
      </c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</row>
    <row r="1628" spans="1:39" ht="15.75" hidden="1" outlineLevel="1">
      <c r="A1628" s="63">
        <v>824</v>
      </c>
      <c r="B1628" s="95" t="s">
        <v>423</v>
      </c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0"/>
      <c r="AH1628" s="10"/>
      <c r="AI1628" s="10"/>
      <c r="AJ1628" s="10"/>
      <c r="AK1628" s="10"/>
      <c r="AL1628" s="10"/>
      <c r="AM1628" s="10"/>
    </row>
    <row r="1629" spans="1:39" ht="15.75" hidden="1" outlineLevel="1">
      <c r="A1629" s="63">
        <v>825</v>
      </c>
      <c r="B1629" s="95" t="s">
        <v>424</v>
      </c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</row>
    <row r="1630" spans="1:39" ht="15.75" hidden="1" outlineLevel="1">
      <c r="A1630" s="63">
        <v>826</v>
      </c>
      <c r="B1630" s="95" t="s">
        <v>425</v>
      </c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  <c r="AK1630" s="10"/>
      <c r="AL1630" s="10"/>
      <c r="AM1630" s="10"/>
    </row>
    <row r="1631" spans="1:39" ht="15.75" hidden="1" outlineLevel="1">
      <c r="A1631" s="63">
        <v>827</v>
      </c>
      <c r="B1631" s="95" t="s">
        <v>426</v>
      </c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</row>
    <row r="1632" spans="1:39" ht="15.75" hidden="1" outlineLevel="1">
      <c r="A1632" s="63">
        <v>828</v>
      </c>
      <c r="B1632" s="95" t="s">
        <v>428</v>
      </c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  <c r="AK1632" s="10"/>
      <c r="AL1632" s="10"/>
      <c r="AM1632" s="10"/>
    </row>
    <row r="1633" spans="1:39" ht="15.75" hidden="1" outlineLevel="1">
      <c r="A1633" s="63">
        <v>829</v>
      </c>
      <c r="B1633" s="95" t="s">
        <v>429</v>
      </c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</row>
    <row r="1634" spans="1:39" ht="15.75" hidden="1" outlineLevel="1">
      <c r="A1634" s="63">
        <v>830</v>
      </c>
      <c r="B1634" s="95" t="s">
        <v>430</v>
      </c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  <c r="AE1634" s="10"/>
      <c r="AF1634" s="10"/>
      <c r="AG1634" s="10"/>
      <c r="AH1634" s="10"/>
      <c r="AI1634" s="10"/>
      <c r="AJ1634" s="10"/>
      <c r="AK1634" s="10"/>
      <c r="AL1634" s="10"/>
      <c r="AM1634" s="10"/>
    </row>
    <row r="1635" spans="1:39" ht="15.75" hidden="1" outlineLevel="1">
      <c r="A1635" s="63">
        <v>831</v>
      </c>
      <c r="B1635" s="95" t="s">
        <v>431</v>
      </c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</row>
    <row r="1636" spans="1:39" ht="15.75" hidden="1" outlineLevel="1">
      <c r="A1636" s="63">
        <v>832</v>
      </c>
      <c r="B1636" s="95" t="s">
        <v>432</v>
      </c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0"/>
      <c r="AM1636" s="10"/>
    </row>
    <row r="1637" spans="1:39" ht="15.75" hidden="1" outlineLevel="1">
      <c r="A1637" s="63">
        <v>833</v>
      </c>
      <c r="B1637" s="95" t="s">
        <v>433</v>
      </c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</row>
    <row r="1638" spans="1:39" ht="15.75" hidden="1" outlineLevel="1">
      <c r="A1638" s="63">
        <v>834</v>
      </c>
      <c r="B1638" s="95" t="s">
        <v>435</v>
      </c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  <c r="AK1638" s="10"/>
      <c r="AL1638" s="10"/>
      <c r="AM1638" s="10"/>
    </row>
    <row r="1639" spans="1:39" ht="15.75" hidden="1" outlineLevel="1">
      <c r="A1639" s="63">
        <v>835</v>
      </c>
      <c r="B1639" s="95" t="s">
        <v>437</v>
      </c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</row>
    <row r="1640" spans="1:39" ht="15.75" hidden="1" outlineLevel="1">
      <c r="A1640" s="63">
        <v>836</v>
      </c>
      <c r="B1640" s="95" t="s">
        <v>438</v>
      </c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</row>
    <row r="1641" spans="1:39" ht="15.75" hidden="1" outlineLevel="1">
      <c r="A1641" s="63">
        <v>837</v>
      </c>
      <c r="B1641" s="95" t="s">
        <v>439</v>
      </c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</row>
    <row r="1642" spans="1:39" ht="15.75" hidden="1" outlineLevel="1">
      <c r="A1642" s="63">
        <v>838</v>
      </c>
      <c r="B1642" s="95" t="s">
        <v>442</v>
      </c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10"/>
      <c r="AI1642" s="10"/>
      <c r="AJ1642" s="10"/>
      <c r="AK1642" s="10"/>
      <c r="AL1642" s="10"/>
      <c r="AM1642" s="10"/>
    </row>
    <row r="1643" spans="1:39" ht="15.75" hidden="1" outlineLevel="1">
      <c r="A1643" s="63">
        <v>839</v>
      </c>
      <c r="B1643" s="95" t="s">
        <v>443</v>
      </c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</row>
    <row r="1644" spans="1:39" ht="15.75" hidden="1" outlineLevel="1">
      <c r="A1644" s="63">
        <v>840</v>
      </c>
      <c r="B1644" s="95" t="s">
        <v>444</v>
      </c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0"/>
      <c r="AM1644" s="10"/>
    </row>
    <row r="1645" spans="1:39" ht="15.75" hidden="1" outlineLevel="1">
      <c r="A1645" s="63">
        <v>841</v>
      </c>
      <c r="B1645" s="95" t="s">
        <v>445</v>
      </c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</row>
    <row r="1646" spans="1:39" ht="15.75" hidden="1" outlineLevel="1">
      <c r="A1646" s="63">
        <v>842</v>
      </c>
      <c r="B1646" s="95" t="s">
        <v>446</v>
      </c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/>
      <c r="AJ1646" s="10"/>
      <c r="AK1646" s="10"/>
      <c r="AL1646" s="10"/>
      <c r="AM1646" s="10"/>
    </row>
    <row r="1647" spans="1:39" ht="15.75" hidden="1" outlineLevel="1">
      <c r="A1647" s="63">
        <v>843</v>
      </c>
      <c r="B1647" s="95" t="s">
        <v>447</v>
      </c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</row>
    <row r="1648" spans="1:39" ht="15.75" hidden="1" outlineLevel="1">
      <c r="A1648" s="63">
        <v>844</v>
      </c>
      <c r="B1648" s="95" t="s">
        <v>449</v>
      </c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  <c r="AE1648" s="10"/>
      <c r="AF1648" s="10"/>
      <c r="AG1648" s="10"/>
      <c r="AH1648" s="10"/>
      <c r="AI1648" s="10"/>
      <c r="AJ1648" s="10"/>
      <c r="AK1648" s="10"/>
      <c r="AL1648" s="10"/>
      <c r="AM1648" s="10"/>
    </row>
    <row r="1649" spans="1:39" ht="15.75" hidden="1" outlineLevel="1">
      <c r="A1649" s="63">
        <v>845</v>
      </c>
      <c r="B1649" s="95" t="s">
        <v>450</v>
      </c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</row>
    <row r="1650" spans="1:39" ht="15.75" hidden="1" outlineLevel="1">
      <c r="A1650" s="63">
        <v>846</v>
      </c>
      <c r="B1650" s="95" t="s">
        <v>451</v>
      </c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  <c r="AE1650" s="10"/>
      <c r="AF1650" s="10"/>
      <c r="AG1650" s="10"/>
      <c r="AH1650" s="10"/>
      <c r="AI1650" s="10"/>
      <c r="AJ1650" s="10"/>
      <c r="AK1650" s="10"/>
      <c r="AL1650" s="10"/>
      <c r="AM1650" s="10"/>
    </row>
    <row r="1651" spans="1:39" ht="15.75" hidden="1" outlineLevel="1">
      <c r="A1651" s="63">
        <v>847</v>
      </c>
      <c r="B1651" s="95" t="s">
        <v>452</v>
      </c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</row>
    <row r="1652" spans="1:39" ht="15.75" hidden="1" outlineLevel="1">
      <c r="A1652" s="63">
        <v>848</v>
      </c>
      <c r="B1652" s="95" t="s">
        <v>454</v>
      </c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0"/>
      <c r="AM1652" s="10"/>
    </row>
    <row r="1653" spans="1:39" ht="15.75" hidden="1" outlineLevel="1">
      <c r="A1653" s="63">
        <v>849</v>
      </c>
      <c r="B1653" s="95" t="s">
        <v>455</v>
      </c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</row>
    <row r="1654" spans="1:39" ht="15.75" hidden="1" outlineLevel="1">
      <c r="A1654" s="63">
        <v>850</v>
      </c>
      <c r="B1654" s="95" t="s">
        <v>456</v>
      </c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0"/>
      <c r="AM1654" s="10"/>
    </row>
    <row r="1655" spans="1:39" ht="15.75" hidden="1" outlineLevel="1">
      <c r="A1655" s="63">
        <v>851</v>
      </c>
      <c r="B1655" s="95" t="s">
        <v>457</v>
      </c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</row>
    <row r="1656" spans="1:39" ht="15.75" hidden="1" outlineLevel="1">
      <c r="A1656" s="63">
        <v>852</v>
      </c>
      <c r="B1656" s="95" t="s">
        <v>458</v>
      </c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0"/>
      <c r="AM1656" s="10"/>
    </row>
    <row r="1657" spans="1:39" ht="15.75" hidden="1" outlineLevel="1">
      <c r="A1657" s="63">
        <v>853</v>
      </c>
      <c r="B1657" s="95" t="s">
        <v>459</v>
      </c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</row>
    <row r="1658" spans="1:39" ht="15.75" hidden="1" outlineLevel="1">
      <c r="A1658" s="63">
        <v>854</v>
      </c>
      <c r="B1658" s="95" t="s">
        <v>460</v>
      </c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0"/>
      <c r="AM1658" s="10"/>
    </row>
    <row r="1659" spans="1:39" ht="15.75" hidden="1" outlineLevel="1">
      <c r="A1659" s="63">
        <v>855</v>
      </c>
      <c r="B1659" s="95" t="s">
        <v>462</v>
      </c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</row>
    <row r="1660" spans="1:39" ht="15.75" hidden="1" outlineLevel="1">
      <c r="A1660" s="63">
        <v>856</v>
      </c>
      <c r="B1660" s="95" t="s">
        <v>463</v>
      </c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0"/>
      <c r="AM1660" s="10"/>
    </row>
    <row r="1661" spans="1:39" ht="15.75" hidden="1" outlineLevel="1">
      <c r="A1661" s="63">
        <v>857</v>
      </c>
      <c r="B1661" s="95" t="s">
        <v>464</v>
      </c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</row>
    <row r="1662" spans="1:39" ht="15.75" hidden="1" outlineLevel="1">
      <c r="A1662" s="63">
        <v>858</v>
      </c>
      <c r="B1662" s="95" t="s">
        <v>466</v>
      </c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0"/>
      <c r="AM1662" s="10"/>
    </row>
    <row r="1663" spans="1:39" ht="15.75" hidden="1" outlineLevel="1">
      <c r="A1663" s="63">
        <v>859</v>
      </c>
      <c r="B1663" s="95" t="s">
        <v>467</v>
      </c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</row>
    <row r="1664" spans="1:39" ht="15.75" hidden="1" outlineLevel="1">
      <c r="A1664" s="63">
        <v>860</v>
      </c>
      <c r="B1664" s="95" t="s">
        <v>468</v>
      </c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  <c r="AE1664" s="10"/>
      <c r="AF1664" s="10"/>
      <c r="AG1664" s="10"/>
      <c r="AH1664" s="10"/>
      <c r="AI1664" s="10"/>
      <c r="AJ1664" s="10"/>
      <c r="AK1664" s="10"/>
      <c r="AL1664" s="10"/>
      <c r="AM1664" s="10"/>
    </row>
    <row r="1665" spans="1:39" ht="15.75" hidden="1" outlineLevel="1">
      <c r="A1665" s="63">
        <v>861</v>
      </c>
      <c r="B1665" s="95" t="s">
        <v>470</v>
      </c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</row>
    <row r="1666" spans="1:39" ht="15.75" hidden="1" outlineLevel="1">
      <c r="A1666" s="63">
        <v>862</v>
      </c>
      <c r="B1666" s="95" t="s">
        <v>472</v>
      </c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  <c r="AE1666" s="10"/>
      <c r="AF1666" s="10"/>
      <c r="AG1666" s="10"/>
      <c r="AH1666" s="10"/>
      <c r="AI1666" s="10"/>
      <c r="AJ1666" s="10"/>
      <c r="AK1666" s="10"/>
      <c r="AL1666" s="10"/>
      <c r="AM1666" s="10"/>
    </row>
    <row r="1667" spans="1:39" ht="15.75" hidden="1" outlineLevel="1">
      <c r="A1667" s="63">
        <v>863</v>
      </c>
      <c r="B1667" s="95" t="s">
        <v>473</v>
      </c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</row>
    <row r="1668" spans="1:39" ht="15.75" hidden="1" outlineLevel="1">
      <c r="A1668" s="63">
        <v>864</v>
      </c>
      <c r="B1668" s="95" t="s">
        <v>474</v>
      </c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0"/>
      <c r="AM1668" s="10"/>
    </row>
    <row r="1669" spans="1:39" ht="15.75" hidden="1" outlineLevel="1">
      <c r="A1669" s="63">
        <v>865</v>
      </c>
      <c r="B1669" s="95" t="s">
        <v>476</v>
      </c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</row>
    <row r="1670" spans="1:39" ht="15.75" hidden="1" outlineLevel="1">
      <c r="A1670" s="63">
        <v>866</v>
      </c>
      <c r="B1670" s="95" t="s">
        <v>477</v>
      </c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10"/>
      <c r="AI1670" s="10"/>
      <c r="AJ1670" s="10"/>
      <c r="AK1670" s="10"/>
      <c r="AL1670" s="10"/>
      <c r="AM1670" s="10"/>
    </row>
    <row r="1671" spans="1:39" ht="15.75" hidden="1" outlineLevel="1">
      <c r="A1671" s="63">
        <v>867</v>
      </c>
      <c r="B1671" s="95" t="s">
        <v>478</v>
      </c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</row>
    <row r="1672" spans="1:39" ht="15.75" hidden="1" outlineLevel="1">
      <c r="A1672" s="63">
        <v>868</v>
      </c>
      <c r="B1672" s="95" t="s">
        <v>480</v>
      </c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0"/>
      <c r="AK1672" s="10"/>
      <c r="AL1672" s="10"/>
      <c r="AM1672" s="10"/>
    </row>
    <row r="1673" spans="1:39" ht="15.75" hidden="1" outlineLevel="1">
      <c r="A1673" s="63">
        <v>869</v>
      </c>
      <c r="B1673" s="95" t="s">
        <v>482</v>
      </c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</row>
    <row r="1674" spans="1:39" ht="15.75" hidden="1" outlineLevel="1">
      <c r="A1674" s="63">
        <v>870</v>
      </c>
      <c r="B1674" s="95" t="s">
        <v>484</v>
      </c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0"/>
      <c r="AM1674" s="10"/>
    </row>
    <row r="1675" spans="1:39" ht="15.75" hidden="1" outlineLevel="1">
      <c r="A1675" s="63">
        <v>871</v>
      </c>
      <c r="B1675" s="95" t="s">
        <v>486</v>
      </c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</row>
    <row r="1676" spans="1:39" ht="15.75" hidden="1" outlineLevel="1">
      <c r="A1676" s="63">
        <v>872</v>
      </c>
      <c r="B1676" s="95" t="s">
        <v>488</v>
      </c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0"/>
      <c r="AK1676" s="10"/>
      <c r="AL1676" s="10"/>
      <c r="AM1676" s="10"/>
    </row>
    <row r="1677" spans="1:39" ht="15.75" hidden="1" outlineLevel="1">
      <c r="A1677" s="63">
        <v>873</v>
      </c>
      <c r="B1677" s="95" t="s">
        <v>490</v>
      </c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</row>
    <row r="1678" spans="1:39" ht="15.75" hidden="1" outlineLevel="1">
      <c r="A1678" s="63">
        <v>874</v>
      </c>
      <c r="B1678" s="95" t="s">
        <v>492</v>
      </c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0"/>
      <c r="AD1678" s="10"/>
      <c r="AE1678" s="10"/>
      <c r="AF1678" s="10"/>
      <c r="AG1678" s="10"/>
      <c r="AH1678" s="10"/>
      <c r="AI1678" s="10"/>
      <c r="AJ1678" s="10"/>
      <c r="AK1678" s="10"/>
      <c r="AL1678" s="10"/>
      <c r="AM1678" s="10"/>
    </row>
    <row r="1679" spans="1:39" ht="15.75" hidden="1" outlineLevel="1">
      <c r="A1679" s="63">
        <v>875</v>
      </c>
      <c r="B1679" s="95" t="s">
        <v>494</v>
      </c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</row>
    <row r="1680" spans="1:39" ht="15.75" hidden="1" outlineLevel="1">
      <c r="A1680" s="63">
        <v>876</v>
      </c>
      <c r="B1680" s="95" t="s">
        <v>496</v>
      </c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0"/>
      <c r="AM1680" s="10"/>
    </row>
    <row r="1681" spans="1:39" ht="15.75" hidden="1" outlineLevel="1">
      <c r="A1681" s="63">
        <v>877</v>
      </c>
      <c r="B1681" s="95" t="s">
        <v>498</v>
      </c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</row>
    <row r="1682" spans="1:39" ht="15.75" hidden="1" outlineLevel="1">
      <c r="A1682" s="63">
        <v>878</v>
      </c>
      <c r="B1682" s="95" t="s">
        <v>500</v>
      </c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0"/>
      <c r="AM1682" s="10"/>
    </row>
    <row r="1683" spans="1:39" ht="15.75" hidden="1" outlineLevel="1">
      <c r="A1683" s="63">
        <v>879</v>
      </c>
      <c r="B1683" s="95" t="s">
        <v>501</v>
      </c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</row>
    <row r="1684" spans="1:39" ht="15.75" hidden="1" outlineLevel="1">
      <c r="A1684" s="63">
        <v>880</v>
      </c>
      <c r="B1684" s="95" t="s">
        <v>502</v>
      </c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0"/>
      <c r="AM1684" s="10"/>
    </row>
    <row r="1685" spans="1:39" ht="15.75" hidden="1" outlineLevel="1">
      <c r="A1685" s="63">
        <v>881</v>
      </c>
      <c r="B1685" s="95" t="s">
        <v>503</v>
      </c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</row>
    <row r="1686" spans="1:39" ht="15.75" hidden="1" outlineLevel="1">
      <c r="A1686" s="63">
        <v>882</v>
      </c>
      <c r="B1686" s="95" t="s">
        <v>504</v>
      </c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0"/>
      <c r="AM1686" s="10"/>
    </row>
    <row r="1687" spans="1:39" ht="15.75" hidden="1" outlineLevel="1">
      <c r="A1687" s="63">
        <v>883</v>
      </c>
      <c r="B1687" s="95" t="s">
        <v>505</v>
      </c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</row>
    <row r="1688" spans="1:39" ht="15.75" hidden="1" outlineLevel="1">
      <c r="A1688" s="63">
        <v>884</v>
      </c>
      <c r="B1688" s="95" t="s">
        <v>506</v>
      </c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</row>
    <row r="1689" spans="1:39" ht="15.75" hidden="1" outlineLevel="1">
      <c r="A1689" s="63">
        <v>885</v>
      </c>
      <c r="B1689" s="95" t="s">
        <v>507</v>
      </c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</row>
    <row r="1690" spans="1:39" ht="15.75" hidden="1" outlineLevel="1">
      <c r="A1690" s="63">
        <v>886</v>
      </c>
      <c r="B1690" s="95" t="s">
        <v>508</v>
      </c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0"/>
      <c r="AK1690" s="10"/>
      <c r="AL1690" s="10"/>
      <c r="AM1690" s="10"/>
    </row>
    <row r="1691" spans="1:39" ht="15.75" hidden="1" outlineLevel="1">
      <c r="A1691" s="63">
        <v>887</v>
      </c>
      <c r="B1691" s="95" t="s">
        <v>510</v>
      </c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</row>
    <row r="1692" spans="1:39" ht="15.75" hidden="1" outlineLevel="1">
      <c r="A1692" s="63">
        <v>888</v>
      </c>
      <c r="B1692" s="95" t="s">
        <v>511</v>
      </c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/>
      <c r="AC1692" s="10"/>
      <c r="AD1692" s="10"/>
      <c r="AE1692" s="10"/>
      <c r="AF1692" s="10"/>
      <c r="AG1692" s="10"/>
      <c r="AH1692" s="10"/>
      <c r="AI1692" s="10"/>
      <c r="AJ1692" s="10"/>
      <c r="AK1692" s="10"/>
      <c r="AL1692" s="10"/>
      <c r="AM1692" s="10"/>
    </row>
    <row r="1693" spans="1:39" ht="15.75" hidden="1" outlineLevel="1">
      <c r="A1693" s="63">
        <v>889</v>
      </c>
      <c r="B1693" s="95" t="s">
        <v>512</v>
      </c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</row>
    <row r="1694" spans="1:39" ht="15.75" hidden="1" outlineLevel="1">
      <c r="A1694" s="63">
        <v>890</v>
      </c>
      <c r="B1694" s="95" t="s">
        <v>513</v>
      </c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  <c r="AA1694" s="10"/>
      <c r="AB1694" s="10"/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0"/>
      <c r="AM1694" s="10"/>
    </row>
    <row r="1695" spans="1:39" ht="15.75" hidden="1" outlineLevel="1">
      <c r="A1695" s="63">
        <v>891</v>
      </c>
      <c r="B1695" s="95" t="s">
        <v>514</v>
      </c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</row>
    <row r="1696" spans="1:39" ht="15.75" hidden="1" outlineLevel="1">
      <c r="A1696" s="63">
        <v>892</v>
      </c>
      <c r="B1696" s="95" t="s">
        <v>515</v>
      </c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0"/>
      <c r="AM1696" s="10"/>
    </row>
    <row r="1697" spans="1:39" ht="15.75" hidden="1" outlineLevel="1">
      <c r="A1697" s="63">
        <v>893</v>
      </c>
      <c r="B1697" s="95" t="s">
        <v>516</v>
      </c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</row>
    <row r="1698" spans="1:39" ht="15.75" hidden="1" outlineLevel="1">
      <c r="A1698" s="63">
        <v>894</v>
      </c>
      <c r="B1698" s="95" t="s">
        <v>517</v>
      </c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0"/>
      <c r="AM1698" s="10"/>
    </row>
    <row r="1699" spans="1:39" ht="15.75" hidden="1" outlineLevel="1">
      <c r="A1699" s="63">
        <v>895</v>
      </c>
      <c r="B1699" s="95" t="s">
        <v>518</v>
      </c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</row>
    <row r="1700" spans="1:39" ht="15.75" hidden="1" outlineLevel="1">
      <c r="A1700" s="63">
        <v>896</v>
      </c>
      <c r="B1700" s="95" t="s">
        <v>519</v>
      </c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  <c r="AA1700" s="10"/>
      <c r="AB1700" s="10"/>
      <c r="AC1700" s="10"/>
      <c r="AD1700" s="10"/>
      <c r="AE1700" s="10"/>
      <c r="AF1700" s="10"/>
      <c r="AG1700" s="10"/>
      <c r="AH1700" s="10"/>
      <c r="AI1700" s="10"/>
      <c r="AJ1700" s="10"/>
      <c r="AK1700" s="10"/>
      <c r="AL1700" s="10"/>
      <c r="AM1700" s="10"/>
    </row>
    <row r="1701" spans="1:39" ht="15.75" hidden="1" outlineLevel="1">
      <c r="A1701" s="63">
        <v>897</v>
      </c>
      <c r="B1701" s="95" t="s">
        <v>520</v>
      </c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</row>
    <row r="1702" spans="1:39" ht="15.75" hidden="1" outlineLevel="1">
      <c r="A1702" s="63">
        <v>898</v>
      </c>
      <c r="B1702" s="95" t="s">
        <v>521</v>
      </c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10"/>
      <c r="AI1702" s="10"/>
      <c r="AJ1702" s="10"/>
      <c r="AK1702" s="10"/>
      <c r="AL1702" s="10"/>
      <c r="AM1702" s="10"/>
    </row>
    <row r="1703" spans="1:39" ht="15.75" hidden="1" outlineLevel="1">
      <c r="A1703" s="63">
        <v>899</v>
      </c>
      <c r="B1703" s="95" t="s">
        <v>522</v>
      </c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</row>
    <row r="1704" spans="1:39" ht="15.75" hidden="1" outlineLevel="1">
      <c r="A1704" s="63">
        <v>900</v>
      </c>
      <c r="B1704" s="95" t="s">
        <v>523</v>
      </c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0"/>
      <c r="AM1704" s="10"/>
    </row>
    <row r="1705" spans="1:39" ht="15.75" hidden="1" outlineLevel="1">
      <c r="A1705" s="63">
        <v>901</v>
      </c>
      <c r="B1705" s="95" t="s">
        <v>524</v>
      </c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</row>
    <row r="1706" spans="1:39" ht="15.75" hidden="1" outlineLevel="1">
      <c r="A1706" s="63">
        <v>902</v>
      </c>
      <c r="B1706" s="95" t="s">
        <v>525</v>
      </c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0"/>
      <c r="AK1706" s="10"/>
      <c r="AL1706" s="10"/>
      <c r="AM1706" s="10"/>
    </row>
    <row r="1707" spans="1:39" ht="15.75" hidden="1" outlineLevel="1">
      <c r="A1707" s="63">
        <v>903</v>
      </c>
      <c r="B1707" s="95" t="s">
        <v>526</v>
      </c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</row>
    <row r="1708" spans="1:39" ht="15.75" hidden="1" outlineLevel="1">
      <c r="A1708" s="63">
        <v>904</v>
      </c>
      <c r="B1708" s="95" t="s">
        <v>529</v>
      </c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10"/>
      <c r="AI1708" s="10"/>
      <c r="AJ1708" s="10"/>
      <c r="AK1708" s="10"/>
      <c r="AL1708" s="10"/>
      <c r="AM1708" s="10"/>
    </row>
    <row r="1709" spans="1:39" ht="15.75" hidden="1" outlineLevel="1">
      <c r="A1709" s="63">
        <v>905</v>
      </c>
      <c r="B1709" s="95" t="s">
        <v>531</v>
      </c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</row>
    <row r="1710" spans="1:39" ht="15.75" hidden="1" outlineLevel="1">
      <c r="A1710" s="63">
        <v>906</v>
      </c>
      <c r="B1710" s="95" t="s">
        <v>532</v>
      </c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10"/>
      <c r="AD1710" s="10"/>
      <c r="AE1710" s="10"/>
      <c r="AF1710" s="10"/>
      <c r="AG1710" s="10"/>
      <c r="AH1710" s="10"/>
      <c r="AI1710" s="10"/>
      <c r="AJ1710" s="10"/>
      <c r="AK1710" s="10"/>
      <c r="AL1710" s="10"/>
      <c r="AM1710" s="10"/>
    </row>
    <row r="1711" spans="1:39" ht="15.75" hidden="1" outlineLevel="1">
      <c r="A1711" s="63">
        <v>907</v>
      </c>
      <c r="B1711" s="95" t="s">
        <v>534</v>
      </c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</row>
    <row r="1712" spans="1:39" ht="15.75" hidden="1" outlineLevel="1">
      <c r="A1712" s="63">
        <v>908</v>
      </c>
      <c r="B1712" s="95" t="s">
        <v>535</v>
      </c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10"/>
      <c r="AD1712" s="10"/>
      <c r="AE1712" s="10"/>
      <c r="AF1712" s="10"/>
      <c r="AG1712" s="10"/>
      <c r="AH1712" s="10"/>
      <c r="AI1712" s="10"/>
      <c r="AJ1712" s="10"/>
      <c r="AK1712" s="10"/>
      <c r="AL1712" s="10"/>
      <c r="AM1712" s="10"/>
    </row>
    <row r="1713" spans="1:39" ht="15.75" hidden="1" outlineLevel="1">
      <c r="A1713" s="63">
        <v>909</v>
      </c>
      <c r="B1713" s="95" t="s">
        <v>537</v>
      </c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</row>
    <row r="1714" spans="1:39" ht="15.75" hidden="1" outlineLevel="1">
      <c r="A1714" s="63">
        <v>910</v>
      </c>
      <c r="B1714" s="95" t="s">
        <v>538</v>
      </c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10"/>
      <c r="AI1714" s="10"/>
      <c r="AJ1714" s="10"/>
      <c r="AK1714" s="10"/>
      <c r="AL1714" s="10"/>
      <c r="AM1714" s="10"/>
    </row>
    <row r="1715" spans="1:39" ht="15.75" hidden="1" outlineLevel="1">
      <c r="A1715" s="63">
        <v>911</v>
      </c>
      <c r="B1715" s="95" t="s">
        <v>539</v>
      </c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</row>
    <row r="1716" spans="1:39" ht="15.75" hidden="1" outlineLevel="1">
      <c r="A1716" s="63">
        <v>912</v>
      </c>
      <c r="B1716" s="95" t="s">
        <v>541</v>
      </c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0"/>
      <c r="AM1716" s="10"/>
    </row>
    <row r="1717" spans="1:39" ht="15.75" hidden="1" outlineLevel="1">
      <c r="A1717" s="63">
        <v>913</v>
      </c>
      <c r="B1717" s="95" t="s">
        <v>544</v>
      </c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</row>
    <row r="1718" spans="1:39" ht="15.75" hidden="1" outlineLevel="1">
      <c r="A1718" s="63">
        <v>914</v>
      </c>
      <c r="B1718" s="95" t="s">
        <v>545</v>
      </c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0"/>
      <c r="AM1718" s="10"/>
    </row>
    <row r="1719" spans="1:39" ht="15.75" hidden="1" outlineLevel="1">
      <c r="A1719" s="63">
        <v>915</v>
      </c>
      <c r="B1719" s="95" t="s">
        <v>546</v>
      </c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</row>
    <row r="1720" spans="1:39" ht="15.75" hidden="1" outlineLevel="1">
      <c r="A1720" s="63">
        <v>916</v>
      </c>
      <c r="B1720" s="95" t="s">
        <v>547</v>
      </c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0"/>
      <c r="AK1720" s="10"/>
      <c r="AL1720" s="10"/>
      <c r="AM1720" s="10"/>
    </row>
    <row r="1721" spans="1:39" ht="15.75" hidden="1" outlineLevel="1">
      <c r="A1721" s="63">
        <v>917</v>
      </c>
      <c r="B1721" s="95" t="s">
        <v>548</v>
      </c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</row>
    <row r="1722" spans="1:39" ht="15.75" hidden="1" outlineLevel="1">
      <c r="A1722" s="63">
        <v>918</v>
      </c>
      <c r="B1722" s="95" t="s">
        <v>549</v>
      </c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10"/>
      <c r="AD1722" s="10"/>
      <c r="AE1722" s="10"/>
      <c r="AF1722" s="10"/>
      <c r="AG1722" s="10"/>
      <c r="AH1722" s="10"/>
      <c r="AI1722" s="10"/>
      <c r="AJ1722" s="10"/>
      <c r="AK1722" s="10"/>
      <c r="AL1722" s="10"/>
      <c r="AM1722" s="10"/>
    </row>
    <row r="1723" spans="1:39" ht="15.75" hidden="1" outlineLevel="1">
      <c r="A1723" s="63">
        <v>919</v>
      </c>
      <c r="B1723" s="95" t="s">
        <v>550</v>
      </c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</row>
    <row r="1724" spans="1:39" ht="15.75" hidden="1" outlineLevel="1">
      <c r="A1724" s="63">
        <v>920</v>
      </c>
      <c r="B1724" s="95" t="s">
        <v>551</v>
      </c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/>
      <c r="AC1724" s="10"/>
      <c r="AD1724" s="10"/>
      <c r="AE1724" s="10"/>
      <c r="AF1724" s="10"/>
      <c r="AG1724" s="10"/>
      <c r="AH1724" s="10"/>
      <c r="AI1724" s="10"/>
      <c r="AJ1724" s="10"/>
      <c r="AK1724" s="10"/>
      <c r="AL1724" s="10"/>
      <c r="AM1724" s="10"/>
    </row>
    <row r="1725" spans="1:39" ht="15.75" hidden="1" outlineLevel="1">
      <c r="A1725" s="63">
        <v>921</v>
      </c>
      <c r="B1725" s="95" t="s">
        <v>552</v>
      </c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</row>
    <row r="1726" spans="1:39" ht="15.75" hidden="1" outlineLevel="1">
      <c r="A1726" s="63">
        <v>922</v>
      </c>
      <c r="B1726" s="95" t="s">
        <v>553</v>
      </c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10"/>
      <c r="AD1726" s="10"/>
      <c r="AE1726" s="10"/>
      <c r="AF1726" s="10"/>
      <c r="AG1726" s="10"/>
      <c r="AH1726" s="10"/>
      <c r="AI1726" s="10"/>
      <c r="AJ1726" s="10"/>
      <c r="AK1726" s="10"/>
      <c r="AL1726" s="10"/>
      <c r="AM1726" s="10"/>
    </row>
    <row r="1727" spans="1:39" ht="15.75" hidden="1" outlineLevel="1">
      <c r="A1727" s="63">
        <v>923</v>
      </c>
      <c r="B1727" s="95" t="s">
        <v>554</v>
      </c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</row>
    <row r="1728" spans="1:39" ht="15.75" hidden="1" outlineLevel="1">
      <c r="A1728" s="63">
        <v>924</v>
      </c>
      <c r="B1728" s="95" t="s">
        <v>555</v>
      </c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</row>
    <row r="1729" spans="1:39" ht="15.75" hidden="1" outlineLevel="1">
      <c r="A1729" s="63">
        <v>925</v>
      </c>
      <c r="B1729" s="95" t="s">
        <v>556</v>
      </c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</row>
    <row r="1730" spans="1:39" ht="15.75" hidden="1" outlineLevel="1">
      <c r="A1730" s="63">
        <v>926</v>
      </c>
      <c r="B1730" s="95" t="s">
        <v>558</v>
      </c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</row>
    <row r="1731" spans="1:39" ht="15.75" hidden="1" outlineLevel="1">
      <c r="A1731" s="63">
        <v>927</v>
      </c>
      <c r="B1731" s="95" t="s">
        <v>560</v>
      </c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</row>
    <row r="1732" spans="1:39" ht="15.75" hidden="1" outlineLevel="1">
      <c r="A1732" s="63">
        <v>928</v>
      </c>
      <c r="B1732" s="95" t="s">
        <v>561</v>
      </c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</row>
    <row r="1733" spans="1:39" ht="15.75" hidden="1" outlineLevel="1">
      <c r="A1733" s="63">
        <v>929</v>
      </c>
      <c r="B1733" s="95" t="s">
        <v>562</v>
      </c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</row>
    <row r="1734" spans="1:39" ht="15.75" hidden="1" outlineLevel="1">
      <c r="A1734" s="63">
        <v>930</v>
      </c>
      <c r="B1734" s="95" t="s">
        <v>563</v>
      </c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</row>
    <row r="1735" spans="1:39" ht="15.75" hidden="1" outlineLevel="1">
      <c r="A1735" s="63">
        <v>931</v>
      </c>
      <c r="B1735" s="95" t="s">
        <v>564</v>
      </c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</row>
    <row r="1736" spans="1:39" ht="15.75" hidden="1" outlineLevel="1">
      <c r="A1736" s="63">
        <v>932</v>
      </c>
      <c r="B1736" s="95" t="s">
        <v>565</v>
      </c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</row>
    <row r="1737" spans="1:39" ht="15.75" hidden="1" outlineLevel="1">
      <c r="A1737" s="63">
        <v>933</v>
      </c>
      <c r="B1737" s="95" t="s">
        <v>566</v>
      </c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</row>
    <row r="1738" spans="1:39" ht="15.75" hidden="1" outlineLevel="1">
      <c r="A1738" s="63">
        <v>934</v>
      </c>
      <c r="B1738" s="95" t="s">
        <v>567</v>
      </c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</row>
    <row r="1739" spans="1:39" ht="15.75" hidden="1" outlineLevel="1">
      <c r="A1739" s="63">
        <v>935</v>
      </c>
      <c r="B1739" s="95" t="s">
        <v>568</v>
      </c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</row>
    <row r="1740" spans="1:39" ht="15.75" hidden="1" outlineLevel="1">
      <c r="A1740" s="63">
        <v>936</v>
      </c>
      <c r="B1740" s="95" t="s">
        <v>569</v>
      </c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</row>
    <row r="1741" spans="1:39" ht="15.75" hidden="1" outlineLevel="1">
      <c r="A1741" s="63">
        <v>937</v>
      </c>
      <c r="B1741" s="95" t="s">
        <v>570</v>
      </c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</row>
    <row r="1742" spans="1:39" ht="15.75" hidden="1" outlineLevel="1">
      <c r="A1742" s="63">
        <v>938</v>
      </c>
      <c r="B1742" s="95" t="s">
        <v>571</v>
      </c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</row>
    <row r="1743" spans="1:39" ht="15.75" hidden="1" outlineLevel="1">
      <c r="A1743" s="63">
        <v>939</v>
      </c>
      <c r="B1743" s="95" t="s">
        <v>572</v>
      </c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</row>
    <row r="1744" spans="1:39" ht="15.75" hidden="1" outlineLevel="1">
      <c r="A1744" s="63">
        <v>940</v>
      </c>
      <c r="B1744" s="95" t="s">
        <v>573</v>
      </c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</row>
    <row r="1745" spans="1:39" ht="15.75" hidden="1" outlineLevel="1">
      <c r="A1745" s="63">
        <v>941</v>
      </c>
      <c r="B1745" s="95" t="s">
        <v>574</v>
      </c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</row>
    <row r="1746" spans="1:39" ht="15.75" hidden="1" outlineLevel="1">
      <c r="A1746" s="63">
        <v>942</v>
      </c>
      <c r="B1746" s="95" t="s">
        <v>575</v>
      </c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</row>
    <row r="1747" spans="1:39" ht="15.75" hidden="1" outlineLevel="1">
      <c r="A1747" s="63">
        <v>943</v>
      </c>
      <c r="B1747" s="95" t="s">
        <v>576</v>
      </c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</row>
    <row r="1748" spans="1:39" ht="15.75" hidden="1" outlineLevel="1">
      <c r="A1748" s="63">
        <v>944</v>
      </c>
      <c r="B1748" s="95" t="s">
        <v>577</v>
      </c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0"/>
      <c r="AM1748" s="10"/>
    </row>
    <row r="1749" spans="1:39" ht="15.75" hidden="1" outlineLevel="1">
      <c r="A1749" s="63">
        <v>945</v>
      </c>
      <c r="B1749" s="95" t="s">
        <v>578</v>
      </c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</row>
    <row r="1750" spans="1:39" ht="15.75" hidden="1" outlineLevel="1">
      <c r="A1750" s="63">
        <v>946</v>
      </c>
      <c r="B1750" s="95" t="s">
        <v>579</v>
      </c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0"/>
      <c r="AD1750" s="10"/>
      <c r="AE1750" s="10"/>
      <c r="AF1750" s="10"/>
      <c r="AG1750" s="10"/>
      <c r="AH1750" s="10"/>
      <c r="AI1750" s="10"/>
      <c r="AJ1750" s="10"/>
      <c r="AK1750" s="10"/>
      <c r="AL1750" s="10"/>
      <c r="AM1750" s="10"/>
    </row>
    <row r="1751" spans="1:39" ht="15.75" hidden="1" outlineLevel="1">
      <c r="A1751" s="63">
        <v>947</v>
      </c>
      <c r="B1751" s="95" t="s">
        <v>580</v>
      </c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</row>
    <row r="1752" spans="1:39" ht="15.75" hidden="1" outlineLevel="1">
      <c r="A1752" s="63">
        <v>948</v>
      </c>
      <c r="B1752" s="95" t="s">
        <v>581</v>
      </c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0"/>
      <c r="AM1752" s="10"/>
    </row>
    <row r="1753" spans="1:39" ht="15.75" hidden="1" outlineLevel="1">
      <c r="A1753" s="63">
        <v>949</v>
      </c>
      <c r="B1753" s="95" t="s">
        <v>582</v>
      </c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</row>
    <row r="1754" spans="1:39" ht="15.75" hidden="1" outlineLevel="1">
      <c r="A1754" s="63">
        <v>950</v>
      </c>
      <c r="B1754" s="95" t="s">
        <v>583</v>
      </c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0"/>
      <c r="AM1754" s="10"/>
    </row>
    <row r="1755" spans="1:39" ht="15.75" hidden="1" outlineLevel="1">
      <c r="A1755" s="63">
        <v>951</v>
      </c>
      <c r="B1755" s="95" t="s">
        <v>584</v>
      </c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</row>
    <row r="1756" spans="1:39" ht="15.75" hidden="1" outlineLevel="1">
      <c r="A1756" s="63">
        <v>952</v>
      </c>
      <c r="B1756" s="95" t="s">
        <v>585</v>
      </c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0"/>
      <c r="AD1756" s="10"/>
      <c r="AE1756" s="10"/>
      <c r="AF1756" s="10"/>
      <c r="AG1756" s="10"/>
      <c r="AH1756" s="10"/>
      <c r="AI1756" s="10"/>
      <c r="AJ1756" s="10"/>
      <c r="AK1756" s="10"/>
      <c r="AL1756" s="10"/>
      <c r="AM1756" s="10"/>
    </row>
    <row r="1757" spans="1:39" ht="15.75" hidden="1" outlineLevel="1">
      <c r="A1757" s="63">
        <v>953</v>
      </c>
      <c r="B1757" s="95" t="s">
        <v>586</v>
      </c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</row>
    <row r="1758" spans="1:39" ht="15.75" hidden="1" outlineLevel="1">
      <c r="A1758" s="63">
        <v>954</v>
      </c>
      <c r="B1758" s="95" t="s">
        <v>587</v>
      </c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0"/>
      <c r="AM1758" s="10"/>
    </row>
    <row r="1759" spans="1:39" ht="15.75" hidden="1" outlineLevel="1">
      <c r="A1759" s="63">
        <v>955</v>
      </c>
      <c r="B1759" s="95" t="s">
        <v>588</v>
      </c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</row>
    <row r="1760" spans="1:39" ht="15.75" hidden="1" outlineLevel="1">
      <c r="A1760" s="63">
        <v>956</v>
      </c>
      <c r="B1760" s="95" t="s">
        <v>589</v>
      </c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0"/>
      <c r="AM1760" s="10"/>
    </row>
    <row r="1761" spans="1:39" ht="15.75" hidden="1" outlineLevel="1">
      <c r="A1761" s="63">
        <v>957</v>
      </c>
      <c r="B1761" s="95" t="s">
        <v>591</v>
      </c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</row>
    <row r="1762" spans="1:39" ht="15.75" hidden="1" outlineLevel="1">
      <c r="A1762" s="63">
        <v>958</v>
      </c>
      <c r="B1762" s="95" t="s">
        <v>592</v>
      </c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0"/>
      <c r="AM1762" s="10"/>
    </row>
    <row r="1763" spans="1:39" ht="15.75" hidden="1" outlineLevel="1">
      <c r="A1763" s="63">
        <v>959</v>
      </c>
      <c r="B1763" s="95" t="s">
        <v>593</v>
      </c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</row>
    <row r="1764" spans="1:39" ht="15.75" hidden="1" outlineLevel="1">
      <c r="A1764" s="63">
        <v>960</v>
      </c>
      <c r="B1764" s="95" t="s">
        <v>594</v>
      </c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/>
      <c r="AK1764" s="10"/>
      <c r="AL1764" s="10"/>
      <c r="AM1764" s="10"/>
    </row>
    <row r="1765" spans="1:39" ht="15.75" hidden="1" outlineLevel="1">
      <c r="A1765" s="63">
        <v>961</v>
      </c>
      <c r="B1765" s="95" t="s">
        <v>595</v>
      </c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</row>
    <row r="1766" spans="1:39" ht="15.75" hidden="1" outlineLevel="1">
      <c r="A1766" s="63">
        <v>962</v>
      </c>
      <c r="B1766" s="95" t="s">
        <v>596</v>
      </c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0"/>
      <c r="AM1766" s="10"/>
    </row>
    <row r="1767" spans="1:39" ht="15.75" hidden="1" outlineLevel="1">
      <c r="A1767" s="63">
        <v>963</v>
      </c>
      <c r="B1767" s="95" t="s">
        <v>597</v>
      </c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</row>
    <row r="1768" spans="1:39" ht="15.75" hidden="1" outlineLevel="1">
      <c r="A1768" s="63">
        <v>964</v>
      </c>
      <c r="B1768" s="95" t="s">
        <v>598</v>
      </c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/>
      <c r="AK1768" s="10"/>
      <c r="AL1768" s="10"/>
      <c r="AM1768" s="10"/>
    </row>
    <row r="1769" spans="1:39" ht="15.75" hidden="1" outlineLevel="1">
      <c r="A1769" s="63">
        <v>965</v>
      </c>
      <c r="B1769" s="95" t="s">
        <v>599</v>
      </c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</row>
    <row r="1770" spans="1:39" ht="15.75" hidden="1" outlineLevel="1">
      <c r="A1770" s="63">
        <v>966</v>
      </c>
      <c r="B1770" s="95" t="s">
        <v>601</v>
      </c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0"/>
      <c r="AM1770" s="10"/>
    </row>
    <row r="1771" spans="1:39" ht="15.75" hidden="1" outlineLevel="1">
      <c r="A1771" s="63">
        <v>967</v>
      </c>
      <c r="B1771" s="95" t="s">
        <v>602</v>
      </c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</row>
    <row r="1772" spans="1:39" ht="15.75" hidden="1" outlineLevel="1">
      <c r="A1772" s="63">
        <v>968</v>
      </c>
      <c r="B1772" s="95" t="s">
        <v>604</v>
      </c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/>
      <c r="AK1772" s="10"/>
      <c r="AL1772" s="10"/>
      <c r="AM1772" s="10"/>
    </row>
    <row r="1773" spans="1:39" ht="15.75" hidden="1" outlineLevel="1">
      <c r="A1773" s="63">
        <v>969</v>
      </c>
      <c r="B1773" s="95" t="s">
        <v>606</v>
      </c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</row>
    <row r="1774" spans="1:39" ht="15.75" hidden="1" outlineLevel="1">
      <c r="A1774" s="63">
        <v>970</v>
      </c>
      <c r="B1774" s="95" t="s">
        <v>607</v>
      </c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/>
      <c r="AK1774" s="10"/>
      <c r="AL1774" s="10"/>
      <c r="AM1774" s="10"/>
    </row>
    <row r="1775" spans="1:39" ht="15.75" hidden="1" outlineLevel="1">
      <c r="A1775" s="63">
        <v>971</v>
      </c>
      <c r="B1775" s="95" t="s">
        <v>609</v>
      </c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</row>
    <row r="1776" spans="1:39" ht="15.75" hidden="1" outlineLevel="1">
      <c r="A1776" s="63">
        <v>972</v>
      </c>
      <c r="B1776" s="95" t="s">
        <v>610</v>
      </c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0"/>
      <c r="AM1776" s="10"/>
    </row>
    <row r="1777" spans="1:39" ht="15.75" hidden="1" outlineLevel="1">
      <c r="A1777" s="63">
        <v>973</v>
      </c>
      <c r="B1777" s="95" t="s">
        <v>611</v>
      </c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</row>
    <row r="1778" spans="1:39" ht="15.75" hidden="1" outlineLevel="1">
      <c r="A1778" s="63">
        <v>974</v>
      </c>
      <c r="B1778" s="95" t="s">
        <v>612</v>
      </c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0"/>
      <c r="AM1778" s="10"/>
    </row>
    <row r="1779" spans="1:39" ht="15.75" hidden="1" outlineLevel="1">
      <c r="A1779" s="63">
        <v>975</v>
      </c>
      <c r="B1779" s="95" t="s">
        <v>613</v>
      </c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</row>
    <row r="1780" spans="1:39" ht="15.75" hidden="1" outlineLevel="1">
      <c r="A1780" s="63">
        <v>976</v>
      </c>
      <c r="B1780" s="95" t="s">
        <v>616</v>
      </c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  <c r="AE1780" s="10"/>
      <c r="AF1780" s="10"/>
      <c r="AG1780" s="10"/>
      <c r="AH1780" s="10"/>
      <c r="AI1780" s="10"/>
      <c r="AJ1780" s="10"/>
      <c r="AK1780" s="10"/>
      <c r="AL1780" s="10"/>
      <c r="AM1780" s="10"/>
    </row>
    <row r="1781" spans="1:39" ht="15.75" hidden="1" outlineLevel="1">
      <c r="A1781" s="63">
        <v>977</v>
      </c>
      <c r="B1781" s="95" t="s">
        <v>618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</row>
    <row r="1782" spans="1:39" ht="15.75" hidden="1" outlineLevel="1">
      <c r="A1782" s="63">
        <v>978</v>
      </c>
      <c r="B1782" s="95" t="s">
        <v>619</v>
      </c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/>
      <c r="AD1782" s="10"/>
      <c r="AE1782" s="10"/>
      <c r="AF1782" s="10"/>
      <c r="AG1782" s="10"/>
      <c r="AH1782" s="10"/>
      <c r="AI1782" s="10"/>
      <c r="AJ1782" s="10"/>
      <c r="AK1782" s="10"/>
      <c r="AL1782" s="10"/>
      <c r="AM1782" s="10"/>
    </row>
    <row r="1783" spans="1:39" ht="15.75" hidden="1" outlineLevel="1">
      <c r="A1783" s="63">
        <v>979</v>
      </c>
      <c r="B1783" s="95" t="s">
        <v>620</v>
      </c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</row>
    <row r="1784" spans="1:39" ht="15.75" hidden="1" outlineLevel="1">
      <c r="A1784" s="63">
        <v>980</v>
      </c>
      <c r="B1784" s="95" t="s">
        <v>621</v>
      </c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</row>
    <row r="1785" spans="1:39" ht="15.75" hidden="1" outlineLevel="1">
      <c r="A1785" s="63">
        <v>981</v>
      </c>
      <c r="B1785" s="95" t="s">
        <v>622</v>
      </c>
      <c r="M1785" s="10"/>
      <c r="N1785" s="10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</row>
    <row r="1786" spans="1:39" ht="15.75" hidden="1" outlineLevel="1">
      <c r="A1786" s="63">
        <v>982</v>
      </c>
      <c r="B1786" s="95" t="s">
        <v>623</v>
      </c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/>
      <c r="AK1786" s="10"/>
      <c r="AL1786" s="10"/>
      <c r="AM1786" s="10"/>
    </row>
    <row r="1787" spans="1:39" ht="15.75" hidden="1" outlineLevel="1">
      <c r="A1787" s="63">
        <v>983</v>
      </c>
      <c r="B1787" s="95" t="s">
        <v>624</v>
      </c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</row>
    <row r="1788" spans="1:39" ht="15.75" hidden="1" outlineLevel="1">
      <c r="A1788" s="63">
        <v>984</v>
      </c>
      <c r="B1788" s="95" t="s">
        <v>625</v>
      </c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0"/>
      <c r="AD1788" s="10"/>
      <c r="AE1788" s="10"/>
      <c r="AF1788" s="10"/>
      <c r="AG1788" s="10"/>
      <c r="AH1788" s="10"/>
      <c r="AI1788" s="10"/>
      <c r="AJ1788" s="10"/>
      <c r="AK1788" s="10"/>
      <c r="AL1788" s="10"/>
      <c r="AM1788" s="10"/>
    </row>
    <row r="1789" spans="1:39" ht="15.75" hidden="1" outlineLevel="1">
      <c r="A1789" s="63">
        <v>985</v>
      </c>
      <c r="B1789" s="95" t="s">
        <v>626</v>
      </c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</row>
    <row r="1790" spans="1:39" ht="15.75" hidden="1" outlineLevel="1">
      <c r="A1790" s="63">
        <v>986</v>
      </c>
      <c r="B1790" s="95" t="s">
        <v>627</v>
      </c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0"/>
      <c r="AD1790" s="10"/>
      <c r="AE1790" s="10"/>
      <c r="AF1790" s="10"/>
      <c r="AG1790" s="10"/>
      <c r="AH1790" s="10"/>
      <c r="AI1790" s="10"/>
      <c r="AJ1790" s="10"/>
      <c r="AK1790" s="10"/>
      <c r="AL1790" s="10"/>
      <c r="AM1790" s="10"/>
    </row>
    <row r="1791" spans="1:39" ht="15.75" hidden="1" outlineLevel="1">
      <c r="A1791" s="63">
        <v>987</v>
      </c>
      <c r="B1791" s="95" t="s">
        <v>628</v>
      </c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</row>
    <row r="1792" spans="1:39" ht="15.75" hidden="1" outlineLevel="1">
      <c r="A1792" s="63">
        <v>988</v>
      </c>
      <c r="B1792" s="95" t="s">
        <v>629</v>
      </c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0"/>
      <c r="AD1792" s="10"/>
      <c r="AE1792" s="10"/>
      <c r="AF1792" s="10"/>
      <c r="AG1792" s="10"/>
      <c r="AH1792" s="10"/>
      <c r="AI1792" s="10"/>
      <c r="AJ1792" s="10"/>
      <c r="AK1792" s="10"/>
      <c r="AL1792" s="10"/>
      <c r="AM1792" s="10"/>
    </row>
    <row r="1793" spans="1:39" ht="15.75" hidden="1" outlineLevel="1">
      <c r="A1793" s="63">
        <v>989</v>
      </c>
      <c r="B1793" s="95" t="s">
        <v>630</v>
      </c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</row>
    <row r="1794" spans="1:39" ht="15.75" hidden="1" outlineLevel="1">
      <c r="A1794" s="63">
        <v>990</v>
      </c>
      <c r="B1794" s="95" t="s">
        <v>632</v>
      </c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/>
      <c r="AK1794" s="10"/>
      <c r="AL1794" s="10"/>
      <c r="AM1794" s="10"/>
    </row>
    <row r="1795" spans="1:39" ht="15.75" hidden="1" outlineLevel="1">
      <c r="A1795" s="63">
        <v>991</v>
      </c>
      <c r="B1795" s="95" t="s">
        <v>633</v>
      </c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</row>
    <row r="1796" spans="1:39" ht="15.75" hidden="1" outlineLevel="1">
      <c r="A1796" s="63">
        <v>992</v>
      </c>
      <c r="B1796" s="95" t="s">
        <v>634</v>
      </c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10"/>
      <c r="AI1796" s="10"/>
      <c r="AJ1796" s="10"/>
      <c r="AK1796" s="10"/>
      <c r="AL1796" s="10"/>
      <c r="AM1796" s="10"/>
    </row>
    <row r="1797" spans="1:39" ht="15.75" hidden="1" outlineLevel="1">
      <c r="A1797" s="63">
        <v>993</v>
      </c>
      <c r="B1797" s="95" t="s">
        <v>635</v>
      </c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</row>
    <row r="1798" spans="1:39" ht="15.75" hidden="1" outlineLevel="1">
      <c r="A1798" s="63">
        <v>994</v>
      </c>
      <c r="B1798" s="95" t="s">
        <v>636</v>
      </c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  <c r="AE1798" s="10"/>
      <c r="AF1798" s="10"/>
      <c r="AG1798" s="10"/>
      <c r="AH1798" s="10"/>
      <c r="AI1798" s="10"/>
      <c r="AJ1798" s="10"/>
      <c r="AK1798" s="10"/>
      <c r="AL1798" s="10"/>
      <c r="AM1798" s="10"/>
    </row>
    <row r="1799" spans="1:39" ht="15.75" hidden="1" outlineLevel="1">
      <c r="A1799" s="63">
        <v>995</v>
      </c>
      <c r="B1799" s="95" t="s">
        <v>637</v>
      </c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</row>
    <row r="1800" spans="1:39" ht="15.75" hidden="1" outlineLevel="1">
      <c r="A1800" s="63">
        <v>996</v>
      </c>
      <c r="B1800" s="95" t="s">
        <v>638</v>
      </c>
      <c r="M1800" s="10"/>
      <c r="N1800" s="10"/>
      <c r="O1800" s="10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0"/>
      <c r="AM1800" s="10"/>
    </row>
    <row r="1801" spans="1:39" ht="15.75" hidden="1" outlineLevel="1">
      <c r="A1801" s="63">
        <v>997</v>
      </c>
      <c r="B1801" s="95" t="s">
        <v>640</v>
      </c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</row>
    <row r="1802" spans="1:39" ht="15.75" hidden="1" outlineLevel="1">
      <c r="A1802" s="63">
        <v>998</v>
      </c>
      <c r="B1802" s="95" t="s">
        <v>641</v>
      </c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0"/>
      <c r="AD1802" s="10"/>
      <c r="AE1802" s="10"/>
      <c r="AF1802" s="10"/>
      <c r="AG1802" s="10"/>
      <c r="AH1802" s="10"/>
      <c r="AI1802" s="10"/>
      <c r="AJ1802" s="10"/>
      <c r="AK1802" s="10"/>
      <c r="AL1802" s="10"/>
      <c r="AM1802" s="10"/>
    </row>
    <row r="1803" spans="1:39" ht="15.75" hidden="1" outlineLevel="1">
      <c r="A1803" s="63">
        <v>999</v>
      </c>
      <c r="B1803" s="95" t="s">
        <v>643</v>
      </c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</row>
    <row r="1804" spans="1:39" ht="15.75" hidden="1" outlineLevel="1">
      <c r="A1804" s="63">
        <v>1000</v>
      </c>
      <c r="B1804" s="95" t="s">
        <v>644</v>
      </c>
      <c r="M1804" s="10"/>
      <c r="N1804" s="10"/>
      <c r="O1804" s="10"/>
      <c r="P1804" s="10"/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0"/>
      <c r="AD1804" s="10"/>
      <c r="AE1804" s="10"/>
      <c r="AF1804" s="10"/>
      <c r="AG1804" s="10"/>
      <c r="AH1804" s="10"/>
      <c r="AI1804" s="10"/>
      <c r="AJ1804" s="10"/>
      <c r="AK1804" s="10"/>
      <c r="AL1804" s="10"/>
      <c r="AM1804" s="10"/>
    </row>
    <row r="1805" spans="1:39" ht="15.75" hidden="1" outlineLevel="1">
      <c r="A1805" s="63">
        <v>1001</v>
      </c>
      <c r="B1805" s="95" t="s">
        <v>645</v>
      </c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</row>
    <row r="1806" spans="1:39" ht="15.75" hidden="1" outlineLevel="1">
      <c r="A1806" s="63">
        <v>1002</v>
      </c>
      <c r="B1806" s="95" t="s">
        <v>646</v>
      </c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0"/>
      <c r="AD1806" s="10"/>
      <c r="AE1806" s="10"/>
      <c r="AF1806" s="10"/>
      <c r="AG1806" s="10"/>
      <c r="AH1806" s="10"/>
      <c r="AI1806" s="10"/>
      <c r="AJ1806" s="10"/>
      <c r="AK1806" s="10"/>
      <c r="AL1806" s="10"/>
      <c r="AM1806" s="10"/>
    </row>
    <row r="1807" spans="1:39" ht="15.75" hidden="1" outlineLevel="1">
      <c r="A1807" s="63">
        <v>1003</v>
      </c>
      <c r="B1807" s="95" t="s">
        <v>647</v>
      </c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</row>
    <row r="1808" spans="1:39" ht="15.75" hidden="1" outlineLevel="1">
      <c r="A1808" s="63">
        <v>1004</v>
      </c>
      <c r="B1808" s="95" t="s">
        <v>648</v>
      </c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0"/>
      <c r="AD1808" s="10"/>
      <c r="AE1808" s="10"/>
      <c r="AF1808" s="10"/>
      <c r="AG1808" s="10"/>
      <c r="AH1808" s="10"/>
      <c r="AI1808" s="10"/>
      <c r="AJ1808" s="10"/>
      <c r="AK1808" s="10"/>
      <c r="AL1808" s="10"/>
      <c r="AM1808" s="10"/>
    </row>
    <row r="1809" spans="1:39" ht="15.75" hidden="1" outlineLevel="1">
      <c r="A1809" s="63">
        <v>1005</v>
      </c>
      <c r="B1809" s="95" t="s">
        <v>650</v>
      </c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</row>
    <row r="1810" spans="1:39" ht="15.75" hidden="1" outlineLevel="1">
      <c r="A1810" s="63">
        <v>1006</v>
      </c>
      <c r="B1810" s="95" t="s">
        <v>651</v>
      </c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0"/>
      <c r="AM1810" s="10"/>
    </row>
    <row r="1811" spans="1:39" ht="15.75" hidden="1" outlineLevel="1">
      <c r="A1811" s="63">
        <v>1007</v>
      </c>
      <c r="B1811" s="95" t="s">
        <v>652</v>
      </c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</row>
    <row r="1812" spans="1:39" ht="15.75" hidden="1" outlineLevel="1">
      <c r="A1812" s="63">
        <v>1008</v>
      </c>
      <c r="B1812" s="95" t="s">
        <v>653</v>
      </c>
      <c r="M1812" s="10"/>
      <c r="N1812" s="10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0"/>
      <c r="AD1812" s="10"/>
      <c r="AE1812" s="10"/>
      <c r="AF1812" s="10"/>
      <c r="AG1812" s="10"/>
      <c r="AH1812" s="10"/>
      <c r="AI1812" s="10"/>
      <c r="AJ1812" s="10"/>
      <c r="AK1812" s="10"/>
      <c r="AL1812" s="10"/>
      <c r="AM1812" s="10"/>
    </row>
    <row r="1813" spans="1:39" ht="15.75" hidden="1" outlineLevel="1">
      <c r="A1813" s="63">
        <v>1009</v>
      </c>
      <c r="B1813" s="95" t="s">
        <v>655</v>
      </c>
      <c r="M1813" s="10"/>
      <c r="N1813" s="10"/>
      <c r="O1813" s="10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</row>
    <row r="1814" spans="1:39" ht="15.75" hidden="1" outlineLevel="1">
      <c r="A1814" s="63">
        <v>1010</v>
      </c>
      <c r="B1814" s="95" t="s">
        <v>656</v>
      </c>
      <c r="M1814" s="10"/>
      <c r="N1814" s="10"/>
      <c r="O1814" s="10"/>
      <c r="P1814" s="10"/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0"/>
      <c r="AD1814" s="10"/>
      <c r="AE1814" s="10"/>
      <c r="AF1814" s="10"/>
      <c r="AG1814" s="10"/>
      <c r="AH1814" s="10"/>
      <c r="AI1814" s="10"/>
      <c r="AJ1814" s="10"/>
      <c r="AK1814" s="10"/>
      <c r="AL1814" s="10"/>
      <c r="AM1814" s="10"/>
    </row>
    <row r="1815" spans="1:39" ht="15.75" hidden="1" outlineLevel="1">
      <c r="A1815" s="63">
        <v>1011</v>
      </c>
      <c r="B1815" s="95" t="s">
        <v>657</v>
      </c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</row>
    <row r="1816" spans="1:39" ht="15.75" hidden="1" outlineLevel="1">
      <c r="A1816" s="63">
        <v>1012</v>
      </c>
      <c r="B1816" s="95" t="s">
        <v>658</v>
      </c>
      <c r="M1816" s="10"/>
      <c r="N1816" s="10"/>
      <c r="O1816" s="10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/>
      <c r="AK1816" s="10"/>
      <c r="AL1816" s="10"/>
      <c r="AM1816" s="10"/>
    </row>
    <row r="1817" spans="1:39" ht="15.75" hidden="1" outlineLevel="1">
      <c r="A1817" s="63">
        <v>1013</v>
      </c>
      <c r="B1817" s="95" t="s">
        <v>659</v>
      </c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</row>
    <row r="1818" spans="1:39" ht="15.75" hidden="1" outlineLevel="1">
      <c r="A1818" s="63">
        <v>1014</v>
      </c>
      <c r="B1818" s="95" t="s">
        <v>660</v>
      </c>
      <c r="M1818" s="10"/>
      <c r="N1818" s="10"/>
      <c r="O1818" s="10"/>
      <c r="P1818" s="10"/>
      <c r="Q1818" s="10"/>
      <c r="R1818" s="10"/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0"/>
      <c r="AD1818" s="10"/>
      <c r="AE1818" s="10"/>
      <c r="AF1818" s="10"/>
      <c r="AG1818" s="10"/>
      <c r="AH1818" s="10"/>
      <c r="AI1818" s="10"/>
      <c r="AJ1818" s="10"/>
      <c r="AK1818" s="10"/>
      <c r="AL1818" s="10"/>
      <c r="AM1818" s="10"/>
    </row>
    <row r="1819" spans="1:39" ht="15.75" hidden="1" outlineLevel="1">
      <c r="A1819" s="63">
        <v>1015</v>
      </c>
      <c r="B1819" s="95" t="s">
        <v>661</v>
      </c>
      <c r="M1819" s="10"/>
      <c r="N1819" s="10"/>
      <c r="O1819" s="10"/>
      <c r="P1819" s="10"/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</row>
    <row r="1820" spans="1:39" ht="15.75" hidden="1" outlineLevel="1">
      <c r="A1820" s="63">
        <v>1016</v>
      </c>
      <c r="B1820" s="95" t="s">
        <v>662</v>
      </c>
      <c r="M1820" s="10"/>
      <c r="N1820" s="10"/>
      <c r="O1820" s="10"/>
      <c r="P1820" s="10"/>
      <c r="Q1820" s="10"/>
      <c r="R1820" s="10"/>
      <c r="S1820" s="10"/>
      <c r="T1820" s="10"/>
      <c r="U1820" s="10"/>
      <c r="V1820" s="10"/>
      <c r="W1820" s="10"/>
      <c r="X1820" s="10"/>
      <c r="Y1820" s="10"/>
      <c r="Z1820" s="10"/>
      <c r="AA1820" s="10"/>
      <c r="AB1820" s="10"/>
      <c r="AC1820" s="10"/>
      <c r="AD1820" s="10"/>
      <c r="AE1820" s="10"/>
      <c r="AF1820" s="10"/>
      <c r="AG1820" s="10"/>
      <c r="AH1820" s="10"/>
      <c r="AI1820" s="10"/>
      <c r="AJ1820" s="10"/>
      <c r="AK1820" s="10"/>
      <c r="AL1820" s="10"/>
      <c r="AM1820" s="10"/>
    </row>
    <row r="1821" spans="1:39" ht="15.75" hidden="1" outlineLevel="1">
      <c r="A1821" s="63">
        <v>1017</v>
      </c>
      <c r="B1821" s="95" t="s">
        <v>663</v>
      </c>
      <c r="M1821" s="10"/>
      <c r="N1821" s="10"/>
      <c r="O1821" s="10"/>
      <c r="P1821" s="10"/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</row>
    <row r="1822" spans="1:39" ht="15.75" hidden="1" outlineLevel="1">
      <c r="A1822" s="63">
        <v>1018</v>
      </c>
      <c r="B1822" s="95" t="s">
        <v>664</v>
      </c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0"/>
      <c r="AD1822" s="10"/>
      <c r="AE1822" s="10"/>
      <c r="AF1822" s="10"/>
      <c r="AG1822" s="10"/>
      <c r="AH1822" s="10"/>
      <c r="AI1822" s="10"/>
      <c r="AJ1822" s="10"/>
      <c r="AK1822" s="10"/>
      <c r="AL1822" s="10"/>
      <c r="AM1822" s="10"/>
    </row>
    <row r="1823" spans="1:39" ht="15.75" hidden="1" outlineLevel="1">
      <c r="A1823" s="63">
        <v>1019</v>
      </c>
      <c r="B1823" s="95" t="s">
        <v>666</v>
      </c>
      <c r="M1823" s="10"/>
      <c r="N1823" s="10"/>
      <c r="O1823" s="10"/>
      <c r="P1823" s="10"/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</row>
    <row r="1824" spans="1:39" ht="15.75" hidden="1" outlineLevel="1">
      <c r="A1824" s="63">
        <v>1020</v>
      </c>
      <c r="B1824" s="95" t="s">
        <v>667</v>
      </c>
      <c r="M1824" s="10"/>
      <c r="N1824" s="10"/>
      <c r="O1824" s="10"/>
      <c r="P1824" s="10"/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0"/>
      <c r="AD1824" s="10"/>
      <c r="AE1824" s="10"/>
      <c r="AF1824" s="10"/>
      <c r="AG1824" s="10"/>
      <c r="AH1824" s="10"/>
      <c r="AI1824" s="10"/>
      <c r="AJ1824" s="10"/>
      <c r="AK1824" s="10"/>
      <c r="AL1824" s="10"/>
      <c r="AM1824" s="10"/>
    </row>
    <row r="1825" spans="1:39" ht="15.75" hidden="1" outlineLevel="1">
      <c r="A1825" s="63">
        <v>1021</v>
      </c>
      <c r="B1825" s="95" t="s">
        <v>668</v>
      </c>
      <c r="M1825" s="10"/>
      <c r="N1825" s="10"/>
      <c r="O1825" s="10"/>
      <c r="P1825" s="10"/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</row>
    <row r="1826" spans="1:39" ht="15.75" hidden="1" outlineLevel="1">
      <c r="A1826" s="63">
        <v>1022</v>
      </c>
      <c r="B1826" s="95" t="s">
        <v>669</v>
      </c>
      <c r="M1826" s="10"/>
      <c r="N1826" s="10"/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/>
      <c r="AE1826" s="10"/>
      <c r="AF1826" s="10"/>
      <c r="AG1826" s="10"/>
      <c r="AH1826" s="10"/>
      <c r="AI1826" s="10"/>
      <c r="AJ1826" s="10"/>
      <c r="AK1826" s="10"/>
      <c r="AL1826" s="10"/>
      <c r="AM1826" s="10"/>
    </row>
    <row r="1827" spans="1:39" ht="15.75" hidden="1" outlineLevel="1">
      <c r="A1827" s="63">
        <v>1023</v>
      </c>
      <c r="B1827" s="95" t="s">
        <v>670</v>
      </c>
      <c r="M1827" s="10"/>
      <c r="N1827" s="10"/>
      <c r="O1827" s="10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</row>
    <row r="1828" spans="1:39" ht="15.75" hidden="1" outlineLevel="1">
      <c r="A1828" s="63">
        <v>1024</v>
      </c>
      <c r="B1828" s="95" t="s">
        <v>671</v>
      </c>
      <c r="M1828" s="10"/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/>
      <c r="AE1828" s="10"/>
      <c r="AF1828" s="10"/>
      <c r="AG1828" s="10"/>
      <c r="AH1828" s="10"/>
      <c r="AI1828" s="10"/>
      <c r="AJ1828" s="10"/>
      <c r="AK1828" s="10"/>
      <c r="AL1828" s="10"/>
      <c r="AM1828" s="10"/>
    </row>
    <row r="1829" spans="1:39" ht="15.75" hidden="1" outlineLevel="1">
      <c r="A1829" s="63">
        <v>1025</v>
      </c>
      <c r="B1829" s="95" t="s">
        <v>672</v>
      </c>
      <c r="M1829" s="10"/>
      <c r="N1829" s="10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</row>
    <row r="1830" spans="1:39" ht="15.75" hidden="1" outlineLevel="1">
      <c r="A1830" s="63">
        <v>1026</v>
      </c>
      <c r="B1830" s="95" t="s">
        <v>673</v>
      </c>
      <c r="M1830" s="10"/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10"/>
      <c r="AM1830" s="10"/>
    </row>
    <row r="1831" spans="1:39" ht="15.75" hidden="1" outlineLevel="1">
      <c r="A1831" s="63">
        <v>1027</v>
      </c>
      <c r="B1831" s="95" t="s">
        <v>674</v>
      </c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</row>
    <row r="1832" spans="1:39" ht="15.75" hidden="1" outlineLevel="1">
      <c r="A1832" s="63">
        <v>1028</v>
      </c>
      <c r="B1832" s="95" t="s">
        <v>675</v>
      </c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</row>
    <row r="1833" spans="1:39" ht="15.75" hidden="1" outlineLevel="1">
      <c r="A1833" s="63">
        <v>1029</v>
      </c>
      <c r="B1833" s="95" t="s">
        <v>676</v>
      </c>
      <c r="M1833" s="10"/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</row>
    <row r="1834" spans="1:39" ht="15.75" hidden="1" outlineLevel="1">
      <c r="A1834" s="63">
        <v>1030</v>
      </c>
      <c r="B1834" s="95" t="s">
        <v>677</v>
      </c>
      <c r="M1834" s="10"/>
      <c r="N1834" s="10"/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10"/>
      <c r="AM1834" s="10"/>
    </row>
    <row r="1835" spans="1:39" ht="15.75" hidden="1" outlineLevel="1">
      <c r="A1835" s="63">
        <v>1031</v>
      </c>
      <c r="B1835" s="95" t="s">
        <v>678</v>
      </c>
      <c r="M1835" s="10"/>
      <c r="N1835" s="10"/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</row>
    <row r="1836" spans="1:39" ht="15.75" hidden="1" outlineLevel="1">
      <c r="A1836" s="63">
        <v>1032</v>
      </c>
      <c r="B1836" s="95" t="s">
        <v>679</v>
      </c>
      <c r="M1836" s="10"/>
      <c r="N1836" s="10"/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10"/>
      <c r="AI1836" s="10"/>
      <c r="AJ1836" s="10"/>
      <c r="AK1836" s="10"/>
      <c r="AL1836" s="10"/>
      <c r="AM1836" s="10"/>
    </row>
    <row r="1837" spans="1:39" ht="15.75" hidden="1" outlineLevel="1">
      <c r="A1837" s="63">
        <v>1033</v>
      </c>
      <c r="B1837" s="95" t="s">
        <v>682</v>
      </c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</row>
    <row r="1838" spans="1:39" ht="15.75" hidden="1" outlineLevel="1">
      <c r="A1838" s="63">
        <v>1034</v>
      </c>
      <c r="B1838" s="95" t="s">
        <v>683</v>
      </c>
      <c r="M1838" s="10"/>
      <c r="N1838" s="10"/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0"/>
      <c r="AM1838" s="10"/>
    </row>
    <row r="1839" spans="1:39" ht="15.75" hidden="1" outlineLevel="1">
      <c r="A1839" s="63">
        <v>1035</v>
      </c>
      <c r="B1839" s="95" t="s">
        <v>684</v>
      </c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</row>
    <row r="1840" spans="1:39" ht="15.75" hidden="1" outlineLevel="1">
      <c r="A1840" s="63">
        <v>1036</v>
      </c>
      <c r="B1840" s="95" t="s">
        <v>685</v>
      </c>
      <c r="M1840" s="10"/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/>
      <c r="AC1840" s="10"/>
      <c r="AD1840" s="10"/>
      <c r="AE1840" s="10"/>
      <c r="AF1840" s="10"/>
      <c r="AG1840" s="10"/>
      <c r="AH1840" s="10"/>
      <c r="AI1840" s="10"/>
      <c r="AJ1840" s="10"/>
      <c r="AK1840" s="10"/>
      <c r="AL1840" s="10"/>
      <c r="AM1840" s="10"/>
    </row>
    <row r="1841" spans="1:39" ht="15.75" hidden="1" outlineLevel="1">
      <c r="A1841" s="63">
        <v>1037</v>
      </c>
      <c r="B1841" s="95" t="s">
        <v>686</v>
      </c>
      <c r="M1841" s="10"/>
      <c r="N1841" s="10"/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</row>
    <row r="1842" spans="1:39" ht="15.75" hidden="1" outlineLevel="1">
      <c r="A1842" s="63">
        <v>1038</v>
      </c>
      <c r="B1842" s="95" t="s">
        <v>687</v>
      </c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0"/>
      <c r="AD1842" s="10"/>
      <c r="AE1842" s="10"/>
      <c r="AF1842" s="10"/>
      <c r="AG1842" s="10"/>
      <c r="AH1842" s="10"/>
      <c r="AI1842" s="10"/>
      <c r="AJ1842" s="10"/>
      <c r="AK1842" s="10"/>
      <c r="AL1842" s="10"/>
      <c r="AM1842" s="10"/>
    </row>
    <row r="1843" spans="1:39" ht="15.75" hidden="1" outlineLevel="1">
      <c r="A1843" s="63">
        <v>1039</v>
      </c>
      <c r="B1843" s="95" t="s">
        <v>688</v>
      </c>
      <c r="M1843" s="10"/>
      <c r="N1843" s="10"/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</row>
    <row r="1844" spans="1:39" ht="15.75" hidden="1" outlineLevel="1">
      <c r="A1844" s="63">
        <v>1040</v>
      </c>
      <c r="B1844" s="95" t="s">
        <v>689</v>
      </c>
      <c r="M1844" s="10"/>
      <c r="N1844" s="10"/>
      <c r="O1844" s="10"/>
      <c r="P1844" s="10"/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10"/>
      <c r="AI1844" s="10"/>
      <c r="AJ1844" s="10"/>
      <c r="AK1844" s="10"/>
      <c r="AL1844" s="10"/>
      <c r="AM1844" s="10"/>
    </row>
    <row r="1845" spans="1:39" ht="15.75" hidden="1" outlineLevel="1">
      <c r="A1845" s="63">
        <v>1041</v>
      </c>
      <c r="B1845" s="95" t="s">
        <v>690</v>
      </c>
      <c r="M1845" s="10"/>
      <c r="N1845" s="10"/>
      <c r="O1845" s="10"/>
      <c r="P1845" s="10"/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</row>
    <row r="1846" spans="1:39" ht="15.75" hidden="1" outlineLevel="1">
      <c r="A1846" s="63">
        <v>1042</v>
      </c>
      <c r="B1846" s="95" t="s">
        <v>691</v>
      </c>
      <c r="M1846" s="10"/>
      <c r="N1846" s="10"/>
      <c r="O1846" s="10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0"/>
      <c r="AM1846" s="10"/>
    </row>
    <row r="1847" spans="1:39" ht="15.75" hidden="1" outlineLevel="1">
      <c r="A1847" s="63">
        <v>1043</v>
      </c>
      <c r="B1847" s="95" t="s">
        <v>692</v>
      </c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</row>
    <row r="1848" spans="1:39" ht="15.75" hidden="1" outlineLevel="1">
      <c r="A1848" s="63">
        <v>1044</v>
      </c>
      <c r="B1848" s="95" t="s">
        <v>693</v>
      </c>
      <c r="M1848" s="10"/>
      <c r="N1848" s="10"/>
      <c r="O1848" s="10"/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0"/>
      <c r="AM1848" s="10"/>
    </row>
    <row r="1849" spans="1:39" ht="15.75" hidden="1" outlineLevel="1">
      <c r="A1849" s="63">
        <v>1045</v>
      </c>
      <c r="B1849" s="95" t="s">
        <v>694</v>
      </c>
      <c r="M1849" s="10"/>
      <c r="N1849" s="10"/>
      <c r="O1849" s="10"/>
      <c r="P1849" s="10"/>
      <c r="Q1849" s="10"/>
      <c r="R1849" s="10"/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</row>
    <row r="1850" spans="1:39" ht="15.75" hidden="1" outlineLevel="1">
      <c r="A1850" s="63">
        <v>1046</v>
      </c>
      <c r="B1850" s="95" t="s">
        <v>695</v>
      </c>
      <c r="M1850" s="10"/>
      <c r="N1850" s="10"/>
      <c r="O1850" s="10"/>
      <c r="P1850" s="10"/>
      <c r="Q1850" s="10"/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0"/>
      <c r="AM1850" s="10"/>
    </row>
    <row r="1851" spans="1:39" ht="15.75" hidden="1" outlineLevel="1">
      <c r="A1851" s="63">
        <v>1047</v>
      </c>
      <c r="B1851" s="95" t="s">
        <v>697</v>
      </c>
      <c r="M1851" s="10"/>
      <c r="N1851" s="10"/>
      <c r="O1851" s="10"/>
      <c r="P1851" s="10"/>
      <c r="Q1851" s="10"/>
      <c r="R1851" s="10"/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</row>
    <row r="1852" spans="1:39" ht="15.75" hidden="1" outlineLevel="1">
      <c r="A1852" s="63">
        <v>1048</v>
      </c>
      <c r="B1852" s="95" t="s">
        <v>698</v>
      </c>
      <c r="M1852" s="10"/>
      <c r="N1852" s="10"/>
      <c r="O1852" s="10"/>
      <c r="P1852" s="10"/>
      <c r="Q1852" s="10"/>
      <c r="R1852" s="10"/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/>
      <c r="AC1852" s="10"/>
      <c r="AD1852" s="10"/>
      <c r="AE1852" s="10"/>
      <c r="AF1852" s="10"/>
      <c r="AG1852" s="10"/>
      <c r="AH1852" s="10"/>
      <c r="AI1852" s="10"/>
      <c r="AJ1852" s="10"/>
      <c r="AK1852" s="10"/>
      <c r="AL1852" s="10"/>
      <c r="AM1852" s="10"/>
    </row>
    <row r="1853" spans="1:39" ht="15.75" hidden="1" outlineLevel="1">
      <c r="A1853" s="63">
        <v>1049</v>
      </c>
      <c r="B1853" s="95" t="s">
        <v>699</v>
      </c>
      <c r="M1853" s="10"/>
      <c r="N1853" s="10"/>
      <c r="O1853" s="10"/>
      <c r="P1853" s="10"/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</row>
    <row r="1854" spans="1:39" ht="15.75" hidden="1" outlineLevel="1">
      <c r="A1854" s="63">
        <v>1050</v>
      </c>
      <c r="B1854" s="95" t="s">
        <v>700</v>
      </c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0"/>
      <c r="AM1854" s="10"/>
    </row>
    <row r="1855" spans="1:39" ht="15.75" hidden="1" outlineLevel="1">
      <c r="A1855" s="63">
        <v>1051</v>
      </c>
      <c r="B1855" s="95" t="s">
        <v>701</v>
      </c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</row>
    <row r="1856" spans="1:39" ht="15.75" hidden="1" outlineLevel="1">
      <c r="A1856" s="63">
        <v>1052</v>
      </c>
      <c r="B1856" s="95" t="s">
        <v>702</v>
      </c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0"/>
      <c r="AK1856" s="10"/>
      <c r="AL1856" s="10"/>
      <c r="AM1856" s="10"/>
    </row>
    <row r="1857" spans="1:39" ht="15.75" hidden="1" outlineLevel="1">
      <c r="A1857" s="63">
        <v>1053</v>
      </c>
      <c r="B1857" s="95" t="s">
        <v>703</v>
      </c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</row>
    <row r="1858" spans="1:39" ht="15.75" hidden="1" outlineLevel="1">
      <c r="A1858" s="63">
        <v>1054</v>
      </c>
      <c r="B1858" s="95" t="s">
        <v>705</v>
      </c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0"/>
      <c r="AM1858" s="10"/>
    </row>
    <row r="1859" spans="1:39" ht="15.75" hidden="1" outlineLevel="1">
      <c r="A1859" s="63">
        <v>1055</v>
      </c>
      <c r="B1859" s="95" t="s">
        <v>706</v>
      </c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</row>
    <row r="1860" spans="1:39" ht="15.75" hidden="1" outlineLevel="1">
      <c r="A1860" s="63">
        <v>1056</v>
      </c>
      <c r="B1860" s="95" t="s">
        <v>707</v>
      </c>
      <c r="M1860" s="10"/>
      <c r="N1860" s="10"/>
      <c r="O1860" s="10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0"/>
      <c r="AM1860" s="10"/>
    </row>
    <row r="1861" spans="1:39" ht="15.75" hidden="1" outlineLevel="1">
      <c r="A1861" s="63">
        <v>1057</v>
      </c>
      <c r="B1861" s="95" t="s">
        <v>708</v>
      </c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</row>
    <row r="1862" spans="1:39" ht="15.75" hidden="1" outlineLevel="1">
      <c r="A1862" s="63">
        <v>1058</v>
      </c>
      <c r="B1862" s="95" t="s">
        <v>709</v>
      </c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0"/>
      <c r="AM1862" s="10"/>
    </row>
    <row r="1863" spans="1:39" ht="15.75" hidden="1" outlineLevel="1">
      <c r="A1863" s="63">
        <v>1059</v>
      </c>
      <c r="B1863" s="95" t="s">
        <v>710</v>
      </c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</row>
    <row r="1864" spans="1:39" ht="15.75" hidden="1" outlineLevel="1">
      <c r="A1864" s="63">
        <v>1060</v>
      </c>
      <c r="B1864" s="95" t="s">
        <v>712</v>
      </c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0"/>
      <c r="AM1864" s="10"/>
    </row>
    <row r="1865" spans="1:39" ht="15.75" hidden="1" outlineLevel="1">
      <c r="A1865" s="63">
        <v>1061</v>
      </c>
      <c r="B1865" s="95" t="s">
        <v>714</v>
      </c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/>
    </row>
    <row r="1866" spans="1:39" ht="15.75" hidden="1" outlineLevel="1">
      <c r="A1866" s="63">
        <v>1062</v>
      </c>
      <c r="B1866" s="95" t="s">
        <v>716</v>
      </c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/>
      <c r="AK1866" s="10"/>
      <c r="AL1866" s="10"/>
      <c r="AM1866" s="10"/>
    </row>
    <row r="1867" spans="1:39" ht="15.75" hidden="1" outlineLevel="1">
      <c r="A1867" s="63">
        <v>1063</v>
      </c>
      <c r="B1867" s="95" t="s">
        <v>717</v>
      </c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</row>
    <row r="1868" spans="1:39" ht="15.75" hidden="1" outlineLevel="1">
      <c r="A1868" s="63">
        <v>1064</v>
      </c>
      <c r="B1868" s="95" t="s">
        <v>718</v>
      </c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/>
      <c r="AK1868" s="10"/>
      <c r="AL1868" s="10"/>
      <c r="AM1868" s="10"/>
    </row>
    <row r="1869" spans="1:39" ht="15.75" hidden="1" outlineLevel="1">
      <c r="A1869" s="63">
        <v>1065</v>
      </c>
      <c r="B1869" s="95" t="s">
        <v>719</v>
      </c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</row>
    <row r="1870" spans="1:39" ht="15.75" hidden="1" outlineLevel="1">
      <c r="A1870" s="63">
        <v>1066</v>
      </c>
      <c r="B1870" s="95" t="s">
        <v>720</v>
      </c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10"/>
      <c r="AI1870" s="10"/>
      <c r="AJ1870" s="10"/>
      <c r="AK1870" s="10"/>
      <c r="AL1870" s="10"/>
      <c r="AM1870" s="10"/>
    </row>
    <row r="1871" spans="1:39" ht="15.75" hidden="1" outlineLevel="1">
      <c r="A1871" s="63">
        <v>1067</v>
      </c>
      <c r="B1871" s="95" t="s">
        <v>721</v>
      </c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</row>
    <row r="1872" spans="1:39" ht="15.75" hidden="1" outlineLevel="1">
      <c r="A1872" s="63">
        <v>1068</v>
      </c>
      <c r="B1872" s="95" t="s">
        <v>722</v>
      </c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10"/>
      <c r="AI1872" s="10"/>
      <c r="AJ1872" s="10"/>
      <c r="AK1872" s="10"/>
      <c r="AL1872" s="10"/>
      <c r="AM1872" s="10"/>
    </row>
    <row r="1873" spans="1:39" ht="15.75" hidden="1" outlineLevel="1">
      <c r="A1873" s="63">
        <v>1069</v>
      </c>
      <c r="B1873" s="95" t="s">
        <v>723</v>
      </c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</row>
    <row r="1874" spans="1:39" ht="15.75" hidden="1" outlineLevel="1">
      <c r="A1874" s="63">
        <v>1070</v>
      </c>
      <c r="B1874" s="95" t="s">
        <v>724</v>
      </c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0"/>
      <c r="AM1874" s="10"/>
    </row>
    <row r="1875" spans="1:39" ht="15.75" hidden="1" outlineLevel="1">
      <c r="A1875" s="63">
        <v>1071</v>
      </c>
      <c r="B1875" s="95" t="s">
        <v>725</v>
      </c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</row>
    <row r="1876" spans="1:39" ht="15.75" hidden="1" outlineLevel="1">
      <c r="A1876" s="63">
        <v>1072</v>
      </c>
      <c r="B1876" s="95" t="s">
        <v>726</v>
      </c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10"/>
      <c r="AI1876" s="10"/>
      <c r="AJ1876" s="10"/>
      <c r="AK1876" s="10"/>
      <c r="AL1876" s="10"/>
      <c r="AM1876" s="10"/>
    </row>
    <row r="1877" spans="1:39" ht="15.75" hidden="1" outlineLevel="1">
      <c r="A1877" s="63">
        <v>1073</v>
      </c>
      <c r="B1877" s="95" t="s">
        <v>727</v>
      </c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</row>
    <row r="1878" spans="1:39" ht="15.75" hidden="1" outlineLevel="1">
      <c r="A1878" s="63">
        <v>1074</v>
      </c>
      <c r="B1878" s="95" t="s">
        <v>728</v>
      </c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10"/>
      <c r="AI1878" s="10"/>
      <c r="AJ1878" s="10"/>
      <c r="AK1878" s="10"/>
      <c r="AL1878" s="10"/>
      <c r="AM1878" s="10"/>
    </row>
    <row r="1879" spans="1:39" ht="15.75" hidden="1" outlineLevel="1">
      <c r="A1879" s="63">
        <v>1075</v>
      </c>
      <c r="B1879" s="95" t="s">
        <v>730</v>
      </c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</row>
    <row r="1880" spans="1:39" ht="15.75" hidden="1">
      <c r="A1880" s="63">
        <v>1076</v>
      </c>
      <c r="B1880" s="95" t="s">
        <v>731</v>
      </c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</row>
    <row r="1881" spans="1:39" ht="20.25" hidden="1" outlineLevel="1">
      <c r="B1881" s="149" t="s">
        <v>735</v>
      </c>
      <c r="C1881" s="135" t="s">
        <v>1402</v>
      </c>
      <c r="D1881" s="152" t="s">
        <v>1403</v>
      </c>
      <c r="E1881" s="413" t="s">
        <v>138</v>
      </c>
      <c r="F1881" s="415" t="s">
        <v>45</v>
      </c>
      <c r="G1881" s="417"/>
      <c r="H1881" s="419"/>
      <c r="I1881" s="419"/>
      <c r="J1881" s="419"/>
      <c r="K1881" s="421"/>
      <c r="L1881" s="421"/>
      <c r="M1881" s="423">
        <v>2200</v>
      </c>
      <c r="N1881" s="423">
        <v>27761</v>
      </c>
      <c r="O1881" s="409">
        <v>1082</v>
      </c>
      <c r="P1881" s="409" t="s">
        <v>252</v>
      </c>
      <c r="Q1881" s="409">
        <v>791</v>
      </c>
      <c r="R1881" s="409" t="s">
        <v>252</v>
      </c>
      <c r="S1881" s="409">
        <v>658</v>
      </c>
      <c r="T1881" s="409" t="s">
        <v>252</v>
      </c>
      <c r="U1881" s="409">
        <v>791</v>
      </c>
      <c r="V1881" s="409" t="s">
        <v>252</v>
      </c>
      <c r="W1881" s="409">
        <v>580</v>
      </c>
      <c r="X1881" s="409" t="s">
        <v>252</v>
      </c>
      <c r="Y1881" s="409">
        <v>701</v>
      </c>
      <c r="Z1881" s="409" t="s">
        <v>252</v>
      </c>
      <c r="AA1881" s="409">
        <v>639</v>
      </c>
      <c r="AB1881" s="409" t="s">
        <v>252</v>
      </c>
      <c r="AC1881" s="409">
        <v>582</v>
      </c>
      <c r="AD1881" s="409" t="s">
        <v>252</v>
      </c>
      <c r="AE1881" s="409">
        <v>578</v>
      </c>
      <c r="AF1881" s="409" t="s">
        <v>252</v>
      </c>
      <c r="AG1881" s="409">
        <v>137</v>
      </c>
      <c r="AH1881" s="409" t="s">
        <v>252</v>
      </c>
      <c r="AI1881" s="409">
        <v>546</v>
      </c>
      <c r="AJ1881" s="409" t="s">
        <v>252</v>
      </c>
      <c r="AK1881" s="409">
        <v>831</v>
      </c>
      <c r="AL1881" s="409" t="s">
        <v>252</v>
      </c>
      <c r="AM1881" s="409">
        <f>O1881+Q1881+S1881+U1881+W1881+Y1881+AA1881+AC1881+AE1881+AG1881+AI1881+AK1881</f>
        <v>7916</v>
      </c>
    </row>
    <row r="1882" spans="1:39" ht="20.25" hidden="1" outlineLevel="1">
      <c r="B1882" s="149" t="s">
        <v>738</v>
      </c>
      <c r="C1882" s="135" t="s">
        <v>1402</v>
      </c>
      <c r="D1882" s="152" t="s">
        <v>1403</v>
      </c>
      <c r="E1882" s="414"/>
      <c r="F1882" s="416"/>
      <c r="G1882" s="418"/>
      <c r="H1882" s="420"/>
      <c r="I1882" s="420"/>
      <c r="J1882" s="420"/>
      <c r="K1882" s="422"/>
      <c r="L1882" s="422"/>
      <c r="M1882" s="424"/>
      <c r="N1882" s="424"/>
      <c r="O1882" s="410"/>
      <c r="P1882" s="410"/>
      <c r="Q1882" s="410"/>
      <c r="R1882" s="410"/>
      <c r="S1882" s="410"/>
      <c r="T1882" s="410"/>
      <c r="U1882" s="410"/>
      <c r="V1882" s="410"/>
      <c r="W1882" s="410"/>
      <c r="X1882" s="410"/>
      <c r="Y1882" s="410"/>
      <c r="Z1882" s="410"/>
      <c r="AA1882" s="410"/>
      <c r="AB1882" s="410"/>
      <c r="AC1882" s="410"/>
      <c r="AD1882" s="410"/>
      <c r="AE1882" s="410"/>
      <c r="AF1882" s="410"/>
      <c r="AG1882" s="410"/>
      <c r="AH1882" s="410"/>
      <c r="AI1882" s="410"/>
      <c r="AJ1882" s="410"/>
      <c r="AK1882" s="410"/>
      <c r="AL1882" s="410"/>
      <c r="AM1882" s="410"/>
    </row>
    <row r="1883" spans="1:39" ht="20.25" hidden="1" outlineLevel="1">
      <c r="B1883" s="149" t="s">
        <v>735</v>
      </c>
      <c r="C1883" s="135" t="s">
        <v>1402</v>
      </c>
      <c r="D1883" s="152" t="s">
        <v>1403</v>
      </c>
      <c r="E1883" s="413" t="s">
        <v>44</v>
      </c>
      <c r="F1883" s="415" t="s">
        <v>45</v>
      </c>
      <c r="G1883" s="417"/>
      <c r="H1883" s="419"/>
      <c r="I1883" s="419"/>
      <c r="J1883" s="419"/>
      <c r="K1883" s="425"/>
      <c r="L1883" s="421"/>
      <c r="M1883" s="427">
        <v>3590</v>
      </c>
      <c r="N1883" s="427">
        <v>3787</v>
      </c>
      <c r="O1883" s="409">
        <v>662</v>
      </c>
      <c r="P1883" s="409" t="s">
        <v>252</v>
      </c>
      <c r="Q1883" s="409">
        <v>867</v>
      </c>
      <c r="R1883" s="409" t="s">
        <v>252</v>
      </c>
      <c r="S1883" s="409">
        <v>725</v>
      </c>
      <c r="T1883" s="409" t="s">
        <v>252</v>
      </c>
      <c r="U1883" s="409">
        <v>773</v>
      </c>
      <c r="V1883" s="409" t="s">
        <v>252</v>
      </c>
      <c r="W1883" s="409">
        <v>584</v>
      </c>
      <c r="X1883" s="409" t="s">
        <v>252</v>
      </c>
      <c r="Y1883" s="409">
        <v>636</v>
      </c>
      <c r="Z1883" s="409" t="s">
        <v>252</v>
      </c>
      <c r="AA1883" s="409">
        <v>536</v>
      </c>
      <c r="AB1883" s="409" t="s">
        <v>252</v>
      </c>
      <c r="AC1883" s="409">
        <v>693</v>
      </c>
      <c r="AD1883" s="409" t="s">
        <v>252</v>
      </c>
      <c r="AE1883" s="409">
        <v>908</v>
      </c>
      <c r="AF1883" s="409" t="s">
        <v>252</v>
      </c>
      <c r="AG1883" s="409">
        <v>1276</v>
      </c>
      <c r="AH1883" s="409" t="s">
        <v>252</v>
      </c>
      <c r="AI1883" s="409">
        <v>1594</v>
      </c>
      <c r="AJ1883" s="409" t="s">
        <v>252</v>
      </c>
      <c r="AK1883" s="409">
        <v>1036</v>
      </c>
      <c r="AL1883" s="409" t="s">
        <v>252</v>
      </c>
      <c r="AM1883" s="409">
        <f>O1883+Q1883+S1883+U1883+W1883+Y1883+AA1883+AC1883+AE1883+AG1883+AI1883+AK1883</f>
        <v>10290</v>
      </c>
    </row>
    <row r="1884" spans="1:39" ht="20.25" hidden="1" outlineLevel="1">
      <c r="B1884" s="149" t="s">
        <v>738</v>
      </c>
      <c r="C1884" s="135" t="s">
        <v>1402</v>
      </c>
      <c r="D1884" s="152" t="s">
        <v>1403</v>
      </c>
      <c r="E1884" s="414"/>
      <c r="F1884" s="416"/>
      <c r="G1884" s="418"/>
      <c r="H1884" s="420"/>
      <c r="I1884" s="420"/>
      <c r="J1884" s="420"/>
      <c r="K1884" s="426"/>
      <c r="L1884" s="422"/>
      <c r="M1884" s="428"/>
      <c r="N1884" s="428"/>
      <c r="O1884" s="410"/>
      <c r="P1884" s="410"/>
      <c r="Q1884" s="410"/>
      <c r="R1884" s="410"/>
      <c r="S1884" s="410"/>
      <c r="T1884" s="410"/>
      <c r="U1884" s="410"/>
      <c r="V1884" s="410"/>
      <c r="W1884" s="410"/>
      <c r="X1884" s="410"/>
      <c r="Y1884" s="410"/>
      <c r="Z1884" s="410"/>
      <c r="AA1884" s="410"/>
      <c r="AB1884" s="410"/>
      <c r="AC1884" s="410"/>
      <c r="AD1884" s="410"/>
      <c r="AE1884" s="410"/>
      <c r="AF1884" s="410"/>
      <c r="AG1884" s="410"/>
      <c r="AH1884" s="410"/>
      <c r="AI1884" s="410"/>
      <c r="AJ1884" s="410"/>
      <c r="AK1884" s="410"/>
      <c r="AL1884" s="410"/>
      <c r="AM1884" s="410"/>
    </row>
    <row r="1885" spans="1:39" ht="20.25" hidden="1" outlineLevel="1">
      <c r="B1885" s="149" t="s">
        <v>740</v>
      </c>
      <c r="C1885" s="135" t="s">
        <v>1402</v>
      </c>
      <c r="D1885" s="152" t="s">
        <v>1403</v>
      </c>
      <c r="E1885" s="137" t="s">
        <v>44</v>
      </c>
      <c r="F1885" s="138" t="s">
        <v>45</v>
      </c>
      <c r="G1885" s="136"/>
      <c r="H1885" s="136"/>
      <c r="I1885" s="136"/>
      <c r="J1885" s="136"/>
      <c r="K1885" s="138"/>
      <c r="L1885" s="138"/>
      <c r="M1885" s="139">
        <v>2320</v>
      </c>
      <c r="N1885" s="139">
        <v>3190</v>
      </c>
      <c r="O1885" s="139">
        <v>601</v>
      </c>
      <c r="P1885" s="140" t="s">
        <v>252</v>
      </c>
      <c r="Q1885" s="139">
        <v>602</v>
      </c>
      <c r="R1885" s="140" t="s">
        <v>252</v>
      </c>
      <c r="S1885" s="139">
        <v>731</v>
      </c>
      <c r="T1885" s="140" t="s">
        <v>252</v>
      </c>
      <c r="U1885" s="139">
        <v>616</v>
      </c>
      <c r="V1885" s="140" t="s">
        <v>252</v>
      </c>
      <c r="W1885" s="139">
        <v>439</v>
      </c>
      <c r="X1885" s="140" t="s">
        <v>252</v>
      </c>
      <c r="Y1885" s="139">
        <v>357</v>
      </c>
      <c r="Z1885" s="140" t="s">
        <v>252</v>
      </c>
      <c r="AA1885" s="139">
        <v>370</v>
      </c>
      <c r="AB1885" s="140" t="s">
        <v>252</v>
      </c>
      <c r="AC1885" s="139">
        <v>398</v>
      </c>
      <c r="AD1885" s="140" t="s">
        <v>252</v>
      </c>
      <c r="AE1885" s="139">
        <v>565</v>
      </c>
      <c r="AF1885" s="140" t="s">
        <v>252</v>
      </c>
      <c r="AG1885" s="139">
        <v>665</v>
      </c>
      <c r="AH1885" s="140" t="s">
        <v>252</v>
      </c>
      <c r="AI1885" s="139">
        <v>664</v>
      </c>
      <c r="AJ1885" s="140" t="s">
        <v>252</v>
      </c>
      <c r="AK1885" s="139">
        <v>690</v>
      </c>
      <c r="AL1885" s="140" t="s">
        <v>252</v>
      </c>
      <c r="AM1885" s="136">
        <f>O1885+Q1885+S1885+U1885+W1885+Y1885+AA1885+AC1885+AE1885+AG1885+AI1885+AK1885</f>
        <v>6698</v>
      </c>
    </row>
    <row r="1886" spans="1:39" ht="20.25" hidden="1" outlineLevel="1">
      <c r="B1886" s="149" t="s">
        <v>741</v>
      </c>
      <c r="C1886" s="135" t="s">
        <v>1402</v>
      </c>
      <c r="D1886" s="152" t="s">
        <v>1403</v>
      </c>
      <c r="E1886" s="137" t="s">
        <v>44</v>
      </c>
      <c r="F1886" s="138" t="s">
        <v>45</v>
      </c>
      <c r="G1886" s="136"/>
      <c r="H1886" s="136"/>
      <c r="I1886" s="136"/>
      <c r="J1886" s="136"/>
      <c r="K1886" s="138"/>
      <c r="L1886" s="138"/>
      <c r="M1886" s="139"/>
      <c r="N1886" s="139"/>
      <c r="O1886" s="139"/>
      <c r="P1886" s="139"/>
      <c r="Q1886" s="139"/>
      <c r="R1886" s="139"/>
      <c r="S1886" s="139"/>
      <c r="T1886" s="139"/>
      <c r="U1886" s="139"/>
      <c r="V1886" s="139"/>
      <c r="W1886" s="139"/>
      <c r="X1886" s="139"/>
      <c r="Y1886" s="139"/>
      <c r="Z1886" s="139"/>
      <c r="AA1886" s="139"/>
      <c r="AB1886" s="139"/>
      <c r="AC1886" s="139"/>
      <c r="AD1886" s="139"/>
      <c r="AE1886" s="139"/>
      <c r="AF1886" s="139"/>
      <c r="AG1886" s="139"/>
      <c r="AH1886" s="139"/>
      <c r="AI1886" s="139"/>
      <c r="AJ1886" s="139"/>
      <c r="AK1886" s="139"/>
      <c r="AL1886" s="139"/>
      <c r="AM1886" s="139"/>
    </row>
    <row r="1887" spans="1:39" ht="20.25" hidden="1" outlineLevel="1">
      <c r="B1887" s="149" t="s">
        <v>742</v>
      </c>
      <c r="C1887" s="135" t="s">
        <v>1402</v>
      </c>
      <c r="D1887" s="152" t="s">
        <v>1403</v>
      </c>
      <c r="E1887" s="137" t="s">
        <v>44</v>
      </c>
      <c r="F1887" s="138" t="s">
        <v>45</v>
      </c>
      <c r="G1887" s="136"/>
      <c r="H1887" s="136"/>
      <c r="I1887" s="136"/>
      <c r="J1887" s="136"/>
      <c r="K1887" s="138"/>
      <c r="L1887" s="138"/>
      <c r="M1887" s="139">
        <v>4648</v>
      </c>
      <c r="N1887" s="139">
        <v>5438</v>
      </c>
      <c r="O1887" s="139">
        <v>545</v>
      </c>
      <c r="P1887" s="140" t="s">
        <v>252</v>
      </c>
      <c r="Q1887" s="139">
        <v>645</v>
      </c>
      <c r="R1887" s="140" t="s">
        <v>252</v>
      </c>
      <c r="S1887" s="139">
        <v>389</v>
      </c>
      <c r="T1887" s="140" t="s">
        <v>252</v>
      </c>
      <c r="U1887" s="139">
        <v>421</v>
      </c>
      <c r="V1887" s="140" t="s">
        <v>252</v>
      </c>
      <c r="W1887" s="139">
        <v>389</v>
      </c>
      <c r="X1887" s="140" t="s">
        <v>252</v>
      </c>
      <c r="Y1887" s="139">
        <v>359</v>
      </c>
      <c r="Z1887" s="140" t="s">
        <v>252</v>
      </c>
      <c r="AA1887" s="139">
        <v>311</v>
      </c>
      <c r="AB1887" s="140" t="s">
        <v>252</v>
      </c>
      <c r="AC1887" s="139">
        <v>394</v>
      </c>
      <c r="AD1887" s="140" t="s">
        <v>252</v>
      </c>
      <c r="AE1887" s="139">
        <v>504</v>
      </c>
      <c r="AF1887" s="140" t="s">
        <v>252</v>
      </c>
      <c r="AG1887" s="139">
        <v>539</v>
      </c>
      <c r="AH1887" s="140" t="s">
        <v>252</v>
      </c>
      <c r="AI1887" s="139">
        <v>552</v>
      </c>
      <c r="AJ1887" s="140" t="s">
        <v>252</v>
      </c>
      <c r="AK1887" s="139">
        <v>500</v>
      </c>
      <c r="AL1887" s="140" t="s">
        <v>252</v>
      </c>
      <c r="AM1887" s="136">
        <f>O1887+Q1887+S1887+U1887+W1887+Y1887+AA1887+AC1887+AE1887+AG1887+AI1887+AK1887</f>
        <v>5548</v>
      </c>
    </row>
    <row r="1888" spans="1:39" ht="20.25" hidden="1" outlineLevel="1">
      <c r="B1888" s="149" t="s">
        <v>744</v>
      </c>
      <c r="C1888" s="135" t="s">
        <v>1402</v>
      </c>
      <c r="D1888" s="152" t="s">
        <v>1403</v>
      </c>
      <c r="E1888" s="413" t="s">
        <v>138</v>
      </c>
      <c r="F1888" s="425" t="s">
        <v>45</v>
      </c>
      <c r="G1888" s="421"/>
      <c r="H1888" s="421"/>
      <c r="I1888" s="421"/>
      <c r="J1888" s="421"/>
      <c r="K1888" s="421"/>
      <c r="L1888" s="421"/>
      <c r="M1888" s="427">
        <v>13020</v>
      </c>
      <c r="N1888" s="427">
        <v>11252</v>
      </c>
      <c r="O1888" s="409">
        <v>881</v>
      </c>
      <c r="P1888" s="409" t="s">
        <v>252</v>
      </c>
      <c r="Q1888" s="409">
        <v>952</v>
      </c>
      <c r="R1888" s="409" t="s">
        <v>252</v>
      </c>
      <c r="S1888" s="409">
        <v>759</v>
      </c>
      <c r="T1888" s="409" t="s">
        <v>252</v>
      </c>
      <c r="U1888" s="409">
        <v>949</v>
      </c>
      <c r="V1888" s="409" t="s">
        <v>252</v>
      </c>
      <c r="W1888" s="409">
        <v>806</v>
      </c>
      <c r="X1888" s="409" t="s">
        <v>252</v>
      </c>
      <c r="Y1888" s="409">
        <v>839</v>
      </c>
      <c r="Z1888" s="409" t="s">
        <v>252</v>
      </c>
      <c r="AA1888" s="409">
        <v>834</v>
      </c>
      <c r="AB1888" s="409" t="s">
        <v>252</v>
      </c>
      <c r="AC1888" s="409">
        <v>757</v>
      </c>
      <c r="AD1888" s="409" t="s">
        <v>252</v>
      </c>
      <c r="AE1888" s="409">
        <v>905</v>
      </c>
      <c r="AF1888" s="409" t="s">
        <v>252</v>
      </c>
      <c r="AG1888" s="409">
        <v>807</v>
      </c>
      <c r="AH1888" s="409" t="s">
        <v>252</v>
      </c>
      <c r="AI1888" s="409">
        <v>938</v>
      </c>
      <c r="AJ1888" s="409" t="s">
        <v>252</v>
      </c>
      <c r="AK1888" s="409">
        <v>761</v>
      </c>
      <c r="AL1888" s="409" t="s">
        <v>252</v>
      </c>
      <c r="AM1888" s="409">
        <f>O1888+Q1888+S1888+U1888+W1888+Y1888+AA1888+AC1888+AE1888+AG1888+AI1888+AK1888</f>
        <v>10188</v>
      </c>
    </row>
    <row r="1889" spans="2:39" ht="20.25" hidden="1" outlineLevel="1">
      <c r="B1889" s="149" t="s">
        <v>746</v>
      </c>
      <c r="C1889" s="135" t="s">
        <v>1402</v>
      </c>
      <c r="D1889" s="152" t="s">
        <v>1403</v>
      </c>
      <c r="E1889" s="414"/>
      <c r="F1889" s="426"/>
      <c r="G1889" s="422"/>
      <c r="H1889" s="422"/>
      <c r="I1889" s="422"/>
      <c r="J1889" s="422"/>
      <c r="K1889" s="422"/>
      <c r="L1889" s="422"/>
      <c r="M1889" s="428"/>
      <c r="N1889" s="428"/>
      <c r="O1889" s="410"/>
      <c r="P1889" s="410"/>
      <c r="Q1889" s="410"/>
      <c r="R1889" s="410"/>
      <c r="S1889" s="410"/>
      <c r="T1889" s="410"/>
      <c r="U1889" s="410"/>
      <c r="V1889" s="410"/>
      <c r="W1889" s="410"/>
      <c r="X1889" s="410"/>
      <c r="Y1889" s="410"/>
      <c r="Z1889" s="410"/>
      <c r="AA1889" s="410"/>
      <c r="AB1889" s="410"/>
      <c r="AC1889" s="410"/>
      <c r="AD1889" s="410"/>
      <c r="AE1889" s="410"/>
      <c r="AF1889" s="410"/>
      <c r="AG1889" s="410"/>
      <c r="AH1889" s="410"/>
      <c r="AI1889" s="410"/>
      <c r="AJ1889" s="410"/>
      <c r="AK1889" s="410"/>
      <c r="AL1889" s="410"/>
      <c r="AM1889" s="410"/>
    </row>
    <row r="1890" spans="2:39" ht="20.25" hidden="1" outlineLevel="1">
      <c r="B1890" s="149" t="s">
        <v>744</v>
      </c>
      <c r="C1890" s="135" t="s">
        <v>1402</v>
      </c>
      <c r="D1890" s="152" t="s">
        <v>1403</v>
      </c>
      <c r="E1890" s="413" t="s">
        <v>44</v>
      </c>
      <c r="F1890" s="425" t="s">
        <v>45</v>
      </c>
      <c r="G1890" s="421"/>
      <c r="H1890" s="421"/>
      <c r="I1890" s="421"/>
      <c r="J1890" s="421"/>
      <c r="K1890" s="421"/>
      <c r="L1890" s="421"/>
      <c r="M1890" s="427">
        <v>17031</v>
      </c>
      <c r="N1890" s="427">
        <v>15017</v>
      </c>
      <c r="O1890" s="409">
        <v>1074</v>
      </c>
      <c r="P1890" s="409" t="s">
        <v>252</v>
      </c>
      <c r="Q1890" s="409">
        <v>1113</v>
      </c>
      <c r="R1890" s="409" t="s">
        <v>252</v>
      </c>
      <c r="S1890" s="409">
        <v>797</v>
      </c>
      <c r="T1890" s="409" t="s">
        <v>252</v>
      </c>
      <c r="U1890" s="409">
        <v>1072</v>
      </c>
      <c r="V1890" s="409" t="s">
        <v>252</v>
      </c>
      <c r="W1890" s="409">
        <v>1043</v>
      </c>
      <c r="X1890" s="409" t="s">
        <v>252</v>
      </c>
      <c r="Y1890" s="409">
        <v>950</v>
      </c>
      <c r="Z1890" s="409" t="s">
        <v>252</v>
      </c>
      <c r="AA1890" s="409">
        <v>642</v>
      </c>
      <c r="AB1890" s="409" t="s">
        <v>252</v>
      </c>
      <c r="AC1890" s="409">
        <v>658</v>
      </c>
      <c r="AD1890" s="409" t="s">
        <v>252</v>
      </c>
      <c r="AE1890" s="409">
        <v>750</v>
      </c>
      <c r="AF1890" s="409" t="s">
        <v>252</v>
      </c>
      <c r="AG1890" s="409">
        <v>675</v>
      </c>
      <c r="AH1890" s="409" t="s">
        <v>252</v>
      </c>
      <c r="AI1890" s="409">
        <v>784</v>
      </c>
      <c r="AJ1890" s="409" t="s">
        <v>252</v>
      </c>
      <c r="AK1890" s="409">
        <v>803</v>
      </c>
      <c r="AL1890" s="409" t="s">
        <v>252</v>
      </c>
      <c r="AM1890" s="409">
        <f>O1890+Q1890+S1890+U1890+W1890+Y1890+AA1890+AC1890+AE1890+AG1890+AI1890+AK1890</f>
        <v>10361</v>
      </c>
    </row>
    <row r="1891" spans="2:39" ht="20.25" hidden="1" outlineLevel="1">
      <c r="B1891" s="149" t="s">
        <v>746</v>
      </c>
      <c r="C1891" s="135" t="s">
        <v>1402</v>
      </c>
      <c r="D1891" s="152" t="s">
        <v>1403</v>
      </c>
      <c r="E1891" s="414"/>
      <c r="F1891" s="426"/>
      <c r="G1891" s="422"/>
      <c r="H1891" s="422"/>
      <c r="I1891" s="422"/>
      <c r="J1891" s="422"/>
      <c r="K1891" s="422"/>
      <c r="L1891" s="422"/>
      <c r="M1891" s="428"/>
      <c r="N1891" s="428"/>
      <c r="O1891" s="410"/>
      <c r="P1891" s="410"/>
      <c r="Q1891" s="410"/>
      <c r="R1891" s="410"/>
      <c r="S1891" s="410"/>
      <c r="T1891" s="410"/>
      <c r="U1891" s="410"/>
      <c r="V1891" s="410"/>
      <c r="W1891" s="410"/>
      <c r="X1891" s="410"/>
      <c r="Y1891" s="410"/>
      <c r="Z1891" s="410"/>
      <c r="AA1891" s="410"/>
      <c r="AB1891" s="410"/>
      <c r="AC1891" s="410"/>
      <c r="AD1891" s="410"/>
      <c r="AE1891" s="410"/>
      <c r="AF1891" s="410"/>
      <c r="AG1891" s="410"/>
      <c r="AH1891" s="410"/>
      <c r="AI1891" s="410"/>
      <c r="AJ1891" s="410"/>
      <c r="AK1891" s="410"/>
      <c r="AL1891" s="410"/>
      <c r="AM1891" s="410"/>
    </row>
    <row r="1892" spans="2:39" ht="20.25" hidden="1" outlineLevel="1">
      <c r="B1892" s="149" t="s">
        <v>747</v>
      </c>
      <c r="C1892" s="135" t="s">
        <v>1402</v>
      </c>
      <c r="D1892" s="152" t="s">
        <v>1403</v>
      </c>
      <c r="E1892" s="137" t="s">
        <v>44</v>
      </c>
      <c r="F1892" s="138" t="s">
        <v>45</v>
      </c>
      <c r="G1892" s="136"/>
      <c r="H1892" s="136"/>
      <c r="I1892" s="136"/>
      <c r="J1892" s="136"/>
      <c r="K1892" s="139"/>
      <c r="L1892" s="139"/>
      <c r="M1892" s="139">
        <v>10876</v>
      </c>
      <c r="N1892" s="139">
        <v>7523</v>
      </c>
      <c r="O1892" s="139">
        <v>710</v>
      </c>
      <c r="P1892" s="140" t="s">
        <v>252</v>
      </c>
      <c r="Q1892" s="139">
        <v>671</v>
      </c>
      <c r="R1892" s="140" t="s">
        <v>252</v>
      </c>
      <c r="S1892" s="139">
        <v>523</v>
      </c>
      <c r="T1892" s="140" t="s">
        <v>252</v>
      </c>
      <c r="U1892" s="139">
        <v>757</v>
      </c>
      <c r="V1892" s="140" t="s">
        <v>252</v>
      </c>
      <c r="W1892" s="139">
        <v>624</v>
      </c>
      <c r="X1892" s="140" t="s">
        <v>252</v>
      </c>
      <c r="Y1892" s="139">
        <v>622</v>
      </c>
      <c r="Z1892" s="140" t="s">
        <v>252</v>
      </c>
      <c r="AA1892" s="139">
        <v>619</v>
      </c>
      <c r="AB1892" s="140" t="s">
        <v>252</v>
      </c>
      <c r="AC1892" s="139">
        <v>440</v>
      </c>
      <c r="AD1892" s="140" t="s">
        <v>252</v>
      </c>
      <c r="AE1892" s="139">
        <v>518</v>
      </c>
      <c r="AF1892" s="140" t="s">
        <v>252</v>
      </c>
      <c r="AG1892" s="139">
        <v>589</v>
      </c>
      <c r="AH1892" s="140" t="s">
        <v>252</v>
      </c>
      <c r="AI1892" s="139">
        <v>601</v>
      </c>
      <c r="AJ1892" s="140" t="s">
        <v>252</v>
      </c>
      <c r="AK1892" s="139">
        <v>675</v>
      </c>
      <c r="AL1892" s="140" t="s">
        <v>252</v>
      </c>
      <c r="AM1892" s="136">
        <f t="shared" ref="AM1892:AM1901" si="0">O1892+Q1892+S1892+U1892+W1892+Y1892+AA1892+AC1892+AE1892+AG1892+AI1892+AK1892</f>
        <v>7349</v>
      </c>
    </row>
    <row r="1893" spans="2:39" ht="20.25" hidden="1" outlineLevel="1">
      <c r="B1893" s="149" t="s">
        <v>749</v>
      </c>
      <c r="C1893" s="135" t="s">
        <v>1402</v>
      </c>
      <c r="D1893" s="152" t="s">
        <v>1403</v>
      </c>
      <c r="E1893" s="137" t="s">
        <v>44</v>
      </c>
      <c r="F1893" s="138" t="s">
        <v>45</v>
      </c>
      <c r="G1893" s="136"/>
      <c r="H1893" s="136"/>
      <c r="I1893" s="136"/>
      <c r="J1893" s="136"/>
      <c r="K1893" s="139"/>
      <c r="L1893" s="139"/>
      <c r="M1893" s="139">
        <v>3127</v>
      </c>
      <c r="N1893" s="139">
        <v>3525</v>
      </c>
      <c r="O1893" s="139">
        <v>433</v>
      </c>
      <c r="P1893" s="140" t="s">
        <v>252</v>
      </c>
      <c r="Q1893" s="139">
        <v>338</v>
      </c>
      <c r="R1893" s="140" t="s">
        <v>252</v>
      </c>
      <c r="S1893" s="139">
        <v>264</v>
      </c>
      <c r="T1893" s="140" t="s">
        <v>252</v>
      </c>
      <c r="U1893" s="139">
        <v>329</v>
      </c>
      <c r="V1893" s="140" t="s">
        <v>252</v>
      </c>
      <c r="W1893" s="139">
        <v>242</v>
      </c>
      <c r="X1893" s="140" t="s">
        <v>252</v>
      </c>
      <c r="Y1893" s="139">
        <v>128</v>
      </c>
      <c r="Z1893" s="140" t="s">
        <v>252</v>
      </c>
      <c r="AA1893" s="139">
        <v>144</v>
      </c>
      <c r="AB1893" s="140" t="s">
        <v>252</v>
      </c>
      <c r="AC1893" s="139">
        <v>157</v>
      </c>
      <c r="AD1893" s="140" t="s">
        <v>252</v>
      </c>
      <c r="AE1893" s="139">
        <v>291</v>
      </c>
      <c r="AF1893" s="140" t="s">
        <v>252</v>
      </c>
      <c r="AG1893" s="139">
        <v>274</v>
      </c>
      <c r="AH1893" s="140" t="s">
        <v>252</v>
      </c>
      <c r="AI1893" s="139">
        <v>292</v>
      </c>
      <c r="AJ1893" s="140" t="s">
        <v>252</v>
      </c>
      <c r="AK1893" s="139">
        <v>310</v>
      </c>
      <c r="AL1893" s="140" t="s">
        <v>252</v>
      </c>
      <c r="AM1893" s="136">
        <f t="shared" si="0"/>
        <v>3202</v>
      </c>
    </row>
    <row r="1894" spans="2:39" ht="20.25" hidden="1" outlineLevel="1">
      <c r="B1894" s="149" t="s">
        <v>751</v>
      </c>
      <c r="C1894" s="135" t="s">
        <v>1402</v>
      </c>
      <c r="D1894" s="152" t="s">
        <v>1403</v>
      </c>
      <c r="E1894" s="137" t="s">
        <v>138</v>
      </c>
      <c r="F1894" s="138" t="s">
        <v>45</v>
      </c>
      <c r="G1894" s="136"/>
      <c r="H1894" s="136"/>
      <c r="I1894" s="136"/>
      <c r="J1894" s="136"/>
      <c r="K1894" s="139"/>
      <c r="L1894" s="139"/>
      <c r="M1894" s="139">
        <v>6011</v>
      </c>
      <c r="N1894" s="139">
        <v>5667</v>
      </c>
      <c r="O1894" s="141">
        <v>433</v>
      </c>
      <c r="P1894" s="140" t="s">
        <v>252</v>
      </c>
      <c r="Q1894" s="139">
        <v>377</v>
      </c>
      <c r="R1894" s="140" t="s">
        <v>252</v>
      </c>
      <c r="S1894" s="139">
        <v>250</v>
      </c>
      <c r="T1894" s="140" t="s">
        <v>252</v>
      </c>
      <c r="U1894" s="139">
        <v>290</v>
      </c>
      <c r="V1894" s="140" t="s">
        <v>252</v>
      </c>
      <c r="W1894" s="139">
        <v>252</v>
      </c>
      <c r="X1894" s="140" t="s">
        <v>252</v>
      </c>
      <c r="Y1894" s="139">
        <v>272</v>
      </c>
      <c r="Z1894" s="140" t="s">
        <v>252</v>
      </c>
      <c r="AA1894" s="139">
        <v>243</v>
      </c>
      <c r="AB1894" s="140" t="s">
        <v>252</v>
      </c>
      <c r="AC1894" s="139">
        <v>252</v>
      </c>
      <c r="AD1894" s="140" t="s">
        <v>252</v>
      </c>
      <c r="AE1894" s="139">
        <v>281</v>
      </c>
      <c r="AF1894" s="140" t="s">
        <v>252</v>
      </c>
      <c r="AG1894" s="139">
        <v>268</v>
      </c>
      <c r="AH1894" s="140" t="s">
        <v>252</v>
      </c>
      <c r="AI1894" s="139">
        <v>286</v>
      </c>
      <c r="AJ1894" s="140" t="s">
        <v>252</v>
      </c>
      <c r="AK1894" s="139">
        <v>285</v>
      </c>
      <c r="AL1894" s="140" t="s">
        <v>252</v>
      </c>
      <c r="AM1894" s="136">
        <f t="shared" si="0"/>
        <v>3489</v>
      </c>
    </row>
    <row r="1895" spans="2:39" ht="20.25" hidden="1" outlineLevel="1">
      <c r="B1895" s="149" t="s">
        <v>751</v>
      </c>
      <c r="C1895" s="135" t="s">
        <v>1402</v>
      </c>
      <c r="D1895" s="152" t="s">
        <v>1403</v>
      </c>
      <c r="E1895" s="137" t="s">
        <v>44</v>
      </c>
      <c r="F1895" s="138" t="s">
        <v>45</v>
      </c>
      <c r="G1895" s="136"/>
      <c r="H1895" s="136"/>
      <c r="I1895" s="136"/>
      <c r="J1895" s="136"/>
      <c r="K1895" s="139"/>
      <c r="L1895" s="139"/>
      <c r="M1895" s="139">
        <v>8039</v>
      </c>
      <c r="N1895" s="139">
        <v>7798</v>
      </c>
      <c r="O1895" s="141">
        <v>2075</v>
      </c>
      <c r="P1895" s="140" t="s">
        <v>252</v>
      </c>
      <c r="Q1895" s="139">
        <v>1247</v>
      </c>
      <c r="R1895" s="140" t="s">
        <v>252</v>
      </c>
      <c r="S1895" s="139">
        <v>331</v>
      </c>
      <c r="T1895" s="140" t="s">
        <v>252</v>
      </c>
      <c r="U1895" s="139">
        <v>547</v>
      </c>
      <c r="V1895" s="140" t="s">
        <v>252</v>
      </c>
      <c r="W1895" s="139">
        <v>390</v>
      </c>
      <c r="X1895" s="140" t="s">
        <v>252</v>
      </c>
      <c r="Y1895" s="139">
        <v>607</v>
      </c>
      <c r="Z1895" s="140" t="s">
        <v>252</v>
      </c>
      <c r="AA1895" s="139">
        <v>619</v>
      </c>
      <c r="AB1895" s="140" t="s">
        <v>252</v>
      </c>
      <c r="AC1895" s="139">
        <v>350</v>
      </c>
      <c r="AD1895" s="140" t="s">
        <v>252</v>
      </c>
      <c r="AE1895" s="139">
        <v>368</v>
      </c>
      <c r="AF1895" s="140" t="s">
        <v>252</v>
      </c>
      <c r="AG1895" s="139">
        <v>388</v>
      </c>
      <c r="AH1895" s="140" t="s">
        <v>252</v>
      </c>
      <c r="AI1895" s="139">
        <v>888</v>
      </c>
      <c r="AJ1895" s="140" t="s">
        <v>252</v>
      </c>
      <c r="AK1895" s="139">
        <v>537</v>
      </c>
      <c r="AL1895" s="140" t="s">
        <v>252</v>
      </c>
      <c r="AM1895" s="136">
        <f t="shared" si="0"/>
        <v>8347</v>
      </c>
    </row>
    <row r="1896" spans="2:39" ht="20.25" hidden="1" outlineLevel="1">
      <c r="B1896" s="149" t="s">
        <v>752</v>
      </c>
      <c r="C1896" s="135" t="s">
        <v>1402</v>
      </c>
      <c r="D1896" s="152" t="s">
        <v>1403</v>
      </c>
      <c r="E1896" s="137" t="s">
        <v>44</v>
      </c>
      <c r="F1896" s="138" t="s">
        <v>45</v>
      </c>
      <c r="G1896" s="136"/>
      <c r="H1896" s="136"/>
      <c r="I1896" s="136"/>
      <c r="J1896" s="136"/>
      <c r="K1896" s="139"/>
      <c r="L1896" s="139"/>
      <c r="M1896" s="139">
        <v>2799</v>
      </c>
      <c r="N1896" s="139">
        <v>3108</v>
      </c>
      <c r="O1896" s="139">
        <v>381</v>
      </c>
      <c r="P1896" s="140" t="s">
        <v>252</v>
      </c>
      <c r="Q1896" s="139">
        <v>323</v>
      </c>
      <c r="R1896" s="140" t="s">
        <v>252</v>
      </c>
      <c r="S1896" s="139">
        <v>235</v>
      </c>
      <c r="T1896" s="140" t="s">
        <v>252</v>
      </c>
      <c r="U1896" s="139">
        <v>238</v>
      </c>
      <c r="V1896" s="140" t="s">
        <v>252</v>
      </c>
      <c r="W1896" s="139">
        <v>224</v>
      </c>
      <c r="X1896" s="140" t="s">
        <v>252</v>
      </c>
      <c r="Y1896" s="139">
        <v>192</v>
      </c>
      <c r="Z1896" s="140" t="s">
        <v>252</v>
      </c>
      <c r="AA1896" s="139">
        <v>194</v>
      </c>
      <c r="AB1896" s="140" t="s">
        <v>252</v>
      </c>
      <c r="AC1896" s="139">
        <v>203</v>
      </c>
      <c r="AD1896" s="140" t="s">
        <v>252</v>
      </c>
      <c r="AE1896" s="139">
        <v>287</v>
      </c>
      <c r="AF1896" s="140" t="s">
        <v>252</v>
      </c>
      <c r="AG1896" s="139">
        <v>315</v>
      </c>
      <c r="AH1896" s="140" t="s">
        <v>252</v>
      </c>
      <c r="AI1896" s="139">
        <v>356</v>
      </c>
      <c r="AJ1896" s="140" t="s">
        <v>252</v>
      </c>
      <c r="AK1896" s="139">
        <v>301</v>
      </c>
      <c r="AL1896" s="140" t="s">
        <v>252</v>
      </c>
      <c r="AM1896" s="136">
        <f t="shared" si="0"/>
        <v>3249</v>
      </c>
    </row>
    <row r="1897" spans="2:39" ht="20.25" hidden="1" outlineLevel="1">
      <c r="B1897" s="149" t="s">
        <v>753</v>
      </c>
      <c r="C1897" s="135" t="s">
        <v>1402</v>
      </c>
      <c r="D1897" s="152" t="s">
        <v>1403</v>
      </c>
      <c r="E1897" s="137" t="s">
        <v>44</v>
      </c>
      <c r="F1897" s="138" t="s">
        <v>45</v>
      </c>
      <c r="G1897" s="136"/>
      <c r="H1897" s="136"/>
      <c r="I1897" s="136"/>
      <c r="J1897" s="136"/>
      <c r="K1897" s="139"/>
      <c r="L1897" s="139"/>
      <c r="M1897" s="139">
        <v>1600</v>
      </c>
      <c r="N1897" s="139">
        <v>970</v>
      </c>
      <c r="O1897" s="139">
        <v>90</v>
      </c>
      <c r="P1897" s="140" t="s">
        <v>252</v>
      </c>
      <c r="Q1897" s="139">
        <v>38</v>
      </c>
      <c r="R1897" s="140" t="s">
        <v>252</v>
      </c>
      <c r="S1897" s="139">
        <v>24</v>
      </c>
      <c r="T1897" s="140" t="s">
        <v>252</v>
      </c>
      <c r="U1897" s="139">
        <v>148</v>
      </c>
      <c r="V1897" s="140" t="s">
        <v>252</v>
      </c>
      <c r="W1897" s="139">
        <v>49</v>
      </c>
      <c r="X1897" s="140" t="s">
        <v>252</v>
      </c>
      <c r="Y1897" s="139">
        <v>92</v>
      </c>
      <c r="Z1897" s="140" t="s">
        <v>252</v>
      </c>
      <c r="AA1897" s="139">
        <v>76</v>
      </c>
      <c r="AB1897" s="140" t="s">
        <v>252</v>
      </c>
      <c r="AC1897" s="139">
        <v>84</v>
      </c>
      <c r="AD1897" s="140" t="s">
        <v>252</v>
      </c>
      <c r="AE1897" s="139">
        <v>94</v>
      </c>
      <c r="AF1897" s="140" t="s">
        <v>252</v>
      </c>
      <c r="AG1897" s="139">
        <v>70</v>
      </c>
      <c r="AH1897" s="140" t="s">
        <v>252</v>
      </c>
      <c r="AI1897" s="139">
        <v>51</v>
      </c>
      <c r="AJ1897" s="140" t="s">
        <v>252</v>
      </c>
      <c r="AK1897" s="139">
        <v>50</v>
      </c>
      <c r="AL1897" s="140" t="s">
        <v>252</v>
      </c>
      <c r="AM1897" s="136">
        <f t="shared" si="0"/>
        <v>866</v>
      </c>
    </row>
    <row r="1898" spans="2:39" ht="20.25" hidden="1" outlineLevel="1">
      <c r="B1898" s="149" t="s">
        <v>754</v>
      </c>
      <c r="C1898" s="135" t="s">
        <v>1402</v>
      </c>
      <c r="D1898" s="152" t="s">
        <v>1403</v>
      </c>
      <c r="E1898" s="137" t="s">
        <v>44</v>
      </c>
      <c r="F1898" s="138" t="s">
        <v>45</v>
      </c>
      <c r="G1898" s="136"/>
      <c r="H1898" s="136"/>
      <c r="I1898" s="136"/>
      <c r="J1898" s="136"/>
      <c r="K1898" s="139"/>
      <c r="L1898" s="139"/>
      <c r="M1898" s="139">
        <v>8064</v>
      </c>
      <c r="N1898" s="139">
        <v>7380</v>
      </c>
      <c r="O1898" s="139">
        <v>584</v>
      </c>
      <c r="P1898" s="140" t="s">
        <v>252</v>
      </c>
      <c r="Q1898" s="139">
        <v>648</v>
      </c>
      <c r="R1898" s="140" t="s">
        <v>252</v>
      </c>
      <c r="S1898" s="139">
        <v>383</v>
      </c>
      <c r="T1898" s="140" t="s">
        <v>252</v>
      </c>
      <c r="U1898" s="139">
        <v>620</v>
      </c>
      <c r="V1898" s="140" t="s">
        <v>252</v>
      </c>
      <c r="W1898" s="139">
        <v>485</v>
      </c>
      <c r="X1898" s="140" t="s">
        <v>252</v>
      </c>
      <c r="Y1898" s="139">
        <v>485</v>
      </c>
      <c r="Z1898" s="140" t="s">
        <v>252</v>
      </c>
      <c r="AA1898" s="139">
        <v>488</v>
      </c>
      <c r="AB1898" s="140" t="s">
        <v>252</v>
      </c>
      <c r="AC1898" s="139">
        <v>492</v>
      </c>
      <c r="AD1898" s="140" t="s">
        <v>252</v>
      </c>
      <c r="AE1898" s="139">
        <v>580</v>
      </c>
      <c r="AF1898" s="140" t="s">
        <v>252</v>
      </c>
      <c r="AG1898" s="139">
        <v>561</v>
      </c>
      <c r="AH1898" s="140" t="s">
        <v>252</v>
      </c>
      <c r="AI1898" s="139">
        <v>673</v>
      </c>
      <c r="AJ1898" s="140" t="s">
        <v>252</v>
      </c>
      <c r="AK1898" s="139">
        <v>695</v>
      </c>
      <c r="AL1898" s="140" t="s">
        <v>252</v>
      </c>
      <c r="AM1898" s="136">
        <f t="shared" si="0"/>
        <v>6694</v>
      </c>
    </row>
    <row r="1899" spans="2:39" ht="20.25" hidden="1" outlineLevel="1">
      <c r="B1899" s="149" t="s">
        <v>755</v>
      </c>
      <c r="C1899" s="135" t="s">
        <v>1402</v>
      </c>
      <c r="D1899" s="152" t="s">
        <v>1403</v>
      </c>
      <c r="E1899" s="137" t="s">
        <v>44</v>
      </c>
      <c r="F1899" s="138" t="s">
        <v>45</v>
      </c>
      <c r="G1899" s="136"/>
      <c r="H1899" s="136"/>
      <c r="I1899" s="136"/>
      <c r="J1899" s="136"/>
      <c r="K1899" s="139"/>
      <c r="L1899" s="139"/>
      <c r="M1899" s="139">
        <v>8021</v>
      </c>
      <c r="N1899" s="139">
        <v>7358</v>
      </c>
      <c r="O1899" s="139">
        <v>716</v>
      </c>
      <c r="P1899" s="140" t="s">
        <v>252</v>
      </c>
      <c r="Q1899" s="139">
        <v>535</v>
      </c>
      <c r="R1899" s="140" t="s">
        <v>252</v>
      </c>
      <c r="S1899" s="139">
        <v>434</v>
      </c>
      <c r="T1899" s="140" t="s">
        <v>252</v>
      </c>
      <c r="U1899" s="139">
        <v>716</v>
      </c>
      <c r="V1899" s="140" t="s">
        <v>252</v>
      </c>
      <c r="W1899" s="139">
        <v>446</v>
      </c>
      <c r="X1899" s="140" t="s">
        <v>252</v>
      </c>
      <c r="Y1899" s="139">
        <v>480</v>
      </c>
      <c r="Z1899" s="140" t="s">
        <v>252</v>
      </c>
      <c r="AA1899" s="139">
        <v>338</v>
      </c>
      <c r="AB1899" s="140" t="s">
        <v>252</v>
      </c>
      <c r="AC1899" s="139">
        <v>379</v>
      </c>
      <c r="AD1899" s="140" t="s">
        <v>252</v>
      </c>
      <c r="AE1899" s="139">
        <v>243</v>
      </c>
      <c r="AF1899" s="140" t="s">
        <v>252</v>
      </c>
      <c r="AG1899" s="139">
        <v>768</v>
      </c>
      <c r="AH1899" s="140" t="s">
        <v>252</v>
      </c>
      <c r="AI1899" s="139">
        <v>701</v>
      </c>
      <c r="AJ1899" s="140" t="s">
        <v>252</v>
      </c>
      <c r="AK1899" s="139">
        <v>788</v>
      </c>
      <c r="AL1899" s="140" t="s">
        <v>252</v>
      </c>
      <c r="AM1899" s="136">
        <f t="shared" si="0"/>
        <v>6544</v>
      </c>
    </row>
    <row r="1900" spans="2:39" ht="20.25" hidden="1" outlineLevel="1">
      <c r="B1900" s="149" t="s">
        <v>756</v>
      </c>
      <c r="C1900" s="135" t="s">
        <v>1402</v>
      </c>
      <c r="D1900" s="152" t="s">
        <v>1403</v>
      </c>
      <c r="E1900" s="137" t="s">
        <v>44</v>
      </c>
      <c r="F1900" s="138" t="s">
        <v>45</v>
      </c>
      <c r="G1900" s="136"/>
      <c r="H1900" s="136"/>
      <c r="I1900" s="136"/>
      <c r="J1900" s="136"/>
      <c r="K1900" s="139"/>
      <c r="L1900" s="139"/>
      <c r="M1900" s="139">
        <v>5695</v>
      </c>
      <c r="N1900" s="139">
        <v>5893</v>
      </c>
      <c r="O1900" s="139">
        <v>412</v>
      </c>
      <c r="P1900" s="140" t="s">
        <v>252</v>
      </c>
      <c r="Q1900" s="139">
        <v>406</v>
      </c>
      <c r="R1900" s="140" t="s">
        <v>252</v>
      </c>
      <c r="S1900" s="139">
        <v>334</v>
      </c>
      <c r="T1900" s="140" t="s">
        <v>252</v>
      </c>
      <c r="U1900" s="139">
        <v>403</v>
      </c>
      <c r="V1900" s="140" t="s">
        <v>252</v>
      </c>
      <c r="W1900" s="139">
        <v>254</v>
      </c>
      <c r="X1900" s="140" t="s">
        <v>252</v>
      </c>
      <c r="Y1900" s="139">
        <v>704</v>
      </c>
      <c r="Z1900" s="140" t="s">
        <v>252</v>
      </c>
      <c r="AA1900" s="139">
        <v>413</v>
      </c>
      <c r="AB1900" s="140" t="s">
        <v>252</v>
      </c>
      <c r="AC1900" s="139">
        <v>207</v>
      </c>
      <c r="AD1900" s="140" t="s">
        <v>252</v>
      </c>
      <c r="AE1900" s="139">
        <v>344</v>
      </c>
      <c r="AF1900" s="140" t="s">
        <v>252</v>
      </c>
      <c r="AG1900" s="139">
        <v>378</v>
      </c>
      <c r="AH1900" s="140" t="s">
        <v>252</v>
      </c>
      <c r="AI1900" s="139">
        <v>373</v>
      </c>
      <c r="AJ1900" s="140" t="s">
        <v>252</v>
      </c>
      <c r="AK1900" s="139">
        <v>442</v>
      </c>
      <c r="AL1900" s="140" t="s">
        <v>252</v>
      </c>
      <c r="AM1900" s="136">
        <f t="shared" si="0"/>
        <v>4670</v>
      </c>
    </row>
    <row r="1901" spans="2:39" ht="20.25" hidden="1" outlineLevel="1">
      <c r="B1901" s="149" t="s">
        <v>757</v>
      </c>
      <c r="C1901" s="135" t="s">
        <v>1402</v>
      </c>
      <c r="D1901" s="152" t="s">
        <v>1403</v>
      </c>
      <c r="E1901" s="137" t="s">
        <v>44</v>
      </c>
      <c r="F1901" s="138" t="s">
        <v>45</v>
      </c>
      <c r="G1901" s="409"/>
      <c r="H1901" s="409"/>
      <c r="I1901" s="409"/>
      <c r="J1901" s="409"/>
      <c r="K1901" s="409"/>
      <c r="L1901" s="409"/>
      <c r="M1901" s="409">
        <v>8793</v>
      </c>
      <c r="N1901" s="409">
        <v>6725</v>
      </c>
      <c r="O1901" s="409">
        <v>744</v>
      </c>
      <c r="P1901" s="409" t="s">
        <v>252</v>
      </c>
      <c r="Q1901" s="409">
        <v>604</v>
      </c>
      <c r="R1901" s="409" t="s">
        <v>252</v>
      </c>
      <c r="S1901" s="409">
        <v>527</v>
      </c>
      <c r="T1901" s="409" t="s">
        <v>252</v>
      </c>
      <c r="U1901" s="409">
        <v>567</v>
      </c>
      <c r="V1901" s="409" t="s">
        <v>252</v>
      </c>
      <c r="W1901" s="409">
        <v>411</v>
      </c>
      <c r="X1901" s="409" t="s">
        <v>252</v>
      </c>
      <c r="Y1901" s="409">
        <v>451</v>
      </c>
      <c r="Z1901" s="409" t="s">
        <v>252</v>
      </c>
      <c r="AA1901" s="429">
        <v>329</v>
      </c>
      <c r="AB1901" s="409" t="s">
        <v>252</v>
      </c>
      <c r="AC1901" s="409">
        <v>434</v>
      </c>
      <c r="AD1901" s="409" t="s">
        <v>252</v>
      </c>
      <c r="AE1901" s="409">
        <v>542</v>
      </c>
      <c r="AF1901" s="409" t="s">
        <v>252</v>
      </c>
      <c r="AG1901" s="409">
        <v>610</v>
      </c>
      <c r="AH1901" s="409" t="s">
        <v>252</v>
      </c>
      <c r="AI1901" s="409">
        <v>651</v>
      </c>
      <c r="AJ1901" s="409" t="s">
        <v>252</v>
      </c>
      <c r="AK1901" s="409">
        <v>721</v>
      </c>
      <c r="AL1901" s="409" t="s">
        <v>252</v>
      </c>
      <c r="AM1901" s="409">
        <f t="shared" si="0"/>
        <v>6591</v>
      </c>
    </row>
    <row r="1902" spans="2:39" ht="20.25" hidden="1" outlineLevel="1">
      <c r="B1902" s="149" t="s">
        <v>758</v>
      </c>
      <c r="C1902" s="135" t="s">
        <v>1402</v>
      </c>
      <c r="D1902" s="152" t="s">
        <v>1403</v>
      </c>
      <c r="E1902" s="137" t="s">
        <v>44</v>
      </c>
      <c r="F1902" s="138" t="s">
        <v>45</v>
      </c>
      <c r="G1902" s="410"/>
      <c r="H1902" s="410"/>
      <c r="I1902" s="410"/>
      <c r="J1902" s="410"/>
      <c r="K1902" s="410"/>
      <c r="L1902" s="410"/>
      <c r="M1902" s="410"/>
      <c r="N1902" s="410"/>
      <c r="O1902" s="410"/>
      <c r="P1902" s="410"/>
      <c r="Q1902" s="410"/>
      <c r="R1902" s="410"/>
      <c r="S1902" s="410"/>
      <c r="T1902" s="410"/>
      <c r="U1902" s="410"/>
      <c r="V1902" s="410"/>
      <c r="W1902" s="410"/>
      <c r="X1902" s="410"/>
      <c r="Y1902" s="410"/>
      <c r="Z1902" s="410"/>
      <c r="AA1902" s="430"/>
      <c r="AB1902" s="410"/>
      <c r="AC1902" s="410"/>
      <c r="AD1902" s="410"/>
      <c r="AE1902" s="410"/>
      <c r="AF1902" s="410"/>
      <c r="AG1902" s="410"/>
      <c r="AH1902" s="410"/>
      <c r="AI1902" s="410"/>
      <c r="AJ1902" s="410"/>
      <c r="AK1902" s="410"/>
      <c r="AL1902" s="410"/>
      <c r="AM1902" s="410"/>
    </row>
    <row r="1903" spans="2:39" ht="20.25" hidden="1" outlineLevel="1">
      <c r="B1903" s="149" t="s">
        <v>759</v>
      </c>
      <c r="C1903" s="135" t="s">
        <v>1402</v>
      </c>
      <c r="D1903" s="152" t="s">
        <v>1403</v>
      </c>
      <c r="E1903" s="137" t="s">
        <v>44</v>
      </c>
      <c r="F1903" s="138" t="s">
        <v>45</v>
      </c>
      <c r="G1903" s="409"/>
      <c r="H1903" s="409"/>
      <c r="I1903" s="409"/>
      <c r="J1903" s="409"/>
      <c r="K1903" s="409"/>
      <c r="L1903" s="409"/>
      <c r="M1903" s="409">
        <v>3653</v>
      </c>
      <c r="N1903" s="409">
        <v>1383</v>
      </c>
      <c r="O1903" s="409">
        <v>124</v>
      </c>
      <c r="P1903" s="409" t="s">
        <v>252</v>
      </c>
      <c r="Q1903" s="409">
        <v>48</v>
      </c>
      <c r="R1903" s="409" t="s">
        <v>252</v>
      </c>
      <c r="S1903" s="409">
        <v>38</v>
      </c>
      <c r="T1903" s="409" t="s">
        <v>252</v>
      </c>
      <c r="U1903" s="409">
        <v>76</v>
      </c>
      <c r="V1903" s="409" t="s">
        <v>252</v>
      </c>
      <c r="W1903" s="409">
        <v>65</v>
      </c>
      <c r="X1903" s="409" t="s">
        <v>252</v>
      </c>
      <c r="Y1903" s="409">
        <v>58</v>
      </c>
      <c r="Z1903" s="409" t="s">
        <v>252</v>
      </c>
      <c r="AA1903" s="409">
        <v>56</v>
      </c>
      <c r="AB1903" s="409" t="s">
        <v>252</v>
      </c>
      <c r="AC1903" s="409">
        <v>59</v>
      </c>
      <c r="AD1903" s="409" t="s">
        <v>252</v>
      </c>
      <c r="AE1903" s="409">
        <v>68</v>
      </c>
      <c r="AF1903" s="409" t="s">
        <v>252</v>
      </c>
      <c r="AG1903" s="409">
        <v>70</v>
      </c>
      <c r="AH1903" s="409" t="s">
        <v>252</v>
      </c>
      <c r="AI1903" s="409">
        <v>100</v>
      </c>
      <c r="AJ1903" s="409" t="s">
        <v>252</v>
      </c>
      <c r="AK1903" s="409">
        <v>89</v>
      </c>
      <c r="AL1903" s="409" t="s">
        <v>252</v>
      </c>
      <c r="AM1903" s="409">
        <f>O1903+Q1903+S1903+U1903+W1903+Y1903+AA1903+AC1903+AE1903+AG1903+AI1903+AK1903</f>
        <v>851</v>
      </c>
    </row>
    <row r="1904" spans="2:39" ht="20.25" hidden="1" outlineLevel="1">
      <c r="B1904" s="149" t="s">
        <v>761</v>
      </c>
      <c r="C1904" s="135" t="s">
        <v>1402</v>
      </c>
      <c r="D1904" s="152" t="s">
        <v>1403</v>
      </c>
      <c r="E1904" s="137" t="s">
        <v>44</v>
      </c>
      <c r="F1904" s="138" t="s">
        <v>45</v>
      </c>
      <c r="G1904" s="410"/>
      <c r="H1904" s="410"/>
      <c r="I1904" s="410"/>
      <c r="J1904" s="410"/>
      <c r="K1904" s="410"/>
      <c r="L1904" s="410"/>
      <c r="M1904" s="410"/>
      <c r="N1904" s="410"/>
      <c r="O1904" s="410"/>
      <c r="P1904" s="410"/>
      <c r="Q1904" s="410"/>
      <c r="R1904" s="410"/>
      <c r="S1904" s="410"/>
      <c r="T1904" s="410"/>
      <c r="U1904" s="410"/>
      <c r="V1904" s="410"/>
      <c r="W1904" s="410"/>
      <c r="X1904" s="410"/>
      <c r="Y1904" s="410"/>
      <c r="Z1904" s="410"/>
      <c r="AA1904" s="410"/>
      <c r="AB1904" s="410"/>
      <c r="AC1904" s="410"/>
      <c r="AD1904" s="410"/>
      <c r="AE1904" s="410"/>
      <c r="AF1904" s="410"/>
      <c r="AG1904" s="410"/>
      <c r="AH1904" s="410"/>
      <c r="AI1904" s="410"/>
      <c r="AJ1904" s="410"/>
      <c r="AK1904" s="410"/>
      <c r="AL1904" s="410"/>
      <c r="AM1904" s="410"/>
    </row>
    <row r="1905" spans="2:39" ht="20.25" hidden="1" outlineLevel="1">
      <c r="B1905" s="149" t="s">
        <v>762</v>
      </c>
      <c r="C1905" s="135" t="s">
        <v>1402</v>
      </c>
      <c r="D1905" s="152" t="s">
        <v>1403</v>
      </c>
      <c r="E1905" s="137" t="s">
        <v>44</v>
      </c>
      <c r="F1905" s="138" t="s">
        <v>45</v>
      </c>
      <c r="G1905" s="136"/>
      <c r="H1905" s="136"/>
      <c r="I1905" s="136"/>
      <c r="J1905" s="136"/>
      <c r="K1905" s="139"/>
      <c r="L1905" s="139"/>
      <c r="M1905" s="139">
        <v>3125</v>
      </c>
      <c r="N1905" s="139">
        <v>2497</v>
      </c>
      <c r="O1905" s="139">
        <v>304</v>
      </c>
      <c r="P1905" s="140" t="s">
        <v>252</v>
      </c>
      <c r="Q1905" s="139">
        <v>212</v>
      </c>
      <c r="R1905" s="140" t="s">
        <v>252</v>
      </c>
      <c r="S1905" s="139">
        <v>166</v>
      </c>
      <c r="T1905" s="140" t="s">
        <v>252</v>
      </c>
      <c r="U1905" s="139">
        <v>244</v>
      </c>
      <c r="V1905" s="140" t="s">
        <v>252</v>
      </c>
      <c r="W1905" s="139">
        <v>164</v>
      </c>
      <c r="X1905" s="140" t="s">
        <v>252</v>
      </c>
      <c r="Y1905" s="139">
        <v>247</v>
      </c>
      <c r="Z1905" s="140" t="s">
        <v>252</v>
      </c>
      <c r="AA1905" s="139">
        <v>253</v>
      </c>
      <c r="AB1905" s="140" t="s">
        <v>252</v>
      </c>
      <c r="AC1905" s="139">
        <v>161</v>
      </c>
      <c r="AD1905" s="140" t="s">
        <v>252</v>
      </c>
      <c r="AE1905" s="139">
        <v>191</v>
      </c>
      <c r="AF1905" s="140" t="s">
        <v>252</v>
      </c>
      <c r="AG1905" s="139">
        <v>196</v>
      </c>
      <c r="AH1905" s="140" t="s">
        <v>252</v>
      </c>
      <c r="AI1905" s="139">
        <v>272</v>
      </c>
      <c r="AJ1905" s="140" t="s">
        <v>252</v>
      </c>
      <c r="AK1905" s="139">
        <v>349</v>
      </c>
      <c r="AL1905" s="140" t="s">
        <v>252</v>
      </c>
      <c r="AM1905" s="136">
        <f t="shared" ref="AM1905:AM1922" si="1">O1905+Q1905+S1905+U1905+W1905+Y1905+AA1905+AC1905+AE1905+AG1905+AI1905+AK1905</f>
        <v>2759</v>
      </c>
    </row>
    <row r="1906" spans="2:39" ht="20.25" hidden="1" outlineLevel="1">
      <c r="B1906" s="149" t="s">
        <v>764</v>
      </c>
      <c r="C1906" s="135" t="s">
        <v>1402</v>
      </c>
      <c r="D1906" s="152" t="s">
        <v>1403</v>
      </c>
      <c r="E1906" s="137" t="s">
        <v>44</v>
      </c>
      <c r="F1906" s="138" t="s">
        <v>45</v>
      </c>
      <c r="G1906" s="136"/>
      <c r="H1906" s="136"/>
      <c r="I1906" s="136"/>
      <c r="J1906" s="136"/>
      <c r="K1906" s="139"/>
      <c r="L1906" s="139"/>
      <c r="M1906" s="142">
        <v>12298</v>
      </c>
      <c r="N1906" s="139">
        <v>13232</v>
      </c>
      <c r="O1906" s="139">
        <v>1865</v>
      </c>
      <c r="P1906" s="140" t="s">
        <v>259</v>
      </c>
      <c r="Q1906" s="139">
        <v>1294</v>
      </c>
      <c r="R1906" s="140" t="s">
        <v>259</v>
      </c>
      <c r="S1906" s="139">
        <v>752</v>
      </c>
      <c r="T1906" s="140" t="s">
        <v>259</v>
      </c>
      <c r="U1906" s="139">
        <v>1441</v>
      </c>
      <c r="V1906" s="140" t="s">
        <v>259</v>
      </c>
      <c r="W1906" s="139">
        <v>1123</v>
      </c>
      <c r="X1906" s="140" t="s">
        <v>259</v>
      </c>
      <c r="Y1906" s="139">
        <v>1111</v>
      </c>
      <c r="Z1906" s="140" t="s">
        <v>259</v>
      </c>
      <c r="AA1906" s="139">
        <v>1582</v>
      </c>
      <c r="AB1906" s="140" t="s">
        <v>259</v>
      </c>
      <c r="AC1906" s="139">
        <v>1088</v>
      </c>
      <c r="AD1906" s="140" t="s">
        <v>259</v>
      </c>
      <c r="AE1906" s="139">
        <v>1063</v>
      </c>
      <c r="AF1906" s="140" t="s">
        <v>259</v>
      </c>
      <c r="AG1906" s="139">
        <v>1352</v>
      </c>
      <c r="AH1906" s="140" t="s">
        <v>259</v>
      </c>
      <c r="AI1906" s="139">
        <v>1396</v>
      </c>
      <c r="AJ1906" s="140" t="s">
        <v>259</v>
      </c>
      <c r="AK1906" s="139">
        <v>1523</v>
      </c>
      <c r="AL1906" s="140" t="s">
        <v>259</v>
      </c>
      <c r="AM1906" s="136">
        <f t="shared" si="1"/>
        <v>15590</v>
      </c>
    </row>
    <row r="1907" spans="2:39" ht="20.25" hidden="1" outlineLevel="1">
      <c r="B1907" s="149" t="s">
        <v>765</v>
      </c>
      <c r="C1907" s="135" t="s">
        <v>1404</v>
      </c>
      <c r="D1907" s="152" t="s">
        <v>1403</v>
      </c>
      <c r="E1907" s="137" t="s">
        <v>44</v>
      </c>
      <c r="F1907" s="138" t="s">
        <v>45</v>
      </c>
      <c r="G1907" s="136"/>
      <c r="H1907" s="136"/>
      <c r="I1907" s="136"/>
      <c r="J1907" s="136"/>
      <c r="K1907" s="139"/>
      <c r="L1907" s="139"/>
      <c r="M1907" s="139"/>
      <c r="N1907" s="139"/>
      <c r="O1907" s="139"/>
      <c r="P1907" s="140"/>
      <c r="Q1907" s="139"/>
      <c r="R1907" s="140"/>
      <c r="S1907" s="139"/>
      <c r="T1907" s="140"/>
      <c r="U1907" s="139"/>
      <c r="V1907" s="140"/>
      <c r="W1907" s="139"/>
      <c r="X1907" s="140"/>
      <c r="Y1907" s="139"/>
      <c r="Z1907" s="140"/>
      <c r="AA1907" s="139"/>
      <c r="AB1907" s="140"/>
      <c r="AC1907" s="139"/>
      <c r="AD1907" s="140"/>
      <c r="AE1907" s="139"/>
      <c r="AF1907" s="140"/>
      <c r="AG1907" s="139"/>
      <c r="AH1907" s="140"/>
      <c r="AI1907" s="139"/>
      <c r="AJ1907" s="140"/>
      <c r="AK1907" s="139"/>
      <c r="AL1907" s="140"/>
      <c r="AM1907" s="136">
        <f t="shared" si="1"/>
        <v>0</v>
      </c>
    </row>
    <row r="1908" spans="2:39" ht="20.25" hidden="1" outlineLevel="1">
      <c r="B1908" s="149" t="s">
        <v>768</v>
      </c>
      <c r="C1908" s="135" t="s">
        <v>1402</v>
      </c>
      <c r="D1908" s="152" t="s">
        <v>1403</v>
      </c>
      <c r="E1908" s="143" t="s">
        <v>138</v>
      </c>
      <c r="F1908" s="144" t="s">
        <v>45</v>
      </c>
      <c r="G1908" s="136"/>
      <c r="H1908" s="136"/>
      <c r="I1908" s="136"/>
      <c r="J1908" s="136"/>
      <c r="K1908" s="139"/>
      <c r="L1908" s="139"/>
      <c r="M1908" s="139">
        <v>5020</v>
      </c>
      <c r="N1908" s="139">
        <v>4837</v>
      </c>
      <c r="O1908" s="139">
        <v>330</v>
      </c>
      <c r="P1908" s="140" t="s">
        <v>252</v>
      </c>
      <c r="Q1908" s="139">
        <v>350</v>
      </c>
      <c r="R1908" s="140" t="s">
        <v>252</v>
      </c>
      <c r="S1908" s="139">
        <v>320</v>
      </c>
      <c r="T1908" s="140" t="s">
        <v>252</v>
      </c>
      <c r="U1908" s="139">
        <v>440</v>
      </c>
      <c r="V1908" s="140" t="s">
        <v>252</v>
      </c>
      <c r="W1908" s="139">
        <v>360</v>
      </c>
      <c r="X1908" s="140" t="s">
        <v>252</v>
      </c>
      <c r="Y1908" s="139">
        <v>380</v>
      </c>
      <c r="Z1908" s="140" t="s">
        <v>252</v>
      </c>
      <c r="AA1908" s="139">
        <v>340</v>
      </c>
      <c r="AB1908" s="140" t="s">
        <v>252</v>
      </c>
      <c r="AC1908" s="139">
        <v>320</v>
      </c>
      <c r="AD1908" s="140" t="s">
        <v>252</v>
      </c>
      <c r="AE1908" s="139">
        <v>400</v>
      </c>
      <c r="AF1908" s="140" t="s">
        <v>252</v>
      </c>
      <c r="AG1908" s="139">
        <v>39</v>
      </c>
      <c r="AH1908" s="140" t="s">
        <v>252</v>
      </c>
      <c r="AI1908" s="139">
        <v>390</v>
      </c>
      <c r="AJ1908" s="140" t="s">
        <v>252</v>
      </c>
      <c r="AK1908" s="139">
        <v>430</v>
      </c>
      <c r="AL1908" s="140" t="s">
        <v>252</v>
      </c>
      <c r="AM1908" s="136">
        <f t="shared" si="1"/>
        <v>4099</v>
      </c>
    </row>
    <row r="1909" spans="2:39" ht="20.25" hidden="1" outlineLevel="1">
      <c r="B1909" s="149" t="s">
        <v>768</v>
      </c>
      <c r="C1909" s="135" t="s">
        <v>1402</v>
      </c>
      <c r="D1909" s="152" t="s">
        <v>1403</v>
      </c>
      <c r="E1909" s="137" t="s">
        <v>44</v>
      </c>
      <c r="F1909" s="144" t="s">
        <v>45</v>
      </c>
      <c r="G1909" s="136"/>
      <c r="H1909" s="136"/>
      <c r="I1909" s="136"/>
      <c r="J1909" s="136"/>
      <c r="K1909" s="139"/>
      <c r="L1909" s="139"/>
      <c r="M1909" s="139">
        <v>9600</v>
      </c>
      <c r="N1909" s="139">
        <v>8961</v>
      </c>
      <c r="O1909" s="139">
        <v>2134</v>
      </c>
      <c r="P1909" s="140" t="s">
        <v>252</v>
      </c>
      <c r="Q1909" s="139">
        <v>1942</v>
      </c>
      <c r="R1909" s="140" t="s">
        <v>252</v>
      </c>
      <c r="S1909" s="139">
        <v>1490</v>
      </c>
      <c r="T1909" s="140" t="s">
        <v>252</v>
      </c>
      <c r="U1909" s="139">
        <v>2319</v>
      </c>
      <c r="V1909" s="140" t="s">
        <v>252</v>
      </c>
      <c r="W1909" s="139">
        <v>1723</v>
      </c>
      <c r="X1909" s="140" t="s">
        <v>252</v>
      </c>
      <c r="Y1909" s="139">
        <v>1477</v>
      </c>
      <c r="Z1909" s="140" t="s">
        <v>252</v>
      </c>
      <c r="AA1909" s="139">
        <v>1094</v>
      </c>
      <c r="AB1909" s="140" t="s">
        <v>252</v>
      </c>
      <c r="AC1909" s="139">
        <v>1324</v>
      </c>
      <c r="AD1909" s="140" t="s">
        <v>252</v>
      </c>
      <c r="AE1909" s="139">
        <v>1665</v>
      </c>
      <c r="AF1909" s="140" t="s">
        <v>252</v>
      </c>
      <c r="AG1909" s="139">
        <v>1864</v>
      </c>
      <c r="AH1909" s="140" t="s">
        <v>252</v>
      </c>
      <c r="AI1909" s="139">
        <v>1941</v>
      </c>
      <c r="AJ1909" s="140" t="s">
        <v>252</v>
      </c>
      <c r="AK1909" s="139">
        <v>2009</v>
      </c>
      <c r="AL1909" s="140" t="s">
        <v>252</v>
      </c>
      <c r="AM1909" s="136">
        <f t="shared" si="1"/>
        <v>20982</v>
      </c>
    </row>
    <row r="1910" spans="2:39" ht="20.25" hidden="1" outlineLevel="1">
      <c r="B1910" s="149" t="s">
        <v>769</v>
      </c>
      <c r="C1910" s="135" t="s">
        <v>1402</v>
      </c>
      <c r="D1910" s="152" t="s">
        <v>1403</v>
      </c>
      <c r="E1910" s="137" t="s">
        <v>44</v>
      </c>
      <c r="F1910" s="138" t="s">
        <v>45</v>
      </c>
      <c r="G1910" s="136"/>
      <c r="H1910" s="136"/>
      <c r="I1910" s="136"/>
      <c r="J1910" s="136"/>
      <c r="K1910" s="139"/>
      <c r="L1910" s="139"/>
      <c r="M1910" s="139">
        <v>1179</v>
      </c>
      <c r="N1910" s="139">
        <v>1052</v>
      </c>
      <c r="O1910" s="139">
        <v>300</v>
      </c>
      <c r="P1910" s="140" t="s">
        <v>252</v>
      </c>
      <c r="Q1910" s="139">
        <v>198</v>
      </c>
      <c r="R1910" s="140" t="s">
        <v>252</v>
      </c>
      <c r="S1910" s="139">
        <v>188</v>
      </c>
      <c r="T1910" s="140" t="s">
        <v>252</v>
      </c>
      <c r="U1910" s="139">
        <v>250</v>
      </c>
      <c r="V1910" s="140" t="s">
        <v>252</v>
      </c>
      <c r="W1910" s="139">
        <v>250</v>
      </c>
      <c r="X1910" s="140" t="s">
        <v>252</v>
      </c>
      <c r="Y1910" s="139">
        <v>200</v>
      </c>
      <c r="Z1910" s="140" t="s">
        <v>252</v>
      </c>
      <c r="AA1910" s="139">
        <v>250</v>
      </c>
      <c r="AB1910" s="140" t="s">
        <v>252</v>
      </c>
      <c r="AC1910" s="139">
        <v>215</v>
      </c>
      <c r="AD1910" s="140" t="s">
        <v>252</v>
      </c>
      <c r="AE1910" s="139">
        <v>135</v>
      </c>
      <c r="AF1910" s="140" t="s">
        <v>252</v>
      </c>
      <c r="AG1910" s="139">
        <v>89</v>
      </c>
      <c r="AH1910" s="140" t="s">
        <v>252</v>
      </c>
      <c r="AI1910" s="139">
        <v>142</v>
      </c>
      <c r="AJ1910" s="140" t="s">
        <v>252</v>
      </c>
      <c r="AK1910" s="139">
        <v>138</v>
      </c>
      <c r="AL1910" s="140" t="s">
        <v>252</v>
      </c>
      <c r="AM1910" s="136">
        <f t="shared" si="1"/>
        <v>2355</v>
      </c>
    </row>
    <row r="1911" spans="2:39" ht="20.25" hidden="1" outlineLevel="1">
      <c r="B1911" s="149" t="s">
        <v>770</v>
      </c>
      <c r="C1911" s="135" t="s">
        <v>1402</v>
      </c>
      <c r="D1911" s="152" t="s">
        <v>1403</v>
      </c>
      <c r="E1911" s="137" t="s">
        <v>44</v>
      </c>
      <c r="F1911" s="138" t="s">
        <v>45</v>
      </c>
      <c r="G1911" s="136"/>
      <c r="H1911" s="136"/>
      <c r="I1911" s="136"/>
      <c r="J1911" s="136"/>
      <c r="K1911" s="139"/>
      <c r="L1911" s="139"/>
      <c r="M1911" s="139">
        <v>8454</v>
      </c>
      <c r="N1911" s="139">
        <v>7791</v>
      </c>
      <c r="O1911" s="139">
        <v>552</v>
      </c>
      <c r="P1911" s="140" t="s">
        <v>252</v>
      </c>
      <c r="Q1911" s="139">
        <v>519</v>
      </c>
      <c r="R1911" s="140" t="s">
        <v>252</v>
      </c>
      <c r="S1911" s="139">
        <v>446</v>
      </c>
      <c r="T1911" s="140" t="s">
        <v>252</v>
      </c>
      <c r="U1911" s="139">
        <v>638</v>
      </c>
      <c r="V1911" s="140" t="s">
        <v>252</v>
      </c>
      <c r="W1911" s="139">
        <v>595</v>
      </c>
      <c r="X1911" s="140" t="s">
        <v>252</v>
      </c>
      <c r="Y1911" s="139">
        <v>269</v>
      </c>
      <c r="Z1911" s="140" t="s">
        <v>252</v>
      </c>
      <c r="AA1911" s="139">
        <v>173</v>
      </c>
      <c r="AB1911" s="140" t="s">
        <v>252</v>
      </c>
      <c r="AC1911" s="139">
        <v>177</v>
      </c>
      <c r="AD1911" s="140" t="s">
        <v>252</v>
      </c>
      <c r="AE1911" s="139">
        <v>229</v>
      </c>
      <c r="AF1911" s="140" t="s">
        <v>252</v>
      </c>
      <c r="AG1911" s="139">
        <v>294</v>
      </c>
      <c r="AH1911" s="140" t="s">
        <v>252</v>
      </c>
      <c r="AI1911" s="139">
        <v>195</v>
      </c>
      <c r="AJ1911" s="140" t="s">
        <v>252</v>
      </c>
      <c r="AK1911" s="139">
        <v>345</v>
      </c>
      <c r="AL1911" s="140" t="s">
        <v>252</v>
      </c>
      <c r="AM1911" s="136">
        <f t="shared" si="1"/>
        <v>4432</v>
      </c>
    </row>
    <row r="1912" spans="2:39" ht="20.25" hidden="1" outlineLevel="1">
      <c r="B1912" s="149" t="s">
        <v>771</v>
      </c>
      <c r="C1912" s="135" t="s">
        <v>1402</v>
      </c>
      <c r="D1912" s="152" t="s">
        <v>1403</v>
      </c>
      <c r="E1912" s="137" t="s">
        <v>44</v>
      </c>
      <c r="F1912" s="138" t="s">
        <v>45</v>
      </c>
      <c r="G1912" s="136"/>
      <c r="H1912" s="136"/>
      <c r="I1912" s="136"/>
      <c r="J1912" s="136"/>
      <c r="K1912" s="139"/>
      <c r="L1912" s="139"/>
      <c r="M1912" s="139">
        <v>4361</v>
      </c>
      <c r="N1912" s="139">
        <v>10468</v>
      </c>
      <c r="O1912" s="139">
        <v>860</v>
      </c>
      <c r="P1912" s="140" t="s">
        <v>252</v>
      </c>
      <c r="Q1912" s="139">
        <v>652</v>
      </c>
      <c r="R1912" s="140" t="s">
        <v>252</v>
      </c>
      <c r="S1912" s="139">
        <v>492</v>
      </c>
      <c r="T1912" s="140" t="s">
        <v>252</v>
      </c>
      <c r="U1912" s="139">
        <v>791</v>
      </c>
      <c r="V1912" s="140" t="s">
        <v>252</v>
      </c>
      <c r="W1912" s="139">
        <v>788</v>
      </c>
      <c r="X1912" s="140" t="s">
        <v>252</v>
      </c>
      <c r="Y1912" s="139">
        <v>672</v>
      </c>
      <c r="Z1912" s="140" t="s">
        <v>252</v>
      </c>
      <c r="AA1912" s="139">
        <v>506</v>
      </c>
      <c r="AB1912" s="140" t="s">
        <v>252</v>
      </c>
      <c r="AC1912" s="139">
        <v>592</v>
      </c>
      <c r="AD1912" s="140" t="s">
        <v>252</v>
      </c>
      <c r="AE1912" s="139">
        <v>695</v>
      </c>
      <c r="AF1912" s="140" t="s">
        <v>252</v>
      </c>
      <c r="AG1912" s="139">
        <v>569</v>
      </c>
      <c r="AH1912" s="140" t="s">
        <v>252</v>
      </c>
      <c r="AI1912" s="139">
        <v>735</v>
      </c>
      <c r="AJ1912" s="140" t="s">
        <v>252</v>
      </c>
      <c r="AK1912" s="139">
        <v>878</v>
      </c>
      <c r="AL1912" s="140" t="s">
        <v>252</v>
      </c>
      <c r="AM1912" s="136">
        <f t="shared" si="1"/>
        <v>8230</v>
      </c>
    </row>
    <row r="1913" spans="2:39" ht="20.25" hidden="1" outlineLevel="1">
      <c r="B1913" s="149" t="s">
        <v>772</v>
      </c>
      <c r="C1913" s="135" t="s">
        <v>1402</v>
      </c>
      <c r="D1913" s="152" t="s">
        <v>1403</v>
      </c>
      <c r="E1913" s="137" t="s">
        <v>44</v>
      </c>
      <c r="F1913" s="138" t="s">
        <v>45</v>
      </c>
      <c r="G1913" s="136"/>
      <c r="H1913" s="136"/>
      <c r="I1913" s="136"/>
      <c r="J1913" s="136"/>
      <c r="K1913" s="136"/>
      <c r="L1913" s="136"/>
      <c r="M1913" s="142">
        <v>6753</v>
      </c>
      <c r="N1913" s="136">
        <v>6282</v>
      </c>
      <c r="O1913" s="136">
        <v>572</v>
      </c>
      <c r="P1913" s="140" t="s">
        <v>252</v>
      </c>
      <c r="Q1913" s="136">
        <v>570</v>
      </c>
      <c r="R1913" s="140" t="s">
        <v>252</v>
      </c>
      <c r="S1913" s="136">
        <v>418</v>
      </c>
      <c r="T1913" s="140" t="s">
        <v>252</v>
      </c>
      <c r="U1913" s="136">
        <v>430</v>
      </c>
      <c r="V1913" s="140" t="s">
        <v>252</v>
      </c>
      <c r="W1913" s="136">
        <v>362</v>
      </c>
      <c r="X1913" s="140" t="s">
        <v>252</v>
      </c>
      <c r="Y1913" s="136">
        <v>353</v>
      </c>
      <c r="Z1913" s="140" t="s">
        <v>252</v>
      </c>
      <c r="AA1913" s="136">
        <v>356</v>
      </c>
      <c r="AB1913" s="140" t="s">
        <v>252</v>
      </c>
      <c r="AC1913" s="136">
        <v>453</v>
      </c>
      <c r="AD1913" s="140" t="s">
        <v>252</v>
      </c>
      <c r="AE1913" s="136">
        <v>522</v>
      </c>
      <c r="AF1913" s="140" t="s">
        <v>252</v>
      </c>
      <c r="AG1913" s="136">
        <v>466</v>
      </c>
      <c r="AH1913" s="140" t="s">
        <v>252</v>
      </c>
      <c r="AI1913" s="136">
        <v>647</v>
      </c>
      <c r="AJ1913" s="140" t="s">
        <v>252</v>
      </c>
      <c r="AK1913" s="136">
        <v>530</v>
      </c>
      <c r="AL1913" s="140" t="s">
        <v>252</v>
      </c>
      <c r="AM1913" s="136">
        <f t="shared" si="1"/>
        <v>5679</v>
      </c>
    </row>
    <row r="1914" spans="2:39" ht="20.25" hidden="1" outlineLevel="1">
      <c r="B1914" s="149" t="s">
        <v>773</v>
      </c>
      <c r="C1914" s="135" t="s">
        <v>1402</v>
      </c>
      <c r="D1914" s="152" t="s">
        <v>1403</v>
      </c>
      <c r="E1914" s="137" t="s">
        <v>44</v>
      </c>
      <c r="F1914" s="138" t="s">
        <v>45</v>
      </c>
      <c r="G1914" s="136"/>
      <c r="H1914" s="136"/>
      <c r="I1914" s="136"/>
      <c r="J1914" s="136"/>
      <c r="K1914" s="136"/>
      <c r="L1914" s="136"/>
      <c r="M1914" s="136">
        <v>2435</v>
      </c>
      <c r="N1914" s="136">
        <v>2472</v>
      </c>
      <c r="O1914" s="136">
        <v>634</v>
      </c>
      <c r="P1914" s="140" t="s">
        <v>252</v>
      </c>
      <c r="Q1914" s="136">
        <v>377</v>
      </c>
      <c r="R1914" s="140" t="s">
        <v>252</v>
      </c>
      <c r="S1914" s="136">
        <v>239</v>
      </c>
      <c r="T1914" s="140" t="s">
        <v>252</v>
      </c>
      <c r="U1914" s="136">
        <v>196</v>
      </c>
      <c r="V1914" s="140" t="s">
        <v>252</v>
      </c>
      <c r="W1914" s="136">
        <v>96</v>
      </c>
      <c r="X1914" s="140" t="s">
        <v>252</v>
      </c>
      <c r="Y1914" s="136">
        <v>100</v>
      </c>
      <c r="Z1914" s="140" t="s">
        <v>252</v>
      </c>
      <c r="AA1914" s="136">
        <v>114</v>
      </c>
      <c r="AB1914" s="140" t="s">
        <v>252</v>
      </c>
      <c r="AC1914" s="136">
        <v>163</v>
      </c>
      <c r="AD1914" s="140" t="s">
        <v>252</v>
      </c>
      <c r="AE1914" s="136">
        <v>211</v>
      </c>
      <c r="AF1914" s="140" t="s">
        <v>252</v>
      </c>
      <c r="AG1914" s="136">
        <v>193</v>
      </c>
      <c r="AH1914" s="140" t="s">
        <v>252</v>
      </c>
      <c r="AI1914" s="136">
        <v>261</v>
      </c>
      <c r="AJ1914" s="140" t="s">
        <v>252</v>
      </c>
      <c r="AK1914" s="136">
        <v>334</v>
      </c>
      <c r="AL1914" s="140" t="s">
        <v>252</v>
      </c>
      <c r="AM1914" s="136">
        <f t="shared" si="1"/>
        <v>2918</v>
      </c>
    </row>
    <row r="1915" spans="2:39" ht="20.25" hidden="1" outlineLevel="1">
      <c r="B1915" s="149" t="s">
        <v>774</v>
      </c>
      <c r="C1915" s="135" t="s">
        <v>1402</v>
      </c>
      <c r="D1915" s="152" t="s">
        <v>1403</v>
      </c>
      <c r="E1915" s="137" t="s">
        <v>44</v>
      </c>
      <c r="F1915" s="138" t="s">
        <v>45</v>
      </c>
      <c r="G1915" s="136"/>
      <c r="H1915" s="136"/>
      <c r="I1915" s="136"/>
      <c r="J1915" s="136"/>
      <c r="K1915" s="136"/>
      <c r="L1915" s="136"/>
      <c r="M1915" s="136">
        <v>3787</v>
      </c>
      <c r="N1915" s="136">
        <v>3549</v>
      </c>
      <c r="O1915" s="136">
        <v>435</v>
      </c>
      <c r="P1915" s="140" t="s">
        <v>252</v>
      </c>
      <c r="Q1915" s="136">
        <v>458</v>
      </c>
      <c r="R1915" s="140" t="s">
        <v>252</v>
      </c>
      <c r="S1915" s="136">
        <v>283</v>
      </c>
      <c r="T1915" s="140" t="s">
        <v>252</v>
      </c>
      <c r="U1915" s="136">
        <v>321</v>
      </c>
      <c r="V1915" s="140" t="s">
        <v>252</v>
      </c>
      <c r="W1915" s="136">
        <v>261</v>
      </c>
      <c r="X1915" s="140" t="s">
        <v>252</v>
      </c>
      <c r="Y1915" s="136">
        <v>195</v>
      </c>
      <c r="Z1915" s="140" t="s">
        <v>252</v>
      </c>
      <c r="AA1915" s="136">
        <v>174</v>
      </c>
      <c r="AB1915" s="140" t="s">
        <v>252</v>
      </c>
      <c r="AC1915" s="136">
        <v>251</v>
      </c>
      <c r="AD1915" s="140" t="s">
        <v>252</v>
      </c>
      <c r="AE1915" s="136">
        <v>420</v>
      </c>
      <c r="AF1915" s="140" t="s">
        <v>252</v>
      </c>
      <c r="AG1915" s="136">
        <v>292</v>
      </c>
      <c r="AH1915" s="140" t="s">
        <v>252</v>
      </c>
      <c r="AI1915" s="136">
        <v>577</v>
      </c>
      <c r="AJ1915" s="140" t="s">
        <v>252</v>
      </c>
      <c r="AK1915" s="136">
        <v>552</v>
      </c>
      <c r="AL1915" s="140" t="s">
        <v>252</v>
      </c>
      <c r="AM1915" s="136">
        <f t="shared" si="1"/>
        <v>4219</v>
      </c>
    </row>
    <row r="1916" spans="2:39" ht="20.25" hidden="1" outlineLevel="1">
      <c r="B1916" s="149" t="s">
        <v>775</v>
      </c>
      <c r="C1916" s="135" t="s">
        <v>1402</v>
      </c>
      <c r="D1916" s="152" t="s">
        <v>1403</v>
      </c>
      <c r="E1916" s="137" t="s">
        <v>44</v>
      </c>
      <c r="F1916" s="138" t="s">
        <v>45</v>
      </c>
      <c r="G1916" s="136"/>
      <c r="H1916" s="136"/>
      <c r="I1916" s="136"/>
      <c r="J1916" s="136"/>
      <c r="K1916" s="136"/>
      <c r="L1916" s="136"/>
      <c r="M1916" s="136">
        <v>2729</v>
      </c>
      <c r="N1916" s="136">
        <v>2631</v>
      </c>
      <c r="O1916" s="136">
        <v>253</v>
      </c>
      <c r="P1916" s="140" t="s">
        <v>252</v>
      </c>
      <c r="Q1916" s="136">
        <v>224</v>
      </c>
      <c r="R1916" s="140" t="s">
        <v>252</v>
      </c>
      <c r="S1916" s="136">
        <v>161</v>
      </c>
      <c r="T1916" s="140" t="s">
        <v>252</v>
      </c>
      <c r="U1916" s="136">
        <v>185</v>
      </c>
      <c r="V1916" s="140" t="s">
        <v>252</v>
      </c>
      <c r="W1916" s="136">
        <v>140</v>
      </c>
      <c r="X1916" s="140" t="s">
        <v>252</v>
      </c>
      <c r="Y1916" s="136">
        <v>116</v>
      </c>
      <c r="Z1916" s="140" t="s">
        <v>252</v>
      </c>
      <c r="AA1916" s="136">
        <v>107</v>
      </c>
      <c r="AB1916" s="140" t="s">
        <v>252</v>
      </c>
      <c r="AC1916" s="136">
        <v>157</v>
      </c>
      <c r="AD1916" s="140" t="s">
        <v>252</v>
      </c>
      <c r="AE1916" s="136">
        <v>151</v>
      </c>
      <c r="AF1916" s="140" t="s">
        <v>252</v>
      </c>
      <c r="AG1916" s="136">
        <v>198</v>
      </c>
      <c r="AH1916" s="140" t="s">
        <v>252</v>
      </c>
      <c r="AI1916" s="136">
        <v>232</v>
      </c>
      <c r="AJ1916" s="140" t="s">
        <v>252</v>
      </c>
      <c r="AK1916" s="136">
        <v>313</v>
      </c>
      <c r="AL1916" s="140" t="s">
        <v>252</v>
      </c>
      <c r="AM1916" s="136">
        <f t="shared" si="1"/>
        <v>2237</v>
      </c>
    </row>
    <row r="1917" spans="2:39" ht="20.25" hidden="1" outlineLevel="1">
      <c r="B1917" s="149" t="s">
        <v>776</v>
      </c>
      <c r="C1917" s="135" t="s">
        <v>1402</v>
      </c>
      <c r="D1917" s="152" t="s">
        <v>1403</v>
      </c>
      <c r="E1917" s="143" t="s">
        <v>138</v>
      </c>
      <c r="F1917" s="138" t="s">
        <v>45</v>
      </c>
      <c r="G1917" s="136"/>
      <c r="H1917" s="136"/>
      <c r="I1917" s="136"/>
      <c r="J1917" s="136"/>
      <c r="K1917" s="136"/>
      <c r="L1917" s="136"/>
      <c r="M1917" s="136">
        <v>628</v>
      </c>
      <c r="N1917" s="136">
        <v>729</v>
      </c>
      <c r="O1917" s="136">
        <v>51</v>
      </c>
      <c r="P1917" s="140" t="s">
        <v>252</v>
      </c>
      <c r="Q1917" s="136">
        <v>58</v>
      </c>
      <c r="R1917" s="140" t="s">
        <v>252</v>
      </c>
      <c r="S1917" s="136">
        <v>46</v>
      </c>
      <c r="T1917" s="140" t="s">
        <v>252</v>
      </c>
      <c r="U1917" s="136">
        <v>63</v>
      </c>
      <c r="V1917" s="140" t="s">
        <v>252</v>
      </c>
      <c r="W1917" s="136">
        <v>38</v>
      </c>
      <c r="X1917" s="140" t="s">
        <v>252</v>
      </c>
      <c r="Y1917" s="136">
        <v>48</v>
      </c>
      <c r="Z1917" s="140" t="s">
        <v>252</v>
      </c>
      <c r="AA1917" s="136">
        <v>43</v>
      </c>
      <c r="AB1917" s="140" t="s">
        <v>252</v>
      </c>
      <c r="AC1917" s="136">
        <v>753</v>
      </c>
      <c r="AD1917" s="140" t="s">
        <v>252</v>
      </c>
      <c r="AE1917" s="136">
        <v>49</v>
      </c>
      <c r="AF1917" s="140" t="s">
        <v>252</v>
      </c>
      <c r="AG1917" s="136">
        <v>43</v>
      </c>
      <c r="AH1917" s="140" t="s">
        <v>252</v>
      </c>
      <c r="AI1917" s="136">
        <v>39</v>
      </c>
      <c r="AJ1917" s="140" t="s">
        <v>252</v>
      </c>
      <c r="AK1917" s="136">
        <v>52</v>
      </c>
      <c r="AL1917" s="140" t="s">
        <v>252</v>
      </c>
      <c r="AM1917" s="136">
        <f t="shared" si="1"/>
        <v>1283</v>
      </c>
    </row>
    <row r="1918" spans="2:39" ht="20.25" hidden="1" outlineLevel="1">
      <c r="B1918" s="149" t="s">
        <v>776</v>
      </c>
      <c r="C1918" s="135" t="s">
        <v>1402</v>
      </c>
      <c r="D1918" s="152" t="s">
        <v>1403</v>
      </c>
      <c r="E1918" s="137" t="s">
        <v>44</v>
      </c>
      <c r="F1918" s="138" t="s">
        <v>45</v>
      </c>
      <c r="G1918" s="136"/>
      <c r="H1918" s="136"/>
      <c r="I1918" s="136"/>
      <c r="J1918" s="136"/>
      <c r="K1918" s="136"/>
      <c r="L1918" s="136"/>
      <c r="M1918" s="136">
        <v>15159</v>
      </c>
      <c r="N1918" s="136">
        <v>16821</v>
      </c>
      <c r="O1918" s="136">
        <v>1603</v>
      </c>
      <c r="P1918" s="140" t="s">
        <v>252</v>
      </c>
      <c r="Q1918" s="136">
        <v>1446</v>
      </c>
      <c r="R1918" s="140" t="s">
        <v>252</v>
      </c>
      <c r="S1918" s="136">
        <v>1148</v>
      </c>
      <c r="T1918" s="140" t="s">
        <v>252</v>
      </c>
      <c r="U1918" s="136">
        <v>1293</v>
      </c>
      <c r="V1918" s="140" t="s">
        <v>252</v>
      </c>
      <c r="W1918" s="136">
        <v>1097</v>
      </c>
      <c r="X1918" s="140" t="s">
        <v>252</v>
      </c>
      <c r="Y1918" s="136">
        <v>814</v>
      </c>
      <c r="Z1918" s="140" t="s">
        <v>252</v>
      </c>
      <c r="AA1918" s="136">
        <v>664</v>
      </c>
      <c r="AB1918" s="140" t="s">
        <v>252</v>
      </c>
      <c r="AC1918" s="136">
        <v>48</v>
      </c>
      <c r="AD1918" s="140" t="s">
        <v>252</v>
      </c>
      <c r="AE1918" s="136">
        <v>1151</v>
      </c>
      <c r="AF1918" s="140" t="s">
        <v>252</v>
      </c>
      <c r="AG1918" s="136">
        <v>1074</v>
      </c>
      <c r="AH1918" s="140" t="s">
        <v>252</v>
      </c>
      <c r="AI1918" s="136">
        <v>1158</v>
      </c>
      <c r="AJ1918" s="140" t="s">
        <v>252</v>
      </c>
      <c r="AK1918" s="136">
        <v>1432</v>
      </c>
      <c r="AL1918" s="140" t="s">
        <v>252</v>
      </c>
      <c r="AM1918" s="136">
        <f t="shared" si="1"/>
        <v>12928</v>
      </c>
    </row>
    <row r="1919" spans="2:39" ht="20.25" hidden="1" outlineLevel="1">
      <c r="B1919" s="149" t="s">
        <v>777</v>
      </c>
      <c r="C1919" s="135" t="s">
        <v>1402</v>
      </c>
      <c r="D1919" s="152" t="s">
        <v>1403</v>
      </c>
      <c r="E1919" s="137" t="s">
        <v>44</v>
      </c>
      <c r="F1919" s="144" t="s">
        <v>45</v>
      </c>
      <c r="G1919" s="136"/>
      <c r="H1919" s="136"/>
      <c r="I1919" s="136"/>
      <c r="J1919" s="136"/>
      <c r="K1919" s="136"/>
      <c r="L1919" s="136"/>
      <c r="M1919" s="142">
        <v>8906</v>
      </c>
      <c r="N1919" s="136">
        <v>9581</v>
      </c>
      <c r="O1919" s="136">
        <v>428</v>
      </c>
      <c r="P1919" s="140" t="s">
        <v>252</v>
      </c>
      <c r="Q1919" s="136">
        <v>419</v>
      </c>
      <c r="R1919" s="140" t="s">
        <v>252</v>
      </c>
      <c r="S1919" s="136">
        <v>243</v>
      </c>
      <c r="T1919" s="140" t="s">
        <v>252</v>
      </c>
      <c r="U1919" s="136">
        <v>479</v>
      </c>
      <c r="V1919" s="140" t="s">
        <v>252</v>
      </c>
      <c r="W1919" s="136">
        <v>300</v>
      </c>
      <c r="X1919" s="140" t="s">
        <v>252</v>
      </c>
      <c r="Y1919" s="136">
        <v>296</v>
      </c>
      <c r="Z1919" s="140" t="s">
        <v>252</v>
      </c>
      <c r="AA1919" s="136">
        <v>421</v>
      </c>
      <c r="AB1919" s="140" t="s">
        <v>252</v>
      </c>
      <c r="AC1919" s="136">
        <v>407</v>
      </c>
      <c r="AD1919" s="140" t="s">
        <v>252</v>
      </c>
      <c r="AE1919" s="136">
        <v>233</v>
      </c>
      <c r="AF1919" s="140" t="s">
        <v>252</v>
      </c>
      <c r="AG1919" s="136">
        <v>297</v>
      </c>
      <c r="AH1919" s="140" t="s">
        <v>252</v>
      </c>
      <c r="AI1919" s="136">
        <v>307</v>
      </c>
      <c r="AJ1919" s="140" t="s">
        <v>252</v>
      </c>
      <c r="AK1919" s="136">
        <v>335</v>
      </c>
      <c r="AL1919" s="140" t="s">
        <v>252</v>
      </c>
      <c r="AM1919" s="136">
        <f t="shared" si="1"/>
        <v>4165</v>
      </c>
    </row>
    <row r="1920" spans="2:39" ht="20.25" hidden="1" outlineLevel="1">
      <c r="B1920" s="149" t="s">
        <v>779</v>
      </c>
      <c r="C1920" s="135" t="s">
        <v>1402</v>
      </c>
      <c r="D1920" s="152" t="s">
        <v>1403</v>
      </c>
      <c r="E1920" s="143" t="s">
        <v>138</v>
      </c>
      <c r="F1920" s="144" t="s">
        <v>45</v>
      </c>
      <c r="G1920" s="136"/>
      <c r="H1920" s="136"/>
      <c r="I1920" s="136"/>
      <c r="J1920" s="136"/>
      <c r="K1920" s="136"/>
      <c r="L1920" s="136"/>
      <c r="M1920" s="142">
        <v>12500</v>
      </c>
      <c r="N1920" s="142">
        <v>11290</v>
      </c>
      <c r="O1920" s="136">
        <v>900</v>
      </c>
      <c r="P1920" s="140" t="s">
        <v>259</v>
      </c>
      <c r="Q1920" s="142">
        <v>900</v>
      </c>
      <c r="R1920" s="140" t="s">
        <v>259</v>
      </c>
      <c r="S1920" s="142">
        <v>679</v>
      </c>
      <c r="T1920" s="140" t="s">
        <v>259</v>
      </c>
      <c r="U1920" s="142">
        <v>882</v>
      </c>
      <c r="V1920" s="140" t="s">
        <v>259</v>
      </c>
      <c r="W1920" s="142">
        <v>882</v>
      </c>
      <c r="X1920" s="140" t="s">
        <v>259</v>
      </c>
      <c r="Y1920" s="142">
        <v>882</v>
      </c>
      <c r="Z1920" s="140" t="s">
        <v>259</v>
      </c>
      <c r="AA1920" s="142">
        <v>882</v>
      </c>
      <c r="AB1920" s="140" t="s">
        <v>259</v>
      </c>
      <c r="AC1920" s="142">
        <v>882</v>
      </c>
      <c r="AD1920" s="140" t="s">
        <v>259</v>
      </c>
      <c r="AE1920" s="142">
        <v>974</v>
      </c>
      <c r="AF1920" s="140" t="s">
        <v>259</v>
      </c>
      <c r="AG1920" s="142">
        <v>974</v>
      </c>
      <c r="AH1920" s="140" t="s">
        <v>259</v>
      </c>
      <c r="AI1920" s="142">
        <v>974</v>
      </c>
      <c r="AJ1920" s="140" t="s">
        <v>259</v>
      </c>
      <c r="AK1920" s="142">
        <v>974</v>
      </c>
      <c r="AL1920" s="140" t="s">
        <v>259</v>
      </c>
      <c r="AM1920" s="136">
        <f t="shared" si="1"/>
        <v>10785</v>
      </c>
    </row>
    <row r="1921" spans="2:39" ht="20.25" hidden="1" outlineLevel="1">
      <c r="B1921" s="149" t="s">
        <v>779</v>
      </c>
      <c r="C1921" s="135" t="s">
        <v>1402</v>
      </c>
      <c r="D1921" s="152" t="s">
        <v>1403</v>
      </c>
      <c r="E1921" s="137" t="s">
        <v>44</v>
      </c>
      <c r="F1921" s="138" t="s">
        <v>45</v>
      </c>
      <c r="G1921" s="136"/>
      <c r="H1921" s="136"/>
      <c r="I1921" s="136"/>
      <c r="J1921" s="136"/>
      <c r="K1921" s="136"/>
      <c r="L1921" s="136"/>
      <c r="M1921" s="142">
        <v>1465</v>
      </c>
      <c r="N1921" s="142">
        <v>12900</v>
      </c>
      <c r="O1921" s="136">
        <v>1000</v>
      </c>
      <c r="P1921" s="140" t="s">
        <v>259</v>
      </c>
      <c r="Q1921" s="142">
        <v>1000</v>
      </c>
      <c r="R1921" s="140" t="s">
        <v>259</v>
      </c>
      <c r="S1921" s="142">
        <v>679</v>
      </c>
      <c r="T1921" s="140" t="s">
        <v>259</v>
      </c>
      <c r="U1921" s="142">
        <v>1086</v>
      </c>
      <c r="V1921" s="140" t="s">
        <v>259</v>
      </c>
      <c r="W1921" s="142">
        <v>1024</v>
      </c>
      <c r="X1921" s="140" t="s">
        <v>259</v>
      </c>
      <c r="Y1921" s="142">
        <v>1017</v>
      </c>
      <c r="Z1921" s="140" t="s">
        <v>259</v>
      </c>
      <c r="AA1921" s="142">
        <v>968</v>
      </c>
      <c r="AB1921" s="140" t="s">
        <v>259</v>
      </c>
      <c r="AC1921" s="142">
        <v>968</v>
      </c>
      <c r="AD1921" s="140" t="s">
        <v>259</v>
      </c>
      <c r="AE1921" s="142">
        <v>393</v>
      </c>
      <c r="AF1921" s="140" t="s">
        <v>259</v>
      </c>
      <c r="AG1921" s="142">
        <v>1131</v>
      </c>
      <c r="AH1921" s="140" t="s">
        <v>259</v>
      </c>
      <c r="AI1921" s="142">
        <v>1387</v>
      </c>
      <c r="AJ1921" s="140" t="s">
        <v>259</v>
      </c>
      <c r="AK1921" s="142">
        <v>1383</v>
      </c>
      <c r="AL1921" s="140" t="s">
        <v>259</v>
      </c>
      <c r="AM1921" s="136">
        <f t="shared" si="1"/>
        <v>12036</v>
      </c>
    </row>
    <row r="1922" spans="2:39" ht="20.25" hidden="1" outlineLevel="1">
      <c r="B1922" s="149" t="s">
        <v>780</v>
      </c>
      <c r="C1922" s="135" t="s">
        <v>1402</v>
      </c>
      <c r="D1922" s="152" t="s">
        <v>1403</v>
      </c>
      <c r="E1922" s="137" t="s">
        <v>44</v>
      </c>
      <c r="F1922" s="138" t="s">
        <v>45</v>
      </c>
      <c r="G1922" s="136"/>
      <c r="H1922" s="136"/>
      <c r="I1922" s="136"/>
      <c r="J1922" s="136"/>
      <c r="K1922" s="136"/>
      <c r="L1922" s="136"/>
      <c r="M1922" s="136">
        <v>4395</v>
      </c>
      <c r="N1922" s="136">
        <v>3792</v>
      </c>
      <c r="O1922" s="136">
        <v>435</v>
      </c>
      <c r="P1922" s="140" t="s">
        <v>252</v>
      </c>
      <c r="Q1922" s="136">
        <v>149</v>
      </c>
      <c r="R1922" s="140" t="s">
        <v>252</v>
      </c>
      <c r="S1922" s="136">
        <v>766</v>
      </c>
      <c r="T1922" s="140" t="s">
        <v>252</v>
      </c>
      <c r="U1922" s="136">
        <v>357</v>
      </c>
      <c r="V1922" s="140" t="s">
        <v>252</v>
      </c>
      <c r="W1922" s="136">
        <v>329</v>
      </c>
      <c r="X1922" s="140" t="s">
        <v>252</v>
      </c>
      <c r="Y1922" s="136">
        <v>280</v>
      </c>
      <c r="Z1922" s="140" t="s">
        <v>252</v>
      </c>
      <c r="AA1922" s="136">
        <v>327</v>
      </c>
      <c r="AB1922" s="140" t="s">
        <v>252</v>
      </c>
      <c r="AC1922" s="136">
        <v>874</v>
      </c>
      <c r="AD1922" s="140" t="s">
        <v>252</v>
      </c>
      <c r="AE1922" s="136">
        <v>394</v>
      </c>
      <c r="AF1922" s="140" t="s">
        <v>252</v>
      </c>
      <c r="AG1922" s="136">
        <v>552</v>
      </c>
      <c r="AH1922" s="140" t="s">
        <v>252</v>
      </c>
      <c r="AI1922" s="136">
        <v>465</v>
      </c>
      <c r="AJ1922" s="140" t="s">
        <v>252</v>
      </c>
      <c r="AK1922" s="136">
        <v>457</v>
      </c>
      <c r="AL1922" s="140" t="s">
        <v>252</v>
      </c>
      <c r="AM1922" s="136">
        <f t="shared" si="1"/>
        <v>5385</v>
      </c>
    </row>
    <row r="1923" spans="2:39" ht="20.25" hidden="1" outlineLevel="1">
      <c r="B1923" s="150" t="s">
        <v>782</v>
      </c>
      <c r="C1923" s="135" t="s">
        <v>1402</v>
      </c>
      <c r="D1923" s="152" t="s">
        <v>1403</v>
      </c>
      <c r="E1923" s="137" t="s">
        <v>44</v>
      </c>
      <c r="F1923" s="138" t="s">
        <v>45</v>
      </c>
      <c r="G1923" s="136"/>
      <c r="H1923" s="136"/>
      <c r="I1923" s="136"/>
      <c r="J1923" s="136"/>
      <c r="K1923" s="136"/>
      <c r="L1923" s="136"/>
      <c r="M1923" s="142">
        <v>25800</v>
      </c>
      <c r="N1923" s="142">
        <v>23700</v>
      </c>
      <c r="O1923" s="142">
        <v>1500</v>
      </c>
      <c r="P1923" s="145" t="s">
        <v>259</v>
      </c>
      <c r="Q1923" s="142">
        <v>1500</v>
      </c>
      <c r="R1923" s="145" t="s">
        <v>259</v>
      </c>
      <c r="S1923" s="142">
        <v>1495</v>
      </c>
      <c r="T1923" s="145" t="s">
        <v>259</v>
      </c>
      <c r="U1923" s="142">
        <v>1755</v>
      </c>
      <c r="V1923" s="145" t="s">
        <v>259</v>
      </c>
      <c r="W1923" s="142">
        <v>1653</v>
      </c>
      <c r="X1923" s="145" t="s">
        <v>259</v>
      </c>
      <c r="Y1923" s="142">
        <v>1644</v>
      </c>
      <c r="Z1923" s="145" t="s">
        <v>259</v>
      </c>
      <c r="AA1923" s="142">
        <v>1613</v>
      </c>
      <c r="AB1923" s="145" t="s">
        <v>259</v>
      </c>
      <c r="AC1923" s="142">
        <v>1613</v>
      </c>
      <c r="AD1923" s="145" t="s">
        <v>259</v>
      </c>
      <c r="AE1923" s="142">
        <v>1613</v>
      </c>
      <c r="AF1923" s="145" t="s">
        <v>259</v>
      </c>
      <c r="AG1923" s="142">
        <v>1599</v>
      </c>
      <c r="AH1923" s="145" t="s">
        <v>259</v>
      </c>
      <c r="AI1923" s="142">
        <v>1764</v>
      </c>
      <c r="AJ1923" s="145" t="s">
        <v>259</v>
      </c>
      <c r="AK1923" s="142">
        <v>1696</v>
      </c>
      <c r="AL1923" s="145" t="s">
        <v>259</v>
      </c>
      <c r="AM1923" s="136">
        <f>O1923+Q1923+S1923+U1923+W1923+Y1923+AA1923+AC1923+AE1923+AG1923+AI1923+AK1923</f>
        <v>19445</v>
      </c>
    </row>
    <row r="1924" spans="2:39" ht="20.25" hidden="1" outlineLevel="1">
      <c r="B1924" s="149" t="s">
        <v>783</v>
      </c>
      <c r="C1924" s="135" t="s">
        <v>1402</v>
      </c>
      <c r="D1924" s="152" t="s">
        <v>1403</v>
      </c>
      <c r="E1924" s="137" t="s">
        <v>44</v>
      </c>
      <c r="F1924" s="138" t="s">
        <v>45</v>
      </c>
      <c r="G1924" s="136"/>
      <c r="H1924" s="136"/>
      <c r="I1924" s="136"/>
      <c r="J1924" s="136"/>
      <c r="K1924" s="136"/>
      <c r="L1924" s="136"/>
      <c r="M1924" s="419">
        <v>9003</v>
      </c>
      <c r="N1924" s="419">
        <v>8258</v>
      </c>
      <c r="O1924" s="419">
        <v>832</v>
      </c>
      <c r="P1924" s="419" t="s">
        <v>252</v>
      </c>
      <c r="Q1924" s="419">
        <v>103</v>
      </c>
      <c r="R1924" s="419" t="s">
        <v>252</v>
      </c>
      <c r="S1924" s="419">
        <v>407</v>
      </c>
      <c r="T1924" s="419" t="s">
        <v>252</v>
      </c>
      <c r="U1924" s="419">
        <v>649</v>
      </c>
      <c r="V1924" s="419" t="s">
        <v>252</v>
      </c>
      <c r="W1924" s="419">
        <v>538</v>
      </c>
      <c r="X1924" s="419" t="s">
        <v>252</v>
      </c>
      <c r="Y1924" s="419">
        <v>494</v>
      </c>
      <c r="Z1924" s="419" t="s">
        <v>252</v>
      </c>
      <c r="AA1924" s="419">
        <v>403</v>
      </c>
      <c r="AB1924" s="419" t="s">
        <v>252</v>
      </c>
      <c r="AC1924" s="419">
        <v>510</v>
      </c>
      <c r="AD1924" s="419" t="s">
        <v>252</v>
      </c>
      <c r="AE1924" s="419">
        <v>666</v>
      </c>
      <c r="AF1924" s="419" t="s">
        <v>252</v>
      </c>
      <c r="AG1924" s="419">
        <v>534</v>
      </c>
      <c r="AH1924" s="419" t="s">
        <v>252</v>
      </c>
      <c r="AI1924" s="419">
        <v>941</v>
      </c>
      <c r="AJ1924" s="419" t="s">
        <v>252</v>
      </c>
      <c r="AK1924" s="419">
        <v>898</v>
      </c>
      <c r="AL1924" s="419" t="s">
        <v>252</v>
      </c>
      <c r="AM1924" s="419">
        <f>O1924+Q1924+S1924+U1924+W1924+Y1924+AA1924+AC1924+AE1924+AG1924+AI1924+AK1924</f>
        <v>6975</v>
      </c>
    </row>
    <row r="1925" spans="2:39" ht="20.25" hidden="1" outlineLevel="1">
      <c r="B1925" s="149" t="s">
        <v>784</v>
      </c>
      <c r="C1925" s="135" t="s">
        <v>1402</v>
      </c>
      <c r="D1925" s="152" t="s">
        <v>1403</v>
      </c>
      <c r="E1925" s="137" t="s">
        <v>44</v>
      </c>
      <c r="F1925" s="138" t="s">
        <v>45</v>
      </c>
      <c r="G1925" s="136"/>
      <c r="H1925" s="136"/>
      <c r="I1925" s="136"/>
      <c r="J1925" s="136"/>
      <c r="K1925" s="136"/>
      <c r="L1925" s="136"/>
      <c r="M1925" s="431"/>
      <c r="N1925" s="431"/>
      <c r="O1925" s="431"/>
      <c r="P1925" s="431"/>
      <c r="Q1925" s="431"/>
      <c r="R1925" s="431"/>
      <c r="S1925" s="431"/>
      <c r="T1925" s="431"/>
      <c r="U1925" s="431"/>
      <c r="V1925" s="431"/>
      <c r="W1925" s="431"/>
      <c r="X1925" s="431"/>
      <c r="Y1925" s="431"/>
      <c r="Z1925" s="431"/>
      <c r="AA1925" s="431"/>
      <c r="AB1925" s="431"/>
      <c r="AC1925" s="431"/>
      <c r="AD1925" s="431"/>
      <c r="AE1925" s="431"/>
      <c r="AF1925" s="431"/>
      <c r="AG1925" s="431"/>
      <c r="AH1925" s="431"/>
      <c r="AI1925" s="431"/>
      <c r="AJ1925" s="431"/>
      <c r="AK1925" s="431"/>
      <c r="AL1925" s="431"/>
      <c r="AM1925" s="431"/>
    </row>
    <row r="1926" spans="2:39" ht="20.25" hidden="1" outlineLevel="1">
      <c r="B1926" s="149" t="s">
        <v>785</v>
      </c>
      <c r="C1926" s="135" t="s">
        <v>1402</v>
      </c>
      <c r="D1926" s="152" t="s">
        <v>1403</v>
      </c>
      <c r="E1926" s="137" t="s">
        <v>44</v>
      </c>
      <c r="F1926" s="138" t="s">
        <v>45</v>
      </c>
      <c r="G1926" s="136"/>
      <c r="H1926" s="136"/>
      <c r="I1926" s="136"/>
      <c r="J1926" s="136"/>
      <c r="K1926" s="136"/>
      <c r="L1926" s="136"/>
      <c r="M1926" s="431"/>
      <c r="N1926" s="431"/>
      <c r="O1926" s="431"/>
      <c r="P1926" s="431"/>
      <c r="Q1926" s="431"/>
      <c r="R1926" s="431"/>
      <c r="S1926" s="431"/>
      <c r="T1926" s="431"/>
      <c r="U1926" s="431"/>
      <c r="V1926" s="431"/>
      <c r="W1926" s="431"/>
      <c r="X1926" s="431"/>
      <c r="Y1926" s="431"/>
      <c r="Z1926" s="431"/>
      <c r="AA1926" s="431"/>
      <c r="AB1926" s="431"/>
      <c r="AC1926" s="431"/>
      <c r="AD1926" s="431"/>
      <c r="AE1926" s="431"/>
      <c r="AF1926" s="431"/>
      <c r="AG1926" s="431"/>
      <c r="AH1926" s="431"/>
      <c r="AI1926" s="431"/>
      <c r="AJ1926" s="431"/>
      <c r="AK1926" s="431"/>
      <c r="AL1926" s="431"/>
      <c r="AM1926" s="431"/>
    </row>
    <row r="1927" spans="2:39" ht="20.25" hidden="1" outlineLevel="1">
      <c r="B1927" s="149" t="s">
        <v>786</v>
      </c>
      <c r="C1927" s="135" t="s">
        <v>1402</v>
      </c>
      <c r="D1927" s="152" t="s">
        <v>1403</v>
      </c>
      <c r="E1927" s="137" t="s">
        <v>44</v>
      </c>
      <c r="F1927" s="144" t="s">
        <v>45</v>
      </c>
      <c r="G1927" s="136"/>
      <c r="H1927" s="136"/>
      <c r="I1927" s="136"/>
      <c r="J1927" s="136"/>
      <c r="K1927" s="136"/>
      <c r="L1927" s="136"/>
      <c r="M1927" s="431"/>
      <c r="N1927" s="431"/>
      <c r="O1927" s="431"/>
      <c r="P1927" s="431"/>
      <c r="Q1927" s="431"/>
      <c r="R1927" s="431"/>
      <c r="S1927" s="431"/>
      <c r="T1927" s="431"/>
      <c r="U1927" s="431"/>
      <c r="V1927" s="431"/>
      <c r="W1927" s="431"/>
      <c r="X1927" s="431"/>
      <c r="Y1927" s="431"/>
      <c r="Z1927" s="431"/>
      <c r="AA1927" s="431"/>
      <c r="AB1927" s="431"/>
      <c r="AC1927" s="431"/>
      <c r="AD1927" s="431"/>
      <c r="AE1927" s="431"/>
      <c r="AF1927" s="431"/>
      <c r="AG1927" s="431"/>
      <c r="AH1927" s="431"/>
      <c r="AI1927" s="431"/>
      <c r="AJ1927" s="431"/>
      <c r="AK1927" s="431"/>
      <c r="AL1927" s="431"/>
      <c r="AM1927" s="431"/>
    </row>
    <row r="1928" spans="2:39" ht="20.25" hidden="1" outlineLevel="1">
      <c r="B1928" s="149" t="s">
        <v>788</v>
      </c>
      <c r="C1928" s="135" t="s">
        <v>1402</v>
      </c>
      <c r="D1928" s="152" t="s">
        <v>1403</v>
      </c>
      <c r="E1928" s="137" t="s">
        <v>44</v>
      </c>
      <c r="F1928" s="144" t="s">
        <v>45</v>
      </c>
      <c r="G1928" s="136"/>
      <c r="H1928" s="136"/>
      <c r="I1928" s="136"/>
      <c r="J1928" s="136"/>
      <c r="K1928" s="136"/>
      <c r="L1928" s="136"/>
      <c r="M1928" s="420"/>
      <c r="N1928" s="420"/>
      <c r="O1928" s="420"/>
      <c r="P1928" s="420"/>
      <c r="Q1928" s="420"/>
      <c r="R1928" s="420"/>
      <c r="S1928" s="420"/>
      <c r="T1928" s="420"/>
      <c r="U1928" s="420"/>
      <c r="V1928" s="420"/>
      <c r="W1928" s="420"/>
      <c r="X1928" s="420"/>
      <c r="Y1928" s="420"/>
      <c r="Z1928" s="420"/>
      <c r="AA1928" s="420"/>
      <c r="AB1928" s="420"/>
      <c r="AC1928" s="420"/>
      <c r="AD1928" s="420"/>
      <c r="AE1928" s="420"/>
      <c r="AF1928" s="420"/>
      <c r="AG1928" s="420"/>
      <c r="AH1928" s="420"/>
      <c r="AI1928" s="420"/>
      <c r="AJ1928" s="420"/>
      <c r="AK1928" s="420"/>
      <c r="AL1928" s="420"/>
      <c r="AM1928" s="420"/>
    </row>
    <row r="1929" spans="2:39" ht="20.25" hidden="1" outlineLevel="1">
      <c r="B1929" s="151" t="s">
        <v>791</v>
      </c>
      <c r="C1929" s="136" t="s">
        <v>1405</v>
      </c>
      <c r="D1929" s="152"/>
      <c r="E1929" s="137" t="s">
        <v>44</v>
      </c>
      <c r="F1929" s="138" t="s">
        <v>45</v>
      </c>
      <c r="G1929" s="136"/>
      <c r="H1929" s="136"/>
      <c r="I1929" s="136"/>
      <c r="J1929" s="136"/>
      <c r="K1929" s="136"/>
      <c r="L1929" s="136"/>
      <c r="M1929" s="136"/>
      <c r="N1929" s="136"/>
      <c r="O1929" s="136"/>
      <c r="P1929" s="145"/>
      <c r="Q1929" s="136"/>
      <c r="R1929" s="145"/>
      <c r="S1929" s="136"/>
      <c r="T1929" s="145"/>
      <c r="U1929" s="136"/>
      <c r="V1929" s="145"/>
      <c r="W1929" s="136"/>
      <c r="X1929" s="145"/>
      <c r="Y1929" s="136"/>
      <c r="Z1929" s="145"/>
      <c r="AA1929" s="136"/>
      <c r="AB1929" s="145"/>
      <c r="AC1929" s="136"/>
      <c r="AD1929" s="145"/>
      <c r="AE1929" s="136"/>
      <c r="AF1929" s="145"/>
      <c r="AG1929" s="136"/>
      <c r="AH1929" s="145"/>
      <c r="AI1929" s="136"/>
      <c r="AJ1929" s="145"/>
      <c r="AK1929" s="136"/>
      <c r="AL1929" s="145"/>
      <c r="AM1929" s="136"/>
    </row>
    <row r="1930" spans="2:39" ht="20.25" hidden="1" outlineLevel="1">
      <c r="B1930" s="149" t="s">
        <v>794</v>
      </c>
      <c r="C1930" s="135" t="s">
        <v>1402</v>
      </c>
      <c r="D1930" s="152" t="s">
        <v>1403</v>
      </c>
      <c r="E1930" s="137" t="s">
        <v>44</v>
      </c>
      <c r="F1930" s="138" t="s">
        <v>45</v>
      </c>
      <c r="G1930" s="136"/>
      <c r="H1930" s="136"/>
      <c r="I1930" s="136"/>
      <c r="J1930" s="136"/>
      <c r="K1930" s="136"/>
      <c r="L1930" s="136"/>
      <c r="M1930" s="419">
        <v>5541</v>
      </c>
      <c r="N1930" s="419">
        <v>4976</v>
      </c>
      <c r="O1930" s="419">
        <v>464</v>
      </c>
      <c r="P1930" s="419" t="s">
        <v>252</v>
      </c>
      <c r="Q1930" s="419">
        <v>431</v>
      </c>
      <c r="R1930" s="419" t="s">
        <v>252</v>
      </c>
      <c r="S1930" s="419">
        <v>412</v>
      </c>
      <c r="T1930" s="419" t="s">
        <v>252</v>
      </c>
      <c r="U1930" s="419">
        <v>449</v>
      </c>
      <c r="V1930" s="419" t="s">
        <v>252</v>
      </c>
      <c r="W1930" s="419">
        <v>303</v>
      </c>
      <c r="X1930" s="419" t="s">
        <v>252</v>
      </c>
      <c r="Y1930" s="419">
        <v>292</v>
      </c>
      <c r="Z1930" s="419" t="s">
        <v>252</v>
      </c>
      <c r="AA1930" s="419">
        <v>227</v>
      </c>
      <c r="AB1930" s="419" t="s">
        <v>252</v>
      </c>
      <c r="AC1930" s="419">
        <v>293</v>
      </c>
      <c r="AD1930" s="419" t="s">
        <v>252</v>
      </c>
      <c r="AE1930" s="419">
        <v>413</v>
      </c>
      <c r="AF1930" s="419" t="s">
        <v>252</v>
      </c>
      <c r="AG1930" s="419">
        <v>325</v>
      </c>
      <c r="AH1930" s="419" t="s">
        <v>252</v>
      </c>
      <c r="AI1930" s="419">
        <v>593</v>
      </c>
      <c r="AJ1930" s="419" t="s">
        <v>252</v>
      </c>
      <c r="AK1930" s="419">
        <v>450</v>
      </c>
      <c r="AL1930" s="419" t="s">
        <v>252</v>
      </c>
      <c r="AM1930" s="419">
        <v>6975</v>
      </c>
    </row>
    <row r="1931" spans="2:39" ht="20.25" hidden="1" outlineLevel="1">
      <c r="B1931" s="149" t="s">
        <v>795</v>
      </c>
      <c r="C1931" s="135" t="s">
        <v>1402</v>
      </c>
      <c r="D1931" s="152" t="s">
        <v>1403</v>
      </c>
      <c r="E1931" s="137" t="s">
        <v>44</v>
      </c>
      <c r="F1931" s="138" t="s">
        <v>45</v>
      </c>
      <c r="G1931" s="136"/>
      <c r="H1931" s="136"/>
      <c r="I1931" s="136"/>
      <c r="J1931" s="136"/>
      <c r="K1931" s="136"/>
      <c r="L1931" s="136"/>
      <c r="M1931" s="420"/>
      <c r="N1931" s="420"/>
      <c r="O1931" s="420"/>
      <c r="P1931" s="420"/>
      <c r="Q1931" s="420"/>
      <c r="R1931" s="420"/>
      <c r="S1931" s="420"/>
      <c r="T1931" s="420"/>
      <c r="U1931" s="420"/>
      <c r="V1931" s="420"/>
      <c r="W1931" s="420"/>
      <c r="X1931" s="420"/>
      <c r="Y1931" s="420"/>
      <c r="Z1931" s="420"/>
      <c r="AA1931" s="420"/>
      <c r="AB1931" s="420"/>
      <c r="AC1931" s="420"/>
      <c r="AD1931" s="420"/>
      <c r="AE1931" s="420"/>
      <c r="AF1931" s="420"/>
      <c r="AG1931" s="420"/>
      <c r="AH1931" s="420"/>
      <c r="AI1931" s="420"/>
      <c r="AJ1931" s="420"/>
      <c r="AK1931" s="420"/>
      <c r="AL1931" s="420"/>
      <c r="AM1931" s="420"/>
    </row>
    <row r="1932" spans="2:39" ht="20.25" hidden="1" outlineLevel="1">
      <c r="B1932" s="149" t="s">
        <v>796</v>
      </c>
      <c r="C1932" s="135" t="s">
        <v>1402</v>
      </c>
      <c r="D1932" s="152" t="s">
        <v>1403</v>
      </c>
      <c r="E1932" s="137" t="s">
        <v>44</v>
      </c>
      <c r="F1932" s="138" t="s">
        <v>45</v>
      </c>
      <c r="G1932" s="136"/>
      <c r="H1932" s="136"/>
      <c r="I1932" s="136"/>
      <c r="J1932" s="136"/>
      <c r="K1932" s="136"/>
      <c r="L1932" s="136"/>
      <c r="M1932" s="136">
        <v>9668</v>
      </c>
      <c r="N1932" s="136">
        <v>8236</v>
      </c>
      <c r="O1932" s="136">
        <v>993</v>
      </c>
      <c r="P1932" s="145" t="s">
        <v>252</v>
      </c>
      <c r="Q1932" s="136">
        <v>587</v>
      </c>
      <c r="R1932" s="145" t="s">
        <v>252</v>
      </c>
      <c r="S1932" s="136">
        <v>503</v>
      </c>
      <c r="T1932" s="145" t="s">
        <v>252</v>
      </c>
      <c r="U1932" s="136">
        <v>519</v>
      </c>
      <c r="V1932" s="145" t="s">
        <v>252</v>
      </c>
      <c r="W1932" s="136">
        <v>492</v>
      </c>
      <c r="X1932" s="145" t="s">
        <v>252</v>
      </c>
      <c r="Y1932" s="136">
        <v>221</v>
      </c>
      <c r="Z1932" s="145" t="s">
        <v>252</v>
      </c>
      <c r="AA1932" s="136">
        <v>374</v>
      </c>
      <c r="AB1932" s="145" t="s">
        <v>252</v>
      </c>
      <c r="AC1932" s="136">
        <v>413</v>
      </c>
      <c r="AD1932" s="145" t="s">
        <v>252</v>
      </c>
      <c r="AE1932" s="136">
        <v>568</v>
      </c>
      <c r="AF1932" s="145" t="s">
        <v>252</v>
      </c>
      <c r="AG1932" s="136">
        <v>489</v>
      </c>
      <c r="AH1932" s="145" t="s">
        <v>252</v>
      </c>
      <c r="AI1932" s="136">
        <v>514</v>
      </c>
      <c r="AJ1932" s="145" t="s">
        <v>252</v>
      </c>
      <c r="AK1932" s="136">
        <v>602</v>
      </c>
      <c r="AL1932" s="145" t="s">
        <v>252</v>
      </c>
      <c r="AM1932" s="136">
        <f>O1932+Q1932+S1932+U1932+W1932+Y1932+AA1932+AC1932+AE1932+AG1932+AI1932+AK1932</f>
        <v>6275</v>
      </c>
    </row>
    <row r="1933" spans="2:39" ht="20.25" hidden="1" outlineLevel="1">
      <c r="B1933" s="149" t="s">
        <v>797</v>
      </c>
      <c r="C1933" s="135" t="s">
        <v>1402</v>
      </c>
      <c r="D1933" s="152" t="s">
        <v>1403</v>
      </c>
      <c r="E1933" s="137" t="s">
        <v>44</v>
      </c>
      <c r="F1933" s="138" t="s">
        <v>45</v>
      </c>
      <c r="G1933" s="136"/>
      <c r="H1933" s="136"/>
      <c r="I1933" s="136"/>
      <c r="J1933" s="136"/>
      <c r="K1933" s="136"/>
      <c r="L1933" s="136"/>
      <c r="M1933" s="136"/>
      <c r="N1933" s="136"/>
      <c r="O1933" s="136"/>
      <c r="P1933" s="145" t="s">
        <v>252</v>
      </c>
      <c r="Q1933" s="136"/>
      <c r="R1933" s="145" t="s">
        <v>252</v>
      </c>
      <c r="S1933" s="136"/>
      <c r="T1933" s="145" t="s">
        <v>252</v>
      </c>
      <c r="U1933" s="136"/>
      <c r="V1933" s="145" t="s">
        <v>252</v>
      </c>
      <c r="W1933" s="136"/>
      <c r="X1933" s="145" t="s">
        <v>252</v>
      </c>
      <c r="Y1933" s="136"/>
      <c r="Z1933" s="145" t="s">
        <v>252</v>
      </c>
      <c r="AA1933" s="136"/>
      <c r="AB1933" s="145" t="s">
        <v>252</v>
      </c>
      <c r="AC1933" s="136"/>
      <c r="AD1933" s="145" t="s">
        <v>252</v>
      </c>
      <c r="AE1933" s="136"/>
      <c r="AF1933" s="145" t="s">
        <v>252</v>
      </c>
      <c r="AG1933" s="136"/>
      <c r="AH1933" s="145" t="s">
        <v>252</v>
      </c>
      <c r="AI1933" s="136"/>
      <c r="AJ1933" s="145" t="s">
        <v>252</v>
      </c>
      <c r="AK1933" s="136"/>
      <c r="AL1933" s="145" t="s">
        <v>252</v>
      </c>
      <c r="AM1933" s="136">
        <f t="shared" ref="AM1933:AM1940" si="2">O1933+Q1933+S1933+U1933+W1933+Y1933+AA1933+AC1933+AE1933+AG1933+AI1933+AK1933</f>
        <v>0</v>
      </c>
    </row>
    <row r="1934" spans="2:39" ht="20.25" hidden="1" outlineLevel="1">
      <c r="B1934" s="149" t="s">
        <v>798</v>
      </c>
      <c r="C1934" s="135" t="s">
        <v>1402</v>
      </c>
      <c r="D1934" s="152" t="s">
        <v>1403</v>
      </c>
      <c r="E1934" s="137" t="s">
        <v>44</v>
      </c>
      <c r="F1934" s="138" t="s">
        <v>45</v>
      </c>
      <c r="G1934" s="136"/>
      <c r="H1934" s="136"/>
      <c r="I1934" s="136"/>
      <c r="J1934" s="136"/>
      <c r="K1934" s="136"/>
      <c r="L1934" s="136"/>
      <c r="M1934" s="136">
        <v>7893</v>
      </c>
      <c r="N1934" s="136">
        <v>5857</v>
      </c>
      <c r="O1934" s="136">
        <v>464</v>
      </c>
      <c r="P1934" s="145" t="s">
        <v>252</v>
      </c>
      <c r="Q1934" s="136">
        <v>535</v>
      </c>
      <c r="R1934" s="145" t="s">
        <v>252</v>
      </c>
      <c r="S1934" s="136">
        <v>455</v>
      </c>
      <c r="T1934" s="145" t="s">
        <v>252</v>
      </c>
      <c r="U1934" s="136">
        <v>388</v>
      </c>
      <c r="V1934" s="145" t="s">
        <v>252</v>
      </c>
      <c r="W1934" s="136">
        <v>304</v>
      </c>
      <c r="X1934" s="145" t="s">
        <v>252</v>
      </c>
      <c r="Y1934" s="136">
        <v>323</v>
      </c>
      <c r="Z1934" s="145" t="s">
        <v>252</v>
      </c>
      <c r="AA1934" s="136">
        <v>295</v>
      </c>
      <c r="AB1934" s="145" t="s">
        <v>252</v>
      </c>
      <c r="AC1934" s="136">
        <v>330</v>
      </c>
      <c r="AD1934" s="145" t="s">
        <v>252</v>
      </c>
      <c r="AE1934" s="136">
        <v>397</v>
      </c>
      <c r="AF1934" s="145" t="s">
        <v>252</v>
      </c>
      <c r="AG1934" s="136">
        <v>293</v>
      </c>
      <c r="AH1934" s="145" t="s">
        <v>252</v>
      </c>
      <c r="AI1934" s="136">
        <v>558</v>
      </c>
      <c r="AJ1934" s="145" t="s">
        <v>252</v>
      </c>
      <c r="AK1934" s="136">
        <v>466</v>
      </c>
      <c r="AL1934" s="145" t="s">
        <v>252</v>
      </c>
      <c r="AM1934" s="136">
        <f t="shared" si="2"/>
        <v>4808</v>
      </c>
    </row>
    <row r="1935" spans="2:39" ht="20.25" hidden="1" outlineLevel="1">
      <c r="B1935" s="149" t="s">
        <v>799</v>
      </c>
      <c r="C1935" s="135" t="s">
        <v>1402</v>
      </c>
      <c r="D1935" s="152" t="s">
        <v>1403</v>
      </c>
      <c r="E1935" s="137" t="s">
        <v>44</v>
      </c>
      <c r="F1935" s="138" t="s">
        <v>45</v>
      </c>
      <c r="G1935" s="136"/>
      <c r="H1935" s="136"/>
      <c r="I1935" s="136"/>
      <c r="J1935" s="136"/>
      <c r="K1935" s="136"/>
      <c r="L1935" s="136"/>
      <c r="M1935" s="136">
        <v>9312</v>
      </c>
      <c r="N1935" s="136">
        <v>8746</v>
      </c>
      <c r="O1935" s="136">
        <v>710</v>
      </c>
      <c r="P1935" s="145" t="s">
        <v>252</v>
      </c>
      <c r="Q1935" s="136">
        <v>520</v>
      </c>
      <c r="R1935" s="145" t="s">
        <v>252</v>
      </c>
      <c r="S1935" s="136">
        <v>445</v>
      </c>
      <c r="T1935" s="145" t="s">
        <v>252</v>
      </c>
      <c r="U1935" s="136">
        <v>659</v>
      </c>
      <c r="V1935" s="145" t="s">
        <v>252</v>
      </c>
      <c r="W1935" s="136">
        <v>707</v>
      </c>
      <c r="X1935" s="145" t="s">
        <v>252</v>
      </c>
      <c r="Y1935" s="136">
        <v>1024</v>
      </c>
      <c r="Z1935" s="145" t="s">
        <v>252</v>
      </c>
      <c r="AA1935" s="136">
        <v>528</v>
      </c>
      <c r="AB1935" s="145" t="s">
        <v>252</v>
      </c>
      <c r="AC1935" s="136">
        <v>741</v>
      </c>
      <c r="AD1935" s="145" t="s">
        <v>252</v>
      </c>
      <c r="AE1935" s="136">
        <v>874</v>
      </c>
      <c r="AF1935" s="145" t="s">
        <v>252</v>
      </c>
      <c r="AG1935" s="136">
        <v>464</v>
      </c>
      <c r="AH1935" s="145" t="s">
        <v>252</v>
      </c>
      <c r="AI1935" s="136">
        <v>1199</v>
      </c>
      <c r="AJ1935" s="145" t="s">
        <v>252</v>
      </c>
      <c r="AK1935" s="136">
        <v>722</v>
      </c>
      <c r="AL1935" s="145" t="s">
        <v>252</v>
      </c>
      <c r="AM1935" s="136">
        <f t="shared" si="2"/>
        <v>8593</v>
      </c>
    </row>
    <row r="1936" spans="2:39" ht="20.25" hidden="1" outlineLevel="1">
      <c r="B1936" s="149" t="s">
        <v>800</v>
      </c>
      <c r="C1936" s="135" t="s">
        <v>1402</v>
      </c>
      <c r="D1936" s="152" t="s">
        <v>1403</v>
      </c>
      <c r="E1936" s="137" t="s">
        <v>44</v>
      </c>
      <c r="F1936" s="138" t="s">
        <v>45</v>
      </c>
      <c r="G1936" s="136"/>
      <c r="H1936" s="136"/>
      <c r="I1936" s="136"/>
      <c r="J1936" s="136"/>
      <c r="K1936" s="136"/>
      <c r="L1936" s="136"/>
      <c r="M1936" s="136">
        <v>3576</v>
      </c>
      <c r="N1936" s="136">
        <v>3393</v>
      </c>
      <c r="O1936" s="136">
        <v>335</v>
      </c>
      <c r="P1936" s="145" t="s">
        <v>252</v>
      </c>
      <c r="Q1936" s="136">
        <v>327</v>
      </c>
      <c r="R1936" s="145" t="s">
        <v>252</v>
      </c>
      <c r="S1936" s="136">
        <v>220</v>
      </c>
      <c r="T1936" s="145" t="s">
        <v>252</v>
      </c>
      <c r="U1936" s="136">
        <v>277</v>
      </c>
      <c r="V1936" s="145" t="s">
        <v>252</v>
      </c>
      <c r="W1936" s="136">
        <v>273</v>
      </c>
      <c r="X1936" s="145" t="s">
        <v>252</v>
      </c>
      <c r="Y1936" s="136">
        <v>308</v>
      </c>
      <c r="Z1936" s="145" t="s">
        <v>252</v>
      </c>
      <c r="AA1936" s="136">
        <v>185</v>
      </c>
      <c r="AB1936" s="145" t="s">
        <v>252</v>
      </c>
      <c r="AC1936" s="136">
        <v>209</v>
      </c>
      <c r="AD1936" s="145" t="s">
        <v>252</v>
      </c>
      <c r="AE1936" s="136">
        <v>265</v>
      </c>
      <c r="AF1936" s="145" t="s">
        <v>252</v>
      </c>
      <c r="AG1936" s="136">
        <v>241</v>
      </c>
      <c r="AH1936" s="145" t="s">
        <v>252</v>
      </c>
      <c r="AI1936" s="136">
        <v>296</v>
      </c>
      <c r="AJ1936" s="145" t="s">
        <v>252</v>
      </c>
      <c r="AK1936" s="136">
        <v>348</v>
      </c>
      <c r="AL1936" s="145" t="s">
        <v>252</v>
      </c>
      <c r="AM1936" s="136">
        <f t="shared" si="2"/>
        <v>3284</v>
      </c>
    </row>
    <row r="1937" spans="2:39" ht="20.25" hidden="1" outlineLevel="1">
      <c r="B1937" s="149" t="s">
        <v>801</v>
      </c>
      <c r="C1937" s="135" t="s">
        <v>1402</v>
      </c>
      <c r="D1937" s="152" t="s">
        <v>1403</v>
      </c>
      <c r="E1937" s="137" t="s">
        <v>44</v>
      </c>
      <c r="F1937" s="138" t="s">
        <v>45</v>
      </c>
      <c r="G1937" s="136"/>
      <c r="H1937" s="136"/>
      <c r="I1937" s="136"/>
      <c r="J1937" s="136"/>
      <c r="K1937" s="136"/>
      <c r="L1937" s="136"/>
      <c r="M1937" s="136">
        <v>7675</v>
      </c>
      <c r="N1937" s="136">
        <v>6294</v>
      </c>
      <c r="O1937" s="136">
        <v>365</v>
      </c>
      <c r="P1937" s="145" t="s">
        <v>252</v>
      </c>
      <c r="Q1937" s="136">
        <v>616</v>
      </c>
      <c r="R1937" s="145" t="s">
        <v>252</v>
      </c>
      <c r="S1937" s="136">
        <v>399</v>
      </c>
      <c r="T1937" s="145" t="s">
        <v>252</v>
      </c>
      <c r="U1937" s="136">
        <v>392</v>
      </c>
      <c r="V1937" s="145" t="s">
        <v>252</v>
      </c>
      <c r="W1937" s="136">
        <v>284</v>
      </c>
      <c r="X1937" s="145" t="s">
        <v>252</v>
      </c>
      <c r="Y1937" s="136">
        <v>282</v>
      </c>
      <c r="Z1937" s="145" t="s">
        <v>252</v>
      </c>
      <c r="AA1937" s="136">
        <v>175</v>
      </c>
      <c r="AB1937" s="145" t="s">
        <v>252</v>
      </c>
      <c r="AC1937" s="136">
        <v>226</v>
      </c>
      <c r="AD1937" s="145" t="s">
        <v>252</v>
      </c>
      <c r="AE1937" s="136">
        <v>325</v>
      </c>
      <c r="AF1937" s="145" t="s">
        <v>252</v>
      </c>
      <c r="AG1937" s="136">
        <v>388</v>
      </c>
      <c r="AH1937" s="145" t="s">
        <v>252</v>
      </c>
      <c r="AI1937" s="136">
        <v>696</v>
      </c>
      <c r="AJ1937" s="145" t="s">
        <v>252</v>
      </c>
      <c r="AK1937" s="136">
        <v>511</v>
      </c>
      <c r="AL1937" s="145" t="s">
        <v>252</v>
      </c>
      <c r="AM1937" s="136">
        <f t="shared" si="2"/>
        <v>4659</v>
      </c>
    </row>
    <row r="1938" spans="2:39" ht="20.25" hidden="1" outlineLevel="1">
      <c r="B1938" s="149" t="s">
        <v>803</v>
      </c>
      <c r="C1938" s="135" t="s">
        <v>1402</v>
      </c>
      <c r="D1938" s="152" t="s">
        <v>1403</v>
      </c>
      <c r="E1938" s="137" t="s">
        <v>44</v>
      </c>
      <c r="F1938" s="144" t="s">
        <v>45</v>
      </c>
      <c r="G1938" s="136"/>
      <c r="H1938" s="136"/>
      <c r="I1938" s="136"/>
      <c r="J1938" s="136"/>
      <c r="K1938" s="136"/>
      <c r="L1938" s="136"/>
      <c r="M1938" s="136">
        <v>2767</v>
      </c>
      <c r="N1938" s="136">
        <v>3396</v>
      </c>
      <c r="O1938" s="136">
        <v>189</v>
      </c>
      <c r="P1938" s="145" t="s">
        <v>252</v>
      </c>
      <c r="Q1938" s="136">
        <v>264</v>
      </c>
      <c r="R1938" s="145" t="s">
        <v>252</v>
      </c>
      <c r="S1938" s="136">
        <v>272</v>
      </c>
      <c r="T1938" s="145" t="s">
        <v>252</v>
      </c>
      <c r="U1938" s="136">
        <v>208</v>
      </c>
      <c r="V1938" s="145" t="s">
        <v>252</v>
      </c>
      <c r="W1938" s="136">
        <v>123</v>
      </c>
      <c r="X1938" s="145" t="s">
        <v>252</v>
      </c>
      <c r="Y1938" s="136">
        <v>113</v>
      </c>
      <c r="Z1938" s="145" t="s">
        <v>252</v>
      </c>
      <c r="AA1938" s="136">
        <v>92</v>
      </c>
      <c r="AB1938" s="145" t="s">
        <v>252</v>
      </c>
      <c r="AC1938" s="136">
        <v>127</v>
      </c>
      <c r="AD1938" s="145" t="s">
        <v>252</v>
      </c>
      <c r="AE1938" s="136">
        <v>88</v>
      </c>
      <c r="AF1938" s="145" t="s">
        <v>252</v>
      </c>
      <c r="AG1938" s="136">
        <v>76</v>
      </c>
      <c r="AH1938" s="145" t="s">
        <v>252</v>
      </c>
      <c r="AI1938" s="136">
        <v>164</v>
      </c>
      <c r="AJ1938" s="145" t="s">
        <v>252</v>
      </c>
      <c r="AK1938" s="136">
        <v>134</v>
      </c>
      <c r="AL1938" s="145" t="s">
        <v>252</v>
      </c>
      <c r="AM1938" s="136">
        <f t="shared" si="2"/>
        <v>1850</v>
      </c>
    </row>
    <row r="1939" spans="2:39" ht="20.25" hidden="1" outlineLevel="1">
      <c r="B1939" s="149" t="s">
        <v>804</v>
      </c>
      <c r="C1939" s="135" t="s">
        <v>1402</v>
      </c>
      <c r="D1939" s="152" t="s">
        <v>1403</v>
      </c>
      <c r="E1939" s="137" t="s">
        <v>44</v>
      </c>
      <c r="F1939" s="144" t="s">
        <v>45</v>
      </c>
      <c r="G1939" s="136"/>
      <c r="H1939" s="136"/>
      <c r="I1939" s="136"/>
      <c r="J1939" s="136"/>
      <c r="K1939" s="136"/>
      <c r="L1939" s="136"/>
      <c r="M1939" s="136">
        <v>8369</v>
      </c>
      <c r="N1939" s="136">
        <v>7931</v>
      </c>
      <c r="O1939" s="136">
        <v>920</v>
      </c>
      <c r="P1939" s="145" t="s">
        <v>252</v>
      </c>
      <c r="Q1939" s="136">
        <v>826</v>
      </c>
      <c r="R1939" s="145" t="s">
        <v>252</v>
      </c>
      <c r="S1939" s="136">
        <v>651</v>
      </c>
      <c r="T1939" s="145" t="s">
        <v>252</v>
      </c>
      <c r="U1939" s="136">
        <v>832</v>
      </c>
      <c r="V1939" s="145" t="s">
        <v>252</v>
      </c>
      <c r="W1939" s="136">
        <v>413</v>
      </c>
      <c r="X1939" s="145" t="s">
        <v>252</v>
      </c>
      <c r="Y1939" s="136">
        <v>429</v>
      </c>
      <c r="Z1939" s="145" t="s">
        <v>252</v>
      </c>
      <c r="AA1939" s="136">
        <v>269</v>
      </c>
      <c r="AB1939" s="145" t="s">
        <v>252</v>
      </c>
      <c r="AC1939" s="136">
        <v>269</v>
      </c>
      <c r="AD1939" s="145" t="s">
        <v>252</v>
      </c>
      <c r="AE1939" s="136">
        <v>230</v>
      </c>
      <c r="AF1939" s="145" t="s">
        <v>252</v>
      </c>
      <c r="AG1939" s="136">
        <v>261</v>
      </c>
      <c r="AH1939" s="145" t="s">
        <v>252</v>
      </c>
      <c r="AI1939" s="136">
        <v>645</v>
      </c>
      <c r="AJ1939" s="145" t="s">
        <v>252</v>
      </c>
      <c r="AK1939" s="136">
        <v>236</v>
      </c>
      <c r="AL1939" s="145" t="s">
        <v>252</v>
      </c>
      <c r="AM1939" s="136">
        <f>O1939+Q1939+S1939+U1939+W1939+Y1939+AA1939+AC1939+AE1939+AG1939+AI1939+AK1939</f>
        <v>5981</v>
      </c>
    </row>
    <row r="1940" spans="2:39" ht="20.25" hidden="1" outlineLevel="1">
      <c r="B1940" s="149" t="s">
        <v>805</v>
      </c>
      <c r="C1940" s="135" t="s">
        <v>1402</v>
      </c>
      <c r="D1940" s="152" t="s">
        <v>1406</v>
      </c>
      <c r="E1940" s="137" t="s">
        <v>44</v>
      </c>
      <c r="F1940" s="138" t="s">
        <v>45</v>
      </c>
      <c r="G1940" s="136"/>
      <c r="H1940" s="136"/>
      <c r="I1940" s="136"/>
      <c r="J1940" s="136"/>
      <c r="K1940" s="136"/>
      <c r="L1940" s="136"/>
      <c r="M1940" s="136">
        <v>3670</v>
      </c>
      <c r="N1940" s="136">
        <v>3495</v>
      </c>
      <c r="O1940" s="136">
        <v>348</v>
      </c>
      <c r="P1940" s="145" t="s">
        <v>252</v>
      </c>
      <c r="Q1940" s="136">
        <v>430</v>
      </c>
      <c r="R1940" s="145" t="s">
        <v>252</v>
      </c>
      <c r="S1940" s="136">
        <v>336</v>
      </c>
      <c r="T1940" s="145" t="s">
        <v>252</v>
      </c>
      <c r="U1940" s="136">
        <v>301</v>
      </c>
      <c r="V1940" s="145" t="s">
        <v>252</v>
      </c>
      <c r="W1940" s="136">
        <v>261</v>
      </c>
      <c r="X1940" s="145" t="s">
        <v>252</v>
      </c>
      <c r="Y1940" s="136">
        <v>327</v>
      </c>
      <c r="Z1940" s="145" t="s">
        <v>252</v>
      </c>
      <c r="AA1940" s="136">
        <v>282</v>
      </c>
      <c r="AB1940" s="145" t="s">
        <v>252</v>
      </c>
      <c r="AC1940" s="136">
        <v>276</v>
      </c>
      <c r="AD1940" s="145" t="s">
        <v>252</v>
      </c>
      <c r="AE1940" s="136">
        <v>367</v>
      </c>
      <c r="AF1940" s="145" t="s">
        <v>252</v>
      </c>
      <c r="AG1940" s="136">
        <v>223</v>
      </c>
      <c r="AH1940" s="145" t="s">
        <v>252</v>
      </c>
      <c r="AI1940" s="136">
        <v>497</v>
      </c>
      <c r="AJ1940" s="145" t="s">
        <v>252</v>
      </c>
      <c r="AK1940" s="136">
        <v>336</v>
      </c>
      <c r="AL1940" s="145" t="s">
        <v>252</v>
      </c>
      <c r="AM1940" s="136">
        <f t="shared" si="2"/>
        <v>3984</v>
      </c>
    </row>
    <row r="1941" spans="2:39" ht="20.25" hidden="1" outlineLevel="1">
      <c r="B1941" s="149" t="s">
        <v>806</v>
      </c>
      <c r="C1941" s="135"/>
      <c r="D1941" s="152"/>
      <c r="E1941" s="137" t="s">
        <v>44</v>
      </c>
      <c r="F1941" s="138" t="s">
        <v>45</v>
      </c>
      <c r="G1941" s="136"/>
      <c r="H1941" s="136"/>
      <c r="I1941" s="136"/>
      <c r="J1941" s="136"/>
      <c r="K1941" s="136"/>
      <c r="L1941" s="136"/>
      <c r="M1941" s="136"/>
      <c r="N1941" s="136"/>
      <c r="O1941" s="136"/>
      <c r="P1941" s="145"/>
      <c r="Q1941" s="136"/>
      <c r="R1941" s="145"/>
      <c r="S1941" s="136"/>
      <c r="T1941" s="145"/>
      <c r="U1941" s="136"/>
      <c r="V1941" s="145"/>
      <c r="W1941" s="136"/>
      <c r="X1941" s="145"/>
      <c r="Y1941" s="136"/>
      <c r="Z1941" s="145"/>
      <c r="AA1941" s="136"/>
      <c r="AB1941" s="145"/>
      <c r="AC1941" s="136"/>
      <c r="AD1941" s="145"/>
      <c r="AE1941" s="136"/>
      <c r="AF1941" s="145"/>
      <c r="AG1941" s="136"/>
      <c r="AH1941" s="145"/>
      <c r="AI1941" s="136"/>
      <c r="AJ1941" s="145"/>
      <c r="AK1941" s="136"/>
      <c r="AL1941" s="145"/>
      <c r="AM1941" s="136"/>
    </row>
    <row r="1942" spans="2:39" ht="20.25" hidden="1" outlineLevel="1">
      <c r="B1942" s="149" t="s">
        <v>807</v>
      </c>
      <c r="C1942" s="135"/>
      <c r="D1942" s="152"/>
      <c r="E1942" s="137" t="s">
        <v>44</v>
      </c>
      <c r="F1942" s="138" t="s">
        <v>45</v>
      </c>
      <c r="G1942" s="136"/>
      <c r="H1942" s="136"/>
      <c r="I1942" s="136"/>
      <c r="J1942" s="136"/>
      <c r="K1942" s="136"/>
      <c r="L1942" s="136"/>
      <c r="M1942" s="142"/>
      <c r="N1942" s="136"/>
      <c r="O1942" s="136"/>
      <c r="P1942" s="145"/>
      <c r="Q1942" s="136"/>
      <c r="R1942" s="145"/>
      <c r="S1942" s="136"/>
      <c r="T1942" s="145"/>
      <c r="U1942" s="136"/>
      <c r="V1942" s="145"/>
      <c r="W1942" s="136"/>
      <c r="X1942" s="145"/>
      <c r="Y1942" s="136"/>
      <c r="Z1942" s="145"/>
      <c r="AA1942" s="136"/>
      <c r="AB1942" s="145"/>
      <c r="AC1942" s="136"/>
      <c r="AD1942" s="145"/>
      <c r="AE1942" s="136"/>
      <c r="AF1942" s="145"/>
      <c r="AG1942" s="136"/>
      <c r="AH1942" s="145"/>
      <c r="AI1942" s="136"/>
      <c r="AJ1942" s="145"/>
      <c r="AK1942" s="136"/>
      <c r="AL1942" s="145"/>
      <c r="AM1942" s="136"/>
    </row>
    <row r="1943" spans="2:39" ht="20.25" hidden="1" outlineLevel="1">
      <c r="B1943" s="149" t="s">
        <v>808</v>
      </c>
      <c r="C1943" s="135" t="s">
        <v>1402</v>
      </c>
      <c r="D1943" s="152" t="s">
        <v>1403</v>
      </c>
      <c r="E1943" s="137" t="s">
        <v>44</v>
      </c>
      <c r="F1943" s="138" t="s">
        <v>45</v>
      </c>
      <c r="G1943" s="136"/>
      <c r="H1943" s="136"/>
      <c r="I1943" s="136"/>
      <c r="J1943" s="136"/>
      <c r="K1943" s="136"/>
      <c r="L1943" s="136"/>
      <c r="M1943" s="136">
        <v>10100</v>
      </c>
      <c r="N1943" s="136">
        <v>10350</v>
      </c>
      <c r="O1943" s="136">
        <v>944</v>
      </c>
      <c r="P1943" s="145" t="s">
        <v>252</v>
      </c>
      <c r="Q1943" s="136">
        <v>1028</v>
      </c>
      <c r="R1943" s="145" t="s">
        <v>252</v>
      </c>
      <c r="S1943" s="136">
        <v>746</v>
      </c>
      <c r="T1943" s="145" t="s">
        <v>252</v>
      </c>
      <c r="U1943" s="136">
        <v>787</v>
      </c>
      <c r="V1943" s="145" t="s">
        <v>252</v>
      </c>
      <c r="W1943" s="136">
        <v>718</v>
      </c>
      <c r="X1943" s="145" t="s">
        <v>252</v>
      </c>
      <c r="Y1943" s="136">
        <v>741</v>
      </c>
      <c r="Z1943" s="145" t="s">
        <v>252</v>
      </c>
      <c r="AA1943" s="136">
        <v>546</v>
      </c>
      <c r="AB1943" s="145" t="s">
        <v>252</v>
      </c>
      <c r="AC1943" s="136">
        <v>613</v>
      </c>
      <c r="AD1943" s="145" t="s">
        <v>252</v>
      </c>
      <c r="AE1943" s="136">
        <v>1172</v>
      </c>
      <c r="AF1943" s="145" t="s">
        <v>252</v>
      </c>
      <c r="AG1943" s="136">
        <v>335</v>
      </c>
      <c r="AH1943" s="145" t="s">
        <v>252</v>
      </c>
      <c r="AI1943" s="136">
        <v>1160</v>
      </c>
      <c r="AJ1943" s="145" t="s">
        <v>252</v>
      </c>
      <c r="AK1943" s="136">
        <v>1087</v>
      </c>
      <c r="AL1943" s="145" t="s">
        <v>252</v>
      </c>
      <c r="AM1943" s="136">
        <f t="shared" ref="AM1943:AM1979" si="3">O1943+Q1943+S1943+U1943+W1943+Y1943+AA1943+AC1943+AE1943+AG1943+AI1943+AK1943</f>
        <v>9877</v>
      </c>
    </row>
    <row r="1944" spans="2:39" ht="20.25" hidden="1" outlineLevel="1">
      <c r="B1944" s="149" t="s">
        <v>809</v>
      </c>
      <c r="C1944" s="135" t="s">
        <v>1402</v>
      </c>
      <c r="D1944" s="152" t="s">
        <v>1403</v>
      </c>
      <c r="E1944" s="137" t="s">
        <v>44</v>
      </c>
      <c r="F1944" s="138" t="s">
        <v>45</v>
      </c>
      <c r="G1944" s="136"/>
      <c r="H1944" s="136"/>
      <c r="I1944" s="136"/>
      <c r="J1944" s="136"/>
      <c r="K1944" s="136"/>
      <c r="L1944" s="136"/>
      <c r="M1944" s="136">
        <v>5952</v>
      </c>
      <c r="N1944" s="136">
        <v>5790</v>
      </c>
      <c r="O1944" s="136">
        <v>600</v>
      </c>
      <c r="P1944" s="136" t="s">
        <v>252</v>
      </c>
      <c r="Q1944" s="136">
        <v>675</v>
      </c>
      <c r="R1944" s="136" t="s">
        <v>252</v>
      </c>
      <c r="S1944" s="136">
        <v>535</v>
      </c>
      <c r="T1944" s="136" t="s">
        <v>252</v>
      </c>
      <c r="U1944" s="136">
        <v>560</v>
      </c>
      <c r="V1944" s="136" t="s">
        <v>252</v>
      </c>
      <c r="W1944" s="136">
        <v>356</v>
      </c>
      <c r="X1944" s="136" t="s">
        <v>252</v>
      </c>
      <c r="Y1944" s="136">
        <v>371</v>
      </c>
      <c r="Z1944" s="136" t="s">
        <v>252</v>
      </c>
      <c r="AA1944" s="136">
        <v>310</v>
      </c>
      <c r="AB1944" s="136" t="s">
        <v>252</v>
      </c>
      <c r="AC1944" s="136">
        <v>394</v>
      </c>
      <c r="AD1944" s="136" t="s">
        <v>252</v>
      </c>
      <c r="AE1944" s="136">
        <v>545</v>
      </c>
      <c r="AF1944" s="136" t="s">
        <v>252</v>
      </c>
      <c r="AG1944" s="136">
        <v>442</v>
      </c>
      <c r="AH1944" s="136" t="s">
        <v>252</v>
      </c>
      <c r="AI1944" s="136">
        <v>909</v>
      </c>
      <c r="AJ1944" s="136" t="s">
        <v>252</v>
      </c>
      <c r="AK1944" s="136">
        <v>878</v>
      </c>
      <c r="AL1944" s="136" t="s">
        <v>252</v>
      </c>
      <c r="AM1944" s="136">
        <f t="shared" si="3"/>
        <v>6575</v>
      </c>
    </row>
    <row r="1945" spans="2:39" ht="20.25" hidden="1" outlineLevel="1">
      <c r="B1945" s="149" t="s">
        <v>810</v>
      </c>
      <c r="C1945" s="135" t="s">
        <v>1402</v>
      </c>
      <c r="D1945" s="152" t="s">
        <v>1403</v>
      </c>
      <c r="E1945" s="137" t="s">
        <v>44</v>
      </c>
      <c r="F1945" s="138" t="s">
        <v>45</v>
      </c>
      <c r="G1945" s="136"/>
      <c r="H1945" s="136"/>
      <c r="I1945" s="136"/>
      <c r="J1945" s="136"/>
      <c r="K1945" s="136"/>
      <c r="L1945" s="136"/>
      <c r="M1945" s="419">
        <v>15057</v>
      </c>
      <c r="N1945" s="419">
        <v>11656</v>
      </c>
      <c r="O1945" s="419">
        <v>1004</v>
      </c>
      <c r="P1945" s="419" t="s">
        <v>252</v>
      </c>
      <c r="Q1945" s="419">
        <v>1019</v>
      </c>
      <c r="R1945" s="419" t="s">
        <v>252</v>
      </c>
      <c r="S1945" s="419">
        <v>881</v>
      </c>
      <c r="T1945" s="419" t="s">
        <v>252</v>
      </c>
      <c r="U1945" s="419">
        <v>1259</v>
      </c>
      <c r="V1945" s="419" t="s">
        <v>252</v>
      </c>
      <c r="W1945" s="419">
        <v>619</v>
      </c>
      <c r="X1945" s="419" t="s">
        <v>252</v>
      </c>
      <c r="Y1945" s="419">
        <v>751</v>
      </c>
      <c r="Z1945" s="419" t="s">
        <v>252</v>
      </c>
      <c r="AA1945" s="419">
        <v>530</v>
      </c>
      <c r="AB1945" s="419" t="s">
        <v>252</v>
      </c>
      <c r="AC1945" s="419">
        <v>729</v>
      </c>
      <c r="AD1945" s="419" t="s">
        <v>252</v>
      </c>
      <c r="AE1945" s="419">
        <v>847</v>
      </c>
      <c r="AF1945" s="419" t="s">
        <v>252</v>
      </c>
      <c r="AG1945" s="419">
        <v>738</v>
      </c>
      <c r="AH1945" s="419" t="s">
        <v>252</v>
      </c>
      <c r="AI1945" s="419">
        <v>1273</v>
      </c>
      <c r="AJ1945" s="419" t="s">
        <v>252</v>
      </c>
      <c r="AK1945" s="419">
        <v>1135</v>
      </c>
      <c r="AL1945" s="419" t="s">
        <v>252</v>
      </c>
      <c r="AM1945" s="417">
        <f t="shared" si="3"/>
        <v>10785</v>
      </c>
    </row>
    <row r="1946" spans="2:39" ht="20.25" hidden="1" outlineLevel="1">
      <c r="B1946" s="149" t="s">
        <v>811</v>
      </c>
      <c r="C1946" s="135" t="s">
        <v>1402</v>
      </c>
      <c r="D1946" s="152" t="s">
        <v>1403</v>
      </c>
      <c r="E1946" s="137" t="s">
        <v>44</v>
      </c>
      <c r="F1946" s="144" t="s">
        <v>45</v>
      </c>
      <c r="G1946" s="136"/>
      <c r="H1946" s="136"/>
      <c r="I1946" s="136"/>
      <c r="J1946" s="136"/>
      <c r="K1946" s="136"/>
      <c r="L1946" s="136"/>
      <c r="M1946" s="431"/>
      <c r="N1946" s="431"/>
      <c r="O1946" s="431"/>
      <c r="P1946" s="431"/>
      <c r="Q1946" s="431"/>
      <c r="R1946" s="431"/>
      <c r="S1946" s="431"/>
      <c r="T1946" s="431"/>
      <c r="U1946" s="431"/>
      <c r="V1946" s="431"/>
      <c r="W1946" s="431"/>
      <c r="X1946" s="431"/>
      <c r="Y1946" s="431"/>
      <c r="Z1946" s="431"/>
      <c r="AA1946" s="431"/>
      <c r="AB1946" s="431"/>
      <c r="AC1946" s="431"/>
      <c r="AD1946" s="431"/>
      <c r="AE1946" s="431"/>
      <c r="AF1946" s="431"/>
      <c r="AG1946" s="431"/>
      <c r="AH1946" s="431"/>
      <c r="AI1946" s="431"/>
      <c r="AJ1946" s="431"/>
      <c r="AK1946" s="431"/>
      <c r="AL1946" s="431"/>
      <c r="AM1946" s="432"/>
    </row>
    <row r="1947" spans="2:39" ht="20.25" hidden="1" outlineLevel="1">
      <c r="B1947" s="149" t="s">
        <v>813</v>
      </c>
      <c r="C1947" s="135" t="s">
        <v>1402</v>
      </c>
      <c r="D1947" s="152" t="s">
        <v>1403</v>
      </c>
      <c r="E1947" s="137" t="s">
        <v>44</v>
      </c>
      <c r="F1947" s="144" t="s">
        <v>45</v>
      </c>
      <c r="G1947" s="136"/>
      <c r="H1947" s="136"/>
      <c r="I1947" s="136"/>
      <c r="J1947" s="136"/>
      <c r="K1947" s="136"/>
      <c r="L1947" s="136"/>
      <c r="M1947" s="420"/>
      <c r="N1947" s="420"/>
      <c r="O1947" s="420"/>
      <c r="P1947" s="420"/>
      <c r="Q1947" s="420"/>
      <c r="R1947" s="420"/>
      <c r="S1947" s="420"/>
      <c r="T1947" s="420"/>
      <c r="U1947" s="420"/>
      <c r="V1947" s="420"/>
      <c r="W1947" s="420"/>
      <c r="X1947" s="420"/>
      <c r="Y1947" s="420"/>
      <c r="Z1947" s="420"/>
      <c r="AA1947" s="420"/>
      <c r="AB1947" s="420"/>
      <c r="AC1947" s="420"/>
      <c r="AD1947" s="420"/>
      <c r="AE1947" s="420"/>
      <c r="AF1947" s="420"/>
      <c r="AG1947" s="420"/>
      <c r="AH1947" s="420"/>
      <c r="AI1947" s="420"/>
      <c r="AJ1947" s="420"/>
      <c r="AK1947" s="420"/>
      <c r="AL1947" s="420"/>
      <c r="AM1947" s="418"/>
    </row>
    <row r="1948" spans="2:39" ht="20.25" hidden="1" outlineLevel="1">
      <c r="B1948" s="149" t="s">
        <v>814</v>
      </c>
      <c r="C1948" s="135" t="s">
        <v>1402</v>
      </c>
      <c r="D1948" s="152" t="s">
        <v>1403</v>
      </c>
      <c r="E1948" s="137" t="s">
        <v>44</v>
      </c>
      <c r="F1948" s="138" t="s">
        <v>45</v>
      </c>
      <c r="G1948" s="136"/>
      <c r="H1948" s="136"/>
      <c r="I1948" s="136"/>
      <c r="J1948" s="136"/>
      <c r="K1948" s="136"/>
      <c r="L1948" s="136"/>
      <c r="M1948" s="136">
        <v>8998</v>
      </c>
      <c r="N1948" s="136">
        <v>9433</v>
      </c>
      <c r="O1948" s="136">
        <v>808</v>
      </c>
      <c r="P1948" s="136" t="s">
        <v>252</v>
      </c>
      <c r="Q1948" s="136">
        <v>705</v>
      </c>
      <c r="R1948" s="136" t="s">
        <v>252</v>
      </c>
      <c r="S1948" s="136">
        <v>527</v>
      </c>
      <c r="T1948" s="136" t="s">
        <v>252</v>
      </c>
      <c r="U1948" s="136">
        <v>602</v>
      </c>
      <c r="V1948" s="136" t="s">
        <v>252</v>
      </c>
      <c r="W1948" s="136">
        <v>558</v>
      </c>
      <c r="X1948" s="136" t="s">
        <v>252</v>
      </c>
      <c r="Y1948" s="136">
        <v>837</v>
      </c>
      <c r="Z1948" s="136" t="s">
        <v>252</v>
      </c>
      <c r="AA1948" s="136">
        <v>556</v>
      </c>
      <c r="AB1948" s="136" t="s">
        <v>252</v>
      </c>
      <c r="AC1948" s="136">
        <v>503</v>
      </c>
      <c r="AD1948" s="136" t="s">
        <v>252</v>
      </c>
      <c r="AE1948" s="136">
        <v>806</v>
      </c>
      <c r="AF1948" s="136" t="s">
        <v>252</v>
      </c>
      <c r="AG1948" s="136">
        <v>551</v>
      </c>
      <c r="AH1948" s="136" t="s">
        <v>252</v>
      </c>
      <c r="AI1948" s="136">
        <v>1167</v>
      </c>
      <c r="AJ1948" s="136" t="s">
        <v>252</v>
      </c>
      <c r="AK1948" s="136">
        <v>1063</v>
      </c>
      <c r="AL1948" s="136" t="s">
        <v>252</v>
      </c>
      <c r="AM1948" s="136">
        <f t="shared" si="3"/>
        <v>8683</v>
      </c>
    </row>
    <row r="1949" spans="2:39" ht="20.25" hidden="1" outlineLevel="1">
      <c r="B1949" s="149" t="s">
        <v>816</v>
      </c>
      <c r="C1949" s="135" t="s">
        <v>1402</v>
      </c>
      <c r="D1949" s="152" t="s">
        <v>1403</v>
      </c>
      <c r="E1949" s="137" t="s">
        <v>44</v>
      </c>
      <c r="F1949" s="138" t="s">
        <v>45</v>
      </c>
      <c r="G1949" s="136"/>
      <c r="H1949" s="136"/>
      <c r="I1949" s="136"/>
      <c r="J1949" s="136"/>
      <c r="K1949" s="136"/>
      <c r="L1949" s="136"/>
      <c r="M1949" s="136">
        <v>7234</v>
      </c>
      <c r="N1949" s="136">
        <v>6879</v>
      </c>
      <c r="O1949" s="136">
        <v>570</v>
      </c>
      <c r="P1949" s="136" t="s">
        <v>252</v>
      </c>
      <c r="Q1949" s="136">
        <v>598</v>
      </c>
      <c r="R1949" s="136" t="s">
        <v>252</v>
      </c>
      <c r="S1949" s="136">
        <v>448</v>
      </c>
      <c r="T1949" s="136" t="s">
        <v>252</v>
      </c>
      <c r="U1949" s="136">
        <v>512</v>
      </c>
      <c r="V1949" s="136" t="s">
        <v>252</v>
      </c>
      <c r="W1949" s="136">
        <v>466</v>
      </c>
      <c r="X1949" s="136" t="s">
        <v>252</v>
      </c>
      <c r="Y1949" s="136">
        <v>451</v>
      </c>
      <c r="Z1949" s="136" t="s">
        <v>252</v>
      </c>
      <c r="AA1949" s="136">
        <v>369</v>
      </c>
      <c r="AB1949" s="136" t="s">
        <v>252</v>
      </c>
      <c r="AC1949" s="136">
        <v>405</v>
      </c>
      <c r="AD1949" s="136" t="s">
        <v>252</v>
      </c>
      <c r="AE1949" s="136">
        <v>527</v>
      </c>
      <c r="AF1949" s="136" t="s">
        <v>252</v>
      </c>
      <c r="AG1949" s="136">
        <v>349</v>
      </c>
      <c r="AH1949" s="136" t="s">
        <v>252</v>
      </c>
      <c r="AI1949" s="136">
        <v>816</v>
      </c>
      <c r="AJ1949" s="136" t="s">
        <v>252</v>
      </c>
      <c r="AK1949" s="136">
        <v>646</v>
      </c>
      <c r="AL1949" s="136" t="s">
        <v>252</v>
      </c>
      <c r="AM1949" s="136">
        <f t="shared" si="3"/>
        <v>6157</v>
      </c>
    </row>
    <row r="1950" spans="2:39" ht="20.25" hidden="1" outlineLevel="1">
      <c r="B1950" s="149" t="s">
        <v>817</v>
      </c>
      <c r="C1950" s="135" t="s">
        <v>1402</v>
      </c>
      <c r="D1950" s="152" t="s">
        <v>1403</v>
      </c>
      <c r="E1950" s="137" t="s">
        <v>44</v>
      </c>
      <c r="F1950" s="138" t="s">
        <v>45</v>
      </c>
      <c r="G1950" s="136"/>
      <c r="H1950" s="136"/>
      <c r="I1950" s="136"/>
      <c r="J1950" s="136"/>
      <c r="K1950" s="136"/>
      <c r="L1950" s="136"/>
      <c r="M1950" s="136">
        <v>3188</v>
      </c>
      <c r="N1950" s="136">
        <v>2670</v>
      </c>
      <c r="O1950" s="136">
        <v>244</v>
      </c>
      <c r="P1950" s="136" t="s">
        <v>252</v>
      </c>
      <c r="Q1950" s="136">
        <v>239</v>
      </c>
      <c r="R1950" s="136" t="s">
        <v>252</v>
      </c>
      <c r="S1950" s="136">
        <v>177</v>
      </c>
      <c r="T1950" s="136" t="s">
        <v>252</v>
      </c>
      <c r="U1950" s="136">
        <v>158</v>
      </c>
      <c r="V1950" s="136" t="s">
        <v>252</v>
      </c>
      <c r="W1950" s="136">
        <v>148</v>
      </c>
      <c r="X1950" s="136" t="s">
        <v>252</v>
      </c>
      <c r="Y1950" s="136">
        <v>156</v>
      </c>
      <c r="Z1950" s="136" t="s">
        <v>252</v>
      </c>
      <c r="AA1950" s="136">
        <v>124</v>
      </c>
      <c r="AB1950" s="136" t="s">
        <v>252</v>
      </c>
      <c r="AC1950" s="136">
        <v>133</v>
      </c>
      <c r="AD1950" s="136" t="s">
        <v>252</v>
      </c>
      <c r="AE1950" s="136">
        <v>176</v>
      </c>
      <c r="AF1950" s="136" t="s">
        <v>252</v>
      </c>
      <c r="AG1950" s="136">
        <v>134</v>
      </c>
      <c r="AH1950" s="136" t="s">
        <v>252</v>
      </c>
      <c r="AI1950" s="136">
        <v>259</v>
      </c>
      <c r="AJ1950" s="136" t="s">
        <v>252</v>
      </c>
      <c r="AK1950" s="136">
        <v>251</v>
      </c>
      <c r="AL1950" s="136" t="s">
        <v>252</v>
      </c>
      <c r="AM1950" s="136">
        <f t="shared" si="3"/>
        <v>2199</v>
      </c>
    </row>
    <row r="1951" spans="2:39" ht="20.25" hidden="1" outlineLevel="1">
      <c r="B1951" s="149" t="s">
        <v>818</v>
      </c>
      <c r="C1951" s="135" t="s">
        <v>1402</v>
      </c>
      <c r="D1951" s="152" t="s">
        <v>1403</v>
      </c>
      <c r="E1951" s="137" t="s">
        <v>44</v>
      </c>
      <c r="F1951" s="138" t="s">
        <v>45</v>
      </c>
      <c r="G1951" s="136"/>
      <c r="H1951" s="136"/>
      <c r="I1951" s="136"/>
      <c r="J1951" s="136"/>
      <c r="K1951" s="136"/>
      <c r="L1951" s="136"/>
      <c r="M1951" s="136">
        <v>4013</v>
      </c>
      <c r="N1951" s="136">
        <v>3216</v>
      </c>
      <c r="O1951" s="136">
        <v>302</v>
      </c>
      <c r="P1951" s="136" t="s">
        <v>259</v>
      </c>
      <c r="Q1951" s="136">
        <v>281</v>
      </c>
      <c r="R1951" s="136" t="s">
        <v>259</v>
      </c>
      <c r="S1951" s="136">
        <v>188</v>
      </c>
      <c r="T1951" s="136" t="s">
        <v>259</v>
      </c>
      <c r="U1951" s="136">
        <v>213</v>
      </c>
      <c r="V1951" s="136" t="s">
        <v>259</v>
      </c>
      <c r="W1951" s="136">
        <v>227</v>
      </c>
      <c r="X1951" s="136" t="s">
        <v>259</v>
      </c>
      <c r="Y1951" s="136">
        <v>229</v>
      </c>
      <c r="Z1951" s="136" t="s">
        <v>259</v>
      </c>
      <c r="AA1951" s="136">
        <v>184</v>
      </c>
      <c r="AB1951" s="136" t="s">
        <v>259</v>
      </c>
      <c r="AC1951" s="136">
        <v>207</v>
      </c>
      <c r="AD1951" s="136" t="s">
        <v>259</v>
      </c>
      <c r="AE1951" s="136">
        <v>284</v>
      </c>
      <c r="AF1951" s="136" t="s">
        <v>259</v>
      </c>
      <c r="AG1951" s="136">
        <v>201</v>
      </c>
      <c r="AH1951" s="136" t="s">
        <v>259</v>
      </c>
      <c r="AI1951" s="136">
        <v>422</v>
      </c>
      <c r="AJ1951" s="136" t="s">
        <v>259</v>
      </c>
      <c r="AK1951" s="136">
        <v>333</v>
      </c>
      <c r="AL1951" s="136" t="s">
        <v>259</v>
      </c>
      <c r="AM1951" s="136">
        <f t="shared" si="3"/>
        <v>3071</v>
      </c>
    </row>
    <row r="1952" spans="2:39" ht="20.25" hidden="1" outlineLevel="1">
      <c r="B1952" s="149" t="s">
        <v>819</v>
      </c>
      <c r="C1952" s="135" t="s">
        <v>1402</v>
      </c>
      <c r="D1952" s="152" t="s">
        <v>1403</v>
      </c>
      <c r="E1952" s="137" t="s">
        <v>44</v>
      </c>
      <c r="F1952" s="138" t="s">
        <v>45</v>
      </c>
      <c r="G1952" s="136"/>
      <c r="H1952" s="136"/>
      <c r="I1952" s="136"/>
      <c r="J1952" s="136"/>
      <c r="K1952" s="136"/>
      <c r="L1952" s="136"/>
      <c r="M1952" s="136">
        <v>2675</v>
      </c>
      <c r="N1952" s="136">
        <v>1820</v>
      </c>
      <c r="O1952" s="136">
        <v>201</v>
      </c>
      <c r="P1952" s="136" t="s">
        <v>259</v>
      </c>
      <c r="Q1952" s="136">
        <v>154</v>
      </c>
      <c r="R1952" s="136" t="s">
        <v>259</v>
      </c>
      <c r="S1952" s="136">
        <v>102</v>
      </c>
      <c r="T1952" s="136" t="s">
        <v>259</v>
      </c>
      <c r="U1952" s="136">
        <v>142</v>
      </c>
      <c r="V1952" s="136" t="s">
        <v>259</v>
      </c>
      <c r="W1952" s="136">
        <v>151</v>
      </c>
      <c r="X1952" s="136" t="s">
        <v>259</v>
      </c>
      <c r="Y1952" s="136">
        <v>152</v>
      </c>
      <c r="Z1952" s="136" t="s">
        <v>259</v>
      </c>
      <c r="AA1952" s="136">
        <v>124</v>
      </c>
      <c r="AB1952" s="136" t="s">
        <v>259</v>
      </c>
      <c r="AC1952" s="136">
        <v>169</v>
      </c>
      <c r="AD1952" s="136" t="s">
        <v>259</v>
      </c>
      <c r="AE1952" s="136">
        <v>233</v>
      </c>
      <c r="AF1952" s="136" t="s">
        <v>259</v>
      </c>
      <c r="AG1952" s="136">
        <v>165</v>
      </c>
      <c r="AH1952" s="136" t="s">
        <v>259</v>
      </c>
      <c r="AI1952" s="136">
        <v>345</v>
      </c>
      <c r="AJ1952" s="136" t="s">
        <v>259</v>
      </c>
      <c r="AK1952" s="136">
        <v>271</v>
      </c>
      <c r="AL1952" s="136" t="s">
        <v>259</v>
      </c>
      <c r="AM1952" s="136">
        <f t="shared" si="3"/>
        <v>2209</v>
      </c>
    </row>
    <row r="1953" spans="2:39" ht="20.25" hidden="1" outlineLevel="1">
      <c r="B1953" s="149" t="s">
        <v>821</v>
      </c>
      <c r="C1953" s="135" t="s">
        <v>1402</v>
      </c>
      <c r="D1953" s="152" t="s">
        <v>1403</v>
      </c>
      <c r="E1953" s="137" t="s">
        <v>44</v>
      </c>
      <c r="F1953" s="138" t="s">
        <v>45</v>
      </c>
      <c r="G1953" s="136"/>
      <c r="H1953" s="136"/>
      <c r="I1953" s="136"/>
      <c r="J1953" s="136"/>
      <c r="K1953" s="136"/>
      <c r="L1953" s="136"/>
      <c r="M1953" s="136">
        <v>1032</v>
      </c>
      <c r="N1953" s="136">
        <v>999</v>
      </c>
      <c r="O1953" s="136">
        <v>94</v>
      </c>
      <c r="P1953" s="136" t="s">
        <v>252</v>
      </c>
      <c r="Q1953" s="136">
        <v>73</v>
      </c>
      <c r="R1953" s="136" t="s">
        <v>252</v>
      </c>
      <c r="S1953" s="136">
        <v>59</v>
      </c>
      <c r="T1953" s="136" t="s">
        <v>252</v>
      </c>
      <c r="U1953" s="136">
        <v>84</v>
      </c>
      <c r="V1953" s="136" t="s">
        <v>252</v>
      </c>
      <c r="W1953" s="136">
        <v>84</v>
      </c>
      <c r="X1953" s="136" t="s">
        <v>252</v>
      </c>
      <c r="Y1953" s="136">
        <v>97</v>
      </c>
      <c r="Z1953" s="136" t="s">
        <v>252</v>
      </c>
      <c r="AA1953" s="136">
        <v>79</v>
      </c>
      <c r="AB1953" s="136" t="s">
        <v>252</v>
      </c>
      <c r="AC1953" s="136">
        <v>86</v>
      </c>
      <c r="AD1953" s="136" t="s">
        <v>252</v>
      </c>
      <c r="AE1953" s="136">
        <v>93</v>
      </c>
      <c r="AF1953" s="136" t="s">
        <v>252</v>
      </c>
      <c r="AG1953" s="136">
        <v>83</v>
      </c>
      <c r="AH1953" s="136" t="s">
        <v>252</v>
      </c>
      <c r="AI1953" s="136">
        <v>123</v>
      </c>
      <c r="AJ1953" s="136" t="s">
        <v>252</v>
      </c>
      <c r="AK1953" s="136">
        <v>87</v>
      </c>
      <c r="AL1953" s="136" t="s">
        <v>252</v>
      </c>
      <c r="AM1953" s="136">
        <f t="shared" si="3"/>
        <v>1042</v>
      </c>
    </row>
    <row r="1954" spans="2:39" ht="20.25" hidden="1" outlineLevel="1">
      <c r="B1954" s="149" t="s">
        <v>823</v>
      </c>
      <c r="C1954" s="135" t="s">
        <v>1402</v>
      </c>
      <c r="D1954" s="152" t="s">
        <v>1403</v>
      </c>
      <c r="E1954" s="137" t="s">
        <v>44</v>
      </c>
      <c r="F1954" s="138" t="s">
        <v>45</v>
      </c>
      <c r="G1954" s="136"/>
      <c r="H1954" s="136"/>
      <c r="I1954" s="136"/>
      <c r="J1954" s="136"/>
      <c r="K1954" s="136"/>
      <c r="L1954" s="136"/>
      <c r="M1954" s="136">
        <v>2824</v>
      </c>
      <c r="N1954" s="136">
        <v>3501</v>
      </c>
      <c r="O1954" s="136">
        <v>408</v>
      </c>
      <c r="P1954" s="136" t="s">
        <v>252</v>
      </c>
      <c r="Q1954" s="136">
        <v>376</v>
      </c>
      <c r="R1954" s="136" t="s">
        <v>252</v>
      </c>
      <c r="S1954" s="136">
        <v>264</v>
      </c>
      <c r="T1954" s="136" t="s">
        <v>252</v>
      </c>
      <c r="U1954" s="136">
        <v>432</v>
      </c>
      <c r="V1954" s="136" t="s">
        <v>252</v>
      </c>
      <c r="W1954" s="136">
        <v>370</v>
      </c>
      <c r="X1954" s="136" t="s">
        <v>252</v>
      </c>
      <c r="Y1954" s="136">
        <v>372</v>
      </c>
      <c r="Z1954" s="136" t="s">
        <v>252</v>
      </c>
      <c r="AA1954" s="136">
        <v>394</v>
      </c>
      <c r="AB1954" s="136" t="s">
        <v>252</v>
      </c>
      <c r="AC1954" s="136">
        <v>394</v>
      </c>
      <c r="AD1954" s="136" t="s">
        <v>252</v>
      </c>
      <c r="AE1954" s="136">
        <v>599</v>
      </c>
      <c r="AF1954" s="136" t="s">
        <v>252</v>
      </c>
      <c r="AG1954" s="136">
        <v>611</v>
      </c>
      <c r="AH1954" s="136" t="s">
        <v>252</v>
      </c>
      <c r="AI1954" s="136">
        <v>467</v>
      </c>
      <c r="AJ1954" s="136" t="s">
        <v>252</v>
      </c>
      <c r="AK1954" s="136">
        <v>407</v>
      </c>
      <c r="AL1954" s="136" t="s">
        <v>252</v>
      </c>
      <c r="AM1954" s="136">
        <f t="shared" si="3"/>
        <v>5094</v>
      </c>
    </row>
    <row r="1955" spans="2:39" ht="20.25" hidden="1" outlineLevel="1">
      <c r="B1955" s="149" t="s">
        <v>824</v>
      </c>
      <c r="C1955" s="135" t="s">
        <v>1402</v>
      </c>
      <c r="D1955" s="152" t="s">
        <v>1403</v>
      </c>
      <c r="E1955" s="137" t="s">
        <v>44</v>
      </c>
      <c r="F1955" s="138" t="s">
        <v>45</v>
      </c>
      <c r="G1955" s="136"/>
      <c r="H1955" s="136"/>
      <c r="I1955" s="136"/>
      <c r="J1955" s="136"/>
      <c r="K1955" s="136"/>
      <c r="L1955" s="136"/>
      <c r="M1955" s="136">
        <v>3468</v>
      </c>
      <c r="N1955" s="136">
        <v>4976</v>
      </c>
      <c r="O1955" s="136">
        <v>533</v>
      </c>
      <c r="P1955" s="136" t="s">
        <v>252</v>
      </c>
      <c r="Q1955" s="136">
        <v>454</v>
      </c>
      <c r="R1955" s="136" t="s">
        <v>252</v>
      </c>
      <c r="S1955" s="136">
        <v>299</v>
      </c>
      <c r="T1955" s="136" t="s">
        <v>252</v>
      </c>
      <c r="U1955" s="136">
        <v>301</v>
      </c>
      <c r="V1955" s="136" t="s">
        <v>252</v>
      </c>
      <c r="W1955" s="136">
        <v>226</v>
      </c>
      <c r="X1955" s="136" t="s">
        <v>252</v>
      </c>
      <c r="Y1955" s="136">
        <v>225</v>
      </c>
      <c r="Z1955" s="136" t="s">
        <v>252</v>
      </c>
      <c r="AA1955" s="136">
        <v>215</v>
      </c>
      <c r="AB1955" s="136" t="s">
        <v>252</v>
      </c>
      <c r="AC1955" s="136">
        <v>266</v>
      </c>
      <c r="AD1955" s="136" t="s">
        <v>252</v>
      </c>
      <c r="AE1955" s="136">
        <v>375</v>
      </c>
      <c r="AF1955" s="136" t="s">
        <v>252</v>
      </c>
      <c r="AG1955" s="136">
        <v>310</v>
      </c>
      <c r="AH1955" s="136" t="s">
        <v>252</v>
      </c>
      <c r="AI1955" s="136">
        <v>333</v>
      </c>
      <c r="AJ1955" s="136" t="s">
        <v>252</v>
      </c>
      <c r="AK1955" s="136">
        <v>340</v>
      </c>
      <c r="AL1955" s="136" t="s">
        <v>252</v>
      </c>
      <c r="AM1955" s="136">
        <f t="shared" si="3"/>
        <v>3877</v>
      </c>
    </row>
    <row r="1956" spans="2:39" ht="20.25" hidden="1" outlineLevel="1">
      <c r="B1956" s="149" t="s">
        <v>825</v>
      </c>
      <c r="C1956" s="135" t="s">
        <v>1402</v>
      </c>
      <c r="D1956" s="152" t="s">
        <v>1403</v>
      </c>
      <c r="E1956" s="137" t="s">
        <v>44</v>
      </c>
      <c r="F1956" s="144" t="s">
        <v>45</v>
      </c>
      <c r="G1956" s="136"/>
      <c r="H1956" s="136"/>
      <c r="I1956" s="136"/>
      <c r="J1956" s="136"/>
      <c r="K1956" s="136"/>
      <c r="L1956" s="136"/>
      <c r="M1956" s="136">
        <v>5256</v>
      </c>
      <c r="N1956" s="136">
        <v>4279</v>
      </c>
      <c r="O1956" s="136">
        <v>482</v>
      </c>
      <c r="P1956" s="136" t="s">
        <v>252</v>
      </c>
      <c r="Q1956" s="136">
        <v>346</v>
      </c>
      <c r="R1956" s="136" t="s">
        <v>252</v>
      </c>
      <c r="S1956" s="136">
        <v>212</v>
      </c>
      <c r="T1956" s="136" t="s">
        <v>252</v>
      </c>
      <c r="U1956" s="136">
        <v>525</v>
      </c>
      <c r="V1956" s="136" t="s">
        <v>252</v>
      </c>
      <c r="W1956" s="136">
        <v>278</v>
      </c>
      <c r="X1956" s="136" t="s">
        <v>252</v>
      </c>
      <c r="Y1956" s="136">
        <v>249</v>
      </c>
      <c r="Z1956" s="136" t="s">
        <v>252</v>
      </c>
      <c r="AA1956" s="136">
        <v>163</v>
      </c>
      <c r="AB1956" s="136" t="s">
        <v>252</v>
      </c>
      <c r="AC1956" s="136">
        <v>617</v>
      </c>
      <c r="AD1956" s="136" t="s">
        <v>252</v>
      </c>
      <c r="AE1956" s="136">
        <v>431</v>
      </c>
      <c r="AF1956" s="136" t="s">
        <v>252</v>
      </c>
      <c r="AG1956" s="136">
        <v>413</v>
      </c>
      <c r="AH1956" s="136" t="s">
        <v>252</v>
      </c>
      <c r="AI1956" s="136">
        <v>591</v>
      </c>
      <c r="AJ1956" s="136" t="s">
        <v>252</v>
      </c>
      <c r="AK1956" s="136">
        <v>380</v>
      </c>
      <c r="AL1956" s="136" t="s">
        <v>252</v>
      </c>
      <c r="AM1956" s="136">
        <f t="shared" si="3"/>
        <v>4687</v>
      </c>
    </row>
    <row r="1957" spans="2:39" ht="20.25" hidden="1" outlineLevel="1">
      <c r="B1957" s="149" t="s">
        <v>826</v>
      </c>
      <c r="C1957" s="135" t="s">
        <v>1402</v>
      </c>
      <c r="D1957" s="152" t="s">
        <v>1403</v>
      </c>
      <c r="E1957" s="137" t="s">
        <v>44</v>
      </c>
      <c r="F1957" s="144" t="s">
        <v>45</v>
      </c>
      <c r="G1957" s="136"/>
      <c r="H1957" s="136"/>
      <c r="I1957" s="136"/>
      <c r="J1957" s="136"/>
      <c r="K1957" s="136"/>
      <c r="L1957" s="136"/>
      <c r="M1957" s="136">
        <v>2060</v>
      </c>
      <c r="N1957" s="136">
        <v>2763</v>
      </c>
      <c r="O1957" s="136">
        <v>332</v>
      </c>
      <c r="P1957" s="136" t="s">
        <v>259</v>
      </c>
      <c r="Q1957" s="136">
        <v>366</v>
      </c>
      <c r="R1957" s="136" t="s">
        <v>259</v>
      </c>
      <c r="S1957" s="136">
        <v>248</v>
      </c>
      <c r="T1957" s="136" t="s">
        <v>259</v>
      </c>
      <c r="U1957" s="136">
        <v>265</v>
      </c>
      <c r="V1957" s="136" t="s">
        <v>259</v>
      </c>
      <c r="W1957" s="136">
        <v>206</v>
      </c>
      <c r="X1957" s="136" t="s">
        <v>259</v>
      </c>
      <c r="Y1957" s="136">
        <v>159</v>
      </c>
      <c r="Z1957" s="136" t="s">
        <v>259</v>
      </c>
      <c r="AA1957" s="136">
        <v>155</v>
      </c>
      <c r="AB1957" s="136" t="s">
        <v>259</v>
      </c>
      <c r="AC1957" s="136">
        <v>200</v>
      </c>
      <c r="AD1957" s="136" t="s">
        <v>259</v>
      </c>
      <c r="AE1957" s="136">
        <v>311</v>
      </c>
      <c r="AF1957" s="136" t="s">
        <v>259</v>
      </c>
      <c r="AG1957" s="136">
        <v>297</v>
      </c>
      <c r="AH1957" s="136" t="s">
        <v>259</v>
      </c>
      <c r="AI1957" s="136">
        <v>251</v>
      </c>
      <c r="AJ1957" s="136" t="s">
        <v>259</v>
      </c>
      <c r="AK1957" s="136">
        <v>276</v>
      </c>
      <c r="AL1957" s="136" t="s">
        <v>259</v>
      </c>
      <c r="AM1957" s="136">
        <f t="shared" si="3"/>
        <v>3066</v>
      </c>
    </row>
    <row r="1958" spans="2:39" ht="20.25" hidden="1" outlineLevel="1">
      <c r="B1958" s="149" t="s">
        <v>827</v>
      </c>
      <c r="C1958" s="135" t="s">
        <v>1402</v>
      </c>
      <c r="D1958" s="152" t="s">
        <v>1403</v>
      </c>
      <c r="E1958" s="137" t="s">
        <v>44</v>
      </c>
      <c r="F1958" s="138" t="s">
        <v>45</v>
      </c>
      <c r="G1958" s="136"/>
      <c r="H1958" s="136"/>
      <c r="I1958" s="136"/>
      <c r="J1958" s="136"/>
      <c r="K1958" s="136"/>
      <c r="L1958" s="136"/>
      <c r="M1958" s="136">
        <v>9486</v>
      </c>
      <c r="N1958" s="136">
        <v>9106</v>
      </c>
      <c r="O1958" s="136">
        <v>850</v>
      </c>
      <c r="P1958" s="136" t="s">
        <v>252</v>
      </c>
      <c r="Q1958" s="136">
        <v>935</v>
      </c>
      <c r="R1958" s="136" t="s">
        <v>252</v>
      </c>
      <c r="S1958" s="136">
        <v>711</v>
      </c>
      <c r="T1958" s="136" t="s">
        <v>252</v>
      </c>
      <c r="U1958" s="136">
        <v>847</v>
      </c>
      <c r="V1958" s="136" t="s">
        <v>252</v>
      </c>
      <c r="W1958" s="136">
        <v>604</v>
      </c>
      <c r="X1958" s="136" t="s">
        <v>252</v>
      </c>
      <c r="Y1958" s="136">
        <v>690</v>
      </c>
      <c r="Z1958" s="136" t="s">
        <v>252</v>
      </c>
      <c r="AA1958" s="136">
        <v>783</v>
      </c>
      <c r="AB1958" s="136" t="s">
        <v>252</v>
      </c>
      <c r="AC1958" s="136">
        <v>731</v>
      </c>
      <c r="AD1958" s="136" t="s">
        <v>252</v>
      </c>
      <c r="AE1958" s="136">
        <v>778</v>
      </c>
      <c r="AF1958" s="136" t="s">
        <v>252</v>
      </c>
      <c r="AG1958" s="136">
        <v>740</v>
      </c>
      <c r="AH1958" s="136" t="s">
        <v>252</v>
      </c>
      <c r="AI1958" s="136">
        <v>638</v>
      </c>
      <c r="AJ1958" s="136" t="s">
        <v>252</v>
      </c>
      <c r="AK1958" s="136">
        <v>477</v>
      </c>
      <c r="AL1958" s="136" t="s">
        <v>252</v>
      </c>
      <c r="AM1958" s="136">
        <f t="shared" si="3"/>
        <v>8784</v>
      </c>
    </row>
    <row r="1959" spans="2:39" ht="20.25" hidden="1" outlineLevel="1">
      <c r="B1959" s="149" t="s">
        <v>828</v>
      </c>
      <c r="C1959" s="135" t="s">
        <v>1402</v>
      </c>
      <c r="D1959" s="152" t="s">
        <v>1403</v>
      </c>
      <c r="E1959" s="137" t="s">
        <v>44</v>
      </c>
      <c r="F1959" s="138" t="s">
        <v>45</v>
      </c>
      <c r="G1959" s="136"/>
      <c r="H1959" s="136"/>
      <c r="I1959" s="136"/>
      <c r="J1959" s="136"/>
      <c r="K1959" s="136"/>
      <c r="L1959" s="136"/>
      <c r="M1959" s="136"/>
      <c r="N1959" s="136"/>
      <c r="O1959" s="136"/>
      <c r="P1959" s="136" t="s">
        <v>252</v>
      </c>
      <c r="Q1959" s="136"/>
      <c r="R1959" s="136" t="s">
        <v>252</v>
      </c>
      <c r="S1959" s="136"/>
      <c r="T1959" s="136" t="s">
        <v>252</v>
      </c>
      <c r="U1959" s="136"/>
      <c r="V1959" s="136" t="s">
        <v>252</v>
      </c>
      <c r="W1959" s="136"/>
      <c r="X1959" s="136" t="s">
        <v>252</v>
      </c>
      <c r="Y1959" s="136"/>
      <c r="Z1959" s="136" t="s">
        <v>252</v>
      </c>
      <c r="AA1959" s="136"/>
      <c r="AB1959" s="136" t="s">
        <v>252</v>
      </c>
      <c r="AC1959" s="136"/>
      <c r="AD1959" s="136" t="s">
        <v>252</v>
      </c>
      <c r="AE1959" s="136"/>
      <c r="AF1959" s="136" t="s">
        <v>252</v>
      </c>
      <c r="AG1959" s="136"/>
      <c r="AH1959" s="136" t="s">
        <v>252</v>
      </c>
      <c r="AI1959" s="136"/>
      <c r="AJ1959" s="136" t="s">
        <v>252</v>
      </c>
      <c r="AK1959" s="136"/>
      <c r="AL1959" s="136" t="s">
        <v>252</v>
      </c>
      <c r="AM1959" s="136">
        <f t="shared" si="3"/>
        <v>0</v>
      </c>
    </row>
    <row r="1960" spans="2:39" ht="20.25" hidden="1" outlineLevel="1">
      <c r="B1960" s="149" t="s">
        <v>829</v>
      </c>
      <c r="C1960" s="135" t="s">
        <v>1402</v>
      </c>
      <c r="D1960" s="152" t="s">
        <v>1403</v>
      </c>
      <c r="E1960" s="143" t="s">
        <v>138</v>
      </c>
      <c r="F1960" s="138" t="s">
        <v>45</v>
      </c>
      <c r="G1960" s="136"/>
      <c r="H1960" s="136"/>
      <c r="I1960" s="136"/>
      <c r="J1960" s="136"/>
      <c r="K1960" s="136"/>
      <c r="L1960" s="136"/>
      <c r="M1960" s="136">
        <v>6316</v>
      </c>
      <c r="N1960" s="136">
        <v>6013</v>
      </c>
      <c r="O1960" s="136">
        <v>390</v>
      </c>
      <c r="P1960" s="136" t="s">
        <v>252</v>
      </c>
      <c r="Q1960" s="136">
        <v>516</v>
      </c>
      <c r="R1960" s="136" t="s">
        <v>252</v>
      </c>
      <c r="S1960" s="136">
        <v>421</v>
      </c>
      <c r="T1960" s="136" t="s">
        <v>252</v>
      </c>
      <c r="U1960" s="136">
        <v>430</v>
      </c>
      <c r="V1960" s="136" t="s">
        <v>252</v>
      </c>
      <c r="W1960" s="136">
        <v>425</v>
      </c>
      <c r="X1960" s="136" t="s">
        <v>252</v>
      </c>
      <c r="Y1960" s="136">
        <v>503</v>
      </c>
      <c r="Z1960" s="136" t="s">
        <v>252</v>
      </c>
      <c r="AA1960" s="136">
        <v>417</v>
      </c>
      <c r="AB1960" s="136" t="s">
        <v>252</v>
      </c>
      <c r="AC1960" s="136">
        <v>443</v>
      </c>
      <c r="AD1960" s="136" t="s">
        <v>252</v>
      </c>
      <c r="AE1960" s="136">
        <v>492</v>
      </c>
      <c r="AF1960" s="136" t="s">
        <v>252</v>
      </c>
      <c r="AG1960" s="136">
        <v>296</v>
      </c>
      <c r="AH1960" s="136" t="s">
        <v>252</v>
      </c>
      <c r="AI1960" s="136">
        <v>562</v>
      </c>
      <c r="AJ1960" s="136" t="s">
        <v>252</v>
      </c>
      <c r="AK1960" s="136">
        <v>429</v>
      </c>
      <c r="AL1960" s="136" t="s">
        <v>252</v>
      </c>
      <c r="AM1960" s="136">
        <f t="shared" si="3"/>
        <v>5324</v>
      </c>
    </row>
    <row r="1961" spans="2:39" ht="20.25" hidden="1" outlineLevel="1">
      <c r="B1961" s="149" t="s">
        <v>829</v>
      </c>
      <c r="C1961" s="135" t="s">
        <v>1402</v>
      </c>
      <c r="D1961" s="152" t="s">
        <v>1403</v>
      </c>
      <c r="E1961" s="137" t="s">
        <v>44</v>
      </c>
      <c r="F1961" s="138" t="s">
        <v>45</v>
      </c>
      <c r="G1961" s="136"/>
      <c r="H1961" s="136"/>
      <c r="I1961" s="136"/>
      <c r="J1961" s="136"/>
      <c r="K1961" s="136"/>
      <c r="L1961" s="136"/>
      <c r="M1961" s="136">
        <v>7781</v>
      </c>
      <c r="N1961" s="136">
        <v>7873</v>
      </c>
      <c r="O1961" s="136">
        <v>731</v>
      </c>
      <c r="P1961" s="136" t="s">
        <v>252</v>
      </c>
      <c r="Q1961" s="136">
        <v>766</v>
      </c>
      <c r="R1961" s="136" t="s">
        <v>252</v>
      </c>
      <c r="S1961" s="136">
        <v>610</v>
      </c>
      <c r="T1961" s="136" t="s">
        <v>252</v>
      </c>
      <c r="U1961" s="136">
        <v>719</v>
      </c>
      <c r="V1961" s="136" t="s">
        <v>252</v>
      </c>
      <c r="W1961" s="136">
        <v>674</v>
      </c>
      <c r="X1961" s="136" t="s">
        <v>252</v>
      </c>
      <c r="Y1961" s="136">
        <v>671</v>
      </c>
      <c r="Z1961" s="136" t="s">
        <v>252</v>
      </c>
      <c r="AA1961" s="136">
        <v>464</v>
      </c>
      <c r="AB1961" s="136" t="s">
        <v>252</v>
      </c>
      <c r="AC1961" s="136">
        <v>523</v>
      </c>
      <c r="AD1961" s="136" t="s">
        <v>252</v>
      </c>
      <c r="AE1961" s="136">
        <v>678</v>
      </c>
      <c r="AF1961" s="136" t="s">
        <v>252</v>
      </c>
      <c r="AG1961" s="136">
        <v>441</v>
      </c>
      <c r="AH1961" s="136" t="s">
        <v>252</v>
      </c>
      <c r="AI1961" s="136">
        <v>998</v>
      </c>
      <c r="AJ1961" s="136" t="s">
        <v>252</v>
      </c>
      <c r="AK1961" s="136">
        <v>764</v>
      </c>
      <c r="AL1961" s="136" t="s">
        <v>252</v>
      </c>
      <c r="AM1961" s="136">
        <f t="shared" si="3"/>
        <v>8039</v>
      </c>
    </row>
    <row r="1962" spans="2:39" ht="20.25" hidden="1" outlineLevel="1">
      <c r="B1962" s="149" t="s">
        <v>830</v>
      </c>
      <c r="C1962" s="135" t="s">
        <v>1402</v>
      </c>
      <c r="D1962" s="152" t="s">
        <v>1403</v>
      </c>
      <c r="E1962" s="137" t="s">
        <v>44</v>
      </c>
      <c r="F1962" s="138" t="s">
        <v>45</v>
      </c>
      <c r="G1962" s="136"/>
      <c r="H1962" s="136"/>
      <c r="I1962" s="136"/>
      <c r="J1962" s="136"/>
      <c r="K1962" s="136"/>
      <c r="L1962" s="136"/>
      <c r="M1962" s="136">
        <v>1980</v>
      </c>
      <c r="N1962" s="136">
        <v>2551</v>
      </c>
      <c r="O1962" s="136">
        <v>307</v>
      </c>
      <c r="P1962" s="136" t="s">
        <v>259</v>
      </c>
      <c r="Q1962" s="136">
        <v>301</v>
      </c>
      <c r="R1962" s="136" t="s">
        <v>259</v>
      </c>
      <c r="S1962" s="136">
        <v>203</v>
      </c>
      <c r="T1962" s="136" t="s">
        <v>259</v>
      </c>
      <c r="U1962" s="136">
        <v>246</v>
      </c>
      <c r="V1962" s="136" t="s">
        <v>259</v>
      </c>
      <c r="W1962" s="136">
        <v>191</v>
      </c>
      <c r="X1962" s="136" t="s">
        <v>259</v>
      </c>
      <c r="Y1962" s="136">
        <v>1024</v>
      </c>
      <c r="Z1962" s="136" t="s">
        <v>259</v>
      </c>
      <c r="AA1962" s="136">
        <v>143</v>
      </c>
      <c r="AB1962" s="136" t="s">
        <v>259</v>
      </c>
      <c r="AC1962" s="136">
        <v>209</v>
      </c>
      <c r="AD1962" s="136" t="s">
        <v>259</v>
      </c>
      <c r="AE1962" s="136">
        <v>322</v>
      </c>
      <c r="AF1962" s="136" t="s">
        <v>259</v>
      </c>
      <c r="AG1962" s="136">
        <v>309</v>
      </c>
      <c r="AH1962" s="136" t="s">
        <v>259</v>
      </c>
      <c r="AI1962" s="136">
        <v>262</v>
      </c>
      <c r="AJ1962" s="136" t="s">
        <v>259</v>
      </c>
      <c r="AK1962" s="136">
        <v>287</v>
      </c>
      <c r="AL1962" s="136" t="s">
        <v>259</v>
      </c>
      <c r="AM1962" s="136">
        <f t="shared" si="3"/>
        <v>3804</v>
      </c>
    </row>
    <row r="1963" spans="2:39" ht="20.25" hidden="1" outlineLevel="1">
      <c r="B1963" s="149" t="s">
        <v>831</v>
      </c>
      <c r="C1963" s="135" t="s">
        <v>1402</v>
      </c>
      <c r="D1963" s="152" t="s">
        <v>1403</v>
      </c>
      <c r="E1963" s="137" t="s">
        <v>44</v>
      </c>
      <c r="F1963" s="138" t="s">
        <v>45</v>
      </c>
      <c r="G1963" s="136"/>
      <c r="H1963" s="136"/>
      <c r="I1963" s="136"/>
      <c r="J1963" s="136"/>
      <c r="K1963" s="136"/>
      <c r="L1963" s="136"/>
      <c r="M1963" s="136">
        <v>3385</v>
      </c>
      <c r="N1963" s="136">
        <v>3862</v>
      </c>
      <c r="O1963" s="136">
        <v>259</v>
      </c>
      <c r="P1963" s="136" t="s">
        <v>252</v>
      </c>
      <c r="Q1963" s="136">
        <v>301</v>
      </c>
      <c r="R1963" s="136" t="s">
        <v>252</v>
      </c>
      <c r="S1963" s="136">
        <v>230</v>
      </c>
      <c r="T1963" s="136" t="s">
        <v>252</v>
      </c>
      <c r="U1963" s="136">
        <v>243</v>
      </c>
      <c r="V1963" s="136" t="s">
        <v>252</v>
      </c>
      <c r="W1963" s="136">
        <v>164</v>
      </c>
      <c r="X1963" s="136" t="s">
        <v>252</v>
      </c>
      <c r="Y1963" s="136">
        <v>258</v>
      </c>
      <c r="Z1963" s="136" t="s">
        <v>252</v>
      </c>
      <c r="AA1963" s="136">
        <v>210</v>
      </c>
      <c r="AB1963" s="136" t="s">
        <v>252</v>
      </c>
      <c r="AC1963" s="136">
        <v>156</v>
      </c>
      <c r="AD1963" s="136" t="s">
        <v>252</v>
      </c>
      <c r="AE1963" s="136">
        <v>166</v>
      </c>
      <c r="AF1963" s="136" t="s">
        <v>252</v>
      </c>
      <c r="AG1963" s="136">
        <v>132</v>
      </c>
      <c r="AH1963" s="136" t="s">
        <v>252</v>
      </c>
      <c r="AI1963" s="136">
        <v>374</v>
      </c>
      <c r="AJ1963" s="136" t="s">
        <v>252</v>
      </c>
      <c r="AK1963" s="136">
        <v>385</v>
      </c>
      <c r="AL1963" s="136" t="s">
        <v>252</v>
      </c>
      <c r="AM1963" s="136">
        <f t="shared" si="3"/>
        <v>2878</v>
      </c>
    </row>
    <row r="1964" spans="2:39" ht="20.25" hidden="1" outlineLevel="1">
      <c r="B1964" s="149" t="s">
        <v>832</v>
      </c>
      <c r="C1964" s="135" t="s">
        <v>1402</v>
      </c>
      <c r="D1964" s="152" t="s">
        <v>1403</v>
      </c>
      <c r="E1964" s="143" t="s">
        <v>138</v>
      </c>
      <c r="F1964" s="138" t="s">
        <v>45</v>
      </c>
      <c r="G1964" s="136"/>
      <c r="H1964" s="136"/>
      <c r="I1964" s="136"/>
      <c r="J1964" s="136"/>
      <c r="K1964" s="136"/>
      <c r="L1964" s="136"/>
      <c r="M1964" s="136">
        <v>830</v>
      </c>
      <c r="N1964" s="136">
        <v>1483</v>
      </c>
      <c r="O1964" s="136">
        <v>68</v>
      </c>
      <c r="P1964" s="136" t="s">
        <v>252</v>
      </c>
      <c r="Q1964" s="136">
        <v>116</v>
      </c>
      <c r="R1964" s="136" t="s">
        <v>252</v>
      </c>
      <c r="S1964" s="136">
        <v>68</v>
      </c>
      <c r="T1964" s="136" t="s">
        <v>252</v>
      </c>
      <c r="U1964" s="136">
        <v>93</v>
      </c>
      <c r="V1964" s="136" t="s">
        <v>252</v>
      </c>
      <c r="W1964" s="136">
        <v>80</v>
      </c>
      <c r="X1964" s="136" t="s">
        <v>252</v>
      </c>
      <c r="Y1964" s="136">
        <v>85</v>
      </c>
      <c r="Z1964" s="136" t="s">
        <v>252</v>
      </c>
      <c r="AA1964" s="136">
        <v>83</v>
      </c>
      <c r="AB1964" s="136" t="s">
        <v>252</v>
      </c>
      <c r="AC1964" s="136">
        <v>87</v>
      </c>
      <c r="AD1964" s="136" t="s">
        <v>252</v>
      </c>
      <c r="AE1964" s="136">
        <v>88</v>
      </c>
      <c r="AF1964" s="136" t="s">
        <v>252</v>
      </c>
      <c r="AG1964" s="136">
        <v>81</v>
      </c>
      <c r="AH1964" s="136" t="s">
        <v>252</v>
      </c>
      <c r="AI1964" s="136">
        <v>84</v>
      </c>
      <c r="AJ1964" s="136" t="s">
        <v>252</v>
      </c>
      <c r="AK1964" s="136">
        <v>88</v>
      </c>
      <c r="AL1964" s="136" t="s">
        <v>252</v>
      </c>
      <c r="AM1964" s="136">
        <f t="shared" si="3"/>
        <v>1021</v>
      </c>
    </row>
    <row r="1965" spans="2:39" ht="20.25" hidden="1" outlineLevel="1">
      <c r="B1965" s="149" t="s">
        <v>832</v>
      </c>
      <c r="C1965" s="135" t="s">
        <v>1402</v>
      </c>
      <c r="D1965" s="152" t="s">
        <v>1403</v>
      </c>
      <c r="E1965" s="137" t="s">
        <v>44</v>
      </c>
      <c r="F1965" s="138" t="s">
        <v>45</v>
      </c>
      <c r="G1965" s="136"/>
      <c r="H1965" s="136"/>
      <c r="I1965" s="136"/>
      <c r="J1965" s="136"/>
      <c r="K1965" s="136"/>
      <c r="L1965" s="136"/>
      <c r="M1965" s="136">
        <v>4573</v>
      </c>
      <c r="N1965" s="136">
        <v>5573</v>
      </c>
      <c r="O1965" s="136">
        <v>604</v>
      </c>
      <c r="P1965" s="136" t="s">
        <v>252</v>
      </c>
      <c r="Q1965" s="136">
        <v>635</v>
      </c>
      <c r="R1965" s="136" t="s">
        <v>252</v>
      </c>
      <c r="S1965" s="136">
        <v>346</v>
      </c>
      <c r="T1965" s="136" t="s">
        <v>252</v>
      </c>
      <c r="U1965" s="136">
        <v>545</v>
      </c>
      <c r="V1965" s="136" t="s">
        <v>252</v>
      </c>
      <c r="W1965" s="136">
        <v>408</v>
      </c>
      <c r="X1965" s="136" t="s">
        <v>252</v>
      </c>
      <c r="Y1965" s="136">
        <v>406</v>
      </c>
      <c r="Z1965" s="136" t="s">
        <v>252</v>
      </c>
      <c r="AA1965" s="136">
        <v>345</v>
      </c>
      <c r="AB1965" s="136" t="s">
        <v>252</v>
      </c>
      <c r="AC1965" s="136">
        <v>448</v>
      </c>
      <c r="AD1965" s="136" t="s">
        <v>252</v>
      </c>
      <c r="AE1965" s="136">
        <v>559</v>
      </c>
      <c r="AF1965" s="136" t="s">
        <v>252</v>
      </c>
      <c r="AG1965" s="136">
        <v>620</v>
      </c>
      <c r="AH1965" s="136" t="s">
        <v>252</v>
      </c>
      <c r="AI1965" s="136">
        <v>695</v>
      </c>
      <c r="AJ1965" s="136" t="s">
        <v>252</v>
      </c>
      <c r="AK1965" s="136">
        <v>616</v>
      </c>
      <c r="AL1965" s="136" t="s">
        <v>252</v>
      </c>
      <c r="AM1965" s="136">
        <f t="shared" si="3"/>
        <v>6227</v>
      </c>
    </row>
    <row r="1966" spans="2:39" ht="20.25" hidden="1" outlineLevel="1">
      <c r="B1966" s="149" t="s">
        <v>833</v>
      </c>
      <c r="C1966" s="135" t="s">
        <v>1402</v>
      </c>
      <c r="D1966" s="152" t="s">
        <v>1407</v>
      </c>
      <c r="E1966" s="137" t="s">
        <v>44</v>
      </c>
      <c r="F1966" s="138" t="s">
        <v>45</v>
      </c>
      <c r="G1966" s="136"/>
      <c r="H1966" s="136"/>
      <c r="I1966" s="136"/>
      <c r="J1966" s="136"/>
      <c r="K1966" s="136"/>
      <c r="L1966" s="136"/>
      <c r="M1966" s="136">
        <v>612</v>
      </c>
      <c r="N1966" s="136">
        <v>366</v>
      </c>
      <c r="O1966" s="136">
        <v>155</v>
      </c>
      <c r="P1966" s="136" t="s">
        <v>259</v>
      </c>
      <c r="Q1966" s="136">
        <v>111</v>
      </c>
      <c r="R1966" s="136" t="s">
        <v>259</v>
      </c>
      <c r="S1966" s="136">
        <v>72</v>
      </c>
      <c r="T1966" s="136" t="s">
        <v>259</v>
      </c>
      <c r="U1966" s="136">
        <v>65</v>
      </c>
      <c r="V1966" s="136" t="s">
        <v>259</v>
      </c>
      <c r="W1966" s="136">
        <v>50</v>
      </c>
      <c r="X1966" s="136" t="s">
        <v>259</v>
      </c>
      <c r="Y1966" s="136">
        <v>46</v>
      </c>
      <c r="Z1966" s="136" t="s">
        <v>259</v>
      </c>
      <c r="AA1966" s="136">
        <v>52</v>
      </c>
      <c r="AB1966" s="136" t="s">
        <v>259</v>
      </c>
      <c r="AC1966" s="136">
        <v>49</v>
      </c>
      <c r="AD1966" s="136" t="s">
        <v>259</v>
      </c>
      <c r="AE1966" s="136">
        <v>41</v>
      </c>
      <c r="AF1966" s="136" t="s">
        <v>259</v>
      </c>
      <c r="AG1966" s="136">
        <v>30</v>
      </c>
      <c r="AH1966" s="136" t="s">
        <v>259</v>
      </c>
      <c r="AI1966" s="136">
        <v>64</v>
      </c>
      <c r="AJ1966" s="136" t="s">
        <v>259</v>
      </c>
      <c r="AK1966" s="136">
        <v>52</v>
      </c>
      <c r="AL1966" s="136" t="s">
        <v>259</v>
      </c>
      <c r="AM1966" s="136">
        <f t="shared" si="3"/>
        <v>787</v>
      </c>
    </row>
    <row r="1967" spans="2:39" ht="20.25" hidden="1" outlineLevel="1">
      <c r="B1967" s="149" t="s">
        <v>834</v>
      </c>
      <c r="C1967" s="135" t="s">
        <v>1402</v>
      </c>
      <c r="D1967" s="152" t="s">
        <v>1403</v>
      </c>
      <c r="E1967" s="137" t="s">
        <v>44</v>
      </c>
      <c r="F1967" s="138" t="s">
        <v>45</v>
      </c>
      <c r="G1967" s="136"/>
      <c r="H1967" s="136"/>
      <c r="I1967" s="136"/>
      <c r="J1967" s="136"/>
      <c r="K1967" s="136"/>
      <c r="L1967" s="136"/>
      <c r="M1967" s="136">
        <v>1132</v>
      </c>
      <c r="N1967" s="136">
        <v>607</v>
      </c>
      <c r="O1967" s="136">
        <v>253</v>
      </c>
      <c r="P1967" s="136" t="s">
        <v>259</v>
      </c>
      <c r="Q1967" s="136">
        <v>168</v>
      </c>
      <c r="R1967" s="136" t="s">
        <v>259</v>
      </c>
      <c r="S1967" s="136">
        <v>109</v>
      </c>
      <c r="T1967" s="136" t="s">
        <v>259</v>
      </c>
      <c r="U1967" s="136">
        <v>104</v>
      </c>
      <c r="V1967" s="136" t="s">
        <v>259</v>
      </c>
      <c r="W1967" s="136">
        <v>81</v>
      </c>
      <c r="X1967" s="136" t="s">
        <v>259</v>
      </c>
      <c r="Y1967" s="136">
        <v>77</v>
      </c>
      <c r="Z1967" s="136" t="s">
        <v>259</v>
      </c>
      <c r="AA1967" s="136">
        <v>85</v>
      </c>
      <c r="AB1967" s="136" t="s">
        <v>259</v>
      </c>
      <c r="AC1967" s="136">
        <v>128</v>
      </c>
      <c r="AD1967" s="136" t="s">
        <v>259</v>
      </c>
      <c r="AE1967" s="136">
        <v>106</v>
      </c>
      <c r="AF1967" s="136" t="s">
        <v>259</v>
      </c>
      <c r="AG1967" s="136">
        <v>76</v>
      </c>
      <c r="AH1967" s="136" t="s">
        <v>259</v>
      </c>
      <c r="AI1967" s="136">
        <v>165</v>
      </c>
      <c r="AJ1967" s="136" t="s">
        <v>259</v>
      </c>
      <c r="AK1967" s="136">
        <v>135</v>
      </c>
      <c r="AL1967" s="136" t="s">
        <v>259</v>
      </c>
      <c r="AM1967" s="136">
        <f t="shared" si="3"/>
        <v>1487</v>
      </c>
    </row>
    <row r="1968" spans="2:39" ht="20.25" hidden="1" outlineLevel="1">
      <c r="B1968" s="149" t="s">
        <v>835</v>
      </c>
      <c r="C1968" s="135" t="s">
        <v>1402</v>
      </c>
      <c r="D1968" s="152" t="s">
        <v>1403</v>
      </c>
      <c r="E1968" s="137" t="s">
        <v>44</v>
      </c>
      <c r="F1968" s="138" t="s">
        <v>45</v>
      </c>
      <c r="G1968" s="136"/>
      <c r="H1968" s="136"/>
      <c r="I1968" s="136"/>
      <c r="J1968" s="136"/>
      <c r="K1968" s="136"/>
      <c r="L1968" s="136"/>
      <c r="M1968" s="136"/>
      <c r="N1968" s="136"/>
      <c r="O1968" s="136"/>
      <c r="P1968" s="136" t="s">
        <v>259</v>
      </c>
      <c r="Q1968" s="136"/>
      <c r="R1968" s="136" t="s">
        <v>259</v>
      </c>
      <c r="S1968" s="136"/>
      <c r="T1968" s="136" t="s">
        <v>259</v>
      </c>
      <c r="U1968" s="136"/>
      <c r="V1968" s="136" t="s">
        <v>259</v>
      </c>
      <c r="W1968" s="136"/>
      <c r="X1968" s="136" t="s">
        <v>259</v>
      </c>
      <c r="Y1968" s="136"/>
      <c r="Z1968" s="136" t="s">
        <v>259</v>
      </c>
      <c r="AA1968" s="136"/>
      <c r="AB1968" s="136" t="s">
        <v>259</v>
      </c>
      <c r="AC1968" s="136"/>
      <c r="AD1968" s="136" t="s">
        <v>259</v>
      </c>
      <c r="AE1968" s="136"/>
      <c r="AF1968" s="136" t="s">
        <v>259</v>
      </c>
      <c r="AG1968" s="136"/>
      <c r="AH1968" s="136" t="s">
        <v>259</v>
      </c>
      <c r="AI1968" s="136"/>
      <c r="AJ1968" s="136" t="s">
        <v>259</v>
      </c>
      <c r="AK1968" s="136"/>
      <c r="AL1968" s="136" t="s">
        <v>259</v>
      </c>
      <c r="AM1968" s="136">
        <f t="shared" si="3"/>
        <v>0</v>
      </c>
    </row>
    <row r="1969" spans="2:39" ht="20.25" hidden="1" outlineLevel="1">
      <c r="B1969" s="149" t="s">
        <v>836</v>
      </c>
      <c r="C1969" s="135" t="s">
        <v>1402</v>
      </c>
      <c r="D1969" s="152" t="s">
        <v>1403</v>
      </c>
      <c r="E1969" s="143" t="s">
        <v>138</v>
      </c>
      <c r="F1969" s="138" t="s">
        <v>45</v>
      </c>
      <c r="G1969" s="136"/>
      <c r="H1969" s="136"/>
      <c r="I1969" s="136"/>
      <c r="J1969" s="136"/>
      <c r="K1969" s="136"/>
      <c r="L1969" s="136"/>
      <c r="M1969" s="136">
        <v>8900</v>
      </c>
      <c r="N1969" s="136">
        <v>9567</v>
      </c>
      <c r="O1969" s="136">
        <v>42</v>
      </c>
      <c r="P1969" s="136" t="s">
        <v>252</v>
      </c>
      <c r="Q1969" s="136">
        <v>57</v>
      </c>
      <c r="R1969" s="136" t="s">
        <v>252</v>
      </c>
      <c r="S1969" s="136">
        <v>44</v>
      </c>
      <c r="T1969" s="136" t="s">
        <v>252</v>
      </c>
      <c r="U1969" s="136">
        <v>31</v>
      </c>
      <c r="V1969" s="136" t="s">
        <v>252</v>
      </c>
      <c r="W1969" s="136">
        <v>38</v>
      </c>
      <c r="X1969" s="136" t="s">
        <v>252</v>
      </c>
      <c r="Y1969" s="136">
        <v>47</v>
      </c>
      <c r="Z1969" s="136" t="s">
        <v>252</v>
      </c>
      <c r="AA1969" s="136">
        <v>41</v>
      </c>
      <c r="AB1969" s="136" t="s">
        <v>252</v>
      </c>
      <c r="AC1969" s="136">
        <v>41</v>
      </c>
      <c r="AD1969" s="136" t="s">
        <v>252</v>
      </c>
      <c r="AE1969" s="136">
        <v>45</v>
      </c>
      <c r="AF1969" s="136" t="s">
        <v>252</v>
      </c>
      <c r="AG1969" s="136">
        <v>28</v>
      </c>
      <c r="AH1969" s="136" t="s">
        <v>252</v>
      </c>
      <c r="AI1969" s="136">
        <v>53</v>
      </c>
      <c r="AJ1969" s="136" t="s">
        <v>252</v>
      </c>
      <c r="AK1969" s="136">
        <v>39</v>
      </c>
      <c r="AL1969" s="136" t="s">
        <v>252</v>
      </c>
      <c r="AM1969" s="136">
        <f t="shared" si="3"/>
        <v>506</v>
      </c>
    </row>
    <row r="1970" spans="2:39" ht="20.25" hidden="1" outlineLevel="1">
      <c r="B1970" s="149" t="s">
        <v>836</v>
      </c>
      <c r="C1970" s="135" t="s">
        <v>1402</v>
      </c>
      <c r="D1970" s="152" t="s">
        <v>1403</v>
      </c>
      <c r="E1970" s="137" t="s">
        <v>44</v>
      </c>
      <c r="F1970" s="138" t="s">
        <v>45</v>
      </c>
      <c r="G1970" s="136"/>
      <c r="H1970" s="136"/>
      <c r="I1970" s="136"/>
      <c r="J1970" s="136"/>
      <c r="K1970" s="136"/>
      <c r="L1970" s="136"/>
      <c r="M1970" s="136">
        <v>1127</v>
      </c>
      <c r="N1970" s="136">
        <v>1599</v>
      </c>
      <c r="O1970" s="136">
        <v>717</v>
      </c>
      <c r="P1970" s="136" t="s">
        <v>252</v>
      </c>
      <c r="Q1970" s="136">
        <v>805</v>
      </c>
      <c r="R1970" s="136" t="s">
        <v>252</v>
      </c>
      <c r="S1970" s="136">
        <v>620</v>
      </c>
      <c r="T1970" s="136" t="s">
        <v>252</v>
      </c>
      <c r="U1970" s="136">
        <v>633</v>
      </c>
      <c r="V1970" s="136" t="s">
        <v>252</v>
      </c>
      <c r="W1970" s="136">
        <v>594</v>
      </c>
      <c r="X1970" s="136" t="s">
        <v>252</v>
      </c>
      <c r="Y1970" s="136">
        <v>693</v>
      </c>
      <c r="Z1970" s="136" t="s">
        <v>252</v>
      </c>
      <c r="AA1970" s="136">
        <v>524</v>
      </c>
      <c r="AB1970" s="136" t="s">
        <v>252</v>
      </c>
      <c r="AC1970" s="136">
        <v>630</v>
      </c>
      <c r="AD1970" s="136" t="s">
        <v>252</v>
      </c>
      <c r="AE1970" s="136">
        <v>868</v>
      </c>
      <c r="AF1970" s="136" t="s">
        <v>252</v>
      </c>
      <c r="AG1970" s="136">
        <v>561</v>
      </c>
      <c r="AH1970" s="136" t="s">
        <v>252</v>
      </c>
      <c r="AI1970" s="136">
        <v>1027</v>
      </c>
      <c r="AJ1970" s="136" t="s">
        <v>252</v>
      </c>
      <c r="AK1970" s="136">
        <v>899</v>
      </c>
      <c r="AL1970" s="136" t="s">
        <v>252</v>
      </c>
      <c r="AM1970" s="136">
        <f t="shared" si="3"/>
        <v>8571</v>
      </c>
    </row>
    <row r="1971" spans="2:39" ht="20.25" hidden="1" outlineLevel="1">
      <c r="B1971" s="149" t="s">
        <v>837</v>
      </c>
      <c r="C1971" s="135" t="s">
        <v>1402</v>
      </c>
      <c r="D1971" s="152" t="s">
        <v>1403</v>
      </c>
      <c r="E1971" s="137" t="s">
        <v>44</v>
      </c>
      <c r="F1971" s="138" t="s">
        <v>45</v>
      </c>
      <c r="G1971" s="136"/>
      <c r="H1971" s="136"/>
      <c r="I1971" s="136"/>
      <c r="J1971" s="136"/>
      <c r="K1971" s="136"/>
      <c r="L1971" s="136"/>
      <c r="M1971" s="136">
        <v>5769</v>
      </c>
      <c r="N1971" s="136">
        <v>4898</v>
      </c>
      <c r="O1971" s="136">
        <v>465</v>
      </c>
      <c r="P1971" s="136" t="s">
        <v>252</v>
      </c>
      <c r="Q1971" s="136">
        <v>466</v>
      </c>
      <c r="R1971" s="136" t="s">
        <v>252</v>
      </c>
      <c r="S1971" s="136">
        <v>335</v>
      </c>
      <c r="T1971" s="136" t="s">
        <v>252</v>
      </c>
      <c r="U1971" s="136">
        <v>331</v>
      </c>
      <c r="V1971" s="136" t="s">
        <v>252</v>
      </c>
      <c r="W1971" s="136">
        <v>250</v>
      </c>
      <c r="X1971" s="136" t="s">
        <v>252</v>
      </c>
      <c r="Y1971" s="136">
        <v>223</v>
      </c>
      <c r="Z1971" s="136" t="s">
        <v>252</v>
      </c>
      <c r="AA1971" s="136">
        <v>164</v>
      </c>
      <c r="AB1971" s="136" t="s">
        <v>252</v>
      </c>
      <c r="AC1971" s="136">
        <v>214</v>
      </c>
      <c r="AD1971" s="136" t="s">
        <v>252</v>
      </c>
      <c r="AE1971" s="136">
        <v>327</v>
      </c>
      <c r="AF1971" s="136" t="s">
        <v>252</v>
      </c>
      <c r="AG1971" s="136">
        <v>233</v>
      </c>
      <c r="AH1971" s="136" t="s">
        <v>252</v>
      </c>
      <c r="AI1971" s="136">
        <v>502</v>
      </c>
      <c r="AJ1971" s="136" t="s">
        <v>252</v>
      </c>
      <c r="AK1971" s="136">
        <v>400</v>
      </c>
      <c r="AL1971" s="136" t="s">
        <v>252</v>
      </c>
      <c r="AM1971" s="136">
        <f t="shared" si="3"/>
        <v>3910</v>
      </c>
    </row>
    <row r="1972" spans="2:39" ht="20.25" hidden="1" outlineLevel="1">
      <c r="B1972" s="149" t="s">
        <v>838</v>
      </c>
      <c r="C1972" s="135" t="s">
        <v>1402</v>
      </c>
      <c r="D1972" s="152" t="s">
        <v>1403</v>
      </c>
      <c r="E1972" s="137" t="s">
        <v>44</v>
      </c>
      <c r="F1972" s="138" t="s">
        <v>45</v>
      </c>
      <c r="G1972" s="136"/>
      <c r="H1972" s="136"/>
      <c r="I1972" s="136"/>
      <c r="J1972" s="136"/>
      <c r="K1972" s="136"/>
      <c r="L1972" s="136"/>
      <c r="M1972" s="136">
        <v>4880</v>
      </c>
      <c r="N1972" s="136">
        <v>4213</v>
      </c>
      <c r="O1972" s="136">
        <v>319</v>
      </c>
      <c r="P1972" s="136" t="s">
        <v>252</v>
      </c>
      <c r="Q1972" s="136">
        <v>383</v>
      </c>
      <c r="R1972" s="136" t="s">
        <v>252</v>
      </c>
      <c r="S1972" s="136">
        <v>287</v>
      </c>
      <c r="T1972" s="136" t="s">
        <v>252</v>
      </c>
      <c r="U1972" s="136">
        <v>300</v>
      </c>
      <c r="V1972" s="136" t="s">
        <v>252</v>
      </c>
      <c r="W1972" s="136">
        <v>287</v>
      </c>
      <c r="X1972" s="136" t="s">
        <v>252</v>
      </c>
      <c r="Y1972" s="136">
        <v>318</v>
      </c>
      <c r="Z1972" s="136" t="s">
        <v>252</v>
      </c>
      <c r="AA1972" s="136">
        <v>214</v>
      </c>
      <c r="AB1972" s="136" t="s">
        <v>252</v>
      </c>
      <c r="AC1972" s="136">
        <v>272</v>
      </c>
      <c r="AD1972" s="136" t="s">
        <v>252</v>
      </c>
      <c r="AE1972" s="136">
        <v>331</v>
      </c>
      <c r="AF1972" s="136" t="s">
        <v>252</v>
      </c>
      <c r="AG1972" s="136">
        <v>204</v>
      </c>
      <c r="AH1972" s="136" t="s">
        <v>252</v>
      </c>
      <c r="AI1972" s="136">
        <v>381</v>
      </c>
      <c r="AJ1972" s="136" t="s">
        <v>252</v>
      </c>
      <c r="AK1972" s="136">
        <v>295</v>
      </c>
      <c r="AL1972" s="136" t="s">
        <v>252</v>
      </c>
      <c r="AM1972" s="136">
        <f t="shared" si="3"/>
        <v>3591</v>
      </c>
    </row>
    <row r="1973" spans="2:39" ht="20.25" hidden="1" outlineLevel="1">
      <c r="B1973" s="149" t="s">
        <v>839</v>
      </c>
      <c r="C1973" s="135" t="s">
        <v>1402</v>
      </c>
      <c r="D1973" s="152" t="s">
        <v>1403</v>
      </c>
      <c r="E1973" s="137" t="s">
        <v>44</v>
      </c>
      <c r="F1973" s="138" t="s">
        <v>45</v>
      </c>
      <c r="G1973" s="136"/>
      <c r="H1973" s="136"/>
      <c r="I1973" s="136"/>
      <c r="J1973" s="136"/>
      <c r="K1973" s="136"/>
      <c r="L1973" s="136"/>
      <c r="M1973" s="136">
        <v>12233</v>
      </c>
      <c r="N1973" s="136">
        <v>10334</v>
      </c>
      <c r="O1973" s="136">
        <v>440</v>
      </c>
      <c r="P1973" s="136" t="s">
        <v>252</v>
      </c>
      <c r="Q1973" s="136">
        <v>237</v>
      </c>
      <c r="R1973" s="136" t="s">
        <v>252</v>
      </c>
      <c r="S1973" s="136">
        <v>155</v>
      </c>
      <c r="T1973" s="136" t="s">
        <v>252</v>
      </c>
      <c r="U1973" s="136">
        <v>190</v>
      </c>
      <c r="V1973" s="136" t="s">
        <v>252</v>
      </c>
      <c r="W1973" s="136">
        <v>256</v>
      </c>
      <c r="X1973" s="136" t="s">
        <v>252</v>
      </c>
      <c r="Y1973" s="136">
        <v>241</v>
      </c>
      <c r="Z1973" s="136" t="s">
        <v>252</v>
      </c>
      <c r="AA1973" s="136">
        <v>171</v>
      </c>
      <c r="AB1973" s="136" t="s">
        <v>252</v>
      </c>
      <c r="AC1973" s="136">
        <v>230</v>
      </c>
      <c r="AD1973" s="136" t="s">
        <v>252</v>
      </c>
      <c r="AE1973" s="136">
        <v>331</v>
      </c>
      <c r="AF1973" s="136" t="s">
        <v>252</v>
      </c>
      <c r="AG1973" s="136">
        <v>211</v>
      </c>
      <c r="AH1973" s="136" t="s">
        <v>252</v>
      </c>
      <c r="AI1973" s="136">
        <v>568</v>
      </c>
      <c r="AJ1973" s="136" t="s">
        <v>252</v>
      </c>
      <c r="AK1973" s="136">
        <v>377</v>
      </c>
      <c r="AL1973" s="136" t="s">
        <v>252</v>
      </c>
      <c r="AM1973" s="136">
        <f t="shared" si="3"/>
        <v>3407</v>
      </c>
    </row>
    <row r="1974" spans="2:39" ht="20.25" hidden="1" outlineLevel="1">
      <c r="B1974" s="149" t="s">
        <v>840</v>
      </c>
      <c r="C1974" s="135" t="s">
        <v>1402</v>
      </c>
      <c r="D1974" s="152" t="s">
        <v>1408</v>
      </c>
      <c r="E1974" s="137" t="s">
        <v>44</v>
      </c>
      <c r="F1974" s="144" t="s">
        <v>45</v>
      </c>
      <c r="G1974" s="136"/>
      <c r="H1974" s="136"/>
      <c r="I1974" s="136"/>
      <c r="J1974" s="136"/>
      <c r="K1974" s="136"/>
      <c r="L1974" s="136"/>
      <c r="M1974" s="136">
        <v>8230</v>
      </c>
      <c r="N1974" s="136">
        <v>9106</v>
      </c>
      <c r="O1974" s="136">
        <v>1119</v>
      </c>
      <c r="P1974" s="136" t="s">
        <v>252</v>
      </c>
      <c r="Q1974" s="136">
        <v>346</v>
      </c>
      <c r="R1974" s="136" t="s">
        <v>252</v>
      </c>
      <c r="S1974" s="136">
        <v>723</v>
      </c>
      <c r="T1974" s="136" t="s">
        <v>252</v>
      </c>
      <c r="U1974" s="136">
        <v>959</v>
      </c>
      <c r="V1974" s="136" t="s">
        <v>252</v>
      </c>
      <c r="W1974" s="136">
        <v>671</v>
      </c>
      <c r="X1974" s="136" t="s">
        <v>252</v>
      </c>
      <c r="Y1974" s="136">
        <v>451</v>
      </c>
      <c r="Z1974" s="136" t="s">
        <v>252</v>
      </c>
      <c r="AA1974" s="136">
        <v>572</v>
      </c>
      <c r="AB1974" s="136" t="s">
        <v>252</v>
      </c>
      <c r="AC1974" s="136">
        <v>653</v>
      </c>
      <c r="AD1974" s="136" t="s">
        <v>252</v>
      </c>
      <c r="AE1974" s="136">
        <v>840</v>
      </c>
      <c r="AF1974" s="136" t="s">
        <v>252</v>
      </c>
      <c r="AG1974" s="136">
        <v>924</v>
      </c>
      <c r="AH1974" s="136" t="s">
        <v>252</v>
      </c>
      <c r="AI1974" s="136">
        <v>976</v>
      </c>
      <c r="AJ1974" s="136" t="s">
        <v>252</v>
      </c>
      <c r="AK1974" s="136">
        <v>923</v>
      </c>
      <c r="AL1974" s="136" t="s">
        <v>252</v>
      </c>
      <c r="AM1974" s="136">
        <f t="shared" si="3"/>
        <v>9157</v>
      </c>
    </row>
    <row r="1975" spans="2:39" ht="20.25" hidden="1" outlineLevel="1">
      <c r="B1975" s="149" t="s">
        <v>842</v>
      </c>
      <c r="C1975" s="135" t="s">
        <v>1402</v>
      </c>
      <c r="D1975" s="152" t="s">
        <v>1403</v>
      </c>
      <c r="E1975" s="137" t="s">
        <v>44</v>
      </c>
      <c r="F1975" s="144" t="s">
        <v>45</v>
      </c>
      <c r="G1975" s="136"/>
      <c r="H1975" s="136"/>
      <c r="I1975" s="136"/>
      <c r="J1975" s="136"/>
      <c r="K1975" s="136"/>
      <c r="L1975" s="136"/>
      <c r="M1975" s="136">
        <v>3894</v>
      </c>
      <c r="N1975" s="136">
        <v>4073</v>
      </c>
      <c r="O1975" s="136">
        <v>426</v>
      </c>
      <c r="P1975" s="136" t="s">
        <v>252</v>
      </c>
      <c r="Q1975" s="136">
        <v>328</v>
      </c>
      <c r="R1975" s="136" t="s">
        <v>252</v>
      </c>
      <c r="S1975" s="136">
        <v>243</v>
      </c>
      <c r="T1975" s="136" t="s">
        <v>252</v>
      </c>
      <c r="U1975" s="136">
        <v>279</v>
      </c>
      <c r="V1975" s="136" t="s">
        <v>252</v>
      </c>
      <c r="W1975" s="136">
        <v>256</v>
      </c>
      <c r="X1975" s="136" t="s">
        <v>252</v>
      </c>
      <c r="Y1975" s="136">
        <v>271</v>
      </c>
      <c r="Z1975" s="136" t="s">
        <v>252</v>
      </c>
      <c r="AA1975" s="136">
        <v>239</v>
      </c>
      <c r="AB1975" s="136" t="s">
        <v>252</v>
      </c>
      <c r="AC1975" s="136">
        <v>264</v>
      </c>
      <c r="AD1975" s="136" t="s">
        <v>252</v>
      </c>
      <c r="AE1975" s="136">
        <v>261</v>
      </c>
      <c r="AF1975" s="136" t="s">
        <v>252</v>
      </c>
      <c r="AG1975" s="136">
        <v>340</v>
      </c>
      <c r="AH1975" s="136" t="s">
        <v>252</v>
      </c>
      <c r="AI1975" s="136">
        <v>397</v>
      </c>
      <c r="AJ1975" s="136" t="s">
        <v>252</v>
      </c>
      <c r="AK1975" s="136">
        <v>500</v>
      </c>
      <c r="AL1975" s="136" t="s">
        <v>252</v>
      </c>
      <c r="AM1975" s="136">
        <f t="shared" si="3"/>
        <v>3804</v>
      </c>
    </row>
    <row r="1976" spans="2:39" ht="20.25" hidden="1" outlineLevel="1">
      <c r="B1976" s="149" t="s">
        <v>843</v>
      </c>
      <c r="C1976" s="135" t="s">
        <v>1402</v>
      </c>
      <c r="D1976" s="152" t="s">
        <v>1403</v>
      </c>
      <c r="E1976" s="137" t="s">
        <v>44</v>
      </c>
      <c r="F1976" s="138" t="s">
        <v>45</v>
      </c>
      <c r="G1976" s="136"/>
      <c r="H1976" s="136"/>
      <c r="I1976" s="136"/>
      <c r="J1976" s="136"/>
      <c r="K1976" s="136"/>
      <c r="L1976" s="136"/>
      <c r="M1976" s="136"/>
      <c r="N1976" s="136"/>
      <c r="O1976" s="136"/>
      <c r="P1976" s="136" t="s">
        <v>252</v>
      </c>
      <c r="Q1976" s="136"/>
      <c r="R1976" s="136" t="s">
        <v>252</v>
      </c>
      <c r="S1976" s="136"/>
      <c r="T1976" s="136" t="s">
        <v>252</v>
      </c>
      <c r="U1976" s="136"/>
      <c r="V1976" s="136" t="s">
        <v>252</v>
      </c>
      <c r="W1976" s="136"/>
      <c r="X1976" s="136" t="s">
        <v>252</v>
      </c>
      <c r="Y1976" s="136"/>
      <c r="Z1976" s="136" t="s">
        <v>252</v>
      </c>
      <c r="AA1976" s="136"/>
      <c r="AB1976" s="136" t="s">
        <v>252</v>
      </c>
      <c r="AC1976" s="136"/>
      <c r="AD1976" s="136" t="s">
        <v>252</v>
      </c>
      <c r="AE1976" s="136"/>
      <c r="AF1976" s="136" t="s">
        <v>252</v>
      </c>
      <c r="AG1976" s="136"/>
      <c r="AH1976" s="136" t="s">
        <v>252</v>
      </c>
      <c r="AI1976" s="136"/>
      <c r="AJ1976" s="136" t="s">
        <v>252</v>
      </c>
      <c r="AK1976" s="136"/>
      <c r="AL1976" s="136" t="s">
        <v>252</v>
      </c>
      <c r="AM1976" s="136">
        <f t="shared" si="3"/>
        <v>0</v>
      </c>
    </row>
    <row r="1977" spans="2:39" ht="20.25" hidden="1" outlineLevel="1">
      <c r="B1977" s="149" t="s">
        <v>844</v>
      </c>
      <c r="C1977" s="135" t="s">
        <v>1402</v>
      </c>
      <c r="D1977" s="152" t="s">
        <v>1403</v>
      </c>
      <c r="E1977" s="137" t="s">
        <v>44</v>
      </c>
      <c r="F1977" s="138" t="s">
        <v>45</v>
      </c>
      <c r="G1977" s="136"/>
      <c r="H1977" s="136"/>
      <c r="I1977" s="136"/>
      <c r="J1977" s="136"/>
      <c r="K1977" s="136"/>
      <c r="L1977" s="136"/>
      <c r="M1977" s="136">
        <v>4838</v>
      </c>
      <c r="N1977" s="136">
        <v>4926</v>
      </c>
      <c r="O1977" s="136">
        <v>355</v>
      </c>
      <c r="P1977" s="136" t="s">
        <v>252</v>
      </c>
      <c r="Q1977" s="136">
        <v>371</v>
      </c>
      <c r="R1977" s="136" t="s">
        <v>252</v>
      </c>
      <c r="S1977" s="136">
        <v>261</v>
      </c>
      <c r="T1977" s="136" t="s">
        <v>252</v>
      </c>
      <c r="U1977" s="136">
        <v>340</v>
      </c>
      <c r="V1977" s="136" t="s">
        <v>252</v>
      </c>
      <c r="W1977" s="136">
        <v>267</v>
      </c>
      <c r="X1977" s="136" t="s">
        <v>252</v>
      </c>
      <c r="Y1977" s="136">
        <v>213</v>
      </c>
      <c r="Z1977" s="136" t="s">
        <v>252</v>
      </c>
      <c r="AA1977" s="136">
        <v>170</v>
      </c>
      <c r="AB1977" s="136" t="s">
        <v>252</v>
      </c>
      <c r="AC1977" s="136">
        <v>287</v>
      </c>
      <c r="AD1977" s="136" t="s">
        <v>252</v>
      </c>
      <c r="AE1977" s="136">
        <v>320</v>
      </c>
      <c r="AF1977" s="136" t="s">
        <v>252</v>
      </c>
      <c r="AG1977" s="136">
        <v>395</v>
      </c>
      <c r="AH1977" s="136" t="s">
        <v>252</v>
      </c>
      <c r="AI1977" s="136">
        <v>339</v>
      </c>
      <c r="AJ1977" s="136" t="s">
        <v>252</v>
      </c>
      <c r="AK1977" s="136">
        <v>422</v>
      </c>
      <c r="AL1977" s="136" t="s">
        <v>252</v>
      </c>
      <c r="AM1977" s="136">
        <f t="shared" si="3"/>
        <v>3740</v>
      </c>
    </row>
    <row r="1978" spans="2:39" ht="20.25" hidden="1" outlineLevel="1">
      <c r="B1978" s="149" t="s">
        <v>845</v>
      </c>
      <c r="C1978" s="135" t="s">
        <v>1402</v>
      </c>
      <c r="D1978" s="152" t="s">
        <v>1403</v>
      </c>
      <c r="E1978" s="137" t="s">
        <v>44</v>
      </c>
      <c r="F1978" s="138" t="s">
        <v>45</v>
      </c>
      <c r="G1978" s="136"/>
      <c r="H1978" s="136"/>
      <c r="I1978" s="136"/>
      <c r="J1978" s="136"/>
      <c r="K1978" s="136"/>
      <c r="L1978" s="136"/>
      <c r="M1978" s="136">
        <v>7814</v>
      </c>
      <c r="N1978" s="136">
        <v>9166</v>
      </c>
      <c r="O1978" s="136">
        <v>899</v>
      </c>
      <c r="P1978" s="136" t="s">
        <v>252</v>
      </c>
      <c r="Q1978" s="136">
        <v>774</v>
      </c>
      <c r="R1978" s="136" t="s">
        <v>252</v>
      </c>
      <c r="S1978" s="136">
        <v>300</v>
      </c>
      <c r="T1978" s="136" t="s">
        <v>252</v>
      </c>
      <c r="U1978" s="136">
        <v>432</v>
      </c>
      <c r="V1978" s="136" t="s">
        <v>252</v>
      </c>
      <c r="W1978" s="136">
        <v>293</v>
      </c>
      <c r="X1978" s="136" t="s">
        <v>252</v>
      </c>
      <c r="Y1978" s="136">
        <v>217</v>
      </c>
      <c r="Z1978" s="136" t="s">
        <v>252</v>
      </c>
      <c r="AA1978" s="136">
        <v>249</v>
      </c>
      <c r="AB1978" s="136" t="s">
        <v>252</v>
      </c>
      <c r="AC1978" s="136">
        <v>216</v>
      </c>
      <c r="AD1978" s="136" t="s">
        <v>252</v>
      </c>
      <c r="AE1978" s="136">
        <v>354</v>
      </c>
      <c r="AF1978" s="136" t="s">
        <v>252</v>
      </c>
      <c r="AG1978" s="136">
        <v>391</v>
      </c>
      <c r="AH1978" s="136" t="s">
        <v>252</v>
      </c>
      <c r="AI1978" s="136">
        <v>448</v>
      </c>
      <c r="AJ1978" s="136" t="s">
        <v>252</v>
      </c>
      <c r="AK1978" s="136">
        <v>595</v>
      </c>
      <c r="AL1978" s="136" t="s">
        <v>252</v>
      </c>
      <c r="AM1978" s="136">
        <f t="shared" si="3"/>
        <v>5168</v>
      </c>
    </row>
    <row r="1979" spans="2:39" ht="20.25" hidden="1" outlineLevel="1">
      <c r="B1979" s="149" t="s">
        <v>847</v>
      </c>
      <c r="C1979" s="135" t="s">
        <v>1402</v>
      </c>
      <c r="D1979" s="152" t="s">
        <v>1403</v>
      </c>
      <c r="E1979" s="137" t="s">
        <v>44</v>
      </c>
      <c r="F1979" s="138" t="s">
        <v>45</v>
      </c>
      <c r="G1979" s="136"/>
      <c r="H1979" s="136"/>
      <c r="I1979" s="136"/>
      <c r="J1979" s="136"/>
      <c r="K1979" s="136"/>
      <c r="L1979" s="136"/>
      <c r="M1979" s="136">
        <v>1526</v>
      </c>
      <c r="N1979" s="136">
        <v>1521</v>
      </c>
      <c r="O1979" s="136">
        <v>116</v>
      </c>
      <c r="P1979" s="136" t="s">
        <v>252</v>
      </c>
      <c r="Q1979" s="136">
        <v>85</v>
      </c>
      <c r="R1979" s="136" t="s">
        <v>252</v>
      </c>
      <c r="S1979" s="136">
        <v>46</v>
      </c>
      <c r="T1979" s="136" t="s">
        <v>252</v>
      </c>
      <c r="U1979" s="136">
        <v>78</v>
      </c>
      <c r="V1979" s="136" t="s">
        <v>252</v>
      </c>
      <c r="W1979" s="136">
        <v>74</v>
      </c>
      <c r="X1979" s="136" t="s">
        <v>252</v>
      </c>
      <c r="Y1979" s="136">
        <v>83</v>
      </c>
      <c r="Z1979" s="136" t="s">
        <v>252</v>
      </c>
      <c r="AA1979" s="136">
        <v>78</v>
      </c>
      <c r="AB1979" s="136" t="s">
        <v>252</v>
      </c>
      <c r="AC1979" s="136">
        <v>85</v>
      </c>
      <c r="AD1979" s="136" t="s">
        <v>252</v>
      </c>
      <c r="AE1979" s="136">
        <v>109</v>
      </c>
      <c r="AF1979" s="136" t="s">
        <v>252</v>
      </c>
      <c r="AG1979" s="136">
        <v>113</v>
      </c>
      <c r="AH1979" s="136" t="s">
        <v>252</v>
      </c>
      <c r="AI1979" s="136">
        <v>145</v>
      </c>
      <c r="AJ1979" s="136" t="s">
        <v>252</v>
      </c>
      <c r="AK1979" s="136">
        <v>182</v>
      </c>
      <c r="AL1979" s="136" t="s">
        <v>252</v>
      </c>
      <c r="AM1979" s="136">
        <f t="shared" si="3"/>
        <v>1194</v>
      </c>
    </row>
    <row r="1980" spans="2:39" ht="20.25" hidden="1" outlineLevel="1">
      <c r="B1980" s="149" t="s">
        <v>849</v>
      </c>
      <c r="C1980" s="135" t="s">
        <v>1402</v>
      </c>
      <c r="D1980" s="152" t="s">
        <v>1403</v>
      </c>
      <c r="E1980" s="433" t="s">
        <v>138</v>
      </c>
      <c r="F1980" s="425" t="s">
        <v>45</v>
      </c>
      <c r="G1980" s="136"/>
      <c r="H1980" s="136"/>
      <c r="I1980" s="136"/>
      <c r="J1980" s="136"/>
      <c r="K1980" s="146"/>
      <c r="L1980" s="136"/>
      <c r="M1980" s="419">
        <v>5560</v>
      </c>
      <c r="N1980" s="419">
        <v>6234</v>
      </c>
      <c r="O1980" s="419">
        <v>894</v>
      </c>
      <c r="P1980" s="419" t="s">
        <v>252</v>
      </c>
      <c r="Q1980" s="419">
        <v>639</v>
      </c>
      <c r="R1980" s="419" t="s">
        <v>252</v>
      </c>
      <c r="S1980" s="419">
        <v>359</v>
      </c>
      <c r="T1980" s="419" t="s">
        <v>252</v>
      </c>
      <c r="U1980" s="419">
        <v>527</v>
      </c>
      <c r="V1980" s="419" t="s">
        <v>252</v>
      </c>
      <c r="W1980" s="419">
        <v>384</v>
      </c>
      <c r="X1980" s="419" t="s">
        <v>252</v>
      </c>
      <c r="Y1980" s="419">
        <v>438</v>
      </c>
      <c r="Z1980" s="419" t="s">
        <v>252</v>
      </c>
      <c r="AA1980" s="419">
        <v>359</v>
      </c>
      <c r="AB1980" s="419" t="s">
        <v>252</v>
      </c>
      <c r="AC1980" s="419">
        <v>441</v>
      </c>
      <c r="AD1980" s="419" t="s">
        <v>252</v>
      </c>
      <c r="AE1980" s="419">
        <v>426</v>
      </c>
      <c r="AF1980" s="419" t="s">
        <v>252</v>
      </c>
      <c r="AG1980" s="419">
        <v>425</v>
      </c>
      <c r="AH1980" s="419" t="s">
        <v>252</v>
      </c>
      <c r="AI1980" s="419">
        <v>530</v>
      </c>
      <c r="AJ1980" s="419" t="s">
        <v>252</v>
      </c>
      <c r="AK1980" s="419">
        <v>587</v>
      </c>
      <c r="AL1980" s="419" t="s">
        <v>252</v>
      </c>
      <c r="AM1980" s="409">
        <f>O1980+Q1980+S1980+U1980+W1980+Y1980+AA1980+AC1980+AE1980+AG1980+AI1980+AK1980</f>
        <v>6009</v>
      </c>
    </row>
    <row r="1981" spans="2:39" ht="20.25" hidden="1" outlineLevel="1">
      <c r="B1981" s="149" t="s">
        <v>850</v>
      </c>
      <c r="C1981" s="135" t="s">
        <v>1402</v>
      </c>
      <c r="D1981" s="152" t="s">
        <v>1403</v>
      </c>
      <c r="E1981" s="434"/>
      <c r="F1981" s="426"/>
      <c r="G1981" s="136"/>
      <c r="H1981" s="136"/>
      <c r="I1981" s="136"/>
      <c r="J1981" s="136"/>
      <c r="K1981" s="136"/>
      <c r="L1981" s="136"/>
      <c r="M1981" s="420"/>
      <c r="N1981" s="420"/>
      <c r="O1981" s="420"/>
      <c r="P1981" s="420"/>
      <c r="Q1981" s="420"/>
      <c r="R1981" s="420"/>
      <c r="S1981" s="420"/>
      <c r="T1981" s="420"/>
      <c r="U1981" s="420"/>
      <c r="V1981" s="420"/>
      <c r="W1981" s="420"/>
      <c r="X1981" s="420"/>
      <c r="Y1981" s="420"/>
      <c r="Z1981" s="420"/>
      <c r="AA1981" s="420"/>
      <c r="AB1981" s="420"/>
      <c r="AC1981" s="420"/>
      <c r="AD1981" s="420"/>
      <c r="AE1981" s="420"/>
      <c r="AF1981" s="420"/>
      <c r="AG1981" s="420"/>
      <c r="AH1981" s="420"/>
      <c r="AI1981" s="420"/>
      <c r="AJ1981" s="420"/>
      <c r="AK1981" s="420"/>
      <c r="AL1981" s="420"/>
      <c r="AM1981" s="410"/>
    </row>
    <row r="1982" spans="2:39" ht="20.25" hidden="1" outlineLevel="1">
      <c r="B1982" s="149" t="s">
        <v>849</v>
      </c>
      <c r="C1982" s="135" t="s">
        <v>1402</v>
      </c>
      <c r="D1982" s="152" t="s">
        <v>1403</v>
      </c>
      <c r="E1982" s="433" t="s">
        <v>44</v>
      </c>
      <c r="F1982" s="425" t="s">
        <v>45</v>
      </c>
      <c r="G1982" s="136"/>
      <c r="H1982" s="136"/>
      <c r="I1982" s="136"/>
      <c r="J1982" s="136"/>
      <c r="K1982" s="136"/>
      <c r="L1982" s="136"/>
      <c r="M1982" s="419">
        <v>5362</v>
      </c>
      <c r="N1982" s="419">
        <v>5967</v>
      </c>
      <c r="O1982" s="419">
        <v>352</v>
      </c>
      <c r="P1982" s="419" t="s">
        <v>252</v>
      </c>
      <c r="Q1982" s="419">
        <v>490</v>
      </c>
      <c r="R1982" s="419" t="s">
        <v>252</v>
      </c>
      <c r="S1982" s="419">
        <v>547</v>
      </c>
      <c r="T1982" s="419" t="s">
        <v>252</v>
      </c>
      <c r="U1982" s="419">
        <v>570</v>
      </c>
      <c r="V1982" s="419" t="s">
        <v>252</v>
      </c>
      <c r="W1982" s="419">
        <v>389</v>
      </c>
      <c r="X1982" s="419" t="s">
        <v>252</v>
      </c>
      <c r="Y1982" s="419">
        <v>353</v>
      </c>
      <c r="Z1982" s="419" t="s">
        <v>252</v>
      </c>
      <c r="AA1982" s="419">
        <v>316</v>
      </c>
      <c r="AB1982" s="419" t="s">
        <v>252</v>
      </c>
      <c r="AC1982" s="419">
        <v>439</v>
      </c>
      <c r="AD1982" s="419" t="s">
        <v>252</v>
      </c>
      <c r="AE1982" s="419">
        <v>444</v>
      </c>
      <c r="AF1982" s="419" t="s">
        <v>252</v>
      </c>
      <c r="AG1982" s="419">
        <v>630</v>
      </c>
      <c r="AH1982" s="419" t="s">
        <v>252</v>
      </c>
      <c r="AI1982" s="419">
        <v>799</v>
      </c>
      <c r="AJ1982" s="419" t="s">
        <v>252</v>
      </c>
      <c r="AK1982" s="419">
        <v>686</v>
      </c>
      <c r="AL1982" s="419" t="s">
        <v>252</v>
      </c>
      <c r="AM1982" s="409">
        <f>O1982+Q1982+S1982+U1982+W1982+Y1982+AA1982+AC1982+AE1982+AG1982+AI1982+AK1982</f>
        <v>6015</v>
      </c>
    </row>
    <row r="1983" spans="2:39" ht="20.25" hidden="1" outlineLevel="1">
      <c r="B1983" s="149" t="s">
        <v>850</v>
      </c>
      <c r="C1983" s="135" t="s">
        <v>1402</v>
      </c>
      <c r="D1983" s="152" t="s">
        <v>1403</v>
      </c>
      <c r="E1983" s="434"/>
      <c r="F1983" s="426"/>
      <c r="G1983" s="136"/>
      <c r="H1983" s="136"/>
      <c r="I1983" s="136"/>
      <c r="J1983" s="136"/>
      <c r="K1983" s="136"/>
      <c r="L1983" s="136"/>
      <c r="M1983" s="420"/>
      <c r="N1983" s="420"/>
      <c r="O1983" s="420"/>
      <c r="P1983" s="420"/>
      <c r="Q1983" s="420"/>
      <c r="R1983" s="420"/>
      <c r="S1983" s="420"/>
      <c r="T1983" s="420"/>
      <c r="U1983" s="420"/>
      <c r="V1983" s="420"/>
      <c r="W1983" s="420"/>
      <c r="X1983" s="420"/>
      <c r="Y1983" s="420"/>
      <c r="Z1983" s="420"/>
      <c r="AA1983" s="420"/>
      <c r="AB1983" s="420"/>
      <c r="AC1983" s="420"/>
      <c r="AD1983" s="420"/>
      <c r="AE1983" s="420"/>
      <c r="AF1983" s="420"/>
      <c r="AG1983" s="420"/>
      <c r="AH1983" s="420"/>
      <c r="AI1983" s="420"/>
      <c r="AJ1983" s="420"/>
      <c r="AK1983" s="420"/>
      <c r="AL1983" s="420"/>
      <c r="AM1983" s="410"/>
    </row>
    <row r="1984" spans="2:39" ht="20.25" hidden="1" outlineLevel="1">
      <c r="B1984" s="149" t="s">
        <v>851</v>
      </c>
      <c r="C1984" s="135" t="s">
        <v>1402</v>
      </c>
      <c r="D1984" s="152" t="s">
        <v>1403</v>
      </c>
      <c r="E1984" s="137" t="s">
        <v>44</v>
      </c>
      <c r="F1984" s="138" t="s">
        <v>45</v>
      </c>
      <c r="G1984" s="136"/>
      <c r="H1984" s="136"/>
      <c r="I1984" s="136"/>
      <c r="J1984" s="136"/>
      <c r="K1984" s="136"/>
      <c r="L1984" s="136"/>
      <c r="M1984" s="136">
        <v>2921</v>
      </c>
      <c r="N1984" s="136">
        <v>2183</v>
      </c>
      <c r="O1984" s="136">
        <v>162</v>
      </c>
      <c r="P1984" s="136" t="s">
        <v>252</v>
      </c>
      <c r="Q1984" s="136">
        <v>262</v>
      </c>
      <c r="R1984" s="136" t="s">
        <v>252</v>
      </c>
      <c r="S1984" s="136">
        <v>135</v>
      </c>
      <c r="T1984" s="136" t="s">
        <v>252</v>
      </c>
      <c r="U1984" s="136">
        <v>156</v>
      </c>
      <c r="V1984" s="136" t="s">
        <v>252</v>
      </c>
      <c r="W1984" s="136">
        <v>95</v>
      </c>
      <c r="X1984" s="136" t="s">
        <v>252</v>
      </c>
      <c r="Y1984" s="136">
        <v>104</v>
      </c>
      <c r="Z1984" s="136" t="s">
        <v>252</v>
      </c>
      <c r="AA1984" s="136">
        <v>86</v>
      </c>
      <c r="AB1984" s="136" t="s">
        <v>252</v>
      </c>
      <c r="AC1984" s="136">
        <v>170</v>
      </c>
      <c r="AD1984" s="136" t="s">
        <v>252</v>
      </c>
      <c r="AE1984" s="136">
        <v>233</v>
      </c>
      <c r="AF1984" s="136" t="s">
        <v>252</v>
      </c>
      <c r="AG1984" s="136">
        <v>197</v>
      </c>
      <c r="AH1984" s="136" t="s">
        <v>252</v>
      </c>
      <c r="AI1984" s="136">
        <v>307</v>
      </c>
      <c r="AJ1984" s="136" t="s">
        <v>252</v>
      </c>
      <c r="AK1984" s="136">
        <v>293</v>
      </c>
      <c r="AL1984" s="136" t="s">
        <v>252</v>
      </c>
      <c r="AM1984" s="136">
        <f t="shared" ref="AM1984:AM2000" si="4">O1984+Q1984+S1984+U1984+W1984+Y1984+AA1984+AC1984+AE1984+AG1984+AI1984+AK1984</f>
        <v>2200</v>
      </c>
    </row>
    <row r="1985" spans="2:39" ht="20.25" hidden="1" outlineLevel="1">
      <c r="B1985" s="149" t="s">
        <v>852</v>
      </c>
      <c r="C1985" s="135" t="s">
        <v>1402</v>
      </c>
      <c r="D1985" s="152" t="s">
        <v>1403</v>
      </c>
      <c r="E1985" s="143" t="s">
        <v>138</v>
      </c>
      <c r="F1985" s="144" t="s">
        <v>45</v>
      </c>
      <c r="G1985" s="136"/>
      <c r="H1985" s="136"/>
      <c r="I1985" s="136"/>
      <c r="J1985" s="136"/>
      <c r="K1985" s="136"/>
      <c r="L1985" s="136"/>
      <c r="M1985" s="136">
        <v>3240</v>
      </c>
      <c r="N1985" s="136">
        <v>3567</v>
      </c>
      <c r="O1985" s="136">
        <v>233</v>
      </c>
      <c r="P1985" s="136" t="s">
        <v>252</v>
      </c>
      <c r="Q1985" s="136">
        <v>304</v>
      </c>
      <c r="R1985" s="136" t="s">
        <v>252</v>
      </c>
      <c r="S1985" s="136">
        <v>172</v>
      </c>
      <c r="T1985" s="136" t="s">
        <v>252</v>
      </c>
      <c r="U1985" s="136">
        <v>272</v>
      </c>
      <c r="V1985" s="136" t="s">
        <v>252</v>
      </c>
      <c r="W1985" s="136">
        <v>614</v>
      </c>
      <c r="X1985" s="136" t="s">
        <v>252</v>
      </c>
      <c r="Y1985" s="136">
        <v>262</v>
      </c>
      <c r="Z1985" s="136" t="s">
        <v>252</v>
      </c>
      <c r="AA1985" s="136">
        <v>219</v>
      </c>
      <c r="AB1985" s="136" t="s">
        <v>252</v>
      </c>
      <c r="AC1985" s="136">
        <v>246</v>
      </c>
      <c r="AD1985" s="136" t="s">
        <v>252</v>
      </c>
      <c r="AE1985" s="136">
        <v>606</v>
      </c>
      <c r="AF1985" s="136" t="s">
        <v>252</v>
      </c>
      <c r="AG1985" s="136">
        <v>224</v>
      </c>
      <c r="AH1985" s="136" t="s">
        <v>252</v>
      </c>
      <c r="AI1985" s="136">
        <v>254</v>
      </c>
      <c r="AJ1985" s="136" t="s">
        <v>252</v>
      </c>
      <c r="AK1985" s="136">
        <v>280</v>
      </c>
      <c r="AL1985" s="136" t="s">
        <v>252</v>
      </c>
      <c r="AM1985" s="136">
        <f t="shared" si="4"/>
        <v>3686</v>
      </c>
    </row>
    <row r="1986" spans="2:39" ht="20.25" hidden="1" outlineLevel="1">
      <c r="B1986" s="149" t="s">
        <v>852</v>
      </c>
      <c r="C1986" s="135" t="s">
        <v>1402</v>
      </c>
      <c r="D1986" s="152" t="s">
        <v>1403</v>
      </c>
      <c r="E1986" s="137" t="s">
        <v>44</v>
      </c>
      <c r="F1986" s="144" t="s">
        <v>45</v>
      </c>
      <c r="G1986" s="136"/>
      <c r="H1986" s="136"/>
      <c r="I1986" s="136"/>
      <c r="J1986" s="136"/>
      <c r="K1986" s="136"/>
      <c r="L1986" s="136"/>
      <c r="M1986" s="136">
        <v>8544</v>
      </c>
      <c r="N1986" s="136">
        <v>8798</v>
      </c>
      <c r="O1986" s="136">
        <v>905</v>
      </c>
      <c r="P1986" s="136" t="s">
        <v>252</v>
      </c>
      <c r="Q1986" s="136">
        <v>989</v>
      </c>
      <c r="R1986" s="136" t="s">
        <v>252</v>
      </c>
      <c r="S1986" s="136">
        <v>574</v>
      </c>
      <c r="T1986" s="136" t="s">
        <v>252</v>
      </c>
      <c r="U1986" s="136">
        <v>839</v>
      </c>
      <c r="V1986" s="136" t="s">
        <v>252</v>
      </c>
      <c r="W1986" s="136">
        <v>237</v>
      </c>
      <c r="X1986" s="136" t="s">
        <v>252</v>
      </c>
      <c r="Y1986" s="136">
        <v>559</v>
      </c>
      <c r="Z1986" s="136" t="s">
        <v>252</v>
      </c>
      <c r="AA1986" s="136">
        <v>458</v>
      </c>
      <c r="AB1986" s="136" t="s">
        <v>252</v>
      </c>
      <c r="AC1986" s="136">
        <v>631</v>
      </c>
      <c r="AD1986" s="136" t="s">
        <v>252</v>
      </c>
      <c r="AE1986" s="136">
        <v>233</v>
      </c>
      <c r="AF1986" s="136" t="s">
        <v>252</v>
      </c>
      <c r="AG1986" s="136">
        <v>711</v>
      </c>
      <c r="AH1986" s="136" t="s">
        <v>252</v>
      </c>
      <c r="AI1986" s="136">
        <v>862</v>
      </c>
      <c r="AJ1986" s="136" t="s">
        <v>252</v>
      </c>
      <c r="AK1986" s="136">
        <v>1076</v>
      </c>
      <c r="AL1986" s="136" t="s">
        <v>252</v>
      </c>
      <c r="AM1986" s="136">
        <f t="shared" si="4"/>
        <v>8074</v>
      </c>
    </row>
    <row r="1987" spans="2:39" ht="20.25" hidden="1" outlineLevel="1">
      <c r="B1987" s="149" t="s">
        <v>853</v>
      </c>
      <c r="C1987" s="135" t="s">
        <v>1402</v>
      </c>
      <c r="D1987" s="152" t="s">
        <v>1403</v>
      </c>
      <c r="E1987" s="137" t="s">
        <v>44</v>
      </c>
      <c r="F1987" s="138" t="s">
        <v>45</v>
      </c>
      <c r="G1987" s="136"/>
      <c r="H1987" s="136"/>
      <c r="I1987" s="136"/>
      <c r="J1987" s="136"/>
      <c r="K1987" s="136"/>
      <c r="L1987" s="136"/>
      <c r="M1987" s="136">
        <v>6347</v>
      </c>
      <c r="N1987" s="136">
        <v>5516</v>
      </c>
      <c r="O1987" s="136">
        <v>731</v>
      </c>
      <c r="P1987" s="136" t="s">
        <v>252</v>
      </c>
      <c r="Q1987" s="136">
        <v>735</v>
      </c>
      <c r="R1987" s="136" t="s">
        <v>252</v>
      </c>
      <c r="S1987" s="136">
        <v>333</v>
      </c>
      <c r="T1987" s="136" t="s">
        <v>252</v>
      </c>
      <c r="U1987" s="136">
        <v>382</v>
      </c>
      <c r="V1987" s="136" t="s">
        <v>252</v>
      </c>
      <c r="W1987" s="136">
        <v>277</v>
      </c>
      <c r="X1987" s="136" t="s">
        <v>252</v>
      </c>
      <c r="Y1987" s="136">
        <v>225</v>
      </c>
      <c r="Z1987" s="136" t="s">
        <v>252</v>
      </c>
      <c r="AA1987" s="136">
        <v>175</v>
      </c>
      <c r="AB1987" s="136" t="s">
        <v>252</v>
      </c>
      <c r="AC1987" s="136">
        <v>370</v>
      </c>
      <c r="AD1987" s="136" t="s">
        <v>252</v>
      </c>
      <c r="AE1987" s="136">
        <v>606</v>
      </c>
      <c r="AF1987" s="136" t="s">
        <v>252</v>
      </c>
      <c r="AG1987" s="136">
        <v>476</v>
      </c>
      <c r="AH1987" s="136" t="s">
        <v>252</v>
      </c>
      <c r="AI1987" s="136">
        <v>574</v>
      </c>
      <c r="AJ1987" s="136" t="s">
        <v>252</v>
      </c>
      <c r="AK1987" s="136">
        <v>570</v>
      </c>
      <c r="AL1987" s="136" t="s">
        <v>252</v>
      </c>
      <c r="AM1987" s="136">
        <f t="shared" si="4"/>
        <v>5454</v>
      </c>
    </row>
    <row r="1988" spans="2:39" ht="20.25" hidden="1" outlineLevel="1">
      <c r="B1988" s="149" t="s">
        <v>854</v>
      </c>
      <c r="C1988" s="135" t="s">
        <v>1402</v>
      </c>
      <c r="D1988" s="152" t="s">
        <v>1403</v>
      </c>
      <c r="E1988" s="137" t="s">
        <v>44</v>
      </c>
      <c r="F1988" s="138" t="s">
        <v>45</v>
      </c>
      <c r="G1988" s="136"/>
      <c r="H1988" s="136"/>
      <c r="I1988" s="136"/>
      <c r="J1988" s="136"/>
      <c r="K1988" s="136"/>
      <c r="L1988" s="136"/>
      <c r="M1988" s="136">
        <v>4201</v>
      </c>
      <c r="N1988" s="136">
        <v>4120</v>
      </c>
      <c r="O1988" s="136">
        <v>468</v>
      </c>
      <c r="P1988" s="136" t="s">
        <v>252</v>
      </c>
      <c r="Q1988" s="136">
        <v>514</v>
      </c>
      <c r="R1988" s="136" t="s">
        <v>252</v>
      </c>
      <c r="S1988" s="136">
        <v>282</v>
      </c>
      <c r="T1988" s="136" t="s">
        <v>252</v>
      </c>
      <c r="U1988" s="136">
        <v>391</v>
      </c>
      <c r="V1988" s="136" t="s">
        <v>252</v>
      </c>
      <c r="W1988" s="136">
        <v>311</v>
      </c>
      <c r="X1988" s="136" t="s">
        <v>252</v>
      </c>
      <c r="Y1988" s="136">
        <v>264</v>
      </c>
      <c r="Z1988" s="136" t="s">
        <v>252</v>
      </c>
      <c r="AA1988" s="136">
        <v>179</v>
      </c>
      <c r="AB1988" s="136" t="s">
        <v>252</v>
      </c>
      <c r="AC1988" s="136">
        <v>201</v>
      </c>
      <c r="AD1988" s="136" t="s">
        <v>252</v>
      </c>
      <c r="AE1988" s="136">
        <v>293</v>
      </c>
      <c r="AF1988" s="136" t="s">
        <v>252</v>
      </c>
      <c r="AG1988" s="136">
        <v>410</v>
      </c>
      <c r="AH1988" s="136" t="s">
        <v>252</v>
      </c>
      <c r="AI1988" s="136">
        <v>458</v>
      </c>
      <c r="AJ1988" s="136" t="s">
        <v>252</v>
      </c>
      <c r="AK1988" s="136">
        <v>552</v>
      </c>
      <c r="AL1988" s="136" t="s">
        <v>252</v>
      </c>
      <c r="AM1988" s="136">
        <f t="shared" si="4"/>
        <v>4323</v>
      </c>
    </row>
    <row r="1989" spans="2:39" ht="20.25" hidden="1" outlineLevel="1">
      <c r="B1989" s="149" t="s">
        <v>856</v>
      </c>
      <c r="C1989" s="135" t="s">
        <v>1402</v>
      </c>
      <c r="D1989" s="152" t="s">
        <v>1403</v>
      </c>
      <c r="E1989" s="143" t="s">
        <v>138</v>
      </c>
      <c r="F1989" s="138" t="s">
        <v>45</v>
      </c>
      <c r="G1989" s="136"/>
      <c r="H1989" s="136"/>
      <c r="I1989" s="136"/>
      <c r="J1989" s="136"/>
      <c r="K1989" s="136"/>
      <c r="L1989" s="136"/>
      <c r="M1989" s="136">
        <v>8667</v>
      </c>
      <c r="N1989" s="136">
        <v>8139</v>
      </c>
      <c r="O1989" s="136">
        <v>582</v>
      </c>
      <c r="P1989" s="136" t="s">
        <v>252</v>
      </c>
      <c r="Q1989" s="136">
        <v>689</v>
      </c>
      <c r="R1989" s="136" t="s">
        <v>252</v>
      </c>
      <c r="S1989" s="136">
        <v>402</v>
      </c>
      <c r="T1989" s="136" t="s">
        <v>252</v>
      </c>
      <c r="U1989" s="136">
        <v>611</v>
      </c>
      <c r="V1989" s="136" t="s">
        <v>252</v>
      </c>
      <c r="W1989" s="136">
        <v>472</v>
      </c>
      <c r="X1989" s="136" t="s">
        <v>252</v>
      </c>
      <c r="Y1989" s="136">
        <v>578</v>
      </c>
      <c r="Z1989" s="136" t="s">
        <v>252</v>
      </c>
      <c r="AA1989" s="136">
        <v>489</v>
      </c>
      <c r="AB1989" s="136" t="s">
        <v>252</v>
      </c>
      <c r="AC1989" s="136">
        <v>486</v>
      </c>
      <c r="AD1989" s="136" t="s">
        <v>252</v>
      </c>
      <c r="AE1989" s="136">
        <v>435</v>
      </c>
      <c r="AF1989" s="136" t="s">
        <v>252</v>
      </c>
      <c r="AG1989" s="136">
        <v>447</v>
      </c>
      <c r="AH1989" s="136" t="s">
        <v>252</v>
      </c>
      <c r="AI1989" s="136">
        <v>512</v>
      </c>
      <c r="AJ1989" s="136" t="s">
        <v>252</v>
      </c>
      <c r="AK1989" s="136">
        <v>516</v>
      </c>
      <c r="AL1989" s="136" t="s">
        <v>252</v>
      </c>
      <c r="AM1989" s="136">
        <f t="shared" si="4"/>
        <v>6219</v>
      </c>
    </row>
    <row r="1990" spans="2:39" ht="20.25" hidden="1" outlineLevel="1">
      <c r="B1990" s="149" t="s">
        <v>856</v>
      </c>
      <c r="C1990" s="135" t="s">
        <v>1402</v>
      </c>
      <c r="D1990" s="152" t="s">
        <v>1403</v>
      </c>
      <c r="E1990" s="137" t="s">
        <v>44</v>
      </c>
      <c r="F1990" s="138" t="s">
        <v>45</v>
      </c>
      <c r="G1990" s="136"/>
      <c r="H1990" s="136"/>
      <c r="I1990" s="136"/>
      <c r="J1990" s="136"/>
      <c r="K1990" s="136"/>
      <c r="L1990" s="136"/>
      <c r="M1990" s="136">
        <v>7123</v>
      </c>
      <c r="N1990" s="136">
        <v>6957</v>
      </c>
      <c r="O1990" s="136">
        <v>780</v>
      </c>
      <c r="P1990" s="136" t="s">
        <v>252</v>
      </c>
      <c r="Q1990" s="136">
        <v>624</v>
      </c>
      <c r="R1990" s="136" t="s">
        <v>252</v>
      </c>
      <c r="S1990" s="136">
        <v>264</v>
      </c>
      <c r="T1990" s="136" t="s">
        <v>252</v>
      </c>
      <c r="U1990" s="136">
        <v>685</v>
      </c>
      <c r="V1990" s="136" t="s">
        <v>252</v>
      </c>
      <c r="W1990" s="136">
        <v>537</v>
      </c>
      <c r="X1990" s="136" t="s">
        <v>252</v>
      </c>
      <c r="Y1990" s="136">
        <v>516</v>
      </c>
      <c r="Z1990" s="136" t="s">
        <v>252</v>
      </c>
      <c r="AA1990" s="136">
        <v>369</v>
      </c>
      <c r="AB1990" s="136" t="s">
        <v>252</v>
      </c>
      <c r="AC1990" s="136">
        <v>554</v>
      </c>
      <c r="AD1990" s="136" t="s">
        <v>252</v>
      </c>
      <c r="AE1990" s="136">
        <v>620</v>
      </c>
      <c r="AF1990" s="136" t="s">
        <v>252</v>
      </c>
      <c r="AG1990" s="136">
        <v>865</v>
      </c>
      <c r="AH1990" s="136" t="s">
        <v>252</v>
      </c>
      <c r="AI1990" s="136">
        <v>1093</v>
      </c>
      <c r="AJ1990" s="136" t="s">
        <v>252</v>
      </c>
      <c r="AK1990" s="136">
        <v>1193</v>
      </c>
      <c r="AL1990" s="136" t="s">
        <v>252</v>
      </c>
      <c r="AM1990" s="136">
        <f t="shared" si="4"/>
        <v>8100</v>
      </c>
    </row>
    <row r="1991" spans="2:39" ht="20.25" hidden="1" outlineLevel="1">
      <c r="B1991" s="149" t="s">
        <v>857</v>
      </c>
      <c r="C1991" s="135" t="s">
        <v>1402</v>
      </c>
      <c r="D1991" s="152" t="s">
        <v>1403</v>
      </c>
      <c r="E1991" s="137" t="s">
        <v>44</v>
      </c>
      <c r="F1991" s="138" t="s">
        <v>45</v>
      </c>
      <c r="G1991" s="136"/>
      <c r="H1991" s="136"/>
      <c r="I1991" s="136"/>
      <c r="J1991" s="136"/>
      <c r="K1991" s="136"/>
      <c r="L1991" s="136"/>
      <c r="M1991" s="136">
        <v>5998</v>
      </c>
      <c r="N1991" s="136">
        <v>3628</v>
      </c>
      <c r="O1991" s="136">
        <v>295</v>
      </c>
      <c r="P1991" s="136" t="s">
        <v>252</v>
      </c>
      <c r="Q1991" s="136">
        <v>193</v>
      </c>
      <c r="R1991" s="136" t="s">
        <v>252</v>
      </c>
      <c r="S1991" s="136">
        <v>135</v>
      </c>
      <c r="T1991" s="136" t="s">
        <v>252</v>
      </c>
      <c r="U1991" s="136">
        <v>187</v>
      </c>
      <c r="V1991" s="136" t="s">
        <v>252</v>
      </c>
      <c r="W1991" s="136">
        <v>189</v>
      </c>
      <c r="X1991" s="136" t="s">
        <v>252</v>
      </c>
      <c r="Y1991" s="136">
        <v>95</v>
      </c>
      <c r="Z1991" s="136" t="s">
        <v>252</v>
      </c>
      <c r="AA1991" s="136">
        <v>122</v>
      </c>
      <c r="AB1991" s="136" t="s">
        <v>252</v>
      </c>
      <c r="AC1991" s="136">
        <v>159</v>
      </c>
      <c r="AD1991" s="136" t="s">
        <v>252</v>
      </c>
      <c r="AE1991" s="136">
        <v>197</v>
      </c>
      <c r="AF1991" s="136" t="s">
        <v>252</v>
      </c>
      <c r="AG1991" s="136">
        <v>282</v>
      </c>
      <c r="AH1991" s="136" t="s">
        <v>252</v>
      </c>
      <c r="AI1991" s="136">
        <v>220</v>
      </c>
      <c r="AJ1991" s="136" t="s">
        <v>252</v>
      </c>
      <c r="AK1991" s="136">
        <v>273</v>
      </c>
      <c r="AL1991" s="136" t="s">
        <v>252</v>
      </c>
      <c r="AM1991" s="136">
        <f t="shared" si="4"/>
        <v>2347</v>
      </c>
    </row>
    <row r="1992" spans="2:39" ht="20.25" hidden="1" outlineLevel="1">
      <c r="B1992" s="149" t="s">
        <v>858</v>
      </c>
      <c r="C1992" s="135" t="s">
        <v>1402</v>
      </c>
      <c r="D1992" s="152" t="s">
        <v>1403</v>
      </c>
      <c r="E1992" s="137" t="s">
        <v>44</v>
      </c>
      <c r="F1992" s="138" t="s">
        <v>45</v>
      </c>
      <c r="G1992" s="136"/>
      <c r="H1992" s="136"/>
      <c r="I1992" s="136"/>
      <c r="J1992" s="136"/>
      <c r="K1992" s="136"/>
      <c r="L1992" s="136"/>
      <c r="M1992" s="136">
        <v>1354</v>
      </c>
      <c r="N1992" s="136">
        <v>1023</v>
      </c>
      <c r="O1992" s="136">
        <v>45</v>
      </c>
      <c r="P1992" s="136" t="s">
        <v>252</v>
      </c>
      <c r="Q1992" s="136">
        <v>31</v>
      </c>
      <c r="R1992" s="136" t="s">
        <v>252</v>
      </c>
      <c r="S1992" s="136">
        <v>29</v>
      </c>
      <c r="T1992" s="136" t="s">
        <v>252</v>
      </c>
      <c r="U1992" s="136">
        <v>44</v>
      </c>
      <c r="V1992" s="136" t="s">
        <v>252</v>
      </c>
      <c r="W1992" s="136">
        <v>51</v>
      </c>
      <c r="X1992" s="136" t="s">
        <v>252</v>
      </c>
      <c r="Y1992" s="136">
        <v>76</v>
      </c>
      <c r="Z1992" s="136" t="s">
        <v>252</v>
      </c>
      <c r="AA1992" s="136">
        <v>49</v>
      </c>
      <c r="AB1992" s="136" t="s">
        <v>252</v>
      </c>
      <c r="AC1992" s="136">
        <v>57</v>
      </c>
      <c r="AD1992" s="136" t="s">
        <v>252</v>
      </c>
      <c r="AE1992" s="136">
        <v>56</v>
      </c>
      <c r="AF1992" s="136" t="s">
        <v>252</v>
      </c>
      <c r="AG1992" s="136">
        <v>97</v>
      </c>
      <c r="AH1992" s="136" t="s">
        <v>252</v>
      </c>
      <c r="AI1992" s="136">
        <v>69</v>
      </c>
      <c r="AJ1992" s="136" t="s">
        <v>252</v>
      </c>
      <c r="AK1992" s="136">
        <v>58</v>
      </c>
      <c r="AL1992" s="136" t="s">
        <v>252</v>
      </c>
      <c r="AM1992" s="136">
        <f t="shared" si="4"/>
        <v>662</v>
      </c>
    </row>
    <row r="1993" spans="2:39" ht="20.25" hidden="1" outlineLevel="1">
      <c r="B1993" s="149" t="s">
        <v>861</v>
      </c>
      <c r="C1993" s="135" t="s">
        <v>1402</v>
      </c>
      <c r="D1993" s="152" t="s">
        <v>1403</v>
      </c>
      <c r="E1993" s="137" t="s">
        <v>44</v>
      </c>
      <c r="F1993" s="144" t="s">
        <v>45</v>
      </c>
      <c r="G1993" s="136"/>
      <c r="H1993" s="136"/>
      <c r="I1993" s="136"/>
      <c r="J1993" s="136"/>
      <c r="K1993" s="136"/>
      <c r="L1993" s="136"/>
      <c r="M1993" s="136"/>
      <c r="N1993" s="136"/>
      <c r="O1993" s="136"/>
      <c r="P1993" s="136" t="s">
        <v>252</v>
      </c>
      <c r="Q1993" s="136"/>
      <c r="R1993" s="136" t="s">
        <v>252</v>
      </c>
      <c r="S1993" s="136"/>
      <c r="T1993" s="136" t="s">
        <v>252</v>
      </c>
      <c r="U1993" s="136"/>
      <c r="V1993" s="136" t="s">
        <v>252</v>
      </c>
      <c r="W1993" s="136"/>
      <c r="X1993" s="136" t="s">
        <v>252</v>
      </c>
      <c r="Y1993" s="136"/>
      <c r="Z1993" s="136" t="s">
        <v>252</v>
      </c>
      <c r="AA1993" s="136"/>
      <c r="AB1993" s="136" t="s">
        <v>252</v>
      </c>
      <c r="AC1993" s="136"/>
      <c r="AD1993" s="136" t="s">
        <v>252</v>
      </c>
      <c r="AE1993" s="136"/>
      <c r="AF1993" s="136" t="s">
        <v>252</v>
      </c>
      <c r="AG1993" s="136"/>
      <c r="AH1993" s="136" t="s">
        <v>252</v>
      </c>
      <c r="AI1993" s="136"/>
      <c r="AJ1993" s="136" t="s">
        <v>252</v>
      </c>
      <c r="AK1993" s="136"/>
      <c r="AL1993" s="136" t="s">
        <v>252</v>
      </c>
      <c r="AM1993" s="136">
        <f t="shared" si="4"/>
        <v>0</v>
      </c>
    </row>
    <row r="1994" spans="2:39" ht="20.25" hidden="1" outlineLevel="1">
      <c r="B1994" s="149" t="s">
        <v>862</v>
      </c>
      <c r="C1994" s="135" t="s">
        <v>1402</v>
      </c>
      <c r="D1994" s="152" t="s">
        <v>1403</v>
      </c>
      <c r="E1994" s="137" t="s">
        <v>44</v>
      </c>
      <c r="F1994" s="144" t="s">
        <v>45</v>
      </c>
      <c r="G1994" s="136"/>
      <c r="H1994" s="136"/>
      <c r="I1994" s="136"/>
      <c r="J1994" s="136"/>
      <c r="K1994" s="136"/>
      <c r="L1994" s="136"/>
      <c r="M1994" s="136">
        <v>5143</v>
      </c>
      <c r="N1994" s="136">
        <v>6470</v>
      </c>
      <c r="O1994" s="136">
        <v>454</v>
      </c>
      <c r="P1994" s="136" t="s">
        <v>252</v>
      </c>
      <c r="Q1994" s="136">
        <v>484</v>
      </c>
      <c r="R1994" s="136" t="s">
        <v>252</v>
      </c>
      <c r="S1994" s="136">
        <v>353</v>
      </c>
      <c r="T1994" s="136" t="s">
        <v>252</v>
      </c>
      <c r="U1994" s="136">
        <v>399</v>
      </c>
      <c r="V1994" s="136" t="s">
        <v>252</v>
      </c>
      <c r="W1994" s="136">
        <v>335</v>
      </c>
      <c r="X1994" s="136" t="s">
        <v>252</v>
      </c>
      <c r="Y1994" s="136">
        <v>332</v>
      </c>
      <c r="Z1994" s="136" t="s">
        <v>252</v>
      </c>
      <c r="AA1994" s="136">
        <v>287</v>
      </c>
      <c r="AB1994" s="136" t="s">
        <v>252</v>
      </c>
      <c r="AC1994" s="136">
        <v>341</v>
      </c>
      <c r="AD1994" s="136" t="s">
        <v>252</v>
      </c>
      <c r="AE1994" s="136">
        <v>356</v>
      </c>
      <c r="AF1994" s="136" t="s">
        <v>252</v>
      </c>
      <c r="AG1994" s="136">
        <v>382</v>
      </c>
      <c r="AH1994" s="136" t="s">
        <v>252</v>
      </c>
      <c r="AI1994" s="136">
        <v>753</v>
      </c>
      <c r="AJ1994" s="136" t="s">
        <v>252</v>
      </c>
      <c r="AK1994" s="136">
        <v>530</v>
      </c>
      <c r="AL1994" s="136" t="s">
        <v>252</v>
      </c>
      <c r="AM1994" s="136">
        <f t="shared" si="4"/>
        <v>5006</v>
      </c>
    </row>
    <row r="1995" spans="2:39" ht="20.25" hidden="1" outlineLevel="1">
      <c r="B1995" s="149" t="s">
        <v>863</v>
      </c>
      <c r="C1995" s="135" t="s">
        <v>1402</v>
      </c>
      <c r="D1995" s="152" t="s">
        <v>1403</v>
      </c>
      <c r="E1995" s="137" t="s">
        <v>44</v>
      </c>
      <c r="F1995" s="138" t="s">
        <v>45</v>
      </c>
      <c r="G1995" s="136"/>
      <c r="H1995" s="136"/>
      <c r="I1995" s="136"/>
      <c r="J1995" s="136"/>
      <c r="K1995" s="136"/>
      <c r="L1995" s="136"/>
      <c r="M1995" s="136">
        <v>6266</v>
      </c>
      <c r="N1995" s="136">
        <v>4351</v>
      </c>
      <c r="O1995" s="136">
        <v>368</v>
      </c>
      <c r="P1995" s="136" t="s">
        <v>252</v>
      </c>
      <c r="Q1995" s="136">
        <v>470</v>
      </c>
      <c r="R1995" s="136" t="s">
        <v>252</v>
      </c>
      <c r="S1995" s="136">
        <v>268</v>
      </c>
      <c r="T1995" s="136" t="s">
        <v>252</v>
      </c>
      <c r="U1995" s="136">
        <v>301</v>
      </c>
      <c r="V1995" s="136" t="s">
        <v>252</v>
      </c>
      <c r="W1995" s="136">
        <v>231</v>
      </c>
      <c r="X1995" s="136" t="s">
        <v>252</v>
      </c>
      <c r="Y1995" s="136">
        <v>299</v>
      </c>
      <c r="Z1995" s="136" t="s">
        <v>252</v>
      </c>
      <c r="AA1995" s="136">
        <v>210</v>
      </c>
      <c r="AB1995" s="136" t="s">
        <v>252</v>
      </c>
      <c r="AC1995" s="136">
        <v>237</v>
      </c>
      <c r="AD1995" s="136" t="s">
        <v>252</v>
      </c>
      <c r="AE1995" s="136">
        <v>270</v>
      </c>
      <c r="AF1995" s="136" t="s">
        <v>252</v>
      </c>
      <c r="AG1995" s="136">
        <v>194</v>
      </c>
      <c r="AH1995" s="136" t="s">
        <v>252</v>
      </c>
      <c r="AI1995" s="136">
        <v>468</v>
      </c>
      <c r="AJ1995" s="136" t="s">
        <v>252</v>
      </c>
      <c r="AK1995" s="136">
        <v>446</v>
      </c>
      <c r="AL1995" s="136" t="s">
        <v>252</v>
      </c>
      <c r="AM1995" s="136">
        <f t="shared" si="4"/>
        <v>3762</v>
      </c>
    </row>
    <row r="1996" spans="2:39" ht="20.25" hidden="1" outlineLevel="1">
      <c r="B1996" s="149" t="s">
        <v>865</v>
      </c>
      <c r="C1996" s="135" t="s">
        <v>1402</v>
      </c>
      <c r="D1996" s="152" t="s">
        <v>1403</v>
      </c>
      <c r="E1996" s="137" t="s">
        <v>44</v>
      </c>
      <c r="F1996" s="138" t="s">
        <v>45</v>
      </c>
      <c r="G1996" s="136"/>
      <c r="H1996" s="136"/>
      <c r="I1996" s="136"/>
      <c r="J1996" s="136"/>
      <c r="K1996" s="136"/>
      <c r="L1996" s="136"/>
      <c r="M1996" s="136">
        <v>5441</v>
      </c>
      <c r="N1996" s="136">
        <v>2174</v>
      </c>
      <c r="O1996" s="136">
        <v>154</v>
      </c>
      <c r="P1996" s="136" t="s">
        <v>252</v>
      </c>
      <c r="Q1996" s="136">
        <v>102</v>
      </c>
      <c r="R1996" s="136" t="s">
        <v>252</v>
      </c>
      <c r="S1996" s="136">
        <v>72</v>
      </c>
      <c r="T1996" s="136" t="s">
        <v>252</v>
      </c>
      <c r="U1996" s="136">
        <v>134</v>
      </c>
      <c r="V1996" s="136" t="s">
        <v>252</v>
      </c>
      <c r="W1996" s="136">
        <v>102</v>
      </c>
      <c r="X1996" s="136" t="s">
        <v>252</v>
      </c>
      <c r="Y1996" s="136">
        <v>87</v>
      </c>
      <c r="Z1996" s="136" t="s">
        <v>252</v>
      </c>
      <c r="AA1996" s="136">
        <v>62</v>
      </c>
      <c r="AB1996" s="136" t="s">
        <v>252</v>
      </c>
      <c r="AC1996" s="136">
        <v>78</v>
      </c>
      <c r="AD1996" s="136" t="s">
        <v>252</v>
      </c>
      <c r="AE1996" s="136">
        <v>95</v>
      </c>
      <c r="AF1996" s="136" t="s">
        <v>252</v>
      </c>
      <c r="AG1996" s="136">
        <v>66</v>
      </c>
      <c r="AH1996" s="136" t="s">
        <v>252</v>
      </c>
      <c r="AI1996" s="136">
        <v>143</v>
      </c>
      <c r="AJ1996" s="136" t="s">
        <v>252</v>
      </c>
      <c r="AK1996" s="136">
        <v>126</v>
      </c>
      <c r="AL1996" s="136" t="s">
        <v>252</v>
      </c>
      <c r="AM1996" s="136">
        <f t="shared" si="4"/>
        <v>1221</v>
      </c>
    </row>
    <row r="1997" spans="2:39" ht="20.25" hidden="1" outlineLevel="1">
      <c r="B1997" s="149" t="s">
        <v>866</v>
      </c>
      <c r="C1997" s="135" t="s">
        <v>1402</v>
      </c>
      <c r="D1997" s="152" t="s">
        <v>1403</v>
      </c>
      <c r="E1997" s="137" t="s">
        <v>44</v>
      </c>
      <c r="F1997" s="138" t="s">
        <v>45</v>
      </c>
      <c r="G1997" s="136"/>
      <c r="H1997" s="136"/>
      <c r="I1997" s="136"/>
      <c r="J1997" s="136"/>
      <c r="K1997" s="136"/>
      <c r="L1997" s="136"/>
      <c r="M1997" s="136">
        <v>5517</v>
      </c>
      <c r="N1997" s="136">
        <v>5684</v>
      </c>
      <c r="O1997" s="136">
        <v>588</v>
      </c>
      <c r="P1997" s="136" t="s">
        <v>252</v>
      </c>
      <c r="Q1997" s="136">
        <v>565</v>
      </c>
      <c r="R1997" s="136" t="s">
        <v>252</v>
      </c>
      <c r="S1997" s="136">
        <v>513</v>
      </c>
      <c r="T1997" s="136" t="s">
        <v>252</v>
      </c>
      <c r="U1997" s="136">
        <v>368</v>
      </c>
      <c r="V1997" s="136" t="s">
        <v>252</v>
      </c>
      <c r="W1997" s="136">
        <v>447</v>
      </c>
      <c r="X1997" s="136" t="s">
        <v>252</v>
      </c>
      <c r="Y1997" s="136">
        <v>464</v>
      </c>
      <c r="Z1997" s="136" t="s">
        <v>252</v>
      </c>
      <c r="AA1997" s="136">
        <v>477</v>
      </c>
      <c r="AB1997" s="136" t="s">
        <v>252</v>
      </c>
      <c r="AC1997" s="136">
        <v>448</v>
      </c>
      <c r="AD1997" s="136" t="s">
        <v>252</v>
      </c>
      <c r="AE1997" s="136">
        <v>534</v>
      </c>
      <c r="AF1997" s="136" t="s">
        <v>252</v>
      </c>
      <c r="AG1997" s="136">
        <v>362</v>
      </c>
      <c r="AH1997" s="136" t="s">
        <v>252</v>
      </c>
      <c r="AI1997" s="136">
        <v>409</v>
      </c>
      <c r="AJ1997" s="136" t="s">
        <v>252</v>
      </c>
      <c r="AK1997" s="136">
        <v>428</v>
      </c>
      <c r="AL1997" s="136" t="s">
        <v>252</v>
      </c>
      <c r="AM1997" s="136">
        <f t="shared" si="4"/>
        <v>5603</v>
      </c>
    </row>
    <row r="1998" spans="2:39" ht="20.25" hidden="1" outlineLevel="1">
      <c r="B1998" s="149" t="s">
        <v>867</v>
      </c>
      <c r="C1998" s="135" t="s">
        <v>1402</v>
      </c>
      <c r="D1998" s="152" t="s">
        <v>1403</v>
      </c>
      <c r="E1998" s="143" t="s">
        <v>138</v>
      </c>
      <c r="F1998" s="138" t="s">
        <v>45</v>
      </c>
      <c r="G1998" s="136"/>
      <c r="H1998" s="136"/>
      <c r="I1998" s="136"/>
      <c r="J1998" s="136"/>
      <c r="K1998" s="136"/>
      <c r="L1998" s="136"/>
      <c r="M1998" s="136">
        <v>7921</v>
      </c>
      <c r="N1998" s="136">
        <v>7029</v>
      </c>
      <c r="O1998" s="136">
        <v>353</v>
      </c>
      <c r="P1998" s="136" t="s">
        <v>252</v>
      </c>
      <c r="Q1998" s="136">
        <v>327</v>
      </c>
      <c r="R1998" s="136" t="s">
        <v>252</v>
      </c>
      <c r="S1998" s="136">
        <v>930</v>
      </c>
      <c r="T1998" s="136" t="s">
        <v>252</v>
      </c>
      <c r="U1998" s="136">
        <v>921</v>
      </c>
      <c r="V1998" s="136" t="s">
        <v>252</v>
      </c>
      <c r="W1998" s="136">
        <v>299</v>
      </c>
      <c r="X1998" s="136" t="s">
        <v>252</v>
      </c>
      <c r="Y1998" s="136">
        <v>299</v>
      </c>
      <c r="Z1998" s="136" t="s">
        <v>252</v>
      </c>
      <c r="AA1998" s="136">
        <v>613</v>
      </c>
      <c r="AB1998" s="136" t="s">
        <v>252</v>
      </c>
      <c r="AC1998" s="136">
        <v>245</v>
      </c>
      <c r="AD1998" s="136" t="s">
        <v>252</v>
      </c>
      <c r="AE1998" s="136">
        <v>286</v>
      </c>
      <c r="AF1998" s="136" t="s">
        <v>252</v>
      </c>
      <c r="AG1998" s="136">
        <v>272</v>
      </c>
      <c r="AH1998" s="136" t="s">
        <v>252</v>
      </c>
      <c r="AI1998" s="136">
        <v>870</v>
      </c>
      <c r="AJ1998" s="136" t="s">
        <v>252</v>
      </c>
      <c r="AK1998" s="136">
        <v>280</v>
      </c>
      <c r="AL1998" s="136" t="s">
        <v>252</v>
      </c>
      <c r="AM1998" s="136">
        <f t="shared" si="4"/>
        <v>5695</v>
      </c>
    </row>
    <row r="1999" spans="2:39" ht="20.25" hidden="1" outlineLevel="1">
      <c r="B1999" s="149" t="s">
        <v>867</v>
      </c>
      <c r="C1999" s="135" t="s">
        <v>1402</v>
      </c>
      <c r="D1999" s="152" t="s">
        <v>1403</v>
      </c>
      <c r="E1999" s="137" t="s">
        <v>44</v>
      </c>
      <c r="F1999" s="138" t="s">
        <v>45</v>
      </c>
      <c r="G1999" s="136"/>
      <c r="H1999" s="136"/>
      <c r="I1999" s="136"/>
      <c r="J1999" s="136"/>
      <c r="K1999" s="136"/>
      <c r="L1999" s="136"/>
      <c r="M1999" s="136">
        <v>8829</v>
      </c>
      <c r="N1999" s="136">
        <v>8135</v>
      </c>
      <c r="O1999" s="136">
        <v>940</v>
      </c>
      <c r="P1999" s="136" t="s">
        <v>252</v>
      </c>
      <c r="Q1999" s="136">
        <v>922</v>
      </c>
      <c r="R1999" s="136" t="s">
        <v>252</v>
      </c>
      <c r="S1999" s="136">
        <v>251</v>
      </c>
      <c r="T1999" s="136" t="s">
        <v>252</v>
      </c>
      <c r="U1999" s="136">
        <v>368</v>
      </c>
      <c r="V1999" s="136" t="s">
        <v>252</v>
      </c>
      <c r="W1999" s="136">
        <v>664</v>
      </c>
      <c r="X1999" s="136" t="s">
        <v>252</v>
      </c>
      <c r="Y1999" s="136">
        <v>664</v>
      </c>
      <c r="Z1999" s="136" t="s">
        <v>252</v>
      </c>
      <c r="AA1999" s="136">
        <v>298</v>
      </c>
      <c r="AB1999" s="136" t="s">
        <v>252</v>
      </c>
      <c r="AC1999" s="136">
        <v>460</v>
      </c>
      <c r="AD1999" s="136" t="s">
        <v>252</v>
      </c>
      <c r="AE1999" s="136">
        <v>812</v>
      </c>
      <c r="AF1999" s="136" t="s">
        <v>252</v>
      </c>
      <c r="AG1999" s="136">
        <v>818</v>
      </c>
      <c r="AH1999" s="136" t="s">
        <v>252</v>
      </c>
      <c r="AI1999" s="136">
        <v>312</v>
      </c>
      <c r="AJ1999" s="136" t="s">
        <v>252</v>
      </c>
      <c r="AK1999" s="136">
        <v>802</v>
      </c>
      <c r="AL1999" s="136" t="s">
        <v>252</v>
      </c>
      <c r="AM1999" s="136">
        <f t="shared" si="4"/>
        <v>7311</v>
      </c>
    </row>
    <row r="2000" spans="2:39" ht="20.25" hidden="1" outlineLevel="1">
      <c r="B2000" s="149" t="s">
        <v>868</v>
      </c>
      <c r="C2000" s="135" t="s">
        <v>1402</v>
      </c>
      <c r="D2000" s="152" t="s">
        <v>1403</v>
      </c>
      <c r="E2000" s="137" t="s">
        <v>44</v>
      </c>
      <c r="F2000" s="138" t="s">
        <v>45</v>
      </c>
      <c r="G2000" s="136"/>
      <c r="H2000" s="136"/>
      <c r="I2000" s="136"/>
      <c r="J2000" s="136"/>
      <c r="K2000" s="136"/>
      <c r="L2000" s="136"/>
      <c r="M2000" s="136">
        <v>4833</v>
      </c>
      <c r="N2000" s="136">
        <v>4621</v>
      </c>
      <c r="O2000" s="136">
        <v>655</v>
      </c>
      <c r="P2000" s="136" t="s">
        <v>252</v>
      </c>
      <c r="Q2000" s="136">
        <v>618</v>
      </c>
      <c r="R2000" s="136" t="s">
        <v>252</v>
      </c>
      <c r="S2000" s="136">
        <v>463</v>
      </c>
      <c r="T2000" s="136" t="s">
        <v>252</v>
      </c>
      <c r="U2000" s="136">
        <v>580</v>
      </c>
      <c r="V2000" s="136" t="s">
        <v>252</v>
      </c>
      <c r="W2000" s="136">
        <v>475</v>
      </c>
      <c r="X2000" s="136" t="s">
        <v>252</v>
      </c>
      <c r="Y2000" s="136">
        <v>459</v>
      </c>
      <c r="Z2000" s="136" t="s">
        <v>252</v>
      </c>
      <c r="AA2000" s="136">
        <v>374</v>
      </c>
      <c r="AB2000" s="136" t="s">
        <v>252</v>
      </c>
      <c r="AC2000" s="136">
        <v>342</v>
      </c>
      <c r="AD2000" s="136" t="s">
        <v>252</v>
      </c>
      <c r="AE2000" s="136">
        <v>435</v>
      </c>
      <c r="AF2000" s="136" t="s">
        <v>252</v>
      </c>
      <c r="AG2000" s="136">
        <v>427</v>
      </c>
      <c r="AH2000" s="136" t="s">
        <v>252</v>
      </c>
      <c r="AI2000" s="136">
        <v>542</v>
      </c>
      <c r="AJ2000" s="136" t="s">
        <v>252</v>
      </c>
      <c r="AK2000" s="136">
        <v>509</v>
      </c>
      <c r="AL2000" s="136" t="s">
        <v>252</v>
      </c>
      <c r="AM2000" s="136">
        <f t="shared" si="4"/>
        <v>5879</v>
      </c>
    </row>
    <row r="2001" spans="2:39" ht="20.25" hidden="1" outlineLevel="1">
      <c r="B2001" s="149" t="s">
        <v>869</v>
      </c>
      <c r="C2001" s="135" t="s">
        <v>1402</v>
      </c>
      <c r="D2001" s="152" t="s">
        <v>1403</v>
      </c>
      <c r="E2001" s="433" t="s">
        <v>138</v>
      </c>
      <c r="F2001" s="425" t="s">
        <v>45</v>
      </c>
      <c r="G2001" s="136"/>
      <c r="H2001" s="136"/>
      <c r="I2001" s="136"/>
      <c r="J2001" s="136"/>
      <c r="K2001" s="136"/>
      <c r="L2001" s="136"/>
      <c r="M2001" s="419">
        <v>2796</v>
      </c>
      <c r="N2001" s="419">
        <v>3146</v>
      </c>
      <c r="O2001" s="419">
        <v>155</v>
      </c>
      <c r="P2001" s="419" t="s">
        <v>252</v>
      </c>
      <c r="Q2001" s="419">
        <v>171</v>
      </c>
      <c r="R2001" s="419" t="s">
        <v>252</v>
      </c>
      <c r="S2001" s="419">
        <v>138</v>
      </c>
      <c r="T2001" s="419" t="s">
        <v>252</v>
      </c>
      <c r="U2001" s="419">
        <v>176</v>
      </c>
      <c r="V2001" s="419" t="s">
        <v>252</v>
      </c>
      <c r="W2001" s="419">
        <v>152</v>
      </c>
      <c r="X2001" s="419" t="s">
        <v>252</v>
      </c>
      <c r="Y2001" s="419">
        <v>157</v>
      </c>
      <c r="Z2001" s="419" t="s">
        <v>252</v>
      </c>
      <c r="AA2001" s="419">
        <v>160</v>
      </c>
      <c r="AB2001" s="419" t="s">
        <v>252</v>
      </c>
      <c r="AC2001" s="419">
        <v>125</v>
      </c>
      <c r="AD2001" s="419" t="s">
        <v>252</v>
      </c>
      <c r="AE2001" s="419">
        <v>146</v>
      </c>
      <c r="AF2001" s="419" t="s">
        <v>252</v>
      </c>
      <c r="AG2001" s="419">
        <v>138</v>
      </c>
      <c r="AH2001" s="419" t="s">
        <v>252</v>
      </c>
      <c r="AI2001" s="419">
        <v>142</v>
      </c>
      <c r="AJ2001" s="419" t="s">
        <v>252</v>
      </c>
      <c r="AK2001" s="419">
        <v>117</v>
      </c>
      <c r="AL2001" s="419" t="s">
        <v>252</v>
      </c>
      <c r="AM2001" s="419">
        <f>O2001+Q2001+S2001+U2001+W2001+Y2001+AA2001+AC2001+AE2001+AG2001+AI2001+AK2001</f>
        <v>1777</v>
      </c>
    </row>
    <row r="2002" spans="2:39" ht="20.25" hidden="1" outlineLevel="1">
      <c r="B2002" s="149" t="s">
        <v>870</v>
      </c>
      <c r="C2002" s="135" t="s">
        <v>1402</v>
      </c>
      <c r="D2002" s="152" t="s">
        <v>1403</v>
      </c>
      <c r="E2002" s="435"/>
      <c r="F2002" s="436"/>
      <c r="G2002" s="136"/>
      <c r="H2002" s="136"/>
      <c r="I2002" s="136"/>
      <c r="J2002" s="136"/>
      <c r="K2002" s="136"/>
      <c r="L2002" s="136"/>
      <c r="M2002" s="431"/>
      <c r="N2002" s="431"/>
      <c r="O2002" s="431"/>
      <c r="P2002" s="431"/>
      <c r="Q2002" s="431"/>
      <c r="R2002" s="431"/>
      <c r="S2002" s="431"/>
      <c r="T2002" s="431"/>
      <c r="U2002" s="431"/>
      <c r="V2002" s="431"/>
      <c r="W2002" s="431"/>
      <c r="X2002" s="431"/>
      <c r="Y2002" s="431"/>
      <c r="Z2002" s="431"/>
      <c r="AA2002" s="431"/>
      <c r="AB2002" s="431"/>
      <c r="AC2002" s="431"/>
      <c r="AD2002" s="431"/>
      <c r="AE2002" s="431"/>
      <c r="AF2002" s="431"/>
      <c r="AG2002" s="431"/>
      <c r="AH2002" s="431"/>
      <c r="AI2002" s="431"/>
      <c r="AJ2002" s="431"/>
      <c r="AK2002" s="431"/>
      <c r="AL2002" s="431"/>
      <c r="AM2002" s="431"/>
    </row>
    <row r="2003" spans="2:39" ht="20.25" hidden="1" outlineLevel="1">
      <c r="B2003" s="149" t="s">
        <v>872</v>
      </c>
      <c r="C2003" s="135" t="s">
        <v>1402</v>
      </c>
      <c r="D2003" s="152" t="s">
        <v>1403</v>
      </c>
      <c r="E2003" s="434"/>
      <c r="F2003" s="426"/>
      <c r="G2003" s="136"/>
      <c r="H2003" s="136"/>
      <c r="I2003" s="136"/>
      <c r="J2003" s="136"/>
      <c r="K2003" s="136"/>
      <c r="L2003" s="136"/>
      <c r="M2003" s="420"/>
      <c r="N2003" s="420"/>
      <c r="O2003" s="420"/>
      <c r="P2003" s="420"/>
      <c r="Q2003" s="420"/>
      <c r="R2003" s="420"/>
      <c r="S2003" s="420"/>
      <c r="T2003" s="420"/>
      <c r="U2003" s="420"/>
      <c r="V2003" s="420"/>
      <c r="W2003" s="420"/>
      <c r="X2003" s="420"/>
      <c r="Y2003" s="420"/>
      <c r="Z2003" s="420"/>
      <c r="AA2003" s="420"/>
      <c r="AB2003" s="420"/>
      <c r="AC2003" s="420"/>
      <c r="AD2003" s="420"/>
      <c r="AE2003" s="420"/>
      <c r="AF2003" s="420"/>
      <c r="AG2003" s="420"/>
      <c r="AH2003" s="420"/>
      <c r="AI2003" s="420"/>
      <c r="AJ2003" s="420"/>
      <c r="AK2003" s="420"/>
      <c r="AL2003" s="420"/>
      <c r="AM2003" s="420"/>
    </row>
    <row r="2004" spans="2:39" ht="20.25" hidden="1" outlineLevel="1">
      <c r="B2004" s="149" t="s">
        <v>869</v>
      </c>
      <c r="C2004" s="135" t="s">
        <v>1402</v>
      </c>
      <c r="D2004" s="152" t="s">
        <v>1403</v>
      </c>
      <c r="E2004" s="433" t="s">
        <v>44</v>
      </c>
      <c r="F2004" s="425" t="s">
        <v>45</v>
      </c>
      <c r="G2004" s="136"/>
      <c r="H2004" s="136"/>
      <c r="I2004" s="136"/>
      <c r="J2004" s="136"/>
      <c r="K2004" s="136"/>
      <c r="L2004" s="136"/>
      <c r="M2004" s="419">
        <v>7310</v>
      </c>
      <c r="N2004" s="419">
        <v>7868</v>
      </c>
      <c r="O2004" s="419">
        <v>802</v>
      </c>
      <c r="P2004" s="419" t="s">
        <v>252</v>
      </c>
      <c r="Q2004" s="419">
        <v>685</v>
      </c>
      <c r="R2004" s="419" t="s">
        <v>252</v>
      </c>
      <c r="S2004" s="419">
        <v>580</v>
      </c>
      <c r="T2004" s="419" t="s">
        <v>252</v>
      </c>
      <c r="U2004" s="419">
        <v>753</v>
      </c>
      <c r="V2004" s="419" t="s">
        <v>252</v>
      </c>
      <c r="W2004" s="419">
        <v>545</v>
      </c>
      <c r="X2004" s="419" t="s">
        <v>252</v>
      </c>
      <c r="Y2004" s="419">
        <v>458</v>
      </c>
      <c r="Z2004" s="419" t="s">
        <v>252</v>
      </c>
      <c r="AA2004" s="419">
        <v>526</v>
      </c>
      <c r="AB2004" s="419" t="s">
        <v>252</v>
      </c>
      <c r="AC2004" s="419">
        <v>517</v>
      </c>
      <c r="AD2004" s="419" t="s">
        <v>252</v>
      </c>
      <c r="AE2004" s="419">
        <v>759</v>
      </c>
      <c r="AF2004" s="419" t="s">
        <v>252</v>
      </c>
      <c r="AG2004" s="419">
        <v>770</v>
      </c>
      <c r="AH2004" s="419" t="s">
        <v>252</v>
      </c>
      <c r="AI2004" s="419">
        <v>958</v>
      </c>
      <c r="AJ2004" s="419" t="s">
        <v>252</v>
      </c>
      <c r="AK2004" s="419">
        <v>838</v>
      </c>
      <c r="AL2004" s="419" t="s">
        <v>252</v>
      </c>
      <c r="AM2004" s="419">
        <f>O2004+Q2004+S2004+U2004+W2004+Y2004+AA2004+AC2004+AE2004+AG2004+AI2004+AK2004</f>
        <v>8191</v>
      </c>
    </row>
    <row r="2005" spans="2:39" ht="20.25" hidden="1" outlineLevel="1">
      <c r="B2005" s="149" t="s">
        <v>870</v>
      </c>
      <c r="C2005" s="135" t="s">
        <v>1402</v>
      </c>
      <c r="D2005" s="152" t="s">
        <v>1403</v>
      </c>
      <c r="E2005" s="435"/>
      <c r="F2005" s="436"/>
      <c r="G2005" s="136"/>
      <c r="H2005" s="136"/>
      <c r="I2005" s="136"/>
      <c r="J2005" s="136"/>
      <c r="K2005" s="136"/>
      <c r="L2005" s="136"/>
      <c r="M2005" s="431"/>
      <c r="N2005" s="431"/>
      <c r="O2005" s="431"/>
      <c r="P2005" s="431"/>
      <c r="Q2005" s="431"/>
      <c r="R2005" s="431"/>
      <c r="S2005" s="431"/>
      <c r="T2005" s="431"/>
      <c r="U2005" s="431"/>
      <c r="V2005" s="431"/>
      <c r="W2005" s="431"/>
      <c r="X2005" s="431"/>
      <c r="Y2005" s="431"/>
      <c r="Z2005" s="431"/>
      <c r="AA2005" s="431"/>
      <c r="AB2005" s="431"/>
      <c r="AC2005" s="431"/>
      <c r="AD2005" s="431"/>
      <c r="AE2005" s="431"/>
      <c r="AF2005" s="431"/>
      <c r="AG2005" s="431"/>
      <c r="AH2005" s="431"/>
      <c r="AI2005" s="431"/>
      <c r="AJ2005" s="431"/>
      <c r="AK2005" s="431"/>
      <c r="AL2005" s="431"/>
      <c r="AM2005" s="431"/>
    </row>
    <row r="2006" spans="2:39" ht="20.25" hidden="1" outlineLevel="1">
      <c r="B2006" s="149" t="s">
        <v>872</v>
      </c>
      <c r="C2006" s="135" t="s">
        <v>1402</v>
      </c>
      <c r="D2006" s="152" t="s">
        <v>1403</v>
      </c>
      <c r="E2006" s="434"/>
      <c r="F2006" s="426"/>
      <c r="G2006" s="136"/>
      <c r="H2006" s="136"/>
      <c r="I2006" s="136"/>
      <c r="J2006" s="136"/>
      <c r="K2006" s="136"/>
      <c r="L2006" s="136"/>
      <c r="M2006" s="420"/>
      <c r="N2006" s="420"/>
      <c r="O2006" s="420"/>
      <c r="P2006" s="420"/>
      <c r="Q2006" s="420"/>
      <c r="R2006" s="420"/>
      <c r="S2006" s="420"/>
      <c r="T2006" s="420"/>
      <c r="U2006" s="420"/>
      <c r="V2006" s="420"/>
      <c r="W2006" s="420"/>
      <c r="X2006" s="420"/>
      <c r="Y2006" s="420"/>
      <c r="Z2006" s="420"/>
      <c r="AA2006" s="420"/>
      <c r="AB2006" s="420"/>
      <c r="AC2006" s="420"/>
      <c r="AD2006" s="420"/>
      <c r="AE2006" s="420"/>
      <c r="AF2006" s="420"/>
      <c r="AG2006" s="420"/>
      <c r="AH2006" s="420"/>
      <c r="AI2006" s="420"/>
      <c r="AJ2006" s="420"/>
      <c r="AK2006" s="420"/>
      <c r="AL2006" s="420"/>
      <c r="AM2006" s="420"/>
    </row>
    <row r="2007" spans="2:39" ht="20.25" hidden="1" outlineLevel="1">
      <c r="B2007" s="149" t="s">
        <v>873</v>
      </c>
      <c r="C2007" s="135" t="s">
        <v>1402</v>
      </c>
      <c r="D2007" s="152" t="s">
        <v>1409</v>
      </c>
      <c r="E2007" s="137" t="s">
        <v>44</v>
      </c>
      <c r="F2007" s="138" t="s">
        <v>45</v>
      </c>
      <c r="G2007" s="136"/>
      <c r="H2007" s="136"/>
      <c r="I2007" s="136"/>
      <c r="J2007" s="136"/>
      <c r="K2007" s="136"/>
      <c r="L2007" s="136"/>
      <c r="M2007" s="136">
        <v>7029</v>
      </c>
      <c r="N2007" s="136">
        <v>6856</v>
      </c>
      <c r="O2007" s="136">
        <v>727</v>
      </c>
      <c r="P2007" s="136" t="s">
        <v>252</v>
      </c>
      <c r="Q2007" s="136">
        <v>599</v>
      </c>
      <c r="R2007" s="136" t="s">
        <v>252</v>
      </c>
      <c r="S2007" s="136">
        <v>491</v>
      </c>
      <c r="T2007" s="136" t="s">
        <v>252</v>
      </c>
      <c r="U2007" s="136">
        <v>627</v>
      </c>
      <c r="V2007" s="136" t="s">
        <v>252</v>
      </c>
      <c r="W2007" s="136">
        <v>523</v>
      </c>
      <c r="X2007" s="136" t="s">
        <v>252</v>
      </c>
      <c r="Y2007" s="136">
        <v>448</v>
      </c>
      <c r="Z2007" s="136" t="s">
        <v>252</v>
      </c>
      <c r="AA2007" s="136">
        <v>406</v>
      </c>
      <c r="AB2007" s="136" t="s">
        <v>252</v>
      </c>
      <c r="AC2007" s="136">
        <v>549</v>
      </c>
      <c r="AD2007" s="136" t="s">
        <v>252</v>
      </c>
      <c r="AE2007" s="136">
        <v>602</v>
      </c>
      <c r="AF2007" s="136" t="s">
        <v>252</v>
      </c>
      <c r="AG2007" s="136">
        <v>615</v>
      </c>
      <c r="AH2007" s="136" t="s">
        <v>252</v>
      </c>
      <c r="AI2007" s="136">
        <v>596</v>
      </c>
      <c r="AJ2007" s="136" t="s">
        <v>252</v>
      </c>
      <c r="AK2007" s="136">
        <v>636</v>
      </c>
      <c r="AL2007" s="136" t="s">
        <v>252</v>
      </c>
      <c r="AM2007" s="136">
        <f t="shared" ref="AM2007:AM2028" si="5">O2007+Q2007+S2007+U2007+W2007+Y2007+AA2007+AC2007+AE2007+AG2007+AI2007+AK2007</f>
        <v>6819</v>
      </c>
    </row>
    <row r="2008" spans="2:39" ht="20.25" hidden="1" outlineLevel="1">
      <c r="B2008" s="149" t="s">
        <v>874</v>
      </c>
      <c r="C2008" s="135" t="s">
        <v>1402</v>
      </c>
      <c r="D2008" s="152" t="s">
        <v>1403</v>
      </c>
      <c r="E2008" s="137" t="s">
        <v>44</v>
      </c>
      <c r="F2008" s="138" t="s">
        <v>45</v>
      </c>
      <c r="G2008" s="136"/>
      <c r="H2008" s="136"/>
      <c r="I2008" s="136"/>
      <c r="J2008" s="136"/>
      <c r="K2008" s="136"/>
      <c r="L2008" s="136"/>
      <c r="M2008" s="136">
        <v>4477</v>
      </c>
      <c r="N2008" s="136">
        <v>3223</v>
      </c>
      <c r="O2008" s="136">
        <v>211</v>
      </c>
      <c r="P2008" s="136" t="s">
        <v>252</v>
      </c>
      <c r="Q2008" s="136">
        <v>202</v>
      </c>
      <c r="R2008" s="136" t="s">
        <v>252</v>
      </c>
      <c r="S2008" s="136">
        <v>192</v>
      </c>
      <c r="T2008" s="136" t="s">
        <v>252</v>
      </c>
      <c r="U2008" s="136">
        <v>264</v>
      </c>
      <c r="V2008" s="136" t="s">
        <v>252</v>
      </c>
      <c r="W2008" s="136">
        <v>195</v>
      </c>
      <c r="X2008" s="136" t="s">
        <v>252</v>
      </c>
      <c r="Y2008" s="136">
        <v>193</v>
      </c>
      <c r="Z2008" s="136" t="s">
        <v>252</v>
      </c>
      <c r="AA2008" s="136">
        <v>167</v>
      </c>
      <c r="AB2008" s="136" t="s">
        <v>252</v>
      </c>
      <c r="AC2008" s="136">
        <v>202</v>
      </c>
      <c r="AD2008" s="136" t="s">
        <v>252</v>
      </c>
      <c r="AE2008" s="136">
        <v>244</v>
      </c>
      <c r="AF2008" s="136" t="s">
        <v>252</v>
      </c>
      <c r="AG2008" s="136">
        <v>344</v>
      </c>
      <c r="AH2008" s="136" t="s">
        <v>252</v>
      </c>
      <c r="AI2008" s="136">
        <v>332</v>
      </c>
      <c r="AJ2008" s="136" t="s">
        <v>252</v>
      </c>
      <c r="AK2008" s="136">
        <v>279</v>
      </c>
      <c r="AL2008" s="136" t="s">
        <v>252</v>
      </c>
      <c r="AM2008" s="136">
        <f t="shared" si="5"/>
        <v>2825</v>
      </c>
    </row>
    <row r="2009" spans="2:39" ht="20.25" hidden="1" outlineLevel="1">
      <c r="B2009" s="149" t="s">
        <v>875</v>
      </c>
      <c r="C2009" s="135" t="s">
        <v>1402</v>
      </c>
      <c r="D2009" s="152" t="s">
        <v>1410</v>
      </c>
      <c r="E2009" s="143" t="s">
        <v>138</v>
      </c>
      <c r="F2009" s="138" t="s">
        <v>45</v>
      </c>
      <c r="G2009" s="136"/>
      <c r="H2009" s="136"/>
      <c r="I2009" s="136"/>
      <c r="J2009" s="136"/>
      <c r="K2009" s="136"/>
      <c r="L2009" s="136"/>
      <c r="M2009" s="136">
        <v>7344</v>
      </c>
      <c r="N2009" s="136">
        <v>7015</v>
      </c>
      <c r="O2009" s="136">
        <v>1066</v>
      </c>
      <c r="P2009" s="136" t="s">
        <v>252</v>
      </c>
      <c r="Q2009" s="136">
        <v>162</v>
      </c>
      <c r="R2009" s="136" t="s">
        <v>252</v>
      </c>
      <c r="S2009" s="136">
        <v>147</v>
      </c>
      <c r="T2009" s="136" t="s">
        <v>252</v>
      </c>
      <c r="U2009" s="136">
        <v>175</v>
      </c>
      <c r="V2009" s="136" t="s">
        <v>252</v>
      </c>
      <c r="W2009" s="136">
        <v>149</v>
      </c>
      <c r="X2009" s="136" t="s">
        <v>252</v>
      </c>
      <c r="Y2009" s="136">
        <v>170</v>
      </c>
      <c r="Z2009" s="136" t="s">
        <v>252</v>
      </c>
      <c r="AA2009" s="136">
        <v>183</v>
      </c>
      <c r="AB2009" s="136" t="s">
        <v>252</v>
      </c>
      <c r="AC2009" s="136">
        <v>181</v>
      </c>
      <c r="AD2009" s="136" t="s">
        <v>252</v>
      </c>
      <c r="AE2009" s="136">
        <v>195</v>
      </c>
      <c r="AF2009" s="136" t="s">
        <v>252</v>
      </c>
      <c r="AG2009" s="136">
        <v>184</v>
      </c>
      <c r="AH2009" s="136" t="s">
        <v>252</v>
      </c>
      <c r="AI2009" s="136">
        <v>171</v>
      </c>
      <c r="AJ2009" s="136" t="s">
        <v>252</v>
      </c>
      <c r="AK2009" s="136">
        <v>163</v>
      </c>
      <c r="AL2009" s="136" t="s">
        <v>252</v>
      </c>
      <c r="AM2009" s="136">
        <f t="shared" si="5"/>
        <v>2946</v>
      </c>
    </row>
    <row r="2010" spans="2:39" ht="20.25" hidden="1" outlineLevel="1">
      <c r="B2010" s="149" t="s">
        <v>875</v>
      </c>
      <c r="C2010" s="135" t="s">
        <v>1402</v>
      </c>
      <c r="D2010" s="152" t="s">
        <v>1403</v>
      </c>
      <c r="E2010" s="137" t="s">
        <v>44</v>
      </c>
      <c r="F2010" s="138" t="s">
        <v>45</v>
      </c>
      <c r="G2010" s="136"/>
      <c r="H2010" s="136"/>
      <c r="I2010" s="136"/>
      <c r="J2010" s="136"/>
      <c r="K2010" s="136"/>
      <c r="L2010" s="136"/>
      <c r="M2010" s="136">
        <v>2570</v>
      </c>
      <c r="N2010" s="136">
        <v>2353</v>
      </c>
      <c r="O2010" s="136">
        <v>164</v>
      </c>
      <c r="P2010" s="136" t="s">
        <v>252</v>
      </c>
      <c r="Q2010" s="136">
        <v>844</v>
      </c>
      <c r="R2010" s="136" t="s">
        <v>252</v>
      </c>
      <c r="S2010" s="136">
        <v>713</v>
      </c>
      <c r="T2010" s="136" t="s">
        <v>252</v>
      </c>
      <c r="U2010" s="136">
        <v>804</v>
      </c>
      <c r="V2010" s="136" t="s">
        <v>252</v>
      </c>
      <c r="W2010" s="136">
        <v>645</v>
      </c>
      <c r="X2010" s="136" t="s">
        <v>252</v>
      </c>
      <c r="Y2010" s="136">
        <v>523</v>
      </c>
      <c r="Z2010" s="136" t="s">
        <v>252</v>
      </c>
      <c r="AA2010" s="136">
        <v>492</v>
      </c>
      <c r="AB2010" s="136" t="s">
        <v>252</v>
      </c>
      <c r="AC2010" s="136">
        <v>560</v>
      </c>
      <c r="AD2010" s="136" t="s">
        <v>252</v>
      </c>
      <c r="AE2010" s="136">
        <v>752</v>
      </c>
      <c r="AF2010" s="136" t="s">
        <v>252</v>
      </c>
      <c r="AG2010" s="136">
        <v>787</v>
      </c>
      <c r="AH2010" s="136" t="s">
        <v>252</v>
      </c>
      <c r="AI2010" s="136">
        <v>835</v>
      </c>
      <c r="AJ2010" s="136" t="s">
        <v>252</v>
      </c>
      <c r="AK2010" s="136">
        <v>1020</v>
      </c>
      <c r="AL2010" s="136" t="s">
        <v>252</v>
      </c>
      <c r="AM2010" s="136">
        <f t="shared" si="5"/>
        <v>8139</v>
      </c>
    </row>
    <row r="2011" spans="2:39" ht="20.25" hidden="1" outlineLevel="1">
      <c r="B2011" s="149" t="s">
        <v>876</v>
      </c>
      <c r="C2011" s="135" t="s">
        <v>1402</v>
      </c>
      <c r="D2011" s="152" t="s">
        <v>1403</v>
      </c>
      <c r="E2011" s="137" t="s">
        <v>44</v>
      </c>
      <c r="F2011" s="144" t="s">
        <v>45</v>
      </c>
      <c r="G2011" s="136"/>
      <c r="H2011" s="136"/>
      <c r="I2011" s="136"/>
      <c r="J2011" s="136"/>
      <c r="K2011" s="136"/>
      <c r="L2011" s="136"/>
      <c r="M2011" s="136">
        <v>5535</v>
      </c>
      <c r="N2011" s="136">
        <v>5688</v>
      </c>
      <c r="O2011" s="136">
        <v>958</v>
      </c>
      <c r="P2011" s="136" t="s">
        <v>252</v>
      </c>
      <c r="Q2011" s="136">
        <v>594</v>
      </c>
      <c r="R2011" s="136" t="s">
        <v>252</v>
      </c>
      <c r="S2011" s="136">
        <v>913</v>
      </c>
      <c r="T2011" s="136" t="s">
        <v>252</v>
      </c>
      <c r="U2011" s="136">
        <v>587</v>
      </c>
      <c r="V2011" s="136" t="s">
        <v>252</v>
      </c>
      <c r="W2011" s="136">
        <v>273</v>
      </c>
      <c r="X2011" s="136" t="s">
        <v>252</v>
      </c>
      <c r="Y2011" s="136">
        <v>225</v>
      </c>
      <c r="Z2011" s="136" t="s">
        <v>252</v>
      </c>
      <c r="AA2011" s="136">
        <v>166</v>
      </c>
      <c r="AB2011" s="136" t="s">
        <v>252</v>
      </c>
      <c r="AC2011" s="136">
        <v>237</v>
      </c>
      <c r="AD2011" s="136" t="s">
        <v>252</v>
      </c>
      <c r="AE2011" s="136">
        <v>255</v>
      </c>
      <c r="AF2011" s="136" t="s">
        <v>252</v>
      </c>
      <c r="AG2011" s="136">
        <v>374</v>
      </c>
      <c r="AH2011" s="136" t="s">
        <v>252</v>
      </c>
      <c r="AI2011" s="136">
        <v>431</v>
      </c>
      <c r="AJ2011" s="136" t="s">
        <v>252</v>
      </c>
      <c r="AK2011" s="136">
        <v>418</v>
      </c>
      <c r="AL2011" s="136" t="s">
        <v>252</v>
      </c>
      <c r="AM2011" s="136">
        <f t="shared" si="5"/>
        <v>5431</v>
      </c>
    </row>
    <row r="2012" spans="2:39" ht="20.25" hidden="1" outlineLevel="1">
      <c r="B2012" s="149" t="s">
        <v>877</v>
      </c>
      <c r="C2012" s="135" t="s">
        <v>1402</v>
      </c>
      <c r="D2012" s="152" t="s">
        <v>1403</v>
      </c>
      <c r="E2012" s="137" t="s">
        <v>44</v>
      </c>
      <c r="F2012" s="144" t="s">
        <v>45</v>
      </c>
      <c r="G2012" s="136"/>
      <c r="H2012" s="136"/>
      <c r="I2012" s="136"/>
      <c r="J2012" s="136"/>
      <c r="K2012" s="136"/>
      <c r="L2012" s="136"/>
      <c r="M2012" s="136">
        <v>2657</v>
      </c>
      <c r="N2012" s="136">
        <v>2498</v>
      </c>
      <c r="O2012" s="136">
        <v>309</v>
      </c>
      <c r="P2012" s="136" t="s">
        <v>252</v>
      </c>
      <c r="Q2012" s="136">
        <v>221</v>
      </c>
      <c r="R2012" s="136" t="s">
        <v>252</v>
      </c>
      <c r="S2012" s="136">
        <v>175</v>
      </c>
      <c r="T2012" s="136" t="s">
        <v>252</v>
      </c>
      <c r="U2012" s="136">
        <v>242</v>
      </c>
      <c r="V2012" s="136" t="s">
        <v>252</v>
      </c>
      <c r="W2012" s="136">
        <v>69</v>
      </c>
      <c r="X2012" s="136" t="s">
        <v>252</v>
      </c>
      <c r="Y2012" s="136">
        <v>49</v>
      </c>
      <c r="Z2012" s="136" t="s">
        <v>252</v>
      </c>
      <c r="AA2012" s="136">
        <v>50</v>
      </c>
      <c r="AB2012" s="136" t="s">
        <v>252</v>
      </c>
      <c r="AC2012" s="136">
        <v>57</v>
      </c>
      <c r="AD2012" s="136" t="s">
        <v>252</v>
      </c>
      <c r="AE2012" s="136">
        <v>137</v>
      </c>
      <c r="AF2012" s="136" t="s">
        <v>252</v>
      </c>
      <c r="AG2012" s="136">
        <v>177</v>
      </c>
      <c r="AH2012" s="136" t="s">
        <v>252</v>
      </c>
      <c r="AI2012" s="136">
        <v>186</v>
      </c>
      <c r="AJ2012" s="136" t="s">
        <v>252</v>
      </c>
      <c r="AK2012" s="136">
        <v>270</v>
      </c>
      <c r="AL2012" s="136" t="s">
        <v>252</v>
      </c>
      <c r="AM2012" s="136">
        <f t="shared" si="5"/>
        <v>1942</v>
      </c>
    </row>
    <row r="2013" spans="2:39" ht="20.25" hidden="1" outlineLevel="1">
      <c r="B2013" s="149" t="s">
        <v>878</v>
      </c>
      <c r="C2013" s="135" t="s">
        <v>1402</v>
      </c>
      <c r="D2013" s="152" t="s">
        <v>1403</v>
      </c>
      <c r="E2013" s="143" t="s">
        <v>138</v>
      </c>
      <c r="F2013" s="138" t="s">
        <v>45</v>
      </c>
      <c r="G2013" s="136"/>
      <c r="H2013" s="136"/>
      <c r="I2013" s="136"/>
      <c r="J2013" s="136"/>
      <c r="K2013" s="136"/>
      <c r="L2013" s="136"/>
      <c r="M2013" s="136">
        <v>4824</v>
      </c>
      <c r="N2013" s="136">
        <v>4398</v>
      </c>
      <c r="O2013" s="136">
        <v>205</v>
      </c>
      <c r="P2013" s="136" t="s">
        <v>252</v>
      </c>
      <c r="Q2013" s="136">
        <v>254</v>
      </c>
      <c r="R2013" s="136" t="s">
        <v>252</v>
      </c>
      <c r="S2013" s="136">
        <v>153</v>
      </c>
      <c r="T2013" s="136" t="s">
        <v>252</v>
      </c>
      <c r="U2013" s="136">
        <v>282</v>
      </c>
      <c r="V2013" s="136" t="s">
        <v>252</v>
      </c>
      <c r="W2013" s="136">
        <v>194</v>
      </c>
      <c r="X2013" s="136" t="s">
        <v>252</v>
      </c>
      <c r="Y2013" s="136">
        <v>256</v>
      </c>
      <c r="Z2013" s="136" t="s">
        <v>252</v>
      </c>
      <c r="AA2013" s="136">
        <v>206</v>
      </c>
      <c r="AB2013" s="136" t="s">
        <v>252</v>
      </c>
      <c r="AC2013" s="136">
        <v>361</v>
      </c>
      <c r="AD2013" s="136" t="s">
        <v>252</v>
      </c>
      <c r="AE2013" s="136">
        <v>147</v>
      </c>
      <c r="AF2013" s="136" t="s">
        <v>252</v>
      </c>
      <c r="AG2013" s="136">
        <v>253</v>
      </c>
      <c r="AH2013" s="136" t="s">
        <v>252</v>
      </c>
      <c r="AI2013" s="136">
        <v>218</v>
      </c>
      <c r="AJ2013" s="136" t="s">
        <v>252</v>
      </c>
      <c r="AK2013" s="136">
        <v>165</v>
      </c>
      <c r="AL2013" s="136" t="s">
        <v>252</v>
      </c>
      <c r="AM2013" s="136">
        <f t="shared" si="5"/>
        <v>2694</v>
      </c>
    </row>
    <row r="2014" spans="2:39" ht="20.25" hidden="1" outlineLevel="1">
      <c r="B2014" s="149" t="s">
        <v>878</v>
      </c>
      <c r="C2014" s="135" t="s">
        <v>1402</v>
      </c>
      <c r="D2014" s="152" t="s">
        <v>1403</v>
      </c>
      <c r="E2014" s="137" t="s">
        <v>44</v>
      </c>
      <c r="F2014" s="138" t="s">
        <v>45</v>
      </c>
      <c r="G2014" s="136"/>
      <c r="H2014" s="136"/>
      <c r="I2014" s="136"/>
      <c r="J2014" s="136"/>
      <c r="K2014" s="136"/>
      <c r="L2014" s="136"/>
      <c r="M2014" s="136">
        <v>2967</v>
      </c>
      <c r="N2014" s="136">
        <v>2651</v>
      </c>
      <c r="O2014" s="136">
        <v>410</v>
      </c>
      <c r="P2014" s="136" t="s">
        <v>252</v>
      </c>
      <c r="Q2014" s="136">
        <v>553</v>
      </c>
      <c r="R2014" s="136" t="s">
        <v>252</v>
      </c>
      <c r="S2014" s="136">
        <v>292</v>
      </c>
      <c r="T2014" s="136" t="s">
        <v>252</v>
      </c>
      <c r="U2014" s="136">
        <v>246</v>
      </c>
      <c r="V2014" s="136" t="s">
        <v>252</v>
      </c>
      <c r="W2014" s="136">
        <v>241</v>
      </c>
      <c r="X2014" s="136" t="s">
        <v>252</v>
      </c>
      <c r="Y2014" s="136">
        <v>383</v>
      </c>
      <c r="Z2014" s="136" t="s">
        <v>252</v>
      </c>
      <c r="AA2014" s="136">
        <v>248</v>
      </c>
      <c r="AB2014" s="136" t="s">
        <v>252</v>
      </c>
      <c r="AC2014" s="136">
        <v>236</v>
      </c>
      <c r="AD2014" s="136" t="s">
        <v>252</v>
      </c>
      <c r="AE2014" s="136">
        <v>361</v>
      </c>
      <c r="AF2014" s="136" t="s">
        <v>252</v>
      </c>
      <c r="AG2014" s="136">
        <v>377</v>
      </c>
      <c r="AH2014" s="136" t="s">
        <v>252</v>
      </c>
      <c r="AI2014" s="136">
        <v>400</v>
      </c>
      <c r="AJ2014" s="136" t="s">
        <v>252</v>
      </c>
      <c r="AK2014" s="136">
        <v>443</v>
      </c>
      <c r="AL2014" s="136" t="s">
        <v>252</v>
      </c>
      <c r="AM2014" s="136">
        <f t="shared" si="5"/>
        <v>4190</v>
      </c>
    </row>
    <row r="2015" spans="2:39" ht="20.25" hidden="1" outlineLevel="1">
      <c r="B2015" s="149" t="s">
        <v>879</v>
      </c>
      <c r="C2015" s="135" t="s">
        <v>1402</v>
      </c>
      <c r="D2015" s="152" t="s">
        <v>1403</v>
      </c>
      <c r="E2015" s="137" t="s">
        <v>44</v>
      </c>
      <c r="F2015" s="138" t="s">
        <v>45</v>
      </c>
      <c r="G2015" s="136"/>
      <c r="H2015" s="136"/>
      <c r="I2015" s="136"/>
      <c r="J2015" s="136"/>
      <c r="K2015" s="136"/>
      <c r="L2015" s="136"/>
      <c r="M2015" s="136">
        <v>7382</v>
      </c>
      <c r="N2015" s="136">
        <v>7441</v>
      </c>
      <c r="O2015" s="136">
        <v>570</v>
      </c>
      <c r="P2015" s="136" t="s">
        <v>252</v>
      </c>
      <c r="Q2015" s="136">
        <v>603</v>
      </c>
      <c r="R2015" s="136" t="s">
        <v>252</v>
      </c>
      <c r="S2015" s="136">
        <v>404</v>
      </c>
      <c r="T2015" s="136" t="s">
        <v>252</v>
      </c>
      <c r="U2015" s="136">
        <v>690</v>
      </c>
      <c r="V2015" s="136" t="s">
        <v>252</v>
      </c>
      <c r="W2015" s="136">
        <v>538</v>
      </c>
      <c r="X2015" s="136" t="s">
        <v>252</v>
      </c>
      <c r="Y2015" s="136">
        <v>540</v>
      </c>
      <c r="Z2015" s="136" t="s">
        <v>252</v>
      </c>
      <c r="AA2015" s="136">
        <v>539</v>
      </c>
      <c r="AB2015" s="136" t="s">
        <v>252</v>
      </c>
      <c r="AC2015" s="136">
        <v>542</v>
      </c>
      <c r="AD2015" s="136" t="s">
        <v>252</v>
      </c>
      <c r="AE2015" s="136">
        <v>663</v>
      </c>
      <c r="AF2015" s="136" t="s">
        <v>252</v>
      </c>
      <c r="AG2015" s="136">
        <v>625</v>
      </c>
      <c r="AH2015" s="136" t="s">
        <v>252</v>
      </c>
      <c r="AI2015" s="136">
        <v>595</v>
      </c>
      <c r="AJ2015" s="136" t="s">
        <v>252</v>
      </c>
      <c r="AK2015" s="136">
        <v>645</v>
      </c>
      <c r="AL2015" s="136" t="s">
        <v>252</v>
      </c>
      <c r="AM2015" s="136">
        <f t="shared" si="5"/>
        <v>6954</v>
      </c>
    </row>
    <row r="2016" spans="2:39" ht="20.25" hidden="1" outlineLevel="1">
      <c r="B2016" s="149" t="s">
        <v>880</v>
      </c>
      <c r="C2016" s="135" t="s">
        <v>1402</v>
      </c>
      <c r="D2016" s="152" t="s">
        <v>1403</v>
      </c>
      <c r="E2016" s="137" t="s">
        <v>44</v>
      </c>
      <c r="F2016" s="138" t="s">
        <v>45</v>
      </c>
      <c r="G2016" s="136"/>
      <c r="H2016" s="136"/>
      <c r="I2016" s="136"/>
      <c r="J2016" s="136"/>
      <c r="K2016" s="136"/>
      <c r="L2016" s="136"/>
      <c r="M2016" s="136">
        <v>1884</v>
      </c>
      <c r="N2016" s="136">
        <v>1647</v>
      </c>
      <c r="O2016" s="136">
        <v>157</v>
      </c>
      <c r="P2016" s="136" t="s">
        <v>252</v>
      </c>
      <c r="Q2016" s="136">
        <v>169</v>
      </c>
      <c r="R2016" s="136" t="s">
        <v>252</v>
      </c>
      <c r="S2016" s="136">
        <v>107</v>
      </c>
      <c r="T2016" s="136" t="s">
        <v>252</v>
      </c>
      <c r="U2016" s="136">
        <v>207</v>
      </c>
      <c r="V2016" s="136" t="s">
        <v>252</v>
      </c>
      <c r="W2016" s="136">
        <v>135</v>
      </c>
      <c r="X2016" s="136" t="s">
        <v>252</v>
      </c>
      <c r="Y2016" s="136">
        <v>80</v>
      </c>
      <c r="Z2016" s="136" t="s">
        <v>252</v>
      </c>
      <c r="AA2016" s="136">
        <v>46</v>
      </c>
      <c r="AB2016" s="136" t="s">
        <v>252</v>
      </c>
      <c r="AC2016" s="136">
        <v>70</v>
      </c>
      <c r="AD2016" s="136" t="s">
        <v>252</v>
      </c>
      <c r="AE2016" s="136">
        <v>99</v>
      </c>
      <c r="AF2016" s="136" t="s">
        <v>252</v>
      </c>
      <c r="AG2016" s="136">
        <v>141</v>
      </c>
      <c r="AH2016" s="136" t="s">
        <v>252</v>
      </c>
      <c r="AI2016" s="136">
        <v>304</v>
      </c>
      <c r="AJ2016" s="136" t="s">
        <v>252</v>
      </c>
      <c r="AK2016" s="136">
        <v>249</v>
      </c>
      <c r="AL2016" s="136" t="s">
        <v>252</v>
      </c>
      <c r="AM2016" s="136">
        <f t="shared" si="5"/>
        <v>1764</v>
      </c>
    </row>
    <row r="2017" spans="2:39" ht="20.25" hidden="1" outlineLevel="1">
      <c r="B2017" s="149" t="s">
        <v>881</v>
      </c>
      <c r="C2017" s="135" t="s">
        <v>1402</v>
      </c>
      <c r="D2017" s="152" t="s">
        <v>1403</v>
      </c>
      <c r="E2017" s="143" t="s">
        <v>138</v>
      </c>
      <c r="F2017" s="138" t="s">
        <v>45</v>
      </c>
      <c r="G2017" s="136"/>
      <c r="H2017" s="136"/>
      <c r="I2017" s="136"/>
      <c r="J2017" s="136"/>
      <c r="K2017" s="136"/>
      <c r="L2017" s="136"/>
      <c r="M2017" s="136">
        <v>3562</v>
      </c>
      <c r="N2017" s="136">
        <v>4516</v>
      </c>
      <c r="O2017" s="136">
        <v>68</v>
      </c>
      <c r="P2017" s="136" t="s">
        <v>252</v>
      </c>
      <c r="Q2017" s="136">
        <v>96</v>
      </c>
      <c r="R2017" s="136" t="s">
        <v>252</v>
      </c>
      <c r="S2017" s="136">
        <v>62</v>
      </c>
      <c r="T2017" s="136" t="s">
        <v>252</v>
      </c>
      <c r="U2017" s="136">
        <v>90</v>
      </c>
      <c r="V2017" s="136" t="s">
        <v>252</v>
      </c>
      <c r="W2017" s="136">
        <v>77</v>
      </c>
      <c r="X2017" s="136" t="s">
        <v>252</v>
      </c>
      <c r="Y2017" s="136">
        <v>78</v>
      </c>
      <c r="Z2017" s="136" t="s">
        <v>252</v>
      </c>
      <c r="AA2017" s="136">
        <v>80</v>
      </c>
      <c r="AB2017" s="136" t="s">
        <v>252</v>
      </c>
      <c r="AC2017" s="136">
        <v>78</v>
      </c>
      <c r="AD2017" s="136" t="s">
        <v>252</v>
      </c>
      <c r="AE2017" s="136">
        <v>87</v>
      </c>
      <c r="AF2017" s="136" t="s">
        <v>252</v>
      </c>
      <c r="AG2017" s="136">
        <v>77</v>
      </c>
      <c r="AH2017" s="136" t="s">
        <v>252</v>
      </c>
      <c r="AI2017" s="136">
        <v>77</v>
      </c>
      <c r="AJ2017" s="136" t="s">
        <v>252</v>
      </c>
      <c r="AK2017" s="136">
        <v>81</v>
      </c>
      <c r="AL2017" s="136" t="s">
        <v>252</v>
      </c>
      <c r="AM2017" s="136">
        <f t="shared" si="5"/>
        <v>951</v>
      </c>
    </row>
    <row r="2018" spans="2:39" ht="20.25" hidden="1" outlineLevel="1">
      <c r="B2018" s="149" t="s">
        <v>881</v>
      </c>
      <c r="C2018" s="135" t="s">
        <v>1402</v>
      </c>
      <c r="D2018" s="152" t="s">
        <v>1403</v>
      </c>
      <c r="E2018" s="137" t="s">
        <v>44</v>
      </c>
      <c r="F2018" s="138" t="s">
        <v>45</v>
      </c>
      <c r="G2018" s="136"/>
      <c r="H2018" s="136"/>
      <c r="I2018" s="136"/>
      <c r="J2018" s="136"/>
      <c r="K2018" s="136"/>
      <c r="L2018" s="136"/>
      <c r="M2018" s="136">
        <v>897</v>
      </c>
      <c r="N2018" s="136">
        <v>1357</v>
      </c>
      <c r="O2018" s="136">
        <v>263</v>
      </c>
      <c r="P2018" s="136" t="s">
        <v>252</v>
      </c>
      <c r="Q2018" s="136">
        <v>350</v>
      </c>
      <c r="R2018" s="136" t="s">
        <v>252</v>
      </c>
      <c r="S2018" s="136">
        <v>220</v>
      </c>
      <c r="T2018" s="136" t="s">
        <v>252</v>
      </c>
      <c r="U2018" s="136">
        <v>276</v>
      </c>
      <c r="V2018" s="136" t="s">
        <v>252</v>
      </c>
      <c r="W2018" s="136">
        <v>220</v>
      </c>
      <c r="X2018" s="136" t="s">
        <v>252</v>
      </c>
      <c r="Y2018" s="136">
        <v>232</v>
      </c>
      <c r="Z2018" s="136" t="s">
        <v>252</v>
      </c>
      <c r="AA2018" s="136">
        <v>254</v>
      </c>
      <c r="AB2018" s="136" t="s">
        <v>252</v>
      </c>
      <c r="AC2018" s="136">
        <v>356</v>
      </c>
      <c r="AD2018" s="136" t="s">
        <v>252</v>
      </c>
      <c r="AE2018" s="136">
        <v>430</v>
      </c>
      <c r="AF2018" s="136" t="s">
        <v>252</v>
      </c>
      <c r="AG2018" s="136">
        <v>588</v>
      </c>
      <c r="AH2018" s="136" t="s">
        <v>252</v>
      </c>
      <c r="AI2018" s="136">
        <v>357</v>
      </c>
      <c r="AJ2018" s="136" t="s">
        <v>252</v>
      </c>
      <c r="AK2018" s="136">
        <v>229</v>
      </c>
      <c r="AL2018" s="136" t="s">
        <v>252</v>
      </c>
      <c r="AM2018" s="136">
        <f t="shared" si="5"/>
        <v>3775</v>
      </c>
    </row>
    <row r="2019" spans="2:39" ht="20.25" hidden="1" outlineLevel="1">
      <c r="B2019" s="149" t="s">
        <v>882</v>
      </c>
      <c r="C2019" s="135" t="s">
        <v>1402</v>
      </c>
      <c r="D2019" s="152" t="s">
        <v>1403</v>
      </c>
      <c r="E2019" s="143" t="s">
        <v>138</v>
      </c>
      <c r="F2019" s="138" t="s">
        <v>45</v>
      </c>
      <c r="G2019" s="136"/>
      <c r="H2019" s="136"/>
      <c r="I2019" s="136"/>
      <c r="J2019" s="136"/>
      <c r="K2019" s="136"/>
      <c r="L2019" s="136"/>
      <c r="M2019" s="136">
        <v>5486</v>
      </c>
      <c r="N2019" s="136">
        <v>2692</v>
      </c>
      <c r="O2019" s="136">
        <v>239</v>
      </c>
      <c r="P2019" s="136" t="s">
        <v>252</v>
      </c>
      <c r="Q2019" s="136">
        <v>312</v>
      </c>
      <c r="R2019" s="136" t="s">
        <v>252</v>
      </c>
      <c r="S2019" s="136">
        <v>181</v>
      </c>
      <c r="T2019" s="136" t="s">
        <v>252</v>
      </c>
      <c r="U2019" s="136">
        <v>301</v>
      </c>
      <c r="V2019" s="136" t="s">
        <v>252</v>
      </c>
      <c r="W2019" s="136">
        <v>224</v>
      </c>
      <c r="X2019" s="136" t="s">
        <v>252</v>
      </c>
      <c r="Y2019" s="136">
        <v>283</v>
      </c>
      <c r="Z2019" s="136" t="s">
        <v>252</v>
      </c>
      <c r="AA2019" s="136">
        <v>242</v>
      </c>
      <c r="AB2019" s="136" t="s">
        <v>252</v>
      </c>
      <c r="AC2019" s="136">
        <v>272</v>
      </c>
      <c r="AD2019" s="136" t="s">
        <v>252</v>
      </c>
      <c r="AE2019" s="136">
        <v>255</v>
      </c>
      <c r="AF2019" s="136" t="s">
        <v>252</v>
      </c>
      <c r="AG2019" s="136">
        <v>165</v>
      </c>
      <c r="AH2019" s="136" t="s">
        <v>252</v>
      </c>
      <c r="AI2019" s="136">
        <v>331</v>
      </c>
      <c r="AJ2019" s="136" t="s">
        <v>252</v>
      </c>
      <c r="AK2019" s="136">
        <v>250</v>
      </c>
      <c r="AL2019" s="136" t="s">
        <v>252</v>
      </c>
      <c r="AM2019" s="136">
        <f t="shared" si="5"/>
        <v>3055</v>
      </c>
    </row>
    <row r="2020" spans="2:39" ht="20.25" hidden="1" outlineLevel="1">
      <c r="B2020" s="149" t="s">
        <v>882</v>
      </c>
      <c r="C2020" s="135" t="s">
        <v>1402</v>
      </c>
      <c r="D2020" s="152" t="s">
        <v>1403</v>
      </c>
      <c r="E2020" s="137" t="s">
        <v>44</v>
      </c>
      <c r="F2020" s="138" t="s">
        <v>45</v>
      </c>
      <c r="G2020" s="136"/>
      <c r="H2020" s="136"/>
      <c r="I2020" s="136"/>
      <c r="J2020" s="136"/>
      <c r="K2020" s="136"/>
      <c r="L2020" s="136"/>
      <c r="M2020" s="136">
        <v>5676</v>
      </c>
      <c r="N2020" s="136">
        <v>2997</v>
      </c>
      <c r="O2020" s="136">
        <v>332</v>
      </c>
      <c r="P2020" s="136" t="s">
        <v>252</v>
      </c>
      <c r="Q2020" s="136">
        <v>327</v>
      </c>
      <c r="R2020" s="136" t="s">
        <v>252</v>
      </c>
      <c r="S2020" s="136">
        <v>177</v>
      </c>
      <c r="T2020" s="136" t="s">
        <v>252</v>
      </c>
      <c r="U2020" s="136">
        <v>318</v>
      </c>
      <c r="V2020" s="136" t="s">
        <v>252</v>
      </c>
      <c r="W2020" s="136">
        <v>198</v>
      </c>
      <c r="X2020" s="136" t="s">
        <v>252</v>
      </c>
      <c r="Y2020" s="136">
        <v>244</v>
      </c>
      <c r="Z2020" s="136" t="s">
        <v>252</v>
      </c>
      <c r="AA2020" s="136">
        <v>155</v>
      </c>
      <c r="AB2020" s="136" t="s">
        <v>252</v>
      </c>
      <c r="AC2020" s="136">
        <v>252</v>
      </c>
      <c r="AD2020" s="136" t="s">
        <v>252</v>
      </c>
      <c r="AE2020" s="136">
        <v>303</v>
      </c>
      <c r="AF2020" s="136" t="s">
        <v>252</v>
      </c>
      <c r="AG2020" s="136">
        <v>207</v>
      </c>
      <c r="AH2020" s="136" t="s">
        <v>252</v>
      </c>
      <c r="AI2020" s="136">
        <v>353</v>
      </c>
      <c r="AJ2020" s="136" t="s">
        <v>252</v>
      </c>
      <c r="AK2020" s="136">
        <v>288</v>
      </c>
      <c r="AL2020" s="136" t="s">
        <v>252</v>
      </c>
      <c r="AM2020" s="136">
        <f t="shared" si="5"/>
        <v>3154</v>
      </c>
    </row>
    <row r="2021" spans="2:39" ht="20.25" hidden="1" outlineLevel="1">
      <c r="B2021" s="149" t="s">
        <v>883</v>
      </c>
      <c r="C2021" s="135" t="s">
        <v>1402</v>
      </c>
      <c r="D2021" s="152" t="s">
        <v>1403</v>
      </c>
      <c r="E2021" s="137" t="s">
        <v>44</v>
      </c>
      <c r="F2021" s="138" t="s">
        <v>45</v>
      </c>
      <c r="G2021" s="136"/>
      <c r="H2021" s="136"/>
      <c r="I2021" s="136"/>
      <c r="J2021" s="136"/>
      <c r="K2021" s="136"/>
      <c r="L2021" s="136"/>
      <c r="M2021" s="136">
        <v>14958</v>
      </c>
      <c r="N2021" s="136">
        <v>14004</v>
      </c>
      <c r="O2021" s="136">
        <v>1055</v>
      </c>
      <c r="P2021" s="136" t="s">
        <v>252</v>
      </c>
      <c r="Q2021" s="136">
        <v>1115</v>
      </c>
      <c r="R2021" s="136" t="s">
        <v>252</v>
      </c>
      <c r="S2021" s="136">
        <v>728</v>
      </c>
      <c r="T2021" s="136" t="s">
        <v>252</v>
      </c>
      <c r="U2021" s="136">
        <v>1257</v>
      </c>
      <c r="V2021" s="136" t="s">
        <v>252</v>
      </c>
      <c r="W2021" s="136">
        <v>953</v>
      </c>
      <c r="X2021" s="136" t="s">
        <v>252</v>
      </c>
      <c r="Y2021" s="136">
        <v>749</v>
      </c>
      <c r="Z2021" s="136" t="s">
        <v>252</v>
      </c>
      <c r="AA2021" s="136">
        <v>764</v>
      </c>
      <c r="AB2021" s="136" t="s">
        <v>252</v>
      </c>
      <c r="AC2021" s="136">
        <v>896</v>
      </c>
      <c r="AD2021" s="136" t="s">
        <v>252</v>
      </c>
      <c r="AE2021" s="136">
        <v>1051</v>
      </c>
      <c r="AF2021" s="136" t="s">
        <v>252</v>
      </c>
      <c r="AG2021" s="136">
        <v>1217</v>
      </c>
      <c r="AH2021" s="136" t="s">
        <v>252</v>
      </c>
      <c r="AI2021" s="136">
        <v>1214</v>
      </c>
      <c r="AJ2021" s="136" t="s">
        <v>252</v>
      </c>
      <c r="AK2021" s="136">
        <v>1302</v>
      </c>
      <c r="AL2021" s="136" t="s">
        <v>252</v>
      </c>
      <c r="AM2021" s="136">
        <f t="shared" si="5"/>
        <v>12301</v>
      </c>
    </row>
    <row r="2022" spans="2:39" ht="20.25" hidden="1" outlineLevel="1">
      <c r="B2022" s="149" t="s">
        <v>885</v>
      </c>
      <c r="C2022" s="135" t="s">
        <v>1402</v>
      </c>
      <c r="D2022" s="152" t="s">
        <v>1403</v>
      </c>
      <c r="E2022" s="137" t="s">
        <v>44</v>
      </c>
      <c r="F2022" s="144" t="s">
        <v>45</v>
      </c>
      <c r="G2022" s="136"/>
      <c r="H2022" s="136"/>
      <c r="I2022" s="136"/>
      <c r="J2022" s="136"/>
      <c r="K2022" s="136"/>
      <c r="L2022" s="136"/>
      <c r="M2022" s="136">
        <v>4815</v>
      </c>
      <c r="N2022" s="136">
        <v>4629</v>
      </c>
      <c r="O2022" s="136">
        <v>439</v>
      </c>
      <c r="P2022" s="136" t="s">
        <v>252</v>
      </c>
      <c r="Q2022" s="136">
        <v>141</v>
      </c>
      <c r="R2022" s="136" t="s">
        <v>252</v>
      </c>
      <c r="S2022" s="136">
        <v>96</v>
      </c>
      <c r="T2022" s="136" t="s">
        <v>252</v>
      </c>
      <c r="U2022" s="136">
        <v>382</v>
      </c>
      <c r="V2022" s="136" t="s">
        <v>252</v>
      </c>
      <c r="W2022" s="136">
        <v>354</v>
      </c>
      <c r="X2022" s="136" t="s">
        <v>252</v>
      </c>
      <c r="Y2022" s="136">
        <v>342</v>
      </c>
      <c r="Z2022" s="136" t="s">
        <v>252</v>
      </c>
      <c r="AA2022" s="136">
        <v>283</v>
      </c>
      <c r="AB2022" s="136" t="s">
        <v>252</v>
      </c>
      <c r="AC2022" s="136">
        <v>226</v>
      </c>
      <c r="AD2022" s="136" t="s">
        <v>252</v>
      </c>
      <c r="AE2022" s="136">
        <v>169</v>
      </c>
      <c r="AF2022" s="136" t="s">
        <v>252</v>
      </c>
      <c r="AG2022" s="136">
        <v>335</v>
      </c>
      <c r="AH2022" s="136" t="s">
        <v>252</v>
      </c>
      <c r="AI2022" s="136">
        <v>687</v>
      </c>
      <c r="AJ2022" s="136" t="s">
        <v>252</v>
      </c>
      <c r="AK2022" s="136">
        <v>657</v>
      </c>
      <c r="AL2022" s="136" t="s">
        <v>252</v>
      </c>
      <c r="AM2022" s="136">
        <f t="shared" si="5"/>
        <v>4111</v>
      </c>
    </row>
    <row r="2023" spans="2:39" ht="20.25" hidden="1" outlineLevel="1">
      <c r="B2023" s="149" t="s">
        <v>886</v>
      </c>
      <c r="C2023" s="135" t="s">
        <v>1402</v>
      </c>
      <c r="D2023" s="152" t="s">
        <v>1403</v>
      </c>
      <c r="E2023" s="137" t="s">
        <v>44</v>
      </c>
      <c r="F2023" s="144" t="s">
        <v>45</v>
      </c>
      <c r="G2023" s="136"/>
      <c r="H2023" s="136"/>
      <c r="I2023" s="136"/>
      <c r="J2023" s="136"/>
      <c r="K2023" s="136"/>
      <c r="L2023" s="136"/>
      <c r="M2023" s="136">
        <v>3565</v>
      </c>
      <c r="N2023" s="136">
        <v>3227</v>
      </c>
      <c r="O2023" s="136">
        <v>293</v>
      </c>
      <c r="P2023" s="136" t="s">
        <v>252</v>
      </c>
      <c r="Q2023" s="136">
        <v>308</v>
      </c>
      <c r="R2023" s="136" t="s">
        <v>252</v>
      </c>
      <c r="S2023" s="136">
        <v>207</v>
      </c>
      <c r="T2023" s="136" t="s">
        <v>252</v>
      </c>
      <c r="U2023" s="136">
        <v>239</v>
      </c>
      <c r="V2023" s="136" t="s">
        <v>252</v>
      </c>
      <c r="W2023" s="136">
        <v>193</v>
      </c>
      <c r="X2023" s="136" t="s">
        <v>252</v>
      </c>
      <c r="Y2023" s="136">
        <v>193</v>
      </c>
      <c r="Z2023" s="136" t="s">
        <v>252</v>
      </c>
      <c r="AA2023" s="136">
        <v>119</v>
      </c>
      <c r="AB2023" s="136" t="s">
        <v>252</v>
      </c>
      <c r="AC2023" s="136">
        <v>117</v>
      </c>
      <c r="AD2023" s="136" t="s">
        <v>252</v>
      </c>
      <c r="AE2023" s="136">
        <v>206</v>
      </c>
      <c r="AF2023" s="136" t="s">
        <v>252</v>
      </c>
      <c r="AG2023" s="136">
        <v>134</v>
      </c>
      <c r="AH2023" s="136" t="s">
        <v>252</v>
      </c>
      <c r="AI2023" s="136">
        <v>341</v>
      </c>
      <c r="AJ2023" s="136" t="s">
        <v>252</v>
      </c>
      <c r="AK2023" s="136">
        <v>322</v>
      </c>
      <c r="AL2023" s="136" t="s">
        <v>252</v>
      </c>
      <c r="AM2023" s="136">
        <f t="shared" si="5"/>
        <v>2672</v>
      </c>
    </row>
    <row r="2024" spans="2:39" ht="20.25" hidden="1" outlineLevel="1">
      <c r="B2024" s="149" t="s">
        <v>887</v>
      </c>
      <c r="C2024" s="135" t="s">
        <v>1402</v>
      </c>
      <c r="D2024" s="152" t="s">
        <v>1403</v>
      </c>
      <c r="E2024" s="137" t="s">
        <v>44</v>
      </c>
      <c r="F2024" s="138" t="s">
        <v>45</v>
      </c>
      <c r="G2024" s="136"/>
      <c r="H2024" s="136"/>
      <c r="I2024" s="136"/>
      <c r="J2024" s="136"/>
      <c r="K2024" s="136"/>
      <c r="L2024" s="136"/>
      <c r="M2024" s="136"/>
      <c r="N2024" s="136"/>
      <c r="O2024" s="136"/>
      <c r="P2024" s="136" t="s">
        <v>252</v>
      </c>
      <c r="Q2024" s="136"/>
      <c r="R2024" s="136" t="s">
        <v>252</v>
      </c>
      <c r="S2024" s="136"/>
      <c r="T2024" s="136" t="s">
        <v>252</v>
      </c>
      <c r="U2024" s="136"/>
      <c r="V2024" s="136" t="s">
        <v>252</v>
      </c>
      <c r="W2024" s="136"/>
      <c r="X2024" s="136" t="s">
        <v>252</v>
      </c>
      <c r="Y2024" s="136"/>
      <c r="Z2024" s="136" t="s">
        <v>252</v>
      </c>
      <c r="AA2024" s="136"/>
      <c r="AB2024" s="136" t="s">
        <v>252</v>
      </c>
      <c r="AC2024" s="136"/>
      <c r="AD2024" s="136" t="s">
        <v>252</v>
      </c>
      <c r="AE2024" s="136"/>
      <c r="AF2024" s="136" t="s">
        <v>252</v>
      </c>
      <c r="AG2024" s="136"/>
      <c r="AH2024" s="136" t="s">
        <v>252</v>
      </c>
      <c r="AI2024" s="136"/>
      <c r="AJ2024" s="136" t="s">
        <v>252</v>
      </c>
      <c r="AK2024" s="136"/>
      <c r="AL2024" s="136" t="s">
        <v>252</v>
      </c>
      <c r="AM2024" s="136">
        <f t="shared" si="5"/>
        <v>0</v>
      </c>
    </row>
    <row r="2025" spans="2:39" ht="20.25" hidden="1" outlineLevel="1">
      <c r="B2025" s="149" t="s">
        <v>888</v>
      </c>
      <c r="C2025" s="135" t="s">
        <v>1402</v>
      </c>
      <c r="D2025" s="152" t="s">
        <v>1403</v>
      </c>
      <c r="E2025" s="143" t="s">
        <v>138</v>
      </c>
      <c r="F2025" s="138" t="s">
        <v>45</v>
      </c>
      <c r="G2025" s="136"/>
      <c r="H2025" s="136"/>
      <c r="I2025" s="136"/>
      <c r="J2025" s="136"/>
      <c r="K2025" s="136"/>
      <c r="L2025" s="136"/>
      <c r="M2025" s="136">
        <v>2550</v>
      </c>
      <c r="N2025" s="136">
        <v>2421</v>
      </c>
      <c r="O2025" s="136">
        <v>103</v>
      </c>
      <c r="P2025" s="136" t="s">
        <v>252</v>
      </c>
      <c r="Q2025" s="136">
        <v>156</v>
      </c>
      <c r="R2025" s="136" t="s">
        <v>252</v>
      </c>
      <c r="S2025" s="136">
        <v>125</v>
      </c>
      <c r="T2025" s="136" t="s">
        <v>252</v>
      </c>
      <c r="U2025" s="136">
        <v>130</v>
      </c>
      <c r="V2025" s="136" t="s">
        <v>252</v>
      </c>
      <c r="W2025" s="136">
        <v>125</v>
      </c>
      <c r="X2025" s="136" t="s">
        <v>252</v>
      </c>
      <c r="Y2025" s="136">
        <v>138</v>
      </c>
      <c r="Z2025" s="136" t="s">
        <v>252</v>
      </c>
      <c r="AA2025" s="136">
        <v>112</v>
      </c>
      <c r="AB2025" s="136" t="s">
        <v>252</v>
      </c>
      <c r="AC2025" s="136">
        <v>117</v>
      </c>
      <c r="AD2025" s="136" t="s">
        <v>252</v>
      </c>
      <c r="AE2025" s="136">
        <v>128</v>
      </c>
      <c r="AF2025" s="136" t="s">
        <v>252</v>
      </c>
      <c r="AG2025" s="136">
        <v>82</v>
      </c>
      <c r="AH2025" s="136" t="s">
        <v>252</v>
      </c>
      <c r="AI2025" s="136">
        <v>151</v>
      </c>
      <c r="AJ2025" s="136" t="s">
        <v>252</v>
      </c>
      <c r="AK2025" s="136">
        <v>110</v>
      </c>
      <c r="AL2025" s="136" t="s">
        <v>252</v>
      </c>
      <c r="AM2025" s="136">
        <f t="shared" si="5"/>
        <v>1477</v>
      </c>
    </row>
    <row r="2026" spans="2:39" ht="20.25" hidden="1" outlineLevel="1">
      <c r="B2026" s="149" t="s">
        <v>888</v>
      </c>
      <c r="C2026" s="135" t="s">
        <v>1402</v>
      </c>
      <c r="D2026" s="152" t="s">
        <v>1403</v>
      </c>
      <c r="E2026" s="137" t="s">
        <v>44</v>
      </c>
      <c r="F2026" s="138" t="s">
        <v>45</v>
      </c>
      <c r="G2026" s="136"/>
      <c r="H2026" s="136"/>
      <c r="I2026" s="136"/>
      <c r="J2026" s="136"/>
      <c r="K2026" s="136"/>
      <c r="L2026" s="136"/>
      <c r="M2026" s="136">
        <v>2081</v>
      </c>
      <c r="N2026" s="136">
        <v>1997</v>
      </c>
      <c r="O2026" s="136">
        <v>159</v>
      </c>
      <c r="P2026" s="136" t="s">
        <v>252</v>
      </c>
      <c r="Q2026" s="136">
        <v>164</v>
      </c>
      <c r="R2026" s="136" t="s">
        <v>252</v>
      </c>
      <c r="S2026" s="136">
        <v>121</v>
      </c>
      <c r="T2026" s="136" t="s">
        <v>252</v>
      </c>
      <c r="U2026" s="136">
        <v>159</v>
      </c>
      <c r="V2026" s="136" t="s">
        <v>252</v>
      </c>
      <c r="W2026" s="136">
        <v>148</v>
      </c>
      <c r="X2026" s="136" t="s">
        <v>252</v>
      </c>
      <c r="Y2026" s="136">
        <v>157</v>
      </c>
      <c r="Z2026" s="136" t="s">
        <v>252</v>
      </c>
      <c r="AA2026" s="136">
        <v>123</v>
      </c>
      <c r="AB2026" s="136" t="s">
        <v>252</v>
      </c>
      <c r="AC2026" s="136">
        <v>130</v>
      </c>
      <c r="AD2026" s="136" t="s">
        <v>252</v>
      </c>
      <c r="AE2026" s="136">
        <v>178</v>
      </c>
      <c r="AF2026" s="136" t="s">
        <v>252</v>
      </c>
      <c r="AG2026" s="136">
        <v>141</v>
      </c>
      <c r="AH2026" s="136" t="s">
        <v>252</v>
      </c>
      <c r="AI2026" s="136">
        <v>181</v>
      </c>
      <c r="AJ2026" s="136" t="s">
        <v>252</v>
      </c>
      <c r="AK2026" s="136">
        <v>137</v>
      </c>
      <c r="AL2026" s="136" t="s">
        <v>252</v>
      </c>
      <c r="AM2026" s="136">
        <f t="shared" si="5"/>
        <v>1798</v>
      </c>
    </row>
    <row r="2027" spans="2:39" ht="20.25" hidden="1" outlineLevel="1">
      <c r="B2027" s="149" t="s">
        <v>889</v>
      </c>
      <c r="C2027" s="135" t="s">
        <v>1402</v>
      </c>
      <c r="D2027" s="152" t="s">
        <v>1403</v>
      </c>
      <c r="E2027" s="137" t="s">
        <v>44</v>
      </c>
      <c r="F2027" s="138" t="s">
        <v>45</v>
      </c>
      <c r="G2027" s="136"/>
      <c r="H2027" s="136"/>
      <c r="I2027" s="136"/>
      <c r="J2027" s="136"/>
      <c r="K2027" s="136"/>
      <c r="L2027" s="136"/>
      <c r="M2027" s="136">
        <v>15946</v>
      </c>
      <c r="N2027" s="136">
        <v>11118</v>
      </c>
      <c r="O2027" s="136">
        <v>1183</v>
      </c>
      <c r="P2027" s="136" t="s">
        <v>252</v>
      </c>
      <c r="Q2027" s="136">
        <v>993</v>
      </c>
      <c r="R2027" s="136" t="s">
        <v>252</v>
      </c>
      <c r="S2027" s="136">
        <v>845</v>
      </c>
      <c r="T2027" s="136" t="s">
        <v>252</v>
      </c>
      <c r="U2027" s="136">
        <v>1031</v>
      </c>
      <c r="V2027" s="136" t="s">
        <v>252</v>
      </c>
      <c r="W2027" s="136">
        <v>545</v>
      </c>
      <c r="X2027" s="136" t="s">
        <v>252</v>
      </c>
      <c r="Y2027" s="136">
        <v>445</v>
      </c>
      <c r="Z2027" s="136" t="s">
        <v>252</v>
      </c>
      <c r="AA2027" s="136">
        <v>382</v>
      </c>
      <c r="AB2027" s="136" t="s">
        <v>252</v>
      </c>
      <c r="AC2027" s="136">
        <v>334</v>
      </c>
      <c r="AD2027" s="136" t="s">
        <v>252</v>
      </c>
      <c r="AE2027" s="136">
        <v>376</v>
      </c>
      <c r="AF2027" s="136" t="s">
        <v>252</v>
      </c>
      <c r="AG2027" s="136">
        <v>322</v>
      </c>
      <c r="AH2027" s="136" t="s">
        <v>252</v>
      </c>
      <c r="AI2027" s="136">
        <v>435</v>
      </c>
      <c r="AJ2027" s="136" t="s">
        <v>252</v>
      </c>
      <c r="AK2027" s="136">
        <v>717</v>
      </c>
      <c r="AL2027" s="136" t="s">
        <v>252</v>
      </c>
      <c r="AM2027" s="136">
        <f t="shared" si="5"/>
        <v>7608</v>
      </c>
    </row>
    <row r="2028" spans="2:39" ht="20.25" hidden="1" outlineLevel="1">
      <c r="B2028" s="149" t="s">
        <v>890</v>
      </c>
      <c r="C2028" s="135" t="s">
        <v>1402</v>
      </c>
      <c r="D2028" s="152" t="s">
        <v>1403</v>
      </c>
      <c r="E2028" s="137" t="s">
        <v>44</v>
      </c>
      <c r="F2028" s="138" t="s">
        <v>45</v>
      </c>
      <c r="G2028" s="136"/>
      <c r="H2028" s="136"/>
      <c r="I2028" s="136"/>
      <c r="J2028" s="136"/>
      <c r="K2028" s="136"/>
      <c r="L2028" s="136"/>
      <c r="M2028" s="136"/>
      <c r="N2028" s="136"/>
      <c r="O2028" s="136"/>
      <c r="P2028" s="136" t="s">
        <v>252</v>
      </c>
      <c r="Q2028" s="136"/>
      <c r="R2028" s="136" t="s">
        <v>252</v>
      </c>
      <c r="S2028" s="136"/>
      <c r="T2028" s="136" t="s">
        <v>252</v>
      </c>
      <c r="U2028" s="136"/>
      <c r="V2028" s="136" t="s">
        <v>252</v>
      </c>
      <c r="W2028" s="136"/>
      <c r="X2028" s="136" t="s">
        <v>252</v>
      </c>
      <c r="Y2028" s="136"/>
      <c r="Z2028" s="136" t="s">
        <v>252</v>
      </c>
      <c r="AA2028" s="136"/>
      <c r="AB2028" s="136" t="s">
        <v>252</v>
      </c>
      <c r="AC2028" s="136"/>
      <c r="AD2028" s="136" t="s">
        <v>252</v>
      </c>
      <c r="AE2028" s="136"/>
      <c r="AF2028" s="136" t="s">
        <v>252</v>
      </c>
      <c r="AG2028" s="136"/>
      <c r="AH2028" s="136" t="s">
        <v>252</v>
      </c>
      <c r="AI2028" s="136"/>
      <c r="AJ2028" s="136" t="s">
        <v>252</v>
      </c>
      <c r="AK2028" s="136"/>
      <c r="AL2028" s="136" t="s">
        <v>252</v>
      </c>
      <c r="AM2028" s="136">
        <f t="shared" si="5"/>
        <v>0</v>
      </c>
    </row>
    <row r="2029" spans="2:39" ht="20.25" hidden="1" outlineLevel="1">
      <c r="B2029" s="149" t="s">
        <v>891</v>
      </c>
      <c r="C2029" s="135" t="s">
        <v>1402</v>
      </c>
      <c r="D2029" s="152" t="s">
        <v>1403</v>
      </c>
      <c r="E2029" s="433" t="s">
        <v>138</v>
      </c>
      <c r="F2029" s="425" t="s">
        <v>45</v>
      </c>
      <c r="G2029" s="136"/>
      <c r="H2029" s="136"/>
      <c r="I2029" s="136"/>
      <c r="J2029" s="136"/>
      <c r="K2029" s="136"/>
      <c r="L2029" s="136"/>
      <c r="M2029" s="419">
        <v>4507</v>
      </c>
      <c r="N2029" s="419">
        <v>4751</v>
      </c>
      <c r="O2029" s="419">
        <v>300</v>
      </c>
      <c r="P2029" s="419" t="s">
        <v>252</v>
      </c>
      <c r="Q2029" s="419">
        <v>464</v>
      </c>
      <c r="R2029" s="419" t="s">
        <v>252</v>
      </c>
      <c r="S2029" s="419">
        <v>368</v>
      </c>
      <c r="T2029" s="419" t="s">
        <v>252</v>
      </c>
      <c r="U2029" s="419">
        <v>383</v>
      </c>
      <c r="V2029" s="419" t="s">
        <v>252</v>
      </c>
      <c r="W2029" s="419">
        <v>323</v>
      </c>
      <c r="X2029" s="419" t="s">
        <v>252</v>
      </c>
      <c r="Y2029" s="419">
        <v>328</v>
      </c>
      <c r="Z2029" s="419" t="s">
        <v>252</v>
      </c>
      <c r="AA2029" s="419">
        <v>358</v>
      </c>
      <c r="AB2029" s="419" t="s">
        <v>252</v>
      </c>
      <c r="AC2029" s="419">
        <v>278</v>
      </c>
      <c r="AD2029" s="419" t="s">
        <v>252</v>
      </c>
      <c r="AE2029" s="419">
        <v>293</v>
      </c>
      <c r="AF2029" s="419" t="s">
        <v>252</v>
      </c>
      <c r="AG2029" s="419">
        <v>249</v>
      </c>
      <c r="AH2029" s="419" t="s">
        <v>252</v>
      </c>
      <c r="AI2029" s="419">
        <v>276</v>
      </c>
      <c r="AJ2029" s="419" t="s">
        <v>252</v>
      </c>
      <c r="AK2029" s="419">
        <v>276</v>
      </c>
      <c r="AL2029" s="419" t="s">
        <v>252</v>
      </c>
      <c r="AM2029" s="409">
        <f>O2029+Q2029+S2029+U2029+W2029+Y2029+AA2029+AC2029+AE2029+AG2029+AI2029+AK2029</f>
        <v>3896</v>
      </c>
    </row>
    <row r="2030" spans="2:39" ht="20.25" hidden="1" outlineLevel="1">
      <c r="B2030" s="149" t="s">
        <v>892</v>
      </c>
      <c r="C2030" s="135" t="s">
        <v>1402</v>
      </c>
      <c r="D2030" s="152" t="s">
        <v>1403</v>
      </c>
      <c r="E2030" s="434"/>
      <c r="F2030" s="426"/>
      <c r="G2030" s="136"/>
      <c r="H2030" s="136"/>
      <c r="I2030" s="136"/>
      <c r="J2030" s="136"/>
      <c r="K2030" s="136"/>
      <c r="L2030" s="136"/>
      <c r="M2030" s="420"/>
      <c r="N2030" s="420"/>
      <c r="O2030" s="420"/>
      <c r="P2030" s="420"/>
      <c r="Q2030" s="420"/>
      <c r="R2030" s="420"/>
      <c r="S2030" s="420"/>
      <c r="T2030" s="420"/>
      <c r="U2030" s="420"/>
      <c r="V2030" s="420"/>
      <c r="W2030" s="420"/>
      <c r="X2030" s="420"/>
      <c r="Y2030" s="420"/>
      <c r="Z2030" s="420"/>
      <c r="AA2030" s="420"/>
      <c r="AB2030" s="420"/>
      <c r="AC2030" s="420"/>
      <c r="AD2030" s="420"/>
      <c r="AE2030" s="420"/>
      <c r="AF2030" s="420"/>
      <c r="AG2030" s="420"/>
      <c r="AH2030" s="420"/>
      <c r="AI2030" s="420"/>
      <c r="AJ2030" s="420"/>
      <c r="AK2030" s="420"/>
      <c r="AL2030" s="420"/>
      <c r="AM2030" s="410"/>
    </row>
    <row r="2031" spans="2:39" ht="20.25" hidden="1" outlineLevel="1">
      <c r="B2031" s="149" t="s">
        <v>891</v>
      </c>
      <c r="C2031" s="135" t="s">
        <v>1402</v>
      </c>
      <c r="D2031" s="152" t="s">
        <v>1403</v>
      </c>
      <c r="E2031" s="433" t="s">
        <v>44</v>
      </c>
      <c r="F2031" s="425" t="s">
        <v>45</v>
      </c>
      <c r="G2031" s="136"/>
      <c r="H2031" s="136"/>
      <c r="I2031" s="136"/>
      <c r="J2031" s="136"/>
      <c r="K2031" s="136"/>
      <c r="L2031" s="136"/>
      <c r="M2031" s="419">
        <v>4041</v>
      </c>
      <c r="N2031" s="419">
        <v>4192</v>
      </c>
      <c r="O2031" s="419">
        <v>245</v>
      </c>
      <c r="P2031" s="419" t="s">
        <v>252</v>
      </c>
      <c r="Q2031" s="419">
        <v>184</v>
      </c>
      <c r="R2031" s="419" t="s">
        <v>252</v>
      </c>
      <c r="S2031" s="419">
        <v>111</v>
      </c>
      <c r="T2031" s="419" t="s">
        <v>252</v>
      </c>
      <c r="U2031" s="419">
        <v>115</v>
      </c>
      <c r="V2031" s="419" t="s">
        <v>252</v>
      </c>
      <c r="W2031" s="419">
        <v>244</v>
      </c>
      <c r="X2031" s="419" t="s">
        <v>252</v>
      </c>
      <c r="Y2031" s="419">
        <v>283</v>
      </c>
      <c r="Z2031" s="419" t="s">
        <v>252</v>
      </c>
      <c r="AA2031" s="419">
        <v>311</v>
      </c>
      <c r="AB2031" s="419" t="s">
        <v>252</v>
      </c>
      <c r="AC2031" s="419">
        <v>253</v>
      </c>
      <c r="AD2031" s="419" t="s">
        <v>252</v>
      </c>
      <c r="AE2031" s="419">
        <v>330</v>
      </c>
      <c r="AF2031" s="419" t="s">
        <v>252</v>
      </c>
      <c r="AG2031" s="419">
        <v>377</v>
      </c>
      <c r="AH2031" s="419" t="s">
        <v>252</v>
      </c>
      <c r="AI2031" s="419">
        <v>280</v>
      </c>
      <c r="AJ2031" s="419" t="s">
        <v>252</v>
      </c>
      <c r="AK2031" s="419">
        <v>244</v>
      </c>
      <c r="AL2031" s="419" t="s">
        <v>252</v>
      </c>
      <c r="AM2031" s="409">
        <f>O2031+Q2031+S2031+U2031+W2031+Y2031+AA2031+AC2031+AE2031+AG2031+AI2031+AK2031</f>
        <v>2977</v>
      </c>
    </row>
    <row r="2032" spans="2:39" ht="20.25" hidden="1" outlineLevel="1">
      <c r="B2032" s="149" t="s">
        <v>892</v>
      </c>
      <c r="C2032" s="135" t="s">
        <v>1402</v>
      </c>
      <c r="D2032" s="152" t="s">
        <v>1403</v>
      </c>
      <c r="E2032" s="434"/>
      <c r="F2032" s="426"/>
      <c r="G2032" s="136"/>
      <c r="H2032" s="136"/>
      <c r="I2032" s="136"/>
      <c r="J2032" s="136"/>
      <c r="K2032" s="136"/>
      <c r="L2032" s="136"/>
      <c r="M2032" s="420"/>
      <c r="N2032" s="420"/>
      <c r="O2032" s="420"/>
      <c r="P2032" s="420"/>
      <c r="Q2032" s="420"/>
      <c r="R2032" s="420"/>
      <c r="S2032" s="420"/>
      <c r="T2032" s="420"/>
      <c r="U2032" s="420"/>
      <c r="V2032" s="420"/>
      <c r="W2032" s="420"/>
      <c r="X2032" s="420"/>
      <c r="Y2032" s="420"/>
      <c r="Z2032" s="420"/>
      <c r="AA2032" s="420"/>
      <c r="AB2032" s="420"/>
      <c r="AC2032" s="420"/>
      <c r="AD2032" s="420"/>
      <c r="AE2032" s="420"/>
      <c r="AF2032" s="420"/>
      <c r="AG2032" s="420"/>
      <c r="AH2032" s="420"/>
      <c r="AI2032" s="420"/>
      <c r="AJ2032" s="420"/>
      <c r="AK2032" s="420"/>
      <c r="AL2032" s="420"/>
      <c r="AM2032" s="410"/>
    </row>
    <row r="2033" spans="2:39" ht="20.25" hidden="1" outlineLevel="1">
      <c r="B2033" s="149" t="s">
        <v>893</v>
      </c>
      <c r="C2033" s="135" t="s">
        <v>1402</v>
      </c>
      <c r="D2033" s="152" t="s">
        <v>1403</v>
      </c>
      <c r="E2033" s="137" t="s">
        <v>44</v>
      </c>
      <c r="F2033" s="138" t="s">
        <v>45</v>
      </c>
      <c r="G2033" s="136"/>
      <c r="H2033" s="136"/>
      <c r="I2033" s="136"/>
      <c r="J2033" s="136"/>
      <c r="K2033" s="136"/>
      <c r="L2033" s="136"/>
      <c r="M2033" s="136">
        <v>5109</v>
      </c>
      <c r="N2033" s="136">
        <v>5376</v>
      </c>
      <c r="O2033" s="136">
        <v>435</v>
      </c>
      <c r="P2033" s="136" t="s">
        <v>252</v>
      </c>
      <c r="Q2033" s="136">
        <v>285</v>
      </c>
      <c r="R2033" s="136" t="s">
        <v>252</v>
      </c>
      <c r="S2033" s="136">
        <v>201</v>
      </c>
      <c r="T2033" s="136" t="s">
        <v>252</v>
      </c>
      <c r="U2033" s="136">
        <v>296</v>
      </c>
      <c r="V2033" s="136" t="s">
        <v>252</v>
      </c>
      <c r="W2033" s="136">
        <v>263</v>
      </c>
      <c r="X2033" s="136" t="s">
        <v>252</v>
      </c>
      <c r="Y2033" s="136">
        <v>300</v>
      </c>
      <c r="Z2033" s="136" t="s">
        <v>252</v>
      </c>
      <c r="AA2033" s="136">
        <v>232</v>
      </c>
      <c r="AB2033" s="136" t="s">
        <v>252</v>
      </c>
      <c r="AC2033" s="136">
        <v>374</v>
      </c>
      <c r="AD2033" s="136" t="s">
        <v>252</v>
      </c>
      <c r="AE2033" s="136">
        <v>463</v>
      </c>
      <c r="AF2033" s="136" t="s">
        <v>252</v>
      </c>
      <c r="AG2033" s="136">
        <v>469</v>
      </c>
      <c r="AH2033" s="136" t="s">
        <v>252</v>
      </c>
      <c r="AI2033" s="136">
        <v>456</v>
      </c>
      <c r="AJ2033" s="136" t="s">
        <v>252</v>
      </c>
      <c r="AK2033" s="136">
        <v>403</v>
      </c>
      <c r="AL2033" s="136" t="s">
        <v>252</v>
      </c>
      <c r="AM2033" s="136">
        <f t="shared" ref="AM2033:AM2047" si="6">O2033+Q2033+S2033+U2033+W2033+Y2033+AA2033+AC2033+AE2033+AG2033+AI2033+AK2033</f>
        <v>4177</v>
      </c>
    </row>
    <row r="2034" spans="2:39" ht="20.25" hidden="1" outlineLevel="1">
      <c r="B2034" s="149" t="s">
        <v>894</v>
      </c>
      <c r="C2034" s="135" t="s">
        <v>1402</v>
      </c>
      <c r="D2034" s="152" t="s">
        <v>1403</v>
      </c>
      <c r="E2034" s="137" t="s">
        <v>44</v>
      </c>
      <c r="F2034" s="138" t="s">
        <v>45</v>
      </c>
      <c r="G2034" s="136"/>
      <c r="H2034" s="136"/>
      <c r="I2034" s="136"/>
      <c r="J2034" s="136"/>
      <c r="K2034" s="136"/>
      <c r="L2034" s="136"/>
      <c r="M2034" s="136">
        <v>3776</v>
      </c>
      <c r="N2034" s="136">
        <v>4197</v>
      </c>
      <c r="O2034" s="136">
        <v>159</v>
      </c>
      <c r="P2034" s="136" t="s">
        <v>252</v>
      </c>
      <c r="Q2034" s="136">
        <v>170</v>
      </c>
      <c r="R2034" s="136" t="s">
        <v>252</v>
      </c>
      <c r="S2034" s="136">
        <v>154</v>
      </c>
      <c r="T2034" s="136" t="s">
        <v>252</v>
      </c>
      <c r="U2034" s="136">
        <v>150</v>
      </c>
      <c r="V2034" s="136" t="s">
        <v>252</v>
      </c>
      <c r="W2034" s="136">
        <v>101</v>
      </c>
      <c r="X2034" s="136" t="s">
        <v>252</v>
      </c>
      <c r="Y2034" s="136">
        <v>93</v>
      </c>
      <c r="Z2034" s="136" t="s">
        <v>252</v>
      </c>
      <c r="AA2034" s="136">
        <v>68</v>
      </c>
      <c r="AB2034" s="136" t="s">
        <v>252</v>
      </c>
      <c r="AC2034" s="136">
        <v>116</v>
      </c>
      <c r="AD2034" s="136" t="s">
        <v>252</v>
      </c>
      <c r="AE2034" s="136">
        <v>165</v>
      </c>
      <c r="AF2034" s="136" t="s">
        <v>252</v>
      </c>
      <c r="AG2034" s="136">
        <v>216</v>
      </c>
      <c r="AH2034" s="136" t="s">
        <v>252</v>
      </c>
      <c r="AI2034" s="136">
        <v>168</v>
      </c>
      <c r="AJ2034" s="136" t="s">
        <v>252</v>
      </c>
      <c r="AK2034" s="136">
        <v>180</v>
      </c>
      <c r="AL2034" s="136" t="s">
        <v>252</v>
      </c>
      <c r="AM2034" s="136">
        <f t="shared" si="6"/>
        <v>1740</v>
      </c>
    </row>
    <row r="2035" spans="2:39" ht="20.25" hidden="1" outlineLevel="1">
      <c r="B2035" s="149" t="s">
        <v>895</v>
      </c>
      <c r="C2035" s="135" t="s">
        <v>1402</v>
      </c>
      <c r="D2035" s="152" t="s">
        <v>1403</v>
      </c>
      <c r="E2035" s="137" t="s">
        <v>44</v>
      </c>
      <c r="F2035" s="138" t="s">
        <v>45</v>
      </c>
      <c r="G2035" s="136"/>
      <c r="H2035" s="136"/>
      <c r="I2035" s="136"/>
      <c r="J2035" s="136"/>
      <c r="K2035" s="136"/>
      <c r="L2035" s="136"/>
      <c r="M2035" s="136">
        <v>2463</v>
      </c>
      <c r="N2035" s="136">
        <v>2313</v>
      </c>
      <c r="O2035" s="136">
        <v>273</v>
      </c>
      <c r="P2035" s="136" t="s">
        <v>252</v>
      </c>
      <c r="Q2035" s="136">
        <v>217</v>
      </c>
      <c r="R2035" s="136" t="s">
        <v>252</v>
      </c>
      <c r="S2035" s="136">
        <v>163</v>
      </c>
      <c r="T2035" s="136" t="s">
        <v>252</v>
      </c>
      <c r="U2035" s="136">
        <v>139</v>
      </c>
      <c r="V2035" s="136" t="s">
        <v>252</v>
      </c>
      <c r="W2035" s="136">
        <v>106</v>
      </c>
      <c r="X2035" s="136" t="s">
        <v>252</v>
      </c>
      <c r="Y2035" s="136">
        <v>64</v>
      </c>
      <c r="Z2035" s="136" t="s">
        <v>252</v>
      </c>
      <c r="AA2035" s="136">
        <v>37</v>
      </c>
      <c r="AB2035" s="136" t="s">
        <v>252</v>
      </c>
      <c r="AC2035" s="136">
        <v>70</v>
      </c>
      <c r="AD2035" s="136" t="s">
        <v>252</v>
      </c>
      <c r="AE2035" s="136">
        <v>115</v>
      </c>
      <c r="AF2035" s="136" t="s">
        <v>252</v>
      </c>
      <c r="AG2035" s="136">
        <v>126</v>
      </c>
      <c r="AH2035" s="136" t="s">
        <v>252</v>
      </c>
      <c r="AI2035" s="136">
        <v>314</v>
      </c>
      <c r="AJ2035" s="136" t="s">
        <v>252</v>
      </c>
      <c r="AK2035" s="136">
        <v>250</v>
      </c>
      <c r="AL2035" s="136" t="s">
        <v>252</v>
      </c>
      <c r="AM2035" s="136">
        <f t="shared" si="6"/>
        <v>1874</v>
      </c>
    </row>
    <row r="2036" spans="2:39" ht="20.25" hidden="1" outlineLevel="1">
      <c r="B2036" s="149" t="s">
        <v>896</v>
      </c>
      <c r="C2036" s="135" t="s">
        <v>1402</v>
      </c>
      <c r="D2036" s="152" t="s">
        <v>1403</v>
      </c>
      <c r="E2036" s="137" t="s">
        <v>44</v>
      </c>
      <c r="F2036" s="138" t="s">
        <v>45</v>
      </c>
      <c r="G2036" s="136"/>
      <c r="H2036" s="136"/>
      <c r="I2036" s="136"/>
      <c r="J2036" s="136"/>
      <c r="K2036" s="136"/>
      <c r="L2036" s="136"/>
      <c r="M2036" s="136"/>
      <c r="N2036" s="136"/>
      <c r="O2036" s="136"/>
      <c r="P2036" s="136" t="s">
        <v>252</v>
      </c>
      <c r="Q2036" s="136"/>
      <c r="R2036" s="136" t="s">
        <v>252</v>
      </c>
      <c r="S2036" s="136"/>
      <c r="T2036" s="136" t="s">
        <v>252</v>
      </c>
      <c r="U2036" s="136"/>
      <c r="V2036" s="136" t="s">
        <v>252</v>
      </c>
      <c r="W2036" s="136"/>
      <c r="X2036" s="136" t="s">
        <v>252</v>
      </c>
      <c r="Y2036" s="136"/>
      <c r="Z2036" s="136" t="s">
        <v>252</v>
      </c>
      <c r="AA2036" s="136"/>
      <c r="AB2036" s="136" t="s">
        <v>252</v>
      </c>
      <c r="AC2036" s="136"/>
      <c r="AD2036" s="136" t="s">
        <v>252</v>
      </c>
      <c r="AE2036" s="136"/>
      <c r="AF2036" s="136" t="s">
        <v>252</v>
      </c>
      <c r="AG2036" s="136"/>
      <c r="AH2036" s="136" t="s">
        <v>252</v>
      </c>
      <c r="AI2036" s="136"/>
      <c r="AJ2036" s="136" t="s">
        <v>252</v>
      </c>
      <c r="AK2036" s="136"/>
      <c r="AL2036" s="136" t="s">
        <v>252</v>
      </c>
      <c r="AM2036" s="136">
        <f t="shared" si="6"/>
        <v>0</v>
      </c>
    </row>
    <row r="2037" spans="2:39" ht="20.25" hidden="1" outlineLevel="1">
      <c r="B2037" s="149" t="s">
        <v>897</v>
      </c>
      <c r="C2037" s="135" t="s">
        <v>1402</v>
      </c>
      <c r="D2037" s="152" t="s">
        <v>1403</v>
      </c>
      <c r="E2037" s="137" t="s">
        <v>44</v>
      </c>
      <c r="F2037" s="138" t="s">
        <v>45</v>
      </c>
      <c r="G2037" s="136"/>
      <c r="H2037" s="136"/>
      <c r="I2037" s="136"/>
      <c r="J2037" s="136"/>
      <c r="K2037" s="136"/>
      <c r="L2037" s="136"/>
      <c r="M2037" s="136"/>
      <c r="N2037" s="136"/>
      <c r="O2037" s="136"/>
      <c r="P2037" s="136" t="s">
        <v>252</v>
      </c>
      <c r="Q2037" s="136"/>
      <c r="R2037" s="136" t="s">
        <v>252</v>
      </c>
      <c r="S2037" s="136"/>
      <c r="T2037" s="136" t="s">
        <v>252</v>
      </c>
      <c r="U2037" s="136"/>
      <c r="V2037" s="136" t="s">
        <v>252</v>
      </c>
      <c r="W2037" s="136"/>
      <c r="X2037" s="136" t="s">
        <v>252</v>
      </c>
      <c r="Y2037" s="136"/>
      <c r="Z2037" s="136" t="s">
        <v>252</v>
      </c>
      <c r="AA2037" s="136"/>
      <c r="AB2037" s="136" t="s">
        <v>252</v>
      </c>
      <c r="AC2037" s="136"/>
      <c r="AD2037" s="136" t="s">
        <v>252</v>
      </c>
      <c r="AE2037" s="136"/>
      <c r="AF2037" s="136" t="s">
        <v>252</v>
      </c>
      <c r="AG2037" s="136"/>
      <c r="AH2037" s="136" t="s">
        <v>252</v>
      </c>
      <c r="AI2037" s="136"/>
      <c r="AJ2037" s="136" t="s">
        <v>252</v>
      </c>
      <c r="AK2037" s="136"/>
      <c r="AL2037" s="136" t="s">
        <v>252</v>
      </c>
      <c r="AM2037" s="136">
        <f t="shared" si="6"/>
        <v>0</v>
      </c>
    </row>
    <row r="2038" spans="2:39" ht="40.5" hidden="1" outlineLevel="1">
      <c r="B2038" s="149" t="s">
        <v>900</v>
      </c>
      <c r="C2038" s="136" t="s">
        <v>1411</v>
      </c>
      <c r="D2038" s="152"/>
      <c r="E2038" s="137" t="s">
        <v>44</v>
      </c>
      <c r="F2038" s="138" t="s">
        <v>45</v>
      </c>
      <c r="G2038" s="136"/>
      <c r="H2038" s="136"/>
      <c r="I2038" s="136"/>
      <c r="J2038" s="136"/>
      <c r="K2038" s="136"/>
      <c r="L2038" s="136"/>
      <c r="M2038" s="136"/>
      <c r="N2038" s="136"/>
      <c r="O2038" s="136"/>
      <c r="P2038" s="136"/>
      <c r="Q2038" s="136"/>
      <c r="R2038" s="136"/>
      <c r="S2038" s="136"/>
      <c r="T2038" s="136"/>
      <c r="U2038" s="136"/>
      <c r="V2038" s="136"/>
      <c r="W2038" s="136"/>
      <c r="X2038" s="136"/>
      <c r="Y2038" s="136"/>
      <c r="Z2038" s="136"/>
      <c r="AA2038" s="136"/>
      <c r="AB2038" s="136"/>
      <c r="AC2038" s="136"/>
      <c r="AD2038" s="136"/>
      <c r="AE2038" s="136"/>
      <c r="AF2038" s="136"/>
      <c r="AG2038" s="136"/>
      <c r="AH2038" s="136"/>
      <c r="AI2038" s="136"/>
      <c r="AJ2038" s="136"/>
      <c r="AK2038" s="136"/>
      <c r="AL2038" s="136"/>
      <c r="AM2038" s="136">
        <f t="shared" si="6"/>
        <v>0</v>
      </c>
    </row>
    <row r="2039" spans="2:39" ht="20.25" hidden="1" outlineLevel="1">
      <c r="B2039" s="149" t="s">
        <v>902</v>
      </c>
      <c r="C2039" s="135" t="s">
        <v>1402</v>
      </c>
      <c r="D2039" s="152" t="s">
        <v>1403</v>
      </c>
      <c r="E2039" s="137" t="s">
        <v>44</v>
      </c>
      <c r="F2039" s="138" t="s">
        <v>45</v>
      </c>
      <c r="G2039" s="136"/>
      <c r="H2039" s="136"/>
      <c r="I2039" s="136"/>
      <c r="J2039" s="136"/>
      <c r="K2039" s="136"/>
      <c r="L2039" s="136"/>
      <c r="M2039" s="136">
        <v>4544</v>
      </c>
      <c r="N2039" s="136">
        <v>4597</v>
      </c>
      <c r="O2039" s="136">
        <v>374</v>
      </c>
      <c r="P2039" s="136" t="s">
        <v>252</v>
      </c>
      <c r="Q2039" s="136">
        <v>340</v>
      </c>
      <c r="R2039" s="136" t="s">
        <v>252</v>
      </c>
      <c r="S2039" s="136">
        <v>257</v>
      </c>
      <c r="T2039" s="136" t="s">
        <v>252</v>
      </c>
      <c r="U2039" s="136">
        <v>361</v>
      </c>
      <c r="V2039" s="136" t="s">
        <v>252</v>
      </c>
      <c r="W2039" s="136">
        <v>261</v>
      </c>
      <c r="X2039" s="136" t="s">
        <v>252</v>
      </c>
      <c r="Y2039" s="136">
        <v>314</v>
      </c>
      <c r="Z2039" s="136" t="s">
        <v>252</v>
      </c>
      <c r="AA2039" s="136">
        <v>277</v>
      </c>
      <c r="AB2039" s="136" t="s">
        <v>252</v>
      </c>
      <c r="AC2039" s="136">
        <v>200</v>
      </c>
      <c r="AD2039" s="136" t="s">
        <v>252</v>
      </c>
      <c r="AE2039" s="136">
        <v>306</v>
      </c>
      <c r="AF2039" s="136" t="s">
        <v>252</v>
      </c>
      <c r="AG2039" s="136">
        <v>438</v>
      </c>
      <c r="AH2039" s="136" t="s">
        <v>252</v>
      </c>
      <c r="AI2039" s="136">
        <v>619</v>
      </c>
      <c r="AJ2039" s="136" t="s">
        <v>252</v>
      </c>
      <c r="AK2039" s="136">
        <v>379</v>
      </c>
      <c r="AL2039" s="136" t="s">
        <v>252</v>
      </c>
      <c r="AM2039" s="136">
        <f t="shared" si="6"/>
        <v>4126</v>
      </c>
    </row>
    <row r="2040" spans="2:39" ht="20.25" hidden="1" outlineLevel="1">
      <c r="B2040" s="149" t="s">
        <v>903</v>
      </c>
      <c r="C2040" s="135" t="s">
        <v>1402</v>
      </c>
      <c r="D2040" s="152" t="s">
        <v>1403</v>
      </c>
      <c r="E2040" s="137" t="s">
        <v>44</v>
      </c>
      <c r="F2040" s="144" t="s">
        <v>45</v>
      </c>
      <c r="G2040" s="136"/>
      <c r="H2040" s="136"/>
      <c r="I2040" s="136"/>
      <c r="J2040" s="136"/>
      <c r="K2040" s="136"/>
      <c r="L2040" s="136"/>
      <c r="M2040" s="136">
        <v>5176</v>
      </c>
      <c r="N2040" s="136">
        <v>8304</v>
      </c>
      <c r="O2040" s="136">
        <v>851</v>
      </c>
      <c r="P2040" s="136" t="s">
        <v>252</v>
      </c>
      <c r="Q2040" s="136">
        <v>1056</v>
      </c>
      <c r="R2040" s="136" t="s">
        <v>252</v>
      </c>
      <c r="S2040" s="136">
        <v>657</v>
      </c>
      <c r="T2040" s="136" t="s">
        <v>252</v>
      </c>
      <c r="U2040" s="136">
        <v>981</v>
      </c>
      <c r="V2040" s="136" t="s">
        <v>252</v>
      </c>
      <c r="W2040" s="136">
        <v>686</v>
      </c>
      <c r="X2040" s="136" t="s">
        <v>252</v>
      </c>
      <c r="Y2040" s="136">
        <v>674</v>
      </c>
      <c r="Z2040" s="136" t="s">
        <v>252</v>
      </c>
      <c r="AA2040" s="136">
        <v>571</v>
      </c>
      <c r="AB2040" s="136" t="s">
        <v>252</v>
      </c>
      <c r="AC2040" s="136">
        <v>475</v>
      </c>
      <c r="AD2040" s="136" t="s">
        <v>252</v>
      </c>
      <c r="AE2040" s="136">
        <v>563</v>
      </c>
      <c r="AF2040" s="136" t="s">
        <v>252</v>
      </c>
      <c r="AG2040" s="136">
        <v>682</v>
      </c>
      <c r="AH2040" s="136" t="s">
        <v>252</v>
      </c>
      <c r="AI2040" s="136">
        <v>667</v>
      </c>
      <c r="AJ2040" s="136" t="s">
        <v>252</v>
      </c>
      <c r="AK2040" s="136">
        <v>524</v>
      </c>
      <c r="AL2040" s="136" t="s">
        <v>252</v>
      </c>
      <c r="AM2040" s="136">
        <f t="shared" si="6"/>
        <v>8387</v>
      </c>
    </row>
    <row r="2041" spans="2:39" ht="20.25" hidden="1" outlineLevel="1">
      <c r="B2041" s="149" t="s">
        <v>904</v>
      </c>
      <c r="C2041" s="135" t="s">
        <v>1402</v>
      </c>
      <c r="D2041" s="152" t="s">
        <v>1403</v>
      </c>
      <c r="E2041" s="137" t="s">
        <v>44</v>
      </c>
      <c r="F2041" s="144" t="s">
        <v>45</v>
      </c>
      <c r="G2041" s="136"/>
      <c r="H2041" s="136"/>
      <c r="I2041" s="136"/>
      <c r="J2041" s="136"/>
      <c r="K2041" s="136"/>
      <c r="L2041" s="136"/>
      <c r="M2041" s="136">
        <v>3818</v>
      </c>
      <c r="N2041" s="136">
        <v>3674</v>
      </c>
      <c r="O2041" s="136">
        <v>269</v>
      </c>
      <c r="P2041" s="136" t="s">
        <v>252</v>
      </c>
      <c r="Q2041" s="136">
        <v>306</v>
      </c>
      <c r="R2041" s="136" t="s">
        <v>252</v>
      </c>
      <c r="S2041" s="136">
        <v>188</v>
      </c>
      <c r="T2041" s="136" t="s">
        <v>252</v>
      </c>
      <c r="U2041" s="136">
        <v>503</v>
      </c>
      <c r="V2041" s="136" t="s">
        <v>252</v>
      </c>
      <c r="W2041" s="136">
        <v>297</v>
      </c>
      <c r="X2041" s="136" t="s">
        <v>252</v>
      </c>
      <c r="Y2041" s="136">
        <v>300</v>
      </c>
      <c r="Z2041" s="136" t="s">
        <v>252</v>
      </c>
      <c r="AA2041" s="136">
        <v>275</v>
      </c>
      <c r="AB2041" s="136" t="s">
        <v>252</v>
      </c>
      <c r="AC2041" s="136">
        <v>234</v>
      </c>
      <c r="AD2041" s="136" t="s">
        <v>252</v>
      </c>
      <c r="AE2041" s="136">
        <v>257</v>
      </c>
      <c r="AF2041" s="136" t="s">
        <v>252</v>
      </c>
      <c r="AG2041" s="136">
        <v>360</v>
      </c>
      <c r="AH2041" s="136" t="s">
        <v>252</v>
      </c>
      <c r="AI2041" s="136">
        <v>400</v>
      </c>
      <c r="AJ2041" s="136" t="s">
        <v>252</v>
      </c>
      <c r="AK2041" s="136">
        <v>368</v>
      </c>
      <c r="AL2041" s="136" t="s">
        <v>252</v>
      </c>
      <c r="AM2041" s="136">
        <f t="shared" si="6"/>
        <v>3757</v>
      </c>
    </row>
    <row r="2042" spans="2:39" ht="20.25" hidden="1" outlineLevel="1">
      <c r="B2042" s="149" t="s">
        <v>905</v>
      </c>
      <c r="C2042" s="135" t="s">
        <v>1402</v>
      </c>
      <c r="D2042" s="152" t="s">
        <v>1403</v>
      </c>
      <c r="E2042" s="137" t="s">
        <v>44</v>
      </c>
      <c r="F2042" s="138" t="s">
        <v>45</v>
      </c>
      <c r="G2042" s="136"/>
      <c r="H2042" s="136"/>
      <c r="I2042" s="136"/>
      <c r="J2042" s="136"/>
      <c r="K2042" s="136"/>
      <c r="L2042" s="136"/>
      <c r="M2042" s="136">
        <v>8764</v>
      </c>
      <c r="N2042" s="136">
        <v>9049</v>
      </c>
      <c r="O2042" s="136">
        <v>869</v>
      </c>
      <c r="P2042" s="136" t="s">
        <v>252</v>
      </c>
      <c r="Q2042" s="136">
        <v>1042</v>
      </c>
      <c r="R2042" s="136" t="s">
        <v>252</v>
      </c>
      <c r="S2042" s="136">
        <v>754</v>
      </c>
      <c r="T2042" s="136" t="s">
        <v>252</v>
      </c>
      <c r="U2042" s="136">
        <v>908</v>
      </c>
      <c r="V2042" s="136" t="s">
        <v>252</v>
      </c>
      <c r="W2042" s="136">
        <v>600</v>
      </c>
      <c r="X2042" s="136" t="s">
        <v>252</v>
      </c>
      <c r="Y2042" s="136">
        <v>571</v>
      </c>
      <c r="Z2042" s="136" t="s">
        <v>252</v>
      </c>
      <c r="AA2042" s="136">
        <v>493</v>
      </c>
      <c r="AB2042" s="136" t="s">
        <v>252</v>
      </c>
      <c r="AC2042" s="136">
        <v>612</v>
      </c>
      <c r="AD2042" s="136" t="s">
        <v>252</v>
      </c>
      <c r="AE2042" s="136">
        <v>820</v>
      </c>
      <c r="AF2042" s="136" t="s">
        <v>252</v>
      </c>
      <c r="AG2042" s="136">
        <v>800</v>
      </c>
      <c r="AH2042" s="136" t="s">
        <v>252</v>
      </c>
      <c r="AI2042" s="136">
        <v>639</v>
      </c>
      <c r="AJ2042" s="136" t="s">
        <v>252</v>
      </c>
      <c r="AK2042" s="136">
        <v>760</v>
      </c>
      <c r="AL2042" s="136" t="s">
        <v>252</v>
      </c>
      <c r="AM2042" s="136">
        <f t="shared" si="6"/>
        <v>8868</v>
      </c>
    </row>
    <row r="2043" spans="2:39" ht="20.25" hidden="1" outlineLevel="1">
      <c r="B2043" s="149" t="s">
        <v>907</v>
      </c>
      <c r="C2043" s="135" t="s">
        <v>1402</v>
      </c>
      <c r="D2043" s="152" t="s">
        <v>1403</v>
      </c>
      <c r="E2043" s="137" t="s">
        <v>44</v>
      </c>
      <c r="F2043" s="138" t="s">
        <v>45</v>
      </c>
      <c r="G2043" s="136"/>
      <c r="H2043" s="136"/>
      <c r="I2043" s="136"/>
      <c r="J2043" s="136"/>
      <c r="K2043" s="136"/>
      <c r="L2043" s="136"/>
      <c r="M2043" s="136">
        <v>6445</v>
      </c>
      <c r="N2043" s="136">
        <v>6377</v>
      </c>
      <c r="O2043" s="136">
        <v>657</v>
      </c>
      <c r="P2043" s="136" t="s">
        <v>252</v>
      </c>
      <c r="Q2043" s="136">
        <v>592</v>
      </c>
      <c r="R2043" s="136" t="s">
        <v>252</v>
      </c>
      <c r="S2043" s="136">
        <v>373</v>
      </c>
      <c r="T2043" s="136" t="s">
        <v>252</v>
      </c>
      <c r="U2043" s="136">
        <v>512</v>
      </c>
      <c r="V2043" s="136" t="s">
        <v>252</v>
      </c>
      <c r="W2043" s="136">
        <v>322</v>
      </c>
      <c r="X2043" s="136" t="s">
        <v>252</v>
      </c>
      <c r="Y2043" s="136">
        <v>316</v>
      </c>
      <c r="Z2043" s="136" t="s">
        <v>252</v>
      </c>
      <c r="AA2043" s="136">
        <v>285</v>
      </c>
      <c r="AB2043" s="136" t="s">
        <v>252</v>
      </c>
      <c r="AC2043" s="136">
        <v>328</v>
      </c>
      <c r="AD2043" s="136" t="s">
        <v>252</v>
      </c>
      <c r="AE2043" s="136">
        <v>502</v>
      </c>
      <c r="AF2043" s="136" t="s">
        <v>252</v>
      </c>
      <c r="AG2043" s="136">
        <v>564</v>
      </c>
      <c r="AH2043" s="136" t="s">
        <v>252</v>
      </c>
      <c r="AI2043" s="136">
        <v>581</v>
      </c>
      <c r="AJ2043" s="136" t="s">
        <v>252</v>
      </c>
      <c r="AK2043" s="136">
        <v>622</v>
      </c>
      <c r="AL2043" s="136" t="s">
        <v>252</v>
      </c>
      <c r="AM2043" s="136">
        <f t="shared" si="6"/>
        <v>5654</v>
      </c>
    </row>
    <row r="2044" spans="2:39" ht="20.25" hidden="1" outlineLevel="1">
      <c r="B2044" s="149" t="s">
        <v>908</v>
      </c>
      <c r="C2044" s="135" t="s">
        <v>1402</v>
      </c>
      <c r="D2044" s="152" t="s">
        <v>1403</v>
      </c>
      <c r="E2044" s="137" t="s">
        <v>44</v>
      </c>
      <c r="F2044" s="138" t="s">
        <v>45</v>
      </c>
      <c r="G2044" s="136"/>
      <c r="H2044" s="136"/>
      <c r="I2044" s="136"/>
      <c r="J2044" s="136"/>
      <c r="K2044" s="136"/>
      <c r="L2044" s="136"/>
      <c r="M2044" s="136"/>
      <c r="N2044" s="136"/>
      <c r="O2044" s="136"/>
      <c r="P2044" s="136" t="s">
        <v>252</v>
      </c>
      <c r="Q2044" s="136"/>
      <c r="R2044" s="136" t="s">
        <v>252</v>
      </c>
      <c r="S2044" s="136"/>
      <c r="T2044" s="136" t="s">
        <v>252</v>
      </c>
      <c r="U2044" s="136"/>
      <c r="V2044" s="136" t="s">
        <v>252</v>
      </c>
      <c r="W2044" s="136"/>
      <c r="X2044" s="136" t="s">
        <v>252</v>
      </c>
      <c r="Y2044" s="136"/>
      <c r="Z2044" s="136" t="s">
        <v>252</v>
      </c>
      <c r="AA2044" s="136"/>
      <c r="AB2044" s="136" t="s">
        <v>252</v>
      </c>
      <c r="AC2044" s="136"/>
      <c r="AD2044" s="136" t="s">
        <v>252</v>
      </c>
      <c r="AE2044" s="136"/>
      <c r="AF2044" s="136" t="s">
        <v>252</v>
      </c>
      <c r="AG2044" s="136"/>
      <c r="AH2044" s="136" t="s">
        <v>252</v>
      </c>
      <c r="AI2044" s="136"/>
      <c r="AJ2044" s="136" t="s">
        <v>252</v>
      </c>
      <c r="AK2044" s="136"/>
      <c r="AL2044" s="136" t="s">
        <v>252</v>
      </c>
      <c r="AM2044" s="136">
        <f t="shared" si="6"/>
        <v>0</v>
      </c>
    </row>
    <row r="2045" spans="2:39" ht="20.25" hidden="1" outlineLevel="1">
      <c r="B2045" s="149" t="s">
        <v>909</v>
      </c>
      <c r="C2045" s="135" t="s">
        <v>1402</v>
      </c>
      <c r="D2045" s="152" t="s">
        <v>1403</v>
      </c>
      <c r="E2045" s="137" t="s">
        <v>44</v>
      </c>
      <c r="F2045" s="138" t="s">
        <v>45</v>
      </c>
      <c r="G2045" s="136"/>
      <c r="H2045" s="136"/>
      <c r="I2045" s="136"/>
      <c r="J2045" s="136"/>
      <c r="K2045" s="136"/>
      <c r="L2045" s="136"/>
      <c r="M2045" s="136">
        <v>6207</v>
      </c>
      <c r="N2045" s="136">
        <v>6249</v>
      </c>
      <c r="O2045" s="136">
        <v>530</v>
      </c>
      <c r="P2045" s="136" t="s">
        <v>252</v>
      </c>
      <c r="Q2045" s="136">
        <v>379</v>
      </c>
      <c r="R2045" s="136" t="s">
        <v>252</v>
      </c>
      <c r="S2045" s="136">
        <v>311</v>
      </c>
      <c r="T2045" s="136" t="s">
        <v>252</v>
      </c>
      <c r="U2045" s="136">
        <v>588</v>
      </c>
      <c r="V2045" s="136" t="s">
        <v>252</v>
      </c>
      <c r="W2045" s="136">
        <v>444</v>
      </c>
      <c r="X2045" s="136" t="s">
        <v>252</v>
      </c>
      <c r="Y2045" s="136">
        <v>455</v>
      </c>
      <c r="Z2045" s="136" t="s">
        <v>252</v>
      </c>
      <c r="AA2045" s="136">
        <v>414</v>
      </c>
      <c r="AB2045" s="136" t="s">
        <v>252</v>
      </c>
      <c r="AC2045" s="136">
        <v>486</v>
      </c>
      <c r="AD2045" s="136" t="s">
        <v>252</v>
      </c>
      <c r="AE2045" s="136">
        <v>535</v>
      </c>
      <c r="AF2045" s="136" t="s">
        <v>252</v>
      </c>
      <c r="AG2045" s="136">
        <v>530</v>
      </c>
      <c r="AH2045" s="136" t="s">
        <v>252</v>
      </c>
      <c r="AI2045" s="136">
        <v>457</v>
      </c>
      <c r="AJ2045" s="136" t="s">
        <v>252</v>
      </c>
      <c r="AK2045" s="136">
        <v>567</v>
      </c>
      <c r="AL2045" s="136" t="s">
        <v>252</v>
      </c>
      <c r="AM2045" s="136">
        <f t="shared" si="6"/>
        <v>5696</v>
      </c>
    </row>
    <row r="2046" spans="2:39" ht="20.25" hidden="1" outlineLevel="1">
      <c r="B2046" s="149" t="s">
        <v>910</v>
      </c>
      <c r="C2046" s="135" t="s">
        <v>1402</v>
      </c>
      <c r="D2046" s="152" t="s">
        <v>1403</v>
      </c>
      <c r="E2046" s="137" t="s">
        <v>44</v>
      </c>
      <c r="F2046" s="138" t="s">
        <v>45</v>
      </c>
      <c r="G2046" s="136"/>
      <c r="H2046" s="136"/>
      <c r="I2046" s="136"/>
      <c r="J2046" s="136"/>
      <c r="K2046" s="136"/>
      <c r="L2046" s="136"/>
      <c r="M2046" s="136">
        <v>11408</v>
      </c>
      <c r="N2046" s="136">
        <v>11775</v>
      </c>
      <c r="O2046" s="136">
        <v>1125</v>
      </c>
      <c r="P2046" s="136" t="s">
        <v>252</v>
      </c>
      <c r="Q2046" s="136">
        <v>907</v>
      </c>
      <c r="R2046" s="136" t="s">
        <v>252</v>
      </c>
      <c r="S2046" s="136">
        <v>619</v>
      </c>
      <c r="T2046" s="136" t="s">
        <v>252</v>
      </c>
      <c r="U2046" s="136">
        <v>809</v>
      </c>
      <c r="V2046" s="136" t="s">
        <v>252</v>
      </c>
      <c r="W2046" s="136">
        <v>612</v>
      </c>
      <c r="X2046" s="136" t="s">
        <v>252</v>
      </c>
      <c r="Y2046" s="136">
        <v>649</v>
      </c>
      <c r="Z2046" s="136" t="s">
        <v>252</v>
      </c>
      <c r="AA2046" s="136">
        <v>424</v>
      </c>
      <c r="AB2046" s="136" t="s">
        <v>252</v>
      </c>
      <c r="AC2046" s="136">
        <v>371</v>
      </c>
      <c r="AD2046" s="136" t="s">
        <v>252</v>
      </c>
      <c r="AE2046" s="136">
        <v>561</v>
      </c>
      <c r="AF2046" s="136" t="s">
        <v>252</v>
      </c>
      <c r="AG2046" s="136">
        <v>740</v>
      </c>
      <c r="AH2046" s="136" t="s">
        <v>252</v>
      </c>
      <c r="AI2046" s="136">
        <v>686</v>
      </c>
      <c r="AJ2046" s="136" t="s">
        <v>252</v>
      </c>
      <c r="AK2046" s="136">
        <v>849</v>
      </c>
      <c r="AL2046" s="136" t="s">
        <v>252</v>
      </c>
      <c r="AM2046" s="136">
        <f t="shared" si="6"/>
        <v>8352</v>
      </c>
    </row>
    <row r="2047" spans="2:39" ht="20.25" hidden="1" outlineLevel="1">
      <c r="B2047" s="149" t="s">
        <v>911</v>
      </c>
      <c r="C2047" s="135" t="s">
        <v>1402</v>
      </c>
      <c r="D2047" s="152" t="s">
        <v>1403</v>
      </c>
      <c r="E2047" s="137" t="s">
        <v>44</v>
      </c>
      <c r="F2047" s="138" t="s">
        <v>45</v>
      </c>
      <c r="G2047" s="136"/>
      <c r="H2047" s="136"/>
      <c r="I2047" s="136"/>
      <c r="J2047" s="136"/>
      <c r="K2047" s="136"/>
      <c r="L2047" s="136"/>
      <c r="M2047" s="136">
        <v>10520</v>
      </c>
      <c r="N2047" s="136">
        <v>10462</v>
      </c>
      <c r="O2047" s="136">
        <v>874</v>
      </c>
      <c r="P2047" s="136" t="s">
        <v>252</v>
      </c>
      <c r="Q2047" s="136">
        <v>877</v>
      </c>
      <c r="R2047" s="136" t="s">
        <v>252</v>
      </c>
      <c r="S2047" s="136">
        <v>730</v>
      </c>
      <c r="T2047" s="136" t="s">
        <v>252</v>
      </c>
      <c r="U2047" s="136">
        <v>1028</v>
      </c>
      <c r="V2047" s="136" t="s">
        <v>252</v>
      </c>
      <c r="W2047" s="136">
        <v>780</v>
      </c>
      <c r="X2047" s="136" t="s">
        <v>252</v>
      </c>
      <c r="Y2047" s="136">
        <v>778</v>
      </c>
      <c r="Z2047" s="136" t="s">
        <v>252</v>
      </c>
      <c r="AA2047" s="136">
        <v>677</v>
      </c>
      <c r="AB2047" s="136" t="s">
        <v>252</v>
      </c>
      <c r="AC2047" s="136">
        <v>720</v>
      </c>
      <c r="AD2047" s="136" t="s">
        <v>252</v>
      </c>
      <c r="AE2047" s="136">
        <v>974</v>
      </c>
      <c r="AF2047" s="136" t="s">
        <v>252</v>
      </c>
      <c r="AG2047" s="136">
        <v>869</v>
      </c>
      <c r="AH2047" s="136" t="s">
        <v>252</v>
      </c>
      <c r="AI2047" s="136">
        <v>729</v>
      </c>
      <c r="AJ2047" s="136" t="s">
        <v>252</v>
      </c>
      <c r="AK2047" s="136">
        <v>855</v>
      </c>
      <c r="AL2047" s="136" t="s">
        <v>252</v>
      </c>
      <c r="AM2047" s="136">
        <f t="shared" si="6"/>
        <v>9891</v>
      </c>
    </row>
    <row r="2048" spans="2:39" ht="20.25" hidden="1" outlineLevel="1">
      <c r="B2048" s="149" t="s">
        <v>912</v>
      </c>
      <c r="C2048" s="135" t="s">
        <v>1402</v>
      </c>
      <c r="D2048" s="152" t="s">
        <v>1403</v>
      </c>
      <c r="E2048" s="433" t="s">
        <v>138</v>
      </c>
      <c r="F2048" s="425" t="s">
        <v>45</v>
      </c>
      <c r="G2048" s="136"/>
      <c r="H2048" s="136"/>
      <c r="I2048" s="136"/>
      <c r="J2048" s="136"/>
      <c r="K2048" s="136"/>
      <c r="L2048" s="136"/>
      <c r="M2048" s="419">
        <v>5907</v>
      </c>
      <c r="N2048" s="419">
        <v>5801</v>
      </c>
      <c r="O2048" s="419">
        <v>347</v>
      </c>
      <c r="P2048" s="419" t="s">
        <v>252</v>
      </c>
      <c r="Q2048" s="419">
        <v>496</v>
      </c>
      <c r="R2048" s="419" t="s">
        <v>252</v>
      </c>
      <c r="S2048" s="419">
        <v>348</v>
      </c>
      <c r="T2048" s="419" t="s">
        <v>252</v>
      </c>
      <c r="U2048" s="419">
        <v>338</v>
      </c>
      <c r="V2048" s="419" t="s">
        <v>252</v>
      </c>
      <c r="W2048" s="419">
        <v>501</v>
      </c>
      <c r="X2048" s="419" t="s">
        <v>252</v>
      </c>
      <c r="Y2048" s="419">
        <v>425</v>
      </c>
      <c r="Z2048" s="419" t="s">
        <v>252</v>
      </c>
      <c r="AA2048" s="419">
        <v>400</v>
      </c>
      <c r="AB2048" s="419" t="s">
        <v>252</v>
      </c>
      <c r="AC2048" s="419">
        <v>377</v>
      </c>
      <c r="AD2048" s="419" t="s">
        <v>252</v>
      </c>
      <c r="AE2048" s="419">
        <v>370</v>
      </c>
      <c r="AF2048" s="419" t="s">
        <v>252</v>
      </c>
      <c r="AG2048" s="419">
        <v>391</v>
      </c>
      <c r="AH2048" s="419" t="s">
        <v>252</v>
      </c>
      <c r="AI2048" s="419">
        <v>340</v>
      </c>
      <c r="AJ2048" s="419" t="s">
        <v>252</v>
      </c>
      <c r="AK2048" s="419">
        <v>528</v>
      </c>
      <c r="AL2048" s="419" t="s">
        <v>252</v>
      </c>
      <c r="AM2048" s="409">
        <f>O2048+Q2048+S2048+U2048+W2048+Y2048+AA2048+AC2048+AE2048+AG2048+AI2048+AK2048</f>
        <v>4861</v>
      </c>
    </row>
    <row r="2049" spans="2:39" ht="20.25" hidden="1" outlineLevel="1">
      <c r="B2049" s="149" t="s">
        <v>913</v>
      </c>
      <c r="C2049" s="135" t="s">
        <v>1402</v>
      </c>
      <c r="D2049" s="152" t="s">
        <v>1403</v>
      </c>
      <c r="E2049" s="434"/>
      <c r="F2049" s="426"/>
      <c r="G2049" s="136"/>
      <c r="H2049" s="136"/>
      <c r="I2049" s="136"/>
      <c r="J2049" s="136"/>
      <c r="K2049" s="136"/>
      <c r="L2049" s="136"/>
      <c r="M2049" s="420"/>
      <c r="N2049" s="420"/>
      <c r="O2049" s="420"/>
      <c r="P2049" s="420"/>
      <c r="Q2049" s="420"/>
      <c r="R2049" s="420"/>
      <c r="S2049" s="420"/>
      <c r="T2049" s="420"/>
      <c r="U2049" s="420"/>
      <c r="V2049" s="420"/>
      <c r="W2049" s="420"/>
      <c r="X2049" s="420"/>
      <c r="Y2049" s="420"/>
      <c r="Z2049" s="420"/>
      <c r="AA2049" s="420"/>
      <c r="AB2049" s="420"/>
      <c r="AC2049" s="420"/>
      <c r="AD2049" s="420"/>
      <c r="AE2049" s="420"/>
      <c r="AF2049" s="420"/>
      <c r="AG2049" s="420"/>
      <c r="AH2049" s="420"/>
      <c r="AI2049" s="420"/>
      <c r="AJ2049" s="420"/>
      <c r="AK2049" s="420"/>
      <c r="AL2049" s="420"/>
      <c r="AM2049" s="410"/>
    </row>
    <row r="2050" spans="2:39" ht="20.25" hidden="1" outlineLevel="1">
      <c r="B2050" s="149" t="s">
        <v>912</v>
      </c>
      <c r="C2050" s="135" t="s">
        <v>1402</v>
      </c>
      <c r="D2050" s="152" t="s">
        <v>1403</v>
      </c>
      <c r="E2050" s="433" t="s">
        <v>44</v>
      </c>
      <c r="F2050" s="425" t="s">
        <v>45</v>
      </c>
      <c r="G2050" s="136"/>
      <c r="H2050" s="136"/>
      <c r="I2050" s="136"/>
      <c r="J2050" s="136"/>
      <c r="K2050" s="136"/>
      <c r="L2050" s="136"/>
      <c r="M2050" s="419">
        <v>4693</v>
      </c>
      <c r="N2050" s="419">
        <v>4677</v>
      </c>
      <c r="O2050" s="419">
        <v>517</v>
      </c>
      <c r="P2050" s="419" t="s">
        <v>252</v>
      </c>
      <c r="Q2050" s="419">
        <v>509</v>
      </c>
      <c r="R2050" s="419" t="s">
        <v>252</v>
      </c>
      <c r="S2050" s="419">
        <v>328</v>
      </c>
      <c r="T2050" s="419" t="s">
        <v>252</v>
      </c>
      <c r="U2050" s="419">
        <v>477</v>
      </c>
      <c r="V2050" s="419" t="s">
        <v>252</v>
      </c>
      <c r="W2050" s="419">
        <v>323</v>
      </c>
      <c r="X2050" s="419" t="s">
        <v>252</v>
      </c>
      <c r="Y2050" s="419">
        <v>259</v>
      </c>
      <c r="Z2050" s="419" t="s">
        <v>252</v>
      </c>
      <c r="AA2050" s="419">
        <v>309</v>
      </c>
      <c r="AB2050" s="419" t="s">
        <v>252</v>
      </c>
      <c r="AC2050" s="419">
        <v>308</v>
      </c>
      <c r="AD2050" s="419" t="s">
        <v>252</v>
      </c>
      <c r="AE2050" s="419">
        <v>356</v>
      </c>
      <c r="AF2050" s="419" t="s">
        <v>252</v>
      </c>
      <c r="AG2050" s="419">
        <v>507</v>
      </c>
      <c r="AH2050" s="419" t="s">
        <v>252</v>
      </c>
      <c r="AI2050" s="419">
        <v>530</v>
      </c>
      <c r="AJ2050" s="419" t="s">
        <v>252</v>
      </c>
      <c r="AK2050" s="419">
        <v>362</v>
      </c>
      <c r="AL2050" s="419" t="s">
        <v>252</v>
      </c>
      <c r="AM2050" s="409">
        <f>O2050+Q2050+S2050+U2050+W2050+Y2050+AA2050+AC2050+AE2050+AG2050+AI2050+AK2050</f>
        <v>4785</v>
      </c>
    </row>
    <row r="2051" spans="2:39" ht="20.25" hidden="1" outlineLevel="1">
      <c r="B2051" s="149" t="s">
        <v>913</v>
      </c>
      <c r="C2051" s="135" t="s">
        <v>1402</v>
      </c>
      <c r="D2051" s="152" t="s">
        <v>1403</v>
      </c>
      <c r="E2051" s="434"/>
      <c r="F2051" s="426"/>
      <c r="G2051" s="136"/>
      <c r="H2051" s="136"/>
      <c r="I2051" s="136"/>
      <c r="J2051" s="136"/>
      <c r="K2051" s="136"/>
      <c r="L2051" s="136"/>
      <c r="M2051" s="420"/>
      <c r="N2051" s="420"/>
      <c r="O2051" s="420"/>
      <c r="P2051" s="420"/>
      <c r="Q2051" s="420"/>
      <c r="R2051" s="420"/>
      <c r="S2051" s="420"/>
      <c r="T2051" s="420"/>
      <c r="U2051" s="420"/>
      <c r="V2051" s="420"/>
      <c r="W2051" s="420"/>
      <c r="X2051" s="420"/>
      <c r="Y2051" s="420"/>
      <c r="Z2051" s="420"/>
      <c r="AA2051" s="420"/>
      <c r="AB2051" s="420"/>
      <c r="AC2051" s="420"/>
      <c r="AD2051" s="420"/>
      <c r="AE2051" s="420"/>
      <c r="AF2051" s="420"/>
      <c r="AG2051" s="420"/>
      <c r="AH2051" s="420"/>
      <c r="AI2051" s="420"/>
      <c r="AJ2051" s="420"/>
      <c r="AK2051" s="420"/>
      <c r="AL2051" s="420"/>
      <c r="AM2051" s="410"/>
    </row>
    <row r="2052" spans="2:39" ht="20.25" hidden="1" outlineLevel="1">
      <c r="B2052" s="149" t="s">
        <v>914</v>
      </c>
      <c r="C2052" s="135" t="s">
        <v>1402</v>
      </c>
      <c r="D2052" s="152" t="s">
        <v>1403</v>
      </c>
      <c r="E2052" s="137" t="s">
        <v>44</v>
      </c>
      <c r="F2052" s="144" t="s">
        <v>45</v>
      </c>
      <c r="G2052" s="136"/>
      <c r="H2052" s="136"/>
      <c r="I2052" s="136"/>
      <c r="J2052" s="136"/>
      <c r="K2052" s="136"/>
      <c r="L2052" s="136"/>
      <c r="M2052" s="136">
        <v>2075</v>
      </c>
      <c r="N2052" s="136">
        <v>2097</v>
      </c>
      <c r="O2052" s="136">
        <v>322</v>
      </c>
      <c r="P2052" s="136" t="s">
        <v>252</v>
      </c>
      <c r="Q2052" s="136">
        <v>233</v>
      </c>
      <c r="R2052" s="136" t="s">
        <v>252</v>
      </c>
      <c r="S2052" s="136">
        <v>164</v>
      </c>
      <c r="T2052" s="136" t="s">
        <v>252</v>
      </c>
      <c r="U2052" s="136">
        <v>151</v>
      </c>
      <c r="V2052" s="136" t="s">
        <v>252</v>
      </c>
      <c r="W2052" s="136">
        <v>120</v>
      </c>
      <c r="X2052" s="136" t="s">
        <v>252</v>
      </c>
      <c r="Y2052" s="136">
        <v>104</v>
      </c>
      <c r="Z2052" s="136" t="s">
        <v>252</v>
      </c>
      <c r="AA2052" s="136">
        <v>85</v>
      </c>
      <c r="AB2052" s="136" t="s">
        <v>252</v>
      </c>
      <c r="AC2052" s="136">
        <v>105</v>
      </c>
      <c r="AD2052" s="136" t="s">
        <v>252</v>
      </c>
      <c r="AE2052" s="136">
        <v>132</v>
      </c>
      <c r="AF2052" s="136" t="s">
        <v>252</v>
      </c>
      <c r="AG2052" s="136">
        <v>139</v>
      </c>
      <c r="AH2052" s="136" t="s">
        <v>252</v>
      </c>
      <c r="AI2052" s="136">
        <v>172</v>
      </c>
      <c r="AJ2052" s="136" t="s">
        <v>252</v>
      </c>
      <c r="AK2052" s="136">
        <v>276</v>
      </c>
      <c r="AL2052" s="136" t="s">
        <v>252</v>
      </c>
      <c r="AM2052" s="136">
        <f t="shared" ref="AM2052:AM2090" si="7">O2052+Q2052+S2052+U2052+W2052+Y2052+AA2052+AC2052+AE2052+AG2052+AI2052+AK2052</f>
        <v>2003</v>
      </c>
    </row>
    <row r="2053" spans="2:39" ht="20.25" hidden="1" outlineLevel="1">
      <c r="B2053" s="149" t="s">
        <v>917</v>
      </c>
      <c r="C2053" s="135" t="s">
        <v>1402</v>
      </c>
      <c r="D2053" s="152" t="s">
        <v>1403</v>
      </c>
      <c r="E2053" s="137" t="s">
        <v>44</v>
      </c>
      <c r="F2053" s="138" t="s">
        <v>45</v>
      </c>
      <c r="G2053" s="136"/>
      <c r="H2053" s="136"/>
      <c r="I2053" s="136"/>
      <c r="J2053" s="136"/>
      <c r="K2053" s="136"/>
      <c r="L2053" s="136"/>
      <c r="M2053" s="136">
        <v>2672</v>
      </c>
      <c r="N2053" s="136">
        <v>2897</v>
      </c>
      <c r="O2053" s="136">
        <v>532</v>
      </c>
      <c r="P2053" s="136" t="s">
        <v>252</v>
      </c>
      <c r="Q2053" s="136">
        <v>559</v>
      </c>
      <c r="R2053" s="136" t="s">
        <v>252</v>
      </c>
      <c r="S2053" s="136">
        <v>361</v>
      </c>
      <c r="T2053" s="136" t="s">
        <v>252</v>
      </c>
      <c r="U2053" s="136">
        <v>414</v>
      </c>
      <c r="V2053" s="136" t="s">
        <v>252</v>
      </c>
      <c r="W2053" s="136">
        <v>236</v>
      </c>
      <c r="X2053" s="136" t="s">
        <v>252</v>
      </c>
      <c r="Y2053" s="136">
        <v>161</v>
      </c>
      <c r="Z2053" s="136" t="s">
        <v>252</v>
      </c>
      <c r="AA2053" s="136">
        <v>154</v>
      </c>
      <c r="AB2053" s="136" t="s">
        <v>252</v>
      </c>
      <c r="AC2053" s="136">
        <v>188</v>
      </c>
      <c r="AD2053" s="136" t="s">
        <v>252</v>
      </c>
      <c r="AE2053" s="136">
        <v>330</v>
      </c>
      <c r="AF2053" s="136" t="s">
        <v>252</v>
      </c>
      <c r="AG2053" s="136">
        <v>388</v>
      </c>
      <c r="AH2053" s="136" t="s">
        <v>252</v>
      </c>
      <c r="AI2053" s="136">
        <v>476</v>
      </c>
      <c r="AJ2053" s="136" t="s">
        <v>252</v>
      </c>
      <c r="AK2053" s="136">
        <v>627</v>
      </c>
      <c r="AL2053" s="136" t="s">
        <v>252</v>
      </c>
      <c r="AM2053" s="136">
        <f t="shared" si="7"/>
        <v>4426</v>
      </c>
    </row>
    <row r="2054" spans="2:39" ht="20.25" hidden="1" outlineLevel="1">
      <c r="B2054" s="149" t="s">
        <v>918</v>
      </c>
      <c r="C2054" s="135" t="s">
        <v>1402</v>
      </c>
      <c r="D2054" s="152" t="s">
        <v>1403</v>
      </c>
      <c r="E2054" s="143" t="s">
        <v>138</v>
      </c>
      <c r="F2054" s="138" t="s">
        <v>45</v>
      </c>
      <c r="G2054" s="136"/>
      <c r="H2054" s="136"/>
      <c r="I2054" s="136"/>
      <c r="J2054" s="136"/>
      <c r="K2054" s="136"/>
      <c r="L2054" s="136"/>
      <c r="M2054" s="142">
        <v>3634</v>
      </c>
      <c r="N2054" s="136">
        <v>3798</v>
      </c>
      <c r="O2054" s="136">
        <v>256</v>
      </c>
      <c r="P2054" s="136" t="s">
        <v>252</v>
      </c>
      <c r="Q2054" s="136">
        <v>301</v>
      </c>
      <c r="R2054" s="136" t="s">
        <v>252</v>
      </c>
      <c r="S2054" s="136">
        <v>285</v>
      </c>
      <c r="T2054" s="136" t="s">
        <v>252</v>
      </c>
      <c r="U2054" s="136">
        <v>327</v>
      </c>
      <c r="V2054" s="136" t="s">
        <v>252</v>
      </c>
      <c r="W2054" s="136">
        <v>281</v>
      </c>
      <c r="X2054" s="136" t="s">
        <v>252</v>
      </c>
      <c r="Y2054" s="136">
        <v>258</v>
      </c>
      <c r="Z2054" s="136" t="s">
        <v>252</v>
      </c>
      <c r="AA2054" s="136">
        <v>329</v>
      </c>
      <c r="AB2054" s="136" t="s">
        <v>252</v>
      </c>
      <c r="AC2054" s="136">
        <v>281</v>
      </c>
      <c r="AD2054" s="136" t="s">
        <v>252</v>
      </c>
      <c r="AE2054" s="136">
        <v>300</v>
      </c>
      <c r="AF2054" s="136" t="s">
        <v>252</v>
      </c>
      <c r="AG2054" s="136">
        <v>301</v>
      </c>
      <c r="AH2054" s="136" t="s">
        <v>252</v>
      </c>
      <c r="AI2054" s="136">
        <v>251</v>
      </c>
      <c r="AJ2054" s="136" t="s">
        <v>252</v>
      </c>
      <c r="AK2054" s="136">
        <v>280</v>
      </c>
      <c r="AL2054" s="136" t="s">
        <v>252</v>
      </c>
      <c r="AM2054" s="136">
        <f t="shared" si="7"/>
        <v>3450</v>
      </c>
    </row>
    <row r="2055" spans="2:39" ht="20.25" hidden="1" outlineLevel="1">
      <c r="B2055" s="149" t="s">
        <v>918</v>
      </c>
      <c r="C2055" s="135" t="s">
        <v>1402</v>
      </c>
      <c r="D2055" s="152" t="s">
        <v>1403</v>
      </c>
      <c r="E2055" s="137" t="s">
        <v>44</v>
      </c>
      <c r="F2055" s="138" t="s">
        <v>45</v>
      </c>
      <c r="G2055" s="136"/>
      <c r="H2055" s="136"/>
      <c r="I2055" s="136"/>
      <c r="J2055" s="136"/>
      <c r="K2055" s="136"/>
      <c r="L2055" s="136"/>
      <c r="M2055" s="142">
        <v>10812</v>
      </c>
      <c r="N2055" s="136">
        <v>10862</v>
      </c>
      <c r="O2055" s="136">
        <v>873</v>
      </c>
      <c r="P2055" s="136" t="s">
        <v>252</v>
      </c>
      <c r="Q2055" s="136">
        <v>972</v>
      </c>
      <c r="R2055" s="136" t="s">
        <v>252</v>
      </c>
      <c r="S2055" s="136">
        <v>759</v>
      </c>
      <c r="T2055" s="136" t="s">
        <v>252</v>
      </c>
      <c r="U2055" s="136">
        <v>930</v>
      </c>
      <c r="V2055" s="136" t="s">
        <v>252</v>
      </c>
      <c r="W2055" s="136">
        <v>759</v>
      </c>
      <c r="X2055" s="136" t="s">
        <v>252</v>
      </c>
      <c r="Y2055" s="136">
        <v>709</v>
      </c>
      <c r="Z2055" s="136" t="s">
        <v>252</v>
      </c>
      <c r="AA2055" s="136">
        <v>694</v>
      </c>
      <c r="AB2055" s="136" t="s">
        <v>252</v>
      </c>
      <c r="AC2055" s="136">
        <v>818</v>
      </c>
      <c r="AD2055" s="136" t="s">
        <v>252</v>
      </c>
      <c r="AE2055" s="136">
        <v>850</v>
      </c>
      <c r="AF2055" s="136" t="s">
        <v>252</v>
      </c>
      <c r="AG2055" s="136">
        <v>949</v>
      </c>
      <c r="AH2055" s="136" t="s">
        <v>252</v>
      </c>
      <c r="AI2055" s="136">
        <v>942</v>
      </c>
      <c r="AJ2055" s="136" t="s">
        <v>252</v>
      </c>
      <c r="AK2055" s="136">
        <v>1002</v>
      </c>
      <c r="AL2055" s="136" t="s">
        <v>252</v>
      </c>
      <c r="AM2055" s="136">
        <f t="shared" si="7"/>
        <v>10257</v>
      </c>
    </row>
    <row r="2056" spans="2:39" ht="20.25" hidden="1" outlineLevel="1">
      <c r="B2056" s="149" t="s">
        <v>919</v>
      </c>
      <c r="C2056" s="135" t="s">
        <v>1402</v>
      </c>
      <c r="D2056" s="152" t="s">
        <v>1403</v>
      </c>
      <c r="E2056" s="137" t="s">
        <v>44</v>
      </c>
      <c r="F2056" s="138" t="s">
        <v>45</v>
      </c>
      <c r="G2056" s="136"/>
      <c r="H2056" s="136"/>
      <c r="I2056" s="136"/>
      <c r="J2056" s="136"/>
      <c r="K2056" s="136"/>
      <c r="L2056" s="136"/>
      <c r="M2056" s="136">
        <v>7478</v>
      </c>
      <c r="N2056" s="136">
        <v>8794</v>
      </c>
      <c r="O2056" s="136">
        <v>889</v>
      </c>
      <c r="P2056" s="136" t="s">
        <v>252</v>
      </c>
      <c r="Q2056" s="136">
        <v>857</v>
      </c>
      <c r="R2056" s="136" t="s">
        <v>252</v>
      </c>
      <c r="S2056" s="136">
        <v>527</v>
      </c>
      <c r="T2056" s="136" t="s">
        <v>252</v>
      </c>
      <c r="U2056" s="136">
        <v>729</v>
      </c>
      <c r="V2056" s="136" t="s">
        <v>252</v>
      </c>
      <c r="W2056" s="136">
        <v>568</v>
      </c>
      <c r="X2056" s="136" t="s">
        <v>252</v>
      </c>
      <c r="Y2056" s="136">
        <v>473</v>
      </c>
      <c r="Z2056" s="136" t="s">
        <v>252</v>
      </c>
      <c r="AA2056" s="136">
        <v>569</v>
      </c>
      <c r="AB2056" s="136" t="s">
        <v>252</v>
      </c>
      <c r="AC2056" s="136">
        <v>520</v>
      </c>
      <c r="AD2056" s="136" t="s">
        <v>252</v>
      </c>
      <c r="AE2056" s="136">
        <v>596</v>
      </c>
      <c r="AF2056" s="136" t="s">
        <v>252</v>
      </c>
      <c r="AG2056" s="136">
        <v>742</v>
      </c>
      <c r="AH2056" s="136" t="s">
        <v>252</v>
      </c>
      <c r="AI2056" s="136">
        <v>748</v>
      </c>
      <c r="AJ2056" s="136" t="s">
        <v>252</v>
      </c>
      <c r="AK2056" s="136">
        <v>903</v>
      </c>
      <c r="AL2056" s="136" t="s">
        <v>252</v>
      </c>
      <c r="AM2056" s="136">
        <f t="shared" si="7"/>
        <v>8121</v>
      </c>
    </row>
    <row r="2057" spans="2:39" ht="20.25" hidden="1" outlineLevel="1">
      <c r="B2057" s="149" t="s">
        <v>920</v>
      </c>
      <c r="C2057" s="135" t="s">
        <v>1402</v>
      </c>
      <c r="D2057" s="152" t="s">
        <v>1403</v>
      </c>
      <c r="E2057" s="137" t="s">
        <v>44</v>
      </c>
      <c r="F2057" s="138" t="s">
        <v>45</v>
      </c>
      <c r="G2057" s="136"/>
      <c r="H2057" s="136"/>
      <c r="I2057" s="136"/>
      <c r="J2057" s="136"/>
      <c r="K2057" s="136"/>
      <c r="L2057" s="136"/>
      <c r="M2057" s="136">
        <v>6903</v>
      </c>
      <c r="N2057" s="136">
        <v>5299</v>
      </c>
      <c r="O2057" s="136">
        <v>473</v>
      </c>
      <c r="P2057" s="136"/>
      <c r="Q2057" s="136">
        <v>536</v>
      </c>
      <c r="R2057" s="136"/>
      <c r="S2057" s="136">
        <v>423</v>
      </c>
      <c r="T2057" s="136"/>
      <c r="U2057" s="136">
        <v>861</v>
      </c>
      <c r="V2057" s="136"/>
      <c r="W2057" s="136">
        <v>249</v>
      </c>
      <c r="X2057" s="136"/>
      <c r="Y2057" s="136">
        <v>192</v>
      </c>
      <c r="Z2057" s="136"/>
      <c r="AA2057" s="136">
        <v>199</v>
      </c>
      <c r="AB2057" s="136"/>
      <c r="AC2057" s="136">
        <v>216</v>
      </c>
      <c r="AD2057" s="136"/>
      <c r="AE2057" s="136">
        <v>210</v>
      </c>
      <c r="AF2057" s="136"/>
      <c r="AG2057" s="136">
        <v>465</v>
      </c>
      <c r="AH2057" s="136"/>
      <c r="AI2057" s="136">
        <v>555</v>
      </c>
      <c r="AJ2057" s="136"/>
      <c r="AK2057" s="136">
        <v>607</v>
      </c>
      <c r="AL2057" s="136"/>
      <c r="AM2057" s="136">
        <f t="shared" si="7"/>
        <v>4986</v>
      </c>
    </row>
    <row r="2058" spans="2:39" ht="20.25" hidden="1" outlineLevel="1">
      <c r="B2058" s="149" t="s">
        <v>921</v>
      </c>
      <c r="C2058" s="135" t="s">
        <v>1402</v>
      </c>
      <c r="D2058" s="152" t="s">
        <v>1403</v>
      </c>
      <c r="E2058" s="137" t="s">
        <v>44</v>
      </c>
      <c r="F2058" s="138" t="s">
        <v>45</v>
      </c>
      <c r="G2058" s="136"/>
      <c r="H2058" s="136"/>
      <c r="I2058" s="136"/>
      <c r="J2058" s="136"/>
      <c r="K2058" s="136"/>
      <c r="L2058" s="136"/>
      <c r="M2058" s="136"/>
      <c r="N2058" s="136"/>
      <c r="O2058" s="136"/>
      <c r="P2058" s="136" t="s">
        <v>252</v>
      </c>
      <c r="Q2058" s="136"/>
      <c r="R2058" s="136" t="s">
        <v>252</v>
      </c>
      <c r="S2058" s="136"/>
      <c r="T2058" s="136" t="s">
        <v>252</v>
      </c>
      <c r="U2058" s="136"/>
      <c r="V2058" s="136" t="s">
        <v>252</v>
      </c>
      <c r="W2058" s="136"/>
      <c r="X2058" s="136" t="s">
        <v>252</v>
      </c>
      <c r="Y2058" s="136"/>
      <c r="Z2058" s="136" t="s">
        <v>252</v>
      </c>
      <c r="AA2058" s="136"/>
      <c r="AB2058" s="136" t="s">
        <v>252</v>
      </c>
      <c r="AC2058" s="136"/>
      <c r="AD2058" s="136" t="s">
        <v>252</v>
      </c>
      <c r="AE2058" s="136"/>
      <c r="AF2058" s="136" t="s">
        <v>252</v>
      </c>
      <c r="AG2058" s="136"/>
      <c r="AH2058" s="136" t="s">
        <v>252</v>
      </c>
      <c r="AI2058" s="136"/>
      <c r="AJ2058" s="136" t="s">
        <v>252</v>
      </c>
      <c r="AK2058" s="136"/>
      <c r="AL2058" s="136" t="s">
        <v>252</v>
      </c>
      <c r="AM2058" s="136">
        <f t="shared" si="7"/>
        <v>0</v>
      </c>
    </row>
    <row r="2059" spans="2:39" ht="20.25" hidden="1" outlineLevel="1">
      <c r="B2059" s="149" t="s">
        <v>922</v>
      </c>
      <c r="C2059" s="135" t="s">
        <v>1402</v>
      </c>
      <c r="D2059" s="152" t="s">
        <v>1403</v>
      </c>
      <c r="E2059" s="143" t="s">
        <v>138</v>
      </c>
      <c r="F2059" s="144" t="s">
        <v>45</v>
      </c>
      <c r="G2059" s="136"/>
      <c r="H2059" s="136"/>
      <c r="I2059" s="136"/>
      <c r="J2059" s="136"/>
      <c r="K2059" s="136"/>
      <c r="L2059" s="136"/>
      <c r="M2059" s="142">
        <v>1650</v>
      </c>
      <c r="N2059" s="136">
        <v>620</v>
      </c>
      <c r="O2059" s="136">
        <v>48</v>
      </c>
      <c r="P2059" s="136" t="s">
        <v>252</v>
      </c>
      <c r="Q2059" s="136">
        <v>59</v>
      </c>
      <c r="R2059" s="136" t="s">
        <v>252</v>
      </c>
      <c r="S2059" s="136">
        <v>44</v>
      </c>
      <c r="T2059" s="136" t="s">
        <v>252</v>
      </c>
      <c r="U2059" s="136">
        <v>50</v>
      </c>
      <c r="V2059" s="136" t="s">
        <v>252</v>
      </c>
      <c r="W2059" s="136">
        <v>48</v>
      </c>
      <c r="X2059" s="136" t="s">
        <v>252</v>
      </c>
      <c r="Y2059" s="136">
        <v>37</v>
      </c>
      <c r="Z2059" s="136" t="s">
        <v>252</v>
      </c>
      <c r="AA2059" s="136">
        <v>41</v>
      </c>
      <c r="AB2059" s="136" t="s">
        <v>252</v>
      </c>
      <c r="AC2059" s="136">
        <v>39</v>
      </c>
      <c r="AD2059" s="136" t="s">
        <v>252</v>
      </c>
      <c r="AE2059" s="136">
        <v>68</v>
      </c>
      <c r="AF2059" s="136" t="s">
        <v>252</v>
      </c>
      <c r="AG2059" s="136">
        <v>48</v>
      </c>
      <c r="AH2059" s="136" t="s">
        <v>252</v>
      </c>
      <c r="AI2059" s="136">
        <v>51</v>
      </c>
      <c r="AJ2059" s="136" t="s">
        <v>252</v>
      </c>
      <c r="AK2059" s="136">
        <v>53</v>
      </c>
      <c r="AL2059" s="136" t="s">
        <v>252</v>
      </c>
      <c r="AM2059" s="136">
        <f t="shared" si="7"/>
        <v>586</v>
      </c>
    </row>
    <row r="2060" spans="2:39" ht="20.25" hidden="1" outlineLevel="1">
      <c r="B2060" s="149" t="s">
        <v>922</v>
      </c>
      <c r="C2060" s="135" t="s">
        <v>1402</v>
      </c>
      <c r="D2060" s="152" t="s">
        <v>1403</v>
      </c>
      <c r="E2060" s="137" t="s">
        <v>44</v>
      </c>
      <c r="F2060" s="144" t="s">
        <v>45</v>
      </c>
      <c r="G2060" s="136"/>
      <c r="H2060" s="136"/>
      <c r="I2060" s="136"/>
      <c r="J2060" s="136"/>
      <c r="K2060" s="136"/>
      <c r="L2060" s="136"/>
      <c r="M2060" s="142">
        <v>7058</v>
      </c>
      <c r="N2060" s="136">
        <v>5800</v>
      </c>
      <c r="O2060" s="136">
        <v>449</v>
      </c>
      <c r="P2060" s="136"/>
      <c r="Q2060" s="136">
        <v>440</v>
      </c>
      <c r="R2060" s="136"/>
      <c r="S2060" s="136">
        <v>322</v>
      </c>
      <c r="T2060" s="136"/>
      <c r="U2060" s="136">
        <v>414</v>
      </c>
      <c r="V2060" s="136"/>
      <c r="W2060" s="136">
        <v>340</v>
      </c>
      <c r="X2060" s="136"/>
      <c r="Y2060" s="136">
        <v>301</v>
      </c>
      <c r="Z2060" s="136"/>
      <c r="AA2060" s="136">
        <v>260</v>
      </c>
      <c r="AB2060" s="136"/>
      <c r="AC2060" s="136">
        <v>214</v>
      </c>
      <c r="AD2060" s="136"/>
      <c r="AE2060" s="136">
        <v>420</v>
      </c>
      <c r="AF2060" s="136"/>
      <c r="AG2060" s="136">
        <v>469</v>
      </c>
      <c r="AH2060" s="136"/>
      <c r="AI2060" s="136">
        <v>382</v>
      </c>
      <c r="AJ2060" s="136"/>
      <c r="AK2060" s="136">
        <v>399</v>
      </c>
      <c r="AL2060" s="136"/>
      <c r="AM2060" s="136">
        <f t="shared" si="7"/>
        <v>4410</v>
      </c>
    </row>
    <row r="2061" spans="2:39" ht="20.25" hidden="1" outlineLevel="1">
      <c r="B2061" s="149" t="s">
        <v>923</v>
      </c>
      <c r="C2061" s="135" t="s">
        <v>1402</v>
      </c>
      <c r="D2061" s="152" t="s">
        <v>1403</v>
      </c>
      <c r="E2061" s="137" t="s">
        <v>44</v>
      </c>
      <c r="F2061" s="138" t="s">
        <v>45</v>
      </c>
      <c r="G2061" s="136"/>
      <c r="H2061" s="136"/>
      <c r="I2061" s="136"/>
      <c r="J2061" s="136"/>
      <c r="K2061" s="136"/>
      <c r="L2061" s="136"/>
      <c r="M2061" s="136">
        <v>2953</v>
      </c>
      <c r="N2061" s="136">
        <v>3482</v>
      </c>
      <c r="O2061" s="136">
        <v>443</v>
      </c>
      <c r="P2061" s="136" t="s">
        <v>252</v>
      </c>
      <c r="Q2061" s="136">
        <v>297</v>
      </c>
      <c r="R2061" s="136" t="s">
        <v>252</v>
      </c>
      <c r="S2061" s="136">
        <v>404</v>
      </c>
      <c r="T2061" s="136" t="s">
        <v>252</v>
      </c>
      <c r="U2061" s="136">
        <v>405</v>
      </c>
      <c r="V2061" s="136" t="s">
        <v>252</v>
      </c>
      <c r="W2061" s="136">
        <v>406</v>
      </c>
      <c r="X2061" s="136" t="s">
        <v>252</v>
      </c>
      <c r="Y2061" s="136">
        <v>310</v>
      </c>
      <c r="Z2061" s="136" t="s">
        <v>252</v>
      </c>
      <c r="AA2061" s="136">
        <v>174</v>
      </c>
      <c r="AB2061" s="136" t="s">
        <v>252</v>
      </c>
      <c r="AC2061" s="136">
        <v>140</v>
      </c>
      <c r="AD2061" s="136" t="s">
        <v>252</v>
      </c>
      <c r="AE2061" s="136">
        <v>152</v>
      </c>
      <c r="AF2061" s="136" t="s">
        <v>252</v>
      </c>
      <c r="AG2061" s="136">
        <v>346</v>
      </c>
      <c r="AH2061" s="136" t="s">
        <v>252</v>
      </c>
      <c r="AI2061" s="136">
        <v>366</v>
      </c>
      <c r="AJ2061" s="136" t="s">
        <v>252</v>
      </c>
      <c r="AK2061" s="136">
        <v>335</v>
      </c>
      <c r="AL2061" s="136" t="s">
        <v>252</v>
      </c>
      <c r="AM2061" s="136">
        <f t="shared" si="7"/>
        <v>3778</v>
      </c>
    </row>
    <row r="2062" spans="2:39" ht="20.25" hidden="1" outlineLevel="1">
      <c r="B2062" s="149" t="s">
        <v>924</v>
      </c>
      <c r="C2062" s="135" t="s">
        <v>1402</v>
      </c>
      <c r="D2062" s="152" t="s">
        <v>1403</v>
      </c>
      <c r="E2062" s="137" t="s">
        <v>44</v>
      </c>
      <c r="F2062" s="138" t="s">
        <v>45</v>
      </c>
      <c r="G2062" s="136"/>
      <c r="H2062" s="136"/>
      <c r="I2062" s="136"/>
      <c r="J2062" s="136"/>
      <c r="K2062" s="136"/>
      <c r="L2062" s="136"/>
      <c r="M2062" s="136">
        <v>11813</v>
      </c>
      <c r="N2062" s="136">
        <v>11380</v>
      </c>
      <c r="O2062" s="136">
        <v>1120</v>
      </c>
      <c r="P2062" s="136" t="s">
        <v>252</v>
      </c>
      <c r="Q2062" s="136">
        <v>1287</v>
      </c>
      <c r="R2062" s="136" t="s">
        <v>252</v>
      </c>
      <c r="S2062" s="136">
        <v>801</v>
      </c>
      <c r="T2062" s="136" t="s">
        <v>252</v>
      </c>
      <c r="U2062" s="136">
        <v>1089</v>
      </c>
      <c r="V2062" s="136" t="s">
        <v>252</v>
      </c>
      <c r="W2062" s="136">
        <v>838</v>
      </c>
      <c r="X2062" s="136" t="s">
        <v>252</v>
      </c>
      <c r="Y2062" s="136">
        <v>705</v>
      </c>
      <c r="Z2062" s="136" t="s">
        <v>252</v>
      </c>
      <c r="AA2062" s="136">
        <v>656</v>
      </c>
      <c r="AB2062" s="136" t="s">
        <v>252</v>
      </c>
      <c r="AC2062" s="136">
        <v>693</v>
      </c>
      <c r="AD2062" s="136" t="s">
        <v>252</v>
      </c>
      <c r="AE2062" s="136">
        <v>870</v>
      </c>
      <c r="AF2062" s="136" t="s">
        <v>252</v>
      </c>
      <c r="AG2062" s="136">
        <v>911</v>
      </c>
      <c r="AH2062" s="136" t="s">
        <v>252</v>
      </c>
      <c r="AI2062" s="136">
        <v>1004</v>
      </c>
      <c r="AJ2062" s="136" t="s">
        <v>252</v>
      </c>
      <c r="AK2062" s="136">
        <v>946</v>
      </c>
      <c r="AL2062" s="136" t="s">
        <v>252</v>
      </c>
      <c r="AM2062" s="136">
        <f t="shared" si="7"/>
        <v>10920</v>
      </c>
    </row>
    <row r="2063" spans="2:39" ht="20.25" hidden="1" outlineLevel="1">
      <c r="B2063" s="149" t="s">
        <v>925</v>
      </c>
      <c r="C2063" s="135" t="s">
        <v>1402</v>
      </c>
      <c r="D2063" s="152" t="s">
        <v>1403</v>
      </c>
      <c r="E2063" s="137" t="s">
        <v>44</v>
      </c>
      <c r="F2063" s="138" t="s">
        <v>45</v>
      </c>
      <c r="G2063" s="136"/>
      <c r="H2063" s="136"/>
      <c r="I2063" s="136"/>
      <c r="J2063" s="136"/>
      <c r="K2063" s="136"/>
      <c r="L2063" s="136"/>
      <c r="M2063" s="136">
        <v>5632</v>
      </c>
      <c r="N2063" s="136">
        <v>7034</v>
      </c>
      <c r="O2063" s="136">
        <v>590</v>
      </c>
      <c r="P2063" s="136" t="s">
        <v>252</v>
      </c>
      <c r="Q2063" s="136">
        <v>549</v>
      </c>
      <c r="R2063" s="136" t="s">
        <v>252</v>
      </c>
      <c r="S2063" s="136">
        <v>390</v>
      </c>
      <c r="T2063" s="136" t="s">
        <v>252</v>
      </c>
      <c r="U2063" s="136">
        <v>579</v>
      </c>
      <c r="V2063" s="136" t="s">
        <v>252</v>
      </c>
      <c r="W2063" s="136">
        <v>462</v>
      </c>
      <c r="X2063" s="136" t="s">
        <v>252</v>
      </c>
      <c r="Y2063" s="136">
        <v>456</v>
      </c>
      <c r="Z2063" s="136" t="s">
        <v>252</v>
      </c>
      <c r="AA2063" s="136">
        <v>396</v>
      </c>
      <c r="AB2063" s="136" t="s">
        <v>252</v>
      </c>
      <c r="AC2063" s="136">
        <v>342</v>
      </c>
      <c r="AD2063" s="136" t="s">
        <v>252</v>
      </c>
      <c r="AE2063" s="136">
        <v>418</v>
      </c>
      <c r="AF2063" s="136" t="s">
        <v>252</v>
      </c>
      <c r="AG2063" s="136">
        <v>471</v>
      </c>
      <c r="AH2063" s="136" t="s">
        <v>252</v>
      </c>
      <c r="AI2063" s="136">
        <v>599</v>
      </c>
      <c r="AJ2063" s="136" t="s">
        <v>252</v>
      </c>
      <c r="AK2063" s="136">
        <v>584</v>
      </c>
      <c r="AL2063" s="136" t="s">
        <v>252</v>
      </c>
      <c r="AM2063" s="136">
        <f t="shared" si="7"/>
        <v>5836</v>
      </c>
    </row>
    <row r="2064" spans="2:39" ht="20.25" hidden="1" outlineLevel="1">
      <c r="B2064" s="149" t="s">
        <v>926</v>
      </c>
      <c r="C2064" s="135" t="s">
        <v>1402</v>
      </c>
      <c r="D2064" s="152" t="s">
        <v>1403</v>
      </c>
      <c r="E2064" s="137" t="s">
        <v>44</v>
      </c>
      <c r="F2064" s="138" t="s">
        <v>45</v>
      </c>
      <c r="G2064" s="136"/>
      <c r="H2064" s="136"/>
      <c r="I2064" s="136"/>
      <c r="J2064" s="136"/>
      <c r="K2064" s="136"/>
      <c r="L2064" s="136"/>
      <c r="M2064" s="136">
        <v>3516</v>
      </c>
      <c r="N2064" s="136">
        <v>5173</v>
      </c>
      <c r="O2064" s="136">
        <v>234</v>
      </c>
      <c r="P2064" s="136" t="s">
        <v>252</v>
      </c>
      <c r="Q2064" s="136">
        <v>385</v>
      </c>
      <c r="R2064" s="136" t="s">
        <v>252</v>
      </c>
      <c r="S2064" s="136">
        <v>140</v>
      </c>
      <c r="T2064" s="136" t="s">
        <v>252</v>
      </c>
      <c r="U2064" s="136">
        <v>244</v>
      </c>
      <c r="V2064" s="136" t="s">
        <v>252</v>
      </c>
      <c r="W2064" s="136">
        <v>188</v>
      </c>
      <c r="X2064" s="136" t="s">
        <v>252</v>
      </c>
      <c r="Y2064" s="136">
        <v>180</v>
      </c>
      <c r="Z2064" s="136" t="s">
        <v>252</v>
      </c>
      <c r="AA2064" s="136">
        <v>170</v>
      </c>
      <c r="AB2064" s="136" t="s">
        <v>252</v>
      </c>
      <c r="AC2064" s="136">
        <v>173</v>
      </c>
      <c r="AD2064" s="136" t="s">
        <v>252</v>
      </c>
      <c r="AE2064" s="136">
        <v>185</v>
      </c>
      <c r="AF2064" s="136" t="s">
        <v>252</v>
      </c>
      <c r="AG2064" s="136">
        <v>461</v>
      </c>
      <c r="AH2064" s="136" t="s">
        <v>252</v>
      </c>
      <c r="AI2064" s="136">
        <v>441</v>
      </c>
      <c r="AJ2064" s="136" t="s">
        <v>252</v>
      </c>
      <c r="AK2064" s="136">
        <v>464</v>
      </c>
      <c r="AL2064" s="136" t="s">
        <v>252</v>
      </c>
      <c r="AM2064" s="136">
        <f t="shared" si="7"/>
        <v>3265</v>
      </c>
    </row>
    <row r="2065" spans="2:39" ht="20.25" hidden="1" outlineLevel="1">
      <c r="B2065" s="149" t="s">
        <v>927</v>
      </c>
      <c r="C2065" s="135" t="s">
        <v>1402</v>
      </c>
      <c r="D2065" s="152" t="s">
        <v>1403</v>
      </c>
      <c r="E2065" s="137" t="s">
        <v>44</v>
      </c>
      <c r="F2065" s="138" t="s">
        <v>45</v>
      </c>
      <c r="G2065" s="136"/>
      <c r="H2065" s="136"/>
      <c r="I2065" s="136"/>
      <c r="J2065" s="136"/>
      <c r="K2065" s="136"/>
      <c r="L2065" s="136"/>
      <c r="M2065" s="136">
        <v>2645</v>
      </c>
      <c r="N2065" s="136">
        <v>2947</v>
      </c>
      <c r="O2065" s="136">
        <v>265</v>
      </c>
      <c r="P2065" s="136" t="s">
        <v>252</v>
      </c>
      <c r="Q2065" s="136">
        <v>288</v>
      </c>
      <c r="R2065" s="136" t="s">
        <v>252</v>
      </c>
      <c r="S2065" s="136">
        <v>183</v>
      </c>
      <c r="T2065" s="136" t="s">
        <v>252</v>
      </c>
      <c r="U2065" s="136">
        <v>158</v>
      </c>
      <c r="V2065" s="136" t="s">
        <v>252</v>
      </c>
      <c r="W2065" s="136">
        <v>146</v>
      </c>
      <c r="X2065" s="136" t="s">
        <v>252</v>
      </c>
      <c r="Y2065" s="136">
        <v>118</v>
      </c>
      <c r="Z2065" s="136" t="s">
        <v>252</v>
      </c>
      <c r="AA2065" s="136">
        <v>100</v>
      </c>
      <c r="AB2065" s="136" t="s">
        <v>252</v>
      </c>
      <c r="AC2065" s="136">
        <v>103</v>
      </c>
      <c r="AD2065" s="136" t="s">
        <v>252</v>
      </c>
      <c r="AE2065" s="136">
        <v>182</v>
      </c>
      <c r="AF2065" s="136" t="s">
        <v>252</v>
      </c>
      <c r="AG2065" s="136">
        <v>205</v>
      </c>
      <c r="AH2065" s="136" t="s">
        <v>252</v>
      </c>
      <c r="AI2065" s="136">
        <v>306</v>
      </c>
      <c r="AJ2065" s="136" t="s">
        <v>252</v>
      </c>
      <c r="AK2065" s="136">
        <v>310</v>
      </c>
      <c r="AL2065" s="136" t="s">
        <v>252</v>
      </c>
      <c r="AM2065" s="136">
        <f t="shared" si="7"/>
        <v>2364</v>
      </c>
    </row>
    <row r="2066" spans="2:39" ht="20.25" hidden="1" outlineLevel="1">
      <c r="B2066" s="149" t="s">
        <v>928</v>
      </c>
      <c r="C2066" s="135" t="s">
        <v>1402</v>
      </c>
      <c r="D2066" s="152" t="s">
        <v>1403</v>
      </c>
      <c r="E2066" s="137" t="s">
        <v>44</v>
      </c>
      <c r="F2066" s="138" t="s">
        <v>45</v>
      </c>
      <c r="G2066" s="136"/>
      <c r="H2066" s="136"/>
      <c r="I2066" s="136"/>
      <c r="J2066" s="136"/>
      <c r="K2066" s="136"/>
      <c r="L2066" s="136"/>
      <c r="M2066" s="136">
        <v>7609</v>
      </c>
      <c r="N2066" s="136">
        <v>8043</v>
      </c>
      <c r="O2066" s="136">
        <v>605</v>
      </c>
      <c r="P2066" s="136" t="s">
        <v>252</v>
      </c>
      <c r="Q2066" s="136">
        <v>633</v>
      </c>
      <c r="R2066" s="136" t="s">
        <v>252</v>
      </c>
      <c r="S2066" s="136">
        <v>432</v>
      </c>
      <c r="T2066" s="136" t="s">
        <v>252</v>
      </c>
      <c r="U2066" s="136">
        <v>522</v>
      </c>
      <c r="V2066" s="136" t="s">
        <v>252</v>
      </c>
      <c r="W2066" s="136">
        <v>401</v>
      </c>
      <c r="X2066" s="136" t="s">
        <v>252</v>
      </c>
      <c r="Y2066" s="136">
        <v>339</v>
      </c>
      <c r="Z2066" s="136" t="s">
        <v>252</v>
      </c>
      <c r="AA2066" s="136">
        <v>322</v>
      </c>
      <c r="AB2066" s="136" t="s">
        <v>252</v>
      </c>
      <c r="AC2066" s="136">
        <v>371</v>
      </c>
      <c r="AD2066" s="136" t="s">
        <v>252</v>
      </c>
      <c r="AE2066" s="136">
        <v>440</v>
      </c>
      <c r="AF2066" s="136" t="s">
        <v>252</v>
      </c>
      <c r="AG2066" s="136">
        <v>425</v>
      </c>
      <c r="AH2066" s="136" t="s">
        <v>252</v>
      </c>
      <c r="AI2066" s="136">
        <v>588</v>
      </c>
      <c r="AJ2066" s="136" t="s">
        <v>252</v>
      </c>
      <c r="AK2066" s="136">
        <v>626</v>
      </c>
      <c r="AL2066" s="136" t="s">
        <v>252</v>
      </c>
      <c r="AM2066" s="136">
        <f t="shared" si="7"/>
        <v>5704</v>
      </c>
    </row>
    <row r="2067" spans="2:39" ht="20.25" hidden="1" outlineLevel="1">
      <c r="B2067" s="149" t="s">
        <v>930</v>
      </c>
      <c r="C2067" s="135" t="s">
        <v>1402</v>
      </c>
      <c r="D2067" s="152" t="s">
        <v>1403</v>
      </c>
      <c r="E2067" s="137" t="s">
        <v>44</v>
      </c>
      <c r="F2067" s="138" t="s">
        <v>45</v>
      </c>
      <c r="G2067" s="136"/>
      <c r="H2067" s="136"/>
      <c r="I2067" s="136"/>
      <c r="J2067" s="136"/>
      <c r="K2067" s="136"/>
      <c r="L2067" s="136"/>
      <c r="M2067" s="136">
        <v>15484</v>
      </c>
      <c r="N2067" s="136">
        <v>15088</v>
      </c>
      <c r="O2067" s="136">
        <v>1275</v>
      </c>
      <c r="P2067" s="136" t="s">
        <v>252</v>
      </c>
      <c r="Q2067" s="136">
        <v>1310</v>
      </c>
      <c r="R2067" s="136" t="s">
        <v>252</v>
      </c>
      <c r="S2067" s="136">
        <v>800</v>
      </c>
      <c r="T2067" s="136" t="s">
        <v>252</v>
      </c>
      <c r="U2067" s="136">
        <v>873</v>
      </c>
      <c r="V2067" s="136" t="s">
        <v>252</v>
      </c>
      <c r="W2067" s="136">
        <v>686</v>
      </c>
      <c r="X2067" s="136" t="s">
        <v>252</v>
      </c>
      <c r="Y2067" s="136">
        <v>625</v>
      </c>
      <c r="Z2067" s="136" t="s">
        <v>252</v>
      </c>
      <c r="AA2067" s="136">
        <v>447</v>
      </c>
      <c r="AB2067" s="136" t="s">
        <v>252</v>
      </c>
      <c r="AC2067" s="136">
        <v>529</v>
      </c>
      <c r="AD2067" s="136" t="s">
        <v>252</v>
      </c>
      <c r="AE2067" s="136">
        <v>781</v>
      </c>
      <c r="AF2067" s="136" t="s">
        <v>252</v>
      </c>
      <c r="AG2067" s="136">
        <v>552</v>
      </c>
      <c r="AH2067" s="136" t="s">
        <v>252</v>
      </c>
      <c r="AI2067" s="136">
        <v>1385</v>
      </c>
      <c r="AJ2067" s="136" t="s">
        <v>252</v>
      </c>
      <c r="AK2067" s="136">
        <v>950</v>
      </c>
      <c r="AL2067" s="136" t="s">
        <v>252</v>
      </c>
      <c r="AM2067" s="136">
        <f t="shared" si="7"/>
        <v>10213</v>
      </c>
    </row>
    <row r="2068" spans="2:39" ht="20.25" hidden="1" outlineLevel="1">
      <c r="B2068" s="149" t="s">
        <v>931</v>
      </c>
      <c r="C2068" s="135" t="s">
        <v>1402</v>
      </c>
      <c r="D2068" s="152" t="s">
        <v>1403</v>
      </c>
      <c r="E2068" s="137" t="s">
        <v>44</v>
      </c>
      <c r="F2068" s="138" t="s">
        <v>45</v>
      </c>
      <c r="G2068" s="136"/>
      <c r="H2068" s="136"/>
      <c r="I2068" s="136"/>
      <c r="J2068" s="136"/>
      <c r="K2068" s="136"/>
      <c r="L2068" s="136"/>
      <c r="M2068" s="136">
        <v>12261</v>
      </c>
      <c r="N2068" s="136">
        <v>13499</v>
      </c>
      <c r="O2068" s="136">
        <v>1211</v>
      </c>
      <c r="P2068" s="136" t="s">
        <v>252</v>
      </c>
      <c r="Q2068" s="136">
        <v>1369</v>
      </c>
      <c r="R2068" s="136" t="s">
        <v>252</v>
      </c>
      <c r="S2068" s="136">
        <v>936</v>
      </c>
      <c r="T2068" s="136" t="s">
        <v>252</v>
      </c>
      <c r="U2068" s="136">
        <v>1110</v>
      </c>
      <c r="V2068" s="136" t="s">
        <v>252</v>
      </c>
      <c r="W2068" s="136">
        <v>1028</v>
      </c>
      <c r="X2068" s="136" t="s">
        <v>252</v>
      </c>
      <c r="Y2068" s="136">
        <v>983</v>
      </c>
      <c r="Z2068" s="136" t="s">
        <v>252</v>
      </c>
      <c r="AA2068" s="136">
        <v>743</v>
      </c>
      <c r="AB2068" s="136" t="s">
        <v>252</v>
      </c>
      <c r="AC2068" s="136">
        <v>825</v>
      </c>
      <c r="AD2068" s="136" t="s">
        <v>252</v>
      </c>
      <c r="AE2068" s="136">
        <v>1158</v>
      </c>
      <c r="AF2068" s="136" t="s">
        <v>252</v>
      </c>
      <c r="AG2068" s="136">
        <v>906</v>
      </c>
      <c r="AH2068" s="136" t="s">
        <v>252</v>
      </c>
      <c r="AI2068" s="136">
        <v>1796</v>
      </c>
      <c r="AJ2068" s="136" t="s">
        <v>252</v>
      </c>
      <c r="AK2068" s="136">
        <v>1580</v>
      </c>
      <c r="AL2068" s="136" t="s">
        <v>252</v>
      </c>
      <c r="AM2068" s="136">
        <f t="shared" si="7"/>
        <v>13645</v>
      </c>
    </row>
    <row r="2069" spans="2:39" ht="20.25" hidden="1" outlineLevel="1">
      <c r="B2069" s="149" t="s">
        <v>933</v>
      </c>
      <c r="C2069" s="135" t="s">
        <v>1402</v>
      </c>
      <c r="D2069" s="152" t="s">
        <v>1403</v>
      </c>
      <c r="E2069" s="137" t="s">
        <v>44</v>
      </c>
      <c r="F2069" s="138" t="s">
        <v>45</v>
      </c>
      <c r="G2069" s="136"/>
      <c r="H2069" s="136"/>
      <c r="I2069" s="136"/>
      <c r="J2069" s="136"/>
      <c r="K2069" s="136"/>
      <c r="L2069" s="136"/>
      <c r="M2069" s="136">
        <v>7918</v>
      </c>
      <c r="N2069" s="136">
        <v>5199</v>
      </c>
      <c r="O2069" s="136">
        <v>401</v>
      </c>
      <c r="P2069" s="136" t="s">
        <v>252</v>
      </c>
      <c r="Q2069" s="136">
        <v>488</v>
      </c>
      <c r="R2069" s="136" t="s">
        <v>252</v>
      </c>
      <c r="S2069" s="136">
        <v>522</v>
      </c>
      <c r="T2069" s="136" t="s">
        <v>252</v>
      </c>
      <c r="U2069" s="136">
        <v>567</v>
      </c>
      <c r="V2069" s="136" t="s">
        <v>252</v>
      </c>
      <c r="W2069" s="136">
        <v>449</v>
      </c>
      <c r="X2069" s="136" t="s">
        <v>252</v>
      </c>
      <c r="Y2069" s="136">
        <v>340</v>
      </c>
      <c r="Z2069" s="136" t="s">
        <v>252</v>
      </c>
      <c r="AA2069" s="136">
        <v>209</v>
      </c>
      <c r="AB2069" s="136" t="s">
        <v>252</v>
      </c>
      <c r="AC2069" s="136">
        <v>457</v>
      </c>
      <c r="AD2069" s="136" t="s">
        <v>252</v>
      </c>
      <c r="AE2069" s="136">
        <v>279</v>
      </c>
      <c r="AF2069" s="136" t="s">
        <v>252</v>
      </c>
      <c r="AG2069" s="136">
        <v>282</v>
      </c>
      <c r="AH2069" s="136" t="s">
        <v>252</v>
      </c>
      <c r="AI2069" s="136">
        <v>463</v>
      </c>
      <c r="AJ2069" s="136" t="s">
        <v>252</v>
      </c>
      <c r="AK2069" s="136">
        <v>464</v>
      </c>
      <c r="AL2069" s="136" t="s">
        <v>252</v>
      </c>
      <c r="AM2069" s="136">
        <f t="shared" si="7"/>
        <v>4921</v>
      </c>
    </row>
    <row r="2070" spans="2:39" ht="20.25" hidden="1" outlineLevel="1">
      <c r="B2070" s="149" t="s">
        <v>936</v>
      </c>
      <c r="C2070" s="135" t="s">
        <v>1402</v>
      </c>
      <c r="D2070" s="152" t="s">
        <v>1403</v>
      </c>
      <c r="E2070" s="137" t="s">
        <v>44</v>
      </c>
      <c r="F2070" s="144" t="s">
        <v>45</v>
      </c>
      <c r="G2070" s="136"/>
      <c r="H2070" s="136"/>
      <c r="I2070" s="136"/>
      <c r="J2070" s="136"/>
      <c r="K2070" s="136"/>
      <c r="L2070" s="136"/>
      <c r="M2070" s="136">
        <v>8501</v>
      </c>
      <c r="N2070" s="136">
        <v>7516</v>
      </c>
      <c r="O2070" s="136">
        <v>565</v>
      </c>
      <c r="P2070" s="136" t="s">
        <v>252</v>
      </c>
      <c r="Q2070" s="136">
        <v>577</v>
      </c>
      <c r="R2070" s="136" t="s">
        <v>252</v>
      </c>
      <c r="S2070" s="136">
        <v>1100</v>
      </c>
      <c r="T2070" s="136" t="s">
        <v>252</v>
      </c>
      <c r="U2070" s="136">
        <v>1199</v>
      </c>
      <c r="V2070" s="136" t="s">
        <v>252</v>
      </c>
      <c r="W2070" s="136">
        <v>659</v>
      </c>
      <c r="X2070" s="136" t="s">
        <v>252</v>
      </c>
      <c r="Y2070" s="136">
        <v>637</v>
      </c>
      <c r="Z2070" s="136" t="s">
        <v>252</v>
      </c>
      <c r="AA2070" s="136">
        <v>496</v>
      </c>
      <c r="AB2070" s="136" t="s">
        <v>252</v>
      </c>
      <c r="AC2070" s="136">
        <v>571</v>
      </c>
      <c r="AD2070" s="136" t="s">
        <v>252</v>
      </c>
      <c r="AE2070" s="136">
        <v>698</v>
      </c>
      <c r="AF2070" s="136" t="s">
        <v>252</v>
      </c>
      <c r="AG2070" s="136">
        <v>528</v>
      </c>
      <c r="AH2070" s="136" t="s">
        <v>252</v>
      </c>
      <c r="AI2070" s="136">
        <v>1517</v>
      </c>
      <c r="AJ2070" s="136" t="s">
        <v>252</v>
      </c>
      <c r="AK2070" s="136">
        <v>1335</v>
      </c>
      <c r="AL2070" s="136" t="s">
        <v>252</v>
      </c>
      <c r="AM2070" s="136">
        <f t="shared" si="7"/>
        <v>9882</v>
      </c>
    </row>
    <row r="2071" spans="2:39" ht="20.25" hidden="1" outlineLevel="1">
      <c r="B2071" s="149" t="s">
        <v>938</v>
      </c>
      <c r="C2071" s="135" t="s">
        <v>1402</v>
      </c>
      <c r="D2071" s="152" t="s">
        <v>1403</v>
      </c>
      <c r="E2071" s="143" t="s">
        <v>138</v>
      </c>
      <c r="F2071" s="144" t="s">
        <v>45</v>
      </c>
      <c r="G2071" s="136"/>
      <c r="H2071" s="136"/>
      <c r="I2071" s="136"/>
      <c r="J2071" s="136"/>
      <c r="K2071" s="136"/>
      <c r="L2071" s="136"/>
      <c r="M2071" s="136">
        <v>9953</v>
      </c>
      <c r="N2071" s="136">
        <v>9901</v>
      </c>
      <c r="O2071" s="136">
        <v>1044</v>
      </c>
      <c r="P2071" s="136" t="s">
        <v>252</v>
      </c>
      <c r="Q2071" s="136">
        <v>1907</v>
      </c>
      <c r="R2071" s="136" t="s">
        <v>252</v>
      </c>
      <c r="S2071" s="136">
        <v>295</v>
      </c>
      <c r="T2071" s="136" t="s">
        <v>252</v>
      </c>
      <c r="U2071" s="136">
        <v>1328</v>
      </c>
      <c r="V2071" s="136" t="s">
        <v>252</v>
      </c>
      <c r="W2071" s="136">
        <v>1204</v>
      </c>
      <c r="X2071" s="136" t="s">
        <v>252</v>
      </c>
      <c r="Y2071" s="136">
        <v>617</v>
      </c>
      <c r="Z2071" s="136" t="s">
        <v>252</v>
      </c>
      <c r="AA2071" s="136">
        <v>1076</v>
      </c>
      <c r="AB2071" s="136" t="s">
        <v>252</v>
      </c>
      <c r="AC2071" s="136">
        <v>544</v>
      </c>
      <c r="AD2071" s="136" t="s">
        <v>252</v>
      </c>
      <c r="AE2071" s="136">
        <v>697</v>
      </c>
      <c r="AF2071" s="136" t="s">
        <v>252</v>
      </c>
      <c r="AG2071" s="136">
        <v>631</v>
      </c>
      <c r="AH2071" s="136" t="s">
        <v>252</v>
      </c>
      <c r="AI2071" s="136">
        <v>573</v>
      </c>
      <c r="AJ2071" s="136" t="s">
        <v>252</v>
      </c>
      <c r="AK2071" s="136">
        <v>580</v>
      </c>
      <c r="AL2071" s="136" t="s">
        <v>252</v>
      </c>
      <c r="AM2071" s="136">
        <f t="shared" si="7"/>
        <v>10496</v>
      </c>
    </row>
    <row r="2072" spans="2:39" ht="20.25" hidden="1" outlineLevel="1">
      <c r="B2072" s="149" t="s">
        <v>938</v>
      </c>
      <c r="C2072" s="135" t="s">
        <v>1402</v>
      </c>
      <c r="D2072" s="152" t="s">
        <v>1403</v>
      </c>
      <c r="E2072" s="137" t="s">
        <v>44</v>
      </c>
      <c r="F2072" s="144"/>
      <c r="G2072" s="136"/>
      <c r="H2072" s="136"/>
      <c r="I2072" s="136"/>
      <c r="J2072" s="136"/>
      <c r="K2072" s="136"/>
      <c r="L2072" s="136"/>
      <c r="M2072" s="136">
        <v>18201</v>
      </c>
      <c r="N2072" s="136">
        <v>18307</v>
      </c>
      <c r="O2072" s="136">
        <v>1470</v>
      </c>
      <c r="P2072" s="136" t="s">
        <v>252</v>
      </c>
      <c r="Q2072" s="136">
        <v>681</v>
      </c>
      <c r="R2072" s="136" t="s">
        <v>252</v>
      </c>
      <c r="S2072" s="136">
        <v>1180</v>
      </c>
      <c r="T2072" s="136" t="s">
        <v>252</v>
      </c>
      <c r="U2072" s="136">
        <v>702</v>
      </c>
      <c r="V2072" s="136" t="s">
        <v>252</v>
      </c>
      <c r="W2072" s="136">
        <v>617</v>
      </c>
      <c r="X2072" s="136" t="s">
        <v>252</v>
      </c>
      <c r="Y2072" s="136">
        <v>1093</v>
      </c>
      <c r="Z2072" s="136" t="s">
        <v>252</v>
      </c>
      <c r="AA2072" s="136">
        <v>628</v>
      </c>
      <c r="AB2072" s="136" t="s">
        <v>252</v>
      </c>
      <c r="AC2072" s="136">
        <v>1135</v>
      </c>
      <c r="AD2072" s="136" t="s">
        <v>252</v>
      </c>
      <c r="AE2072" s="136">
        <v>1139</v>
      </c>
      <c r="AF2072" s="136" t="s">
        <v>252</v>
      </c>
      <c r="AG2072" s="136">
        <v>1206</v>
      </c>
      <c r="AH2072" s="136" t="s">
        <v>252</v>
      </c>
      <c r="AI2072" s="136">
        <v>1302</v>
      </c>
      <c r="AJ2072" s="136" t="s">
        <v>252</v>
      </c>
      <c r="AK2072" s="136">
        <v>1287</v>
      </c>
      <c r="AL2072" s="136" t="s">
        <v>252</v>
      </c>
      <c r="AM2072" s="136">
        <f t="shared" si="7"/>
        <v>12440</v>
      </c>
    </row>
    <row r="2073" spans="2:39" ht="20.25" hidden="1" outlineLevel="1">
      <c r="B2073" s="149" t="s">
        <v>939</v>
      </c>
      <c r="C2073" s="135" t="s">
        <v>1402</v>
      </c>
      <c r="D2073" s="152" t="s">
        <v>1403</v>
      </c>
      <c r="E2073" s="137" t="s">
        <v>44</v>
      </c>
      <c r="F2073" s="138" t="s">
        <v>45</v>
      </c>
      <c r="G2073" s="136"/>
      <c r="H2073" s="136"/>
      <c r="I2073" s="136"/>
      <c r="J2073" s="136"/>
      <c r="K2073" s="136"/>
      <c r="L2073" s="136"/>
      <c r="M2073" s="136">
        <v>8147</v>
      </c>
      <c r="N2073" s="136">
        <v>6610</v>
      </c>
      <c r="O2073" s="136">
        <v>461</v>
      </c>
      <c r="P2073" s="136" t="s">
        <v>252</v>
      </c>
      <c r="Q2073" s="136">
        <v>482</v>
      </c>
      <c r="R2073" s="136" t="s">
        <v>252</v>
      </c>
      <c r="S2073" s="136">
        <v>373</v>
      </c>
      <c r="T2073" s="136" t="s">
        <v>252</v>
      </c>
      <c r="U2073" s="136">
        <v>395</v>
      </c>
      <c r="V2073" s="136" t="s">
        <v>252</v>
      </c>
      <c r="W2073" s="136">
        <v>408</v>
      </c>
      <c r="X2073" s="136" t="s">
        <v>252</v>
      </c>
      <c r="Y2073" s="136">
        <v>343</v>
      </c>
      <c r="Z2073" s="136" t="s">
        <v>252</v>
      </c>
      <c r="AA2073" s="136">
        <v>174</v>
      </c>
      <c r="AB2073" s="136" t="s">
        <v>252</v>
      </c>
      <c r="AC2073" s="136">
        <v>344</v>
      </c>
      <c r="AD2073" s="136" t="s">
        <v>252</v>
      </c>
      <c r="AE2073" s="136">
        <v>376</v>
      </c>
      <c r="AF2073" s="136" t="s">
        <v>252</v>
      </c>
      <c r="AG2073" s="136">
        <v>209</v>
      </c>
      <c r="AH2073" s="136" t="s">
        <v>252</v>
      </c>
      <c r="AI2073" s="136">
        <v>252</v>
      </c>
      <c r="AJ2073" s="136" t="s">
        <v>252</v>
      </c>
      <c r="AK2073" s="136">
        <v>404</v>
      </c>
      <c r="AL2073" s="136" t="s">
        <v>252</v>
      </c>
      <c r="AM2073" s="136">
        <f t="shared" si="7"/>
        <v>4221</v>
      </c>
    </row>
    <row r="2074" spans="2:39" ht="20.25" hidden="1" outlineLevel="1">
      <c r="B2074" s="149" t="s">
        <v>940</v>
      </c>
      <c r="C2074" s="135" t="s">
        <v>1402</v>
      </c>
      <c r="D2074" s="152" t="s">
        <v>1403</v>
      </c>
      <c r="E2074" s="137" t="s">
        <v>44</v>
      </c>
      <c r="F2074" s="138" t="s">
        <v>45</v>
      </c>
      <c r="G2074" s="136"/>
      <c r="H2074" s="136"/>
      <c r="I2074" s="136"/>
      <c r="J2074" s="136"/>
      <c r="K2074" s="136"/>
      <c r="L2074" s="136"/>
      <c r="M2074" s="136">
        <v>3789</v>
      </c>
      <c r="N2074" s="136">
        <v>4724</v>
      </c>
      <c r="O2074" s="136">
        <v>416</v>
      </c>
      <c r="P2074" s="136" t="s">
        <v>252</v>
      </c>
      <c r="Q2074" s="136">
        <v>423</v>
      </c>
      <c r="R2074" s="136" t="s">
        <v>252</v>
      </c>
      <c r="S2074" s="136">
        <v>486</v>
      </c>
      <c r="T2074" s="136" t="s">
        <v>252</v>
      </c>
      <c r="U2074" s="136">
        <v>508</v>
      </c>
      <c r="V2074" s="136" t="s">
        <v>252</v>
      </c>
      <c r="W2074" s="136">
        <v>450</v>
      </c>
      <c r="X2074" s="136" t="s">
        <v>252</v>
      </c>
      <c r="Y2074" s="136">
        <v>398</v>
      </c>
      <c r="Z2074" s="136" t="s">
        <v>252</v>
      </c>
      <c r="AA2074" s="136">
        <v>331</v>
      </c>
      <c r="AB2074" s="136" t="s">
        <v>252</v>
      </c>
      <c r="AC2074" s="136">
        <v>303</v>
      </c>
      <c r="AD2074" s="136" t="s">
        <v>252</v>
      </c>
      <c r="AE2074" s="136">
        <v>416</v>
      </c>
      <c r="AF2074" s="136" t="s">
        <v>252</v>
      </c>
      <c r="AG2074" s="136">
        <v>387</v>
      </c>
      <c r="AH2074" s="136" t="s">
        <v>252</v>
      </c>
      <c r="AI2074" s="136">
        <v>438</v>
      </c>
      <c r="AJ2074" s="136" t="s">
        <v>252</v>
      </c>
      <c r="AK2074" s="136">
        <v>454</v>
      </c>
      <c r="AL2074" s="136" t="s">
        <v>252</v>
      </c>
      <c r="AM2074" s="136">
        <f t="shared" si="7"/>
        <v>5010</v>
      </c>
    </row>
    <row r="2075" spans="2:39" ht="20.25" hidden="1" outlineLevel="1">
      <c r="B2075" s="149" t="s">
        <v>942</v>
      </c>
      <c r="C2075" s="135" t="s">
        <v>1402</v>
      </c>
      <c r="D2075" s="152" t="s">
        <v>1403</v>
      </c>
      <c r="E2075" s="137" t="s">
        <v>44</v>
      </c>
      <c r="F2075" s="138" t="s">
        <v>45</v>
      </c>
      <c r="G2075" s="136"/>
      <c r="H2075" s="136"/>
      <c r="I2075" s="136"/>
      <c r="J2075" s="136"/>
      <c r="K2075" s="136"/>
      <c r="L2075" s="136"/>
      <c r="M2075" s="136"/>
      <c r="N2075" s="136"/>
      <c r="O2075" s="136"/>
      <c r="P2075" s="136" t="s">
        <v>252</v>
      </c>
      <c r="Q2075" s="136"/>
      <c r="R2075" s="136" t="s">
        <v>252</v>
      </c>
      <c r="S2075" s="136"/>
      <c r="T2075" s="136" t="s">
        <v>252</v>
      </c>
      <c r="U2075" s="136"/>
      <c r="V2075" s="136" t="s">
        <v>252</v>
      </c>
      <c r="W2075" s="136"/>
      <c r="X2075" s="136" t="s">
        <v>252</v>
      </c>
      <c r="Y2075" s="136"/>
      <c r="Z2075" s="136" t="s">
        <v>252</v>
      </c>
      <c r="AA2075" s="136"/>
      <c r="AB2075" s="136" t="s">
        <v>252</v>
      </c>
      <c r="AC2075" s="136"/>
      <c r="AD2075" s="136" t="s">
        <v>252</v>
      </c>
      <c r="AE2075" s="136"/>
      <c r="AF2075" s="136" t="s">
        <v>252</v>
      </c>
      <c r="AG2075" s="136"/>
      <c r="AH2075" s="136" t="s">
        <v>252</v>
      </c>
      <c r="AI2075" s="136"/>
      <c r="AJ2075" s="136" t="s">
        <v>252</v>
      </c>
      <c r="AK2075" s="136"/>
      <c r="AL2075" s="136" t="s">
        <v>252</v>
      </c>
      <c r="AM2075" s="136">
        <f t="shared" si="7"/>
        <v>0</v>
      </c>
    </row>
    <row r="2076" spans="2:39" ht="20.25" hidden="1" outlineLevel="1">
      <c r="B2076" s="149" t="s">
        <v>943</v>
      </c>
      <c r="C2076" s="135" t="s">
        <v>1402</v>
      </c>
      <c r="D2076" s="152" t="s">
        <v>1403</v>
      </c>
      <c r="E2076" s="137" t="s">
        <v>44</v>
      </c>
      <c r="F2076" s="138" t="s">
        <v>45</v>
      </c>
      <c r="G2076" s="136"/>
      <c r="H2076" s="136"/>
      <c r="I2076" s="136"/>
      <c r="J2076" s="136"/>
      <c r="K2076" s="136"/>
      <c r="L2076" s="136"/>
      <c r="M2076" s="136">
        <v>5735</v>
      </c>
      <c r="N2076" s="136">
        <v>5577</v>
      </c>
      <c r="O2076" s="136">
        <v>690</v>
      </c>
      <c r="P2076" s="136" t="s">
        <v>252</v>
      </c>
      <c r="Q2076" s="136">
        <v>669</v>
      </c>
      <c r="R2076" s="136" t="s">
        <v>252</v>
      </c>
      <c r="S2076" s="136">
        <v>442</v>
      </c>
      <c r="T2076" s="136" t="s">
        <v>252</v>
      </c>
      <c r="U2076" s="136">
        <v>464</v>
      </c>
      <c r="V2076" s="136" t="s">
        <v>252</v>
      </c>
      <c r="W2076" s="136">
        <v>445</v>
      </c>
      <c r="X2076" s="136" t="s">
        <v>252</v>
      </c>
      <c r="Y2076" s="136">
        <v>487</v>
      </c>
      <c r="Z2076" s="136" t="s">
        <v>252</v>
      </c>
      <c r="AA2076" s="136">
        <v>535</v>
      </c>
      <c r="AB2076" s="136" t="s">
        <v>252</v>
      </c>
      <c r="AC2076" s="136">
        <v>892</v>
      </c>
      <c r="AD2076" s="136" t="s">
        <v>252</v>
      </c>
      <c r="AE2076" s="136">
        <v>366</v>
      </c>
      <c r="AF2076" s="136" t="s">
        <v>252</v>
      </c>
      <c r="AG2076" s="136">
        <v>254</v>
      </c>
      <c r="AH2076" s="136" t="s">
        <v>252</v>
      </c>
      <c r="AI2076" s="136">
        <v>487</v>
      </c>
      <c r="AJ2076" s="136" t="s">
        <v>252</v>
      </c>
      <c r="AK2076" s="136">
        <v>423</v>
      </c>
      <c r="AL2076" s="136" t="s">
        <v>252</v>
      </c>
      <c r="AM2076" s="136">
        <f t="shared" si="7"/>
        <v>6154</v>
      </c>
    </row>
    <row r="2077" spans="2:39" ht="20.25" hidden="1" outlineLevel="1">
      <c r="B2077" s="149" t="s">
        <v>944</v>
      </c>
      <c r="C2077" s="135" t="s">
        <v>1402</v>
      </c>
      <c r="D2077" s="152" t="s">
        <v>1403</v>
      </c>
      <c r="E2077" s="137" t="s">
        <v>44</v>
      </c>
      <c r="F2077" s="138" t="s">
        <v>45</v>
      </c>
      <c r="G2077" s="136"/>
      <c r="H2077" s="136"/>
      <c r="I2077" s="136"/>
      <c r="J2077" s="136"/>
      <c r="K2077" s="136"/>
      <c r="L2077" s="136"/>
      <c r="M2077" s="136">
        <v>7408</v>
      </c>
      <c r="N2077" s="136">
        <v>7008</v>
      </c>
      <c r="O2077" s="136">
        <v>574</v>
      </c>
      <c r="P2077" s="136" t="s">
        <v>252</v>
      </c>
      <c r="Q2077" s="136">
        <v>532</v>
      </c>
      <c r="R2077" s="136" t="s">
        <v>252</v>
      </c>
      <c r="S2077" s="136">
        <v>478</v>
      </c>
      <c r="T2077" s="136" t="s">
        <v>252</v>
      </c>
      <c r="U2077" s="136">
        <v>486</v>
      </c>
      <c r="V2077" s="136" t="s">
        <v>252</v>
      </c>
      <c r="W2077" s="136">
        <v>499</v>
      </c>
      <c r="X2077" s="136" t="s">
        <v>252</v>
      </c>
      <c r="Y2077" s="136">
        <v>364</v>
      </c>
      <c r="Z2077" s="136" t="s">
        <v>252</v>
      </c>
      <c r="AA2077" s="136">
        <v>377</v>
      </c>
      <c r="AB2077" s="136" t="s">
        <v>252</v>
      </c>
      <c r="AC2077" s="136">
        <v>444</v>
      </c>
      <c r="AD2077" s="136" t="s">
        <v>252</v>
      </c>
      <c r="AE2077" s="136">
        <v>528</v>
      </c>
      <c r="AF2077" s="136" t="s">
        <v>252</v>
      </c>
      <c r="AG2077" s="136">
        <v>613</v>
      </c>
      <c r="AH2077" s="136" t="s">
        <v>252</v>
      </c>
      <c r="AI2077" s="136">
        <v>527</v>
      </c>
      <c r="AJ2077" s="136" t="s">
        <v>252</v>
      </c>
      <c r="AK2077" s="136">
        <v>606</v>
      </c>
      <c r="AL2077" s="136" t="s">
        <v>252</v>
      </c>
      <c r="AM2077" s="136">
        <f t="shared" si="7"/>
        <v>6028</v>
      </c>
    </row>
    <row r="2078" spans="2:39" ht="20.25" hidden="1" outlineLevel="1">
      <c r="B2078" s="149" t="s">
        <v>945</v>
      </c>
      <c r="C2078" s="135" t="s">
        <v>1402</v>
      </c>
      <c r="D2078" s="152" t="s">
        <v>1403</v>
      </c>
      <c r="E2078" s="137" t="s">
        <v>44</v>
      </c>
      <c r="F2078" s="138" t="s">
        <v>45</v>
      </c>
      <c r="G2078" s="136"/>
      <c r="H2078" s="136"/>
      <c r="I2078" s="136"/>
      <c r="J2078" s="136"/>
      <c r="K2078" s="136"/>
      <c r="L2078" s="136"/>
      <c r="M2078" s="136">
        <v>3977</v>
      </c>
      <c r="N2078" s="136">
        <v>4859</v>
      </c>
      <c r="O2078" s="136">
        <v>478</v>
      </c>
      <c r="P2078" s="136" t="s">
        <v>252</v>
      </c>
      <c r="Q2078" s="136">
        <v>309</v>
      </c>
      <c r="R2078" s="136" t="s">
        <v>252</v>
      </c>
      <c r="S2078" s="136">
        <v>204</v>
      </c>
      <c r="T2078" s="136" t="s">
        <v>252</v>
      </c>
      <c r="U2078" s="136">
        <v>339</v>
      </c>
      <c r="V2078" s="136" t="s">
        <v>252</v>
      </c>
      <c r="W2078" s="136">
        <v>229</v>
      </c>
      <c r="X2078" s="136" t="s">
        <v>252</v>
      </c>
      <c r="Y2078" s="136">
        <v>381</v>
      </c>
      <c r="Z2078" s="136" t="s">
        <v>252</v>
      </c>
      <c r="AA2078" s="136">
        <v>195</v>
      </c>
      <c r="AB2078" s="136" t="s">
        <v>252</v>
      </c>
      <c r="AC2078" s="136">
        <v>258</v>
      </c>
      <c r="AD2078" s="136" t="s">
        <v>252</v>
      </c>
      <c r="AE2078" s="136">
        <v>279</v>
      </c>
      <c r="AF2078" s="136" t="s">
        <v>252</v>
      </c>
      <c r="AG2078" s="136">
        <v>208</v>
      </c>
      <c r="AH2078" s="136" t="s">
        <v>252</v>
      </c>
      <c r="AI2078" s="136">
        <v>495</v>
      </c>
      <c r="AJ2078" s="136" t="s">
        <v>252</v>
      </c>
      <c r="AK2078" s="136">
        <v>344</v>
      </c>
      <c r="AL2078" s="136" t="s">
        <v>252</v>
      </c>
      <c r="AM2078" s="136">
        <f t="shared" si="7"/>
        <v>3719</v>
      </c>
    </row>
    <row r="2079" spans="2:39" ht="20.25" hidden="1" outlineLevel="1">
      <c r="B2079" s="149" t="s">
        <v>946</v>
      </c>
      <c r="C2079" s="135" t="s">
        <v>1402</v>
      </c>
      <c r="D2079" s="152" t="s">
        <v>1403</v>
      </c>
      <c r="E2079" s="137" t="s">
        <v>44</v>
      </c>
      <c r="F2079" s="144" t="s">
        <v>45</v>
      </c>
      <c r="G2079" s="136"/>
      <c r="H2079" s="136"/>
      <c r="I2079" s="136"/>
      <c r="J2079" s="136"/>
      <c r="K2079" s="136"/>
      <c r="L2079" s="136"/>
      <c r="M2079" s="419">
        <v>12776</v>
      </c>
      <c r="N2079" s="419">
        <v>13954</v>
      </c>
      <c r="O2079" s="419">
        <v>1485</v>
      </c>
      <c r="P2079" s="417" t="s">
        <v>252</v>
      </c>
      <c r="Q2079" s="417">
        <v>1578</v>
      </c>
      <c r="R2079" s="417" t="s">
        <v>252</v>
      </c>
      <c r="S2079" s="417">
        <v>1321</v>
      </c>
      <c r="T2079" s="417" t="s">
        <v>252</v>
      </c>
      <c r="U2079" s="417">
        <v>1563</v>
      </c>
      <c r="V2079" s="417" t="s">
        <v>252</v>
      </c>
      <c r="W2079" s="417">
        <v>1269</v>
      </c>
      <c r="X2079" s="417" t="s">
        <v>252</v>
      </c>
      <c r="Y2079" s="417">
        <v>636</v>
      </c>
      <c r="Z2079" s="417" t="s">
        <v>252</v>
      </c>
      <c r="AA2079" s="417">
        <v>1121</v>
      </c>
      <c r="AB2079" s="417" t="s">
        <v>252</v>
      </c>
      <c r="AC2079" s="417">
        <v>985</v>
      </c>
      <c r="AD2079" s="417" t="s">
        <v>252</v>
      </c>
      <c r="AE2079" s="417">
        <v>1319</v>
      </c>
      <c r="AF2079" s="417" t="s">
        <v>252</v>
      </c>
      <c r="AG2079" s="417">
        <v>1329</v>
      </c>
      <c r="AH2079" s="417" t="s">
        <v>252</v>
      </c>
      <c r="AI2079" s="417">
        <v>1322</v>
      </c>
      <c r="AJ2079" s="417" t="s">
        <v>252</v>
      </c>
      <c r="AK2079" s="417">
        <v>1332</v>
      </c>
      <c r="AL2079" s="417" t="s">
        <v>252</v>
      </c>
      <c r="AM2079" s="419">
        <f t="shared" si="7"/>
        <v>15260</v>
      </c>
    </row>
    <row r="2080" spans="2:39" ht="20.25" hidden="1" outlineLevel="1">
      <c r="B2080" s="149" t="s">
        <v>947</v>
      </c>
      <c r="C2080" s="135" t="s">
        <v>1402</v>
      </c>
      <c r="D2080" s="152" t="s">
        <v>1403</v>
      </c>
      <c r="E2080" s="137" t="s">
        <v>44</v>
      </c>
      <c r="F2080" s="144" t="s">
        <v>45</v>
      </c>
      <c r="G2080" s="136"/>
      <c r="H2080" s="136"/>
      <c r="I2080" s="136"/>
      <c r="J2080" s="136"/>
      <c r="K2080" s="136"/>
      <c r="L2080" s="136"/>
      <c r="M2080" s="431"/>
      <c r="N2080" s="431"/>
      <c r="O2080" s="431"/>
      <c r="P2080" s="432"/>
      <c r="Q2080" s="432"/>
      <c r="R2080" s="432"/>
      <c r="S2080" s="432"/>
      <c r="T2080" s="432"/>
      <c r="U2080" s="432"/>
      <c r="V2080" s="432"/>
      <c r="W2080" s="432"/>
      <c r="X2080" s="432"/>
      <c r="Y2080" s="432"/>
      <c r="Z2080" s="432"/>
      <c r="AA2080" s="432"/>
      <c r="AB2080" s="432"/>
      <c r="AC2080" s="432"/>
      <c r="AD2080" s="432"/>
      <c r="AE2080" s="432"/>
      <c r="AF2080" s="432"/>
      <c r="AG2080" s="432"/>
      <c r="AH2080" s="432"/>
      <c r="AI2080" s="432"/>
      <c r="AJ2080" s="432"/>
      <c r="AK2080" s="432"/>
      <c r="AL2080" s="432"/>
      <c r="AM2080" s="431"/>
    </row>
    <row r="2081" spans="2:39" ht="20.25" hidden="1" outlineLevel="1">
      <c r="B2081" s="149" t="s">
        <v>948</v>
      </c>
      <c r="C2081" s="135" t="s">
        <v>1402</v>
      </c>
      <c r="D2081" s="152" t="s">
        <v>1403</v>
      </c>
      <c r="E2081" s="137" t="s">
        <v>44</v>
      </c>
      <c r="F2081" s="138" t="s">
        <v>45</v>
      </c>
      <c r="G2081" s="136"/>
      <c r="H2081" s="136"/>
      <c r="I2081" s="136"/>
      <c r="J2081" s="136"/>
      <c r="K2081" s="136"/>
      <c r="L2081" s="136"/>
      <c r="M2081" s="420"/>
      <c r="N2081" s="420"/>
      <c r="O2081" s="420"/>
      <c r="P2081" s="418"/>
      <c r="Q2081" s="418"/>
      <c r="R2081" s="418"/>
      <c r="S2081" s="418"/>
      <c r="T2081" s="418"/>
      <c r="U2081" s="418"/>
      <c r="V2081" s="418"/>
      <c r="W2081" s="418"/>
      <c r="X2081" s="418"/>
      <c r="Y2081" s="418"/>
      <c r="Z2081" s="418"/>
      <c r="AA2081" s="418"/>
      <c r="AB2081" s="418"/>
      <c r="AC2081" s="418"/>
      <c r="AD2081" s="418"/>
      <c r="AE2081" s="418"/>
      <c r="AF2081" s="418"/>
      <c r="AG2081" s="418"/>
      <c r="AH2081" s="418"/>
      <c r="AI2081" s="418"/>
      <c r="AJ2081" s="418"/>
      <c r="AK2081" s="418"/>
      <c r="AL2081" s="418"/>
      <c r="AM2081" s="420"/>
    </row>
    <row r="2082" spans="2:39" ht="20.25" hidden="1" outlineLevel="1">
      <c r="B2082" s="149" t="s">
        <v>949</v>
      </c>
      <c r="C2082" s="135" t="s">
        <v>1402</v>
      </c>
      <c r="D2082" s="152" t="s">
        <v>1403</v>
      </c>
      <c r="E2082" s="137" t="s">
        <v>44</v>
      </c>
      <c r="F2082" s="138" t="s">
        <v>45</v>
      </c>
      <c r="G2082" s="136"/>
      <c r="H2082" s="136"/>
      <c r="I2082" s="136"/>
      <c r="J2082" s="136"/>
      <c r="K2082" s="136"/>
      <c r="L2082" s="136"/>
      <c r="M2082" s="136">
        <v>7678</v>
      </c>
      <c r="N2082" s="136">
        <v>6218</v>
      </c>
      <c r="O2082" s="136">
        <v>911</v>
      </c>
      <c r="P2082" s="136" t="s">
        <v>252</v>
      </c>
      <c r="Q2082" s="136">
        <v>286</v>
      </c>
      <c r="R2082" s="136" t="s">
        <v>252</v>
      </c>
      <c r="S2082" s="136">
        <v>263</v>
      </c>
      <c r="T2082" s="136" t="s">
        <v>252</v>
      </c>
      <c r="U2082" s="136">
        <v>210</v>
      </c>
      <c r="V2082" s="136" t="s">
        <v>252</v>
      </c>
      <c r="W2082" s="136">
        <v>169</v>
      </c>
      <c r="X2082" s="136" t="s">
        <v>252</v>
      </c>
      <c r="Y2082" s="136">
        <v>146</v>
      </c>
      <c r="Z2082" s="136" t="s">
        <v>252</v>
      </c>
      <c r="AA2082" s="136">
        <v>494</v>
      </c>
      <c r="AB2082" s="136" t="s">
        <v>252</v>
      </c>
      <c r="AC2082" s="136">
        <v>78</v>
      </c>
      <c r="AD2082" s="136" t="s">
        <v>252</v>
      </c>
      <c r="AE2082" s="136">
        <v>97</v>
      </c>
      <c r="AF2082" s="136" t="s">
        <v>252</v>
      </c>
      <c r="AG2082" s="136">
        <v>79</v>
      </c>
      <c r="AH2082" s="136" t="s">
        <v>252</v>
      </c>
      <c r="AI2082" s="136">
        <v>143</v>
      </c>
      <c r="AJ2082" s="136" t="s">
        <v>252</v>
      </c>
      <c r="AK2082" s="136">
        <v>199</v>
      </c>
      <c r="AL2082" s="136" t="s">
        <v>252</v>
      </c>
      <c r="AM2082" s="136">
        <f t="shared" si="7"/>
        <v>3075</v>
      </c>
    </row>
    <row r="2083" spans="2:39" ht="20.25" hidden="1" outlineLevel="1">
      <c r="B2083" s="149" t="s">
        <v>950</v>
      </c>
      <c r="C2083" s="135" t="s">
        <v>1402</v>
      </c>
      <c r="D2083" s="152" t="s">
        <v>1403</v>
      </c>
      <c r="E2083" s="137" t="s">
        <v>44</v>
      </c>
      <c r="F2083" s="138" t="s">
        <v>45</v>
      </c>
      <c r="G2083" s="136"/>
      <c r="H2083" s="136"/>
      <c r="I2083" s="136"/>
      <c r="J2083" s="136"/>
      <c r="K2083" s="136"/>
      <c r="L2083" s="136"/>
      <c r="M2083" s="136">
        <v>11153</v>
      </c>
      <c r="N2083" s="136">
        <v>10583</v>
      </c>
      <c r="O2083" s="136">
        <v>1005</v>
      </c>
      <c r="P2083" s="136" t="s">
        <v>252</v>
      </c>
      <c r="Q2083" s="136">
        <v>670</v>
      </c>
      <c r="R2083" s="136" t="s">
        <v>252</v>
      </c>
      <c r="S2083" s="136">
        <v>574</v>
      </c>
      <c r="T2083" s="136" t="s">
        <v>252</v>
      </c>
      <c r="U2083" s="136">
        <v>692</v>
      </c>
      <c r="V2083" s="136" t="s">
        <v>252</v>
      </c>
      <c r="W2083" s="136">
        <v>536</v>
      </c>
      <c r="X2083" s="136" t="s">
        <v>252</v>
      </c>
      <c r="Y2083" s="136">
        <v>527</v>
      </c>
      <c r="Z2083" s="136" t="s">
        <v>252</v>
      </c>
      <c r="AA2083" s="136">
        <v>584</v>
      </c>
      <c r="AB2083" s="136" t="s">
        <v>252</v>
      </c>
      <c r="AC2083" s="136">
        <v>633</v>
      </c>
      <c r="AD2083" s="136" t="s">
        <v>252</v>
      </c>
      <c r="AE2083" s="136">
        <v>691</v>
      </c>
      <c r="AF2083" s="136" t="s">
        <v>252</v>
      </c>
      <c r="AG2083" s="136">
        <v>708</v>
      </c>
      <c r="AH2083" s="136" t="s">
        <v>252</v>
      </c>
      <c r="AI2083" s="136">
        <v>768</v>
      </c>
      <c r="AJ2083" s="136" t="s">
        <v>252</v>
      </c>
      <c r="AK2083" s="136">
        <v>698</v>
      </c>
      <c r="AL2083" s="136" t="s">
        <v>252</v>
      </c>
      <c r="AM2083" s="136">
        <f t="shared" si="7"/>
        <v>8086</v>
      </c>
    </row>
    <row r="2084" spans="2:39" ht="20.25" hidden="1" outlineLevel="1">
      <c r="B2084" s="149" t="s">
        <v>951</v>
      </c>
      <c r="C2084" s="135" t="s">
        <v>1402</v>
      </c>
      <c r="D2084" s="152" t="s">
        <v>1403</v>
      </c>
      <c r="E2084" s="137" t="s">
        <v>44</v>
      </c>
      <c r="F2084" s="138" t="s">
        <v>45</v>
      </c>
      <c r="G2084" s="136"/>
      <c r="H2084" s="136"/>
      <c r="I2084" s="136"/>
      <c r="J2084" s="136"/>
      <c r="K2084" s="136"/>
      <c r="L2084" s="136"/>
      <c r="M2084" s="136">
        <v>9160</v>
      </c>
      <c r="N2084" s="136">
        <v>6862</v>
      </c>
      <c r="O2084" s="136">
        <v>537</v>
      </c>
      <c r="P2084" s="136" t="s">
        <v>252</v>
      </c>
      <c r="Q2084" s="136">
        <v>551</v>
      </c>
      <c r="R2084" s="136" t="s">
        <v>252</v>
      </c>
      <c r="S2084" s="136">
        <v>482</v>
      </c>
      <c r="T2084" s="136" t="s">
        <v>252</v>
      </c>
      <c r="U2084" s="136">
        <v>510</v>
      </c>
      <c r="V2084" s="136" t="s">
        <v>252</v>
      </c>
      <c r="W2084" s="136">
        <v>473</v>
      </c>
      <c r="X2084" s="136" t="s">
        <v>252</v>
      </c>
      <c r="Y2084" s="136">
        <v>550</v>
      </c>
      <c r="Z2084" s="136" t="s">
        <v>252</v>
      </c>
      <c r="AA2084" s="136">
        <v>466</v>
      </c>
      <c r="AB2084" s="136" t="s">
        <v>252</v>
      </c>
      <c r="AC2084" s="136">
        <v>485</v>
      </c>
      <c r="AD2084" s="136" t="s">
        <v>252</v>
      </c>
      <c r="AE2084" s="136">
        <v>594</v>
      </c>
      <c r="AF2084" s="136" t="s">
        <v>252</v>
      </c>
      <c r="AG2084" s="136">
        <v>437</v>
      </c>
      <c r="AH2084" s="136" t="s">
        <v>252</v>
      </c>
      <c r="AI2084" s="136">
        <v>793</v>
      </c>
      <c r="AJ2084" s="136" t="s">
        <v>252</v>
      </c>
      <c r="AK2084" s="136">
        <v>607</v>
      </c>
      <c r="AL2084" s="136" t="s">
        <v>252</v>
      </c>
      <c r="AM2084" s="136">
        <f t="shared" si="7"/>
        <v>6485</v>
      </c>
    </row>
    <row r="2085" spans="2:39" ht="20.25" hidden="1" outlineLevel="1">
      <c r="B2085" s="149" t="s">
        <v>952</v>
      </c>
      <c r="C2085" s="135" t="s">
        <v>1402</v>
      </c>
      <c r="D2085" s="152" t="s">
        <v>1403</v>
      </c>
      <c r="E2085" s="137" t="s">
        <v>44</v>
      </c>
      <c r="F2085" s="138" t="s">
        <v>45</v>
      </c>
      <c r="G2085" s="136"/>
      <c r="H2085" s="136"/>
      <c r="I2085" s="136"/>
      <c r="J2085" s="136"/>
      <c r="K2085" s="136"/>
      <c r="L2085" s="136"/>
      <c r="M2085" s="136">
        <v>13047</v>
      </c>
      <c r="N2085" s="136">
        <v>14555</v>
      </c>
      <c r="O2085" s="136">
        <v>921</v>
      </c>
      <c r="P2085" s="136" t="s">
        <v>252</v>
      </c>
      <c r="Q2085" s="136">
        <v>1081</v>
      </c>
      <c r="R2085" s="136" t="s">
        <v>252</v>
      </c>
      <c r="S2085" s="136">
        <v>1204</v>
      </c>
      <c r="T2085" s="136" t="s">
        <v>252</v>
      </c>
      <c r="U2085" s="136">
        <v>1376</v>
      </c>
      <c r="V2085" s="136" t="s">
        <v>252</v>
      </c>
      <c r="W2085" s="136">
        <v>916</v>
      </c>
      <c r="X2085" s="136" t="s">
        <v>252</v>
      </c>
      <c r="Y2085" s="136">
        <v>505</v>
      </c>
      <c r="Z2085" s="136" t="s">
        <v>252</v>
      </c>
      <c r="AA2085" s="136">
        <v>47</v>
      </c>
      <c r="AB2085" s="136" t="s">
        <v>252</v>
      </c>
      <c r="AC2085" s="136">
        <v>444</v>
      </c>
      <c r="AD2085" s="136" t="s">
        <v>252</v>
      </c>
      <c r="AE2085" s="136">
        <v>592</v>
      </c>
      <c r="AF2085" s="136" t="s">
        <v>252</v>
      </c>
      <c r="AG2085" s="136">
        <v>715</v>
      </c>
      <c r="AH2085" s="136" t="s">
        <v>252</v>
      </c>
      <c r="AI2085" s="136">
        <v>944</v>
      </c>
      <c r="AJ2085" s="136" t="s">
        <v>252</v>
      </c>
      <c r="AK2085" s="136">
        <v>989</v>
      </c>
      <c r="AL2085" s="136" t="s">
        <v>252</v>
      </c>
      <c r="AM2085" s="136">
        <f t="shared" si="7"/>
        <v>9734</v>
      </c>
    </row>
    <row r="2086" spans="2:39" ht="20.25" hidden="1" outlineLevel="1">
      <c r="B2086" s="149" t="s">
        <v>953</v>
      </c>
      <c r="C2086" s="135" t="s">
        <v>1402</v>
      </c>
      <c r="D2086" s="152" t="s">
        <v>1403</v>
      </c>
      <c r="E2086" s="137" t="s">
        <v>44</v>
      </c>
      <c r="F2086" s="138" t="s">
        <v>45</v>
      </c>
      <c r="G2086" s="136"/>
      <c r="H2086" s="136"/>
      <c r="I2086" s="136"/>
      <c r="J2086" s="136"/>
      <c r="K2086" s="136"/>
      <c r="L2086" s="136"/>
      <c r="M2086" s="136">
        <v>1507</v>
      </c>
      <c r="N2086" s="136">
        <v>1987</v>
      </c>
      <c r="O2086" s="136">
        <v>249</v>
      </c>
      <c r="P2086" s="136" t="s">
        <v>252</v>
      </c>
      <c r="Q2086" s="136">
        <v>129</v>
      </c>
      <c r="R2086" s="136" t="s">
        <v>252</v>
      </c>
      <c r="S2086" s="136">
        <v>110</v>
      </c>
      <c r="T2086" s="136" t="s">
        <v>252</v>
      </c>
      <c r="U2086" s="136">
        <v>116</v>
      </c>
      <c r="V2086" s="136" t="s">
        <v>252</v>
      </c>
      <c r="W2086" s="136">
        <v>108</v>
      </c>
      <c r="X2086" s="136" t="s">
        <v>252</v>
      </c>
      <c r="Y2086" s="136">
        <v>82</v>
      </c>
      <c r="Z2086" s="136" t="s">
        <v>252</v>
      </c>
      <c r="AA2086" s="136">
        <v>72</v>
      </c>
      <c r="AB2086" s="136" t="s">
        <v>252</v>
      </c>
      <c r="AC2086" s="136">
        <v>103</v>
      </c>
      <c r="AD2086" s="136" t="s">
        <v>252</v>
      </c>
      <c r="AE2086" s="136">
        <v>211</v>
      </c>
      <c r="AF2086" s="136" t="s">
        <v>252</v>
      </c>
      <c r="AG2086" s="136">
        <v>153</v>
      </c>
      <c r="AH2086" s="136" t="s">
        <v>252</v>
      </c>
      <c r="AI2086" s="136">
        <v>185</v>
      </c>
      <c r="AJ2086" s="136" t="s">
        <v>252</v>
      </c>
      <c r="AK2086" s="136">
        <v>192</v>
      </c>
      <c r="AL2086" s="136" t="s">
        <v>252</v>
      </c>
      <c r="AM2086" s="136">
        <f t="shared" si="7"/>
        <v>1710</v>
      </c>
    </row>
    <row r="2087" spans="2:39" ht="20.25" hidden="1" outlineLevel="1">
      <c r="B2087" s="149" t="s">
        <v>955</v>
      </c>
      <c r="C2087" s="135" t="s">
        <v>1402</v>
      </c>
      <c r="D2087" s="152" t="s">
        <v>1403</v>
      </c>
      <c r="E2087" s="137" t="s">
        <v>44</v>
      </c>
      <c r="F2087" s="138" t="s">
        <v>45</v>
      </c>
      <c r="G2087" s="136"/>
      <c r="H2087" s="136"/>
      <c r="I2087" s="136"/>
      <c r="J2087" s="136"/>
      <c r="K2087" s="136"/>
      <c r="L2087" s="136"/>
      <c r="M2087" s="136">
        <v>3664</v>
      </c>
      <c r="N2087" s="136">
        <v>3690</v>
      </c>
      <c r="O2087" s="136">
        <v>393</v>
      </c>
      <c r="P2087" s="136" t="s">
        <v>252</v>
      </c>
      <c r="Q2087" s="136">
        <v>378</v>
      </c>
      <c r="R2087" s="136" t="s">
        <v>252</v>
      </c>
      <c r="S2087" s="136">
        <v>306</v>
      </c>
      <c r="T2087" s="136" t="s">
        <v>252</v>
      </c>
      <c r="U2087" s="136">
        <v>315</v>
      </c>
      <c r="V2087" s="136" t="s">
        <v>252</v>
      </c>
      <c r="W2087" s="136">
        <v>194</v>
      </c>
      <c r="X2087" s="136" t="s">
        <v>252</v>
      </c>
      <c r="Y2087" s="136">
        <v>142</v>
      </c>
      <c r="Z2087" s="136" t="s">
        <v>252</v>
      </c>
      <c r="AA2087" s="136">
        <v>183</v>
      </c>
      <c r="AB2087" s="136" t="s">
        <v>252</v>
      </c>
      <c r="AC2087" s="136">
        <v>188</v>
      </c>
      <c r="AD2087" s="136" t="s">
        <v>252</v>
      </c>
      <c r="AE2087" s="136">
        <v>208</v>
      </c>
      <c r="AF2087" s="136" t="s">
        <v>252</v>
      </c>
      <c r="AG2087" s="136">
        <v>192</v>
      </c>
      <c r="AH2087" s="136" t="s">
        <v>252</v>
      </c>
      <c r="AI2087" s="136">
        <v>282</v>
      </c>
      <c r="AJ2087" s="136" t="s">
        <v>252</v>
      </c>
      <c r="AK2087" s="136">
        <v>203</v>
      </c>
      <c r="AL2087" s="136" t="s">
        <v>252</v>
      </c>
      <c r="AM2087" s="136">
        <f t="shared" si="7"/>
        <v>2984</v>
      </c>
    </row>
    <row r="2088" spans="2:39" ht="20.25" hidden="1" outlineLevel="1">
      <c r="B2088" s="149" t="s">
        <v>958</v>
      </c>
      <c r="C2088" s="135" t="s">
        <v>1402</v>
      </c>
      <c r="D2088" s="152" t="s">
        <v>1403</v>
      </c>
      <c r="E2088" s="137" t="s">
        <v>44</v>
      </c>
      <c r="F2088" s="138" t="s">
        <v>45</v>
      </c>
      <c r="G2088" s="136"/>
      <c r="H2088" s="136"/>
      <c r="I2088" s="136"/>
      <c r="J2088" s="136"/>
      <c r="K2088" s="136"/>
      <c r="L2088" s="136"/>
      <c r="M2088" s="136">
        <v>2594</v>
      </c>
      <c r="N2088" s="136">
        <v>1691</v>
      </c>
      <c r="O2088" s="136">
        <v>263</v>
      </c>
      <c r="P2088" s="136" t="s">
        <v>252</v>
      </c>
      <c r="Q2088" s="136">
        <v>250</v>
      </c>
      <c r="R2088" s="136" t="s">
        <v>252</v>
      </c>
      <c r="S2088" s="136">
        <v>171</v>
      </c>
      <c r="T2088" s="136" t="s">
        <v>252</v>
      </c>
      <c r="U2088" s="136">
        <v>172</v>
      </c>
      <c r="V2088" s="136" t="s">
        <v>252</v>
      </c>
      <c r="W2088" s="136">
        <v>131</v>
      </c>
      <c r="X2088" s="136" t="s">
        <v>252</v>
      </c>
      <c r="Y2088" s="136">
        <v>121</v>
      </c>
      <c r="Z2088" s="136" t="s">
        <v>252</v>
      </c>
      <c r="AA2088" s="136">
        <v>83</v>
      </c>
      <c r="AB2088" s="136" t="s">
        <v>252</v>
      </c>
      <c r="AC2088" s="136">
        <v>156</v>
      </c>
      <c r="AD2088" s="136" t="s">
        <v>252</v>
      </c>
      <c r="AE2088" s="136">
        <v>94</v>
      </c>
      <c r="AF2088" s="136" t="s">
        <v>252</v>
      </c>
      <c r="AG2088" s="136">
        <v>143</v>
      </c>
      <c r="AH2088" s="136" t="s">
        <v>252</v>
      </c>
      <c r="AI2088" s="136">
        <v>284</v>
      </c>
      <c r="AJ2088" s="136" t="s">
        <v>252</v>
      </c>
      <c r="AK2088" s="136">
        <v>232</v>
      </c>
      <c r="AL2088" s="136" t="s">
        <v>252</v>
      </c>
      <c r="AM2088" s="136">
        <f t="shared" si="7"/>
        <v>2100</v>
      </c>
    </row>
    <row r="2089" spans="2:39" ht="20.25" hidden="1" outlineLevel="1">
      <c r="B2089" s="149" t="s">
        <v>961</v>
      </c>
      <c r="C2089" s="135" t="s">
        <v>1402</v>
      </c>
      <c r="D2089" s="152" t="s">
        <v>1403</v>
      </c>
      <c r="E2089" s="137" t="s">
        <v>44</v>
      </c>
      <c r="F2089" s="138" t="s">
        <v>45</v>
      </c>
      <c r="G2089" s="136"/>
      <c r="H2089" s="136"/>
      <c r="I2089" s="136"/>
      <c r="J2089" s="136"/>
      <c r="K2089" s="136"/>
      <c r="L2089" s="136"/>
      <c r="M2089" s="136">
        <v>6879</v>
      </c>
      <c r="N2089" s="136">
        <v>8185</v>
      </c>
      <c r="O2089" s="136">
        <v>653</v>
      </c>
      <c r="P2089" s="136" t="s">
        <v>252</v>
      </c>
      <c r="Q2089" s="136">
        <v>736</v>
      </c>
      <c r="R2089" s="136" t="s">
        <v>252</v>
      </c>
      <c r="S2089" s="136">
        <v>568</v>
      </c>
      <c r="T2089" s="136" t="s">
        <v>252</v>
      </c>
      <c r="U2089" s="136">
        <v>608</v>
      </c>
      <c r="V2089" s="136" t="s">
        <v>252</v>
      </c>
      <c r="W2089" s="136">
        <v>537</v>
      </c>
      <c r="X2089" s="136" t="s">
        <v>252</v>
      </c>
      <c r="Y2089" s="136">
        <v>576</v>
      </c>
      <c r="Z2089" s="136" t="s">
        <v>252</v>
      </c>
      <c r="AA2089" s="136">
        <v>508</v>
      </c>
      <c r="AB2089" s="136" t="s">
        <v>252</v>
      </c>
      <c r="AC2089" s="136">
        <v>576</v>
      </c>
      <c r="AD2089" s="136" t="s">
        <v>252</v>
      </c>
      <c r="AE2089" s="136">
        <v>666</v>
      </c>
      <c r="AF2089" s="136" t="s">
        <v>252</v>
      </c>
      <c r="AG2089" s="136">
        <v>456</v>
      </c>
      <c r="AH2089" s="136" t="s">
        <v>252</v>
      </c>
      <c r="AI2089" s="136">
        <v>957</v>
      </c>
      <c r="AJ2089" s="136" t="s">
        <v>252</v>
      </c>
      <c r="AK2089" s="136">
        <v>799</v>
      </c>
      <c r="AL2089" s="136" t="s">
        <v>252</v>
      </c>
      <c r="AM2089" s="136">
        <f t="shared" si="7"/>
        <v>7640</v>
      </c>
    </row>
    <row r="2090" spans="2:39" ht="20.25" hidden="1" outlineLevel="1">
      <c r="B2090" s="149" t="s">
        <v>963</v>
      </c>
      <c r="C2090" s="135" t="s">
        <v>1402</v>
      </c>
      <c r="D2090" s="152"/>
      <c r="E2090" s="137" t="s">
        <v>44</v>
      </c>
      <c r="F2090" s="144" t="s">
        <v>45</v>
      </c>
      <c r="G2090" s="136"/>
      <c r="H2090" s="136"/>
      <c r="I2090" s="136"/>
      <c r="J2090" s="136"/>
      <c r="K2090" s="136"/>
      <c r="L2090" s="136"/>
      <c r="M2090" s="417">
        <v>10585</v>
      </c>
      <c r="N2090" s="417">
        <v>11797</v>
      </c>
      <c r="O2090" s="417">
        <v>1084</v>
      </c>
      <c r="P2090" s="417" t="s">
        <v>252</v>
      </c>
      <c r="Q2090" s="417">
        <v>905</v>
      </c>
      <c r="R2090" s="417" t="s">
        <v>252</v>
      </c>
      <c r="S2090" s="417">
        <v>644</v>
      </c>
      <c r="T2090" s="417" t="s">
        <v>252</v>
      </c>
      <c r="U2090" s="417">
        <v>1115</v>
      </c>
      <c r="V2090" s="136" t="s">
        <v>252</v>
      </c>
      <c r="W2090" s="417">
        <v>838</v>
      </c>
      <c r="X2090" s="417" t="s">
        <v>252</v>
      </c>
      <c r="Y2090" s="417">
        <v>951</v>
      </c>
      <c r="Z2090" s="417" t="s">
        <v>252</v>
      </c>
      <c r="AA2090" s="417">
        <v>886</v>
      </c>
      <c r="AB2090" s="417" t="s">
        <v>252</v>
      </c>
      <c r="AC2090" s="417">
        <v>973</v>
      </c>
      <c r="AD2090" s="417" t="s">
        <v>252</v>
      </c>
      <c r="AE2090" s="417">
        <v>984</v>
      </c>
      <c r="AF2090" s="417" t="s">
        <v>252</v>
      </c>
      <c r="AG2090" s="417">
        <v>1048</v>
      </c>
      <c r="AH2090" s="417" t="s">
        <v>252</v>
      </c>
      <c r="AI2090" s="417">
        <v>945</v>
      </c>
      <c r="AJ2090" s="417" t="s">
        <v>252</v>
      </c>
      <c r="AK2090" s="417">
        <v>1045</v>
      </c>
      <c r="AL2090" s="417" t="s">
        <v>252</v>
      </c>
      <c r="AM2090" s="417">
        <f t="shared" si="7"/>
        <v>11418</v>
      </c>
    </row>
    <row r="2091" spans="2:39" ht="20.25" hidden="1" outlineLevel="1">
      <c r="B2091" s="149" t="s">
        <v>964</v>
      </c>
      <c r="C2091" s="135" t="s">
        <v>1402</v>
      </c>
      <c r="D2091" s="152" t="s">
        <v>1403</v>
      </c>
      <c r="E2091" s="137" t="s">
        <v>44</v>
      </c>
      <c r="F2091" s="144" t="s">
        <v>45</v>
      </c>
      <c r="G2091" s="136"/>
      <c r="H2091" s="136"/>
      <c r="I2091" s="136"/>
      <c r="J2091" s="136"/>
      <c r="K2091" s="136"/>
      <c r="L2091" s="136"/>
      <c r="M2091" s="418"/>
      <c r="N2091" s="418"/>
      <c r="O2091" s="418"/>
      <c r="P2091" s="418"/>
      <c r="Q2091" s="418"/>
      <c r="R2091" s="418"/>
      <c r="S2091" s="418"/>
      <c r="T2091" s="418"/>
      <c r="U2091" s="418"/>
      <c r="V2091" s="136" t="s">
        <v>252</v>
      </c>
      <c r="W2091" s="418"/>
      <c r="X2091" s="418"/>
      <c r="Y2091" s="418"/>
      <c r="Z2091" s="418"/>
      <c r="AA2091" s="418"/>
      <c r="AB2091" s="418"/>
      <c r="AC2091" s="418"/>
      <c r="AD2091" s="418"/>
      <c r="AE2091" s="418"/>
      <c r="AF2091" s="418"/>
      <c r="AG2091" s="418"/>
      <c r="AH2091" s="418"/>
      <c r="AI2091" s="418"/>
      <c r="AJ2091" s="418"/>
      <c r="AK2091" s="418"/>
      <c r="AL2091" s="418"/>
      <c r="AM2091" s="418"/>
    </row>
    <row r="2092" spans="2:39" ht="20.25" hidden="1" outlineLevel="1">
      <c r="B2092" s="149" t="s">
        <v>965</v>
      </c>
      <c r="C2092" s="135" t="s">
        <v>1402</v>
      </c>
      <c r="D2092" s="152" t="s">
        <v>1403</v>
      </c>
      <c r="E2092" s="137" t="s">
        <v>44</v>
      </c>
      <c r="F2092" s="144" t="s">
        <v>45</v>
      </c>
      <c r="G2092" s="136"/>
      <c r="H2092" s="136"/>
      <c r="I2092" s="136"/>
      <c r="J2092" s="136"/>
      <c r="K2092" s="136"/>
      <c r="L2092" s="136"/>
      <c r="M2092" s="136">
        <v>2912</v>
      </c>
      <c r="N2092" s="136">
        <v>3206</v>
      </c>
      <c r="O2092" s="136">
        <v>200</v>
      </c>
      <c r="P2092" s="136" t="s">
        <v>252</v>
      </c>
      <c r="Q2092" s="136">
        <v>211</v>
      </c>
      <c r="R2092" s="136" t="s">
        <v>252</v>
      </c>
      <c r="S2092" s="136">
        <v>214</v>
      </c>
      <c r="T2092" s="136" t="s">
        <v>252</v>
      </c>
      <c r="U2092" s="136">
        <v>262</v>
      </c>
      <c r="V2092" s="136" t="s">
        <v>252</v>
      </c>
      <c r="W2092" s="136">
        <v>233</v>
      </c>
      <c r="X2092" s="136" t="s">
        <v>252</v>
      </c>
      <c r="Y2092" s="136">
        <v>94</v>
      </c>
      <c r="Z2092" s="136" t="s">
        <v>252</v>
      </c>
      <c r="AA2092" s="136">
        <v>113</v>
      </c>
      <c r="AB2092" s="136" t="s">
        <v>252</v>
      </c>
      <c r="AC2092" s="136">
        <v>127</v>
      </c>
      <c r="AD2092" s="136" t="s">
        <v>252</v>
      </c>
      <c r="AE2092" s="136">
        <v>138</v>
      </c>
      <c r="AF2092" s="136" t="s">
        <v>252</v>
      </c>
      <c r="AG2092" s="136">
        <v>131</v>
      </c>
      <c r="AH2092" s="136" t="s">
        <v>252</v>
      </c>
      <c r="AI2092" s="136">
        <v>237</v>
      </c>
      <c r="AJ2092" s="136" t="s">
        <v>252</v>
      </c>
      <c r="AK2092" s="136">
        <v>168</v>
      </c>
      <c r="AL2092" s="136" t="s">
        <v>252</v>
      </c>
      <c r="AM2092" s="136">
        <f t="shared" ref="AM2092:AM2124" si="8">O2092+Q2092+S2092+U2092+W2092+Y2092+AA2092+AC2092+AE2092+AG2092+AI2092+AK2092</f>
        <v>2128</v>
      </c>
    </row>
    <row r="2093" spans="2:39" ht="20.25" hidden="1" outlineLevel="1">
      <c r="B2093" s="149" t="s">
        <v>966</v>
      </c>
      <c r="C2093" s="135" t="s">
        <v>1402</v>
      </c>
      <c r="D2093" s="152" t="s">
        <v>1403</v>
      </c>
      <c r="E2093" s="143" t="s">
        <v>138</v>
      </c>
      <c r="F2093" s="144" t="s">
        <v>45</v>
      </c>
      <c r="G2093" s="136"/>
      <c r="H2093" s="136"/>
      <c r="I2093" s="136"/>
      <c r="J2093" s="136"/>
      <c r="K2093" s="136"/>
      <c r="L2093" s="136"/>
      <c r="M2093" s="136">
        <v>1807</v>
      </c>
      <c r="N2093" s="136">
        <v>1201</v>
      </c>
      <c r="O2093" s="136">
        <v>62</v>
      </c>
      <c r="P2093" s="136" t="s">
        <v>252</v>
      </c>
      <c r="Q2093" s="136">
        <v>106</v>
      </c>
      <c r="R2093" s="136" t="s">
        <v>252</v>
      </c>
      <c r="S2093" s="136">
        <v>86</v>
      </c>
      <c r="T2093" s="136" t="s">
        <v>252</v>
      </c>
      <c r="U2093" s="136">
        <v>85</v>
      </c>
      <c r="V2093" s="136" t="s">
        <v>252</v>
      </c>
      <c r="W2093" s="136">
        <v>83</v>
      </c>
      <c r="X2093" s="136" t="s">
        <v>252</v>
      </c>
      <c r="Y2093" s="136">
        <v>220</v>
      </c>
      <c r="Z2093" s="136" t="s">
        <v>252</v>
      </c>
      <c r="AA2093" s="136">
        <v>309</v>
      </c>
      <c r="AB2093" s="136" t="s">
        <v>252</v>
      </c>
      <c r="AC2093" s="136">
        <v>61</v>
      </c>
      <c r="AD2093" s="136" t="s">
        <v>252</v>
      </c>
      <c r="AE2093" s="136">
        <v>85</v>
      </c>
      <c r="AF2093" s="136" t="s">
        <v>252</v>
      </c>
      <c r="AG2093" s="136">
        <v>55</v>
      </c>
      <c r="AH2093" s="136" t="s">
        <v>252</v>
      </c>
      <c r="AI2093" s="136">
        <v>121</v>
      </c>
      <c r="AJ2093" s="136" t="s">
        <v>252</v>
      </c>
      <c r="AK2093" s="136">
        <v>97</v>
      </c>
      <c r="AL2093" s="136" t="s">
        <v>252</v>
      </c>
      <c r="AM2093" s="136">
        <f t="shared" si="8"/>
        <v>1370</v>
      </c>
    </row>
    <row r="2094" spans="2:39" ht="20.25" hidden="1" outlineLevel="1">
      <c r="B2094" s="149" t="s">
        <v>966</v>
      </c>
      <c r="C2094" s="135" t="s">
        <v>1402</v>
      </c>
      <c r="D2094" s="152" t="s">
        <v>1403</v>
      </c>
      <c r="E2094" s="137" t="s">
        <v>44</v>
      </c>
      <c r="F2094" s="138" t="s">
        <v>45</v>
      </c>
      <c r="G2094" s="136"/>
      <c r="H2094" s="136"/>
      <c r="I2094" s="136"/>
      <c r="J2094" s="136"/>
      <c r="K2094" s="136"/>
      <c r="L2094" s="136"/>
      <c r="M2094" s="136">
        <v>7236</v>
      </c>
      <c r="N2094" s="136">
        <v>5748</v>
      </c>
      <c r="O2094" s="136">
        <v>440</v>
      </c>
      <c r="P2094" s="136" t="s">
        <v>252</v>
      </c>
      <c r="Q2094" s="136">
        <v>472</v>
      </c>
      <c r="R2094" s="136" t="s">
        <v>252</v>
      </c>
      <c r="S2094" s="136">
        <v>358</v>
      </c>
      <c r="T2094" s="136" t="s">
        <v>252</v>
      </c>
      <c r="U2094" s="136">
        <v>407</v>
      </c>
      <c r="V2094" s="136" t="s">
        <v>252</v>
      </c>
      <c r="W2094" s="136">
        <v>348</v>
      </c>
      <c r="X2094" s="136" t="s">
        <v>252</v>
      </c>
      <c r="Y2094" s="136">
        <v>334</v>
      </c>
      <c r="Z2094" s="136" t="s">
        <v>252</v>
      </c>
      <c r="AA2094" s="136">
        <v>90</v>
      </c>
      <c r="AB2094" s="136" t="s">
        <v>252</v>
      </c>
      <c r="AC2094" s="136">
        <v>396</v>
      </c>
      <c r="AD2094" s="136" t="s">
        <v>252</v>
      </c>
      <c r="AE2094" s="136">
        <v>504</v>
      </c>
      <c r="AF2094" s="136" t="s">
        <v>252</v>
      </c>
      <c r="AG2094" s="136">
        <v>314</v>
      </c>
      <c r="AH2094" s="136" t="s">
        <v>252</v>
      </c>
      <c r="AI2094" s="136">
        <v>662</v>
      </c>
      <c r="AJ2094" s="136" t="s">
        <v>252</v>
      </c>
      <c r="AK2094" s="136">
        <v>504</v>
      </c>
      <c r="AL2094" s="136" t="s">
        <v>252</v>
      </c>
      <c r="AM2094" s="136">
        <f t="shared" si="8"/>
        <v>4829</v>
      </c>
    </row>
    <row r="2095" spans="2:39" ht="20.25" hidden="1" outlineLevel="1">
      <c r="B2095" s="149" t="s">
        <v>969</v>
      </c>
      <c r="C2095" s="135" t="s">
        <v>1402</v>
      </c>
      <c r="D2095" s="152" t="s">
        <v>1403</v>
      </c>
      <c r="E2095" s="137" t="s">
        <v>44</v>
      </c>
      <c r="F2095" s="138" t="s">
        <v>45</v>
      </c>
      <c r="G2095" s="136"/>
      <c r="H2095" s="136"/>
      <c r="I2095" s="136"/>
      <c r="J2095" s="136"/>
      <c r="K2095" s="136"/>
      <c r="L2095" s="136"/>
      <c r="M2095" s="136">
        <v>5012</v>
      </c>
      <c r="N2095" s="136">
        <v>4111</v>
      </c>
      <c r="O2095" s="136">
        <v>382</v>
      </c>
      <c r="P2095" s="136" t="s">
        <v>252</v>
      </c>
      <c r="Q2095" s="136">
        <v>330</v>
      </c>
      <c r="R2095" s="136" t="s">
        <v>252</v>
      </c>
      <c r="S2095" s="136">
        <v>230</v>
      </c>
      <c r="T2095" s="136" t="s">
        <v>252</v>
      </c>
      <c r="U2095" s="136">
        <v>317</v>
      </c>
      <c r="V2095" s="136" t="s">
        <v>252</v>
      </c>
      <c r="W2095" s="136">
        <v>340</v>
      </c>
      <c r="X2095" s="136" t="s">
        <v>252</v>
      </c>
      <c r="Y2095" s="136">
        <v>300</v>
      </c>
      <c r="Z2095" s="136" t="s">
        <v>252</v>
      </c>
      <c r="AA2095" s="136">
        <v>300</v>
      </c>
      <c r="AB2095" s="136" t="s">
        <v>252</v>
      </c>
      <c r="AC2095" s="136">
        <v>290</v>
      </c>
      <c r="AD2095" s="136" t="s">
        <v>252</v>
      </c>
      <c r="AE2095" s="136">
        <v>290</v>
      </c>
      <c r="AF2095" s="136" t="s">
        <v>252</v>
      </c>
      <c r="AG2095" s="136">
        <v>216</v>
      </c>
      <c r="AH2095" s="136" t="s">
        <v>252</v>
      </c>
      <c r="AI2095" s="136">
        <v>435</v>
      </c>
      <c r="AJ2095" s="136" t="s">
        <v>252</v>
      </c>
      <c r="AK2095" s="136">
        <v>483</v>
      </c>
      <c r="AL2095" s="136" t="s">
        <v>252</v>
      </c>
      <c r="AM2095" s="136">
        <f t="shared" si="8"/>
        <v>3913</v>
      </c>
    </row>
    <row r="2096" spans="2:39" ht="20.25" hidden="1" outlineLevel="1">
      <c r="B2096" s="149" t="s">
        <v>971</v>
      </c>
      <c r="C2096" s="135" t="s">
        <v>1402</v>
      </c>
      <c r="D2096" s="152" t="s">
        <v>1403</v>
      </c>
      <c r="E2096" s="143" t="s">
        <v>138</v>
      </c>
      <c r="F2096" s="138" t="s">
        <v>45</v>
      </c>
      <c r="G2096" s="136"/>
      <c r="H2096" s="136"/>
      <c r="I2096" s="136"/>
      <c r="J2096" s="136"/>
      <c r="K2096" s="136"/>
      <c r="L2096" s="136"/>
      <c r="M2096" s="136">
        <v>2477</v>
      </c>
      <c r="N2096" s="136">
        <v>2708</v>
      </c>
      <c r="O2096" s="136">
        <v>117</v>
      </c>
      <c r="P2096" s="136" t="s">
        <v>252</v>
      </c>
      <c r="Q2096" s="136">
        <v>170</v>
      </c>
      <c r="R2096" s="136" t="s">
        <v>252</v>
      </c>
      <c r="S2096" s="136">
        <v>139</v>
      </c>
      <c r="T2096" s="136" t="s">
        <v>252</v>
      </c>
      <c r="U2096" s="136">
        <v>138</v>
      </c>
      <c r="V2096" s="136" t="s">
        <v>252</v>
      </c>
      <c r="W2096" s="136">
        <v>138</v>
      </c>
      <c r="X2096" s="136" t="s">
        <v>252</v>
      </c>
      <c r="Y2096" s="136">
        <v>156</v>
      </c>
      <c r="Z2096" s="136" t="s">
        <v>252</v>
      </c>
      <c r="AA2096" s="136">
        <v>117</v>
      </c>
      <c r="AB2096" s="136" t="s">
        <v>252</v>
      </c>
      <c r="AC2096" s="136">
        <v>116</v>
      </c>
      <c r="AD2096" s="136" t="s">
        <v>252</v>
      </c>
      <c r="AE2096" s="136">
        <v>391</v>
      </c>
      <c r="AF2096" s="136" t="s">
        <v>252</v>
      </c>
      <c r="AG2096" s="136">
        <v>81</v>
      </c>
      <c r="AH2096" s="136" t="s">
        <v>252</v>
      </c>
      <c r="AI2096" s="136">
        <v>160</v>
      </c>
      <c r="AJ2096" s="136" t="s">
        <v>252</v>
      </c>
      <c r="AK2096" s="136">
        <v>425</v>
      </c>
      <c r="AL2096" s="136" t="s">
        <v>252</v>
      </c>
      <c r="AM2096" s="136">
        <f t="shared" si="8"/>
        <v>2148</v>
      </c>
    </row>
    <row r="2097" spans="2:39" ht="20.25" hidden="1" outlineLevel="1">
      <c r="B2097" s="149" t="s">
        <v>971</v>
      </c>
      <c r="C2097" s="135" t="s">
        <v>1402</v>
      </c>
      <c r="D2097" s="152" t="s">
        <v>1403</v>
      </c>
      <c r="E2097" s="137" t="s">
        <v>44</v>
      </c>
      <c r="F2097" s="138" t="s">
        <v>45</v>
      </c>
      <c r="G2097" s="136"/>
      <c r="H2097" s="136"/>
      <c r="I2097" s="136"/>
      <c r="J2097" s="136"/>
      <c r="K2097" s="136"/>
      <c r="L2097" s="136"/>
      <c r="M2097" s="136">
        <v>5584</v>
      </c>
      <c r="N2097" s="136">
        <v>5879</v>
      </c>
      <c r="O2097" s="136">
        <v>813</v>
      </c>
      <c r="P2097" s="136" t="s">
        <v>252</v>
      </c>
      <c r="Q2097" s="136">
        <v>518</v>
      </c>
      <c r="R2097" s="136" t="s">
        <v>252</v>
      </c>
      <c r="S2097" s="136">
        <v>319</v>
      </c>
      <c r="T2097" s="136" t="s">
        <v>252</v>
      </c>
      <c r="U2097" s="136">
        <v>416</v>
      </c>
      <c r="V2097" s="136" t="s">
        <v>252</v>
      </c>
      <c r="W2097" s="136">
        <v>313</v>
      </c>
      <c r="X2097" s="136" t="s">
        <v>252</v>
      </c>
      <c r="Y2097" s="136">
        <v>215</v>
      </c>
      <c r="Z2097" s="136" t="s">
        <v>252</v>
      </c>
      <c r="AA2097" s="136">
        <v>238</v>
      </c>
      <c r="AB2097" s="136" t="s">
        <v>252</v>
      </c>
      <c r="AC2097" s="136">
        <v>238</v>
      </c>
      <c r="AD2097" s="136" t="s">
        <v>252</v>
      </c>
      <c r="AE2097" s="136">
        <v>135</v>
      </c>
      <c r="AF2097" s="136" t="s">
        <v>252</v>
      </c>
      <c r="AG2097" s="136">
        <v>256</v>
      </c>
      <c r="AH2097" s="136" t="s">
        <v>252</v>
      </c>
      <c r="AI2097" s="136">
        <v>542</v>
      </c>
      <c r="AJ2097" s="136" t="s">
        <v>252</v>
      </c>
      <c r="AK2097" s="136">
        <v>126</v>
      </c>
      <c r="AL2097" s="136" t="s">
        <v>252</v>
      </c>
      <c r="AM2097" s="136">
        <f t="shared" si="8"/>
        <v>4129</v>
      </c>
    </row>
    <row r="2098" spans="2:39" ht="20.25" hidden="1" outlineLevel="1">
      <c r="B2098" s="149" t="s">
        <v>974</v>
      </c>
      <c r="C2098" s="135" t="s">
        <v>1402</v>
      </c>
      <c r="D2098" s="152" t="s">
        <v>1403</v>
      </c>
      <c r="E2098" s="143" t="s">
        <v>138</v>
      </c>
      <c r="F2098" s="138" t="s">
        <v>45</v>
      </c>
      <c r="G2098" s="136"/>
      <c r="H2098" s="136"/>
      <c r="I2098" s="136"/>
      <c r="J2098" s="136"/>
      <c r="K2098" s="136"/>
      <c r="L2098" s="136"/>
      <c r="M2098" s="136">
        <v>2362</v>
      </c>
      <c r="N2098" s="136">
        <v>2504</v>
      </c>
      <c r="O2098" s="136">
        <v>86</v>
      </c>
      <c r="P2098" s="136" t="s">
        <v>252</v>
      </c>
      <c r="Q2098" s="136">
        <v>138</v>
      </c>
      <c r="R2098" s="136" t="s">
        <v>252</v>
      </c>
      <c r="S2098" s="136">
        <v>94</v>
      </c>
      <c r="T2098" s="136" t="s">
        <v>252</v>
      </c>
      <c r="U2098" s="136">
        <v>120</v>
      </c>
      <c r="V2098" s="136" t="s">
        <v>252</v>
      </c>
      <c r="W2098" s="136">
        <v>95</v>
      </c>
      <c r="X2098" s="136" t="s">
        <v>252</v>
      </c>
      <c r="Y2098" s="136">
        <v>118</v>
      </c>
      <c r="Z2098" s="136" t="s">
        <v>252</v>
      </c>
      <c r="AA2098" s="136">
        <v>125</v>
      </c>
      <c r="AB2098" s="136" t="s">
        <v>252</v>
      </c>
      <c r="AC2098" s="136">
        <v>116</v>
      </c>
      <c r="AD2098" s="136" t="s">
        <v>252</v>
      </c>
      <c r="AE2098" s="136">
        <v>131</v>
      </c>
      <c r="AF2098" s="136" t="s">
        <v>252</v>
      </c>
      <c r="AG2098" s="136">
        <v>119</v>
      </c>
      <c r="AH2098" s="136" t="s">
        <v>252</v>
      </c>
      <c r="AI2098" s="136">
        <v>104</v>
      </c>
      <c r="AJ2098" s="136" t="s">
        <v>252</v>
      </c>
      <c r="AK2098" s="136">
        <v>104</v>
      </c>
      <c r="AL2098" s="136" t="s">
        <v>252</v>
      </c>
      <c r="AM2098" s="136">
        <f t="shared" si="8"/>
        <v>1350</v>
      </c>
    </row>
    <row r="2099" spans="2:39" ht="20.25" hidden="1" outlineLevel="1">
      <c r="B2099" s="149" t="s">
        <v>974</v>
      </c>
      <c r="C2099" s="135" t="s">
        <v>1402</v>
      </c>
      <c r="D2099" s="152" t="s">
        <v>1403</v>
      </c>
      <c r="E2099" s="137" t="s">
        <v>44</v>
      </c>
      <c r="F2099" s="138" t="s">
        <v>45</v>
      </c>
      <c r="G2099" s="136"/>
      <c r="H2099" s="136"/>
      <c r="I2099" s="136"/>
      <c r="J2099" s="136"/>
      <c r="K2099" s="136"/>
      <c r="L2099" s="136"/>
      <c r="M2099" s="136">
        <v>17061</v>
      </c>
      <c r="N2099" s="136">
        <v>18460</v>
      </c>
      <c r="O2099" s="136">
        <v>2443</v>
      </c>
      <c r="P2099" s="136" t="s">
        <v>252</v>
      </c>
      <c r="Q2099" s="136">
        <v>2316</v>
      </c>
      <c r="R2099" s="136" t="s">
        <v>252</v>
      </c>
      <c r="S2099" s="136">
        <v>1458</v>
      </c>
      <c r="T2099" s="136" t="s">
        <v>252</v>
      </c>
      <c r="U2099" s="136">
        <v>1884</v>
      </c>
      <c r="V2099" s="136" t="s">
        <v>252</v>
      </c>
      <c r="W2099" s="136">
        <v>1600</v>
      </c>
      <c r="X2099" s="136" t="s">
        <v>252</v>
      </c>
      <c r="Y2099" s="136">
        <v>1597</v>
      </c>
      <c r="Z2099" s="136" t="s">
        <v>252</v>
      </c>
      <c r="AA2099" s="136">
        <v>1511</v>
      </c>
      <c r="AB2099" s="136" t="s">
        <v>252</v>
      </c>
      <c r="AC2099" s="136">
        <v>1620</v>
      </c>
      <c r="AD2099" s="136" t="s">
        <v>252</v>
      </c>
      <c r="AE2099" s="136">
        <v>1901</v>
      </c>
      <c r="AF2099" s="136" t="s">
        <v>252</v>
      </c>
      <c r="AG2099" s="136">
        <v>1889</v>
      </c>
      <c r="AH2099" s="136" t="s">
        <v>252</v>
      </c>
      <c r="AI2099" s="136">
        <v>1974</v>
      </c>
      <c r="AJ2099" s="136" t="s">
        <v>252</v>
      </c>
      <c r="AK2099" s="136">
        <v>1899</v>
      </c>
      <c r="AL2099" s="136" t="s">
        <v>252</v>
      </c>
      <c r="AM2099" s="136">
        <f t="shared" si="8"/>
        <v>22092</v>
      </c>
    </row>
    <row r="2100" spans="2:39" ht="20.25" hidden="1" outlineLevel="1">
      <c r="B2100" s="149" t="s">
        <v>977</v>
      </c>
      <c r="C2100" s="135" t="s">
        <v>1402</v>
      </c>
      <c r="D2100" s="152" t="s">
        <v>1403</v>
      </c>
      <c r="E2100" s="137" t="s">
        <v>44</v>
      </c>
      <c r="F2100" s="138" t="s">
        <v>45</v>
      </c>
      <c r="G2100" s="136"/>
      <c r="H2100" s="136"/>
      <c r="I2100" s="136"/>
      <c r="J2100" s="136"/>
      <c r="K2100" s="136"/>
      <c r="L2100" s="136"/>
      <c r="M2100" s="136">
        <v>6471</v>
      </c>
      <c r="N2100" s="136">
        <v>5915</v>
      </c>
      <c r="O2100" s="136">
        <v>416</v>
      </c>
      <c r="P2100" s="136" t="s">
        <v>252</v>
      </c>
      <c r="Q2100" s="136">
        <v>531</v>
      </c>
      <c r="R2100" s="136" t="s">
        <v>252</v>
      </c>
      <c r="S2100" s="136">
        <v>383</v>
      </c>
      <c r="T2100" s="136" t="s">
        <v>252</v>
      </c>
      <c r="U2100" s="136">
        <v>437</v>
      </c>
      <c r="V2100" s="136" t="s">
        <v>252</v>
      </c>
      <c r="W2100" s="136">
        <v>370</v>
      </c>
      <c r="X2100" s="136" t="s">
        <v>252</v>
      </c>
      <c r="Y2100" s="136">
        <v>471</v>
      </c>
      <c r="Z2100" s="136" t="s">
        <v>252</v>
      </c>
      <c r="AA2100" s="136">
        <v>323</v>
      </c>
      <c r="AB2100" s="136" t="s">
        <v>252</v>
      </c>
      <c r="AC2100" s="136">
        <v>359</v>
      </c>
      <c r="AD2100" s="136" t="s">
        <v>252</v>
      </c>
      <c r="AE2100" s="136">
        <v>427</v>
      </c>
      <c r="AF2100" s="136" t="s">
        <v>252</v>
      </c>
      <c r="AG2100" s="136">
        <v>357</v>
      </c>
      <c r="AH2100" s="136" t="s">
        <v>252</v>
      </c>
      <c r="AI2100" s="136">
        <v>639</v>
      </c>
      <c r="AJ2100" s="136" t="s">
        <v>252</v>
      </c>
      <c r="AK2100" s="136">
        <v>481</v>
      </c>
      <c r="AL2100" s="136" t="s">
        <v>252</v>
      </c>
      <c r="AM2100" s="136">
        <f t="shared" si="8"/>
        <v>5194</v>
      </c>
    </row>
    <row r="2101" spans="2:39" ht="20.25" hidden="1" outlineLevel="1">
      <c r="B2101" s="149" t="s">
        <v>979</v>
      </c>
      <c r="C2101" s="135" t="s">
        <v>1402</v>
      </c>
      <c r="D2101" s="152" t="s">
        <v>1403</v>
      </c>
      <c r="E2101" s="137" t="s">
        <v>44</v>
      </c>
      <c r="F2101" s="138" t="s">
        <v>45</v>
      </c>
      <c r="G2101" s="136"/>
      <c r="H2101" s="136"/>
      <c r="I2101" s="136"/>
      <c r="J2101" s="136"/>
      <c r="K2101" s="136"/>
      <c r="L2101" s="136"/>
      <c r="M2101" s="136">
        <v>8055</v>
      </c>
      <c r="N2101" s="136">
        <v>5094</v>
      </c>
      <c r="O2101" s="136">
        <v>349</v>
      </c>
      <c r="P2101" s="136" t="s">
        <v>252</v>
      </c>
      <c r="Q2101" s="136">
        <v>378</v>
      </c>
      <c r="R2101" s="136" t="s">
        <v>252</v>
      </c>
      <c r="S2101" s="136">
        <v>252</v>
      </c>
      <c r="T2101" s="136" t="s">
        <v>252</v>
      </c>
      <c r="U2101" s="136">
        <v>322</v>
      </c>
      <c r="V2101" s="136" t="s">
        <v>252</v>
      </c>
      <c r="W2101" s="136">
        <v>461</v>
      </c>
      <c r="X2101" s="136" t="s">
        <v>252</v>
      </c>
      <c r="Y2101" s="136">
        <v>495</v>
      </c>
      <c r="Z2101" s="136" t="s">
        <v>252</v>
      </c>
      <c r="AA2101" s="136">
        <v>147</v>
      </c>
      <c r="AB2101" s="136" t="s">
        <v>252</v>
      </c>
      <c r="AC2101" s="136">
        <v>131</v>
      </c>
      <c r="AD2101" s="136" t="s">
        <v>252</v>
      </c>
      <c r="AE2101" s="136">
        <v>149</v>
      </c>
      <c r="AF2101" s="136" t="s">
        <v>252</v>
      </c>
      <c r="AG2101" s="136">
        <v>152</v>
      </c>
      <c r="AH2101" s="136" t="s">
        <v>252</v>
      </c>
      <c r="AI2101" s="136">
        <v>229</v>
      </c>
      <c r="AJ2101" s="136" t="s">
        <v>252</v>
      </c>
      <c r="AK2101" s="136">
        <v>325</v>
      </c>
      <c r="AL2101" s="136" t="s">
        <v>252</v>
      </c>
      <c r="AM2101" s="136">
        <f t="shared" si="8"/>
        <v>3390</v>
      </c>
    </row>
    <row r="2102" spans="2:39" ht="20.25" hidden="1" outlineLevel="1">
      <c r="B2102" s="149" t="s">
        <v>981</v>
      </c>
      <c r="C2102" s="135" t="s">
        <v>1402</v>
      </c>
      <c r="D2102" s="152" t="s">
        <v>1403</v>
      </c>
      <c r="E2102" s="137" t="s">
        <v>44</v>
      </c>
      <c r="F2102" s="138" t="s">
        <v>45</v>
      </c>
      <c r="G2102" s="136"/>
      <c r="H2102" s="136"/>
      <c r="I2102" s="136"/>
      <c r="J2102" s="136"/>
      <c r="K2102" s="136"/>
      <c r="L2102" s="136"/>
      <c r="M2102" s="419">
        <v>5177</v>
      </c>
      <c r="N2102" s="419">
        <v>6205</v>
      </c>
      <c r="O2102" s="419">
        <v>464</v>
      </c>
      <c r="P2102" s="419" t="s">
        <v>252</v>
      </c>
      <c r="Q2102" s="419">
        <v>622</v>
      </c>
      <c r="R2102" s="419" t="s">
        <v>252</v>
      </c>
      <c r="S2102" s="419">
        <v>451</v>
      </c>
      <c r="T2102" s="419" t="s">
        <v>252</v>
      </c>
      <c r="U2102" s="419">
        <v>411</v>
      </c>
      <c r="V2102" s="419" t="s">
        <v>252</v>
      </c>
      <c r="W2102" s="419">
        <v>301</v>
      </c>
      <c r="X2102" s="419" t="s">
        <v>252</v>
      </c>
      <c r="Y2102" s="419">
        <v>367</v>
      </c>
      <c r="Z2102" s="419" t="s">
        <v>252</v>
      </c>
      <c r="AA2102" s="419">
        <v>303</v>
      </c>
      <c r="AB2102" s="419" t="s">
        <v>252</v>
      </c>
      <c r="AC2102" s="419">
        <v>250</v>
      </c>
      <c r="AD2102" s="419" t="s">
        <v>252</v>
      </c>
      <c r="AE2102" s="419">
        <v>250</v>
      </c>
      <c r="AF2102" s="419" t="s">
        <v>252</v>
      </c>
      <c r="AG2102" s="419">
        <v>250</v>
      </c>
      <c r="AH2102" s="419" t="s">
        <v>252</v>
      </c>
      <c r="AI2102" s="419">
        <v>250</v>
      </c>
      <c r="AJ2102" s="419" t="s">
        <v>252</v>
      </c>
      <c r="AK2102" s="419">
        <v>250</v>
      </c>
      <c r="AL2102" s="419" t="s">
        <v>252</v>
      </c>
      <c r="AM2102" s="417">
        <f t="shared" si="8"/>
        <v>4169</v>
      </c>
    </row>
    <row r="2103" spans="2:39" ht="20.25" hidden="1" outlineLevel="1">
      <c r="B2103" s="149" t="s">
        <v>982</v>
      </c>
      <c r="C2103" s="135" t="s">
        <v>1402</v>
      </c>
      <c r="D2103" s="152" t="s">
        <v>1403</v>
      </c>
      <c r="E2103" s="137" t="s">
        <v>44</v>
      </c>
      <c r="F2103" s="138" t="s">
        <v>45</v>
      </c>
      <c r="G2103" s="136"/>
      <c r="H2103" s="136"/>
      <c r="I2103" s="136"/>
      <c r="J2103" s="136"/>
      <c r="K2103" s="136"/>
      <c r="L2103" s="136"/>
      <c r="M2103" s="431"/>
      <c r="N2103" s="431"/>
      <c r="O2103" s="431"/>
      <c r="P2103" s="431"/>
      <c r="Q2103" s="431"/>
      <c r="R2103" s="431"/>
      <c r="S2103" s="431"/>
      <c r="T2103" s="431"/>
      <c r="U2103" s="431"/>
      <c r="V2103" s="431"/>
      <c r="W2103" s="431"/>
      <c r="X2103" s="431"/>
      <c r="Y2103" s="431"/>
      <c r="Z2103" s="431"/>
      <c r="AA2103" s="431"/>
      <c r="AB2103" s="431"/>
      <c r="AC2103" s="431"/>
      <c r="AD2103" s="431"/>
      <c r="AE2103" s="431"/>
      <c r="AF2103" s="431"/>
      <c r="AG2103" s="431"/>
      <c r="AH2103" s="431"/>
      <c r="AI2103" s="431"/>
      <c r="AJ2103" s="431"/>
      <c r="AK2103" s="431"/>
      <c r="AL2103" s="431"/>
      <c r="AM2103" s="432"/>
    </row>
    <row r="2104" spans="2:39" ht="20.25" hidden="1" outlineLevel="1">
      <c r="B2104" s="149" t="s">
        <v>983</v>
      </c>
      <c r="C2104" s="135" t="s">
        <v>1402</v>
      </c>
      <c r="D2104" s="152" t="s">
        <v>1403</v>
      </c>
      <c r="E2104" s="137" t="s">
        <v>44</v>
      </c>
      <c r="F2104" s="138" t="s">
        <v>45</v>
      </c>
      <c r="G2104" s="136"/>
      <c r="H2104" s="136"/>
      <c r="I2104" s="136"/>
      <c r="J2104" s="136"/>
      <c r="K2104" s="136"/>
      <c r="L2104" s="136"/>
      <c r="M2104" s="420"/>
      <c r="N2104" s="420"/>
      <c r="O2104" s="420"/>
      <c r="P2104" s="420"/>
      <c r="Q2104" s="420"/>
      <c r="R2104" s="420"/>
      <c r="S2104" s="420"/>
      <c r="T2104" s="420"/>
      <c r="U2104" s="420"/>
      <c r="V2104" s="420"/>
      <c r="W2104" s="420"/>
      <c r="X2104" s="420"/>
      <c r="Y2104" s="420"/>
      <c r="Z2104" s="420"/>
      <c r="AA2104" s="420"/>
      <c r="AB2104" s="420"/>
      <c r="AC2104" s="420"/>
      <c r="AD2104" s="420"/>
      <c r="AE2104" s="420"/>
      <c r="AF2104" s="420"/>
      <c r="AG2104" s="420"/>
      <c r="AH2104" s="420"/>
      <c r="AI2104" s="420"/>
      <c r="AJ2104" s="420"/>
      <c r="AK2104" s="420"/>
      <c r="AL2104" s="420"/>
      <c r="AM2104" s="418"/>
    </row>
    <row r="2105" spans="2:39" ht="20.25" hidden="1" outlineLevel="1">
      <c r="B2105" s="149" t="s">
        <v>984</v>
      </c>
      <c r="C2105" s="135" t="s">
        <v>1404</v>
      </c>
      <c r="D2105" s="152" t="s">
        <v>1403</v>
      </c>
      <c r="E2105" s="137" t="s">
        <v>44</v>
      </c>
      <c r="F2105" s="138" t="s">
        <v>45</v>
      </c>
      <c r="G2105" s="136"/>
      <c r="H2105" s="136"/>
      <c r="I2105" s="136"/>
      <c r="J2105" s="136"/>
      <c r="K2105" s="136"/>
      <c r="L2105" s="136"/>
      <c r="M2105" s="136"/>
      <c r="N2105" s="136"/>
      <c r="O2105" s="136"/>
      <c r="P2105" s="136"/>
      <c r="Q2105" s="136"/>
      <c r="R2105" s="136"/>
      <c r="S2105" s="136"/>
      <c r="T2105" s="136"/>
      <c r="U2105" s="136"/>
      <c r="V2105" s="136"/>
      <c r="W2105" s="136"/>
      <c r="X2105" s="136"/>
      <c r="Y2105" s="136"/>
      <c r="Z2105" s="136"/>
      <c r="AA2105" s="136"/>
      <c r="AB2105" s="136"/>
      <c r="AC2105" s="136"/>
      <c r="AD2105" s="136"/>
      <c r="AE2105" s="136"/>
      <c r="AF2105" s="136"/>
      <c r="AG2105" s="136"/>
      <c r="AH2105" s="136"/>
      <c r="AI2105" s="136"/>
      <c r="AJ2105" s="136"/>
      <c r="AK2105" s="136"/>
      <c r="AL2105" s="136"/>
      <c r="AM2105" s="136">
        <f t="shared" si="8"/>
        <v>0</v>
      </c>
    </row>
    <row r="2106" spans="2:39" ht="20.25" hidden="1" outlineLevel="1">
      <c r="B2106" s="149" t="s">
        <v>986</v>
      </c>
      <c r="C2106" s="135" t="s">
        <v>1402</v>
      </c>
      <c r="D2106" s="152" t="s">
        <v>1403</v>
      </c>
      <c r="E2106" s="137" t="s">
        <v>44</v>
      </c>
      <c r="F2106" s="138" t="s">
        <v>45</v>
      </c>
      <c r="G2106" s="136"/>
      <c r="H2106" s="136"/>
      <c r="I2106" s="136"/>
      <c r="J2106" s="136"/>
      <c r="K2106" s="136"/>
      <c r="L2106" s="136"/>
      <c r="M2106" s="136">
        <v>1796</v>
      </c>
      <c r="N2106" s="136">
        <v>1831</v>
      </c>
      <c r="O2106" s="136">
        <v>144</v>
      </c>
      <c r="P2106" s="136" t="s">
        <v>259</v>
      </c>
      <c r="Q2106" s="136">
        <v>175</v>
      </c>
      <c r="R2106" s="136" t="s">
        <v>259</v>
      </c>
      <c r="S2106" s="136">
        <v>132</v>
      </c>
      <c r="T2106" s="136" t="s">
        <v>259</v>
      </c>
      <c r="U2106" s="136">
        <v>136</v>
      </c>
      <c r="V2106" s="136" t="s">
        <v>259</v>
      </c>
      <c r="W2106" s="136">
        <v>107</v>
      </c>
      <c r="X2106" s="136" t="s">
        <v>259</v>
      </c>
      <c r="Y2106" s="136">
        <v>101</v>
      </c>
      <c r="Z2106" s="136" t="s">
        <v>259</v>
      </c>
      <c r="AA2106" s="136">
        <v>64</v>
      </c>
      <c r="AB2106" s="136" t="s">
        <v>259</v>
      </c>
      <c r="AC2106" s="136">
        <v>126</v>
      </c>
      <c r="AD2106" s="136" t="s">
        <v>259</v>
      </c>
      <c r="AE2106" s="136">
        <v>50</v>
      </c>
      <c r="AF2106" s="136" t="s">
        <v>259</v>
      </c>
      <c r="AG2106" s="136">
        <v>167</v>
      </c>
      <c r="AH2106" s="136" t="s">
        <v>259</v>
      </c>
      <c r="AI2106" s="136">
        <v>174</v>
      </c>
      <c r="AJ2106" s="136" t="s">
        <v>259</v>
      </c>
      <c r="AK2106" s="136">
        <v>187</v>
      </c>
      <c r="AL2106" s="136" t="s">
        <v>259</v>
      </c>
      <c r="AM2106" s="136">
        <f t="shared" si="8"/>
        <v>1563</v>
      </c>
    </row>
    <row r="2107" spans="2:39" ht="20.25" hidden="1" outlineLevel="1">
      <c r="B2107" s="149" t="s">
        <v>987</v>
      </c>
      <c r="C2107" s="136" t="s">
        <v>1412</v>
      </c>
      <c r="D2107" s="152"/>
      <c r="E2107" s="137" t="s">
        <v>44</v>
      </c>
      <c r="F2107" s="138" t="s">
        <v>45</v>
      </c>
      <c r="G2107" s="136"/>
      <c r="H2107" s="136"/>
      <c r="I2107" s="136"/>
      <c r="J2107" s="136"/>
      <c r="K2107" s="136"/>
      <c r="L2107" s="136"/>
      <c r="M2107" s="136"/>
      <c r="N2107" s="136"/>
      <c r="O2107" s="136"/>
      <c r="P2107" s="136"/>
      <c r="Q2107" s="136"/>
      <c r="R2107" s="136"/>
      <c r="S2107" s="136"/>
      <c r="T2107" s="136"/>
      <c r="U2107" s="136"/>
      <c r="V2107" s="136"/>
      <c r="W2107" s="136"/>
      <c r="X2107" s="136"/>
      <c r="Y2107" s="136"/>
      <c r="Z2107" s="136"/>
      <c r="AA2107" s="136"/>
      <c r="AB2107" s="136"/>
      <c r="AC2107" s="136"/>
      <c r="AD2107" s="136"/>
      <c r="AE2107" s="136"/>
      <c r="AF2107" s="136"/>
      <c r="AG2107" s="136"/>
      <c r="AH2107" s="136"/>
      <c r="AI2107" s="136"/>
      <c r="AJ2107" s="136"/>
      <c r="AK2107" s="136"/>
      <c r="AL2107" s="136"/>
      <c r="AM2107" s="136">
        <f t="shared" si="8"/>
        <v>0</v>
      </c>
    </row>
    <row r="2108" spans="2:39" ht="20.25" hidden="1" outlineLevel="1">
      <c r="B2108" s="149" t="s">
        <v>990</v>
      </c>
      <c r="C2108" s="135" t="s">
        <v>1402</v>
      </c>
      <c r="D2108" s="152" t="s">
        <v>1403</v>
      </c>
      <c r="E2108" s="137" t="s">
        <v>44</v>
      </c>
      <c r="F2108" s="138" t="s">
        <v>45</v>
      </c>
      <c r="G2108" s="136"/>
      <c r="H2108" s="136"/>
      <c r="I2108" s="136"/>
      <c r="J2108" s="136"/>
      <c r="K2108" s="136"/>
      <c r="L2108" s="136"/>
      <c r="M2108" s="136">
        <v>9563</v>
      </c>
      <c r="N2108" s="136">
        <v>6550</v>
      </c>
      <c r="O2108" s="136">
        <v>615</v>
      </c>
      <c r="P2108" s="136" t="s">
        <v>252</v>
      </c>
      <c r="Q2108" s="136">
        <v>569</v>
      </c>
      <c r="R2108" s="136" t="s">
        <v>252</v>
      </c>
      <c r="S2108" s="136">
        <v>421</v>
      </c>
      <c r="T2108" s="136" t="s">
        <v>252</v>
      </c>
      <c r="U2108" s="136">
        <v>535</v>
      </c>
      <c r="V2108" s="136" t="s">
        <v>252</v>
      </c>
      <c r="W2108" s="136">
        <v>341</v>
      </c>
      <c r="X2108" s="136" t="s">
        <v>252</v>
      </c>
      <c r="Y2108" s="136">
        <v>256</v>
      </c>
      <c r="Z2108" s="136" t="s">
        <v>252</v>
      </c>
      <c r="AA2108" s="136">
        <v>198</v>
      </c>
      <c r="AB2108" s="136" t="s">
        <v>252</v>
      </c>
      <c r="AC2108" s="136">
        <v>193</v>
      </c>
      <c r="AD2108" s="136" t="s">
        <v>252</v>
      </c>
      <c r="AE2108" s="136">
        <v>314</v>
      </c>
      <c r="AF2108" s="136" t="s">
        <v>252</v>
      </c>
      <c r="AG2108" s="136">
        <v>425</v>
      </c>
      <c r="AH2108" s="136" t="s">
        <v>252</v>
      </c>
      <c r="AI2108" s="136">
        <v>704</v>
      </c>
      <c r="AJ2108" s="136" t="s">
        <v>252</v>
      </c>
      <c r="AK2108" s="136">
        <v>833</v>
      </c>
      <c r="AL2108" s="136" t="s">
        <v>252</v>
      </c>
      <c r="AM2108" s="136">
        <f t="shared" si="8"/>
        <v>5404</v>
      </c>
    </row>
    <row r="2109" spans="2:39" ht="20.25" hidden="1" outlineLevel="1">
      <c r="B2109" s="149" t="s">
        <v>993</v>
      </c>
      <c r="C2109" s="135" t="s">
        <v>1402</v>
      </c>
      <c r="D2109" s="152" t="s">
        <v>1413</v>
      </c>
      <c r="E2109" s="137" t="s">
        <v>44</v>
      </c>
      <c r="F2109" s="138" t="s">
        <v>45</v>
      </c>
      <c r="G2109" s="136"/>
      <c r="H2109" s="136"/>
      <c r="I2109" s="136"/>
      <c r="J2109" s="136"/>
      <c r="K2109" s="136"/>
      <c r="L2109" s="136"/>
      <c r="M2109" s="142" t="s">
        <v>1414</v>
      </c>
      <c r="N2109" s="142" t="s">
        <v>1415</v>
      </c>
      <c r="O2109" s="142">
        <v>1723</v>
      </c>
      <c r="P2109" s="136" t="s">
        <v>252</v>
      </c>
      <c r="Q2109" s="142">
        <v>1213</v>
      </c>
      <c r="R2109" s="136" t="s">
        <v>252</v>
      </c>
      <c r="S2109" s="142">
        <v>1190</v>
      </c>
      <c r="T2109" s="136" t="s">
        <v>252</v>
      </c>
      <c r="U2109" s="142">
        <v>1615</v>
      </c>
      <c r="V2109" s="136" t="s">
        <v>252</v>
      </c>
      <c r="W2109" s="142">
        <v>1251</v>
      </c>
      <c r="X2109" s="136" t="s">
        <v>252</v>
      </c>
      <c r="Y2109" s="142">
        <v>1295</v>
      </c>
      <c r="Z2109" s="136" t="s">
        <v>252</v>
      </c>
      <c r="AA2109" s="142">
        <v>1291</v>
      </c>
      <c r="AB2109" s="136" t="s">
        <v>252</v>
      </c>
      <c r="AC2109" s="142">
        <v>912</v>
      </c>
      <c r="AD2109" s="136" t="s">
        <v>252</v>
      </c>
      <c r="AE2109" s="142">
        <v>396</v>
      </c>
      <c r="AF2109" s="136" t="s">
        <v>252</v>
      </c>
      <c r="AG2109" s="142">
        <v>482</v>
      </c>
      <c r="AH2109" s="136" t="s">
        <v>252</v>
      </c>
      <c r="AI2109" s="142">
        <v>527</v>
      </c>
      <c r="AJ2109" s="136" t="s">
        <v>252</v>
      </c>
      <c r="AK2109" s="142">
        <v>515</v>
      </c>
      <c r="AL2109" s="136" t="s">
        <v>252</v>
      </c>
      <c r="AM2109" s="136">
        <f t="shared" si="8"/>
        <v>12410</v>
      </c>
    </row>
    <row r="2110" spans="2:39" ht="20.25" hidden="1" outlineLevel="1">
      <c r="B2110" s="149" t="s">
        <v>996</v>
      </c>
      <c r="C2110" s="135" t="s">
        <v>1402</v>
      </c>
      <c r="D2110" s="152" t="s">
        <v>1403</v>
      </c>
      <c r="E2110" s="137" t="s">
        <v>44</v>
      </c>
      <c r="F2110" s="144" t="s">
        <v>45</v>
      </c>
      <c r="G2110" s="136"/>
      <c r="H2110" s="136"/>
      <c r="I2110" s="136"/>
      <c r="J2110" s="136"/>
      <c r="K2110" s="136"/>
      <c r="L2110" s="136"/>
      <c r="M2110" s="142" t="s">
        <v>1414</v>
      </c>
      <c r="N2110" s="142" t="s">
        <v>1415</v>
      </c>
      <c r="O2110" s="142">
        <f>1458+2926+242</f>
        <v>4626</v>
      </c>
      <c r="P2110" s="136" t="s">
        <v>252</v>
      </c>
      <c r="Q2110" s="142">
        <f>242+2926+1320</f>
        <v>4488</v>
      </c>
      <c r="R2110" s="136" t="s">
        <v>252</v>
      </c>
      <c r="S2110" s="142">
        <f>1458+2926+242</f>
        <v>4626</v>
      </c>
      <c r="T2110" s="136" t="s">
        <v>252</v>
      </c>
      <c r="U2110" s="142">
        <f>2926+242+1411</f>
        <v>4579</v>
      </c>
      <c r="V2110" s="136" t="s">
        <v>252</v>
      </c>
      <c r="W2110" s="142">
        <v>4626</v>
      </c>
      <c r="X2110" s="136" t="s">
        <v>252</v>
      </c>
      <c r="Y2110" s="142">
        <v>4579</v>
      </c>
      <c r="Z2110" s="136" t="s">
        <v>252</v>
      </c>
      <c r="AA2110" s="142">
        <f>1458+2926+242</f>
        <v>4626</v>
      </c>
      <c r="AB2110" s="136" t="s">
        <v>252</v>
      </c>
      <c r="AC2110" s="142">
        <f>1458+2926+242</f>
        <v>4626</v>
      </c>
      <c r="AD2110" s="136" t="s">
        <v>252</v>
      </c>
      <c r="AE2110" s="142">
        <f>2926+242+1411</f>
        <v>4579</v>
      </c>
      <c r="AF2110" s="136" t="s">
        <v>252</v>
      </c>
      <c r="AG2110" s="142">
        <f>242+2926+1458</f>
        <v>4626</v>
      </c>
      <c r="AH2110" s="136" t="s">
        <v>252</v>
      </c>
      <c r="AI2110" s="142">
        <v>4615</v>
      </c>
      <c r="AJ2110" s="136" t="s">
        <v>252</v>
      </c>
      <c r="AK2110" s="142">
        <v>5151</v>
      </c>
      <c r="AL2110" s="136" t="s">
        <v>252</v>
      </c>
      <c r="AM2110" s="136">
        <f t="shared" si="8"/>
        <v>55747</v>
      </c>
    </row>
    <row r="2111" spans="2:39" ht="20.25" hidden="1" outlineLevel="1">
      <c r="B2111" s="149" t="s">
        <v>999</v>
      </c>
      <c r="C2111" s="135" t="s">
        <v>1402</v>
      </c>
      <c r="D2111" s="152" t="s">
        <v>1403</v>
      </c>
      <c r="E2111" s="137" t="s">
        <v>44</v>
      </c>
      <c r="F2111" s="144" t="s">
        <v>45</v>
      </c>
      <c r="G2111" s="136"/>
      <c r="H2111" s="136"/>
      <c r="I2111" s="136"/>
      <c r="J2111" s="136"/>
      <c r="K2111" s="136"/>
      <c r="L2111" s="136"/>
      <c r="M2111" s="136">
        <v>16794</v>
      </c>
      <c r="N2111" s="136">
        <v>17825</v>
      </c>
      <c r="O2111" s="136">
        <v>1691</v>
      </c>
      <c r="P2111" s="136" t="s">
        <v>252</v>
      </c>
      <c r="Q2111" s="136">
        <v>1541</v>
      </c>
      <c r="R2111" s="136" t="s">
        <v>252</v>
      </c>
      <c r="S2111" s="136">
        <v>1134</v>
      </c>
      <c r="T2111" s="136" t="s">
        <v>252</v>
      </c>
      <c r="U2111" s="136">
        <v>1282</v>
      </c>
      <c r="V2111" s="136" t="s">
        <v>252</v>
      </c>
      <c r="W2111" s="136">
        <v>896</v>
      </c>
      <c r="X2111" s="136" t="s">
        <v>252</v>
      </c>
      <c r="Y2111" s="136">
        <v>863</v>
      </c>
      <c r="Z2111" s="136" t="s">
        <v>252</v>
      </c>
      <c r="AA2111" s="136">
        <v>526</v>
      </c>
      <c r="AB2111" s="136" t="s">
        <v>252</v>
      </c>
      <c r="AC2111" s="136">
        <v>661</v>
      </c>
      <c r="AD2111" s="136" t="s">
        <v>252</v>
      </c>
      <c r="AE2111" s="136">
        <v>1005</v>
      </c>
      <c r="AF2111" s="136" t="s">
        <v>252</v>
      </c>
      <c r="AG2111" s="136">
        <v>1359</v>
      </c>
      <c r="AH2111" s="136" t="s">
        <v>252</v>
      </c>
      <c r="AI2111" s="136">
        <v>1232</v>
      </c>
      <c r="AJ2111" s="136" t="s">
        <v>252</v>
      </c>
      <c r="AK2111" s="136">
        <v>1433</v>
      </c>
      <c r="AL2111" s="136" t="s">
        <v>252</v>
      </c>
      <c r="AM2111" s="136">
        <f t="shared" si="8"/>
        <v>13623</v>
      </c>
    </row>
    <row r="2112" spans="2:39" ht="20.25" hidden="1" outlineLevel="1">
      <c r="B2112" s="149" t="s">
        <v>1002</v>
      </c>
      <c r="C2112" s="135" t="s">
        <v>1402</v>
      </c>
      <c r="D2112" s="152" t="s">
        <v>1403</v>
      </c>
      <c r="E2112" s="137" t="s">
        <v>44</v>
      </c>
      <c r="F2112" s="138" t="s">
        <v>45</v>
      </c>
      <c r="G2112" s="136"/>
      <c r="H2112" s="136"/>
      <c r="I2112" s="136"/>
      <c r="J2112" s="136"/>
      <c r="K2112" s="136"/>
      <c r="L2112" s="136"/>
      <c r="M2112" s="136">
        <v>11354</v>
      </c>
      <c r="N2112" s="136">
        <v>9450</v>
      </c>
      <c r="O2112" s="136">
        <v>905</v>
      </c>
      <c r="P2112" s="136" t="s">
        <v>252</v>
      </c>
      <c r="Q2112" s="136">
        <v>918</v>
      </c>
      <c r="R2112" s="136" t="s">
        <v>252</v>
      </c>
      <c r="S2112" s="136">
        <v>721</v>
      </c>
      <c r="T2112" s="136" t="s">
        <v>252</v>
      </c>
      <c r="U2112" s="136">
        <v>812</v>
      </c>
      <c r="V2112" s="136" t="s">
        <v>252</v>
      </c>
      <c r="W2112" s="136">
        <v>758</v>
      </c>
      <c r="X2112" s="136" t="s">
        <v>252</v>
      </c>
      <c r="Y2112" s="136">
        <v>594</v>
      </c>
      <c r="Z2112" s="136" t="s">
        <v>252</v>
      </c>
      <c r="AA2112" s="136">
        <v>411</v>
      </c>
      <c r="AB2112" s="136" t="s">
        <v>252</v>
      </c>
      <c r="AC2112" s="136">
        <v>578</v>
      </c>
      <c r="AD2112" s="136" t="s">
        <v>252</v>
      </c>
      <c r="AE2112" s="136">
        <v>546</v>
      </c>
      <c r="AF2112" s="136" t="s">
        <v>252</v>
      </c>
      <c r="AG2112" s="136">
        <v>683</v>
      </c>
      <c r="AH2112" s="136" t="s">
        <v>252</v>
      </c>
      <c r="AI2112" s="136">
        <v>426</v>
      </c>
      <c r="AJ2112" s="136" t="s">
        <v>252</v>
      </c>
      <c r="AK2112" s="136">
        <v>722</v>
      </c>
      <c r="AL2112" s="136" t="s">
        <v>252</v>
      </c>
      <c r="AM2112" s="136">
        <f t="shared" si="8"/>
        <v>8074</v>
      </c>
    </row>
    <row r="2113" spans="2:39" ht="20.25" hidden="1" outlineLevel="1">
      <c r="B2113" s="149" t="s">
        <v>1005</v>
      </c>
      <c r="C2113" s="135" t="s">
        <v>1402</v>
      </c>
      <c r="D2113" s="152" t="s">
        <v>1403</v>
      </c>
      <c r="E2113" s="137" t="s">
        <v>44</v>
      </c>
      <c r="F2113" s="138" t="s">
        <v>45</v>
      </c>
      <c r="G2113" s="136"/>
      <c r="H2113" s="136"/>
      <c r="I2113" s="136"/>
      <c r="J2113" s="136"/>
      <c r="K2113" s="136"/>
      <c r="L2113" s="136"/>
      <c r="M2113" s="136">
        <v>19795</v>
      </c>
      <c r="N2113" s="136">
        <v>22649</v>
      </c>
      <c r="O2113" s="136">
        <v>2343</v>
      </c>
      <c r="P2113" s="136" t="s">
        <v>252</v>
      </c>
      <c r="Q2113" s="136">
        <v>2344</v>
      </c>
      <c r="R2113" s="136" t="s">
        <v>252</v>
      </c>
      <c r="S2113" s="136">
        <v>1705</v>
      </c>
      <c r="T2113" s="136" t="s">
        <v>252</v>
      </c>
      <c r="U2113" s="136">
        <v>2081</v>
      </c>
      <c r="V2113" s="136" t="s">
        <v>252</v>
      </c>
      <c r="W2113" s="136">
        <v>1562</v>
      </c>
      <c r="X2113" s="136" t="s">
        <v>252</v>
      </c>
      <c r="Y2113" s="136">
        <v>1208</v>
      </c>
      <c r="Z2113" s="136" t="s">
        <v>252</v>
      </c>
      <c r="AA2113" s="136">
        <v>987</v>
      </c>
      <c r="AB2113" s="136" t="s">
        <v>252</v>
      </c>
      <c r="AC2113" s="136">
        <v>948</v>
      </c>
      <c r="AD2113" s="136" t="s">
        <v>252</v>
      </c>
      <c r="AE2113" s="136">
        <v>1323</v>
      </c>
      <c r="AF2113" s="136" t="s">
        <v>252</v>
      </c>
      <c r="AG2113" s="136">
        <v>1522</v>
      </c>
      <c r="AH2113" s="136" t="s">
        <v>252</v>
      </c>
      <c r="AI2113" s="136">
        <v>1701</v>
      </c>
      <c r="AJ2113" s="136" t="s">
        <v>252</v>
      </c>
      <c r="AK2113" s="136">
        <v>1882</v>
      </c>
      <c r="AL2113" s="136" t="s">
        <v>252</v>
      </c>
      <c r="AM2113" s="136">
        <f t="shared" si="8"/>
        <v>19606</v>
      </c>
    </row>
    <row r="2114" spans="2:39" ht="20.25" hidden="1" outlineLevel="1">
      <c r="B2114" s="149" t="s">
        <v>1007</v>
      </c>
      <c r="C2114" s="135" t="s">
        <v>1402</v>
      </c>
      <c r="D2114" s="152" t="s">
        <v>1403</v>
      </c>
      <c r="E2114" s="137" t="s">
        <v>44</v>
      </c>
      <c r="F2114" s="138" t="s">
        <v>45</v>
      </c>
      <c r="G2114" s="136"/>
      <c r="H2114" s="136"/>
      <c r="I2114" s="136"/>
      <c r="J2114" s="136"/>
      <c r="K2114" s="136"/>
      <c r="L2114" s="136"/>
      <c r="M2114" s="136">
        <v>14723</v>
      </c>
      <c r="N2114" s="136">
        <v>13707</v>
      </c>
      <c r="O2114" s="136">
        <v>1287</v>
      </c>
      <c r="P2114" s="136" t="s">
        <v>252</v>
      </c>
      <c r="Q2114" s="136">
        <v>1398</v>
      </c>
      <c r="R2114" s="136" t="s">
        <v>252</v>
      </c>
      <c r="S2114" s="136">
        <v>917</v>
      </c>
      <c r="T2114" s="136" t="s">
        <v>252</v>
      </c>
      <c r="U2114" s="136">
        <v>1197</v>
      </c>
      <c r="V2114" s="136" t="s">
        <v>252</v>
      </c>
      <c r="W2114" s="136">
        <v>847</v>
      </c>
      <c r="X2114" s="136" t="s">
        <v>252</v>
      </c>
      <c r="Y2114" s="136">
        <v>1006</v>
      </c>
      <c r="Z2114" s="136" t="s">
        <v>252</v>
      </c>
      <c r="AA2114" s="136">
        <v>799</v>
      </c>
      <c r="AB2114" s="136" t="s">
        <v>252</v>
      </c>
      <c r="AC2114" s="136">
        <v>651</v>
      </c>
      <c r="AD2114" s="136" t="s">
        <v>252</v>
      </c>
      <c r="AE2114" s="136">
        <v>1003</v>
      </c>
      <c r="AF2114" s="136" t="s">
        <v>252</v>
      </c>
      <c r="AG2114" s="136">
        <v>1076</v>
      </c>
      <c r="AH2114" s="136" t="s">
        <v>252</v>
      </c>
      <c r="AI2114" s="136">
        <v>1205</v>
      </c>
      <c r="AJ2114" s="136" t="s">
        <v>252</v>
      </c>
      <c r="AK2114" s="136">
        <v>1388</v>
      </c>
      <c r="AL2114" s="136" t="s">
        <v>252</v>
      </c>
      <c r="AM2114" s="136">
        <f t="shared" si="8"/>
        <v>12774</v>
      </c>
    </row>
    <row r="2115" spans="2:39" ht="20.25" hidden="1" outlineLevel="1">
      <c r="B2115" s="149" t="s">
        <v>1009</v>
      </c>
      <c r="C2115" s="135" t="s">
        <v>1402</v>
      </c>
      <c r="D2115" s="152" t="s">
        <v>1403</v>
      </c>
      <c r="E2115" s="137" t="s">
        <v>44</v>
      </c>
      <c r="F2115" s="138" t="s">
        <v>45</v>
      </c>
      <c r="G2115" s="136"/>
      <c r="H2115" s="136"/>
      <c r="I2115" s="136"/>
      <c r="J2115" s="136"/>
      <c r="K2115" s="136"/>
      <c r="L2115" s="136"/>
      <c r="M2115" s="419">
        <v>5854</v>
      </c>
      <c r="N2115" s="419">
        <v>5253</v>
      </c>
      <c r="O2115" s="419">
        <v>615</v>
      </c>
      <c r="P2115" s="419" t="s">
        <v>252</v>
      </c>
      <c r="Q2115" s="419">
        <v>592</v>
      </c>
      <c r="R2115" s="419" t="s">
        <v>252</v>
      </c>
      <c r="S2115" s="419">
        <v>346</v>
      </c>
      <c r="T2115" s="419" t="s">
        <v>252</v>
      </c>
      <c r="U2115" s="419">
        <v>478</v>
      </c>
      <c r="V2115" s="419" t="s">
        <v>252</v>
      </c>
      <c r="W2115" s="417">
        <v>384</v>
      </c>
      <c r="X2115" s="419" t="s">
        <v>252</v>
      </c>
      <c r="Y2115" s="419">
        <v>366</v>
      </c>
      <c r="Z2115" s="419" t="s">
        <v>252</v>
      </c>
      <c r="AA2115" s="419">
        <v>308</v>
      </c>
      <c r="AB2115" s="419" t="s">
        <v>252</v>
      </c>
      <c r="AC2115" s="419">
        <v>337</v>
      </c>
      <c r="AD2115" s="419" t="s">
        <v>252</v>
      </c>
      <c r="AE2115" s="419">
        <v>413</v>
      </c>
      <c r="AF2115" s="419" t="s">
        <v>252</v>
      </c>
      <c r="AG2115" s="419">
        <v>481</v>
      </c>
      <c r="AH2115" s="419" t="s">
        <v>252</v>
      </c>
      <c r="AI2115" s="419">
        <v>577</v>
      </c>
      <c r="AJ2115" s="419" t="s">
        <v>252</v>
      </c>
      <c r="AK2115" s="419">
        <v>688</v>
      </c>
      <c r="AL2115" s="419" t="s">
        <v>252</v>
      </c>
      <c r="AM2115" s="417">
        <f t="shared" si="8"/>
        <v>5585</v>
      </c>
    </row>
    <row r="2116" spans="2:39" ht="20.25" hidden="1" outlineLevel="1">
      <c r="B2116" s="149" t="s">
        <v>1010</v>
      </c>
      <c r="C2116" s="135" t="s">
        <v>1402</v>
      </c>
      <c r="D2116" s="152" t="s">
        <v>1403</v>
      </c>
      <c r="E2116" s="137" t="s">
        <v>44</v>
      </c>
      <c r="F2116" s="138" t="s">
        <v>45</v>
      </c>
      <c r="G2116" s="136"/>
      <c r="H2116" s="136"/>
      <c r="I2116" s="136"/>
      <c r="J2116" s="136"/>
      <c r="K2116" s="136"/>
      <c r="L2116" s="136"/>
      <c r="M2116" s="431"/>
      <c r="N2116" s="431"/>
      <c r="O2116" s="431"/>
      <c r="P2116" s="431"/>
      <c r="Q2116" s="431"/>
      <c r="R2116" s="431"/>
      <c r="S2116" s="431"/>
      <c r="T2116" s="431"/>
      <c r="U2116" s="431"/>
      <c r="V2116" s="431"/>
      <c r="W2116" s="432"/>
      <c r="X2116" s="431"/>
      <c r="Y2116" s="431"/>
      <c r="Z2116" s="431"/>
      <c r="AA2116" s="431"/>
      <c r="AB2116" s="431"/>
      <c r="AC2116" s="431"/>
      <c r="AD2116" s="431"/>
      <c r="AE2116" s="431"/>
      <c r="AF2116" s="431"/>
      <c r="AG2116" s="431"/>
      <c r="AH2116" s="431"/>
      <c r="AI2116" s="431"/>
      <c r="AJ2116" s="431"/>
      <c r="AK2116" s="431"/>
      <c r="AL2116" s="431"/>
      <c r="AM2116" s="432"/>
    </row>
    <row r="2117" spans="2:39" ht="20.25" hidden="1" outlineLevel="1">
      <c r="B2117" s="149" t="s">
        <v>1011</v>
      </c>
      <c r="C2117" s="135" t="s">
        <v>1402</v>
      </c>
      <c r="D2117" s="152" t="s">
        <v>1403</v>
      </c>
      <c r="E2117" s="137" t="s">
        <v>44</v>
      </c>
      <c r="F2117" s="138" t="s">
        <v>45</v>
      </c>
      <c r="G2117" s="136"/>
      <c r="H2117" s="136"/>
      <c r="I2117" s="136"/>
      <c r="J2117" s="136"/>
      <c r="K2117" s="136"/>
      <c r="L2117" s="136"/>
      <c r="M2117" s="420"/>
      <c r="N2117" s="420"/>
      <c r="O2117" s="420"/>
      <c r="P2117" s="420"/>
      <c r="Q2117" s="420"/>
      <c r="R2117" s="420"/>
      <c r="S2117" s="420"/>
      <c r="T2117" s="420"/>
      <c r="U2117" s="420"/>
      <c r="V2117" s="420"/>
      <c r="W2117" s="418"/>
      <c r="X2117" s="420"/>
      <c r="Y2117" s="420"/>
      <c r="Z2117" s="420"/>
      <c r="AA2117" s="420"/>
      <c r="AB2117" s="420"/>
      <c r="AC2117" s="420"/>
      <c r="AD2117" s="420"/>
      <c r="AE2117" s="420"/>
      <c r="AF2117" s="420"/>
      <c r="AG2117" s="420"/>
      <c r="AH2117" s="420"/>
      <c r="AI2117" s="420"/>
      <c r="AJ2117" s="420"/>
      <c r="AK2117" s="420"/>
      <c r="AL2117" s="420"/>
      <c r="AM2117" s="418"/>
    </row>
    <row r="2118" spans="2:39" ht="20.25" hidden="1" outlineLevel="1">
      <c r="B2118" s="149" t="s">
        <v>1014</v>
      </c>
      <c r="C2118" s="135" t="s">
        <v>1402</v>
      </c>
      <c r="D2118" s="152" t="s">
        <v>1403</v>
      </c>
      <c r="E2118" s="143" t="s">
        <v>138</v>
      </c>
      <c r="F2118" s="138" t="s">
        <v>45</v>
      </c>
      <c r="G2118" s="136"/>
      <c r="H2118" s="136"/>
      <c r="I2118" s="136"/>
      <c r="J2118" s="136"/>
      <c r="K2118" s="136"/>
      <c r="L2118" s="136"/>
      <c r="M2118" s="136">
        <v>12836</v>
      </c>
      <c r="N2118" s="136">
        <v>14251</v>
      </c>
      <c r="O2118" s="136">
        <v>1930</v>
      </c>
      <c r="P2118" s="136" t="s">
        <v>252</v>
      </c>
      <c r="Q2118" s="136">
        <v>1781</v>
      </c>
      <c r="R2118" s="136" t="s">
        <v>252</v>
      </c>
      <c r="S2118" s="136">
        <v>1684</v>
      </c>
      <c r="T2118" s="136" t="s">
        <v>252</v>
      </c>
      <c r="U2118" s="136">
        <v>1924</v>
      </c>
      <c r="V2118" s="136" t="s">
        <v>252</v>
      </c>
      <c r="W2118" s="136">
        <v>2029</v>
      </c>
      <c r="X2118" s="136" t="s">
        <v>252</v>
      </c>
      <c r="Y2118" s="136">
        <v>2283</v>
      </c>
      <c r="Z2118" s="136" t="s">
        <v>252</v>
      </c>
      <c r="AA2118" s="136">
        <v>2421</v>
      </c>
      <c r="AB2118" s="136" t="s">
        <v>252</v>
      </c>
      <c r="AC2118" s="136">
        <v>943</v>
      </c>
      <c r="AD2118" s="136" t="s">
        <v>252</v>
      </c>
      <c r="AE2118" s="136">
        <v>1780</v>
      </c>
      <c r="AF2118" s="136" t="s">
        <v>252</v>
      </c>
      <c r="AG2118" s="136">
        <v>1680</v>
      </c>
      <c r="AH2118" s="136" t="s">
        <v>252</v>
      </c>
      <c r="AI2118" s="136">
        <v>2200</v>
      </c>
      <c r="AJ2118" s="136" t="s">
        <v>252</v>
      </c>
      <c r="AK2118" s="136">
        <v>1926</v>
      </c>
      <c r="AL2118" s="136" t="s">
        <v>252</v>
      </c>
      <c r="AM2118" s="136">
        <f t="shared" si="8"/>
        <v>22581</v>
      </c>
    </row>
    <row r="2119" spans="2:39" ht="20.25" hidden="1" outlineLevel="1">
      <c r="B2119" s="149" t="s">
        <v>1014</v>
      </c>
      <c r="C2119" s="135" t="s">
        <v>1402</v>
      </c>
      <c r="D2119" s="152" t="s">
        <v>1403</v>
      </c>
      <c r="E2119" s="137" t="s">
        <v>44</v>
      </c>
      <c r="F2119" s="138" t="s">
        <v>45</v>
      </c>
      <c r="G2119" s="136"/>
      <c r="H2119" s="136"/>
      <c r="I2119" s="136"/>
      <c r="J2119" s="136"/>
      <c r="K2119" s="136"/>
      <c r="L2119" s="136"/>
      <c r="M2119" s="136">
        <v>17951</v>
      </c>
      <c r="N2119" s="136">
        <v>19661</v>
      </c>
      <c r="O2119" s="136">
        <v>556</v>
      </c>
      <c r="P2119" s="136" t="s">
        <v>252</v>
      </c>
      <c r="Q2119" s="136">
        <v>459</v>
      </c>
      <c r="R2119" s="136" t="s">
        <v>252</v>
      </c>
      <c r="S2119" s="136">
        <v>333</v>
      </c>
      <c r="T2119" s="136" t="s">
        <v>252</v>
      </c>
      <c r="U2119" s="136">
        <v>604</v>
      </c>
      <c r="V2119" s="136" t="s">
        <v>252</v>
      </c>
      <c r="W2119" s="136">
        <v>547</v>
      </c>
      <c r="X2119" s="136" t="s">
        <v>252</v>
      </c>
      <c r="Y2119" s="136">
        <v>366</v>
      </c>
      <c r="Z2119" s="136" t="s">
        <v>252</v>
      </c>
      <c r="AA2119" s="136">
        <v>289</v>
      </c>
      <c r="AB2119" s="136" t="s">
        <v>252</v>
      </c>
      <c r="AC2119" s="136">
        <v>1556</v>
      </c>
      <c r="AD2119" s="136" t="s">
        <v>252</v>
      </c>
      <c r="AE2119" s="136">
        <v>314</v>
      </c>
      <c r="AF2119" s="136" t="s">
        <v>252</v>
      </c>
      <c r="AG2119" s="136">
        <v>317</v>
      </c>
      <c r="AH2119" s="136" t="s">
        <v>252</v>
      </c>
      <c r="AI2119" s="136">
        <v>432</v>
      </c>
      <c r="AJ2119" s="136" t="s">
        <v>252</v>
      </c>
      <c r="AK2119" s="136">
        <v>430</v>
      </c>
      <c r="AL2119" s="136" t="s">
        <v>252</v>
      </c>
      <c r="AM2119" s="136">
        <f t="shared" si="8"/>
        <v>6203</v>
      </c>
    </row>
    <row r="2120" spans="2:39" ht="20.25" hidden="1" outlineLevel="1">
      <c r="B2120" s="149" t="s">
        <v>1238</v>
      </c>
      <c r="C2120" s="135" t="s">
        <v>1402</v>
      </c>
      <c r="D2120" s="152" t="s">
        <v>1403</v>
      </c>
      <c r="E2120" s="143" t="s">
        <v>138</v>
      </c>
      <c r="F2120" s="138" t="s">
        <v>45</v>
      </c>
      <c r="G2120" s="136"/>
      <c r="H2120" s="136"/>
      <c r="I2120" s="136"/>
      <c r="J2120" s="136"/>
      <c r="K2120" s="136"/>
      <c r="L2120" s="136"/>
      <c r="M2120" s="136">
        <v>6804</v>
      </c>
      <c r="N2120" s="136">
        <v>5405</v>
      </c>
      <c r="O2120" s="136">
        <v>190</v>
      </c>
      <c r="P2120" s="136" t="s">
        <v>252</v>
      </c>
      <c r="Q2120" s="136">
        <v>202</v>
      </c>
      <c r="R2120" s="136" t="s">
        <v>252</v>
      </c>
      <c r="S2120" s="136">
        <v>184</v>
      </c>
      <c r="T2120" s="136" t="s">
        <v>252</v>
      </c>
      <c r="U2120" s="136">
        <v>234</v>
      </c>
      <c r="V2120" s="136" t="s">
        <v>252</v>
      </c>
      <c r="W2120" s="136">
        <v>206</v>
      </c>
      <c r="X2120" s="136" t="s">
        <v>252</v>
      </c>
      <c r="Y2120" s="136">
        <v>223</v>
      </c>
      <c r="Z2120" s="136" t="s">
        <v>252</v>
      </c>
      <c r="AA2120" s="136">
        <v>221</v>
      </c>
      <c r="AB2120" s="136" t="s">
        <v>252</v>
      </c>
      <c r="AC2120" s="136">
        <v>355</v>
      </c>
      <c r="AD2120" s="136" t="s">
        <v>252</v>
      </c>
      <c r="AE2120" s="136">
        <v>236</v>
      </c>
      <c r="AF2120" s="136" t="s">
        <v>252</v>
      </c>
      <c r="AG2120" s="136">
        <v>392</v>
      </c>
      <c r="AH2120" s="136" t="s">
        <v>252</v>
      </c>
      <c r="AI2120" s="136">
        <v>713</v>
      </c>
      <c r="AJ2120" s="136" t="s">
        <v>252</v>
      </c>
      <c r="AK2120" s="136">
        <v>643</v>
      </c>
      <c r="AL2120" s="136" t="s">
        <v>252</v>
      </c>
      <c r="AM2120" s="136">
        <f t="shared" si="8"/>
        <v>3799</v>
      </c>
    </row>
    <row r="2121" spans="2:39" ht="20.25" hidden="1" outlineLevel="1">
      <c r="B2121" s="149" t="s">
        <v>1238</v>
      </c>
      <c r="C2121" s="135" t="s">
        <v>1402</v>
      </c>
      <c r="D2121" s="152" t="s">
        <v>1403</v>
      </c>
      <c r="E2121" s="137" t="s">
        <v>44</v>
      </c>
      <c r="F2121" s="144" t="s">
        <v>45</v>
      </c>
      <c r="G2121" s="136"/>
      <c r="H2121" s="136"/>
      <c r="I2121" s="136"/>
      <c r="J2121" s="136"/>
      <c r="K2121" s="136"/>
      <c r="L2121" s="136"/>
      <c r="M2121" s="136">
        <v>8431</v>
      </c>
      <c r="N2121" s="136">
        <v>7145</v>
      </c>
      <c r="O2121" s="136">
        <v>1356</v>
      </c>
      <c r="P2121" s="136" t="s">
        <v>252</v>
      </c>
      <c r="Q2121" s="136">
        <v>652</v>
      </c>
      <c r="R2121" s="136" t="s">
        <v>252</v>
      </c>
      <c r="S2121" s="136">
        <v>578</v>
      </c>
      <c r="T2121" s="136" t="s">
        <v>252</v>
      </c>
      <c r="U2121" s="136">
        <v>931</v>
      </c>
      <c r="V2121" s="136" t="s">
        <v>252</v>
      </c>
      <c r="W2121" s="136">
        <v>793</v>
      </c>
      <c r="X2121" s="136" t="s">
        <v>252</v>
      </c>
      <c r="Y2121" s="136">
        <v>704</v>
      </c>
      <c r="Z2121" s="136" t="s">
        <v>252</v>
      </c>
      <c r="AA2121" s="136">
        <v>756</v>
      </c>
      <c r="AB2121" s="136" t="s">
        <v>252</v>
      </c>
      <c r="AC2121" s="136">
        <v>516</v>
      </c>
      <c r="AD2121" s="136" t="s">
        <v>252</v>
      </c>
      <c r="AE2121" s="136">
        <v>942</v>
      </c>
      <c r="AF2121" s="136" t="s">
        <v>252</v>
      </c>
      <c r="AG2121" s="136">
        <v>841</v>
      </c>
      <c r="AH2121" s="136" t="s">
        <v>252</v>
      </c>
      <c r="AI2121" s="136">
        <v>1103</v>
      </c>
      <c r="AJ2121" s="136" t="s">
        <v>252</v>
      </c>
      <c r="AK2121" s="136">
        <v>1141</v>
      </c>
      <c r="AL2121" s="136" t="s">
        <v>252</v>
      </c>
      <c r="AM2121" s="136">
        <f t="shared" si="8"/>
        <v>10313</v>
      </c>
    </row>
    <row r="2122" spans="2:39" ht="20.25" hidden="1" outlineLevel="1">
      <c r="B2122" s="149" t="s">
        <v>1239</v>
      </c>
      <c r="C2122" s="135" t="s">
        <v>1402</v>
      </c>
      <c r="D2122" s="152" t="s">
        <v>1403</v>
      </c>
      <c r="E2122" s="143" t="s">
        <v>138</v>
      </c>
      <c r="F2122" s="144" t="s">
        <v>45</v>
      </c>
      <c r="G2122" s="136"/>
      <c r="H2122" s="136"/>
      <c r="I2122" s="136"/>
      <c r="J2122" s="136"/>
      <c r="K2122" s="136"/>
      <c r="L2122" s="136"/>
      <c r="M2122" s="142">
        <v>11950</v>
      </c>
      <c r="N2122" s="142">
        <v>10100</v>
      </c>
      <c r="O2122" s="142">
        <v>847</v>
      </c>
      <c r="P2122" s="136" t="s">
        <v>252</v>
      </c>
      <c r="Q2122" s="142">
        <v>901</v>
      </c>
      <c r="R2122" s="136" t="s">
        <v>252</v>
      </c>
      <c r="S2122" s="142">
        <v>760</v>
      </c>
      <c r="T2122" s="136" t="s">
        <v>252</v>
      </c>
      <c r="U2122" s="142">
        <v>933</v>
      </c>
      <c r="V2122" s="136" t="s">
        <v>252</v>
      </c>
      <c r="W2122" s="142">
        <v>782</v>
      </c>
      <c r="X2122" s="136" t="s">
        <v>252</v>
      </c>
      <c r="Y2122" s="142">
        <v>903</v>
      </c>
      <c r="Z2122" s="136" t="s">
        <v>252</v>
      </c>
      <c r="AA2122" s="142">
        <v>906</v>
      </c>
      <c r="AB2122" s="136" t="s">
        <v>252</v>
      </c>
      <c r="AC2122" s="142">
        <v>644</v>
      </c>
      <c r="AD2122" s="136" t="s">
        <v>252</v>
      </c>
      <c r="AE2122" s="142">
        <v>830</v>
      </c>
      <c r="AF2122" s="136" t="s">
        <v>252</v>
      </c>
      <c r="AG2122" s="142">
        <v>745</v>
      </c>
      <c r="AH2122" s="136" t="s">
        <v>252</v>
      </c>
      <c r="AI2122" s="142">
        <v>860</v>
      </c>
      <c r="AJ2122" s="136" t="s">
        <v>252</v>
      </c>
      <c r="AK2122" s="142">
        <v>776</v>
      </c>
      <c r="AL2122" s="136" t="s">
        <v>252</v>
      </c>
      <c r="AM2122" s="136">
        <f t="shared" si="8"/>
        <v>9887</v>
      </c>
    </row>
    <row r="2123" spans="2:39" ht="20.25" hidden="1" outlineLevel="1">
      <c r="B2123" s="149" t="s">
        <v>1239</v>
      </c>
      <c r="C2123" s="135" t="s">
        <v>1402</v>
      </c>
      <c r="D2123" s="152" t="s">
        <v>1403</v>
      </c>
      <c r="E2123" s="137" t="s">
        <v>44</v>
      </c>
      <c r="F2123" s="144" t="s">
        <v>45</v>
      </c>
      <c r="G2123" s="136"/>
      <c r="H2123" s="136"/>
      <c r="I2123" s="136"/>
      <c r="J2123" s="136"/>
      <c r="K2123" s="136"/>
      <c r="L2123" s="136"/>
      <c r="M2123" s="147">
        <v>9150</v>
      </c>
      <c r="N2123" s="147">
        <v>8600</v>
      </c>
      <c r="O2123" s="147">
        <v>831</v>
      </c>
      <c r="P2123" s="136" t="s">
        <v>252</v>
      </c>
      <c r="Q2123" s="147">
        <v>621</v>
      </c>
      <c r="R2123" s="136" t="s">
        <v>252</v>
      </c>
      <c r="S2123" s="147">
        <v>567</v>
      </c>
      <c r="T2123" s="136" t="s">
        <v>252</v>
      </c>
      <c r="U2123" s="147">
        <v>835</v>
      </c>
      <c r="V2123" s="136" t="s">
        <v>252</v>
      </c>
      <c r="W2123" s="147">
        <v>608</v>
      </c>
      <c r="X2123" s="136" t="s">
        <v>252</v>
      </c>
      <c r="Y2123" s="147">
        <v>623</v>
      </c>
      <c r="Z2123" s="136" t="s">
        <v>252</v>
      </c>
      <c r="AA2123" s="147">
        <v>828</v>
      </c>
      <c r="AB2123" s="136" t="s">
        <v>252</v>
      </c>
      <c r="AC2123" s="147">
        <v>844</v>
      </c>
      <c r="AD2123" s="136" t="s">
        <v>252</v>
      </c>
      <c r="AE2123" s="147">
        <v>629</v>
      </c>
      <c r="AF2123" s="136" t="s">
        <v>252</v>
      </c>
      <c r="AG2123" s="147">
        <v>614</v>
      </c>
      <c r="AH2123" s="136" t="s">
        <v>252</v>
      </c>
      <c r="AI2123" s="147">
        <v>803</v>
      </c>
      <c r="AJ2123" s="136" t="s">
        <v>252</v>
      </c>
      <c r="AK2123" s="147">
        <v>730</v>
      </c>
      <c r="AL2123" s="136" t="s">
        <v>252</v>
      </c>
      <c r="AM2123" s="136">
        <f t="shared" si="8"/>
        <v>8533</v>
      </c>
    </row>
    <row r="2124" spans="2:39" ht="20.25" hidden="1" outlineLevel="1">
      <c r="B2124" s="149" t="s">
        <v>1240</v>
      </c>
      <c r="C2124" s="135" t="s">
        <v>1402</v>
      </c>
      <c r="D2124" s="152" t="s">
        <v>1403</v>
      </c>
      <c r="E2124" s="137" t="s">
        <v>44</v>
      </c>
      <c r="F2124" s="144" t="s">
        <v>45</v>
      </c>
      <c r="G2124" s="136"/>
      <c r="H2124" s="136"/>
      <c r="I2124" s="136"/>
      <c r="J2124" s="136"/>
      <c r="K2124" s="136"/>
      <c r="L2124" s="136"/>
      <c r="M2124" s="437">
        <v>4810</v>
      </c>
      <c r="N2124" s="437">
        <v>4345</v>
      </c>
      <c r="O2124" s="437">
        <v>491</v>
      </c>
      <c r="P2124" s="437" t="s">
        <v>252</v>
      </c>
      <c r="Q2124" s="437">
        <v>366</v>
      </c>
      <c r="R2124" s="437" t="s">
        <v>252</v>
      </c>
      <c r="S2124" s="437">
        <v>227</v>
      </c>
      <c r="T2124" s="437" t="s">
        <v>252</v>
      </c>
      <c r="U2124" s="437">
        <v>259</v>
      </c>
      <c r="V2124" s="437" t="s">
        <v>252</v>
      </c>
      <c r="W2124" s="437">
        <v>204</v>
      </c>
      <c r="X2124" s="437" t="s">
        <v>252</v>
      </c>
      <c r="Y2124" s="437">
        <v>243</v>
      </c>
      <c r="Z2124" s="437" t="s">
        <v>252</v>
      </c>
      <c r="AA2124" s="437">
        <v>172</v>
      </c>
      <c r="AB2124" s="437" t="s">
        <v>252</v>
      </c>
      <c r="AC2124" s="437">
        <v>279</v>
      </c>
      <c r="AD2124" s="437" t="s">
        <v>252</v>
      </c>
      <c r="AE2124" s="437">
        <v>256</v>
      </c>
      <c r="AF2124" s="437" t="s">
        <v>252</v>
      </c>
      <c r="AG2124" s="437">
        <v>249</v>
      </c>
      <c r="AH2124" s="437" t="s">
        <v>252</v>
      </c>
      <c r="AI2124" s="437">
        <v>367</v>
      </c>
      <c r="AJ2124" s="437" t="s">
        <v>252</v>
      </c>
      <c r="AK2124" s="437">
        <v>346</v>
      </c>
      <c r="AL2124" s="437" t="s">
        <v>252</v>
      </c>
      <c r="AM2124" s="429">
        <f t="shared" si="8"/>
        <v>3459</v>
      </c>
    </row>
    <row r="2125" spans="2:39" ht="20.25" hidden="1" outlineLevel="1">
      <c r="B2125" s="149" t="s">
        <v>1241</v>
      </c>
      <c r="C2125" s="135" t="s">
        <v>1402</v>
      </c>
      <c r="D2125" s="152" t="s">
        <v>1403</v>
      </c>
      <c r="E2125" s="137" t="s">
        <v>44</v>
      </c>
      <c r="F2125" s="144" t="s">
        <v>45</v>
      </c>
      <c r="G2125" s="136"/>
      <c r="H2125" s="136"/>
      <c r="I2125" s="136"/>
      <c r="J2125" s="136"/>
      <c r="K2125" s="136"/>
      <c r="L2125" s="136"/>
      <c r="M2125" s="438"/>
      <c r="N2125" s="438"/>
      <c r="O2125" s="438"/>
      <c r="P2125" s="438"/>
      <c r="Q2125" s="438"/>
      <c r="R2125" s="438"/>
      <c r="S2125" s="438"/>
      <c r="T2125" s="438"/>
      <c r="U2125" s="438"/>
      <c r="V2125" s="438"/>
      <c r="W2125" s="438"/>
      <c r="X2125" s="438"/>
      <c r="Y2125" s="438"/>
      <c r="Z2125" s="438"/>
      <c r="AA2125" s="438"/>
      <c r="AB2125" s="438"/>
      <c r="AC2125" s="438"/>
      <c r="AD2125" s="438"/>
      <c r="AE2125" s="438"/>
      <c r="AF2125" s="438"/>
      <c r="AG2125" s="438"/>
      <c r="AH2125" s="438"/>
      <c r="AI2125" s="438"/>
      <c r="AJ2125" s="438"/>
      <c r="AK2125" s="438"/>
      <c r="AL2125" s="438"/>
      <c r="AM2125" s="430"/>
    </row>
    <row r="2126" spans="2:39" ht="20.25" hidden="1" outlineLevel="1">
      <c r="B2126" s="149" t="s">
        <v>1242</v>
      </c>
      <c r="C2126" s="135" t="s">
        <v>1402</v>
      </c>
      <c r="D2126" s="152" t="s">
        <v>1403</v>
      </c>
      <c r="E2126" s="433" t="s">
        <v>138</v>
      </c>
      <c r="F2126" s="425" t="s">
        <v>45</v>
      </c>
      <c r="G2126" s="136"/>
      <c r="H2126" s="136"/>
      <c r="I2126" s="136"/>
      <c r="J2126" s="136"/>
      <c r="K2126" s="136"/>
      <c r="L2126" s="136"/>
      <c r="M2126" s="419">
        <v>28697</v>
      </c>
      <c r="N2126" s="419">
        <v>27804</v>
      </c>
      <c r="O2126" s="419">
        <v>1233</v>
      </c>
      <c r="P2126" s="419" t="s">
        <v>252</v>
      </c>
      <c r="Q2126" s="419">
        <v>1219</v>
      </c>
      <c r="R2126" s="419" t="s">
        <v>252</v>
      </c>
      <c r="S2126" s="419">
        <v>1152</v>
      </c>
      <c r="T2126" s="419" t="s">
        <v>252</v>
      </c>
      <c r="U2126" s="419">
        <v>1359</v>
      </c>
      <c r="V2126" s="419" t="s">
        <v>252</v>
      </c>
      <c r="W2126" s="419">
        <v>1161</v>
      </c>
      <c r="X2126" s="419" t="s">
        <v>252</v>
      </c>
      <c r="Y2126" s="419">
        <v>1244</v>
      </c>
      <c r="Z2126" s="419" t="s">
        <v>252</v>
      </c>
      <c r="AA2126" s="419">
        <v>1249</v>
      </c>
      <c r="AB2126" s="419" t="s">
        <v>252</v>
      </c>
      <c r="AC2126" s="419">
        <v>1025</v>
      </c>
      <c r="AD2126" s="419" t="s">
        <v>252</v>
      </c>
      <c r="AE2126" s="419">
        <v>1335</v>
      </c>
      <c r="AF2126" s="419" t="s">
        <v>252</v>
      </c>
      <c r="AG2126" s="419">
        <v>1116</v>
      </c>
      <c r="AH2126" s="419" t="s">
        <v>252</v>
      </c>
      <c r="AI2126" s="419">
        <v>1236</v>
      </c>
      <c r="AJ2126" s="419" t="s">
        <v>252</v>
      </c>
      <c r="AK2126" s="419">
        <v>1103</v>
      </c>
      <c r="AL2126" s="419" t="s">
        <v>252</v>
      </c>
      <c r="AM2126" s="419">
        <f>O2126+Q2126+S2126+U2126+W2126+Y2126+AA2126+AC2126+AE2126+AG2126+AI2126+AK2126</f>
        <v>14432</v>
      </c>
    </row>
    <row r="2127" spans="2:39" ht="20.25" hidden="1" outlineLevel="1">
      <c r="B2127" s="149" t="s">
        <v>1243</v>
      </c>
      <c r="C2127" s="135" t="s">
        <v>1402</v>
      </c>
      <c r="D2127" s="152" t="s">
        <v>1403</v>
      </c>
      <c r="E2127" s="435"/>
      <c r="F2127" s="436"/>
      <c r="G2127" s="136"/>
      <c r="H2127" s="136"/>
      <c r="I2127" s="136"/>
      <c r="J2127" s="136"/>
      <c r="K2127" s="136"/>
      <c r="L2127" s="136"/>
      <c r="M2127" s="431"/>
      <c r="N2127" s="431"/>
      <c r="O2127" s="431"/>
      <c r="P2127" s="431"/>
      <c r="Q2127" s="431"/>
      <c r="R2127" s="431"/>
      <c r="S2127" s="431"/>
      <c r="T2127" s="431"/>
      <c r="U2127" s="431"/>
      <c r="V2127" s="431"/>
      <c r="W2127" s="431"/>
      <c r="X2127" s="431"/>
      <c r="Y2127" s="431"/>
      <c r="Z2127" s="431"/>
      <c r="AA2127" s="431"/>
      <c r="AB2127" s="431"/>
      <c r="AC2127" s="431"/>
      <c r="AD2127" s="431"/>
      <c r="AE2127" s="431"/>
      <c r="AF2127" s="431"/>
      <c r="AG2127" s="431"/>
      <c r="AH2127" s="431"/>
      <c r="AI2127" s="431"/>
      <c r="AJ2127" s="431"/>
      <c r="AK2127" s="431"/>
      <c r="AL2127" s="431"/>
      <c r="AM2127" s="431"/>
    </row>
    <row r="2128" spans="2:39" ht="20.25" hidden="1" outlineLevel="1">
      <c r="B2128" s="149" t="s">
        <v>1244</v>
      </c>
      <c r="C2128" s="135" t="s">
        <v>1402</v>
      </c>
      <c r="D2128" s="152" t="s">
        <v>1403</v>
      </c>
      <c r="E2128" s="434"/>
      <c r="F2128" s="426"/>
      <c r="G2128" s="136"/>
      <c r="H2128" s="136"/>
      <c r="I2128" s="136"/>
      <c r="J2128" s="136"/>
      <c r="K2128" s="136"/>
      <c r="L2128" s="136"/>
      <c r="M2128" s="420"/>
      <c r="N2128" s="420"/>
      <c r="O2128" s="420"/>
      <c r="P2128" s="420"/>
      <c r="Q2128" s="420"/>
      <c r="R2128" s="420"/>
      <c r="S2128" s="420"/>
      <c r="T2128" s="420"/>
      <c r="U2128" s="420"/>
      <c r="V2128" s="420"/>
      <c r="W2128" s="420"/>
      <c r="X2128" s="420"/>
      <c r="Y2128" s="420"/>
      <c r="Z2128" s="420"/>
      <c r="AA2128" s="420"/>
      <c r="AB2128" s="420"/>
      <c r="AC2128" s="420"/>
      <c r="AD2128" s="420"/>
      <c r="AE2128" s="420"/>
      <c r="AF2128" s="420"/>
      <c r="AG2128" s="420"/>
      <c r="AH2128" s="420"/>
      <c r="AI2128" s="420"/>
      <c r="AJ2128" s="420"/>
      <c r="AK2128" s="420"/>
      <c r="AL2128" s="420"/>
      <c r="AM2128" s="420"/>
    </row>
    <row r="2129" spans="2:39" ht="20.25" hidden="1" outlineLevel="1">
      <c r="B2129" s="149" t="s">
        <v>1242</v>
      </c>
      <c r="C2129" s="135" t="s">
        <v>1402</v>
      </c>
      <c r="D2129" s="152" t="s">
        <v>1403</v>
      </c>
      <c r="E2129" s="433" t="s">
        <v>44</v>
      </c>
      <c r="F2129" s="425" t="s">
        <v>45</v>
      </c>
      <c r="G2129" s="136"/>
      <c r="H2129" s="136"/>
      <c r="I2129" s="136"/>
      <c r="J2129" s="136"/>
      <c r="K2129" s="136"/>
      <c r="L2129" s="136"/>
      <c r="M2129" s="419">
        <v>23461</v>
      </c>
      <c r="N2129" s="419">
        <v>23416</v>
      </c>
      <c r="O2129" s="419">
        <v>3193</v>
      </c>
      <c r="P2129" s="419" t="s">
        <v>252</v>
      </c>
      <c r="Q2129" s="419">
        <v>2139</v>
      </c>
      <c r="R2129" s="419" t="s">
        <v>252</v>
      </c>
      <c r="S2129" s="419">
        <v>1460</v>
      </c>
      <c r="T2129" s="419" t="s">
        <v>252</v>
      </c>
      <c r="U2129" s="419">
        <v>1917</v>
      </c>
      <c r="V2129" s="419" t="s">
        <v>252</v>
      </c>
      <c r="W2129" s="419">
        <v>1508</v>
      </c>
      <c r="X2129" s="419" t="s">
        <v>252</v>
      </c>
      <c r="Y2129" s="419">
        <v>1327</v>
      </c>
      <c r="Z2129" s="419" t="s">
        <v>252</v>
      </c>
      <c r="AA2129" s="419">
        <v>1248</v>
      </c>
      <c r="AB2129" s="419" t="s">
        <v>252</v>
      </c>
      <c r="AC2129" s="419">
        <v>1384</v>
      </c>
      <c r="AD2129" s="419" t="s">
        <v>252</v>
      </c>
      <c r="AE2129" s="419">
        <v>1692</v>
      </c>
      <c r="AF2129" s="419" t="s">
        <v>252</v>
      </c>
      <c r="AG2129" s="419">
        <v>1589</v>
      </c>
      <c r="AH2129" s="419" t="s">
        <v>252</v>
      </c>
      <c r="AI2129" s="419">
        <v>2012</v>
      </c>
      <c r="AJ2129" s="419" t="s">
        <v>252</v>
      </c>
      <c r="AK2129" s="419">
        <v>1966</v>
      </c>
      <c r="AL2129" s="419" t="s">
        <v>252</v>
      </c>
      <c r="AM2129" s="419">
        <f>O2129+Q2129+S2129+U2129+W2129+Y2129+AA2129+AC2129+AE2129+AG2129+AI2129+AK2129</f>
        <v>21435</v>
      </c>
    </row>
    <row r="2130" spans="2:39" ht="20.25" hidden="1" outlineLevel="1">
      <c r="B2130" s="149" t="s">
        <v>1243</v>
      </c>
      <c r="C2130" s="135" t="s">
        <v>1402</v>
      </c>
      <c r="D2130" s="152" t="s">
        <v>1403</v>
      </c>
      <c r="E2130" s="435"/>
      <c r="F2130" s="436"/>
      <c r="G2130" s="136"/>
      <c r="H2130" s="136"/>
      <c r="I2130" s="136"/>
      <c r="J2130" s="136"/>
      <c r="K2130" s="136"/>
      <c r="L2130" s="136"/>
      <c r="M2130" s="431"/>
      <c r="N2130" s="431"/>
      <c r="O2130" s="431"/>
      <c r="P2130" s="431"/>
      <c r="Q2130" s="431"/>
      <c r="R2130" s="431"/>
      <c r="S2130" s="431"/>
      <c r="T2130" s="431"/>
      <c r="U2130" s="431"/>
      <c r="V2130" s="431"/>
      <c r="W2130" s="431"/>
      <c r="X2130" s="431"/>
      <c r="Y2130" s="439"/>
      <c r="Z2130" s="431"/>
      <c r="AA2130" s="431"/>
      <c r="AB2130" s="431"/>
      <c r="AC2130" s="431"/>
      <c r="AD2130" s="431"/>
      <c r="AE2130" s="431"/>
      <c r="AF2130" s="431"/>
      <c r="AG2130" s="431"/>
      <c r="AH2130" s="431"/>
      <c r="AI2130" s="431"/>
      <c r="AJ2130" s="431"/>
      <c r="AK2130" s="431"/>
      <c r="AL2130" s="431"/>
      <c r="AM2130" s="431"/>
    </row>
    <row r="2131" spans="2:39" ht="20.25" hidden="1" outlineLevel="1">
      <c r="B2131" s="149" t="s">
        <v>1244</v>
      </c>
      <c r="C2131" s="135" t="s">
        <v>1021</v>
      </c>
      <c r="D2131" s="152" t="s">
        <v>1403</v>
      </c>
      <c r="E2131" s="434"/>
      <c r="F2131" s="426"/>
      <c r="G2131" s="136"/>
      <c r="H2131" s="136"/>
      <c r="I2131" s="136"/>
      <c r="J2131" s="136"/>
      <c r="K2131" s="136"/>
      <c r="L2131" s="136"/>
      <c r="M2131" s="420"/>
      <c r="N2131" s="420"/>
      <c r="O2131" s="420"/>
      <c r="P2131" s="420"/>
      <c r="Q2131" s="420"/>
      <c r="R2131" s="420"/>
      <c r="S2131" s="420"/>
      <c r="T2131" s="420"/>
      <c r="U2131" s="420"/>
      <c r="V2131" s="420"/>
      <c r="W2131" s="420"/>
      <c r="X2131" s="420"/>
      <c r="Y2131" s="440"/>
      <c r="Z2131" s="420"/>
      <c r="AA2131" s="420"/>
      <c r="AB2131" s="420"/>
      <c r="AC2131" s="420"/>
      <c r="AD2131" s="420"/>
      <c r="AE2131" s="420"/>
      <c r="AF2131" s="420"/>
      <c r="AG2131" s="420"/>
      <c r="AH2131" s="420"/>
      <c r="AI2131" s="420"/>
      <c r="AJ2131" s="420"/>
      <c r="AK2131" s="420"/>
      <c r="AL2131" s="420"/>
      <c r="AM2131" s="420"/>
    </row>
    <row r="2132" spans="2:39" ht="20.25" hidden="1" outlineLevel="1">
      <c r="B2132" s="149" t="s">
        <v>1245</v>
      </c>
      <c r="C2132" s="135" t="s">
        <v>1402</v>
      </c>
      <c r="D2132" s="152" t="s">
        <v>1403</v>
      </c>
      <c r="E2132" s="137" t="s">
        <v>44</v>
      </c>
      <c r="F2132" s="138" t="s">
        <v>45</v>
      </c>
      <c r="G2132" s="136"/>
      <c r="H2132" s="136"/>
      <c r="I2132" s="136"/>
      <c r="J2132" s="136"/>
      <c r="K2132" s="136"/>
      <c r="L2132" s="136"/>
      <c r="M2132" s="419">
        <v>2815</v>
      </c>
      <c r="N2132" s="419">
        <v>3009</v>
      </c>
      <c r="O2132" s="419">
        <v>271</v>
      </c>
      <c r="P2132" s="419" t="s">
        <v>252</v>
      </c>
      <c r="Q2132" s="419">
        <v>285</v>
      </c>
      <c r="R2132" s="419" t="s">
        <v>252</v>
      </c>
      <c r="S2132" s="419">
        <v>156</v>
      </c>
      <c r="T2132" s="419" t="s">
        <v>252</v>
      </c>
      <c r="U2132" s="419">
        <v>243</v>
      </c>
      <c r="V2132" s="419" t="s">
        <v>252</v>
      </c>
      <c r="W2132" s="419">
        <v>222</v>
      </c>
      <c r="X2132" s="419" t="s">
        <v>252</v>
      </c>
      <c r="Y2132" s="419">
        <v>105</v>
      </c>
      <c r="Z2132" s="419" t="s">
        <v>252</v>
      </c>
      <c r="AA2132" s="419">
        <v>62</v>
      </c>
      <c r="AB2132" s="419" t="s">
        <v>252</v>
      </c>
      <c r="AC2132" s="419">
        <v>194</v>
      </c>
      <c r="AD2132" s="419" t="s">
        <v>252</v>
      </c>
      <c r="AE2132" s="419">
        <v>188</v>
      </c>
      <c r="AF2132" s="419" t="s">
        <v>252</v>
      </c>
      <c r="AG2132" s="419">
        <v>324</v>
      </c>
      <c r="AH2132" s="419" t="s">
        <v>252</v>
      </c>
      <c r="AI2132" s="419">
        <v>413</v>
      </c>
      <c r="AJ2132" s="419" t="s">
        <v>252</v>
      </c>
      <c r="AK2132" s="419">
        <v>356</v>
      </c>
      <c r="AL2132" s="419" t="s">
        <v>252</v>
      </c>
      <c r="AM2132" s="429">
        <f t="shared" ref="AM2132:AM2151" si="9">O2132+Q2132+S2132+U2132+W2132+Y2132+AA2132+AC2132+AE2132+AG2132+AI2132+AK2132</f>
        <v>2819</v>
      </c>
    </row>
    <row r="2133" spans="2:39" ht="20.25" hidden="1" outlineLevel="1">
      <c r="B2133" s="149" t="s">
        <v>1246</v>
      </c>
      <c r="C2133" s="135" t="s">
        <v>1402</v>
      </c>
      <c r="D2133" s="152" t="s">
        <v>1403</v>
      </c>
      <c r="E2133" s="137" t="s">
        <v>44</v>
      </c>
      <c r="F2133" s="138" t="s">
        <v>45</v>
      </c>
      <c r="G2133" s="136"/>
      <c r="H2133" s="136"/>
      <c r="I2133" s="136"/>
      <c r="J2133" s="136"/>
      <c r="K2133" s="136"/>
      <c r="L2133" s="136"/>
      <c r="M2133" s="420"/>
      <c r="N2133" s="420"/>
      <c r="O2133" s="420"/>
      <c r="P2133" s="420"/>
      <c r="Q2133" s="420"/>
      <c r="R2133" s="420"/>
      <c r="S2133" s="420"/>
      <c r="T2133" s="420"/>
      <c r="U2133" s="420"/>
      <c r="V2133" s="420"/>
      <c r="W2133" s="420"/>
      <c r="X2133" s="420"/>
      <c r="Y2133" s="420"/>
      <c r="Z2133" s="420"/>
      <c r="AA2133" s="420"/>
      <c r="AB2133" s="420"/>
      <c r="AC2133" s="420"/>
      <c r="AD2133" s="420"/>
      <c r="AE2133" s="420"/>
      <c r="AF2133" s="420"/>
      <c r="AG2133" s="420"/>
      <c r="AH2133" s="420"/>
      <c r="AI2133" s="420"/>
      <c r="AJ2133" s="420"/>
      <c r="AK2133" s="420"/>
      <c r="AL2133" s="420"/>
      <c r="AM2133" s="430"/>
    </row>
    <row r="2134" spans="2:39" ht="20.25" hidden="1" outlineLevel="1">
      <c r="B2134" s="149" t="s">
        <v>1247</v>
      </c>
      <c r="C2134" s="135" t="s">
        <v>1402</v>
      </c>
      <c r="D2134" s="152" t="s">
        <v>1403</v>
      </c>
      <c r="E2134" s="137" t="s">
        <v>44</v>
      </c>
      <c r="F2134" s="138" t="s">
        <v>45</v>
      </c>
      <c r="G2134" s="136"/>
      <c r="H2134" s="136"/>
      <c r="I2134" s="136"/>
      <c r="J2134" s="136"/>
      <c r="K2134" s="136"/>
      <c r="L2134" s="136"/>
      <c r="M2134" s="136">
        <v>6400</v>
      </c>
      <c r="N2134" s="136">
        <v>7427</v>
      </c>
      <c r="O2134" s="136">
        <v>430</v>
      </c>
      <c r="P2134" s="136" t="s">
        <v>259</v>
      </c>
      <c r="Q2134" s="136">
        <v>471</v>
      </c>
      <c r="R2134" s="136" t="s">
        <v>259</v>
      </c>
      <c r="S2134" s="136">
        <v>352</v>
      </c>
      <c r="T2134" s="136" t="s">
        <v>259</v>
      </c>
      <c r="U2134" s="136">
        <v>408</v>
      </c>
      <c r="V2134" s="136" t="s">
        <v>259</v>
      </c>
      <c r="W2134" s="136">
        <v>322</v>
      </c>
      <c r="X2134" s="136" t="s">
        <v>259</v>
      </c>
      <c r="Y2134" s="136">
        <v>304</v>
      </c>
      <c r="Z2134" s="136" t="s">
        <v>259</v>
      </c>
      <c r="AA2134" s="136">
        <v>192</v>
      </c>
      <c r="AB2134" s="136" t="s">
        <v>259</v>
      </c>
      <c r="AC2134" s="136">
        <v>406</v>
      </c>
      <c r="AD2134" s="136" t="s">
        <v>259</v>
      </c>
      <c r="AE2134" s="136">
        <v>170</v>
      </c>
      <c r="AF2134" s="136" t="s">
        <v>259</v>
      </c>
      <c r="AG2134" s="136">
        <v>560</v>
      </c>
      <c r="AH2134" s="136" t="s">
        <v>259</v>
      </c>
      <c r="AI2134" s="136">
        <v>582</v>
      </c>
      <c r="AJ2134" s="136" t="s">
        <v>259</v>
      </c>
      <c r="AK2134" s="136">
        <v>627</v>
      </c>
      <c r="AL2134" s="136" t="s">
        <v>259</v>
      </c>
      <c r="AM2134" s="139">
        <f t="shared" si="9"/>
        <v>4824</v>
      </c>
    </row>
    <row r="2135" spans="2:39" ht="20.25" hidden="1" outlineLevel="1">
      <c r="B2135" s="149" t="s">
        <v>1248</v>
      </c>
      <c r="C2135" s="135" t="s">
        <v>1402</v>
      </c>
      <c r="D2135" s="152" t="s">
        <v>1403</v>
      </c>
      <c r="E2135" s="137" t="s">
        <v>44</v>
      </c>
      <c r="F2135" s="138" t="s">
        <v>45</v>
      </c>
      <c r="G2135" s="136"/>
      <c r="H2135" s="136"/>
      <c r="I2135" s="136"/>
      <c r="J2135" s="136"/>
      <c r="K2135" s="136"/>
      <c r="L2135" s="136"/>
      <c r="M2135" s="136">
        <v>7831</v>
      </c>
      <c r="N2135" s="136">
        <v>8260</v>
      </c>
      <c r="O2135" s="136">
        <v>566</v>
      </c>
      <c r="P2135" s="136" t="s">
        <v>252</v>
      </c>
      <c r="Q2135" s="136">
        <v>477</v>
      </c>
      <c r="R2135" s="136" t="s">
        <v>252</v>
      </c>
      <c r="S2135" s="136">
        <v>264</v>
      </c>
      <c r="T2135" s="136" t="s">
        <v>252</v>
      </c>
      <c r="U2135" s="136">
        <v>447</v>
      </c>
      <c r="V2135" s="136" t="s">
        <v>252</v>
      </c>
      <c r="W2135" s="136">
        <v>342</v>
      </c>
      <c r="X2135" s="136" t="s">
        <v>252</v>
      </c>
      <c r="Y2135" s="136">
        <v>327</v>
      </c>
      <c r="Z2135" s="136" t="s">
        <v>252</v>
      </c>
      <c r="AA2135" s="136">
        <v>428</v>
      </c>
      <c r="AB2135" s="136" t="s">
        <v>252</v>
      </c>
      <c r="AC2135" s="136">
        <v>496</v>
      </c>
      <c r="AD2135" s="136" t="s">
        <v>252</v>
      </c>
      <c r="AE2135" s="136">
        <v>638</v>
      </c>
      <c r="AF2135" s="136" t="s">
        <v>252</v>
      </c>
      <c r="AG2135" s="136">
        <v>601</v>
      </c>
      <c r="AH2135" s="136" t="s">
        <v>252</v>
      </c>
      <c r="AI2135" s="136">
        <v>510</v>
      </c>
      <c r="AJ2135" s="136" t="s">
        <v>252</v>
      </c>
      <c r="AK2135" s="136">
        <v>568</v>
      </c>
      <c r="AL2135" s="136" t="s">
        <v>252</v>
      </c>
      <c r="AM2135" s="139">
        <f t="shared" si="9"/>
        <v>5664</v>
      </c>
    </row>
    <row r="2136" spans="2:39" ht="20.25" hidden="1" outlineLevel="1">
      <c r="B2136" s="149" t="s">
        <v>1249</v>
      </c>
      <c r="C2136" s="135" t="s">
        <v>1402</v>
      </c>
      <c r="D2136" s="152" t="s">
        <v>1403</v>
      </c>
      <c r="E2136" s="137" t="s">
        <v>44</v>
      </c>
      <c r="F2136" s="138" t="s">
        <v>45</v>
      </c>
      <c r="G2136" s="136"/>
      <c r="H2136" s="136"/>
      <c r="I2136" s="136"/>
      <c r="J2136" s="136"/>
      <c r="K2136" s="136"/>
      <c r="L2136" s="136"/>
      <c r="M2136" s="136">
        <v>3856</v>
      </c>
      <c r="N2136" s="136">
        <v>2612</v>
      </c>
      <c r="O2136" s="136">
        <v>255</v>
      </c>
      <c r="P2136" s="136" t="s">
        <v>252</v>
      </c>
      <c r="Q2136" s="136">
        <v>246</v>
      </c>
      <c r="R2136" s="136" t="s">
        <v>252</v>
      </c>
      <c r="S2136" s="136">
        <v>118</v>
      </c>
      <c r="T2136" s="136" t="s">
        <v>252</v>
      </c>
      <c r="U2136" s="136">
        <v>198</v>
      </c>
      <c r="V2136" s="136" t="s">
        <v>252</v>
      </c>
      <c r="W2136" s="136">
        <v>189</v>
      </c>
      <c r="X2136" s="136" t="s">
        <v>252</v>
      </c>
      <c r="Y2136" s="136">
        <v>179</v>
      </c>
      <c r="Z2136" s="136" t="s">
        <v>252</v>
      </c>
      <c r="AA2136" s="136">
        <v>191</v>
      </c>
      <c r="AB2136" s="136" t="s">
        <v>252</v>
      </c>
      <c r="AC2136" s="136">
        <v>180</v>
      </c>
      <c r="AD2136" s="136" t="s">
        <v>252</v>
      </c>
      <c r="AE2136" s="136">
        <v>236</v>
      </c>
      <c r="AF2136" s="136" t="s">
        <v>252</v>
      </c>
      <c r="AG2136" s="136">
        <v>230</v>
      </c>
      <c r="AH2136" s="136" t="s">
        <v>252</v>
      </c>
      <c r="AI2136" s="136">
        <v>215</v>
      </c>
      <c r="AJ2136" s="136" t="s">
        <v>252</v>
      </c>
      <c r="AK2136" s="136">
        <v>254</v>
      </c>
      <c r="AL2136" s="136" t="s">
        <v>252</v>
      </c>
      <c r="AM2136" s="139">
        <f t="shared" si="9"/>
        <v>2491</v>
      </c>
    </row>
    <row r="2137" spans="2:39" ht="40.5" hidden="1" outlineLevel="1">
      <c r="B2137" s="149" t="s">
        <v>1390</v>
      </c>
      <c r="C2137" s="136" t="s">
        <v>1411</v>
      </c>
      <c r="D2137" s="152"/>
      <c r="E2137" s="137" t="s">
        <v>44</v>
      </c>
      <c r="F2137" s="138" t="s">
        <v>45</v>
      </c>
      <c r="G2137" s="136"/>
      <c r="H2137" s="136"/>
      <c r="I2137" s="136"/>
      <c r="J2137" s="136"/>
      <c r="K2137" s="136"/>
      <c r="L2137" s="136"/>
      <c r="M2137" s="136"/>
      <c r="N2137" s="136"/>
      <c r="O2137" s="136"/>
      <c r="P2137" s="136"/>
      <c r="Q2137" s="136"/>
      <c r="R2137" s="136"/>
      <c r="S2137" s="136"/>
      <c r="T2137" s="136"/>
      <c r="U2137" s="136"/>
      <c r="V2137" s="136"/>
      <c r="W2137" s="136"/>
      <c r="X2137" s="136"/>
      <c r="Y2137" s="136"/>
      <c r="Z2137" s="136"/>
      <c r="AA2137" s="136"/>
      <c r="AB2137" s="136"/>
      <c r="AC2137" s="136"/>
      <c r="AD2137" s="136"/>
      <c r="AE2137" s="136"/>
      <c r="AF2137" s="136"/>
      <c r="AG2137" s="136"/>
      <c r="AH2137" s="136"/>
      <c r="AI2137" s="136"/>
      <c r="AJ2137" s="136"/>
      <c r="AK2137" s="136"/>
      <c r="AL2137" s="136"/>
      <c r="AM2137" s="139">
        <f t="shared" si="9"/>
        <v>0</v>
      </c>
    </row>
    <row r="2138" spans="2:39" ht="20.25" hidden="1" outlineLevel="1">
      <c r="B2138" s="149" t="s">
        <v>1250</v>
      </c>
      <c r="C2138" s="135" t="s">
        <v>1402</v>
      </c>
      <c r="D2138" s="152" t="s">
        <v>1403</v>
      </c>
      <c r="E2138" s="137" t="s">
        <v>44</v>
      </c>
      <c r="F2138" s="138" t="s">
        <v>45</v>
      </c>
      <c r="G2138" s="136"/>
      <c r="H2138" s="136"/>
      <c r="I2138" s="136"/>
      <c r="J2138" s="136"/>
      <c r="K2138" s="136"/>
      <c r="L2138" s="136"/>
      <c r="M2138" s="136">
        <v>4475</v>
      </c>
      <c r="N2138" s="136">
        <v>4034</v>
      </c>
      <c r="O2138" s="136">
        <v>260</v>
      </c>
      <c r="P2138" s="136" t="s">
        <v>252</v>
      </c>
      <c r="Q2138" s="136">
        <v>282</v>
      </c>
      <c r="R2138" s="136" t="s">
        <v>252</v>
      </c>
      <c r="S2138" s="136">
        <v>134</v>
      </c>
      <c r="T2138" s="136" t="s">
        <v>252</v>
      </c>
      <c r="U2138" s="136">
        <v>242</v>
      </c>
      <c r="V2138" s="136" t="s">
        <v>252</v>
      </c>
      <c r="W2138" s="136">
        <v>246</v>
      </c>
      <c r="X2138" s="136" t="s">
        <v>252</v>
      </c>
      <c r="Y2138" s="136">
        <v>318</v>
      </c>
      <c r="Z2138" s="136" t="s">
        <v>252</v>
      </c>
      <c r="AA2138" s="136">
        <v>286</v>
      </c>
      <c r="AB2138" s="136" t="s">
        <v>252</v>
      </c>
      <c r="AC2138" s="136">
        <v>246</v>
      </c>
      <c r="AD2138" s="136" t="s">
        <v>252</v>
      </c>
      <c r="AE2138" s="136">
        <v>305</v>
      </c>
      <c r="AF2138" s="136" t="s">
        <v>252</v>
      </c>
      <c r="AG2138" s="136">
        <v>264</v>
      </c>
      <c r="AH2138" s="136" t="s">
        <v>252</v>
      </c>
      <c r="AI2138" s="136">
        <v>327</v>
      </c>
      <c r="AJ2138" s="136" t="s">
        <v>252</v>
      </c>
      <c r="AK2138" s="136">
        <v>346</v>
      </c>
      <c r="AL2138" s="136" t="s">
        <v>252</v>
      </c>
      <c r="AM2138" s="139">
        <f t="shared" si="9"/>
        <v>3256</v>
      </c>
    </row>
    <row r="2139" spans="2:39" ht="20.25" hidden="1" outlineLevel="1">
      <c r="B2139" s="149" t="s">
        <v>1251</v>
      </c>
      <c r="C2139" s="135" t="s">
        <v>1402</v>
      </c>
      <c r="D2139" s="152" t="s">
        <v>1403</v>
      </c>
      <c r="E2139" s="137" t="s">
        <v>44</v>
      </c>
      <c r="F2139" s="144" t="s">
        <v>45</v>
      </c>
      <c r="G2139" s="136"/>
      <c r="H2139" s="136"/>
      <c r="I2139" s="136"/>
      <c r="J2139" s="136"/>
      <c r="K2139" s="136"/>
      <c r="L2139" s="136"/>
      <c r="M2139" s="136">
        <v>4724</v>
      </c>
      <c r="N2139" s="136">
        <v>4741</v>
      </c>
      <c r="O2139" s="136">
        <v>727</v>
      </c>
      <c r="P2139" s="136" t="s">
        <v>252</v>
      </c>
      <c r="Q2139" s="136">
        <v>437</v>
      </c>
      <c r="R2139" s="136" t="s">
        <v>252</v>
      </c>
      <c r="S2139" s="136">
        <v>219</v>
      </c>
      <c r="T2139" s="136" t="s">
        <v>252</v>
      </c>
      <c r="U2139" s="136">
        <v>475</v>
      </c>
      <c r="V2139" s="136" t="s">
        <v>252</v>
      </c>
      <c r="W2139" s="136">
        <v>280</v>
      </c>
      <c r="X2139" s="136" t="s">
        <v>252</v>
      </c>
      <c r="Y2139" s="136">
        <v>334</v>
      </c>
      <c r="Z2139" s="136" t="s">
        <v>252</v>
      </c>
      <c r="AA2139" s="136">
        <v>309</v>
      </c>
      <c r="AB2139" s="136" t="s">
        <v>252</v>
      </c>
      <c r="AC2139" s="136">
        <v>333</v>
      </c>
      <c r="AD2139" s="136" t="s">
        <v>252</v>
      </c>
      <c r="AE2139" s="136">
        <v>603</v>
      </c>
      <c r="AF2139" s="136" t="s">
        <v>252</v>
      </c>
      <c r="AG2139" s="136">
        <v>416</v>
      </c>
      <c r="AH2139" s="136" t="s">
        <v>252</v>
      </c>
      <c r="AI2139" s="136">
        <v>381</v>
      </c>
      <c r="AJ2139" s="136" t="s">
        <v>252</v>
      </c>
      <c r="AK2139" s="136">
        <v>452</v>
      </c>
      <c r="AL2139" s="136" t="s">
        <v>252</v>
      </c>
      <c r="AM2139" s="139">
        <f t="shared" si="9"/>
        <v>4966</v>
      </c>
    </row>
    <row r="2140" spans="2:39" ht="20.25" hidden="1" outlineLevel="1">
      <c r="B2140" s="149" t="s">
        <v>1252</v>
      </c>
      <c r="C2140" s="135" t="s">
        <v>1402</v>
      </c>
      <c r="D2140" s="152" t="s">
        <v>1403</v>
      </c>
      <c r="E2140" s="137" t="s">
        <v>44</v>
      </c>
      <c r="F2140" s="144" t="s">
        <v>45</v>
      </c>
      <c r="G2140" s="136"/>
      <c r="H2140" s="136"/>
      <c r="I2140" s="136"/>
      <c r="J2140" s="136"/>
      <c r="K2140" s="136"/>
      <c r="L2140" s="136"/>
      <c r="M2140" s="136">
        <v>3719</v>
      </c>
      <c r="N2140" s="136">
        <v>3738</v>
      </c>
      <c r="O2140" s="136">
        <v>393</v>
      </c>
      <c r="P2140" s="136" t="s">
        <v>252</v>
      </c>
      <c r="Q2140" s="136">
        <v>407</v>
      </c>
      <c r="R2140" s="136" t="s">
        <v>252</v>
      </c>
      <c r="S2140" s="136">
        <v>237</v>
      </c>
      <c r="T2140" s="136" t="s">
        <v>252</v>
      </c>
      <c r="U2140" s="136">
        <v>301</v>
      </c>
      <c r="V2140" s="136" t="s">
        <v>252</v>
      </c>
      <c r="W2140" s="136">
        <v>206</v>
      </c>
      <c r="X2140" s="136" t="s">
        <v>252</v>
      </c>
      <c r="Y2140" s="136">
        <v>150</v>
      </c>
      <c r="Z2140" s="136" t="s">
        <v>252</v>
      </c>
      <c r="AA2140" s="136">
        <v>142</v>
      </c>
      <c r="AB2140" s="136" t="s">
        <v>252</v>
      </c>
      <c r="AC2140" s="136">
        <v>175</v>
      </c>
      <c r="AD2140" s="136" t="s">
        <v>252</v>
      </c>
      <c r="AE2140" s="136">
        <v>251</v>
      </c>
      <c r="AF2140" s="136" t="s">
        <v>252</v>
      </c>
      <c r="AG2140" s="136">
        <v>303</v>
      </c>
      <c r="AH2140" s="136" t="s">
        <v>252</v>
      </c>
      <c r="AI2140" s="136">
        <v>296</v>
      </c>
      <c r="AJ2140" s="136" t="s">
        <v>252</v>
      </c>
      <c r="AK2140" s="136">
        <v>366</v>
      </c>
      <c r="AL2140" s="136" t="s">
        <v>252</v>
      </c>
      <c r="AM2140" s="139">
        <f t="shared" si="9"/>
        <v>3227</v>
      </c>
    </row>
    <row r="2141" spans="2:39" ht="20.25" hidden="1" outlineLevel="1">
      <c r="B2141" s="149" t="s">
        <v>1253</v>
      </c>
      <c r="C2141" s="135" t="s">
        <v>1402</v>
      </c>
      <c r="D2141" s="152" t="s">
        <v>1403</v>
      </c>
      <c r="E2141" s="137" t="s">
        <v>44</v>
      </c>
      <c r="F2141" s="138" t="s">
        <v>45</v>
      </c>
      <c r="G2141" s="136"/>
      <c r="H2141" s="136"/>
      <c r="I2141" s="136"/>
      <c r="J2141" s="136"/>
      <c r="K2141" s="136"/>
      <c r="L2141" s="136"/>
      <c r="M2141" s="136">
        <v>3605</v>
      </c>
      <c r="N2141" s="136">
        <v>3403</v>
      </c>
      <c r="O2141" s="136">
        <v>268</v>
      </c>
      <c r="P2141" s="136" t="s">
        <v>252</v>
      </c>
      <c r="Q2141" s="136">
        <v>206</v>
      </c>
      <c r="R2141" s="136" t="s">
        <v>252</v>
      </c>
      <c r="S2141" s="136">
        <v>129</v>
      </c>
      <c r="T2141" s="136" t="s">
        <v>252</v>
      </c>
      <c r="U2141" s="136">
        <v>354</v>
      </c>
      <c r="V2141" s="136" t="s">
        <v>252</v>
      </c>
      <c r="W2141" s="136">
        <v>249</v>
      </c>
      <c r="X2141" s="136" t="s">
        <v>252</v>
      </c>
      <c r="Y2141" s="136">
        <v>211</v>
      </c>
      <c r="Z2141" s="136" t="s">
        <v>252</v>
      </c>
      <c r="AA2141" s="136">
        <v>213</v>
      </c>
      <c r="AB2141" s="136" t="s">
        <v>252</v>
      </c>
      <c r="AC2141" s="136">
        <v>196</v>
      </c>
      <c r="AD2141" s="136" t="s">
        <v>252</v>
      </c>
      <c r="AE2141" s="136">
        <v>232</v>
      </c>
      <c r="AF2141" s="136" t="s">
        <v>252</v>
      </c>
      <c r="AG2141" s="136">
        <v>219</v>
      </c>
      <c r="AH2141" s="136" t="s">
        <v>252</v>
      </c>
      <c r="AI2141" s="136">
        <v>226</v>
      </c>
      <c r="AJ2141" s="136" t="s">
        <v>252</v>
      </c>
      <c r="AK2141" s="136">
        <v>207</v>
      </c>
      <c r="AL2141" s="136" t="s">
        <v>252</v>
      </c>
      <c r="AM2141" s="139">
        <f t="shared" si="9"/>
        <v>2710</v>
      </c>
    </row>
    <row r="2142" spans="2:39" ht="20.25" hidden="1" outlineLevel="1">
      <c r="B2142" s="149" t="s">
        <v>1254</v>
      </c>
      <c r="C2142" s="135" t="s">
        <v>1402</v>
      </c>
      <c r="D2142" s="152" t="s">
        <v>1403</v>
      </c>
      <c r="E2142" s="137" t="s">
        <v>44</v>
      </c>
      <c r="F2142" s="138" t="s">
        <v>45</v>
      </c>
      <c r="G2142" s="136"/>
      <c r="H2142" s="136"/>
      <c r="I2142" s="136"/>
      <c r="J2142" s="136"/>
      <c r="K2142" s="136"/>
      <c r="L2142" s="136"/>
      <c r="M2142" s="136">
        <v>2612</v>
      </c>
      <c r="N2142" s="136">
        <v>2496</v>
      </c>
      <c r="O2142" s="136">
        <v>269</v>
      </c>
      <c r="P2142" s="136" t="s">
        <v>252</v>
      </c>
      <c r="Q2142" s="136">
        <v>261</v>
      </c>
      <c r="R2142" s="136" t="s">
        <v>252</v>
      </c>
      <c r="S2142" s="136">
        <v>142</v>
      </c>
      <c r="T2142" s="136" t="s">
        <v>252</v>
      </c>
      <c r="U2142" s="136">
        <v>255</v>
      </c>
      <c r="V2142" s="136" t="s">
        <v>252</v>
      </c>
      <c r="W2142" s="136">
        <v>195</v>
      </c>
      <c r="X2142" s="136" t="s">
        <v>252</v>
      </c>
      <c r="Y2142" s="136">
        <v>185</v>
      </c>
      <c r="Z2142" s="136" t="s">
        <v>252</v>
      </c>
      <c r="AA2142" s="136">
        <v>167</v>
      </c>
      <c r="AB2142" s="136" t="s">
        <v>252</v>
      </c>
      <c r="AC2142" s="136">
        <v>173</v>
      </c>
      <c r="AD2142" s="136" t="s">
        <v>252</v>
      </c>
      <c r="AE2142" s="136">
        <v>201</v>
      </c>
      <c r="AF2142" s="136" t="s">
        <v>252</v>
      </c>
      <c r="AG2142" s="136">
        <v>225</v>
      </c>
      <c r="AH2142" s="136" t="s">
        <v>252</v>
      </c>
      <c r="AI2142" s="136">
        <v>215</v>
      </c>
      <c r="AJ2142" s="136" t="s">
        <v>252</v>
      </c>
      <c r="AK2142" s="136">
        <v>241</v>
      </c>
      <c r="AL2142" s="136" t="s">
        <v>252</v>
      </c>
      <c r="AM2142" s="139">
        <f t="shared" si="9"/>
        <v>2529</v>
      </c>
    </row>
    <row r="2143" spans="2:39" ht="20.25" hidden="1" outlineLevel="1">
      <c r="B2143" s="149" t="s">
        <v>1255</v>
      </c>
      <c r="C2143" s="135" t="s">
        <v>1402</v>
      </c>
      <c r="D2143" s="152" t="s">
        <v>1403</v>
      </c>
      <c r="E2143" s="137" t="s">
        <v>44</v>
      </c>
      <c r="F2143" s="138" t="s">
        <v>45</v>
      </c>
      <c r="G2143" s="136"/>
      <c r="H2143" s="136"/>
      <c r="I2143" s="136"/>
      <c r="J2143" s="136"/>
      <c r="K2143" s="136"/>
      <c r="L2143" s="136"/>
      <c r="M2143" s="419">
        <v>6369</v>
      </c>
      <c r="N2143" s="419">
        <v>4354</v>
      </c>
      <c r="O2143" s="419">
        <v>292</v>
      </c>
      <c r="P2143" s="419" t="s">
        <v>252</v>
      </c>
      <c r="Q2143" s="419">
        <v>437</v>
      </c>
      <c r="R2143" s="419" t="s">
        <v>252</v>
      </c>
      <c r="S2143" s="417">
        <v>277</v>
      </c>
      <c r="T2143" s="419" t="s">
        <v>252</v>
      </c>
      <c r="U2143" s="419">
        <v>464</v>
      </c>
      <c r="V2143" s="419" t="s">
        <v>252</v>
      </c>
      <c r="W2143" s="419">
        <v>359</v>
      </c>
      <c r="X2143" s="419" t="s">
        <v>252</v>
      </c>
      <c r="Y2143" s="419">
        <v>408</v>
      </c>
      <c r="Z2143" s="419" t="s">
        <v>252</v>
      </c>
      <c r="AA2143" s="419">
        <v>364</v>
      </c>
      <c r="AB2143" s="419" t="s">
        <v>252</v>
      </c>
      <c r="AC2143" s="419">
        <v>326</v>
      </c>
      <c r="AD2143" s="419" t="s">
        <v>252</v>
      </c>
      <c r="AE2143" s="419">
        <v>427</v>
      </c>
      <c r="AF2143" s="419" t="s">
        <v>252</v>
      </c>
      <c r="AG2143" s="419">
        <v>438</v>
      </c>
      <c r="AH2143" s="419" t="s">
        <v>252</v>
      </c>
      <c r="AI2143" s="419">
        <v>516</v>
      </c>
      <c r="AJ2143" s="419" t="s">
        <v>252</v>
      </c>
      <c r="AK2143" s="419">
        <v>619</v>
      </c>
      <c r="AL2143" s="419" t="s">
        <v>252</v>
      </c>
      <c r="AM2143" s="429">
        <f t="shared" si="9"/>
        <v>4927</v>
      </c>
    </row>
    <row r="2144" spans="2:39" ht="20.25" hidden="1" outlineLevel="1">
      <c r="B2144" s="149" t="s">
        <v>1256</v>
      </c>
      <c r="C2144" s="135" t="s">
        <v>1402</v>
      </c>
      <c r="D2144" s="152" t="s">
        <v>1403</v>
      </c>
      <c r="E2144" s="137" t="s">
        <v>44</v>
      </c>
      <c r="F2144" s="138" t="s">
        <v>45</v>
      </c>
      <c r="G2144" s="136"/>
      <c r="H2144" s="136"/>
      <c r="I2144" s="136"/>
      <c r="J2144" s="136"/>
      <c r="K2144" s="136"/>
      <c r="L2144" s="136"/>
      <c r="M2144" s="431"/>
      <c r="N2144" s="431"/>
      <c r="O2144" s="431"/>
      <c r="P2144" s="431"/>
      <c r="Q2144" s="431"/>
      <c r="R2144" s="431"/>
      <c r="S2144" s="432"/>
      <c r="T2144" s="431"/>
      <c r="U2144" s="431"/>
      <c r="V2144" s="431"/>
      <c r="W2144" s="431"/>
      <c r="X2144" s="431"/>
      <c r="Y2144" s="431"/>
      <c r="Z2144" s="431"/>
      <c r="AA2144" s="431"/>
      <c r="AB2144" s="431"/>
      <c r="AC2144" s="431"/>
      <c r="AD2144" s="431"/>
      <c r="AE2144" s="431"/>
      <c r="AF2144" s="431"/>
      <c r="AG2144" s="431"/>
      <c r="AH2144" s="431"/>
      <c r="AI2144" s="431"/>
      <c r="AJ2144" s="431"/>
      <c r="AK2144" s="431"/>
      <c r="AL2144" s="431"/>
      <c r="AM2144" s="441"/>
    </row>
    <row r="2145" spans="2:39" ht="20.25" hidden="1" outlineLevel="1">
      <c r="B2145" s="149" t="s">
        <v>1257</v>
      </c>
      <c r="C2145" s="135" t="s">
        <v>1402</v>
      </c>
      <c r="D2145" s="152" t="s">
        <v>1403</v>
      </c>
      <c r="E2145" s="137" t="s">
        <v>44</v>
      </c>
      <c r="F2145" s="138" t="s">
        <v>45</v>
      </c>
      <c r="G2145" s="136"/>
      <c r="H2145" s="136"/>
      <c r="I2145" s="136"/>
      <c r="J2145" s="136"/>
      <c r="K2145" s="136"/>
      <c r="L2145" s="136"/>
      <c r="M2145" s="431"/>
      <c r="N2145" s="431"/>
      <c r="O2145" s="431"/>
      <c r="P2145" s="431"/>
      <c r="Q2145" s="431"/>
      <c r="R2145" s="431"/>
      <c r="S2145" s="432"/>
      <c r="T2145" s="431"/>
      <c r="U2145" s="431"/>
      <c r="V2145" s="431"/>
      <c r="W2145" s="431"/>
      <c r="X2145" s="431"/>
      <c r="Y2145" s="431"/>
      <c r="Z2145" s="431"/>
      <c r="AA2145" s="431"/>
      <c r="AB2145" s="431"/>
      <c r="AC2145" s="431"/>
      <c r="AD2145" s="431"/>
      <c r="AE2145" s="431"/>
      <c r="AF2145" s="431"/>
      <c r="AG2145" s="431"/>
      <c r="AH2145" s="431"/>
      <c r="AI2145" s="431"/>
      <c r="AJ2145" s="431"/>
      <c r="AK2145" s="431"/>
      <c r="AL2145" s="431"/>
      <c r="AM2145" s="441"/>
    </row>
    <row r="2146" spans="2:39" ht="20.25" hidden="1" outlineLevel="1">
      <c r="B2146" s="149" t="s">
        <v>1258</v>
      </c>
      <c r="C2146" s="135" t="s">
        <v>1402</v>
      </c>
      <c r="D2146" s="152" t="s">
        <v>1403</v>
      </c>
      <c r="E2146" s="137" t="s">
        <v>44</v>
      </c>
      <c r="F2146" s="138" t="s">
        <v>45</v>
      </c>
      <c r="G2146" s="136"/>
      <c r="H2146" s="136"/>
      <c r="I2146" s="136"/>
      <c r="J2146" s="136"/>
      <c r="K2146" s="136"/>
      <c r="L2146" s="136"/>
      <c r="M2146" s="420"/>
      <c r="N2146" s="420"/>
      <c r="O2146" s="420"/>
      <c r="P2146" s="420"/>
      <c r="Q2146" s="420"/>
      <c r="R2146" s="420"/>
      <c r="S2146" s="418"/>
      <c r="T2146" s="420"/>
      <c r="U2146" s="420"/>
      <c r="V2146" s="420"/>
      <c r="W2146" s="420"/>
      <c r="X2146" s="420"/>
      <c r="Y2146" s="420"/>
      <c r="Z2146" s="420"/>
      <c r="AA2146" s="420"/>
      <c r="AB2146" s="420"/>
      <c r="AC2146" s="420"/>
      <c r="AD2146" s="420"/>
      <c r="AE2146" s="420"/>
      <c r="AF2146" s="420"/>
      <c r="AG2146" s="420"/>
      <c r="AH2146" s="420"/>
      <c r="AI2146" s="420"/>
      <c r="AJ2146" s="420"/>
      <c r="AK2146" s="420"/>
      <c r="AL2146" s="420"/>
      <c r="AM2146" s="430"/>
    </row>
    <row r="2147" spans="2:39" ht="20.25" hidden="1" outlineLevel="1">
      <c r="B2147" s="149" t="s">
        <v>1259</v>
      </c>
      <c r="C2147" s="136" t="s">
        <v>1416</v>
      </c>
      <c r="D2147" s="152"/>
      <c r="E2147" s="137" t="s">
        <v>44</v>
      </c>
      <c r="F2147" s="144" t="s">
        <v>45</v>
      </c>
      <c r="G2147" s="136"/>
      <c r="H2147" s="136"/>
      <c r="I2147" s="136"/>
      <c r="J2147" s="136"/>
      <c r="K2147" s="136"/>
      <c r="L2147" s="136"/>
      <c r="M2147" s="136"/>
      <c r="N2147" s="136"/>
      <c r="O2147" s="136"/>
      <c r="P2147" s="135"/>
      <c r="Q2147" s="136"/>
      <c r="R2147" s="135"/>
      <c r="S2147" s="136"/>
      <c r="T2147" s="135"/>
      <c r="U2147" s="136"/>
      <c r="V2147" s="135"/>
      <c r="W2147" s="136"/>
      <c r="X2147" s="135"/>
      <c r="Y2147" s="136"/>
      <c r="Z2147" s="135"/>
      <c r="AA2147" s="136"/>
      <c r="AB2147" s="135"/>
      <c r="AC2147" s="136"/>
      <c r="AD2147" s="135"/>
      <c r="AE2147" s="136"/>
      <c r="AF2147" s="135"/>
      <c r="AG2147" s="136"/>
      <c r="AH2147" s="135"/>
      <c r="AI2147" s="136"/>
      <c r="AJ2147" s="135"/>
      <c r="AK2147" s="136"/>
      <c r="AL2147" s="135"/>
      <c r="AM2147" s="139">
        <f t="shared" si="9"/>
        <v>0</v>
      </c>
    </row>
    <row r="2148" spans="2:39" ht="20.25" hidden="1" outlineLevel="1">
      <c r="B2148" s="149" t="s">
        <v>1260</v>
      </c>
      <c r="C2148" s="135" t="s">
        <v>1402</v>
      </c>
      <c r="D2148" s="152" t="s">
        <v>1403</v>
      </c>
      <c r="E2148" s="137" t="s">
        <v>44</v>
      </c>
      <c r="F2148" s="144" t="s">
        <v>45</v>
      </c>
      <c r="G2148" s="136"/>
      <c r="H2148" s="136"/>
      <c r="I2148" s="136"/>
      <c r="J2148" s="136"/>
      <c r="K2148" s="136"/>
      <c r="L2148" s="136"/>
      <c r="M2148" s="136">
        <v>1357</v>
      </c>
      <c r="N2148" s="136">
        <v>2521</v>
      </c>
      <c r="O2148" s="136">
        <v>204</v>
      </c>
      <c r="P2148" s="135" t="s">
        <v>252</v>
      </c>
      <c r="Q2148" s="136">
        <v>259</v>
      </c>
      <c r="R2148" s="135" t="s">
        <v>252</v>
      </c>
      <c r="S2148" s="136">
        <v>143</v>
      </c>
      <c r="T2148" s="135" t="s">
        <v>252</v>
      </c>
      <c r="U2148" s="136">
        <v>174</v>
      </c>
      <c r="V2148" s="135" t="s">
        <v>252</v>
      </c>
      <c r="W2148" s="136">
        <v>130</v>
      </c>
      <c r="X2148" s="135" t="s">
        <v>252</v>
      </c>
      <c r="Y2148" s="136">
        <v>124</v>
      </c>
      <c r="Z2148" s="135" t="s">
        <v>252</v>
      </c>
      <c r="AA2148" s="136">
        <v>79</v>
      </c>
      <c r="AB2148" s="135" t="s">
        <v>252</v>
      </c>
      <c r="AC2148" s="136">
        <v>93</v>
      </c>
      <c r="AD2148" s="135" t="s">
        <v>252</v>
      </c>
      <c r="AE2148" s="136">
        <v>175</v>
      </c>
      <c r="AF2148" s="135" t="s">
        <v>252</v>
      </c>
      <c r="AG2148" s="136">
        <v>219</v>
      </c>
      <c r="AH2148" s="135" t="s">
        <v>252</v>
      </c>
      <c r="AI2148" s="136">
        <v>170</v>
      </c>
      <c r="AJ2148" s="135" t="s">
        <v>252</v>
      </c>
      <c r="AK2148" s="136">
        <v>194</v>
      </c>
      <c r="AL2148" s="135" t="s">
        <v>252</v>
      </c>
      <c r="AM2148" s="139">
        <f t="shared" si="9"/>
        <v>1964</v>
      </c>
    </row>
    <row r="2149" spans="2:39" ht="20.25" hidden="1" outlineLevel="1">
      <c r="B2149" s="149" t="s">
        <v>1261</v>
      </c>
      <c r="C2149" s="135" t="s">
        <v>1402</v>
      </c>
      <c r="D2149" s="152" t="s">
        <v>1403</v>
      </c>
      <c r="E2149" s="137" t="s">
        <v>44</v>
      </c>
      <c r="F2149" s="138" t="s">
        <v>45</v>
      </c>
      <c r="G2149" s="136"/>
      <c r="H2149" s="136"/>
      <c r="I2149" s="136"/>
      <c r="J2149" s="136"/>
      <c r="K2149" s="136"/>
      <c r="L2149" s="136"/>
      <c r="M2149" s="136">
        <v>1706</v>
      </c>
      <c r="N2149" s="136">
        <v>1201</v>
      </c>
      <c r="O2149" s="136">
        <v>15</v>
      </c>
      <c r="P2149" s="135" t="s">
        <v>252</v>
      </c>
      <c r="Q2149" s="136">
        <v>15</v>
      </c>
      <c r="R2149" s="135" t="s">
        <v>252</v>
      </c>
      <c r="S2149" s="136">
        <v>355</v>
      </c>
      <c r="T2149" s="135" t="s">
        <v>252</v>
      </c>
      <c r="U2149" s="136">
        <v>430</v>
      </c>
      <c r="V2149" s="135" t="s">
        <v>252</v>
      </c>
      <c r="W2149" s="136">
        <v>322</v>
      </c>
      <c r="X2149" s="135" t="s">
        <v>252</v>
      </c>
      <c r="Y2149" s="136">
        <v>189</v>
      </c>
      <c r="Z2149" s="135" t="s">
        <v>252</v>
      </c>
      <c r="AA2149" s="136">
        <v>276</v>
      </c>
      <c r="AB2149" s="135" t="s">
        <v>252</v>
      </c>
      <c r="AC2149" s="136">
        <v>190</v>
      </c>
      <c r="AD2149" s="135" t="s">
        <v>252</v>
      </c>
      <c r="AE2149" s="136">
        <v>483</v>
      </c>
      <c r="AF2149" s="135" t="s">
        <v>252</v>
      </c>
      <c r="AG2149" s="136">
        <v>445</v>
      </c>
      <c r="AH2149" s="135" t="s">
        <v>252</v>
      </c>
      <c r="AI2149" s="136">
        <v>377</v>
      </c>
      <c r="AJ2149" s="135" t="s">
        <v>252</v>
      </c>
      <c r="AK2149" s="136">
        <v>525</v>
      </c>
      <c r="AL2149" s="135" t="s">
        <v>252</v>
      </c>
      <c r="AM2149" s="139">
        <f t="shared" si="9"/>
        <v>3622</v>
      </c>
    </row>
    <row r="2150" spans="2:39" ht="20.25" hidden="1" outlineLevel="1">
      <c r="B2150" s="149" t="s">
        <v>1262</v>
      </c>
      <c r="C2150" s="135" t="s">
        <v>1402</v>
      </c>
      <c r="D2150" s="152" t="s">
        <v>1403</v>
      </c>
      <c r="E2150" s="137" t="s">
        <v>44</v>
      </c>
      <c r="F2150" s="138" t="s">
        <v>45</v>
      </c>
      <c r="G2150" s="136"/>
      <c r="H2150" s="136"/>
      <c r="I2150" s="136"/>
      <c r="J2150" s="136"/>
      <c r="K2150" s="136"/>
      <c r="L2150" s="136"/>
      <c r="M2150" s="136">
        <v>9876</v>
      </c>
      <c r="N2150" s="136">
        <v>9935</v>
      </c>
      <c r="O2150" s="136">
        <v>867</v>
      </c>
      <c r="P2150" s="135" t="s">
        <v>252</v>
      </c>
      <c r="Q2150" s="136">
        <v>846</v>
      </c>
      <c r="R2150" s="135" t="s">
        <v>252</v>
      </c>
      <c r="S2150" s="136">
        <v>617</v>
      </c>
      <c r="T2150" s="135" t="s">
        <v>252</v>
      </c>
      <c r="U2150" s="136">
        <v>815</v>
      </c>
      <c r="V2150" s="135" t="s">
        <v>252</v>
      </c>
      <c r="W2150" s="136">
        <v>644</v>
      </c>
      <c r="X2150" s="135" t="s">
        <v>252</v>
      </c>
      <c r="Y2150" s="136">
        <v>384</v>
      </c>
      <c r="Z2150" s="135" t="s">
        <v>252</v>
      </c>
      <c r="AA2150" s="136">
        <v>482</v>
      </c>
      <c r="AB2150" s="135" t="s">
        <v>252</v>
      </c>
      <c r="AC2150" s="136">
        <v>588</v>
      </c>
      <c r="AD2150" s="135" t="s">
        <v>252</v>
      </c>
      <c r="AE2150" s="136">
        <v>921</v>
      </c>
      <c r="AF2150" s="135" t="s">
        <v>252</v>
      </c>
      <c r="AG2150" s="136">
        <v>799</v>
      </c>
      <c r="AH2150" s="135" t="s">
        <v>252</v>
      </c>
      <c r="AI2150" s="136">
        <v>659</v>
      </c>
      <c r="AJ2150" s="135" t="s">
        <v>252</v>
      </c>
      <c r="AK2150" s="136">
        <v>862</v>
      </c>
      <c r="AL2150" s="135" t="s">
        <v>252</v>
      </c>
      <c r="AM2150" s="139">
        <f t="shared" si="9"/>
        <v>8484</v>
      </c>
    </row>
    <row r="2151" spans="2:39" ht="20.25" hidden="1" outlineLevel="1">
      <c r="B2151" s="149" t="s">
        <v>1263</v>
      </c>
      <c r="C2151" s="135" t="s">
        <v>1402</v>
      </c>
      <c r="D2151" s="152" t="s">
        <v>1403</v>
      </c>
      <c r="E2151" s="137" t="s">
        <v>44</v>
      </c>
      <c r="F2151" s="138" t="s">
        <v>45</v>
      </c>
      <c r="G2151" s="136"/>
      <c r="H2151" s="136"/>
      <c r="I2151" s="136"/>
      <c r="J2151" s="136"/>
      <c r="K2151" s="136"/>
      <c r="L2151" s="136"/>
      <c r="M2151" s="136">
        <v>10430</v>
      </c>
      <c r="N2151" s="136">
        <v>9862</v>
      </c>
      <c r="O2151" s="136">
        <v>889</v>
      </c>
      <c r="P2151" s="135" t="s">
        <v>252</v>
      </c>
      <c r="Q2151" s="136">
        <v>794</v>
      </c>
      <c r="R2151" s="135" t="s">
        <v>252</v>
      </c>
      <c r="S2151" s="136">
        <v>452</v>
      </c>
      <c r="T2151" s="135" t="s">
        <v>252</v>
      </c>
      <c r="U2151" s="136">
        <v>691</v>
      </c>
      <c r="V2151" s="135" t="s">
        <v>252</v>
      </c>
      <c r="W2151" s="136">
        <v>562</v>
      </c>
      <c r="X2151" s="135" t="s">
        <v>252</v>
      </c>
      <c r="Y2151" s="136">
        <v>490</v>
      </c>
      <c r="Z2151" s="135" t="s">
        <v>252</v>
      </c>
      <c r="AA2151" s="136">
        <v>440</v>
      </c>
      <c r="AB2151" s="135" t="s">
        <v>252</v>
      </c>
      <c r="AC2151" s="136">
        <v>446</v>
      </c>
      <c r="AD2151" s="135" t="s">
        <v>252</v>
      </c>
      <c r="AE2151" s="136">
        <v>549</v>
      </c>
      <c r="AF2151" s="135" t="s">
        <v>252</v>
      </c>
      <c r="AG2151" s="136">
        <v>560</v>
      </c>
      <c r="AH2151" s="135" t="s">
        <v>252</v>
      </c>
      <c r="AI2151" s="136">
        <v>708</v>
      </c>
      <c r="AJ2151" s="135" t="s">
        <v>252</v>
      </c>
      <c r="AK2151" s="136">
        <v>790</v>
      </c>
      <c r="AL2151" s="135" t="s">
        <v>252</v>
      </c>
      <c r="AM2151" s="139">
        <f t="shared" si="9"/>
        <v>7371</v>
      </c>
    </row>
    <row r="2152" spans="2:39" ht="20.25" hidden="1" outlineLevel="1">
      <c r="B2152" s="149" t="s">
        <v>1264</v>
      </c>
      <c r="C2152" s="135" t="s">
        <v>1402</v>
      </c>
      <c r="D2152" s="152" t="s">
        <v>1403</v>
      </c>
      <c r="E2152" s="433" t="s">
        <v>138</v>
      </c>
      <c r="F2152" s="425" t="s">
        <v>45</v>
      </c>
      <c r="G2152" s="136"/>
      <c r="H2152" s="136"/>
      <c r="I2152" s="136"/>
      <c r="J2152" s="136"/>
      <c r="K2152" s="136"/>
      <c r="L2152" s="136"/>
      <c r="M2152" s="419">
        <v>2673</v>
      </c>
      <c r="N2152" s="419">
        <v>3121</v>
      </c>
      <c r="O2152" s="419">
        <v>438</v>
      </c>
      <c r="P2152" s="419" t="s">
        <v>252</v>
      </c>
      <c r="Q2152" s="419">
        <v>475</v>
      </c>
      <c r="R2152" s="419" t="s">
        <v>252</v>
      </c>
      <c r="S2152" s="419">
        <v>417</v>
      </c>
      <c r="T2152" s="419" t="s">
        <v>252</v>
      </c>
      <c r="U2152" s="419">
        <v>461</v>
      </c>
      <c r="V2152" s="419" t="s">
        <v>252</v>
      </c>
      <c r="W2152" s="419">
        <v>385</v>
      </c>
      <c r="X2152" s="419" t="s">
        <v>252</v>
      </c>
      <c r="Y2152" s="419">
        <v>462</v>
      </c>
      <c r="Z2152" s="419" t="s">
        <v>252</v>
      </c>
      <c r="AA2152" s="419">
        <v>397</v>
      </c>
      <c r="AB2152" s="419" t="s">
        <v>252</v>
      </c>
      <c r="AC2152" s="419">
        <v>414</v>
      </c>
      <c r="AD2152" s="419" t="s">
        <v>252</v>
      </c>
      <c r="AE2152" s="419">
        <v>495</v>
      </c>
      <c r="AF2152" s="419" t="s">
        <v>252</v>
      </c>
      <c r="AG2152" s="419">
        <v>445</v>
      </c>
      <c r="AH2152" s="419" t="s">
        <v>252</v>
      </c>
      <c r="AI2152" s="419">
        <v>427</v>
      </c>
      <c r="AJ2152" s="419" t="s">
        <v>252</v>
      </c>
      <c r="AK2152" s="419">
        <v>457</v>
      </c>
      <c r="AL2152" s="419" t="s">
        <v>252</v>
      </c>
      <c r="AM2152" s="409">
        <f>O2152+Q2152+S2152+U2152+W2152+Y2152+AA2152+AC2152+AE2152+AG2152+AI2152+AK2152</f>
        <v>5273</v>
      </c>
    </row>
    <row r="2153" spans="2:39" ht="20.25" hidden="1" outlineLevel="1">
      <c r="B2153" s="149" t="s">
        <v>1265</v>
      </c>
      <c r="C2153" s="135" t="s">
        <v>1402</v>
      </c>
      <c r="D2153" s="152" t="s">
        <v>1403</v>
      </c>
      <c r="E2153" s="434"/>
      <c r="F2153" s="426"/>
      <c r="G2153" s="136"/>
      <c r="H2153" s="136"/>
      <c r="I2153" s="136"/>
      <c r="J2153" s="136"/>
      <c r="K2153" s="136"/>
      <c r="L2153" s="136"/>
      <c r="M2153" s="420"/>
      <c r="N2153" s="420"/>
      <c r="O2153" s="420"/>
      <c r="P2153" s="420"/>
      <c r="Q2153" s="420"/>
      <c r="R2153" s="420"/>
      <c r="S2153" s="420"/>
      <c r="T2153" s="420"/>
      <c r="U2153" s="420"/>
      <c r="V2153" s="420"/>
      <c r="W2153" s="420"/>
      <c r="X2153" s="420"/>
      <c r="Y2153" s="420"/>
      <c r="Z2153" s="420"/>
      <c r="AA2153" s="420"/>
      <c r="AB2153" s="420"/>
      <c r="AC2153" s="420"/>
      <c r="AD2153" s="420"/>
      <c r="AE2153" s="420"/>
      <c r="AF2153" s="420"/>
      <c r="AG2153" s="420"/>
      <c r="AH2153" s="420"/>
      <c r="AI2153" s="420"/>
      <c r="AJ2153" s="420"/>
      <c r="AK2153" s="420"/>
      <c r="AL2153" s="420"/>
      <c r="AM2153" s="410"/>
    </row>
    <row r="2154" spans="2:39" ht="20.25" hidden="1" outlineLevel="1">
      <c r="B2154" s="149" t="s">
        <v>1264</v>
      </c>
      <c r="C2154" s="135" t="s">
        <v>1402</v>
      </c>
      <c r="D2154" s="152" t="s">
        <v>1403</v>
      </c>
      <c r="E2154" s="433" t="s">
        <v>44</v>
      </c>
      <c r="F2154" s="425" t="s">
        <v>45</v>
      </c>
      <c r="G2154" s="136"/>
      <c r="H2154" s="136"/>
      <c r="I2154" s="136"/>
      <c r="J2154" s="136"/>
      <c r="K2154" s="136"/>
      <c r="L2154" s="136"/>
      <c r="M2154" s="419">
        <v>4987</v>
      </c>
      <c r="N2154" s="419">
        <v>5241</v>
      </c>
      <c r="O2154" s="419">
        <v>250</v>
      </c>
      <c r="P2154" s="419" t="s">
        <v>252</v>
      </c>
      <c r="Q2154" s="419">
        <v>487</v>
      </c>
      <c r="R2154" s="419" t="s">
        <v>252</v>
      </c>
      <c r="S2154" s="419">
        <v>78</v>
      </c>
      <c r="T2154" s="419" t="s">
        <v>252</v>
      </c>
      <c r="U2154" s="419">
        <v>135</v>
      </c>
      <c r="V2154" s="419" t="s">
        <v>252</v>
      </c>
      <c r="W2154" s="419">
        <v>293</v>
      </c>
      <c r="X2154" s="419" t="s">
        <v>252</v>
      </c>
      <c r="Y2154" s="419">
        <v>349</v>
      </c>
      <c r="Z2154" s="419" t="s">
        <v>252</v>
      </c>
      <c r="AA2154" s="419">
        <v>216</v>
      </c>
      <c r="AB2154" s="419" t="s">
        <v>252</v>
      </c>
      <c r="AC2154" s="419">
        <v>231</v>
      </c>
      <c r="AD2154" s="419" t="s">
        <v>252</v>
      </c>
      <c r="AE2154" s="419">
        <v>333</v>
      </c>
      <c r="AF2154" s="419" t="s">
        <v>252</v>
      </c>
      <c r="AG2154" s="419">
        <v>310</v>
      </c>
      <c r="AH2154" s="419" t="s">
        <v>252</v>
      </c>
      <c r="AI2154" s="419">
        <v>250</v>
      </c>
      <c r="AJ2154" s="419" t="s">
        <v>252</v>
      </c>
      <c r="AK2154" s="419">
        <v>339</v>
      </c>
      <c r="AL2154" s="419" t="s">
        <v>252</v>
      </c>
      <c r="AM2154" s="409">
        <f>O2154+Q2154+S2154+U2154+W2154+Y2154+AA2154+AC2154+AE2154+AG2154+AI2154+AK2154</f>
        <v>3271</v>
      </c>
    </row>
    <row r="2155" spans="2:39" ht="20.25" hidden="1" outlineLevel="1">
      <c r="B2155" s="149" t="s">
        <v>1265</v>
      </c>
      <c r="C2155" s="135" t="s">
        <v>1402</v>
      </c>
      <c r="D2155" s="152" t="s">
        <v>1403</v>
      </c>
      <c r="E2155" s="434"/>
      <c r="F2155" s="426"/>
      <c r="G2155" s="136"/>
      <c r="H2155" s="136"/>
      <c r="I2155" s="136"/>
      <c r="J2155" s="136"/>
      <c r="K2155" s="136"/>
      <c r="L2155" s="136"/>
      <c r="M2155" s="420"/>
      <c r="N2155" s="420"/>
      <c r="O2155" s="420"/>
      <c r="P2155" s="420"/>
      <c r="Q2155" s="420"/>
      <c r="R2155" s="420"/>
      <c r="S2155" s="420"/>
      <c r="T2155" s="420"/>
      <c r="U2155" s="420"/>
      <c r="V2155" s="420"/>
      <c r="W2155" s="420"/>
      <c r="X2155" s="420"/>
      <c r="Y2155" s="420"/>
      <c r="Z2155" s="420"/>
      <c r="AA2155" s="420"/>
      <c r="AB2155" s="420"/>
      <c r="AC2155" s="420"/>
      <c r="AD2155" s="420"/>
      <c r="AE2155" s="420"/>
      <c r="AF2155" s="420"/>
      <c r="AG2155" s="420"/>
      <c r="AH2155" s="420"/>
      <c r="AI2155" s="420"/>
      <c r="AJ2155" s="420"/>
      <c r="AK2155" s="420"/>
      <c r="AL2155" s="420"/>
      <c r="AM2155" s="410"/>
    </row>
    <row r="2156" spans="2:39" ht="20.25" hidden="1" outlineLevel="1">
      <c r="B2156" s="149" t="s">
        <v>1266</v>
      </c>
      <c r="C2156" s="135" t="s">
        <v>1402</v>
      </c>
      <c r="D2156" s="152" t="s">
        <v>1403</v>
      </c>
      <c r="E2156" s="137" t="s">
        <v>44</v>
      </c>
      <c r="F2156" s="138" t="s">
        <v>45</v>
      </c>
      <c r="G2156" s="136"/>
      <c r="H2156" s="136"/>
      <c r="I2156" s="136"/>
      <c r="J2156" s="136"/>
      <c r="K2156" s="136"/>
      <c r="L2156" s="136"/>
      <c r="M2156" s="419">
        <v>2359</v>
      </c>
      <c r="N2156" s="419">
        <v>2798</v>
      </c>
      <c r="O2156" s="419">
        <v>256</v>
      </c>
      <c r="P2156" s="419" t="s">
        <v>252</v>
      </c>
      <c r="Q2156" s="419">
        <v>260</v>
      </c>
      <c r="R2156" s="419" t="s">
        <v>252</v>
      </c>
      <c r="S2156" s="419">
        <v>181</v>
      </c>
      <c r="T2156" s="419" t="s">
        <v>252</v>
      </c>
      <c r="U2156" s="419">
        <v>213</v>
      </c>
      <c r="V2156" s="419" t="s">
        <v>252</v>
      </c>
      <c r="W2156" s="417">
        <v>158</v>
      </c>
      <c r="X2156" s="419" t="s">
        <v>252</v>
      </c>
      <c r="Y2156" s="419">
        <v>169</v>
      </c>
      <c r="Z2156" s="419" t="s">
        <v>252</v>
      </c>
      <c r="AA2156" s="419">
        <v>136</v>
      </c>
      <c r="AB2156" s="419" t="s">
        <v>252</v>
      </c>
      <c r="AC2156" s="419">
        <v>161</v>
      </c>
      <c r="AD2156" s="419" t="s">
        <v>252</v>
      </c>
      <c r="AE2156" s="419">
        <v>209</v>
      </c>
      <c r="AF2156" s="419" t="s">
        <v>252</v>
      </c>
      <c r="AG2156" s="419">
        <v>196</v>
      </c>
      <c r="AH2156" s="419" t="s">
        <v>252</v>
      </c>
      <c r="AI2156" s="419">
        <v>214</v>
      </c>
      <c r="AJ2156" s="419" t="s">
        <v>252</v>
      </c>
      <c r="AK2156" s="419">
        <v>273</v>
      </c>
      <c r="AL2156" s="419" t="s">
        <v>252</v>
      </c>
      <c r="AM2156" s="429">
        <f t="shared" ref="AM2156:AM2165" si="10">O2156+Q2156+S2156+U2156+W2156+Y2156+AA2156+AC2156+AE2156+AG2156+AI2156+AK2156</f>
        <v>2426</v>
      </c>
    </row>
    <row r="2157" spans="2:39" ht="20.25" hidden="1" outlineLevel="1">
      <c r="B2157" s="149" t="s">
        <v>1267</v>
      </c>
      <c r="C2157" s="135" t="s">
        <v>1402</v>
      </c>
      <c r="D2157" s="152" t="s">
        <v>1403</v>
      </c>
      <c r="E2157" s="137" t="s">
        <v>44</v>
      </c>
      <c r="F2157" s="138" t="s">
        <v>45</v>
      </c>
      <c r="G2157" s="136"/>
      <c r="H2157" s="136"/>
      <c r="I2157" s="136"/>
      <c r="J2157" s="136"/>
      <c r="K2157" s="136"/>
      <c r="L2157" s="136"/>
      <c r="M2157" s="420"/>
      <c r="N2157" s="420"/>
      <c r="O2157" s="420"/>
      <c r="P2157" s="420"/>
      <c r="Q2157" s="420"/>
      <c r="R2157" s="420"/>
      <c r="S2157" s="420"/>
      <c r="T2157" s="420"/>
      <c r="U2157" s="420"/>
      <c r="V2157" s="420"/>
      <c r="W2157" s="440"/>
      <c r="X2157" s="420"/>
      <c r="Y2157" s="420"/>
      <c r="Z2157" s="420"/>
      <c r="AA2157" s="420"/>
      <c r="AB2157" s="420"/>
      <c r="AC2157" s="420"/>
      <c r="AD2157" s="420"/>
      <c r="AE2157" s="420"/>
      <c r="AF2157" s="420"/>
      <c r="AG2157" s="420"/>
      <c r="AH2157" s="420"/>
      <c r="AI2157" s="420"/>
      <c r="AJ2157" s="420"/>
      <c r="AK2157" s="420"/>
      <c r="AL2157" s="420"/>
      <c r="AM2157" s="430"/>
    </row>
    <row r="2158" spans="2:39" ht="20.25" hidden="1" outlineLevel="1">
      <c r="B2158" s="149" t="s">
        <v>1268</v>
      </c>
      <c r="C2158" s="135" t="s">
        <v>1402</v>
      </c>
      <c r="D2158" s="152" t="s">
        <v>1403</v>
      </c>
      <c r="E2158" s="137" t="s">
        <v>44</v>
      </c>
      <c r="F2158" s="144" t="s">
        <v>45</v>
      </c>
      <c r="G2158" s="136"/>
      <c r="H2158" s="136"/>
      <c r="I2158" s="136"/>
      <c r="J2158" s="136"/>
      <c r="K2158" s="136"/>
      <c r="L2158" s="136"/>
      <c r="M2158" s="136">
        <v>3146</v>
      </c>
      <c r="N2158" s="136">
        <v>2957</v>
      </c>
      <c r="O2158" s="136">
        <v>443</v>
      </c>
      <c r="P2158" s="136" t="s">
        <v>252</v>
      </c>
      <c r="Q2158" s="136">
        <v>423</v>
      </c>
      <c r="R2158" s="136" t="s">
        <v>252</v>
      </c>
      <c r="S2158" s="136">
        <v>231</v>
      </c>
      <c r="T2158" s="136" t="s">
        <v>252</v>
      </c>
      <c r="U2158" s="136">
        <v>551</v>
      </c>
      <c r="V2158" s="136" t="s">
        <v>252</v>
      </c>
      <c r="W2158" s="136">
        <v>305</v>
      </c>
      <c r="X2158" s="136" t="s">
        <v>252</v>
      </c>
      <c r="Y2158" s="136">
        <v>499</v>
      </c>
      <c r="Z2158" s="136" t="s">
        <v>252</v>
      </c>
      <c r="AA2158" s="136">
        <v>322</v>
      </c>
      <c r="AB2158" s="136" t="s">
        <v>252</v>
      </c>
      <c r="AC2158" s="136">
        <v>279</v>
      </c>
      <c r="AD2158" s="136" t="s">
        <v>252</v>
      </c>
      <c r="AE2158" s="136">
        <v>327</v>
      </c>
      <c r="AF2158" s="136" t="s">
        <v>252</v>
      </c>
      <c r="AG2158" s="136">
        <v>286</v>
      </c>
      <c r="AH2158" s="136" t="s">
        <v>252</v>
      </c>
      <c r="AI2158" s="136">
        <v>274</v>
      </c>
      <c r="AJ2158" s="136" t="s">
        <v>252</v>
      </c>
      <c r="AK2158" s="136">
        <v>393</v>
      </c>
      <c r="AL2158" s="136" t="s">
        <v>252</v>
      </c>
      <c r="AM2158" s="139">
        <f t="shared" si="10"/>
        <v>4333</v>
      </c>
    </row>
    <row r="2159" spans="2:39" ht="20.25" hidden="1" outlineLevel="1">
      <c r="B2159" s="149" t="s">
        <v>1269</v>
      </c>
      <c r="C2159" s="135" t="s">
        <v>1402</v>
      </c>
      <c r="D2159" s="152" t="s">
        <v>1403</v>
      </c>
      <c r="E2159" s="137" t="s">
        <v>44</v>
      </c>
      <c r="F2159" s="144" t="s">
        <v>45</v>
      </c>
      <c r="G2159" s="136"/>
      <c r="H2159" s="136"/>
      <c r="I2159" s="136"/>
      <c r="J2159" s="136"/>
      <c r="K2159" s="136"/>
      <c r="L2159" s="136"/>
      <c r="M2159" s="419">
        <v>3235</v>
      </c>
      <c r="N2159" s="419">
        <v>2716</v>
      </c>
      <c r="O2159" s="419">
        <v>314</v>
      </c>
      <c r="P2159" s="419" t="s">
        <v>252</v>
      </c>
      <c r="Q2159" s="419">
        <v>279</v>
      </c>
      <c r="R2159" s="419" t="s">
        <v>252</v>
      </c>
      <c r="S2159" s="419">
        <v>219</v>
      </c>
      <c r="T2159" s="419" t="s">
        <v>252</v>
      </c>
      <c r="U2159" s="419">
        <v>236</v>
      </c>
      <c r="V2159" s="419" t="s">
        <v>252</v>
      </c>
      <c r="W2159" s="419">
        <v>172</v>
      </c>
      <c r="X2159" s="419" t="s">
        <v>252</v>
      </c>
      <c r="Y2159" s="419">
        <v>169</v>
      </c>
      <c r="Z2159" s="419" t="s">
        <v>252</v>
      </c>
      <c r="AA2159" s="419">
        <v>132</v>
      </c>
      <c r="AB2159" s="419" t="s">
        <v>252</v>
      </c>
      <c r="AC2159" s="419">
        <v>174</v>
      </c>
      <c r="AD2159" s="419" t="s">
        <v>252</v>
      </c>
      <c r="AE2159" s="419">
        <v>237</v>
      </c>
      <c r="AF2159" s="419" t="s">
        <v>252</v>
      </c>
      <c r="AG2159" s="419">
        <v>277</v>
      </c>
      <c r="AH2159" s="419" t="s">
        <v>252</v>
      </c>
      <c r="AI2159" s="419">
        <v>294</v>
      </c>
      <c r="AJ2159" s="419" t="s">
        <v>252</v>
      </c>
      <c r="AK2159" s="419">
        <v>348</v>
      </c>
      <c r="AL2159" s="419" t="s">
        <v>252</v>
      </c>
      <c r="AM2159" s="429">
        <f t="shared" si="10"/>
        <v>2851</v>
      </c>
    </row>
    <row r="2160" spans="2:39" ht="20.25" hidden="1" outlineLevel="1">
      <c r="B2160" s="149" t="s">
        <v>1270</v>
      </c>
      <c r="C2160" s="135" t="s">
        <v>1402</v>
      </c>
      <c r="D2160" s="152" t="s">
        <v>1403</v>
      </c>
      <c r="E2160" s="137" t="s">
        <v>44</v>
      </c>
      <c r="F2160" s="138" t="s">
        <v>45</v>
      </c>
      <c r="G2160" s="136"/>
      <c r="H2160" s="136"/>
      <c r="I2160" s="136"/>
      <c r="J2160" s="136"/>
      <c r="K2160" s="136"/>
      <c r="L2160" s="136"/>
      <c r="M2160" s="420"/>
      <c r="N2160" s="420"/>
      <c r="O2160" s="420"/>
      <c r="P2160" s="420"/>
      <c r="Q2160" s="420"/>
      <c r="R2160" s="420"/>
      <c r="S2160" s="420"/>
      <c r="T2160" s="420"/>
      <c r="U2160" s="420"/>
      <c r="V2160" s="420"/>
      <c r="W2160" s="420"/>
      <c r="X2160" s="420"/>
      <c r="Y2160" s="420"/>
      <c r="Z2160" s="420"/>
      <c r="AA2160" s="420"/>
      <c r="AB2160" s="420"/>
      <c r="AC2160" s="420"/>
      <c r="AD2160" s="420"/>
      <c r="AE2160" s="420"/>
      <c r="AF2160" s="420"/>
      <c r="AG2160" s="420"/>
      <c r="AH2160" s="420"/>
      <c r="AI2160" s="420"/>
      <c r="AJ2160" s="420"/>
      <c r="AK2160" s="420"/>
      <c r="AL2160" s="420"/>
      <c r="AM2160" s="430"/>
    </row>
    <row r="2161" spans="2:39" ht="20.25" hidden="1" outlineLevel="1">
      <c r="B2161" s="149" t="s">
        <v>1271</v>
      </c>
      <c r="C2161" s="135" t="s">
        <v>1402</v>
      </c>
      <c r="D2161" s="152" t="s">
        <v>1403</v>
      </c>
      <c r="E2161" s="137" t="s">
        <v>44</v>
      </c>
      <c r="F2161" s="138" t="s">
        <v>45</v>
      </c>
      <c r="G2161" s="136"/>
      <c r="H2161" s="136"/>
      <c r="I2161" s="136"/>
      <c r="J2161" s="136"/>
      <c r="K2161" s="136"/>
      <c r="L2161" s="136"/>
      <c r="M2161" s="419">
        <v>984</v>
      </c>
      <c r="N2161" s="419">
        <v>975</v>
      </c>
      <c r="O2161" s="419">
        <v>206</v>
      </c>
      <c r="P2161" s="419" t="s">
        <v>252</v>
      </c>
      <c r="Q2161" s="419">
        <v>156</v>
      </c>
      <c r="R2161" s="419" t="s">
        <v>252</v>
      </c>
      <c r="S2161" s="419">
        <v>123</v>
      </c>
      <c r="T2161" s="419" t="s">
        <v>252</v>
      </c>
      <c r="U2161" s="419">
        <v>198</v>
      </c>
      <c r="V2161" s="419" t="s">
        <v>252</v>
      </c>
      <c r="W2161" s="419">
        <v>119</v>
      </c>
      <c r="X2161" s="419" t="s">
        <v>252</v>
      </c>
      <c r="Y2161" s="419">
        <v>165</v>
      </c>
      <c r="Z2161" s="419" t="s">
        <v>252</v>
      </c>
      <c r="AA2161" s="419">
        <v>129</v>
      </c>
      <c r="AB2161" s="419" t="s">
        <v>252</v>
      </c>
      <c r="AC2161" s="419">
        <v>106</v>
      </c>
      <c r="AD2161" s="419" t="s">
        <v>252</v>
      </c>
      <c r="AE2161" s="419">
        <v>102</v>
      </c>
      <c r="AF2161" s="419" t="s">
        <v>252</v>
      </c>
      <c r="AG2161" s="419">
        <v>183</v>
      </c>
      <c r="AH2161" s="419" t="s">
        <v>252</v>
      </c>
      <c r="AI2161" s="419">
        <v>181</v>
      </c>
      <c r="AJ2161" s="419" t="s">
        <v>252</v>
      </c>
      <c r="AK2161" s="419">
        <v>85</v>
      </c>
      <c r="AL2161" s="419" t="s">
        <v>252</v>
      </c>
      <c r="AM2161" s="429">
        <f t="shared" si="10"/>
        <v>1753</v>
      </c>
    </row>
    <row r="2162" spans="2:39" ht="20.25" hidden="1" outlineLevel="1">
      <c r="B2162" s="149" t="s">
        <v>1272</v>
      </c>
      <c r="C2162" s="135" t="s">
        <v>1402</v>
      </c>
      <c r="D2162" s="152" t="s">
        <v>1403</v>
      </c>
      <c r="E2162" s="137" t="s">
        <v>44</v>
      </c>
      <c r="F2162" s="138" t="s">
        <v>45</v>
      </c>
      <c r="G2162" s="136"/>
      <c r="H2162" s="136"/>
      <c r="I2162" s="136"/>
      <c r="J2162" s="136"/>
      <c r="K2162" s="136"/>
      <c r="L2162" s="136"/>
      <c r="M2162" s="420"/>
      <c r="N2162" s="420"/>
      <c r="O2162" s="420"/>
      <c r="P2162" s="420"/>
      <c r="Q2162" s="420"/>
      <c r="R2162" s="420"/>
      <c r="S2162" s="420"/>
      <c r="T2162" s="420"/>
      <c r="U2162" s="420"/>
      <c r="V2162" s="420"/>
      <c r="W2162" s="420"/>
      <c r="X2162" s="420"/>
      <c r="Y2162" s="420"/>
      <c r="Z2162" s="420"/>
      <c r="AA2162" s="420"/>
      <c r="AB2162" s="420"/>
      <c r="AC2162" s="420"/>
      <c r="AD2162" s="420"/>
      <c r="AE2162" s="420"/>
      <c r="AF2162" s="420"/>
      <c r="AG2162" s="420"/>
      <c r="AH2162" s="420"/>
      <c r="AI2162" s="420"/>
      <c r="AJ2162" s="420"/>
      <c r="AK2162" s="420"/>
      <c r="AL2162" s="420"/>
      <c r="AM2162" s="430"/>
    </row>
    <row r="2163" spans="2:39" ht="20.25" hidden="1" outlineLevel="1">
      <c r="B2163" s="149" t="s">
        <v>1273</v>
      </c>
      <c r="C2163" s="135" t="s">
        <v>1402</v>
      </c>
      <c r="D2163" s="152" t="s">
        <v>1403</v>
      </c>
      <c r="E2163" s="137" t="s">
        <v>44</v>
      </c>
      <c r="F2163" s="138" t="s">
        <v>45</v>
      </c>
      <c r="G2163" s="136"/>
      <c r="H2163" s="136"/>
      <c r="I2163" s="136"/>
      <c r="J2163" s="136"/>
      <c r="K2163" s="136"/>
      <c r="L2163" s="136"/>
      <c r="M2163" s="136">
        <v>2930</v>
      </c>
      <c r="N2163" s="136">
        <v>1634</v>
      </c>
      <c r="O2163" s="136">
        <v>188</v>
      </c>
      <c r="P2163" s="135" t="s">
        <v>252</v>
      </c>
      <c r="Q2163" s="136">
        <v>118</v>
      </c>
      <c r="R2163" s="135" t="s">
        <v>252</v>
      </c>
      <c r="S2163" s="136">
        <v>60</v>
      </c>
      <c r="T2163" s="135" t="s">
        <v>252</v>
      </c>
      <c r="U2163" s="136">
        <v>107</v>
      </c>
      <c r="V2163" s="135" t="s">
        <v>252</v>
      </c>
      <c r="W2163" s="136">
        <v>78</v>
      </c>
      <c r="X2163" s="135" t="s">
        <v>252</v>
      </c>
      <c r="Y2163" s="136">
        <v>94</v>
      </c>
      <c r="Z2163" s="135" t="s">
        <v>252</v>
      </c>
      <c r="AA2163" s="136">
        <v>62</v>
      </c>
      <c r="AB2163" s="135" t="s">
        <v>252</v>
      </c>
      <c r="AC2163" s="136">
        <v>146</v>
      </c>
      <c r="AD2163" s="135" t="s">
        <v>252</v>
      </c>
      <c r="AE2163" s="136">
        <v>129</v>
      </c>
      <c r="AF2163" s="135" t="s">
        <v>252</v>
      </c>
      <c r="AG2163" s="136">
        <v>104</v>
      </c>
      <c r="AH2163" s="135" t="s">
        <v>252</v>
      </c>
      <c r="AI2163" s="136">
        <v>139</v>
      </c>
      <c r="AJ2163" s="135" t="s">
        <v>252</v>
      </c>
      <c r="AK2163" s="136">
        <v>165</v>
      </c>
      <c r="AL2163" s="135" t="s">
        <v>252</v>
      </c>
      <c r="AM2163" s="139">
        <f t="shared" si="10"/>
        <v>1390</v>
      </c>
    </row>
    <row r="2164" spans="2:39" ht="20.25" hidden="1" outlineLevel="1">
      <c r="B2164" s="149" t="s">
        <v>1274</v>
      </c>
      <c r="C2164" s="135" t="s">
        <v>1402</v>
      </c>
      <c r="D2164" s="152" t="s">
        <v>1403</v>
      </c>
      <c r="E2164" s="137" t="s">
        <v>44</v>
      </c>
      <c r="F2164" s="138" t="s">
        <v>45</v>
      </c>
      <c r="G2164" s="136"/>
      <c r="H2164" s="136"/>
      <c r="I2164" s="136"/>
      <c r="J2164" s="136"/>
      <c r="K2164" s="136"/>
      <c r="L2164" s="136"/>
      <c r="M2164" s="136">
        <v>3100</v>
      </c>
      <c r="N2164" s="136">
        <v>2950</v>
      </c>
      <c r="O2164" s="136">
        <v>263</v>
      </c>
      <c r="P2164" s="135" t="s">
        <v>252</v>
      </c>
      <c r="Q2164" s="136">
        <v>256</v>
      </c>
      <c r="R2164" s="135" t="s">
        <v>252</v>
      </c>
      <c r="S2164" s="136">
        <v>198</v>
      </c>
      <c r="T2164" s="135" t="s">
        <v>252</v>
      </c>
      <c r="U2164" s="136">
        <v>170</v>
      </c>
      <c r="V2164" s="135" t="s">
        <v>252</v>
      </c>
      <c r="W2164" s="136">
        <v>172</v>
      </c>
      <c r="X2164" s="135" t="s">
        <v>252</v>
      </c>
      <c r="Y2164" s="136">
        <v>196</v>
      </c>
      <c r="Z2164" s="135" t="s">
        <v>252</v>
      </c>
      <c r="AA2164" s="136">
        <v>162</v>
      </c>
      <c r="AB2164" s="135" t="s">
        <v>252</v>
      </c>
      <c r="AC2164" s="136">
        <v>180</v>
      </c>
      <c r="AD2164" s="135" t="s">
        <v>252</v>
      </c>
      <c r="AE2164" s="136">
        <v>281</v>
      </c>
      <c r="AF2164" s="135" t="s">
        <v>252</v>
      </c>
      <c r="AG2164" s="136">
        <v>293</v>
      </c>
      <c r="AH2164" s="135" t="s">
        <v>252</v>
      </c>
      <c r="AI2164" s="136">
        <v>350</v>
      </c>
      <c r="AJ2164" s="135" t="s">
        <v>252</v>
      </c>
      <c r="AK2164" s="136">
        <v>300</v>
      </c>
      <c r="AL2164" s="135" t="s">
        <v>252</v>
      </c>
      <c r="AM2164" s="139">
        <f t="shared" si="10"/>
        <v>2821</v>
      </c>
    </row>
    <row r="2165" spans="2:39" ht="20.25" hidden="1" outlineLevel="1">
      <c r="B2165" s="149" t="s">
        <v>1275</v>
      </c>
      <c r="C2165" s="135" t="s">
        <v>1402</v>
      </c>
      <c r="D2165" s="152" t="s">
        <v>1403</v>
      </c>
      <c r="E2165" s="137" t="s">
        <v>44</v>
      </c>
      <c r="F2165" s="138" t="s">
        <v>45</v>
      </c>
      <c r="G2165" s="136"/>
      <c r="H2165" s="136"/>
      <c r="I2165" s="136"/>
      <c r="J2165" s="136"/>
      <c r="K2165" s="136"/>
      <c r="L2165" s="136"/>
      <c r="M2165" s="136">
        <v>2308</v>
      </c>
      <c r="N2165" s="136">
        <v>2244</v>
      </c>
      <c r="O2165" s="136">
        <v>222</v>
      </c>
      <c r="P2165" s="135" t="s">
        <v>252</v>
      </c>
      <c r="Q2165" s="136">
        <v>206</v>
      </c>
      <c r="R2165" s="135" t="s">
        <v>252</v>
      </c>
      <c r="S2165" s="136">
        <v>93</v>
      </c>
      <c r="T2165" s="135" t="s">
        <v>252</v>
      </c>
      <c r="U2165" s="136">
        <v>200</v>
      </c>
      <c r="V2165" s="135" t="s">
        <v>252</v>
      </c>
      <c r="W2165" s="136">
        <v>141</v>
      </c>
      <c r="X2165" s="135" t="s">
        <v>252</v>
      </c>
      <c r="Y2165" s="136">
        <v>51</v>
      </c>
      <c r="Z2165" s="135" t="s">
        <v>252</v>
      </c>
      <c r="AA2165" s="136">
        <v>42</v>
      </c>
      <c r="AB2165" s="135" t="s">
        <v>252</v>
      </c>
      <c r="AC2165" s="136">
        <v>358</v>
      </c>
      <c r="AD2165" s="135" t="s">
        <v>252</v>
      </c>
      <c r="AE2165" s="136">
        <v>200</v>
      </c>
      <c r="AF2165" s="135" t="s">
        <v>252</v>
      </c>
      <c r="AG2165" s="136">
        <v>226</v>
      </c>
      <c r="AH2165" s="135" t="s">
        <v>252</v>
      </c>
      <c r="AI2165" s="136">
        <v>206</v>
      </c>
      <c r="AJ2165" s="135" t="s">
        <v>252</v>
      </c>
      <c r="AK2165" s="136">
        <v>251</v>
      </c>
      <c r="AL2165" s="135" t="s">
        <v>252</v>
      </c>
      <c r="AM2165" s="139">
        <f t="shared" si="10"/>
        <v>2196</v>
      </c>
    </row>
    <row r="2166" spans="2:39" ht="20.25" hidden="1" outlineLevel="1">
      <c r="B2166" s="149" t="s">
        <v>1276</v>
      </c>
      <c r="C2166" s="135" t="s">
        <v>1402</v>
      </c>
      <c r="D2166" s="152" t="s">
        <v>1403</v>
      </c>
      <c r="E2166" s="433" t="s">
        <v>138</v>
      </c>
      <c r="F2166" s="425" t="s">
        <v>45</v>
      </c>
      <c r="G2166" s="136"/>
      <c r="H2166" s="136"/>
      <c r="I2166" s="136"/>
      <c r="J2166" s="136"/>
      <c r="K2166" s="136"/>
      <c r="L2166" s="136"/>
      <c r="M2166" s="419">
        <v>7126</v>
      </c>
      <c r="N2166" s="419">
        <v>6532</v>
      </c>
      <c r="O2166" s="419">
        <v>317</v>
      </c>
      <c r="P2166" s="419" t="s">
        <v>252</v>
      </c>
      <c r="Q2166" s="419">
        <v>386</v>
      </c>
      <c r="R2166" s="419" t="s">
        <v>252</v>
      </c>
      <c r="S2166" s="419">
        <v>315</v>
      </c>
      <c r="T2166" s="419" t="s">
        <v>252</v>
      </c>
      <c r="U2166" s="419">
        <v>420</v>
      </c>
      <c r="V2166" s="419" t="s">
        <v>252</v>
      </c>
      <c r="W2166" s="419">
        <v>384</v>
      </c>
      <c r="X2166" s="419" t="s">
        <v>252</v>
      </c>
      <c r="Y2166" s="419">
        <v>446</v>
      </c>
      <c r="Z2166" s="419" t="s">
        <v>252</v>
      </c>
      <c r="AA2166" s="419">
        <v>370</v>
      </c>
      <c r="AB2166" s="419" t="s">
        <v>252</v>
      </c>
      <c r="AC2166" s="419">
        <v>358</v>
      </c>
      <c r="AD2166" s="419" t="s">
        <v>252</v>
      </c>
      <c r="AE2166" s="419">
        <v>417</v>
      </c>
      <c r="AF2166" s="419" t="s">
        <v>252</v>
      </c>
      <c r="AG2166" s="419">
        <v>398</v>
      </c>
      <c r="AH2166" s="419" t="s">
        <v>252</v>
      </c>
      <c r="AI2166" s="419">
        <v>378</v>
      </c>
      <c r="AJ2166" s="419" t="s">
        <v>252</v>
      </c>
      <c r="AK2166" s="419">
        <v>412</v>
      </c>
      <c r="AL2166" s="419" t="s">
        <v>252</v>
      </c>
      <c r="AM2166" s="409">
        <f>O2166+Q2166+S2166+U2166+W2166+Y2166+AA2166+AC2166+AE2166+AG2166+AI2166+AK2166</f>
        <v>4601</v>
      </c>
    </row>
    <row r="2167" spans="2:39" ht="20.25" hidden="1" outlineLevel="1">
      <c r="B2167" s="149" t="s">
        <v>1277</v>
      </c>
      <c r="C2167" s="135" t="s">
        <v>1402</v>
      </c>
      <c r="D2167" s="152" t="s">
        <v>1403</v>
      </c>
      <c r="E2167" s="434"/>
      <c r="F2167" s="426"/>
      <c r="G2167" s="136"/>
      <c r="H2167" s="136"/>
      <c r="I2167" s="136"/>
      <c r="J2167" s="136"/>
      <c r="K2167" s="136"/>
      <c r="L2167" s="136"/>
      <c r="M2167" s="420"/>
      <c r="N2167" s="420"/>
      <c r="O2167" s="420"/>
      <c r="P2167" s="420"/>
      <c r="Q2167" s="420"/>
      <c r="R2167" s="420"/>
      <c r="S2167" s="420"/>
      <c r="T2167" s="420"/>
      <c r="U2167" s="420"/>
      <c r="V2167" s="420"/>
      <c r="W2167" s="420"/>
      <c r="X2167" s="420"/>
      <c r="Y2167" s="420"/>
      <c r="Z2167" s="420"/>
      <c r="AA2167" s="420"/>
      <c r="AB2167" s="420"/>
      <c r="AC2167" s="420"/>
      <c r="AD2167" s="420"/>
      <c r="AE2167" s="420"/>
      <c r="AF2167" s="420"/>
      <c r="AG2167" s="420"/>
      <c r="AH2167" s="420"/>
      <c r="AI2167" s="420"/>
      <c r="AJ2167" s="420"/>
      <c r="AK2167" s="420"/>
      <c r="AL2167" s="420"/>
      <c r="AM2167" s="410"/>
    </row>
    <row r="2168" spans="2:39" ht="20.25" hidden="1" outlineLevel="1">
      <c r="B2168" s="149" t="s">
        <v>1276</v>
      </c>
      <c r="C2168" s="135" t="s">
        <v>1402</v>
      </c>
      <c r="D2168" s="152" t="s">
        <v>1403</v>
      </c>
      <c r="E2168" s="433" t="s">
        <v>44</v>
      </c>
      <c r="F2168" s="425" t="s">
        <v>45</v>
      </c>
      <c r="G2168" s="136"/>
      <c r="H2168" s="136"/>
      <c r="I2168" s="136"/>
      <c r="J2168" s="136"/>
      <c r="K2168" s="136"/>
      <c r="L2168" s="136"/>
      <c r="M2168" s="419">
        <v>6002</v>
      </c>
      <c r="N2168" s="419">
        <v>5619</v>
      </c>
      <c r="O2168" s="419">
        <v>658</v>
      </c>
      <c r="P2168" s="419" t="s">
        <v>252</v>
      </c>
      <c r="Q2168" s="419">
        <v>637</v>
      </c>
      <c r="R2168" s="419" t="s">
        <v>252</v>
      </c>
      <c r="S2168" s="419">
        <v>513</v>
      </c>
      <c r="T2168" s="419" t="s">
        <v>252</v>
      </c>
      <c r="U2168" s="419">
        <v>720</v>
      </c>
      <c r="V2168" s="419" t="s">
        <v>252</v>
      </c>
      <c r="W2168" s="419">
        <v>547</v>
      </c>
      <c r="X2168" s="419" t="s">
        <v>252</v>
      </c>
      <c r="Y2168" s="419">
        <v>439</v>
      </c>
      <c r="Z2168" s="419" t="s">
        <v>252</v>
      </c>
      <c r="AA2168" s="419">
        <v>329</v>
      </c>
      <c r="AB2168" s="419" t="s">
        <v>252</v>
      </c>
      <c r="AC2168" s="419">
        <v>440</v>
      </c>
      <c r="AD2168" s="419" t="s">
        <v>252</v>
      </c>
      <c r="AE2168" s="419">
        <v>618</v>
      </c>
      <c r="AF2168" s="419" t="s">
        <v>252</v>
      </c>
      <c r="AG2168" s="419">
        <v>732</v>
      </c>
      <c r="AH2168" s="419" t="s">
        <v>252</v>
      </c>
      <c r="AI2168" s="419">
        <v>687</v>
      </c>
      <c r="AJ2168" s="419" t="s">
        <v>252</v>
      </c>
      <c r="AK2168" s="419">
        <v>726</v>
      </c>
      <c r="AL2168" s="419" t="s">
        <v>252</v>
      </c>
      <c r="AM2168" s="409">
        <f>O2168+Q2168+S2168+U2168+W2168+Y2168+AA2168+AC2168+AE2168+AG2168+AI2168+AK2168</f>
        <v>7046</v>
      </c>
    </row>
    <row r="2169" spans="2:39" ht="20.25" hidden="1" outlineLevel="1">
      <c r="B2169" s="149" t="s">
        <v>1277</v>
      </c>
      <c r="C2169" s="135" t="s">
        <v>1402</v>
      </c>
      <c r="D2169" s="152" t="s">
        <v>1403</v>
      </c>
      <c r="E2169" s="434"/>
      <c r="F2169" s="426"/>
      <c r="G2169" s="136"/>
      <c r="H2169" s="136"/>
      <c r="I2169" s="136"/>
      <c r="J2169" s="136"/>
      <c r="K2169" s="136"/>
      <c r="L2169" s="136"/>
      <c r="M2169" s="420"/>
      <c r="N2169" s="420"/>
      <c r="O2169" s="420"/>
      <c r="P2169" s="420"/>
      <c r="Q2169" s="420"/>
      <c r="R2169" s="420"/>
      <c r="S2169" s="420"/>
      <c r="T2169" s="420"/>
      <c r="U2169" s="420"/>
      <c r="V2169" s="420"/>
      <c r="W2169" s="420"/>
      <c r="X2169" s="420"/>
      <c r="Y2169" s="420"/>
      <c r="Z2169" s="420"/>
      <c r="AA2169" s="420"/>
      <c r="AB2169" s="420"/>
      <c r="AC2169" s="420"/>
      <c r="AD2169" s="420"/>
      <c r="AE2169" s="420"/>
      <c r="AF2169" s="420"/>
      <c r="AG2169" s="420"/>
      <c r="AH2169" s="420"/>
      <c r="AI2169" s="420"/>
      <c r="AJ2169" s="420"/>
      <c r="AK2169" s="420"/>
      <c r="AL2169" s="420"/>
      <c r="AM2169" s="410"/>
    </row>
    <row r="2170" spans="2:39" ht="20.25" hidden="1" outlineLevel="1">
      <c r="B2170" s="149" t="s">
        <v>1278</v>
      </c>
      <c r="C2170" s="135" t="s">
        <v>1402</v>
      </c>
      <c r="D2170" s="152" t="s">
        <v>1403</v>
      </c>
      <c r="E2170" s="137" t="s">
        <v>44</v>
      </c>
      <c r="F2170" s="138" t="s">
        <v>45</v>
      </c>
      <c r="G2170" s="136"/>
      <c r="H2170" s="136"/>
      <c r="I2170" s="136"/>
      <c r="J2170" s="136"/>
      <c r="K2170" s="136"/>
      <c r="L2170" s="136"/>
      <c r="M2170" s="136">
        <v>2615</v>
      </c>
      <c r="N2170" s="136">
        <v>2872</v>
      </c>
      <c r="O2170" s="136">
        <v>317</v>
      </c>
      <c r="P2170" s="135" t="s">
        <v>252</v>
      </c>
      <c r="Q2170" s="136">
        <v>356</v>
      </c>
      <c r="R2170" s="135" t="s">
        <v>252</v>
      </c>
      <c r="S2170" s="136">
        <v>165</v>
      </c>
      <c r="T2170" s="135" t="s">
        <v>252</v>
      </c>
      <c r="U2170" s="136">
        <v>265</v>
      </c>
      <c r="V2170" s="135" t="s">
        <v>252</v>
      </c>
      <c r="W2170" s="136">
        <v>204</v>
      </c>
      <c r="X2170" s="135" t="s">
        <v>252</v>
      </c>
      <c r="Y2170" s="136">
        <v>182</v>
      </c>
      <c r="Z2170" s="135" t="s">
        <v>252</v>
      </c>
      <c r="AA2170" s="136">
        <v>107</v>
      </c>
      <c r="AB2170" s="135" t="s">
        <v>252</v>
      </c>
      <c r="AC2170" s="136">
        <v>158</v>
      </c>
      <c r="AD2170" s="135" t="s">
        <v>252</v>
      </c>
      <c r="AE2170" s="136">
        <v>306</v>
      </c>
      <c r="AF2170" s="135" t="s">
        <v>252</v>
      </c>
      <c r="AG2170" s="136">
        <v>315</v>
      </c>
      <c r="AH2170" s="135" t="s">
        <v>252</v>
      </c>
      <c r="AI2170" s="136">
        <v>327</v>
      </c>
      <c r="AJ2170" s="135" t="s">
        <v>252</v>
      </c>
      <c r="AK2170" s="136">
        <v>428</v>
      </c>
      <c r="AL2170" s="135" t="s">
        <v>252</v>
      </c>
      <c r="AM2170" s="139">
        <f t="shared" ref="AM2170:AM2199" si="11">O2170+Q2170+S2170+U2170+W2170+Y2170+AA2170+AC2170+AE2170+AG2170+AI2170+AK2170</f>
        <v>3130</v>
      </c>
    </row>
    <row r="2171" spans="2:39" ht="20.25" hidden="1" outlineLevel="1">
      <c r="B2171" s="149" t="s">
        <v>1279</v>
      </c>
      <c r="C2171" s="135" t="s">
        <v>1402</v>
      </c>
      <c r="D2171" s="152" t="s">
        <v>1403</v>
      </c>
      <c r="E2171" s="137" t="s">
        <v>44</v>
      </c>
      <c r="F2171" s="138" t="s">
        <v>45</v>
      </c>
      <c r="G2171" s="136"/>
      <c r="H2171" s="136"/>
      <c r="I2171" s="136"/>
      <c r="J2171" s="136"/>
      <c r="K2171" s="136"/>
      <c r="L2171" s="136"/>
      <c r="M2171" s="136">
        <v>494</v>
      </c>
      <c r="N2171" s="136">
        <v>717</v>
      </c>
      <c r="O2171" s="136">
        <v>68</v>
      </c>
      <c r="P2171" s="135" t="s">
        <v>252</v>
      </c>
      <c r="Q2171" s="136">
        <v>75</v>
      </c>
      <c r="R2171" s="135" t="s">
        <v>252</v>
      </c>
      <c r="S2171" s="136">
        <v>27</v>
      </c>
      <c r="T2171" s="135" t="s">
        <v>252</v>
      </c>
      <c r="U2171" s="136">
        <v>113</v>
      </c>
      <c r="V2171" s="135" t="s">
        <v>252</v>
      </c>
      <c r="W2171" s="136">
        <v>53</v>
      </c>
      <c r="X2171" s="135" t="s">
        <v>252</v>
      </c>
      <c r="Y2171" s="136">
        <v>61</v>
      </c>
      <c r="Z2171" s="135" t="s">
        <v>252</v>
      </c>
      <c r="AA2171" s="136">
        <v>51</v>
      </c>
      <c r="AB2171" s="135" t="s">
        <v>252</v>
      </c>
      <c r="AC2171" s="136">
        <v>52</v>
      </c>
      <c r="AD2171" s="135" t="s">
        <v>252</v>
      </c>
      <c r="AE2171" s="136">
        <v>57</v>
      </c>
      <c r="AF2171" s="135" t="s">
        <v>252</v>
      </c>
      <c r="AG2171" s="136">
        <v>54</v>
      </c>
      <c r="AH2171" s="135" t="s">
        <v>252</v>
      </c>
      <c r="AI2171" s="136">
        <v>60</v>
      </c>
      <c r="AJ2171" s="135" t="s">
        <v>252</v>
      </c>
      <c r="AK2171" s="136">
        <v>82</v>
      </c>
      <c r="AL2171" s="135" t="s">
        <v>252</v>
      </c>
      <c r="AM2171" s="139">
        <f t="shared" si="11"/>
        <v>753</v>
      </c>
    </row>
    <row r="2172" spans="2:39" ht="20.25" hidden="1" outlineLevel="1">
      <c r="B2172" s="149" t="s">
        <v>1280</v>
      </c>
      <c r="C2172" s="135" t="s">
        <v>1402</v>
      </c>
      <c r="D2172" s="152" t="s">
        <v>1403</v>
      </c>
      <c r="E2172" s="137" t="s">
        <v>44</v>
      </c>
      <c r="F2172" s="138" t="s">
        <v>45</v>
      </c>
      <c r="G2172" s="136"/>
      <c r="H2172" s="136"/>
      <c r="I2172" s="136"/>
      <c r="J2172" s="136"/>
      <c r="K2172" s="136"/>
      <c r="L2172" s="136"/>
      <c r="M2172" s="136">
        <v>3020</v>
      </c>
      <c r="N2172" s="136">
        <v>2347</v>
      </c>
      <c r="O2172" s="136">
        <v>223</v>
      </c>
      <c r="P2172" s="135" t="s">
        <v>252</v>
      </c>
      <c r="Q2172" s="136">
        <v>131</v>
      </c>
      <c r="R2172" s="135" t="s">
        <v>252</v>
      </c>
      <c r="S2172" s="136">
        <v>107</v>
      </c>
      <c r="T2172" s="135" t="s">
        <v>252</v>
      </c>
      <c r="U2172" s="136">
        <v>153</v>
      </c>
      <c r="V2172" s="135" t="s">
        <v>252</v>
      </c>
      <c r="W2172" s="136">
        <v>121</v>
      </c>
      <c r="X2172" s="135" t="s">
        <v>252</v>
      </c>
      <c r="Y2172" s="136">
        <v>114</v>
      </c>
      <c r="Z2172" s="135" t="s">
        <v>252</v>
      </c>
      <c r="AA2172" s="136">
        <v>73</v>
      </c>
      <c r="AB2172" s="135" t="s">
        <v>252</v>
      </c>
      <c r="AC2172" s="136">
        <v>77</v>
      </c>
      <c r="AD2172" s="135" t="s">
        <v>252</v>
      </c>
      <c r="AE2172" s="136">
        <v>109</v>
      </c>
      <c r="AF2172" s="135" t="s">
        <v>252</v>
      </c>
      <c r="AG2172" s="136">
        <v>130</v>
      </c>
      <c r="AH2172" s="135" t="s">
        <v>252</v>
      </c>
      <c r="AI2172" s="136">
        <v>173</v>
      </c>
      <c r="AJ2172" s="135" t="s">
        <v>252</v>
      </c>
      <c r="AK2172" s="136">
        <v>248</v>
      </c>
      <c r="AL2172" s="135" t="s">
        <v>252</v>
      </c>
      <c r="AM2172" s="139">
        <f t="shared" si="11"/>
        <v>1659</v>
      </c>
    </row>
    <row r="2173" spans="2:39" ht="20.25" hidden="1" outlineLevel="1">
      <c r="B2173" s="149" t="s">
        <v>1281</v>
      </c>
      <c r="C2173" s="135" t="s">
        <v>1402</v>
      </c>
      <c r="D2173" s="152" t="s">
        <v>1403</v>
      </c>
      <c r="E2173" s="137" t="s">
        <v>44</v>
      </c>
      <c r="F2173" s="138" t="s">
        <v>45</v>
      </c>
      <c r="G2173" s="136"/>
      <c r="H2173" s="136"/>
      <c r="I2173" s="136"/>
      <c r="J2173" s="136"/>
      <c r="K2173" s="136"/>
      <c r="L2173" s="136"/>
      <c r="M2173" s="136">
        <v>7851</v>
      </c>
      <c r="N2173" s="136">
        <v>7933</v>
      </c>
      <c r="O2173" s="136">
        <v>615</v>
      </c>
      <c r="P2173" s="135" t="s">
        <v>252</v>
      </c>
      <c r="Q2173" s="136">
        <v>600</v>
      </c>
      <c r="R2173" s="135" t="s">
        <v>252</v>
      </c>
      <c r="S2173" s="136">
        <v>600</v>
      </c>
      <c r="T2173" s="135" t="s">
        <v>252</v>
      </c>
      <c r="U2173" s="136">
        <v>550</v>
      </c>
      <c r="V2173" s="135" t="s">
        <v>252</v>
      </c>
      <c r="W2173" s="136">
        <v>450</v>
      </c>
      <c r="X2173" s="135" t="s">
        <v>252</v>
      </c>
      <c r="Y2173" s="136">
        <v>450</v>
      </c>
      <c r="Z2173" s="135" t="s">
        <v>252</v>
      </c>
      <c r="AA2173" s="136">
        <v>500</v>
      </c>
      <c r="AB2173" s="135" t="s">
        <v>252</v>
      </c>
      <c r="AC2173" s="136">
        <v>600</v>
      </c>
      <c r="AD2173" s="135" t="s">
        <v>252</v>
      </c>
      <c r="AE2173" s="136">
        <v>600</v>
      </c>
      <c r="AF2173" s="135" t="s">
        <v>252</v>
      </c>
      <c r="AG2173" s="136">
        <v>600</v>
      </c>
      <c r="AH2173" s="135" t="s">
        <v>252</v>
      </c>
      <c r="AI2173" s="136">
        <v>443</v>
      </c>
      <c r="AJ2173" s="135" t="s">
        <v>252</v>
      </c>
      <c r="AK2173" s="136">
        <v>600</v>
      </c>
      <c r="AL2173" s="135" t="s">
        <v>252</v>
      </c>
      <c r="AM2173" s="139">
        <f t="shared" si="11"/>
        <v>6608</v>
      </c>
    </row>
    <row r="2174" spans="2:39" ht="20.25" hidden="1" outlineLevel="1">
      <c r="B2174" s="149" t="s">
        <v>1282</v>
      </c>
      <c r="C2174" s="135" t="s">
        <v>1402</v>
      </c>
      <c r="D2174" s="152" t="s">
        <v>1403</v>
      </c>
      <c r="E2174" s="137" t="s">
        <v>44</v>
      </c>
      <c r="F2174" s="138" t="s">
        <v>45</v>
      </c>
      <c r="G2174" s="136"/>
      <c r="H2174" s="136"/>
      <c r="I2174" s="136"/>
      <c r="J2174" s="136"/>
      <c r="K2174" s="136"/>
      <c r="L2174" s="136"/>
      <c r="M2174" s="136">
        <v>6032</v>
      </c>
      <c r="N2174" s="136">
        <v>4749</v>
      </c>
      <c r="O2174" s="136">
        <v>450</v>
      </c>
      <c r="P2174" s="135" t="s">
        <v>252</v>
      </c>
      <c r="Q2174" s="136">
        <v>500</v>
      </c>
      <c r="R2174" s="135" t="s">
        <v>252</v>
      </c>
      <c r="S2174" s="136">
        <v>396</v>
      </c>
      <c r="T2174" s="135" t="s">
        <v>252</v>
      </c>
      <c r="U2174" s="136">
        <v>487</v>
      </c>
      <c r="V2174" s="135" t="s">
        <v>252</v>
      </c>
      <c r="W2174" s="136">
        <v>357</v>
      </c>
      <c r="X2174" s="135" t="s">
        <v>252</v>
      </c>
      <c r="Y2174" s="136">
        <v>377</v>
      </c>
      <c r="Z2174" s="135" t="s">
        <v>252</v>
      </c>
      <c r="AA2174" s="136">
        <v>333</v>
      </c>
      <c r="AB2174" s="135" t="s">
        <v>252</v>
      </c>
      <c r="AC2174" s="136">
        <v>351</v>
      </c>
      <c r="AD2174" s="135" t="s">
        <v>252</v>
      </c>
      <c r="AE2174" s="136">
        <v>391</v>
      </c>
      <c r="AF2174" s="135" t="s">
        <v>252</v>
      </c>
      <c r="AG2174" s="136">
        <v>445</v>
      </c>
      <c r="AH2174" s="135" t="s">
        <v>252</v>
      </c>
      <c r="AI2174" s="136">
        <v>443</v>
      </c>
      <c r="AJ2174" s="135" t="s">
        <v>252</v>
      </c>
      <c r="AK2174" s="136">
        <v>456</v>
      </c>
      <c r="AL2174" s="135" t="s">
        <v>252</v>
      </c>
      <c r="AM2174" s="139">
        <f t="shared" si="11"/>
        <v>4986</v>
      </c>
    </row>
    <row r="2175" spans="2:39" ht="20.25" hidden="1" outlineLevel="1">
      <c r="B2175" s="149" t="s">
        <v>1283</v>
      </c>
      <c r="C2175" s="135" t="s">
        <v>1402</v>
      </c>
      <c r="D2175" s="152" t="s">
        <v>1403</v>
      </c>
      <c r="E2175" s="137" t="s">
        <v>44</v>
      </c>
      <c r="F2175" s="138" t="s">
        <v>45</v>
      </c>
      <c r="G2175" s="136"/>
      <c r="H2175" s="136"/>
      <c r="I2175" s="136"/>
      <c r="J2175" s="136"/>
      <c r="K2175" s="136"/>
      <c r="L2175" s="136"/>
      <c r="M2175" s="136">
        <v>5464</v>
      </c>
      <c r="N2175" s="136">
        <v>3393</v>
      </c>
      <c r="O2175" s="136">
        <v>276</v>
      </c>
      <c r="P2175" s="135" t="s">
        <v>252</v>
      </c>
      <c r="Q2175" s="136">
        <v>347</v>
      </c>
      <c r="R2175" s="135" t="s">
        <v>252</v>
      </c>
      <c r="S2175" s="136">
        <v>194</v>
      </c>
      <c r="T2175" s="135" t="s">
        <v>252</v>
      </c>
      <c r="U2175" s="136">
        <v>156</v>
      </c>
      <c r="V2175" s="135" t="s">
        <v>252</v>
      </c>
      <c r="W2175" s="136">
        <v>130</v>
      </c>
      <c r="X2175" s="135" t="s">
        <v>252</v>
      </c>
      <c r="Y2175" s="136">
        <v>183</v>
      </c>
      <c r="Z2175" s="135" t="s">
        <v>252</v>
      </c>
      <c r="AA2175" s="136">
        <v>161</v>
      </c>
      <c r="AB2175" s="135" t="s">
        <v>252</v>
      </c>
      <c r="AC2175" s="136">
        <v>214</v>
      </c>
      <c r="AD2175" s="135" t="s">
        <v>252</v>
      </c>
      <c r="AE2175" s="136">
        <v>235</v>
      </c>
      <c r="AF2175" s="135" t="s">
        <v>252</v>
      </c>
      <c r="AG2175" s="136">
        <v>294</v>
      </c>
      <c r="AH2175" s="135" t="s">
        <v>252</v>
      </c>
      <c r="AI2175" s="136">
        <v>210</v>
      </c>
      <c r="AJ2175" s="135" t="s">
        <v>252</v>
      </c>
      <c r="AK2175" s="136">
        <v>270</v>
      </c>
      <c r="AL2175" s="135" t="s">
        <v>252</v>
      </c>
      <c r="AM2175" s="139">
        <f t="shared" si="11"/>
        <v>2670</v>
      </c>
    </row>
    <row r="2176" spans="2:39" ht="20.25" hidden="1" outlineLevel="1">
      <c r="B2176" s="149" t="s">
        <v>1284</v>
      </c>
      <c r="C2176" s="135" t="s">
        <v>1402</v>
      </c>
      <c r="D2176" s="152" t="s">
        <v>1403</v>
      </c>
      <c r="E2176" s="137" t="s">
        <v>44</v>
      </c>
      <c r="F2176" s="144" t="s">
        <v>45</v>
      </c>
      <c r="G2176" s="136"/>
      <c r="H2176" s="136"/>
      <c r="I2176" s="136"/>
      <c r="J2176" s="136"/>
      <c r="K2176" s="136"/>
      <c r="L2176" s="136"/>
      <c r="M2176" s="419">
        <v>1151</v>
      </c>
      <c r="N2176" s="419">
        <v>1878</v>
      </c>
      <c r="O2176" s="419">
        <v>257</v>
      </c>
      <c r="P2176" s="419" t="s">
        <v>252</v>
      </c>
      <c r="Q2176" s="419">
        <v>183</v>
      </c>
      <c r="R2176" s="419" t="s">
        <v>252</v>
      </c>
      <c r="S2176" s="419">
        <v>117</v>
      </c>
      <c r="T2176" s="419" t="s">
        <v>252</v>
      </c>
      <c r="U2176" s="419">
        <v>110</v>
      </c>
      <c r="V2176" s="419" t="s">
        <v>252</v>
      </c>
      <c r="W2176" s="419">
        <v>69</v>
      </c>
      <c r="X2176" s="419" t="s">
        <v>252</v>
      </c>
      <c r="Y2176" s="419">
        <v>62</v>
      </c>
      <c r="Z2176" s="419" t="s">
        <v>252</v>
      </c>
      <c r="AA2176" s="419">
        <v>36</v>
      </c>
      <c r="AB2176" s="419" t="s">
        <v>252</v>
      </c>
      <c r="AC2176" s="419">
        <v>54</v>
      </c>
      <c r="AD2176" s="419" t="s">
        <v>252</v>
      </c>
      <c r="AE2176" s="419">
        <v>92</v>
      </c>
      <c r="AF2176" s="419" t="s">
        <v>252</v>
      </c>
      <c r="AG2176" s="419">
        <v>139</v>
      </c>
      <c r="AH2176" s="419" t="s">
        <v>252</v>
      </c>
      <c r="AI2176" s="419">
        <v>196</v>
      </c>
      <c r="AJ2176" s="419" t="s">
        <v>252</v>
      </c>
      <c r="AK2176" s="419">
        <v>249</v>
      </c>
      <c r="AL2176" s="419" t="s">
        <v>252</v>
      </c>
      <c r="AM2176" s="429">
        <f t="shared" si="11"/>
        <v>1564</v>
      </c>
    </row>
    <row r="2177" spans="2:39" ht="20.25" hidden="1" outlineLevel="1">
      <c r="B2177" s="149" t="s">
        <v>1285</v>
      </c>
      <c r="C2177" s="135" t="s">
        <v>1402</v>
      </c>
      <c r="D2177" s="152" t="s">
        <v>1403</v>
      </c>
      <c r="E2177" s="137" t="s">
        <v>44</v>
      </c>
      <c r="F2177" s="144" t="s">
        <v>45</v>
      </c>
      <c r="G2177" s="136"/>
      <c r="H2177" s="136"/>
      <c r="I2177" s="136"/>
      <c r="J2177" s="136"/>
      <c r="K2177" s="136"/>
      <c r="L2177" s="136"/>
      <c r="M2177" s="420"/>
      <c r="N2177" s="420"/>
      <c r="O2177" s="420"/>
      <c r="P2177" s="420"/>
      <c r="Q2177" s="420"/>
      <c r="R2177" s="420"/>
      <c r="S2177" s="420"/>
      <c r="T2177" s="420"/>
      <c r="U2177" s="420"/>
      <c r="V2177" s="420"/>
      <c r="W2177" s="420"/>
      <c r="X2177" s="420"/>
      <c r="Y2177" s="420"/>
      <c r="Z2177" s="420"/>
      <c r="AA2177" s="420"/>
      <c r="AB2177" s="420"/>
      <c r="AC2177" s="420"/>
      <c r="AD2177" s="420"/>
      <c r="AE2177" s="420"/>
      <c r="AF2177" s="420"/>
      <c r="AG2177" s="420"/>
      <c r="AH2177" s="420"/>
      <c r="AI2177" s="420"/>
      <c r="AJ2177" s="420"/>
      <c r="AK2177" s="420"/>
      <c r="AL2177" s="420"/>
      <c r="AM2177" s="430"/>
    </row>
    <row r="2178" spans="2:39" ht="20.25" hidden="1" outlineLevel="1">
      <c r="B2178" s="149" t="s">
        <v>1286</v>
      </c>
      <c r="C2178" s="135" t="s">
        <v>1402</v>
      </c>
      <c r="D2178" s="152" t="s">
        <v>1403</v>
      </c>
      <c r="E2178" s="137" t="s">
        <v>44</v>
      </c>
      <c r="F2178" s="138" t="s">
        <v>45</v>
      </c>
      <c r="G2178" s="136"/>
      <c r="H2178" s="136"/>
      <c r="I2178" s="136"/>
      <c r="J2178" s="136"/>
      <c r="K2178" s="136"/>
      <c r="L2178" s="136"/>
      <c r="M2178" s="136">
        <v>1848</v>
      </c>
      <c r="N2178" s="136">
        <v>2113</v>
      </c>
      <c r="O2178" s="136">
        <v>217</v>
      </c>
      <c r="P2178" s="136" t="s">
        <v>252</v>
      </c>
      <c r="Q2178" s="136">
        <v>198</v>
      </c>
      <c r="R2178" s="136" t="s">
        <v>252</v>
      </c>
      <c r="S2178" s="136">
        <v>126</v>
      </c>
      <c r="T2178" s="136" t="s">
        <v>252</v>
      </c>
      <c r="U2178" s="136">
        <v>207</v>
      </c>
      <c r="V2178" s="136" t="s">
        <v>252</v>
      </c>
      <c r="W2178" s="136">
        <v>157</v>
      </c>
      <c r="X2178" s="136" t="s">
        <v>252</v>
      </c>
      <c r="Y2178" s="136">
        <v>231</v>
      </c>
      <c r="Z2178" s="136" t="s">
        <v>252</v>
      </c>
      <c r="AA2178" s="136">
        <v>39</v>
      </c>
      <c r="AB2178" s="136" t="s">
        <v>252</v>
      </c>
      <c r="AC2178" s="136">
        <v>76</v>
      </c>
      <c r="AD2178" s="136" t="s">
        <v>252</v>
      </c>
      <c r="AE2178" s="136">
        <v>183</v>
      </c>
      <c r="AF2178" s="136" t="s">
        <v>252</v>
      </c>
      <c r="AG2178" s="136">
        <v>203</v>
      </c>
      <c r="AH2178" s="136" t="s">
        <v>252</v>
      </c>
      <c r="AI2178" s="136">
        <v>179</v>
      </c>
      <c r="AJ2178" s="136" t="s">
        <v>252</v>
      </c>
      <c r="AK2178" s="136">
        <v>143</v>
      </c>
      <c r="AL2178" s="136" t="s">
        <v>252</v>
      </c>
      <c r="AM2178" s="139">
        <f t="shared" si="11"/>
        <v>1959</v>
      </c>
    </row>
    <row r="2179" spans="2:39" ht="20.25" hidden="1" outlineLevel="1">
      <c r="B2179" s="149" t="s">
        <v>1287</v>
      </c>
      <c r="C2179" s="135" t="s">
        <v>1402</v>
      </c>
      <c r="D2179" s="152" t="s">
        <v>1403</v>
      </c>
      <c r="E2179" s="137" t="s">
        <v>44</v>
      </c>
      <c r="F2179" s="138" t="s">
        <v>45</v>
      </c>
      <c r="G2179" s="136"/>
      <c r="H2179" s="136"/>
      <c r="I2179" s="136"/>
      <c r="J2179" s="136"/>
      <c r="K2179" s="136"/>
      <c r="L2179" s="136"/>
      <c r="M2179" s="419">
        <v>897</v>
      </c>
      <c r="N2179" s="419">
        <v>902</v>
      </c>
      <c r="O2179" s="419">
        <v>50</v>
      </c>
      <c r="P2179" s="419" t="s">
        <v>259</v>
      </c>
      <c r="Q2179" s="419">
        <v>41</v>
      </c>
      <c r="R2179" s="419" t="s">
        <v>259</v>
      </c>
      <c r="S2179" s="419">
        <v>23</v>
      </c>
      <c r="T2179" s="419" t="s">
        <v>259</v>
      </c>
      <c r="U2179" s="419">
        <v>53</v>
      </c>
      <c r="V2179" s="419" t="s">
        <v>259</v>
      </c>
      <c r="W2179" s="419">
        <v>46</v>
      </c>
      <c r="X2179" s="419" t="s">
        <v>259</v>
      </c>
      <c r="Y2179" s="419">
        <v>40</v>
      </c>
      <c r="Z2179" s="419" t="s">
        <v>259</v>
      </c>
      <c r="AA2179" s="419">
        <v>32</v>
      </c>
      <c r="AB2179" s="419" t="s">
        <v>259</v>
      </c>
      <c r="AC2179" s="419">
        <v>50</v>
      </c>
      <c r="AD2179" s="419" t="s">
        <v>259</v>
      </c>
      <c r="AE2179" s="419">
        <v>75</v>
      </c>
      <c r="AF2179" s="419" t="s">
        <v>259</v>
      </c>
      <c r="AG2179" s="419">
        <v>79</v>
      </c>
      <c r="AH2179" s="419" t="s">
        <v>259</v>
      </c>
      <c r="AI2179" s="417">
        <v>80</v>
      </c>
      <c r="AJ2179" s="419" t="s">
        <v>259</v>
      </c>
      <c r="AK2179" s="419">
        <v>84</v>
      </c>
      <c r="AL2179" s="419" t="s">
        <v>259</v>
      </c>
      <c r="AM2179" s="429">
        <f t="shared" si="11"/>
        <v>653</v>
      </c>
    </row>
    <row r="2180" spans="2:39" ht="20.25" hidden="1" outlineLevel="1">
      <c r="B2180" s="149" t="s">
        <v>1288</v>
      </c>
      <c r="C2180" s="135" t="s">
        <v>1402</v>
      </c>
      <c r="D2180" s="152" t="s">
        <v>1403</v>
      </c>
      <c r="E2180" s="137" t="s">
        <v>44</v>
      </c>
      <c r="F2180" s="138" t="s">
        <v>45</v>
      </c>
      <c r="G2180" s="136"/>
      <c r="H2180" s="136"/>
      <c r="I2180" s="136"/>
      <c r="J2180" s="136"/>
      <c r="K2180" s="136"/>
      <c r="L2180" s="136"/>
      <c r="M2180" s="420"/>
      <c r="N2180" s="420"/>
      <c r="O2180" s="420"/>
      <c r="P2180" s="420"/>
      <c r="Q2180" s="420"/>
      <c r="R2180" s="420"/>
      <c r="S2180" s="420"/>
      <c r="T2180" s="420"/>
      <c r="U2180" s="420"/>
      <c r="V2180" s="420"/>
      <c r="W2180" s="420"/>
      <c r="X2180" s="420"/>
      <c r="Y2180" s="420"/>
      <c r="Z2180" s="420"/>
      <c r="AA2180" s="420"/>
      <c r="AB2180" s="420"/>
      <c r="AC2180" s="420"/>
      <c r="AD2180" s="420"/>
      <c r="AE2180" s="420"/>
      <c r="AF2180" s="420"/>
      <c r="AG2180" s="420"/>
      <c r="AH2180" s="420"/>
      <c r="AI2180" s="418"/>
      <c r="AJ2180" s="420"/>
      <c r="AK2180" s="420"/>
      <c r="AL2180" s="420"/>
      <c r="AM2180" s="430"/>
    </row>
    <row r="2181" spans="2:39" ht="20.25" hidden="1" outlineLevel="1">
      <c r="B2181" s="149" t="s">
        <v>1289</v>
      </c>
      <c r="C2181" s="135" t="s">
        <v>1402</v>
      </c>
      <c r="D2181" s="152" t="s">
        <v>1403</v>
      </c>
      <c r="E2181" s="137" t="s">
        <v>44</v>
      </c>
      <c r="F2181" s="138" t="s">
        <v>45</v>
      </c>
      <c r="G2181" s="136"/>
      <c r="H2181" s="136"/>
      <c r="I2181" s="136"/>
      <c r="J2181" s="136"/>
      <c r="K2181" s="136"/>
      <c r="L2181" s="136"/>
      <c r="M2181" s="419">
        <v>1595</v>
      </c>
      <c r="N2181" s="419"/>
      <c r="O2181" s="419">
        <v>250</v>
      </c>
      <c r="P2181" s="419" t="s">
        <v>252</v>
      </c>
      <c r="Q2181" s="419">
        <v>223</v>
      </c>
      <c r="R2181" s="419" t="s">
        <v>252</v>
      </c>
      <c r="S2181" s="419">
        <v>233</v>
      </c>
      <c r="T2181" s="419" t="s">
        <v>252</v>
      </c>
      <c r="U2181" s="419">
        <v>178</v>
      </c>
      <c r="V2181" s="419" t="s">
        <v>252</v>
      </c>
      <c r="W2181" s="419">
        <v>250</v>
      </c>
      <c r="X2181" s="419" t="s">
        <v>252</v>
      </c>
      <c r="Y2181" s="419">
        <v>111</v>
      </c>
      <c r="Z2181" s="419" t="s">
        <v>252</v>
      </c>
      <c r="AA2181" s="419">
        <v>86</v>
      </c>
      <c r="AB2181" s="419" t="s">
        <v>252</v>
      </c>
      <c r="AC2181" s="419">
        <v>90</v>
      </c>
      <c r="AD2181" s="419" t="s">
        <v>252</v>
      </c>
      <c r="AE2181" s="419">
        <v>98</v>
      </c>
      <c r="AF2181" s="419" t="s">
        <v>252</v>
      </c>
      <c r="AG2181" s="419">
        <v>116</v>
      </c>
      <c r="AH2181" s="419" t="s">
        <v>252</v>
      </c>
      <c r="AI2181" s="419">
        <v>114</v>
      </c>
      <c r="AJ2181" s="419" t="s">
        <v>252</v>
      </c>
      <c r="AK2181" s="419">
        <v>110</v>
      </c>
      <c r="AL2181" s="419" t="s">
        <v>252</v>
      </c>
      <c r="AM2181" s="429">
        <f t="shared" si="11"/>
        <v>1859</v>
      </c>
    </row>
    <row r="2182" spans="2:39" ht="20.25" hidden="1" outlineLevel="1">
      <c r="B2182" s="149" t="s">
        <v>1290</v>
      </c>
      <c r="C2182" s="135" t="s">
        <v>1402</v>
      </c>
      <c r="D2182" s="152" t="s">
        <v>1403</v>
      </c>
      <c r="E2182" s="137" t="s">
        <v>44</v>
      </c>
      <c r="F2182" s="138" t="s">
        <v>45</v>
      </c>
      <c r="G2182" s="136"/>
      <c r="H2182" s="136"/>
      <c r="I2182" s="136"/>
      <c r="J2182" s="136"/>
      <c r="K2182" s="136"/>
      <c r="L2182" s="136"/>
      <c r="M2182" s="420"/>
      <c r="N2182" s="420"/>
      <c r="O2182" s="420"/>
      <c r="P2182" s="420"/>
      <c r="Q2182" s="420"/>
      <c r="R2182" s="420"/>
      <c r="S2182" s="420"/>
      <c r="T2182" s="420"/>
      <c r="U2182" s="420"/>
      <c r="V2182" s="420"/>
      <c r="W2182" s="420"/>
      <c r="X2182" s="420"/>
      <c r="Y2182" s="420"/>
      <c r="Z2182" s="420"/>
      <c r="AA2182" s="420"/>
      <c r="AB2182" s="420"/>
      <c r="AC2182" s="420"/>
      <c r="AD2182" s="420"/>
      <c r="AE2182" s="420"/>
      <c r="AF2182" s="420"/>
      <c r="AG2182" s="420"/>
      <c r="AH2182" s="420"/>
      <c r="AI2182" s="420"/>
      <c r="AJ2182" s="420"/>
      <c r="AK2182" s="420"/>
      <c r="AL2182" s="420"/>
      <c r="AM2182" s="430"/>
    </row>
    <row r="2183" spans="2:39" ht="20.25" hidden="1" outlineLevel="1">
      <c r="B2183" s="149" t="s">
        <v>1291</v>
      </c>
      <c r="C2183" s="135" t="s">
        <v>1402</v>
      </c>
      <c r="D2183" s="152" t="s">
        <v>1403</v>
      </c>
      <c r="E2183" s="137" t="s">
        <v>44</v>
      </c>
      <c r="F2183" s="138" t="s">
        <v>45</v>
      </c>
      <c r="G2183" s="136"/>
      <c r="H2183" s="136"/>
      <c r="I2183" s="136"/>
      <c r="J2183" s="136"/>
      <c r="K2183" s="136"/>
      <c r="L2183" s="136"/>
      <c r="M2183" s="136">
        <v>5536</v>
      </c>
      <c r="N2183" s="136">
        <v>5538</v>
      </c>
      <c r="O2183" s="136">
        <v>571</v>
      </c>
      <c r="P2183" s="136" t="s">
        <v>259</v>
      </c>
      <c r="Q2183" s="136">
        <v>666</v>
      </c>
      <c r="R2183" s="136" t="s">
        <v>259</v>
      </c>
      <c r="S2183" s="136">
        <v>372</v>
      </c>
      <c r="T2183" s="136" t="s">
        <v>259</v>
      </c>
      <c r="U2183" s="136">
        <v>611</v>
      </c>
      <c r="V2183" s="136" t="s">
        <v>259</v>
      </c>
      <c r="W2183" s="136">
        <v>529</v>
      </c>
      <c r="X2183" s="136" t="s">
        <v>259</v>
      </c>
      <c r="Y2183" s="136">
        <v>465</v>
      </c>
      <c r="Z2183" s="136" t="s">
        <v>259</v>
      </c>
      <c r="AA2183" s="136">
        <v>373</v>
      </c>
      <c r="AB2183" s="136" t="s">
        <v>259</v>
      </c>
      <c r="AC2183" s="136">
        <v>397</v>
      </c>
      <c r="AD2183" s="136" t="s">
        <v>259</v>
      </c>
      <c r="AE2183" s="136">
        <v>611</v>
      </c>
      <c r="AF2183" s="136" t="s">
        <v>259</v>
      </c>
      <c r="AG2183" s="136">
        <v>634</v>
      </c>
      <c r="AH2183" s="136" t="s">
        <v>259</v>
      </c>
      <c r="AI2183" s="136">
        <v>645</v>
      </c>
      <c r="AJ2183" s="136" t="s">
        <v>259</v>
      </c>
      <c r="AK2183" s="136">
        <v>677</v>
      </c>
      <c r="AL2183" s="136" t="s">
        <v>259</v>
      </c>
      <c r="AM2183" s="139">
        <f t="shared" si="11"/>
        <v>6551</v>
      </c>
    </row>
    <row r="2184" spans="2:39" ht="20.25" hidden="1" outlineLevel="1">
      <c r="B2184" s="149" t="s">
        <v>1292</v>
      </c>
      <c r="C2184" s="135" t="s">
        <v>1402</v>
      </c>
      <c r="D2184" s="152" t="s">
        <v>1403</v>
      </c>
      <c r="E2184" s="137" t="s">
        <v>44</v>
      </c>
      <c r="F2184" s="138" t="s">
        <v>45</v>
      </c>
      <c r="G2184" s="136"/>
      <c r="H2184" s="136"/>
      <c r="I2184" s="136"/>
      <c r="J2184" s="136"/>
      <c r="K2184" s="136"/>
      <c r="L2184" s="136"/>
      <c r="M2184" s="136">
        <v>2259</v>
      </c>
      <c r="N2184" s="136">
        <v>2063</v>
      </c>
      <c r="O2184" s="136">
        <v>158</v>
      </c>
      <c r="P2184" s="136" t="s">
        <v>252</v>
      </c>
      <c r="Q2184" s="136">
        <v>217</v>
      </c>
      <c r="R2184" s="136" t="s">
        <v>252</v>
      </c>
      <c r="S2184" s="136">
        <v>110</v>
      </c>
      <c r="T2184" s="136" t="s">
        <v>252</v>
      </c>
      <c r="U2184" s="136">
        <v>146</v>
      </c>
      <c r="V2184" s="136" t="s">
        <v>252</v>
      </c>
      <c r="W2184" s="136">
        <v>121</v>
      </c>
      <c r="X2184" s="136" t="s">
        <v>252</v>
      </c>
      <c r="Y2184" s="136">
        <v>136</v>
      </c>
      <c r="Z2184" s="136" t="s">
        <v>252</v>
      </c>
      <c r="AA2184" s="136">
        <v>101</v>
      </c>
      <c r="AB2184" s="136" t="s">
        <v>252</v>
      </c>
      <c r="AC2184" s="136">
        <v>98</v>
      </c>
      <c r="AD2184" s="136" t="s">
        <v>252</v>
      </c>
      <c r="AE2184" s="136">
        <v>130</v>
      </c>
      <c r="AF2184" s="136" t="s">
        <v>252</v>
      </c>
      <c r="AG2184" s="136">
        <v>290</v>
      </c>
      <c r="AH2184" s="136" t="s">
        <v>252</v>
      </c>
      <c r="AI2184" s="136">
        <v>194</v>
      </c>
      <c r="AJ2184" s="136" t="s">
        <v>252</v>
      </c>
      <c r="AK2184" s="136">
        <v>361</v>
      </c>
      <c r="AL2184" s="136" t="s">
        <v>252</v>
      </c>
      <c r="AM2184" s="139">
        <f t="shared" si="11"/>
        <v>2062</v>
      </c>
    </row>
    <row r="2185" spans="2:39" ht="20.25" hidden="1" outlineLevel="1">
      <c r="B2185" s="149" t="s">
        <v>1399</v>
      </c>
      <c r="C2185" s="135" t="s">
        <v>1402</v>
      </c>
      <c r="D2185" s="152" t="s">
        <v>1403</v>
      </c>
      <c r="E2185" s="137" t="s">
        <v>44</v>
      </c>
      <c r="F2185" s="138" t="s">
        <v>45</v>
      </c>
      <c r="G2185" s="136"/>
      <c r="H2185" s="136"/>
      <c r="I2185" s="136"/>
      <c r="J2185" s="136"/>
      <c r="K2185" s="136"/>
      <c r="L2185" s="136"/>
      <c r="M2185" s="136"/>
      <c r="N2185" s="136"/>
      <c r="O2185" s="136"/>
      <c r="P2185" s="136" t="s">
        <v>252</v>
      </c>
      <c r="Q2185" s="136"/>
      <c r="R2185" s="136" t="s">
        <v>252</v>
      </c>
      <c r="S2185" s="136"/>
      <c r="T2185" s="136" t="s">
        <v>252</v>
      </c>
      <c r="U2185" s="136"/>
      <c r="V2185" s="136" t="s">
        <v>252</v>
      </c>
      <c r="W2185" s="136"/>
      <c r="X2185" s="136" t="s">
        <v>252</v>
      </c>
      <c r="Y2185" s="136"/>
      <c r="Z2185" s="136" t="s">
        <v>252</v>
      </c>
      <c r="AA2185" s="136"/>
      <c r="AB2185" s="136" t="s">
        <v>252</v>
      </c>
      <c r="AC2185" s="136"/>
      <c r="AD2185" s="136" t="s">
        <v>252</v>
      </c>
      <c r="AE2185" s="136"/>
      <c r="AF2185" s="136" t="s">
        <v>252</v>
      </c>
      <c r="AG2185" s="136"/>
      <c r="AH2185" s="136" t="s">
        <v>252</v>
      </c>
      <c r="AI2185" s="136"/>
      <c r="AJ2185" s="136" t="s">
        <v>252</v>
      </c>
      <c r="AK2185" s="136"/>
      <c r="AL2185" s="136" t="s">
        <v>252</v>
      </c>
      <c r="AM2185" s="139">
        <f t="shared" si="11"/>
        <v>0</v>
      </c>
    </row>
    <row r="2186" spans="2:39" ht="20.25" hidden="1" outlineLevel="1">
      <c r="B2186" s="149" t="s">
        <v>1293</v>
      </c>
      <c r="C2186" s="135" t="s">
        <v>1402</v>
      </c>
      <c r="D2186" s="152" t="s">
        <v>1403</v>
      </c>
      <c r="E2186" s="137" t="s">
        <v>44</v>
      </c>
      <c r="F2186" s="138" t="s">
        <v>45</v>
      </c>
      <c r="G2186" s="136"/>
      <c r="H2186" s="136"/>
      <c r="I2186" s="136"/>
      <c r="J2186" s="136"/>
      <c r="K2186" s="136"/>
      <c r="L2186" s="136"/>
      <c r="M2186" s="136">
        <v>2339</v>
      </c>
      <c r="N2186" s="136">
        <v>679</v>
      </c>
      <c r="O2186" s="136">
        <v>250</v>
      </c>
      <c r="P2186" s="136" t="s">
        <v>252</v>
      </c>
      <c r="Q2186" s="136">
        <v>125</v>
      </c>
      <c r="R2186" s="136" t="s">
        <v>252</v>
      </c>
      <c r="S2186" s="136">
        <v>73</v>
      </c>
      <c r="T2186" s="136" t="s">
        <v>252</v>
      </c>
      <c r="U2186" s="136">
        <v>110</v>
      </c>
      <c r="V2186" s="136" t="s">
        <v>252</v>
      </c>
      <c r="W2186" s="136">
        <v>121</v>
      </c>
      <c r="X2186" s="136" t="s">
        <v>252</v>
      </c>
      <c r="Y2186" s="136">
        <v>139</v>
      </c>
      <c r="Z2186" s="136" t="s">
        <v>252</v>
      </c>
      <c r="AA2186" s="136">
        <v>397</v>
      </c>
      <c r="AB2186" s="136" t="s">
        <v>252</v>
      </c>
      <c r="AC2186" s="136">
        <v>73</v>
      </c>
      <c r="AD2186" s="136" t="s">
        <v>252</v>
      </c>
      <c r="AE2186" s="136">
        <v>495</v>
      </c>
      <c r="AF2186" s="136" t="s">
        <v>252</v>
      </c>
      <c r="AG2186" s="136">
        <v>72</v>
      </c>
      <c r="AH2186" s="136" t="s">
        <v>252</v>
      </c>
      <c r="AI2186" s="136">
        <v>123</v>
      </c>
      <c r="AJ2186" s="136" t="s">
        <v>252</v>
      </c>
      <c r="AK2186" s="136">
        <v>134</v>
      </c>
      <c r="AL2186" s="136" t="s">
        <v>252</v>
      </c>
      <c r="AM2186" s="139">
        <f t="shared" si="11"/>
        <v>2112</v>
      </c>
    </row>
    <row r="2187" spans="2:39" ht="20.25" hidden="1" outlineLevel="1">
      <c r="B2187" s="149" t="s">
        <v>1294</v>
      </c>
      <c r="C2187" s="135" t="s">
        <v>1402</v>
      </c>
      <c r="D2187" s="152" t="s">
        <v>1403</v>
      </c>
      <c r="E2187" s="137" t="s">
        <v>44</v>
      </c>
      <c r="F2187" s="144" t="s">
        <v>45</v>
      </c>
      <c r="G2187" s="136"/>
      <c r="H2187" s="136"/>
      <c r="I2187" s="136"/>
      <c r="J2187" s="136"/>
      <c r="K2187" s="136"/>
      <c r="L2187" s="136"/>
      <c r="M2187" s="136">
        <v>6063</v>
      </c>
      <c r="N2187" s="136">
        <v>7710</v>
      </c>
      <c r="O2187" s="142">
        <v>857</v>
      </c>
      <c r="P2187" s="136" t="s">
        <v>252</v>
      </c>
      <c r="Q2187" s="136">
        <v>990</v>
      </c>
      <c r="R2187" s="136" t="s">
        <v>252</v>
      </c>
      <c r="S2187" s="136">
        <v>653</v>
      </c>
      <c r="T2187" s="136" t="s">
        <v>252</v>
      </c>
      <c r="U2187" s="136">
        <v>738</v>
      </c>
      <c r="V2187" s="136" t="s">
        <v>252</v>
      </c>
      <c r="W2187" s="136">
        <v>413</v>
      </c>
      <c r="X2187" s="136" t="s">
        <v>252</v>
      </c>
      <c r="Y2187" s="136">
        <v>394</v>
      </c>
      <c r="Z2187" s="136" t="s">
        <v>252</v>
      </c>
      <c r="AA2187" s="136">
        <v>216</v>
      </c>
      <c r="AB2187" s="136" t="s">
        <v>252</v>
      </c>
      <c r="AC2187" s="136">
        <v>539</v>
      </c>
      <c r="AD2187" s="136" t="s">
        <v>252</v>
      </c>
      <c r="AE2187" s="136">
        <v>472</v>
      </c>
      <c r="AF2187" s="136" t="s">
        <v>252</v>
      </c>
      <c r="AG2187" s="136">
        <v>541</v>
      </c>
      <c r="AH2187" s="136" t="s">
        <v>252</v>
      </c>
      <c r="AI2187" s="136">
        <v>844</v>
      </c>
      <c r="AJ2187" s="136" t="s">
        <v>252</v>
      </c>
      <c r="AK2187" s="136">
        <v>723</v>
      </c>
      <c r="AL2187" s="136" t="s">
        <v>252</v>
      </c>
      <c r="AM2187" s="139">
        <f t="shared" si="11"/>
        <v>7380</v>
      </c>
    </row>
    <row r="2188" spans="2:39" ht="20.25" hidden="1" outlineLevel="1">
      <c r="B2188" s="149" t="s">
        <v>1295</v>
      </c>
      <c r="C2188" s="135" t="s">
        <v>1402</v>
      </c>
      <c r="D2188" s="152" t="s">
        <v>1403</v>
      </c>
      <c r="E2188" s="143" t="s">
        <v>138</v>
      </c>
      <c r="F2188" s="144" t="s">
        <v>45</v>
      </c>
      <c r="G2188" s="136"/>
      <c r="H2188" s="136"/>
      <c r="I2188" s="136"/>
      <c r="J2188" s="136"/>
      <c r="K2188" s="136"/>
      <c r="L2188" s="136"/>
      <c r="M2188" s="136">
        <v>13482</v>
      </c>
      <c r="N2188" s="136">
        <v>12862</v>
      </c>
      <c r="O2188" s="136">
        <v>931</v>
      </c>
      <c r="P2188" s="136" t="s">
        <v>252</v>
      </c>
      <c r="Q2188" s="136">
        <v>1424</v>
      </c>
      <c r="R2188" s="136" t="s">
        <v>252</v>
      </c>
      <c r="S2188" s="136">
        <v>873</v>
      </c>
      <c r="T2188" s="136" t="s">
        <v>252</v>
      </c>
      <c r="U2188" s="136">
        <v>1411</v>
      </c>
      <c r="V2188" s="136" t="s">
        <v>252</v>
      </c>
      <c r="W2188" s="136">
        <v>929</v>
      </c>
      <c r="X2188" s="136" t="s">
        <v>252</v>
      </c>
      <c r="Y2188" s="136">
        <v>1174</v>
      </c>
      <c r="Z2188" s="136" t="s">
        <v>252</v>
      </c>
      <c r="AA2188" s="136">
        <v>969</v>
      </c>
      <c r="AB2188" s="136" t="s">
        <v>252</v>
      </c>
      <c r="AC2188" s="136">
        <v>773</v>
      </c>
      <c r="AD2188" s="136" t="s">
        <v>252</v>
      </c>
      <c r="AE2188" s="136">
        <v>1057</v>
      </c>
      <c r="AF2188" s="136" t="s">
        <v>252</v>
      </c>
      <c r="AG2188" s="136">
        <v>797</v>
      </c>
      <c r="AH2188" s="136" t="s">
        <v>252</v>
      </c>
      <c r="AI2188" s="136">
        <v>1471</v>
      </c>
      <c r="AJ2188" s="136" t="s">
        <v>252</v>
      </c>
      <c r="AK2188" s="136">
        <v>1386</v>
      </c>
      <c r="AL2188" s="136" t="s">
        <v>252</v>
      </c>
      <c r="AM2188" s="139">
        <f t="shared" si="11"/>
        <v>13195</v>
      </c>
    </row>
    <row r="2189" spans="2:39" ht="20.25" hidden="1" outlineLevel="1">
      <c r="B2189" s="149" t="s">
        <v>1295</v>
      </c>
      <c r="C2189" s="135" t="s">
        <v>1402</v>
      </c>
      <c r="D2189" s="152" t="s">
        <v>1403</v>
      </c>
      <c r="E2189" s="137" t="s">
        <v>44</v>
      </c>
      <c r="F2189" s="138" t="s">
        <v>45</v>
      </c>
      <c r="G2189" s="136"/>
      <c r="H2189" s="136"/>
      <c r="I2189" s="136"/>
      <c r="J2189" s="136"/>
      <c r="K2189" s="136"/>
      <c r="L2189" s="136"/>
      <c r="M2189" s="136">
        <v>12751</v>
      </c>
      <c r="N2189" s="136">
        <v>11372</v>
      </c>
      <c r="O2189" s="136">
        <v>1196</v>
      </c>
      <c r="P2189" s="136" t="s">
        <v>252</v>
      </c>
      <c r="Q2189" s="136">
        <v>1072</v>
      </c>
      <c r="R2189" s="136" t="s">
        <v>252</v>
      </c>
      <c r="S2189" s="136">
        <v>600</v>
      </c>
      <c r="T2189" s="136" t="s">
        <v>252</v>
      </c>
      <c r="U2189" s="136">
        <v>846</v>
      </c>
      <c r="V2189" s="136" t="s">
        <v>252</v>
      </c>
      <c r="W2189" s="136">
        <v>618</v>
      </c>
      <c r="X2189" s="136" t="s">
        <v>252</v>
      </c>
      <c r="Y2189" s="136">
        <v>743</v>
      </c>
      <c r="Z2189" s="136" t="s">
        <v>252</v>
      </c>
      <c r="AA2189" s="136">
        <v>622</v>
      </c>
      <c r="AB2189" s="136" t="s">
        <v>252</v>
      </c>
      <c r="AC2189" s="136">
        <v>533</v>
      </c>
      <c r="AD2189" s="136" t="s">
        <v>252</v>
      </c>
      <c r="AE2189" s="136">
        <v>743</v>
      </c>
      <c r="AF2189" s="136" t="s">
        <v>252</v>
      </c>
      <c r="AG2189" s="136">
        <v>547</v>
      </c>
      <c r="AH2189" s="136" t="s">
        <v>252</v>
      </c>
      <c r="AI2189" s="136">
        <v>998</v>
      </c>
      <c r="AJ2189" s="136" t="s">
        <v>252</v>
      </c>
      <c r="AK2189" s="136">
        <v>997</v>
      </c>
      <c r="AL2189" s="136" t="s">
        <v>252</v>
      </c>
      <c r="AM2189" s="139">
        <f t="shared" si="11"/>
        <v>9515</v>
      </c>
    </row>
    <row r="2190" spans="2:39" ht="20.25" hidden="1" outlineLevel="1">
      <c r="B2190" s="149" t="s">
        <v>1296</v>
      </c>
      <c r="C2190" s="135" t="s">
        <v>1402</v>
      </c>
      <c r="D2190" s="152" t="s">
        <v>1403</v>
      </c>
      <c r="E2190" s="143" t="s">
        <v>138</v>
      </c>
      <c r="F2190" s="138" t="s">
        <v>45</v>
      </c>
      <c r="G2190" s="136"/>
      <c r="H2190" s="136"/>
      <c r="I2190" s="136"/>
      <c r="J2190" s="136"/>
      <c r="K2190" s="136"/>
      <c r="L2190" s="136"/>
      <c r="M2190" s="136">
        <v>4972</v>
      </c>
      <c r="N2190" s="136">
        <v>4981</v>
      </c>
      <c r="O2190" s="136">
        <v>237</v>
      </c>
      <c r="P2190" s="136" t="s">
        <v>259</v>
      </c>
      <c r="Q2190" s="136">
        <v>307</v>
      </c>
      <c r="R2190" s="136" t="s">
        <v>259</v>
      </c>
      <c r="S2190" s="136">
        <v>183</v>
      </c>
      <c r="T2190" s="136" t="s">
        <v>259</v>
      </c>
      <c r="U2190" s="136">
        <v>294</v>
      </c>
      <c r="V2190" s="136" t="s">
        <v>259</v>
      </c>
      <c r="W2190" s="136">
        <v>225</v>
      </c>
      <c r="X2190" s="136" t="s">
        <v>259</v>
      </c>
      <c r="Y2190" s="136">
        <v>280</v>
      </c>
      <c r="Z2190" s="136" t="s">
        <v>259</v>
      </c>
      <c r="AA2190" s="136">
        <v>236</v>
      </c>
      <c r="AB2190" s="136" t="s">
        <v>259</v>
      </c>
      <c r="AC2190" s="136">
        <v>232</v>
      </c>
      <c r="AD2190" s="136" t="s">
        <v>259</v>
      </c>
      <c r="AE2190" s="136">
        <v>276</v>
      </c>
      <c r="AF2190" s="136" t="s">
        <v>259</v>
      </c>
      <c r="AG2190" s="136">
        <v>165</v>
      </c>
      <c r="AH2190" s="136" t="s">
        <v>259</v>
      </c>
      <c r="AI2190" s="136">
        <v>321</v>
      </c>
      <c r="AJ2190" s="136" t="s">
        <v>259</v>
      </c>
      <c r="AK2190" s="136">
        <v>277</v>
      </c>
      <c r="AL2190" s="136" t="s">
        <v>259</v>
      </c>
      <c r="AM2190" s="139">
        <f t="shared" si="11"/>
        <v>3033</v>
      </c>
    </row>
    <row r="2191" spans="2:39" ht="20.25" hidden="1" outlineLevel="1">
      <c r="B2191" s="149" t="s">
        <v>1296</v>
      </c>
      <c r="C2191" s="135" t="s">
        <v>1402</v>
      </c>
      <c r="D2191" s="152" t="s">
        <v>1403</v>
      </c>
      <c r="E2191" s="137" t="s">
        <v>44</v>
      </c>
      <c r="F2191" s="138" t="s">
        <v>45</v>
      </c>
      <c r="G2191" s="136"/>
      <c r="H2191" s="136"/>
      <c r="I2191" s="136"/>
      <c r="J2191" s="136"/>
      <c r="K2191" s="136"/>
      <c r="L2191" s="136"/>
      <c r="M2191" s="136">
        <v>3079</v>
      </c>
      <c r="N2191" s="136">
        <v>3123</v>
      </c>
      <c r="O2191" s="136">
        <v>524</v>
      </c>
      <c r="P2191" s="136" t="s">
        <v>259</v>
      </c>
      <c r="Q2191" s="136">
        <v>681</v>
      </c>
      <c r="R2191" s="136" t="s">
        <v>259</v>
      </c>
      <c r="S2191" s="136">
        <v>361</v>
      </c>
      <c r="T2191" s="136" t="s">
        <v>259</v>
      </c>
      <c r="U2191" s="136">
        <v>497</v>
      </c>
      <c r="V2191" s="136" t="s">
        <v>259</v>
      </c>
      <c r="W2191" s="136">
        <v>365</v>
      </c>
      <c r="X2191" s="136" t="s">
        <v>259</v>
      </c>
      <c r="Y2191" s="136">
        <v>372</v>
      </c>
      <c r="Z2191" s="136" t="s">
        <v>259</v>
      </c>
      <c r="AA2191" s="136">
        <v>305</v>
      </c>
      <c r="AB2191" s="136" t="s">
        <v>259</v>
      </c>
      <c r="AC2191" s="136">
        <v>250</v>
      </c>
      <c r="AD2191" s="136" t="s">
        <v>259</v>
      </c>
      <c r="AE2191" s="136">
        <v>325</v>
      </c>
      <c r="AF2191" s="136" t="s">
        <v>259</v>
      </c>
      <c r="AG2191" s="136">
        <v>210</v>
      </c>
      <c r="AH2191" s="136" t="s">
        <v>259</v>
      </c>
      <c r="AI2191" s="136">
        <v>544</v>
      </c>
      <c r="AJ2191" s="136" t="s">
        <v>259</v>
      </c>
      <c r="AK2191" s="136">
        <v>394</v>
      </c>
      <c r="AL2191" s="136" t="s">
        <v>259</v>
      </c>
      <c r="AM2191" s="139">
        <f t="shared" si="11"/>
        <v>4828</v>
      </c>
    </row>
    <row r="2192" spans="2:39" ht="20.25" hidden="1" outlineLevel="1">
      <c r="B2192" s="149" t="s">
        <v>1297</v>
      </c>
      <c r="C2192" s="135" t="s">
        <v>1402</v>
      </c>
      <c r="D2192" s="152" t="s">
        <v>1403</v>
      </c>
      <c r="E2192" s="137" t="s">
        <v>44</v>
      </c>
      <c r="F2192" s="138" t="s">
        <v>45</v>
      </c>
      <c r="G2192" s="136"/>
      <c r="H2192" s="136"/>
      <c r="I2192" s="136"/>
      <c r="J2192" s="136"/>
      <c r="K2192" s="136"/>
      <c r="L2192" s="136"/>
      <c r="M2192" s="419">
        <v>5197</v>
      </c>
      <c r="N2192" s="419">
        <v>5416</v>
      </c>
      <c r="O2192" s="419">
        <v>445</v>
      </c>
      <c r="P2192" s="419" t="s">
        <v>259</v>
      </c>
      <c r="Q2192" s="419">
        <v>534</v>
      </c>
      <c r="R2192" s="419" t="s">
        <v>259</v>
      </c>
      <c r="S2192" s="419">
        <v>282</v>
      </c>
      <c r="T2192" s="419" t="s">
        <v>259</v>
      </c>
      <c r="U2192" s="419">
        <v>465</v>
      </c>
      <c r="V2192" s="419" t="s">
        <v>259</v>
      </c>
      <c r="W2192" s="419">
        <v>310</v>
      </c>
      <c r="X2192" s="419" t="s">
        <v>259</v>
      </c>
      <c r="Y2192" s="419">
        <v>317</v>
      </c>
      <c r="Z2192" s="419" t="s">
        <v>259</v>
      </c>
      <c r="AA2192" s="419">
        <v>261</v>
      </c>
      <c r="AB2192" s="419" t="s">
        <v>259</v>
      </c>
      <c r="AC2192" s="419">
        <v>211</v>
      </c>
      <c r="AD2192" s="419" t="s">
        <v>259</v>
      </c>
      <c r="AE2192" s="419">
        <v>300</v>
      </c>
      <c r="AF2192" s="419" t="s">
        <v>259</v>
      </c>
      <c r="AG2192" s="419">
        <v>193</v>
      </c>
      <c r="AH2192" s="419" t="s">
        <v>259</v>
      </c>
      <c r="AI2192" s="419">
        <v>502</v>
      </c>
      <c r="AJ2192" s="419" t="s">
        <v>259</v>
      </c>
      <c r="AK2192" s="419">
        <v>590</v>
      </c>
      <c r="AL2192" s="419" t="s">
        <v>259</v>
      </c>
      <c r="AM2192" s="409">
        <f t="shared" si="11"/>
        <v>4410</v>
      </c>
    </row>
    <row r="2193" spans="2:39" ht="20.25" hidden="1" outlineLevel="1">
      <c r="B2193" s="149" t="s">
        <v>1298</v>
      </c>
      <c r="C2193" s="135" t="s">
        <v>1402</v>
      </c>
      <c r="D2193" s="152" t="s">
        <v>1403</v>
      </c>
      <c r="E2193" s="137" t="s">
        <v>44</v>
      </c>
      <c r="F2193" s="138" t="s">
        <v>45</v>
      </c>
      <c r="G2193" s="136"/>
      <c r="H2193" s="136"/>
      <c r="I2193" s="136"/>
      <c r="J2193" s="136"/>
      <c r="K2193" s="136"/>
      <c r="L2193" s="136"/>
      <c r="M2193" s="420"/>
      <c r="N2193" s="420"/>
      <c r="O2193" s="420"/>
      <c r="P2193" s="420"/>
      <c r="Q2193" s="420"/>
      <c r="R2193" s="420"/>
      <c r="S2193" s="420"/>
      <c r="T2193" s="420"/>
      <c r="U2193" s="420"/>
      <c r="V2193" s="420"/>
      <c r="W2193" s="420"/>
      <c r="X2193" s="420"/>
      <c r="Y2193" s="420"/>
      <c r="Z2193" s="420"/>
      <c r="AA2193" s="420"/>
      <c r="AB2193" s="420"/>
      <c r="AC2193" s="420"/>
      <c r="AD2193" s="420"/>
      <c r="AE2193" s="420"/>
      <c r="AF2193" s="420"/>
      <c r="AG2193" s="420"/>
      <c r="AH2193" s="420"/>
      <c r="AI2193" s="420"/>
      <c r="AJ2193" s="420"/>
      <c r="AK2193" s="420"/>
      <c r="AL2193" s="420"/>
      <c r="AM2193" s="410"/>
    </row>
    <row r="2194" spans="2:39" ht="20.25" hidden="1" outlineLevel="1">
      <c r="B2194" s="149" t="s">
        <v>1299</v>
      </c>
      <c r="C2194" s="135" t="s">
        <v>1402</v>
      </c>
      <c r="D2194" s="152" t="s">
        <v>1403</v>
      </c>
      <c r="E2194" s="137" t="s">
        <v>44</v>
      </c>
      <c r="F2194" s="138" t="s">
        <v>45</v>
      </c>
      <c r="G2194" s="136"/>
      <c r="H2194" s="136"/>
      <c r="I2194" s="136"/>
      <c r="J2194" s="136"/>
      <c r="K2194" s="136"/>
      <c r="L2194" s="136"/>
      <c r="M2194" s="136">
        <v>4145</v>
      </c>
      <c r="N2194" s="136">
        <v>4138</v>
      </c>
      <c r="O2194" s="136">
        <v>244</v>
      </c>
      <c r="P2194" s="135" t="s">
        <v>252</v>
      </c>
      <c r="Q2194" s="136">
        <v>399</v>
      </c>
      <c r="R2194" s="135" t="s">
        <v>252</v>
      </c>
      <c r="S2194" s="136">
        <v>511</v>
      </c>
      <c r="T2194" s="135" t="s">
        <v>252</v>
      </c>
      <c r="U2194" s="136">
        <v>485</v>
      </c>
      <c r="V2194" s="135" t="s">
        <v>252</v>
      </c>
      <c r="W2194" s="136">
        <v>95</v>
      </c>
      <c r="X2194" s="135" t="s">
        <v>252</v>
      </c>
      <c r="Y2194" s="136">
        <v>418</v>
      </c>
      <c r="Z2194" s="135" t="s">
        <v>252</v>
      </c>
      <c r="AA2194" s="136">
        <v>192</v>
      </c>
      <c r="AB2194" s="135" t="s">
        <v>252</v>
      </c>
      <c r="AC2194" s="136">
        <v>116</v>
      </c>
      <c r="AD2194" s="135" t="s">
        <v>252</v>
      </c>
      <c r="AE2194" s="136">
        <v>275</v>
      </c>
      <c r="AF2194" s="135" t="s">
        <v>252</v>
      </c>
      <c r="AG2194" s="136">
        <v>263</v>
      </c>
      <c r="AH2194" s="135" t="s">
        <v>252</v>
      </c>
      <c r="AI2194" s="136">
        <v>291</v>
      </c>
      <c r="AJ2194" s="135" t="s">
        <v>252</v>
      </c>
      <c r="AK2194" s="136">
        <v>260</v>
      </c>
      <c r="AL2194" s="135" t="s">
        <v>252</v>
      </c>
      <c r="AM2194" s="139">
        <f t="shared" si="11"/>
        <v>3549</v>
      </c>
    </row>
    <row r="2195" spans="2:39" ht="20.25" hidden="1" outlineLevel="1">
      <c r="B2195" s="149" t="s">
        <v>1300</v>
      </c>
      <c r="C2195" s="135" t="s">
        <v>1402</v>
      </c>
      <c r="D2195" s="152" t="s">
        <v>1403</v>
      </c>
      <c r="E2195" s="137" t="s">
        <v>44</v>
      </c>
      <c r="F2195" s="144" t="s">
        <v>45</v>
      </c>
      <c r="G2195" s="136"/>
      <c r="H2195" s="136"/>
      <c r="I2195" s="136"/>
      <c r="J2195" s="136"/>
      <c r="K2195" s="136"/>
      <c r="L2195" s="136"/>
      <c r="M2195" s="136">
        <v>2090</v>
      </c>
      <c r="N2195" s="136">
        <v>2256</v>
      </c>
      <c r="O2195" s="136">
        <v>261</v>
      </c>
      <c r="P2195" s="135" t="s">
        <v>252</v>
      </c>
      <c r="Q2195" s="136">
        <v>166</v>
      </c>
      <c r="R2195" s="135" t="s">
        <v>252</v>
      </c>
      <c r="S2195" s="136">
        <v>91</v>
      </c>
      <c r="T2195" s="135" t="s">
        <v>252</v>
      </c>
      <c r="U2195" s="136">
        <v>233</v>
      </c>
      <c r="V2195" s="135" t="s">
        <v>252</v>
      </c>
      <c r="W2195" s="136">
        <v>122</v>
      </c>
      <c r="X2195" s="135" t="s">
        <v>252</v>
      </c>
      <c r="Y2195" s="136">
        <v>95</v>
      </c>
      <c r="Z2195" s="135" t="s">
        <v>252</v>
      </c>
      <c r="AA2195" s="136">
        <v>91</v>
      </c>
      <c r="AB2195" s="135" t="s">
        <v>252</v>
      </c>
      <c r="AC2195" s="136">
        <v>279</v>
      </c>
      <c r="AD2195" s="135" t="s">
        <v>252</v>
      </c>
      <c r="AE2195" s="136">
        <v>154</v>
      </c>
      <c r="AF2195" s="135" t="s">
        <v>252</v>
      </c>
      <c r="AG2195" s="136">
        <v>189</v>
      </c>
      <c r="AH2195" s="135" t="s">
        <v>252</v>
      </c>
      <c r="AI2195" s="136">
        <v>302</v>
      </c>
      <c r="AJ2195" s="135" t="s">
        <v>252</v>
      </c>
      <c r="AK2195" s="136">
        <v>292</v>
      </c>
      <c r="AL2195" s="135" t="s">
        <v>252</v>
      </c>
      <c r="AM2195" s="139">
        <f t="shared" si="11"/>
        <v>2275</v>
      </c>
    </row>
    <row r="2196" spans="2:39" ht="20.25" hidden="1" outlineLevel="1">
      <c r="B2196" s="149" t="s">
        <v>1301</v>
      </c>
      <c r="C2196" s="135" t="s">
        <v>1402</v>
      </c>
      <c r="D2196" s="152" t="s">
        <v>1403</v>
      </c>
      <c r="E2196" s="137" t="s">
        <v>44</v>
      </c>
      <c r="F2196" s="144" t="s">
        <v>45</v>
      </c>
      <c r="G2196" s="136"/>
      <c r="H2196" s="136"/>
      <c r="I2196" s="136"/>
      <c r="J2196" s="136"/>
      <c r="K2196" s="136"/>
      <c r="L2196" s="136"/>
      <c r="M2196" s="136">
        <v>3482</v>
      </c>
      <c r="N2196" s="136">
        <v>3249</v>
      </c>
      <c r="O2196" s="136">
        <v>237</v>
      </c>
      <c r="P2196" s="135" t="s">
        <v>252</v>
      </c>
      <c r="Q2196" s="136">
        <v>242</v>
      </c>
      <c r="R2196" s="135" t="s">
        <v>252</v>
      </c>
      <c r="S2196" s="136">
        <v>160</v>
      </c>
      <c r="T2196" s="135" t="s">
        <v>252</v>
      </c>
      <c r="U2196" s="136">
        <v>225</v>
      </c>
      <c r="V2196" s="135" t="s">
        <v>252</v>
      </c>
      <c r="W2196" s="136">
        <v>200</v>
      </c>
      <c r="X2196" s="135" t="s">
        <v>252</v>
      </c>
      <c r="Y2196" s="136">
        <v>150</v>
      </c>
      <c r="Z2196" s="135" t="s">
        <v>252</v>
      </c>
      <c r="AA2196" s="136">
        <v>175</v>
      </c>
      <c r="AB2196" s="135" t="s">
        <v>252</v>
      </c>
      <c r="AC2196" s="136">
        <v>200</v>
      </c>
      <c r="AD2196" s="135" t="s">
        <v>252</v>
      </c>
      <c r="AE2196" s="136">
        <v>179</v>
      </c>
      <c r="AF2196" s="135" t="s">
        <v>252</v>
      </c>
      <c r="AG2196" s="136">
        <v>105</v>
      </c>
      <c r="AH2196" s="135" t="s">
        <v>252</v>
      </c>
      <c r="AI2196" s="136">
        <v>216</v>
      </c>
      <c r="AJ2196" s="135" t="s">
        <v>252</v>
      </c>
      <c r="AK2196" s="136">
        <v>254</v>
      </c>
      <c r="AL2196" s="135" t="s">
        <v>252</v>
      </c>
      <c r="AM2196" s="139">
        <f t="shared" si="11"/>
        <v>2343</v>
      </c>
    </row>
    <row r="2197" spans="2:39" ht="20.25" hidden="1" outlineLevel="1">
      <c r="B2197" s="149" t="s">
        <v>1302</v>
      </c>
      <c r="C2197" s="135" t="s">
        <v>1402</v>
      </c>
      <c r="D2197" s="152" t="s">
        <v>1403</v>
      </c>
      <c r="E2197" s="137" t="s">
        <v>44</v>
      </c>
      <c r="F2197" s="138" t="s">
        <v>45</v>
      </c>
      <c r="G2197" s="136"/>
      <c r="H2197" s="136"/>
      <c r="I2197" s="136"/>
      <c r="J2197" s="136"/>
      <c r="K2197" s="136"/>
      <c r="L2197" s="136"/>
      <c r="M2197" s="136">
        <v>6513</v>
      </c>
      <c r="N2197" s="136">
        <v>10495</v>
      </c>
      <c r="O2197" s="136">
        <v>1059</v>
      </c>
      <c r="P2197" s="135" t="s">
        <v>252</v>
      </c>
      <c r="Q2197" s="136">
        <v>645</v>
      </c>
      <c r="R2197" s="135" t="s">
        <v>252</v>
      </c>
      <c r="S2197" s="136">
        <v>305</v>
      </c>
      <c r="T2197" s="135" t="s">
        <v>252</v>
      </c>
      <c r="U2197" s="136">
        <v>196</v>
      </c>
      <c r="V2197" s="135" t="s">
        <v>252</v>
      </c>
      <c r="W2197" s="136">
        <v>321</v>
      </c>
      <c r="X2197" s="135" t="s">
        <v>252</v>
      </c>
      <c r="Y2197" s="136">
        <v>460</v>
      </c>
      <c r="Z2197" s="135" t="s">
        <v>252</v>
      </c>
      <c r="AA2197" s="136">
        <v>259</v>
      </c>
      <c r="AB2197" s="135" t="s">
        <v>252</v>
      </c>
      <c r="AC2197" s="136">
        <v>331</v>
      </c>
      <c r="AD2197" s="135" t="s">
        <v>252</v>
      </c>
      <c r="AE2197" s="136">
        <v>272</v>
      </c>
      <c r="AF2197" s="135" t="s">
        <v>252</v>
      </c>
      <c r="AG2197" s="136">
        <v>268</v>
      </c>
      <c r="AH2197" s="135" t="s">
        <v>252</v>
      </c>
      <c r="AI2197" s="136">
        <v>1034</v>
      </c>
      <c r="AJ2197" s="135" t="s">
        <v>252</v>
      </c>
      <c r="AK2197" s="136">
        <v>707</v>
      </c>
      <c r="AL2197" s="135" t="s">
        <v>252</v>
      </c>
      <c r="AM2197" s="139">
        <f t="shared" si="11"/>
        <v>5857</v>
      </c>
    </row>
    <row r="2198" spans="2:39" ht="20.25" hidden="1" outlineLevel="1">
      <c r="B2198" s="149" t="s">
        <v>1303</v>
      </c>
      <c r="C2198" s="135" t="s">
        <v>1402</v>
      </c>
      <c r="D2198" s="152" t="s">
        <v>1403</v>
      </c>
      <c r="E2198" s="137" t="s">
        <v>44</v>
      </c>
      <c r="F2198" s="138" t="s">
        <v>45</v>
      </c>
      <c r="G2198" s="136"/>
      <c r="H2198" s="136"/>
      <c r="I2198" s="136"/>
      <c r="J2198" s="136"/>
      <c r="K2198" s="136"/>
      <c r="L2198" s="136"/>
      <c r="M2198" s="136">
        <v>2275</v>
      </c>
      <c r="N2198" s="136">
        <v>2173</v>
      </c>
      <c r="O2198" s="136">
        <v>248</v>
      </c>
      <c r="P2198" s="135" t="s">
        <v>252</v>
      </c>
      <c r="Q2198" s="136">
        <v>251</v>
      </c>
      <c r="R2198" s="135" t="s">
        <v>252</v>
      </c>
      <c r="S2198" s="136">
        <v>241</v>
      </c>
      <c r="T2198" s="135" t="s">
        <v>252</v>
      </c>
      <c r="U2198" s="136">
        <v>985</v>
      </c>
      <c r="V2198" s="135" t="s">
        <v>252</v>
      </c>
      <c r="W2198" s="136">
        <v>615</v>
      </c>
      <c r="X2198" s="135" t="s">
        <v>252</v>
      </c>
      <c r="Y2198" s="136">
        <v>713</v>
      </c>
      <c r="Z2198" s="135" t="s">
        <v>252</v>
      </c>
      <c r="AA2198" s="136">
        <v>115</v>
      </c>
      <c r="AB2198" s="135" t="s">
        <v>252</v>
      </c>
      <c r="AC2198" s="136">
        <v>111</v>
      </c>
      <c r="AD2198" s="135" t="s">
        <v>252</v>
      </c>
      <c r="AE2198" s="136">
        <v>202</v>
      </c>
      <c r="AF2198" s="135" t="s">
        <v>252</v>
      </c>
      <c r="AG2198" s="136">
        <v>181</v>
      </c>
      <c r="AH2198" s="135" t="s">
        <v>252</v>
      </c>
      <c r="AI2198" s="136">
        <v>189</v>
      </c>
      <c r="AJ2198" s="135" t="s">
        <v>252</v>
      </c>
      <c r="AK2198" s="136">
        <v>180</v>
      </c>
      <c r="AL2198" s="135" t="s">
        <v>252</v>
      </c>
      <c r="AM2198" s="139">
        <f t="shared" si="11"/>
        <v>4031</v>
      </c>
    </row>
    <row r="2199" spans="2:39" ht="20.25" hidden="1" outlineLevel="1">
      <c r="B2199" s="149" t="s">
        <v>1304</v>
      </c>
      <c r="C2199" s="135" t="s">
        <v>1402</v>
      </c>
      <c r="D2199" s="152" t="s">
        <v>1403</v>
      </c>
      <c r="E2199" s="137" t="s">
        <v>44</v>
      </c>
      <c r="F2199" s="138" t="s">
        <v>45</v>
      </c>
      <c r="G2199" s="136"/>
      <c r="H2199" s="136"/>
      <c r="I2199" s="136"/>
      <c r="J2199" s="136"/>
      <c r="K2199" s="136"/>
      <c r="L2199" s="136"/>
      <c r="M2199" s="136">
        <v>3443</v>
      </c>
      <c r="N2199" s="136">
        <v>3909</v>
      </c>
      <c r="O2199" s="136">
        <v>357</v>
      </c>
      <c r="P2199" s="135" t="s">
        <v>252</v>
      </c>
      <c r="Q2199" s="136">
        <v>591</v>
      </c>
      <c r="R2199" s="135" t="s">
        <v>252</v>
      </c>
      <c r="S2199" s="136">
        <v>319</v>
      </c>
      <c r="T2199" s="135" t="s">
        <v>252</v>
      </c>
      <c r="U2199" s="136">
        <v>409</v>
      </c>
      <c r="V2199" s="135" t="s">
        <v>252</v>
      </c>
      <c r="W2199" s="136">
        <v>330</v>
      </c>
      <c r="X2199" s="135" t="s">
        <v>252</v>
      </c>
      <c r="Y2199" s="136">
        <v>512</v>
      </c>
      <c r="Z2199" s="135" t="s">
        <v>252</v>
      </c>
      <c r="AA2199" s="136">
        <v>268</v>
      </c>
      <c r="AB2199" s="135" t="s">
        <v>252</v>
      </c>
      <c r="AC2199" s="136">
        <v>229</v>
      </c>
      <c r="AD2199" s="135" t="s">
        <v>252</v>
      </c>
      <c r="AE2199" s="136">
        <v>366</v>
      </c>
      <c r="AF2199" s="135" t="s">
        <v>252</v>
      </c>
      <c r="AG2199" s="136">
        <v>254</v>
      </c>
      <c r="AH2199" s="135" t="s">
        <v>252</v>
      </c>
      <c r="AI2199" s="136">
        <v>536</v>
      </c>
      <c r="AJ2199" s="135" t="s">
        <v>252</v>
      </c>
      <c r="AK2199" s="136">
        <v>507</v>
      </c>
      <c r="AL2199" s="135" t="s">
        <v>252</v>
      </c>
      <c r="AM2199" s="139">
        <f t="shared" si="11"/>
        <v>4678</v>
      </c>
    </row>
    <row r="2200" spans="2:39" ht="20.25" hidden="1" outlineLevel="1">
      <c r="B2200" s="149" t="s">
        <v>1305</v>
      </c>
      <c r="C2200" s="135" t="s">
        <v>1402</v>
      </c>
      <c r="D2200" s="152" t="s">
        <v>1403</v>
      </c>
      <c r="E2200" s="143" t="s">
        <v>138</v>
      </c>
      <c r="F2200" s="138" t="s">
        <v>45</v>
      </c>
      <c r="G2200" s="136"/>
      <c r="H2200" s="136"/>
      <c r="I2200" s="136"/>
      <c r="J2200" s="136"/>
      <c r="K2200" s="136"/>
      <c r="L2200" s="136"/>
      <c r="M2200" s="142">
        <v>3050</v>
      </c>
      <c r="N2200" s="142">
        <v>2900</v>
      </c>
      <c r="O2200" s="136">
        <v>206</v>
      </c>
      <c r="P2200" s="135" t="s">
        <v>252</v>
      </c>
      <c r="Q2200" s="136">
        <v>232</v>
      </c>
      <c r="R2200" s="135" t="s">
        <v>252</v>
      </c>
      <c r="S2200" s="136">
        <v>158</v>
      </c>
      <c r="T2200" s="135" t="s">
        <v>252</v>
      </c>
      <c r="U2200" s="136">
        <v>216</v>
      </c>
      <c r="V2200" s="135" t="s">
        <v>252</v>
      </c>
      <c r="W2200" s="136">
        <v>171</v>
      </c>
      <c r="X2200" s="135" t="s">
        <v>252</v>
      </c>
      <c r="Y2200" s="136">
        <v>272</v>
      </c>
      <c r="Z2200" s="135" t="s">
        <v>252</v>
      </c>
      <c r="AA2200" s="136">
        <v>193</v>
      </c>
      <c r="AB2200" s="135" t="s">
        <v>252</v>
      </c>
      <c r="AC2200" s="136">
        <v>224</v>
      </c>
      <c r="AD2200" s="135" t="s">
        <v>252</v>
      </c>
      <c r="AE2200" s="136">
        <v>197</v>
      </c>
      <c r="AF2200" s="135" t="s">
        <v>252</v>
      </c>
      <c r="AG2200" s="136">
        <v>142</v>
      </c>
      <c r="AH2200" s="135" t="s">
        <v>252</v>
      </c>
      <c r="AI2200" s="136">
        <v>234</v>
      </c>
      <c r="AJ2200" s="135" t="s">
        <v>252</v>
      </c>
      <c r="AK2200" s="136">
        <v>240</v>
      </c>
      <c r="AL2200" s="135" t="s">
        <v>252</v>
      </c>
      <c r="AM2200" s="136">
        <f>O2200+Q2200+S2200+U2200+W2200+Y2200+AA2200+AC2200+AE2200+AG2200+AI2200+AK2200</f>
        <v>2485</v>
      </c>
    </row>
    <row r="2201" spans="2:39" ht="20.25" hidden="1" outlineLevel="1">
      <c r="B2201" s="149" t="s">
        <v>1305</v>
      </c>
      <c r="C2201" s="135" t="s">
        <v>1402</v>
      </c>
      <c r="D2201" s="152" t="s">
        <v>1403</v>
      </c>
      <c r="E2201" s="137" t="s">
        <v>44</v>
      </c>
      <c r="F2201" s="138" t="s">
        <v>45</v>
      </c>
      <c r="G2201" s="136"/>
      <c r="H2201" s="136"/>
      <c r="I2201" s="136"/>
      <c r="J2201" s="136"/>
      <c r="K2201" s="136"/>
      <c r="L2201" s="136"/>
      <c r="M2201" s="142">
        <v>15971</v>
      </c>
      <c r="N2201" s="142">
        <v>15605</v>
      </c>
      <c r="O2201" s="136">
        <v>1315</v>
      </c>
      <c r="P2201" s="135" t="s">
        <v>252</v>
      </c>
      <c r="Q2201" s="136">
        <v>1472</v>
      </c>
      <c r="R2201" s="135" t="s">
        <v>252</v>
      </c>
      <c r="S2201" s="136">
        <v>914</v>
      </c>
      <c r="T2201" s="135" t="s">
        <v>252</v>
      </c>
      <c r="U2201" s="136">
        <v>1319</v>
      </c>
      <c r="V2201" s="135" t="s">
        <v>252</v>
      </c>
      <c r="W2201" s="136">
        <v>785</v>
      </c>
      <c r="X2201" s="135" t="s">
        <v>252</v>
      </c>
      <c r="Y2201" s="136">
        <v>974</v>
      </c>
      <c r="Z2201" s="135" t="s">
        <v>252</v>
      </c>
      <c r="AA2201" s="136">
        <v>672</v>
      </c>
      <c r="AB2201" s="135" t="s">
        <v>252</v>
      </c>
      <c r="AC2201" s="136">
        <v>881</v>
      </c>
      <c r="AD2201" s="135" t="s">
        <v>252</v>
      </c>
      <c r="AE2201" s="136">
        <v>993</v>
      </c>
      <c r="AF2201" s="135" t="s">
        <v>252</v>
      </c>
      <c r="AG2201" s="136">
        <v>842</v>
      </c>
      <c r="AH2201" s="135" t="s">
        <v>252</v>
      </c>
      <c r="AI2201" s="136">
        <v>1484</v>
      </c>
      <c r="AJ2201" s="135" t="s">
        <v>252</v>
      </c>
      <c r="AK2201" s="136">
        <v>1682</v>
      </c>
      <c r="AL2201" s="135" t="s">
        <v>252</v>
      </c>
      <c r="AM2201" s="136">
        <f>O2201+Q2201+S2201+U2201+W2201+Y2201+AA2201+AC2201+AE2201+AG2201+AI2201+AK2201</f>
        <v>13333</v>
      </c>
    </row>
    <row r="2202" spans="2:39" ht="20.25" hidden="1" outlineLevel="1">
      <c r="B2202" s="149" t="s">
        <v>1306</v>
      </c>
      <c r="C2202" s="135" t="s">
        <v>1402</v>
      </c>
      <c r="D2202" s="152" t="s">
        <v>1403</v>
      </c>
      <c r="E2202" s="137" t="s">
        <v>44</v>
      </c>
      <c r="F2202" s="138" t="s">
        <v>45</v>
      </c>
      <c r="G2202" s="136"/>
      <c r="H2202" s="136"/>
      <c r="I2202" s="136"/>
      <c r="J2202" s="136"/>
      <c r="K2202" s="136"/>
      <c r="L2202" s="136"/>
      <c r="M2202" s="419">
        <v>4521</v>
      </c>
      <c r="N2202" s="419">
        <v>4623</v>
      </c>
      <c r="O2202" s="419">
        <v>1170</v>
      </c>
      <c r="P2202" s="419" t="s">
        <v>252</v>
      </c>
      <c r="Q2202" s="419">
        <v>964</v>
      </c>
      <c r="R2202" s="419" t="s">
        <v>252</v>
      </c>
      <c r="S2202" s="419">
        <v>475</v>
      </c>
      <c r="T2202" s="419" t="s">
        <v>252</v>
      </c>
      <c r="U2202" s="437">
        <v>501</v>
      </c>
      <c r="V2202" s="419" t="s">
        <v>252</v>
      </c>
      <c r="W2202" s="419">
        <v>562</v>
      </c>
      <c r="X2202" s="419" t="s">
        <v>252</v>
      </c>
      <c r="Y2202" s="419">
        <v>687</v>
      </c>
      <c r="Z2202" s="419" t="s">
        <v>252</v>
      </c>
      <c r="AA2202" s="419">
        <v>589</v>
      </c>
      <c r="AB2202" s="419" t="s">
        <v>252</v>
      </c>
      <c r="AC2202" s="419">
        <v>744</v>
      </c>
      <c r="AD2202" s="419" t="s">
        <v>252</v>
      </c>
      <c r="AE2202" s="419">
        <v>718</v>
      </c>
      <c r="AF2202" s="419" t="s">
        <v>252</v>
      </c>
      <c r="AG2202" s="419">
        <v>516</v>
      </c>
      <c r="AH2202" s="419" t="s">
        <v>252</v>
      </c>
      <c r="AI2202" s="419">
        <v>1007</v>
      </c>
      <c r="AJ2202" s="419" t="s">
        <v>252</v>
      </c>
      <c r="AK2202" s="419">
        <v>895</v>
      </c>
      <c r="AL2202" s="419" t="s">
        <v>252</v>
      </c>
      <c r="AM2202" s="417">
        <f>O2202+Q2202+S2202+U2202+W2202+Y2202+AA2202+AC2202+AE2202+AG2202+AI2202+AK2202</f>
        <v>8828</v>
      </c>
    </row>
    <row r="2203" spans="2:39" ht="20.25" hidden="1" outlineLevel="1">
      <c r="B2203" s="149" t="s">
        <v>1307</v>
      </c>
      <c r="C2203" s="135" t="s">
        <v>1402</v>
      </c>
      <c r="D2203" s="152" t="s">
        <v>1403</v>
      </c>
      <c r="E2203" s="137" t="s">
        <v>44</v>
      </c>
      <c r="F2203" s="138" t="s">
        <v>45</v>
      </c>
      <c r="G2203" s="136"/>
      <c r="H2203" s="136"/>
      <c r="I2203" s="136"/>
      <c r="J2203" s="136"/>
      <c r="K2203" s="136"/>
      <c r="L2203" s="136"/>
      <c r="M2203" s="420"/>
      <c r="N2203" s="420"/>
      <c r="O2203" s="420"/>
      <c r="P2203" s="420"/>
      <c r="Q2203" s="420"/>
      <c r="R2203" s="420"/>
      <c r="S2203" s="420"/>
      <c r="T2203" s="420"/>
      <c r="U2203" s="438"/>
      <c r="V2203" s="420"/>
      <c r="W2203" s="420"/>
      <c r="X2203" s="420"/>
      <c r="Y2203" s="420"/>
      <c r="Z2203" s="420"/>
      <c r="AA2203" s="420"/>
      <c r="AB2203" s="420"/>
      <c r="AC2203" s="420"/>
      <c r="AD2203" s="420"/>
      <c r="AE2203" s="420"/>
      <c r="AF2203" s="420"/>
      <c r="AG2203" s="420"/>
      <c r="AH2203" s="420"/>
      <c r="AI2203" s="420"/>
      <c r="AJ2203" s="420"/>
      <c r="AK2203" s="420"/>
      <c r="AL2203" s="420"/>
      <c r="AM2203" s="418"/>
    </row>
    <row r="2204" spans="2:39" ht="20.25" hidden="1" outlineLevel="1">
      <c r="B2204" s="149" t="s">
        <v>1308</v>
      </c>
      <c r="C2204" s="135" t="s">
        <v>1402</v>
      </c>
      <c r="D2204" s="152" t="s">
        <v>1403</v>
      </c>
      <c r="E2204" s="137" t="s">
        <v>44</v>
      </c>
      <c r="F2204" s="138" t="s">
        <v>45</v>
      </c>
      <c r="G2204" s="136"/>
      <c r="H2204" s="136"/>
      <c r="I2204" s="136"/>
      <c r="J2204" s="136"/>
      <c r="K2204" s="136"/>
      <c r="L2204" s="136"/>
      <c r="M2204" s="136">
        <v>3068</v>
      </c>
      <c r="N2204" s="136">
        <v>4157</v>
      </c>
      <c r="O2204" s="136">
        <v>501</v>
      </c>
      <c r="P2204" s="135" t="s">
        <v>252</v>
      </c>
      <c r="Q2204" s="136">
        <v>525</v>
      </c>
      <c r="R2204" s="135" t="s">
        <v>252</v>
      </c>
      <c r="S2204" s="136">
        <v>430</v>
      </c>
      <c r="T2204" s="135" t="s">
        <v>252</v>
      </c>
      <c r="U2204" s="136">
        <v>572</v>
      </c>
      <c r="V2204" s="135" t="s">
        <v>252</v>
      </c>
      <c r="W2204" s="136">
        <v>358</v>
      </c>
      <c r="X2204" s="135" t="s">
        <v>252</v>
      </c>
      <c r="Y2204" s="136">
        <v>482</v>
      </c>
      <c r="Z2204" s="135" t="s">
        <v>252</v>
      </c>
      <c r="AA2204" s="136">
        <v>291</v>
      </c>
      <c r="AB2204" s="135" t="s">
        <v>252</v>
      </c>
      <c r="AC2204" s="136">
        <v>268</v>
      </c>
      <c r="AD2204" s="135" t="s">
        <v>252</v>
      </c>
      <c r="AE2204" s="136">
        <v>258</v>
      </c>
      <c r="AF2204" s="135" t="s">
        <v>252</v>
      </c>
      <c r="AG2204" s="136">
        <v>308</v>
      </c>
      <c r="AH2204" s="135" t="s">
        <v>252</v>
      </c>
      <c r="AI2204" s="136">
        <v>620</v>
      </c>
      <c r="AJ2204" s="135" t="s">
        <v>252</v>
      </c>
      <c r="AK2204" s="136">
        <v>604</v>
      </c>
      <c r="AL2204" s="135" t="s">
        <v>252</v>
      </c>
      <c r="AM2204" s="136">
        <f t="shared" ref="AM2204:AM2212" si="12">O2204+Q2204+S2204+U2204+W2204+Y2204+AA2204+AC2204+AE2204+AG2204+AI2204+AK2204</f>
        <v>5217</v>
      </c>
    </row>
    <row r="2205" spans="2:39" ht="20.25" hidden="1" outlineLevel="1">
      <c r="B2205" s="149" t="s">
        <v>1309</v>
      </c>
      <c r="C2205" s="135" t="s">
        <v>1402</v>
      </c>
      <c r="D2205" s="152" t="s">
        <v>1403</v>
      </c>
      <c r="E2205" s="143" t="s">
        <v>138</v>
      </c>
      <c r="F2205" s="138" t="s">
        <v>45</v>
      </c>
      <c r="G2205" s="136"/>
      <c r="H2205" s="136"/>
      <c r="I2205" s="136"/>
      <c r="J2205" s="136"/>
      <c r="K2205" s="136"/>
      <c r="L2205" s="136"/>
      <c r="M2205" s="136">
        <v>2100</v>
      </c>
      <c r="N2205" s="136">
        <v>2400</v>
      </c>
      <c r="O2205" s="136">
        <v>149</v>
      </c>
      <c r="P2205" s="135" t="s">
        <v>252</v>
      </c>
      <c r="Q2205" s="136">
        <v>208</v>
      </c>
      <c r="R2205" s="135" t="s">
        <v>252</v>
      </c>
      <c r="S2205" s="136">
        <v>128</v>
      </c>
      <c r="T2205" s="135" t="s">
        <v>252</v>
      </c>
      <c r="U2205" s="136">
        <v>202</v>
      </c>
      <c r="V2205" s="135" t="s">
        <v>252</v>
      </c>
      <c r="W2205" s="136">
        <v>154</v>
      </c>
      <c r="X2205" s="135" t="s">
        <v>252</v>
      </c>
      <c r="Y2205" s="136">
        <v>193</v>
      </c>
      <c r="Z2205" s="135" t="s">
        <v>252</v>
      </c>
      <c r="AA2205" s="136">
        <v>155</v>
      </c>
      <c r="AB2205" s="135" t="s">
        <v>252</v>
      </c>
      <c r="AC2205" s="136">
        <v>162</v>
      </c>
      <c r="AD2205" s="135" t="s">
        <v>252</v>
      </c>
      <c r="AE2205" s="136">
        <v>157</v>
      </c>
      <c r="AF2205" s="135" t="s">
        <v>252</v>
      </c>
      <c r="AG2205" s="136">
        <v>104</v>
      </c>
      <c r="AH2205" s="135" t="s">
        <v>252</v>
      </c>
      <c r="AI2205" s="136">
        <v>227</v>
      </c>
      <c r="AJ2205" s="135" t="s">
        <v>252</v>
      </c>
      <c r="AK2205" s="136">
        <v>199</v>
      </c>
      <c r="AL2205" s="135" t="s">
        <v>252</v>
      </c>
      <c r="AM2205" s="136">
        <f t="shared" si="12"/>
        <v>2038</v>
      </c>
    </row>
    <row r="2206" spans="2:39" ht="20.25" hidden="1" outlineLevel="1">
      <c r="B2206" s="149" t="s">
        <v>1309</v>
      </c>
      <c r="C2206" s="135" t="s">
        <v>1402</v>
      </c>
      <c r="D2206" s="152" t="s">
        <v>1403</v>
      </c>
      <c r="E2206" s="137" t="s">
        <v>44</v>
      </c>
      <c r="F2206" s="138" t="s">
        <v>45</v>
      </c>
      <c r="G2206" s="136"/>
      <c r="H2206" s="136"/>
      <c r="I2206" s="136"/>
      <c r="J2206" s="136"/>
      <c r="K2206" s="136"/>
      <c r="L2206" s="136"/>
      <c r="M2206" s="136">
        <v>4398</v>
      </c>
      <c r="N2206" s="136">
        <v>5328</v>
      </c>
      <c r="O2206" s="136">
        <v>255</v>
      </c>
      <c r="P2206" s="135" t="s">
        <v>252</v>
      </c>
      <c r="Q2206" s="136">
        <v>552</v>
      </c>
      <c r="R2206" s="135" t="s">
        <v>252</v>
      </c>
      <c r="S2206" s="136">
        <v>197</v>
      </c>
      <c r="T2206" s="135" t="s">
        <v>252</v>
      </c>
      <c r="U2206" s="136">
        <v>434</v>
      </c>
      <c r="V2206" s="135" t="s">
        <v>252</v>
      </c>
      <c r="W2206" s="136">
        <v>274</v>
      </c>
      <c r="X2206" s="135" t="s">
        <v>252</v>
      </c>
      <c r="Y2206" s="136">
        <v>363</v>
      </c>
      <c r="Z2206" s="135" t="s">
        <v>252</v>
      </c>
      <c r="AA2206" s="136">
        <v>192</v>
      </c>
      <c r="AB2206" s="135" t="s">
        <v>252</v>
      </c>
      <c r="AC2206" s="136">
        <v>224</v>
      </c>
      <c r="AD2206" s="135" t="s">
        <v>252</v>
      </c>
      <c r="AE2206" s="136">
        <v>292</v>
      </c>
      <c r="AF2206" s="135" t="s">
        <v>252</v>
      </c>
      <c r="AG2206" s="136">
        <v>271</v>
      </c>
      <c r="AH2206" s="135" t="s">
        <v>252</v>
      </c>
      <c r="AI2206" s="136">
        <v>622</v>
      </c>
      <c r="AJ2206" s="135" t="s">
        <v>252</v>
      </c>
      <c r="AK2206" s="136">
        <v>623</v>
      </c>
      <c r="AL2206" s="135" t="s">
        <v>252</v>
      </c>
      <c r="AM2206" s="136">
        <f t="shared" si="12"/>
        <v>4299</v>
      </c>
    </row>
    <row r="2207" spans="2:39" ht="20.25" hidden="1" outlineLevel="1">
      <c r="B2207" s="149" t="s">
        <v>1310</v>
      </c>
      <c r="C2207" s="135" t="s">
        <v>1402</v>
      </c>
      <c r="D2207" s="152" t="s">
        <v>1403</v>
      </c>
      <c r="E2207" s="137" t="s">
        <v>44</v>
      </c>
      <c r="F2207" s="144" t="s">
        <v>45</v>
      </c>
      <c r="G2207" s="136"/>
      <c r="H2207" s="136"/>
      <c r="I2207" s="136"/>
      <c r="J2207" s="136"/>
      <c r="K2207" s="136"/>
      <c r="L2207" s="136"/>
      <c r="M2207" s="136">
        <v>2261</v>
      </c>
      <c r="N2207" s="136">
        <v>2317</v>
      </c>
      <c r="O2207" s="136">
        <v>175</v>
      </c>
      <c r="P2207" s="135" t="s">
        <v>252</v>
      </c>
      <c r="Q2207" s="136">
        <v>221</v>
      </c>
      <c r="R2207" s="135" t="s">
        <v>252</v>
      </c>
      <c r="S2207" s="136">
        <v>150</v>
      </c>
      <c r="T2207" s="135" t="s">
        <v>252</v>
      </c>
      <c r="U2207" s="136">
        <v>229</v>
      </c>
      <c r="V2207" s="135" t="s">
        <v>252</v>
      </c>
      <c r="W2207" s="136">
        <v>151</v>
      </c>
      <c r="X2207" s="135" t="s">
        <v>252</v>
      </c>
      <c r="Y2207" s="136">
        <v>202</v>
      </c>
      <c r="Z2207" s="135" t="s">
        <v>252</v>
      </c>
      <c r="AA2207" s="136">
        <v>136</v>
      </c>
      <c r="AB2207" s="135" t="s">
        <v>252</v>
      </c>
      <c r="AC2207" s="136">
        <v>279</v>
      </c>
      <c r="AD2207" s="135" t="s">
        <v>252</v>
      </c>
      <c r="AE2207" s="136">
        <v>157</v>
      </c>
      <c r="AF2207" s="135" t="s">
        <v>252</v>
      </c>
      <c r="AG2207" s="136">
        <v>138</v>
      </c>
      <c r="AH2207" s="135" t="s">
        <v>252</v>
      </c>
      <c r="AI2207" s="136">
        <v>169</v>
      </c>
      <c r="AJ2207" s="135" t="s">
        <v>252</v>
      </c>
      <c r="AK2207" s="136">
        <v>238</v>
      </c>
      <c r="AL2207" s="135" t="s">
        <v>252</v>
      </c>
      <c r="AM2207" s="136">
        <f t="shared" si="12"/>
        <v>2245</v>
      </c>
    </row>
    <row r="2208" spans="2:39" ht="20.25" hidden="1" outlineLevel="1">
      <c r="B2208" s="149" t="s">
        <v>1311</v>
      </c>
      <c r="C2208" s="135" t="s">
        <v>1402</v>
      </c>
      <c r="D2208" s="152" t="s">
        <v>1403</v>
      </c>
      <c r="E2208" s="137" t="s">
        <v>44</v>
      </c>
      <c r="F2208" s="144" t="s">
        <v>45</v>
      </c>
      <c r="G2208" s="136"/>
      <c r="H2208" s="136"/>
      <c r="I2208" s="136"/>
      <c r="J2208" s="136"/>
      <c r="K2208" s="136"/>
      <c r="L2208" s="136"/>
      <c r="M2208" s="419">
        <v>6912</v>
      </c>
      <c r="N2208" s="419">
        <v>5741</v>
      </c>
      <c r="O2208" s="419">
        <v>498</v>
      </c>
      <c r="P2208" s="419" t="s">
        <v>252</v>
      </c>
      <c r="Q2208" s="419">
        <v>568</v>
      </c>
      <c r="R2208" s="419" t="s">
        <v>252</v>
      </c>
      <c r="S2208" s="419">
        <v>371</v>
      </c>
      <c r="T2208" s="419" t="s">
        <v>252</v>
      </c>
      <c r="U2208" s="419">
        <v>517</v>
      </c>
      <c r="V2208" s="419" t="s">
        <v>252</v>
      </c>
      <c r="W2208" s="419">
        <v>358</v>
      </c>
      <c r="X2208" s="419" t="s">
        <v>252</v>
      </c>
      <c r="Y2208" s="419">
        <v>453</v>
      </c>
      <c r="Z2208" s="419" t="s">
        <v>252</v>
      </c>
      <c r="AA2208" s="419">
        <v>329</v>
      </c>
      <c r="AB2208" s="419" t="s">
        <v>252</v>
      </c>
      <c r="AC2208" s="419">
        <v>553</v>
      </c>
      <c r="AD2208" s="419" t="s">
        <v>252</v>
      </c>
      <c r="AE2208" s="419">
        <v>358</v>
      </c>
      <c r="AF2208" s="419" t="s">
        <v>252</v>
      </c>
      <c r="AG2208" s="419">
        <v>240</v>
      </c>
      <c r="AH2208" s="419" t="s">
        <v>252</v>
      </c>
      <c r="AI2208" s="419">
        <v>495</v>
      </c>
      <c r="AJ2208" s="419" t="s">
        <v>252</v>
      </c>
      <c r="AK2208" s="419">
        <v>572</v>
      </c>
      <c r="AL2208" s="419" t="s">
        <v>252</v>
      </c>
      <c r="AM2208" s="417">
        <f t="shared" si="12"/>
        <v>5312</v>
      </c>
    </row>
    <row r="2209" spans="2:39" ht="20.25" hidden="1" outlineLevel="1">
      <c r="B2209" s="149" t="s">
        <v>1312</v>
      </c>
      <c r="C2209" s="135" t="s">
        <v>1402</v>
      </c>
      <c r="D2209" s="152" t="s">
        <v>1403</v>
      </c>
      <c r="E2209" s="137" t="s">
        <v>44</v>
      </c>
      <c r="F2209" s="138" t="s">
        <v>45</v>
      </c>
      <c r="G2209" s="136"/>
      <c r="H2209" s="136"/>
      <c r="I2209" s="136"/>
      <c r="J2209" s="136"/>
      <c r="K2209" s="136"/>
      <c r="L2209" s="136"/>
      <c r="M2209" s="420"/>
      <c r="N2209" s="420"/>
      <c r="O2209" s="420"/>
      <c r="P2209" s="420"/>
      <c r="Q2209" s="420"/>
      <c r="R2209" s="420"/>
      <c r="S2209" s="420"/>
      <c r="T2209" s="420"/>
      <c r="U2209" s="420"/>
      <c r="V2209" s="420"/>
      <c r="W2209" s="420"/>
      <c r="X2209" s="420"/>
      <c r="Y2209" s="420"/>
      <c r="Z2209" s="420"/>
      <c r="AA2209" s="420"/>
      <c r="AB2209" s="420"/>
      <c r="AC2209" s="420"/>
      <c r="AD2209" s="420"/>
      <c r="AE2209" s="420"/>
      <c r="AF2209" s="420"/>
      <c r="AG2209" s="420"/>
      <c r="AH2209" s="420"/>
      <c r="AI2209" s="420"/>
      <c r="AJ2209" s="420"/>
      <c r="AK2209" s="420"/>
      <c r="AL2209" s="420"/>
      <c r="AM2209" s="418"/>
    </row>
    <row r="2210" spans="2:39" ht="20.25" hidden="1" outlineLevel="1">
      <c r="B2210" s="149" t="s">
        <v>1313</v>
      </c>
      <c r="C2210" s="135" t="s">
        <v>1402</v>
      </c>
      <c r="D2210" s="152" t="s">
        <v>1403</v>
      </c>
      <c r="E2210" s="137" t="s">
        <v>44</v>
      </c>
      <c r="F2210" s="138" t="s">
        <v>45</v>
      </c>
      <c r="G2210" s="136"/>
      <c r="H2210" s="136"/>
      <c r="I2210" s="136"/>
      <c r="J2210" s="136"/>
      <c r="K2210" s="136"/>
      <c r="L2210" s="136"/>
      <c r="M2210" s="136">
        <v>4881</v>
      </c>
      <c r="N2210" s="136">
        <v>5164</v>
      </c>
      <c r="O2210" s="136">
        <v>526</v>
      </c>
      <c r="P2210" s="135" t="s">
        <v>252</v>
      </c>
      <c r="Q2210" s="136">
        <v>634</v>
      </c>
      <c r="R2210" s="135" t="s">
        <v>252</v>
      </c>
      <c r="S2210" s="136">
        <v>382</v>
      </c>
      <c r="T2210" s="135" t="s">
        <v>252</v>
      </c>
      <c r="U2210" s="136">
        <v>577</v>
      </c>
      <c r="V2210" s="135" t="s">
        <v>252</v>
      </c>
      <c r="W2210" s="136">
        <v>457</v>
      </c>
      <c r="X2210" s="135" t="s">
        <v>252</v>
      </c>
      <c r="Y2210" s="136">
        <v>551</v>
      </c>
      <c r="Z2210" s="135" t="s">
        <v>252</v>
      </c>
      <c r="AA2210" s="136">
        <v>351</v>
      </c>
      <c r="AB2210" s="135" t="s">
        <v>252</v>
      </c>
      <c r="AC2210" s="136">
        <v>257</v>
      </c>
      <c r="AD2210" s="135" t="s">
        <v>252</v>
      </c>
      <c r="AE2210" s="136">
        <v>399</v>
      </c>
      <c r="AF2210" s="135" t="s">
        <v>252</v>
      </c>
      <c r="AG2210" s="136">
        <v>332</v>
      </c>
      <c r="AH2210" s="135" t="s">
        <v>252</v>
      </c>
      <c r="AI2210" s="136">
        <v>749</v>
      </c>
      <c r="AJ2210" s="135" t="s">
        <v>252</v>
      </c>
      <c r="AK2210" s="136">
        <v>672</v>
      </c>
      <c r="AL2210" s="135" t="s">
        <v>252</v>
      </c>
      <c r="AM2210" s="136">
        <f t="shared" si="12"/>
        <v>5887</v>
      </c>
    </row>
    <row r="2211" spans="2:39" ht="40.5" hidden="1" outlineLevel="1">
      <c r="B2211" s="149" t="s">
        <v>1314</v>
      </c>
      <c r="C2211" s="136" t="s">
        <v>1411</v>
      </c>
      <c r="D2211" s="152"/>
      <c r="E2211" s="137" t="s">
        <v>44</v>
      </c>
      <c r="F2211" s="138" t="s">
        <v>45</v>
      </c>
      <c r="G2211" s="136"/>
      <c r="H2211" s="136"/>
      <c r="I2211" s="136"/>
      <c r="J2211" s="136"/>
      <c r="K2211" s="136"/>
      <c r="L2211" s="136"/>
      <c r="M2211" s="136"/>
      <c r="N2211" s="136"/>
      <c r="O2211" s="136"/>
      <c r="P2211" s="135"/>
      <c r="Q2211" s="136"/>
      <c r="R2211" s="135"/>
      <c r="S2211" s="136"/>
      <c r="T2211" s="135"/>
      <c r="U2211" s="136"/>
      <c r="V2211" s="135"/>
      <c r="W2211" s="136"/>
      <c r="X2211" s="135"/>
      <c r="Y2211" s="136"/>
      <c r="Z2211" s="135"/>
      <c r="AA2211" s="136"/>
      <c r="AB2211" s="135"/>
      <c r="AC2211" s="136"/>
      <c r="AD2211" s="135"/>
      <c r="AE2211" s="136"/>
      <c r="AF2211" s="135"/>
      <c r="AG2211" s="136"/>
      <c r="AH2211" s="135"/>
      <c r="AI2211" s="136"/>
      <c r="AJ2211" s="135"/>
      <c r="AK2211" s="136"/>
      <c r="AL2211" s="135"/>
      <c r="AM2211" s="136">
        <f t="shared" si="12"/>
        <v>0</v>
      </c>
    </row>
    <row r="2212" spans="2:39" ht="20.25" hidden="1" outlineLevel="1">
      <c r="B2212" s="149" t="s">
        <v>1315</v>
      </c>
      <c r="C2212" s="135" t="s">
        <v>1402</v>
      </c>
      <c r="D2212" s="152" t="s">
        <v>1403</v>
      </c>
      <c r="E2212" s="137" t="s">
        <v>44</v>
      </c>
      <c r="F2212" s="138" t="s">
        <v>45</v>
      </c>
      <c r="G2212" s="136"/>
      <c r="H2212" s="136"/>
      <c r="I2212" s="136"/>
      <c r="J2212" s="136"/>
      <c r="K2212" s="136"/>
      <c r="L2212" s="136"/>
      <c r="M2212" s="419">
        <v>6745</v>
      </c>
      <c r="N2212" s="419">
        <v>6544</v>
      </c>
      <c r="O2212" s="419">
        <v>883</v>
      </c>
      <c r="P2212" s="419" t="s">
        <v>252</v>
      </c>
      <c r="Q2212" s="419">
        <v>561</v>
      </c>
      <c r="R2212" s="419" t="s">
        <v>252</v>
      </c>
      <c r="S2212" s="419">
        <v>360</v>
      </c>
      <c r="T2212" s="419" t="s">
        <v>252</v>
      </c>
      <c r="U2212" s="419">
        <v>498</v>
      </c>
      <c r="V2212" s="419" t="s">
        <v>252</v>
      </c>
      <c r="W2212" s="419">
        <v>426</v>
      </c>
      <c r="X2212" s="419" t="s">
        <v>252</v>
      </c>
      <c r="Y2212" s="419">
        <v>258</v>
      </c>
      <c r="Z2212" s="419" t="s">
        <v>252</v>
      </c>
      <c r="AA2212" s="419">
        <v>257</v>
      </c>
      <c r="AB2212" s="419" t="s">
        <v>252</v>
      </c>
      <c r="AC2212" s="419">
        <v>295</v>
      </c>
      <c r="AD2212" s="419" t="s">
        <v>252</v>
      </c>
      <c r="AE2212" s="419">
        <v>489</v>
      </c>
      <c r="AF2212" s="419" t="s">
        <v>252</v>
      </c>
      <c r="AG2212" s="419">
        <v>575</v>
      </c>
      <c r="AH2212" s="419" t="s">
        <v>252</v>
      </c>
      <c r="AI2212" s="419">
        <v>592</v>
      </c>
      <c r="AJ2212" s="419" t="s">
        <v>252</v>
      </c>
      <c r="AK2212" s="419">
        <v>688</v>
      </c>
      <c r="AL2212" s="419" t="s">
        <v>252</v>
      </c>
      <c r="AM2212" s="417">
        <f t="shared" si="12"/>
        <v>5882</v>
      </c>
    </row>
    <row r="2213" spans="2:39" ht="20.25" hidden="1" outlineLevel="1">
      <c r="B2213" s="149" t="s">
        <v>1316</v>
      </c>
      <c r="C2213" s="135" t="s">
        <v>1402</v>
      </c>
      <c r="D2213" s="152" t="s">
        <v>1403</v>
      </c>
      <c r="E2213" s="137" t="s">
        <v>44</v>
      </c>
      <c r="F2213" s="138" t="s">
        <v>45</v>
      </c>
      <c r="G2213" s="136"/>
      <c r="H2213" s="136"/>
      <c r="I2213" s="136"/>
      <c r="J2213" s="136"/>
      <c r="K2213" s="136"/>
      <c r="L2213" s="136"/>
      <c r="M2213" s="420"/>
      <c r="N2213" s="420"/>
      <c r="O2213" s="420"/>
      <c r="P2213" s="420"/>
      <c r="Q2213" s="420"/>
      <c r="R2213" s="420"/>
      <c r="S2213" s="420"/>
      <c r="T2213" s="420"/>
      <c r="U2213" s="420"/>
      <c r="V2213" s="420"/>
      <c r="W2213" s="420"/>
      <c r="X2213" s="420"/>
      <c r="Y2213" s="420"/>
      <c r="Z2213" s="420"/>
      <c r="AA2213" s="420"/>
      <c r="AB2213" s="420"/>
      <c r="AC2213" s="420"/>
      <c r="AD2213" s="420"/>
      <c r="AE2213" s="420"/>
      <c r="AF2213" s="420"/>
      <c r="AG2213" s="420"/>
      <c r="AH2213" s="420"/>
      <c r="AI2213" s="420"/>
      <c r="AJ2213" s="420"/>
      <c r="AK2213" s="420"/>
      <c r="AL2213" s="420"/>
      <c r="AM2213" s="418"/>
    </row>
    <row r="2214" spans="2:39" ht="20.25" hidden="1" outlineLevel="1">
      <c r="B2214" s="149" t="s">
        <v>1317</v>
      </c>
      <c r="C2214" s="135" t="s">
        <v>1402</v>
      </c>
      <c r="D2214" s="152" t="s">
        <v>1417</v>
      </c>
      <c r="E2214" s="433" t="s">
        <v>138</v>
      </c>
      <c r="F2214" s="425" t="s">
        <v>45</v>
      </c>
      <c r="G2214" s="136"/>
      <c r="H2214" s="136"/>
      <c r="I2214" s="136"/>
      <c r="J2214" s="136"/>
      <c r="K2214" s="136"/>
      <c r="L2214" s="136"/>
      <c r="M2214" s="437">
        <v>2816</v>
      </c>
      <c r="N2214" s="437">
        <v>2357</v>
      </c>
      <c r="O2214" s="419">
        <v>185</v>
      </c>
      <c r="P2214" s="419" t="s">
        <v>252</v>
      </c>
      <c r="Q2214" s="419">
        <v>167</v>
      </c>
      <c r="R2214" s="419" t="s">
        <v>252</v>
      </c>
      <c r="S2214" s="419">
        <v>151</v>
      </c>
      <c r="T2214" s="419" t="s">
        <v>252</v>
      </c>
      <c r="U2214" s="419">
        <v>191</v>
      </c>
      <c r="V2214" s="419" t="s">
        <v>252</v>
      </c>
      <c r="W2214" s="419">
        <v>164</v>
      </c>
      <c r="X2214" s="419" t="s">
        <v>252</v>
      </c>
      <c r="Y2214" s="419">
        <v>176</v>
      </c>
      <c r="Z2214" s="419" t="s">
        <v>252</v>
      </c>
      <c r="AA2214" s="419">
        <v>170</v>
      </c>
      <c r="AB2214" s="419" t="s">
        <v>252</v>
      </c>
      <c r="AC2214" s="419">
        <v>184</v>
      </c>
      <c r="AD2214" s="419" t="s">
        <v>252</v>
      </c>
      <c r="AE2214" s="419">
        <v>215</v>
      </c>
      <c r="AF2214" s="419" t="s">
        <v>252</v>
      </c>
      <c r="AG2214" s="419">
        <v>199</v>
      </c>
      <c r="AH2214" s="419" t="s">
        <v>252</v>
      </c>
      <c r="AI2214" s="419">
        <v>226</v>
      </c>
      <c r="AJ2214" s="419" t="s">
        <v>252</v>
      </c>
      <c r="AK2214" s="419">
        <v>183</v>
      </c>
      <c r="AL2214" s="419" t="s">
        <v>252</v>
      </c>
      <c r="AM2214" s="419">
        <f>O2214+Q2214+S2214++U2214+W2214+Y2214+AA2214+AC2214+AE2214+AG2214+AI2214+AK2214</f>
        <v>2211</v>
      </c>
    </row>
    <row r="2215" spans="2:39" ht="20.25" hidden="1" outlineLevel="1">
      <c r="B2215" s="149" t="s">
        <v>1318</v>
      </c>
      <c r="C2215" s="135" t="s">
        <v>1402</v>
      </c>
      <c r="D2215" s="152" t="s">
        <v>1417</v>
      </c>
      <c r="E2215" s="434"/>
      <c r="F2215" s="426"/>
      <c r="G2215" s="136"/>
      <c r="H2215" s="136"/>
      <c r="I2215" s="136"/>
      <c r="J2215" s="136"/>
      <c r="K2215" s="136"/>
      <c r="L2215" s="136"/>
      <c r="M2215" s="438"/>
      <c r="N2215" s="438"/>
      <c r="O2215" s="420"/>
      <c r="P2215" s="420"/>
      <c r="Q2215" s="420"/>
      <c r="R2215" s="420"/>
      <c r="S2215" s="420"/>
      <c r="T2215" s="420"/>
      <c r="U2215" s="420"/>
      <c r="V2215" s="420"/>
      <c r="W2215" s="420"/>
      <c r="X2215" s="420"/>
      <c r="Y2215" s="420"/>
      <c r="Z2215" s="420"/>
      <c r="AA2215" s="420"/>
      <c r="AB2215" s="420"/>
      <c r="AC2215" s="420"/>
      <c r="AD2215" s="420"/>
      <c r="AE2215" s="420"/>
      <c r="AF2215" s="420"/>
      <c r="AG2215" s="420"/>
      <c r="AH2215" s="420"/>
      <c r="AI2215" s="420"/>
      <c r="AJ2215" s="420"/>
      <c r="AK2215" s="420"/>
      <c r="AL2215" s="420"/>
      <c r="AM2215" s="420"/>
    </row>
    <row r="2216" spans="2:39" ht="20.25" hidden="1" outlineLevel="1">
      <c r="B2216" s="149" t="s">
        <v>1317</v>
      </c>
      <c r="C2216" s="135" t="s">
        <v>1402</v>
      </c>
      <c r="D2216" s="152" t="s">
        <v>1417</v>
      </c>
      <c r="E2216" s="433" t="s">
        <v>44</v>
      </c>
      <c r="F2216" s="425" t="s">
        <v>45</v>
      </c>
      <c r="G2216" s="136"/>
      <c r="H2216" s="136"/>
      <c r="I2216" s="136"/>
      <c r="J2216" s="136"/>
      <c r="K2216" s="136"/>
      <c r="L2216" s="136"/>
      <c r="M2216" s="437">
        <v>6197</v>
      </c>
      <c r="N2216" s="437">
        <v>5960</v>
      </c>
      <c r="O2216" s="419">
        <v>645</v>
      </c>
      <c r="P2216" s="419" t="s">
        <v>252</v>
      </c>
      <c r="Q2216" s="419">
        <v>533</v>
      </c>
      <c r="R2216" s="419" t="s">
        <v>252</v>
      </c>
      <c r="S2216" s="419">
        <v>421</v>
      </c>
      <c r="T2216" s="419" t="s">
        <v>252</v>
      </c>
      <c r="U2216" s="419">
        <v>543</v>
      </c>
      <c r="V2216" s="419" t="s">
        <v>252</v>
      </c>
      <c r="W2216" s="419">
        <v>434</v>
      </c>
      <c r="X2216" s="419" t="s">
        <v>252</v>
      </c>
      <c r="Y2216" s="419">
        <v>380</v>
      </c>
      <c r="Z2216" s="419" t="s">
        <v>252</v>
      </c>
      <c r="AA2216" s="419">
        <v>413</v>
      </c>
      <c r="AB2216" s="419" t="s">
        <v>252</v>
      </c>
      <c r="AC2216" s="419">
        <v>464</v>
      </c>
      <c r="AD2216" s="419" t="s">
        <v>252</v>
      </c>
      <c r="AE2216" s="419">
        <v>518</v>
      </c>
      <c r="AF2216" s="419" t="s">
        <v>252</v>
      </c>
      <c r="AG2216" s="419">
        <v>450</v>
      </c>
      <c r="AH2216" s="419" t="s">
        <v>252</v>
      </c>
      <c r="AI2216" s="419">
        <v>555</v>
      </c>
      <c r="AJ2216" s="419" t="s">
        <v>252</v>
      </c>
      <c r="AK2216" s="419">
        <v>473</v>
      </c>
      <c r="AL2216" s="419" t="s">
        <v>252</v>
      </c>
      <c r="AM2216" s="419">
        <f>O2216+Q2216+S2216++U2216+W2216+Y2216+AA2216+AC2216+AE2216+AG2216+AI2216+AK2216</f>
        <v>5829</v>
      </c>
    </row>
    <row r="2217" spans="2:39" ht="20.25" hidden="1" outlineLevel="1">
      <c r="B2217" s="149" t="s">
        <v>1318</v>
      </c>
      <c r="C2217" s="135" t="s">
        <v>1402</v>
      </c>
      <c r="D2217" s="152" t="s">
        <v>1417</v>
      </c>
      <c r="E2217" s="434"/>
      <c r="F2217" s="426"/>
      <c r="G2217" s="136"/>
      <c r="H2217" s="136"/>
      <c r="I2217" s="136"/>
      <c r="J2217" s="136"/>
      <c r="K2217" s="136"/>
      <c r="L2217" s="136"/>
      <c r="M2217" s="438"/>
      <c r="N2217" s="438"/>
      <c r="O2217" s="420"/>
      <c r="P2217" s="420"/>
      <c r="Q2217" s="420"/>
      <c r="R2217" s="420"/>
      <c r="S2217" s="420"/>
      <c r="T2217" s="420"/>
      <c r="U2217" s="420"/>
      <c r="V2217" s="420"/>
      <c r="W2217" s="420"/>
      <c r="X2217" s="420"/>
      <c r="Y2217" s="420"/>
      <c r="Z2217" s="420"/>
      <c r="AA2217" s="420"/>
      <c r="AB2217" s="420"/>
      <c r="AC2217" s="420"/>
      <c r="AD2217" s="420"/>
      <c r="AE2217" s="420"/>
      <c r="AF2217" s="420"/>
      <c r="AG2217" s="420"/>
      <c r="AH2217" s="420"/>
      <c r="AI2217" s="420"/>
      <c r="AJ2217" s="420"/>
      <c r="AK2217" s="420"/>
      <c r="AL2217" s="420"/>
      <c r="AM2217" s="420"/>
    </row>
    <row r="2218" spans="2:39" ht="20.25" hidden="1" outlineLevel="1">
      <c r="B2218" s="149" t="s">
        <v>1319</v>
      </c>
      <c r="C2218" s="135" t="s">
        <v>1402</v>
      </c>
      <c r="D2218" s="152" t="s">
        <v>1403</v>
      </c>
      <c r="E2218" s="137" t="s">
        <v>44</v>
      </c>
      <c r="F2218" s="138" t="s">
        <v>45</v>
      </c>
      <c r="G2218" s="136"/>
      <c r="H2218" s="136"/>
      <c r="I2218" s="136"/>
      <c r="J2218" s="136"/>
      <c r="K2218" s="136"/>
      <c r="L2218" s="136"/>
      <c r="M2218" s="136">
        <v>4037</v>
      </c>
      <c r="N2218" s="136">
        <v>4255</v>
      </c>
      <c r="O2218" s="136">
        <v>427</v>
      </c>
      <c r="P2218" s="135" t="s">
        <v>252</v>
      </c>
      <c r="Q2218" s="136">
        <v>487</v>
      </c>
      <c r="R2218" s="135" t="s">
        <v>252</v>
      </c>
      <c r="S2218" s="136">
        <v>405</v>
      </c>
      <c r="T2218" s="135" t="s">
        <v>252</v>
      </c>
      <c r="U2218" s="136">
        <v>440</v>
      </c>
      <c r="V2218" s="135" t="s">
        <v>252</v>
      </c>
      <c r="W2218" s="136">
        <v>288</v>
      </c>
      <c r="X2218" s="135" t="s">
        <v>252</v>
      </c>
      <c r="Y2218" s="136">
        <v>343</v>
      </c>
      <c r="Z2218" s="135" t="s">
        <v>252</v>
      </c>
      <c r="AA2218" s="136">
        <v>294</v>
      </c>
      <c r="AB2218" s="135" t="s">
        <v>252</v>
      </c>
      <c r="AC2218" s="136">
        <v>299</v>
      </c>
      <c r="AD2218" s="135" t="s">
        <v>252</v>
      </c>
      <c r="AE2218" s="136">
        <v>324</v>
      </c>
      <c r="AF2218" s="135" t="s">
        <v>252</v>
      </c>
      <c r="AG2218" s="136">
        <v>297</v>
      </c>
      <c r="AH2218" s="135" t="s">
        <v>252</v>
      </c>
      <c r="AI2218" s="136">
        <v>643</v>
      </c>
      <c r="AJ2218" s="135" t="s">
        <v>252</v>
      </c>
      <c r="AK2218" s="136">
        <v>606</v>
      </c>
      <c r="AL2218" s="135" t="s">
        <v>252</v>
      </c>
      <c r="AM2218" s="136">
        <f t="shared" ref="AM2218:AM2256" si="13">O2218+Q2218+S2218+U2218+W2218+Y2218+AA2218+AC2218+AE2218+AG2218+AI2218+AK2218</f>
        <v>4853</v>
      </c>
    </row>
    <row r="2219" spans="2:39" ht="40.5" hidden="1" outlineLevel="1">
      <c r="B2219" s="149" t="s">
        <v>1391</v>
      </c>
      <c r="C2219" s="136" t="s">
        <v>1411</v>
      </c>
      <c r="D2219" s="152"/>
      <c r="E2219" s="137" t="s">
        <v>44</v>
      </c>
      <c r="F2219" s="138" t="s">
        <v>45</v>
      </c>
      <c r="G2219" s="136"/>
      <c r="H2219" s="136"/>
      <c r="I2219" s="136"/>
      <c r="J2219" s="136"/>
      <c r="K2219" s="136"/>
      <c r="L2219" s="136"/>
      <c r="M2219" s="142"/>
      <c r="N2219" s="142"/>
      <c r="O2219" s="136"/>
      <c r="P2219" s="135"/>
      <c r="Q2219" s="136"/>
      <c r="R2219" s="135"/>
      <c r="S2219" s="136"/>
      <c r="T2219" s="135"/>
      <c r="U2219" s="136"/>
      <c r="V2219" s="135"/>
      <c r="W2219" s="136"/>
      <c r="X2219" s="135"/>
      <c r="Y2219" s="136"/>
      <c r="Z2219" s="135"/>
      <c r="AA2219" s="136"/>
      <c r="AB2219" s="135"/>
      <c r="AC2219" s="136"/>
      <c r="AD2219" s="135"/>
      <c r="AE2219" s="136"/>
      <c r="AF2219" s="135"/>
      <c r="AG2219" s="136"/>
      <c r="AH2219" s="135"/>
      <c r="AI2219" s="136"/>
      <c r="AJ2219" s="135"/>
      <c r="AK2219" s="136"/>
      <c r="AL2219" s="135"/>
      <c r="AM2219" s="136">
        <f t="shared" si="13"/>
        <v>0</v>
      </c>
    </row>
    <row r="2220" spans="2:39" ht="40.5" hidden="1" outlineLevel="1">
      <c r="B2220" s="149" t="s">
        <v>1392</v>
      </c>
      <c r="C2220" s="136" t="s">
        <v>1411</v>
      </c>
      <c r="D2220" s="152"/>
      <c r="E2220" s="137" t="s">
        <v>44</v>
      </c>
      <c r="F2220" s="138" t="s">
        <v>45</v>
      </c>
      <c r="G2220" s="136"/>
      <c r="H2220" s="136"/>
      <c r="I2220" s="136"/>
      <c r="J2220" s="136"/>
      <c r="K2220" s="136"/>
      <c r="L2220" s="136"/>
      <c r="M2220" s="142"/>
      <c r="N2220" s="142"/>
      <c r="O2220" s="136"/>
      <c r="P2220" s="135"/>
      <c r="Q2220" s="136"/>
      <c r="R2220" s="135"/>
      <c r="S2220" s="136"/>
      <c r="T2220" s="135"/>
      <c r="U2220" s="136"/>
      <c r="V2220" s="135"/>
      <c r="W2220" s="136"/>
      <c r="X2220" s="135"/>
      <c r="Y2220" s="136"/>
      <c r="Z2220" s="135"/>
      <c r="AA2220" s="136"/>
      <c r="AB2220" s="135"/>
      <c r="AC2220" s="136"/>
      <c r="AD2220" s="135"/>
      <c r="AE2220" s="136"/>
      <c r="AF2220" s="135"/>
      <c r="AG2220" s="136"/>
      <c r="AH2220" s="135"/>
      <c r="AI2220" s="136"/>
      <c r="AJ2220" s="135"/>
      <c r="AK2220" s="136"/>
      <c r="AL2220" s="135"/>
      <c r="AM2220" s="136">
        <f t="shared" si="13"/>
        <v>0</v>
      </c>
    </row>
    <row r="2221" spans="2:39" ht="40.5" hidden="1" outlineLevel="1">
      <c r="B2221" s="149" t="s">
        <v>1393</v>
      </c>
      <c r="C2221" s="136" t="s">
        <v>1411</v>
      </c>
      <c r="D2221" s="152"/>
      <c r="E2221" s="137" t="s">
        <v>44</v>
      </c>
      <c r="F2221" s="138" t="s">
        <v>45</v>
      </c>
      <c r="G2221" s="136"/>
      <c r="H2221" s="136"/>
      <c r="I2221" s="136"/>
      <c r="J2221" s="136"/>
      <c r="K2221" s="136"/>
      <c r="L2221" s="136"/>
      <c r="M2221" s="142"/>
      <c r="N2221" s="142"/>
      <c r="O2221" s="136"/>
      <c r="P2221" s="135"/>
      <c r="Q2221" s="136"/>
      <c r="R2221" s="135"/>
      <c r="S2221" s="136"/>
      <c r="T2221" s="135"/>
      <c r="U2221" s="136"/>
      <c r="V2221" s="135"/>
      <c r="W2221" s="136"/>
      <c r="X2221" s="135"/>
      <c r="Y2221" s="136"/>
      <c r="Z2221" s="135"/>
      <c r="AA2221" s="136"/>
      <c r="AB2221" s="135"/>
      <c r="AC2221" s="136"/>
      <c r="AD2221" s="135"/>
      <c r="AE2221" s="136"/>
      <c r="AF2221" s="135"/>
      <c r="AG2221" s="136"/>
      <c r="AH2221" s="135"/>
      <c r="AI2221" s="136"/>
      <c r="AJ2221" s="135"/>
      <c r="AK2221" s="136"/>
      <c r="AL2221" s="135"/>
      <c r="AM2221" s="136">
        <f t="shared" si="13"/>
        <v>0</v>
      </c>
    </row>
    <row r="2222" spans="2:39" ht="40.5" hidden="1" outlineLevel="1">
      <c r="B2222" s="149" t="s">
        <v>1394</v>
      </c>
      <c r="C2222" s="136" t="s">
        <v>1411</v>
      </c>
      <c r="D2222" s="152"/>
      <c r="E2222" s="137" t="s">
        <v>44</v>
      </c>
      <c r="F2222" s="138" t="s">
        <v>45</v>
      </c>
      <c r="G2222" s="136"/>
      <c r="H2222" s="136"/>
      <c r="I2222" s="136"/>
      <c r="J2222" s="136"/>
      <c r="K2222" s="136"/>
      <c r="L2222" s="136"/>
      <c r="M2222" s="142"/>
      <c r="N2222" s="142"/>
      <c r="O2222" s="136"/>
      <c r="P2222" s="135"/>
      <c r="Q2222" s="136"/>
      <c r="R2222" s="135"/>
      <c r="S2222" s="136"/>
      <c r="T2222" s="135"/>
      <c r="U2222" s="136"/>
      <c r="V2222" s="135"/>
      <c r="W2222" s="136"/>
      <c r="X2222" s="135"/>
      <c r="Y2222" s="136"/>
      <c r="Z2222" s="135"/>
      <c r="AA2222" s="136"/>
      <c r="AB2222" s="135"/>
      <c r="AC2222" s="136"/>
      <c r="AD2222" s="135"/>
      <c r="AE2222" s="136"/>
      <c r="AF2222" s="135"/>
      <c r="AG2222" s="136"/>
      <c r="AH2222" s="135"/>
      <c r="AI2222" s="136"/>
      <c r="AJ2222" s="135"/>
      <c r="AK2222" s="136"/>
      <c r="AL2222" s="135"/>
      <c r="AM2222" s="136">
        <f t="shared" si="13"/>
        <v>0</v>
      </c>
    </row>
    <row r="2223" spans="2:39" ht="20.25" hidden="1" outlineLevel="1">
      <c r="B2223" s="149" t="s">
        <v>1320</v>
      </c>
      <c r="C2223" s="135" t="s">
        <v>1402</v>
      </c>
      <c r="D2223" s="152" t="s">
        <v>1403</v>
      </c>
      <c r="E2223" s="137" t="s">
        <v>44</v>
      </c>
      <c r="F2223" s="138" t="s">
        <v>45</v>
      </c>
      <c r="G2223" s="136"/>
      <c r="H2223" s="136"/>
      <c r="I2223" s="136"/>
      <c r="J2223" s="136"/>
      <c r="K2223" s="136"/>
      <c r="L2223" s="136"/>
      <c r="M2223" s="136">
        <v>3539</v>
      </c>
      <c r="N2223" s="136">
        <v>2502</v>
      </c>
      <c r="O2223" s="136">
        <v>245</v>
      </c>
      <c r="P2223" s="135" t="s">
        <v>252</v>
      </c>
      <c r="Q2223" s="136">
        <v>234</v>
      </c>
      <c r="R2223" s="135" t="s">
        <v>252</v>
      </c>
      <c r="S2223" s="136">
        <v>169</v>
      </c>
      <c r="T2223" s="135" t="s">
        <v>252</v>
      </c>
      <c r="U2223" s="136">
        <v>230</v>
      </c>
      <c r="V2223" s="135" t="s">
        <v>252</v>
      </c>
      <c r="W2223" s="136">
        <v>164</v>
      </c>
      <c r="X2223" s="135" t="s">
        <v>252</v>
      </c>
      <c r="Y2223" s="136">
        <v>117</v>
      </c>
      <c r="Z2223" s="135" t="s">
        <v>252</v>
      </c>
      <c r="AA2223" s="136">
        <v>86</v>
      </c>
      <c r="AB2223" s="135" t="s">
        <v>252</v>
      </c>
      <c r="AC2223" s="136">
        <v>127</v>
      </c>
      <c r="AD2223" s="135" t="s">
        <v>252</v>
      </c>
      <c r="AE2223" s="136">
        <v>211</v>
      </c>
      <c r="AF2223" s="135" t="s">
        <v>252</v>
      </c>
      <c r="AG2223" s="136">
        <v>186</v>
      </c>
      <c r="AH2223" s="135" t="s">
        <v>252</v>
      </c>
      <c r="AI2223" s="136">
        <v>327</v>
      </c>
      <c r="AJ2223" s="135" t="s">
        <v>252</v>
      </c>
      <c r="AK2223" s="136">
        <v>315</v>
      </c>
      <c r="AL2223" s="135" t="s">
        <v>252</v>
      </c>
      <c r="AM2223" s="136">
        <f t="shared" si="13"/>
        <v>2411</v>
      </c>
    </row>
    <row r="2224" spans="2:39" ht="20.25" hidden="1" outlineLevel="1">
      <c r="B2224" s="149" t="s">
        <v>1321</v>
      </c>
      <c r="C2224" s="135" t="s">
        <v>1402</v>
      </c>
      <c r="D2224" s="152" t="s">
        <v>1403</v>
      </c>
      <c r="E2224" s="137" t="s">
        <v>44</v>
      </c>
      <c r="F2224" s="138" t="s">
        <v>45</v>
      </c>
      <c r="G2224" s="136"/>
      <c r="H2224" s="136"/>
      <c r="I2224" s="136"/>
      <c r="J2224" s="136"/>
      <c r="K2224" s="136"/>
      <c r="L2224" s="136"/>
      <c r="M2224" s="136">
        <v>5143</v>
      </c>
      <c r="N2224" s="136">
        <v>3282</v>
      </c>
      <c r="O2224" s="136">
        <v>353</v>
      </c>
      <c r="P2224" s="135" t="s">
        <v>252</v>
      </c>
      <c r="Q2224" s="136">
        <v>211</v>
      </c>
      <c r="R2224" s="135" t="s">
        <v>252</v>
      </c>
      <c r="S2224" s="136">
        <v>131</v>
      </c>
      <c r="T2224" s="135" t="s">
        <v>252</v>
      </c>
      <c r="U2224" s="136">
        <v>243</v>
      </c>
      <c r="V2224" s="135" t="s">
        <v>252</v>
      </c>
      <c r="W2224" s="136">
        <v>196</v>
      </c>
      <c r="X2224" s="135" t="s">
        <v>252</v>
      </c>
      <c r="Y2224" s="136">
        <v>209</v>
      </c>
      <c r="Z2224" s="135" t="s">
        <v>252</v>
      </c>
      <c r="AA2224" s="136">
        <v>124</v>
      </c>
      <c r="AB2224" s="135" t="s">
        <v>252</v>
      </c>
      <c r="AC2224" s="136">
        <v>109</v>
      </c>
      <c r="AD2224" s="135" t="s">
        <v>252</v>
      </c>
      <c r="AE2224" s="136">
        <v>132</v>
      </c>
      <c r="AF2224" s="135" t="s">
        <v>252</v>
      </c>
      <c r="AG2224" s="136">
        <v>175</v>
      </c>
      <c r="AH2224" s="135" t="s">
        <v>252</v>
      </c>
      <c r="AI2224" s="136">
        <v>262</v>
      </c>
      <c r="AJ2224" s="135" t="s">
        <v>252</v>
      </c>
      <c r="AK2224" s="136">
        <v>214</v>
      </c>
      <c r="AL2224" s="135" t="s">
        <v>252</v>
      </c>
      <c r="AM2224" s="136">
        <f t="shared" si="13"/>
        <v>2359</v>
      </c>
    </row>
    <row r="2225" spans="2:39" ht="20.25" hidden="1" outlineLevel="1">
      <c r="B2225" s="149" t="s">
        <v>1322</v>
      </c>
      <c r="C2225" s="135" t="s">
        <v>1402</v>
      </c>
      <c r="D2225" s="152" t="s">
        <v>1403</v>
      </c>
      <c r="E2225" s="143" t="s">
        <v>138</v>
      </c>
      <c r="F2225" s="138" t="s">
        <v>45</v>
      </c>
      <c r="G2225" s="136"/>
      <c r="H2225" s="136"/>
      <c r="I2225" s="136"/>
      <c r="J2225" s="136"/>
      <c r="K2225" s="136"/>
      <c r="L2225" s="136"/>
      <c r="M2225" s="136">
        <v>7154</v>
      </c>
      <c r="N2225" s="136">
        <v>8872</v>
      </c>
      <c r="O2225" s="136">
        <v>462</v>
      </c>
      <c r="P2225" s="135" t="s">
        <v>252</v>
      </c>
      <c r="Q2225" s="136">
        <v>543</v>
      </c>
      <c r="R2225" s="135" t="s">
        <v>252</v>
      </c>
      <c r="S2225" s="136">
        <v>429</v>
      </c>
      <c r="T2225" s="135" t="s">
        <v>252</v>
      </c>
      <c r="U2225" s="136">
        <v>482</v>
      </c>
      <c r="V2225" s="135" t="s">
        <v>252</v>
      </c>
      <c r="W2225" s="136">
        <v>341</v>
      </c>
      <c r="X2225" s="135" t="s">
        <v>252</v>
      </c>
      <c r="Y2225" s="136">
        <v>290</v>
      </c>
      <c r="Z2225" s="135" t="s">
        <v>252</v>
      </c>
      <c r="AA2225" s="136">
        <v>284</v>
      </c>
      <c r="AB2225" s="135" t="s">
        <v>252</v>
      </c>
      <c r="AC2225" s="136">
        <v>301</v>
      </c>
      <c r="AD2225" s="135" t="s">
        <v>252</v>
      </c>
      <c r="AE2225" s="136">
        <v>334</v>
      </c>
      <c r="AF2225" s="135" t="s">
        <v>252</v>
      </c>
      <c r="AG2225" s="136">
        <v>281</v>
      </c>
      <c r="AH2225" s="135" t="s">
        <v>252</v>
      </c>
      <c r="AI2225" s="136">
        <v>352</v>
      </c>
      <c r="AJ2225" s="135" t="s">
        <v>252</v>
      </c>
      <c r="AK2225" s="136">
        <v>277</v>
      </c>
      <c r="AL2225" s="135" t="s">
        <v>252</v>
      </c>
      <c r="AM2225" s="136">
        <f t="shared" si="13"/>
        <v>4376</v>
      </c>
    </row>
    <row r="2226" spans="2:39" ht="20.25" hidden="1" outlineLevel="1">
      <c r="B2226" s="149" t="s">
        <v>1322</v>
      </c>
      <c r="C2226" s="135" t="s">
        <v>1402</v>
      </c>
      <c r="D2226" s="152" t="s">
        <v>1403</v>
      </c>
      <c r="E2226" s="137" t="s">
        <v>44</v>
      </c>
      <c r="F2226" s="144" t="s">
        <v>45</v>
      </c>
      <c r="G2226" s="136"/>
      <c r="H2226" s="136"/>
      <c r="I2226" s="136"/>
      <c r="J2226" s="136"/>
      <c r="K2226" s="136"/>
      <c r="L2226" s="136"/>
      <c r="M2226" s="136">
        <v>8281</v>
      </c>
      <c r="N2226" s="136">
        <v>9416</v>
      </c>
      <c r="O2226" s="136">
        <v>955</v>
      </c>
      <c r="P2226" s="135" t="s">
        <v>252</v>
      </c>
      <c r="Q2226" s="136">
        <v>770</v>
      </c>
      <c r="R2226" s="135" t="s">
        <v>252</v>
      </c>
      <c r="S2226" s="136">
        <v>596</v>
      </c>
      <c r="T2226" s="135" t="s">
        <v>252</v>
      </c>
      <c r="U2226" s="136">
        <v>582</v>
      </c>
      <c r="V2226" s="135" t="s">
        <v>252</v>
      </c>
      <c r="W2226" s="136">
        <v>296</v>
      </c>
      <c r="X2226" s="135" t="s">
        <v>252</v>
      </c>
      <c r="Y2226" s="136">
        <v>305</v>
      </c>
      <c r="Z2226" s="135" t="s">
        <v>252</v>
      </c>
      <c r="AA2226" s="136">
        <v>492</v>
      </c>
      <c r="AB2226" s="135" t="s">
        <v>252</v>
      </c>
      <c r="AC2226" s="136">
        <v>268</v>
      </c>
      <c r="AD2226" s="135" t="s">
        <v>252</v>
      </c>
      <c r="AE2226" s="136">
        <v>825</v>
      </c>
      <c r="AF2226" s="135" t="s">
        <v>252</v>
      </c>
      <c r="AG2226" s="136">
        <v>758</v>
      </c>
      <c r="AH2226" s="135" t="s">
        <v>252</v>
      </c>
      <c r="AI2226" s="136">
        <v>803</v>
      </c>
      <c r="AJ2226" s="135" t="s">
        <v>252</v>
      </c>
      <c r="AK2226" s="136">
        <v>573</v>
      </c>
      <c r="AL2226" s="135" t="s">
        <v>252</v>
      </c>
      <c r="AM2226" s="136">
        <f t="shared" si="13"/>
        <v>7223</v>
      </c>
    </row>
    <row r="2227" spans="2:39" ht="20.25" hidden="1" outlineLevel="1">
      <c r="B2227" s="149" t="s">
        <v>1323</v>
      </c>
      <c r="C2227" s="135" t="s">
        <v>1402</v>
      </c>
      <c r="D2227" s="152" t="s">
        <v>1403</v>
      </c>
      <c r="E2227" s="137" t="s">
        <v>44</v>
      </c>
      <c r="F2227" s="144" t="s">
        <v>45</v>
      </c>
      <c r="G2227" s="136"/>
      <c r="H2227" s="136"/>
      <c r="I2227" s="136"/>
      <c r="J2227" s="136"/>
      <c r="K2227" s="136"/>
      <c r="L2227" s="136"/>
      <c r="M2227" s="136">
        <v>6285</v>
      </c>
      <c r="N2227" s="136">
        <v>6715</v>
      </c>
      <c r="O2227" s="136">
        <v>778</v>
      </c>
      <c r="P2227" s="135" t="s">
        <v>252</v>
      </c>
      <c r="Q2227" s="136">
        <v>772</v>
      </c>
      <c r="R2227" s="135" t="s">
        <v>252</v>
      </c>
      <c r="S2227" s="136">
        <v>538</v>
      </c>
      <c r="T2227" s="135" t="s">
        <v>252</v>
      </c>
      <c r="U2227" s="136">
        <v>836</v>
      </c>
      <c r="V2227" s="135" t="s">
        <v>252</v>
      </c>
      <c r="W2227" s="136">
        <v>538</v>
      </c>
      <c r="X2227" s="135" t="s">
        <v>252</v>
      </c>
      <c r="Y2227" s="136">
        <v>570</v>
      </c>
      <c r="Z2227" s="135" t="s">
        <v>252</v>
      </c>
      <c r="AA2227" s="136">
        <v>371</v>
      </c>
      <c r="AB2227" s="135" t="s">
        <v>252</v>
      </c>
      <c r="AC2227" s="136">
        <v>412</v>
      </c>
      <c r="AD2227" s="135" t="s">
        <v>252</v>
      </c>
      <c r="AE2227" s="136">
        <v>394</v>
      </c>
      <c r="AF2227" s="135" t="s">
        <v>252</v>
      </c>
      <c r="AG2227" s="136">
        <v>441</v>
      </c>
      <c r="AH2227" s="135" t="s">
        <v>252</v>
      </c>
      <c r="AI2227" s="136">
        <v>672</v>
      </c>
      <c r="AJ2227" s="135" t="s">
        <v>252</v>
      </c>
      <c r="AK2227" s="136">
        <v>652</v>
      </c>
      <c r="AL2227" s="135" t="s">
        <v>252</v>
      </c>
      <c r="AM2227" s="136">
        <f t="shared" si="13"/>
        <v>6974</v>
      </c>
    </row>
    <row r="2228" spans="2:39" ht="20.25" hidden="1" outlineLevel="1">
      <c r="B2228" s="149" t="s">
        <v>1324</v>
      </c>
      <c r="C2228" s="135" t="s">
        <v>1402</v>
      </c>
      <c r="D2228" s="152" t="s">
        <v>1403</v>
      </c>
      <c r="E2228" s="137" t="s">
        <v>44</v>
      </c>
      <c r="F2228" s="138" t="s">
        <v>45</v>
      </c>
      <c r="G2228" s="136"/>
      <c r="H2228" s="136"/>
      <c r="I2228" s="136"/>
      <c r="J2228" s="136"/>
      <c r="K2228" s="136"/>
      <c r="L2228" s="136"/>
      <c r="M2228" s="136">
        <v>2783</v>
      </c>
      <c r="N2228" s="136">
        <v>3078</v>
      </c>
      <c r="O2228" s="136">
        <v>394</v>
      </c>
      <c r="P2228" s="135" t="s">
        <v>252</v>
      </c>
      <c r="Q2228" s="136">
        <v>536</v>
      </c>
      <c r="R2228" s="135" t="s">
        <v>252</v>
      </c>
      <c r="S2228" s="136">
        <v>245</v>
      </c>
      <c r="T2228" s="135" t="s">
        <v>252</v>
      </c>
      <c r="U2228" s="136">
        <v>356</v>
      </c>
      <c r="V2228" s="135" t="s">
        <v>252</v>
      </c>
      <c r="W2228" s="136">
        <v>318</v>
      </c>
      <c r="X2228" s="135" t="s">
        <v>252</v>
      </c>
      <c r="Y2228" s="136">
        <v>359</v>
      </c>
      <c r="Z2228" s="135" t="s">
        <v>252</v>
      </c>
      <c r="AA2228" s="136">
        <v>380</v>
      </c>
      <c r="AB2228" s="135" t="s">
        <v>252</v>
      </c>
      <c r="AC2228" s="136">
        <v>325</v>
      </c>
      <c r="AD2228" s="135" t="s">
        <v>252</v>
      </c>
      <c r="AE2228" s="136">
        <v>254</v>
      </c>
      <c r="AF2228" s="135" t="s">
        <v>252</v>
      </c>
      <c r="AG2228" s="136">
        <v>352</v>
      </c>
      <c r="AH2228" s="135" t="s">
        <v>252</v>
      </c>
      <c r="AI2228" s="136">
        <v>490</v>
      </c>
      <c r="AJ2228" s="135" t="s">
        <v>252</v>
      </c>
      <c r="AK2228" s="136">
        <v>476</v>
      </c>
      <c r="AL2228" s="135" t="s">
        <v>252</v>
      </c>
      <c r="AM2228" s="136">
        <f t="shared" si="13"/>
        <v>4485</v>
      </c>
    </row>
    <row r="2229" spans="2:39" ht="20.25" hidden="1" outlineLevel="1">
      <c r="B2229" s="149" t="s">
        <v>1325</v>
      </c>
      <c r="C2229" s="135" t="s">
        <v>1402</v>
      </c>
      <c r="D2229" s="152" t="s">
        <v>1403</v>
      </c>
      <c r="E2229" s="137" t="s">
        <v>44</v>
      </c>
      <c r="F2229" s="138" t="s">
        <v>45</v>
      </c>
      <c r="G2229" s="136"/>
      <c r="H2229" s="136"/>
      <c r="I2229" s="136"/>
      <c r="J2229" s="136"/>
      <c r="K2229" s="136"/>
      <c r="L2229" s="136"/>
      <c r="M2229" s="136">
        <v>5113</v>
      </c>
      <c r="N2229" s="136">
        <v>4453</v>
      </c>
      <c r="O2229" s="136">
        <v>396</v>
      </c>
      <c r="P2229" s="135" t="s">
        <v>252</v>
      </c>
      <c r="Q2229" s="136">
        <v>219</v>
      </c>
      <c r="R2229" s="135" t="s">
        <v>252</v>
      </c>
      <c r="S2229" s="136">
        <v>277</v>
      </c>
      <c r="T2229" s="135" t="s">
        <v>252</v>
      </c>
      <c r="U2229" s="136">
        <v>275</v>
      </c>
      <c r="V2229" s="135" t="s">
        <v>252</v>
      </c>
      <c r="W2229" s="136">
        <v>201</v>
      </c>
      <c r="X2229" s="135" t="s">
        <v>252</v>
      </c>
      <c r="Y2229" s="136">
        <v>196</v>
      </c>
      <c r="Z2229" s="135" t="s">
        <v>252</v>
      </c>
      <c r="AA2229" s="136">
        <v>162</v>
      </c>
      <c r="AB2229" s="135" t="s">
        <v>252</v>
      </c>
      <c r="AC2229" s="136">
        <v>312</v>
      </c>
      <c r="AD2229" s="135" t="s">
        <v>252</v>
      </c>
      <c r="AE2229" s="136">
        <v>471</v>
      </c>
      <c r="AF2229" s="135" t="s">
        <v>252</v>
      </c>
      <c r="AG2229" s="136">
        <v>320</v>
      </c>
      <c r="AH2229" s="135" t="s">
        <v>252</v>
      </c>
      <c r="AI2229" s="136">
        <v>456</v>
      </c>
      <c r="AJ2229" s="135" t="s">
        <v>252</v>
      </c>
      <c r="AK2229" s="136">
        <v>411</v>
      </c>
      <c r="AL2229" s="135" t="s">
        <v>252</v>
      </c>
      <c r="AM2229" s="136">
        <f t="shared" si="13"/>
        <v>3696</v>
      </c>
    </row>
    <row r="2230" spans="2:39" ht="20.25" hidden="1" outlineLevel="1">
      <c r="B2230" s="149" t="s">
        <v>1326</v>
      </c>
      <c r="C2230" s="135" t="s">
        <v>1402</v>
      </c>
      <c r="D2230" s="152" t="s">
        <v>1403</v>
      </c>
      <c r="E2230" s="137" t="s">
        <v>44</v>
      </c>
      <c r="F2230" s="138" t="s">
        <v>45</v>
      </c>
      <c r="G2230" s="136"/>
      <c r="H2230" s="136"/>
      <c r="I2230" s="136"/>
      <c r="J2230" s="136"/>
      <c r="K2230" s="136"/>
      <c r="L2230" s="136"/>
      <c r="M2230" s="136">
        <v>25713</v>
      </c>
      <c r="N2230" s="136">
        <v>24694</v>
      </c>
      <c r="O2230" s="136">
        <v>2300</v>
      </c>
      <c r="P2230" s="135" t="s">
        <v>252</v>
      </c>
      <c r="Q2230" s="136">
        <v>1946</v>
      </c>
      <c r="R2230" s="135" t="s">
        <v>252</v>
      </c>
      <c r="S2230" s="136">
        <v>1625</v>
      </c>
      <c r="T2230" s="135" t="s">
        <v>252</v>
      </c>
      <c r="U2230" s="136">
        <v>2387</v>
      </c>
      <c r="V2230" s="135" t="s">
        <v>252</v>
      </c>
      <c r="W2230" s="136">
        <v>1322</v>
      </c>
      <c r="X2230" s="135" t="s">
        <v>252</v>
      </c>
      <c r="Y2230" s="136">
        <v>1034</v>
      </c>
      <c r="Z2230" s="135" t="s">
        <v>252</v>
      </c>
      <c r="AA2230" s="136">
        <v>787</v>
      </c>
      <c r="AB2230" s="135" t="s">
        <v>252</v>
      </c>
      <c r="AC2230" s="136">
        <v>903</v>
      </c>
      <c r="AD2230" s="135" t="s">
        <v>252</v>
      </c>
      <c r="AE2230" s="136">
        <v>1337</v>
      </c>
      <c r="AF2230" s="135" t="s">
        <v>252</v>
      </c>
      <c r="AG2230" s="136">
        <v>1338</v>
      </c>
      <c r="AH2230" s="135" t="s">
        <v>252</v>
      </c>
      <c r="AI2230" s="136">
        <v>2375</v>
      </c>
      <c r="AJ2230" s="135" t="s">
        <v>252</v>
      </c>
      <c r="AK2230" s="136">
        <v>2414</v>
      </c>
      <c r="AL2230" s="135" t="s">
        <v>252</v>
      </c>
      <c r="AM2230" s="136">
        <f t="shared" si="13"/>
        <v>19768</v>
      </c>
    </row>
    <row r="2231" spans="2:39" ht="20.25" hidden="1" outlineLevel="1">
      <c r="B2231" s="149" t="s">
        <v>1395</v>
      </c>
      <c r="C2231" s="136" t="s">
        <v>1418</v>
      </c>
      <c r="D2231" s="152"/>
      <c r="E2231" s="137" t="s">
        <v>44</v>
      </c>
      <c r="F2231" s="144" t="s">
        <v>45</v>
      </c>
      <c r="G2231" s="136"/>
      <c r="H2231" s="136"/>
      <c r="I2231" s="136"/>
      <c r="J2231" s="136"/>
      <c r="K2231" s="136"/>
      <c r="L2231" s="136"/>
      <c r="M2231" s="136"/>
      <c r="N2231" s="136"/>
      <c r="O2231" s="136"/>
      <c r="P2231" s="135"/>
      <c r="Q2231" s="136"/>
      <c r="R2231" s="135"/>
      <c r="S2231" s="136"/>
      <c r="T2231" s="135"/>
      <c r="U2231" s="136"/>
      <c r="V2231" s="135"/>
      <c r="W2231" s="136"/>
      <c r="X2231" s="135"/>
      <c r="Y2231" s="136"/>
      <c r="Z2231" s="135"/>
      <c r="AA2231" s="136"/>
      <c r="AB2231" s="135"/>
      <c r="AC2231" s="136"/>
      <c r="AD2231" s="135"/>
      <c r="AE2231" s="136"/>
      <c r="AF2231" s="135"/>
      <c r="AG2231" s="136"/>
      <c r="AH2231" s="135"/>
      <c r="AI2231" s="136"/>
      <c r="AJ2231" s="135"/>
      <c r="AK2231" s="136"/>
      <c r="AL2231" s="135"/>
      <c r="AM2231" s="136">
        <f t="shared" si="13"/>
        <v>0</v>
      </c>
    </row>
    <row r="2232" spans="2:39" ht="40.5" hidden="1" outlineLevel="1">
      <c r="B2232" s="149" t="s">
        <v>1327</v>
      </c>
      <c r="C2232" s="136" t="s">
        <v>1419</v>
      </c>
      <c r="D2232" s="152"/>
      <c r="E2232" s="137" t="s">
        <v>44</v>
      </c>
      <c r="F2232" s="144" t="s">
        <v>45</v>
      </c>
      <c r="G2232" s="136"/>
      <c r="H2232" s="136"/>
      <c r="I2232" s="136"/>
      <c r="J2232" s="136"/>
      <c r="K2232" s="136"/>
      <c r="L2232" s="136"/>
      <c r="M2232" s="136"/>
      <c r="N2232" s="136"/>
      <c r="O2232" s="136"/>
      <c r="P2232" s="135"/>
      <c r="Q2232" s="136"/>
      <c r="R2232" s="135"/>
      <c r="S2232" s="136"/>
      <c r="T2232" s="135"/>
      <c r="U2232" s="136"/>
      <c r="V2232" s="135"/>
      <c r="W2232" s="136"/>
      <c r="X2232" s="135"/>
      <c r="Y2232" s="136"/>
      <c r="Z2232" s="135"/>
      <c r="AA2232" s="136"/>
      <c r="AB2232" s="135"/>
      <c r="AC2232" s="136"/>
      <c r="AD2232" s="135"/>
      <c r="AE2232" s="136"/>
      <c r="AF2232" s="135"/>
      <c r="AG2232" s="136"/>
      <c r="AH2232" s="135"/>
      <c r="AI2232" s="136"/>
      <c r="AJ2232" s="135"/>
      <c r="AK2232" s="136"/>
      <c r="AL2232" s="135"/>
      <c r="AM2232" s="136">
        <f t="shared" si="13"/>
        <v>0</v>
      </c>
    </row>
    <row r="2233" spans="2:39" ht="20.25" hidden="1" outlineLevel="1">
      <c r="B2233" s="149" t="s">
        <v>1328</v>
      </c>
      <c r="C2233" s="135" t="s">
        <v>1402</v>
      </c>
      <c r="D2233" s="152" t="s">
        <v>1403</v>
      </c>
      <c r="E2233" s="137" t="s">
        <v>44</v>
      </c>
      <c r="F2233" s="138" t="s">
        <v>45</v>
      </c>
      <c r="G2233" s="136"/>
      <c r="H2233" s="136"/>
      <c r="I2233" s="136"/>
      <c r="J2233" s="136"/>
      <c r="K2233" s="136"/>
      <c r="L2233" s="136"/>
      <c r="M2233" s="136">
        <v>5274</v>
      </c>
      <c r="N2233" s="136">
        <v>4846</v>
      </c>
      <c r="O2233" s="136">
        <v>649</v>
      </c>
      <c r="P2233" s="135" t="s">
        <v>252</v>
      </c>
      <c r="Q2233" s="136">
        <v>421</v>
      </c>
      <c r="R2233" s="135" t="s">
        <v>252</v>
      </c>
      <c r="S2233" s="136">
        <v>338</v>
      </c>
      <c r="T2233" s="135" t="s">
        <v>252</v>
      </c>
      <c r="U2233" s="136">
        <v>505</v>
      </c>
      <c r="V2233" s="135" t="s">
        <v>252</v>
      </c>
      <c r="W2233" s="136">
        <v>382</v>
      </c>
      <c r="X2233" s="135" t="s">
        <v>252</v>
      </c>
      <c r="Y2233" s="136">
        <v>345</v>
      </c>
      <c r="Z2233" s="135" t="s">
        <v>252</v>
      </c>
      <c r="AA2233" s="136">
        <v>330</v>
      </c>
      <c r="AB2233" s="135" t="s">
        <v>252</v>
      </c>
      <c r="AC2233" s="136">
        <v>294</v>
      </c>
      <c r="AD2233" s="135" t="s">
        <v>252</v>
      </c>
      <c r="AE2233" s="136">
        <v>420</v>
      </c>
      <c r="AF2233" s="135" t="s">
        <v>252</v>
      </c>
      <c r="AG2233" s="136">
        <v>439</v>
      </c>
      <c r="AH2233" s="135" t="s">
        <v>252</v>
      </c>
      <c r="AI2233" s="136">
        <v>567</v>
      </c>
      <c r="AJ2233" s="135" t="s">
        <v>252</v>
      </c>
      <c r="AK2233" s="136">
        <v>542</v>
      </c>
      <c r="AL2233" s="135" t="s">
        <v>252</v>
      </c>
      <c r="AM2233" s="136">
        <f t="shared" si="13"/>
        <v>5232</v>
      </c>
    </row>
    <row r="2234" spans="2:39" ht="20.25" hidden="1" outlineLevel="1">
      <c r="B2234" s="149" t="s">
        <v>1329</v>
      </c>
      <c r="C2234" s="135" t="s">
        <v>1402</v>
      </c>
      <c r="D2234" s="152" t="s">
        <v>1403</v>
      </c>
      <c r="E2234" s="137" t="s">
        <v>44</v>
      </c>
      <c r="F2234" s="138" t="s">
        <v>45</v>
      </c>
      <c r="G2234" s="136"/>
      <c r="H2234" s="136"/>
      <c r="I2234" s="136"/>
      <c r="J2234" s="136"/>
      <c r="K2234" s="136"/>
      <c r="L2234" s="136"/>
      <c r="M2234" s="136">
        <v>3603</v>
      </c>
      <c r="N2234" s="136">
        <v>3634</v>
      </c>
      <c r="O2234" s="136">
        <v>367</v>
      </c>
      <c r="P2234" s="135" t="s">
        <v>252</v>
      </c>
      <c r="Q2234" s="136">
        <v>297</v>
      </c>
      <c r="R2234" s="135" t="s">
        <v>252</v>
      </c>
      <c r="S2234" s="136">
        <v>232</v>
      </c>
      <c r="T2234" s="135" t="s">
        <v>252</v>
      </c>
      <c r="U2234" s="136">
        <v>320</v>
      </c>
      <c r="V2234" s="135" t="s">
        <v>252</v>
      </c>
      <c r="W2234" s="136">
        <v>234</v>
      </c>
      <c r="X2234" s="135" t="s">
        <v>252</v>
      </c>
      <c r="Y2234" s="136">
        <v>222</v>
      </c>
      <c r="Z2234" s="135" t="s">
        <v>252</v>
      </c>
      <c r="AA2234" s="136">
        <v>154</v>
      </c>
      <c r="AB2234" s="135" t="s">
        <v>252</v>
      </c>
      <c r="AC2234" s="136">
        <v>262</v>
      </c>
      <c r="AD2234" s="135" t="s">
        <v>252</v>
      </c>
      <c r="AE2234" s="136">
        <v>251</v>
      </c>
      <c r="AF2234" s="135" t="s">
        <v>252</v>
      </c>
      <c r="AG2234" s="136">
        <v>282</v>
      </c>
      <c r="AH2234" s="135" t="s">
        <v>252</v>
      </c>
      <c r="AI2234" s="136">
        <v>387</v>
      </c>
      <c r="AJ2234" s="135" t="s">
        <v>252</v>
      </c>
      <c r="AK2234" s="136">
        <v>345</v>
      </c>
      <c r="AL2234" s="135" t="s">
        <v>252</v>
      </c>
      <c r="AM2234" s="136">
        <f t="shared" si="13"/>
        <v>3353</v>
      </c>
    </row>
    <row r="2235" spans="2:39" ht="20.25" hidden="1" outlineLevel="1">
      <c r="B2235" s="149" t="s">
        <v>1330</v>
      </c>
      <c r="C2235" s="135" t="s">
        <v>1402</v>
      </c>
      <c r="D2235" s="152" t="s">
        <v>1403</v>
      </c>
      <c r="E2235" s="137" t="s">
        <v>44</v>
      </c>
      <c r="F2235" s="138" t="s">
        <v>45</v>
      </c>
      <c r="G2235" s="136"/>
      <c r="H2235" s="136"/>
      <c r="I2235" s="136"/>
      <c r="J2235" s="136"/>
      <c r="K2235" s="136"/>
      <c r="L2235" s="136"/>
      <c r="M2235" s="136">
        <v>4101</v>
      </c>
      <c r="N2235" s="136">
        <v>3331</v>
      </c>
      <c r="O2235" s="136">
        <v>480</v>
      </c>
      <c r="P2235" s="135" t="s">
        <v>252</v>
      </c>
      <c r="Q2235" s="136">
        <v>298</v>
      </c>
      <c r="R2235" s="135" t="s">
        <v>252</v>
      </c>
      <c r="S2235" s="136">
        <v>185</v>
      </c>
      <c r="T2235" s="135" t="s">
        <v>252</v>
      </c>
      <c r="U2235" s="136">
        <v>227</v>
      </c>
      <c r="V2235" s="135" t="s">
        <v>252</v>
      </c>
      <c r="W2235" s="136">
        <v>128</v>
      </c>
      <c r="X2235" s="135" t="s">
        <v>252</v>
      </c>
      <c r="Y2235" s="136">
        <v>109</v>
      </c>
      <c r="Z2235" s="135" t="s">
        <v>252</v>
      </c>
      <c r="AA2235" s="136">
        <v>120</v>
      </c>
      <c r="AB2235" s="135" t="s">
        <v>252</v>
      </c>
      <c r="AC2235" s="136">
        <v>59</v>
      </c>
      <c r="AD2235" s="135" t="s">
        <v>252</v>
      </c>
      <c r="AE2235" s="136">
        <v>192</v>
      </c>
      <c r="AF2235" s="135" t="s">
        <v>252</v>
      </c>
      <c r="AG2235" s="136">
        <v>240</v>
      </c>
      <c r="AH2235" s="135" t="s">
        <v>252</v>
      </c>
      <c r="AI2235" s="136">
        <v>315</v>
      </c>
      <c r="AJ2235" s="135" t="s">
        <v>252</v>
      </c>
      <c r="AK2235" s="136">
        <v>323</v>
      </c>
      <c r="AL2235" s="135" t="s">
        <v>252</v>
      </c>
      <c r="AM2235" s="136">
        <f t="shared" si="13"/>
        <v>2676</v>
      </c>
    </row>
    <row r="2236" spans="2:39" ht="20.25" hidden="1" outlineLevel="1">
      <c r="B2236" s="149" t="s">
        <v>1331</v>
      </c>
      <c r="C2236" s="135" t="s">
        <v>1402</v>
      </c>
      <c r="D2236" s="152" t="s">
        <v>1403</v>
      </c>
      <c r="E2236" s="137" t="s">
        <v>44</v>
      </c>
      <c r="F2236" s="138" t="s">
        <v>45</v>
      </c>
      <c r="G2236" s="136"/>
      <c r="H2236" s="136"/>
      <c r="I2236" s="136"/>
      <c r="J2236" s="136"/>
      <c r="K2236" s="136"/>
      <c r="L2236" s="136"/>
      <c r="M2236" s="136">
        <v>12887</v>
      </c>
      <c r="N2236" s="136">
        <v>9068</v>
      </c>
      <c r="O2236" s="136">
        <v>763</v>
      </c>
      <c r="P2236" s="135" t="s">
        <v>252</v>
      </c>
      <c r="Q2236" s="136">
        <v>698</v>
      </c>
      <c r="R2236" s="135" t="s">
        <v>252</v>
      </c>
      <c r="S2236" s="136">
        <v>559</v>
      </c>
      <c r="T2236" s="135" t="s">
        <v>252</v>
      </c>
      <c r="U2236" s="136">
        <v>823</v>
      </c>
      <c r="V2236" s="135" t="s">
        <v>252</v>
      </c>
      <c r="W2236" s="136">
        <v>571</v>
      </c>
      <c r="X2236" s="135" t="s">
        <v>252</v>
      </c>
      <c r="Y2236" s="136">
        <v>566</v>
      </c>
      <c r="Z2236" s="135" t="s">
        <v>252</v>
      </c>
      <c r="AA2236" s="136">
        <v>567</v>
      </c>
      <c r="AB2236" s="135" t="s">
        <v>252</v>
      </c>
      <c r="AC2236" s="136">
        <v>499</v>
      </c>
      <c r="AD2236" s="135" t="s">
        <v>252</v>
      </c>
      <c r="AE2236" s="136">
        <v>561</v>
      </c>
      <c r="AF2236" s="135" t="s">
        <v>252</v>
      </c>
      <c r="AG2236" s="136">
        <v>617</v>
      </c>
      <c r="AH2236" s="135" t="s">
        <v>252</v>
      </c>
      <c r="AI2236" s="136">
        <v>780</v>
      </c>
      <c r="AJ2236" s="135" t="s">
        <v>252</v>
      </c>
      <c r="AK2236" s="136">
        <v>726</v>
      </c>
      <c r="AL2236" s="135" t="s">
        <v>252</v>
      </c>
      <c r="AM2236" s="136">
        <f t="shared" si="13"/>
        <v>7730</v>
      </c>
    </row>
    <row r="2237" spans="2:39" ht="20.25" hidden="1" outlineLevel="1">
      <c r="B2237" s="149" t="s">
        <v>1332</v>
      </c>
      <c r="C2237" s="135" t="s">
        <v>1402</v>
      </c>
      <c r="D2237" s="152" t="s">
        <v>1403</v>
      </c>
      <c r="E2237" s="137" t="s">
        <v>44</v>
      </c>
      <c r="F2237" s="138" t="s">
        <v>45</v>
      </c>
      <c r="G2237" s="136"/>
      <c r="H2237" s="136"/>
      <c r="I2237" s="136"/>
      <c r="J2237" s="136"/>
      <c r="K2237" s="136"/>
      <c r="L2237" s="136"/>
      <c r="M2237" s="136">
        <v>9556</v>
      </c>
      <c r="N2237" s="136">
        <v>6684</v>
      </c>
      <c r="O2237" s="136">
        <v>865</v>
      </c>
      <c r="P2237" s="135" t="s">
        <v>252</v>
      </c>
      <c r="Q2237" s="136">
        <v>600</v>
      </c>
      <c r="R2237" s="135" t="s">
        <v>252</v>
      </c>
      <c r="S2237" s="136">
        <v>463</v>
      </c>
      <c r="T2237" s="135" t="s">
        <v>252</v>
      </c>
      <c r="U2237" s="136">
        <v>813</v>
      </c>
      <c r="V2237" s="135" t="s">
        <v>252</v>
      </c>
      <c r="W2237" s="136">
        <v>581</v>
      </c>
      <c r="X2237" s="135" t="s">
        <v>252</v>
      </c>
      <c r="Y2237" s="136">
        <v>649</v>
      </c>
      <c r="Z2237" s="135" t="s">
        <v>252</v>
      </c>
      <c r="AA2237" s="136">
        <v>418</v>
      </c>
      <c r="AB2237" s="135" t="s">
        <v>252</v>
      </c>
      <c r="AC2237" s="136">
        <v>703</v>
      </c>
      <c r="AD2237" s="135" t="s">
        <v>252</v>
      </c>
      <c r="AE2237" s="136">
        <v>705</v>
      </c>
      <c r="AF2237" s="135" t="s">
        <v>252</v>
      </c>
      <c r="AG2237" s="136">
        <v>678</v>
      </c>
      <c r="AH2237" s="135" t="s">
        <v>252</v>
      </c>
      <c r="AI2237" s="136">
        <v>629</v>
      </c>
      <c r="AJ2237" s="135" t="s">
        <v>252</v>
      </c>
      <c r="AK2237" s="136">
        <v>1282</v>
      </c>
      <c r="AL2237" s="135" t="s">
        <v>252</v>
      </c>
      <c r="AM2237" s="136">
        <f t="shared" si="13"/>
        <v>8386</v>
      </c>
    </row>
    <row r="2238" spans="2:39" ht="20.25" hidden="1" outlineLevel="1">
      <c r="B2238" s="149" t="s">
        <v>1333</v>
      </c>
      <c r="C2238" s="135" t="s">
        <v>1402</v>
      </c>
      <c r="D2238" s="152" t="s">
        <v>1403</v>
      </c>
      <c r="E2238" s="137" t="s">
        <v>44</v>
      </c>
      <c r="F2238" s="138" t="s">
        <v>45</v>
      </c>
      <c r="G2238" s="136"/>
      <c r="H2238" s="136"/>
      <c r="I2238" s="136"/>
      <c r="J2238" s="136"/>
      <c r="K2238" s="136"/>
      <c r="L2238" s="136"/>
      <c r="M2238" s="136">
        <v>6017</v>
      </c>
      <c r="N2238" s="136">
        <v>4658</v>
      </c>
      <c r="O2238" s="136">
        <v>755</v>
      </c>
      <c r="P2238" s="135" t="s">
        <v>252</v>
      </c>
      <c r="Q2238" s="136">
        <v>363</v>
      </c>
      <c r="R2238" s="135" t="s">
        <v>252</v>
      </c>
      <c r="S2238" s="136">
        <v>229</v>
      </c>
      <c r="T2238" s="135" t="s">
        <v>252</v>
      </c>
      <c r="U2238" s="136">
        <v>299</v>
      </c>
      <c r="V2238" s="135" t="s">
        <v>252</v>
      </c>
      <c r="W2238" s="136">
        <v>216</v>
      </c>
      <c r="X2238" s="135" t="s">
        <v>252</v>
      </c>
      <c r="Y2238" s="136">
        <v>220</v>
      </c>
      <c r="Z2238" s="135" t="s">
        <v>252</v>
      </c>
      <c r="AA2238" s="136">
        <v>192</v>
      </c>
      <c r="AB2238" s="135" t="s">
        <v>252</v>
      </c>
      <c r="AC2238" s="136">
        <v>183</v>
      </c>
      <c r="AD2238" s="135" t="s">
        <v>252</v>
      </c>
      <c r="AE2238" s="136">
        <v>244</v>
      </c>
      <c r="AF2238" s="135" t="s">
        <v>252</v>
      </c>
      <c r="AG2238" s="136">
        <v>276</v>
      </c>
      <c r="AH2238" s="135" t="s">
        <v>252</v>
      </c>
      <c r="AI2238" s="136">
        <v>381</v>
      </c>
      <c r="AJ2238" s="135" t="s">
        <v>252</v>
      </c>
      <c r="AK2238" s="136">
        <v>433</v>
      </c>
      <c r="AL2238" s="135" t="s">
        <v>252</v>
      </c>
      <c r="AM2238" s="136">
        <f t="shared" si="13"/>
        <v>3791</v>
      </c>
    </row>
    <row r="2239" spans="2:39" ht="20.25" hidden="1" outlineLevel="1">
      <c r="B2239" s="149" t="s">
        <v>1334</v>
      </c>
      <c r="C2239" s="135" t="s">
        <v>1402</v>
      </c>
      <c r="D2239" s="152" t="s">
        <v>1403</v>
      </c>
      <c r="E2239" s="137" t="s">
        <v>44</v>
      </c>
      <c r="F2239" s="138" t="s">
        <v>45</v>
      </c>
      <c r="G2239" s="136"/>
      <c r="H2239" s="136"/>
      <c r="I2239" s="136"/>
      <c r="J2239" s="136"/>
      <c r="K2239" s="136"/>
      <c r="L2239" s="136"/>
      <c r="M2239" s="136">
        <v>8403</v>
      </c>
      <c r="N2239" s="136">
        <v>8191</v>
      </c>
      <c r="O2239" s="136">
        <v>974</v>
      </c>
      <c r="P2239" s="135" t="s">
        <v>252</v>
      </c>
      <c r="Q2239" s="136">
        <v>776</v>
      </c>
      <c r="R2239" s="135" t="s">
        <v>252</v>
      </c>
      <c r="S2239" s="136">
        <v>537</v>
      </c>
      <c r="T2239" s="135" t="s">
        <v>252</v>
      </c>
      <c r="U2239" s="136">
        <v>746</v>
      </c>
      <c r="V2239" s="135" t="s">
        <v>252</v>
      </c>
      <c r="W2239" s="136">
        <v>636</v>
      </c>
      <c r="X2239" s="135" t="s">
        <v>252</v>
      </c>
      <c r="Y2239" s="136">
        <v>574</v>
      </c>
      <c r="Z2239" s="135" t="s">
        <v>252</v>
      </c>
      <c r="AA2239" s="136">
        <v>500</v>
      </c>
      <c r="AB2239" s="135" t="s">
        <v>252</v>
      </c>
      <c r="AC2239" s="136">
        <v>646</v>
      </c>
      <c r="AD2239" s="135" t="s">
        <v>252</v>
      </c>
      <c r="AE2239" s="136">
        <v>667</v>
      </c>
      <c r="AF2239" s="135" t="s">
        <v>252</v>
      </c>
      <c r="AG2239" s="136">
        <v>655</v>
      </c>
      <c r="AH2239" s="135" t="s">
        <v>252</v>
      </c>
      <c r="AI2239" s="136">
        <v>755</v>
      </c>
      <c r="AJ2239" s="135" t="s">
        <v>252</v>
      </c>
      <c r="AK2239" s="136">
        <v>663</v>
      </c>
      <c r="AL2239" s="135" t="s">
        <v>252</v>
      </c>
      <c r="AM2239" s="136">
        <f t="shared" si="13"/>
        <v>8129</v>
      </c>
    </row>
    <row r="2240" spans="2:39" ht="20.25" hidden="1" outlineLevel="1">
      <c r="B2240" s="149" t="s">
        <v>1335</v>
      </c>
      <c r="C2240" s="135" t="s">
        <v>1402</v>
      </c>
      <c r="D2240" s="152" t="s">
        <v>1403</v>
      </c>
      <c r="E2240" s="137" t="s">
        <v>44</v>
      </c>
      <c r="F2240" s="138" t="s">
        <v>45</v>
      </c>
      <c r="G2240" s="136"/>
      <c r="H2240" s="136"/>
      <c r="I2240" s="136"/>
      <c r="J2240" s="136"/>
      <c r="K2240" s="136"/>
      <c r="L2240" s="136"/>
      <c r="M2240" s="136">
        <v>2995</v>
      </c>
      <c r="N2240" s="136">
        <v>1652</v>
      </c>
      <c r="O2240" s="136">
        <v>182</v>
      </c>
      <c r="P2240" s="135" t="s">
        <v>252</v>
      </c>
      <c r="Q2240" s="136">
        <v>53</v>
      </c>
      <c r="R2240" s="135" t="s">
        <v>252</v>
      </c>
      <c r="S2240" s="136">
        <v>34</v>
      </c>
      <c r="T2240" s="135" t="s">
        <v>252</v>
      </c>
      <c r="U2240" s="136">
        <v>110</v>
      </c>
      <c r="V2240" s="135" t="s">
        <v>252</v>
      </c>
      <c r="W2240" s="136">
        <v>55</v>
      </c>
      <c r="X2240" s="135" t="s">
        <v>252</v>
      </c>
      <c r="Y2240" s="136">
        <v>49</v>
      </c>
      <c r="Z2240" s="135" t="s">
        <v>252</v>
      </c>
      <c r="AA2240" s="136">
        <v>51</v>
      </c>
      <c r="AB2240" s="135" t="s">
        <v>252</v>
      </c>
      <c r="AC2240" s="136">
        <v>67</v>
      </c>
      <c r="AD2240" s="135" t="s">
        <v>252</v>
      </c>
      <c r="AE2240" s="136">
        <v>78</v>
      </c>
      <c r="AF2240" s="135" t="s">
        <v>252</v>
      </c>
      <c r="AG2240" s="136">
        <v>119</v>
      </c>
      <c r="AH2240" s="135" t="s">
        <v>252</v>
      </c>
      <c r="AI2240" s="136">
        <v>177</v>
      </c>
      <c r="AJ2240" s="135" t="s">
        <v>252</v>
      </c>
      <c r="AK2240" s="136">
        <v>186</v>
      </c>
      <c r="AL2240" s="135" t="s">
        <v>252</v>
      </c>
      <c r="AM2240" s="136">
        <f t="shared" si="13"/>
        <v>1161</v>
      </c>
    </row>
    <row r="2241" spans="2:39" ht="20.25" hidden="1" outlineLevel="1">
      <c r="B2241" s="149" t="s">
        <v>1336</v>
      </c>
      <c r="C2241" s="135" t="s">
        <v>1402</v>
      </c>
      <c r="D2241" s="152" t="s">
        <v>1403</v>
      </c>
      <c r="E2241" s="143" t="s">
        <v>138</v>
      </c>
      <c r="F2241" s="138" t="s">
        <v>45</v>
      </c>
      <c r="G2241" s="136"/>
      <c r="H2241" s="136"/>
      <c r="I2241" s="136"/>
      <c r="J2241" s="136"/>
      <c r="K2241" s="136"/>
      <c r="L2241" s="136"/>
      <c r="M2241" s="136">
        <v>4236</v>
      </c>
      <c r="N2241" s="136">
        <v>4699</v>
      </c>
      <c r="O2241" s="136">
        <v>330</v>
      </c>
      <c r="P2241" s="135" t="s">
        <v>252</v>
      </c>
      <c r="Q2241" s="136">
        <v>370</v>
      </c>
      <c r="R2241" s="135" t="s">
        <v>252</v>
      </c>
      <c r="S2241" s="136">
        <v>316</v>
      </c>
      <c r="T2241" s="135" t="s">
        <v>252</v>
      </c>
      <c r="U2241" s="136">
        <v>415</v>
      </c>
      <c r="V2241" s="135" t="s">
        <v>252</v>
      </c>
      <c r="W2241" s="136">
        <v>358</v>
      </c>
      <c r="X2241" s="135" t="s">
        <v>252</v>
      </c>
      <c r="Y2241" s="136">
        <v>377</v>
      </c>
      <c r="Z2241" s="135" t="s">
        <v>252</v>
      </c>
      <c r="AA2241" s="136">
        <v>322</v>
      </c>
      <c r="AB2241" s="135" t="s">
        <v>252</v>
      </c>
      <c r="AC2241" s="136">
        <v>314</v>
      </c>
      <c r="AD2241" s="135" t="s">
        <v>252</v>
      </c>
      <c r="AE2241" s="136">
        <v>359</v>
      </c>
      <c r="AF2241" s="135" t="s">
        <v>252</v>
      </c>
      <c r="AG2241" s="136">
        <v>359</v>
      </c>
      <c r="AH2241" s="135" t="s">
        <v>252</v>
      </c>
      <c r="AI2241" s="136">
        <v>316</v>
      </c>
      <c r="AJ2241" s="135" t="s">
        <v>252</v>
      </c>
      <c r="AK2241" s="136">
        <v>372</v>
      </c>
      <c r="AL2241" s="135" t="s">
        <v>252</v>
      </c>
      <c r="AM2241" s="136">
        <f t="shared" si="13"/>
        <v>4208</v>
      </c>
    </row>
    <row r="2242" spans="2:39" ht="20.25" hidden="1" outlineLevel="1">
      <c r="B2242" s="149" t="s">
        <v>1336</v>
      </c>
      <c r="C2242" s="135" t="s">
        <v>1402</v>
      </c>
      <c r="D2242" s="152" t="s">
        <v>1403</v>
      </c>
      <c r="E2242" s="137" t="s">
        <v>44</v>
      </c>
      <c r="F2242" s="144" t="s">
        <v>45</v>
      </c>
      <c r="G2242" s="136"/>
      <c r="H2242" s="136"/>
      <c r="I2242" s="136"/>
      <c r="J2242" s="136"/>
      <c r="K2242" s="136"/>
      <c r="L2242" s="136"/>
      <c r="M2242" s="136">
        <v>7546</v>
      </c>
      <c r="N2242" s="136">
        <v>7734</v>
      </c>
      <c r="O2242" s="136">
        <v>718</v>
      </c>
      <c r="P2242" s="135" t="s">
        <v>252</v>
      </c>
      <c r="Q2242" s="136">
        <v>723</v>
      </c>
      <c r="R2242" s="135" t="s">
        <v>252</v>
      </c>
      <c r="S2242" s="136">
        <v>609</v>
      </c>
      <c r="T2242" s="135" t="s">
        <v>252</v>
      </c>
      <c r="U2242" s="136">
        <v>840</v>
      </c>
      <c r="V2242" s="135" t="s">
        <v>252</v>
      </c>
      <c r="W2242" s="136">
        <v>934</v>
      </c>
      <c r="X2242" s="135" t="s">
        <v>252</v>
      </c>
      <c r="Y2242" s="136">
        <v>796</v>
      </c>
      <c r="Z2242" s="135" t="s">
        <v>252</v>
      </c>
      <c r="AA2242" s="136">
        <v>529</v>
      </c>
      <c r="AB2242" s="135" t="s">
        <v>252</v>
      </c>
      <c r="AC2242" s="136">
        <v>495</v>
      </c>
      <c r="AD2242" s="135" t="s">
        <v>252</v>
      </c>
      <c r="AE2242" s="136">
        <v>739</v>
      </c>
      <c r="AF2242" s="135" t="s">
        <v>252</v>
      </c>
      <c r="AG2242" s="136">
        <v>568</v>
      </c>
      <c r="AH2242" s="135" t="s">
        <v>252</v>
      </c>
      <c r="AI2242" s="136">
        <v>857</v>
      </c>
      <c r="AJ2242" s="135" t="s">
        <v>252</v>
      </c>
      <c r="AK2242" s="136">
        <v>1047</v>
      </c>
      <c r="AL2242" s="135" t="s">
        <v>252</v>
      </c>
      <c r="AM2242" s="136">
        <f t="shared" si="13"/>
        <v>8855</v>
      </c>
    </row>
    <row r="2243" spans="2:39" ht="20.25" hidden="1" outlineLevel="1">
      <c r="B2243" s="149" t="s">
        <v>1337</v>
      </c>
      <c r="C2243" s="135" t="s">
        <v>1402</v>
      </c>
      <c r="D2243" s="152" t="s">
        <v>1403</v>
      </c>
      <c r="E2243" s="137" t="s">
        <v>44</v>
      </c>
      <c r="F2243" s="144" t="s">
        <v>45</v>
      </c>
      <c r="G2243" s="136"/>
      <c r="H2243" s="136"/>
      <c r="I2243" s="136"/>
      <c r="J2243" s="136"/>
      <c r="K2243" s="136"/>
      <c r="L2243" s="136"/>
      <c r="M2243" s="419">
        <v>24188</v>
      </c>
      <c r="N2243" s="419">
        <v>24187</v>
      </c>
      <c r="O2243" s="419">
        <v>1937</v>
      </c>
      <c r="P2243" s="419" t="s">
        <v>252</v>
      </c>
      <c r="Q2243" s="419">
        <v>1559</v>
      </c>
      <c r="R2243" s="419" t="s">
        <v>252</v>
      </c>
      <c r="S2243" s="419">
        <v>1103</v>
      </c>
      <c r="T2243" s="419" t="s">
        <v>252</v>
      </c>
      <c r="U2243" s="419">
        <v>1425</v>
      </c>
      <c r="V2243" s="419" t="s">
        <v>252</v>
      </c>
      <c r="W2243" s="419">
        <v>1291</v>
      </c>
      <c r="X2243" s="419" t="s">
        <v>252</v>
      </c>
      <c r="Y2243" s="419">
        <v>1188</v>
      </c>
      <c r="Z2243" s="419" t="s">
        <v>252</v>
      </c>
      <c r="AA2243" s="419">
        <v>1201</v>
      </c>
      <c r="AB2243" s="419" t="s">
        <v>252</v>
      </c>
      <c r="AC2243" s="419">
        <v>1169</v>
      </c>
      <c r="AD2243" s="419" t="s">
        <v>252</v>
      </c>
      <c r="AE2243" s="419">
        <v>1697</v>
      </c>
      <c r="AF2243" s="419" t="s">
        <v>252</v>
      </c>
      <c r="AG2243" s="419">
        <v>1524</v>
      </c>
      <c r="AH2243" s="419" t="s">
        <v>252</v>
      </c>
      <c r="AI2243" s="419">
        <v>1827</v>
      </c>
      <c r="AJ2243" s="419" t="s">
        <v>252</v>
      </c>
      <c r="AK2243" s="417">
        <v>1891</v>
      </c>
      <c r="AL2243" s="419" t="s">
        <v>252</v>
      </c>
      <c r="AM2243" s="417">
        <f t="shared" si="13"/>
        <v>17812</v>
      </c>
    </row>
    <row r="2244" spans="2:39" ht="20.25" hidden="1" outlineLevel="1">
      <c r="B2244" s="149" t="s">
        <v>1338</v>
      </c>
      <c r="C2244" s="135" t="s">
        <v>1402</v>
      </c>
      <c r="D2244" s="152" t="s">
        <v>1403</v>
      </c>
      <c r="E2244" s="137" t="s">
        <v>44</v>
      </c>
      <c r="F2244" s="138" t="s">
        <v>45</v>
      </c>
      <c r="G2244" s="136"/>
      <c r="H2244" s="136"/>
      <c r="I2244" s="136"/>
      <c r="J2244" s="136"/>
      <c r="K2244" s="136"/>
      <c r="L2244" s="136"/>
      <c r="M2244" s="420"/>
      <c r="N2244" s="420"/>
      <c r="O2244" s="420"/>
      <c r="P2244" s="420"/>
      <c r="Q2244" s="420"/>
      <c r="R2244" s="420"/>
      <c r="S2244" s="420"/>
      <c r="T2244" s="420"/>
      <c r="U2244" s="420"/>
      <c r="V2244" s="420"/>
      <c r="W2244" s="420"/>
      <c r="X2244" s="420"/>
      <c r="Y2244" s="420"/>
      <c r="Z2244" s="420"/>
      <c r="AA2244" s="420"/>
      <c r="AB2244" s="420"/>
      <c r="AC2244" s="420"/>
      <c r="AD2244" s="420"/>
      <c r="AE2244" s="420"/>
      <c r="AF2244" s="420"/>
      <c r="AG2244" s="420"/>
      <c r="AH2244" s="420"/>
      <c r="AI2244" s="420"/>
      <c r="AJ2244" s="420"/>
      <c r="AK2244" s="418"/>
      <c r="AL2244" s="420"/>
      <c r="AM2244" s="418"/>
    </row>
    <row r="2245" spans="2:39" ht="20.25" hidden="1" outlineLevel="1">
      <c r="B2245" s="149" t="s">
        <v>1400</v>
      </c>
      <c r="C2245" s="136" t="s">
        <v>1404</v>
      </c>
      <c r="D2245" s="152" t="s">
        <v>1403</v>
      </c>
      <c r="E2245" s="137" t="s">
        <v>44</v>
      </c>
      <c r="F2245" s="144" t="s">
        <v>45</v>
      </c>
      <c r="G2245" s="136"/>
      <c r="H2245" s="136"/>
      <c r="I2245" s="136"/>
      <c r="J2245" s="136"/>
      <c r="K2245" s="136"/>
      <c r="L2245" s="136"/>
      <c r="M2245" s="136"/>
      <c r="N2245" s="136"/>
      <c r="O2245" s="136"/>
      <c r="P2245" s="135"/>
      <c r="Q2245" s="136"/>
      <c r="R2245" s="135"/>
      <c r="S2245" s="136"/>
      <c r="T2245" s="135"/>
      <c r="U2245" s="136"/>
      <c r="V2245" s="135"/>
      <c r="W2245" s="136"/>
      <c r="X2245" s="135"/>
      <c r="Y2245" s="136"/>
      <c r="Z2245" s="135"/>
      <c r="AA2245" s="136"/>
      <c r="AB2245" s="135"/>
      <c r="AC2245" s="136"/>
      <c r="AD2245" s="135"/>
      <c r="AE2245" s="136"/>
      <c r="AF2245" s="135"/>
      <c r="AG2245" s="136"/>
      <c r="AH2245" s="135"/>
      <c r="AI2245" s="136"/>
      <c r="AJ2245" s="135"/>
      <c r="AK2245" s="136"/>
      <c r="AL2245" s="135"/>
      <c r="AM2245" s="136">
        <f t="shared" si="13"/>
        <v>0</v>
      </c>
    </row>
    <row r="2246" spans="2:39" ht="20.25" hidden="1" outlineLevel="1">
      <c r="B2246" s="149" t="s">
        <v>1401</v>
      </c>
      <c r="C2246" s="135" t="s">
        <v>1402</v>
      </c>
      <c r="D2246" s="152" t="s">
        <v>1403</v>
      </c>
      <c r="E2246" s="137" t="s">
        <v>44</v>
      </c>
      <c r="F2246" s="144" t="s">
        <v>45</v>
      </c>
      <c r="G2246" s="136"/>
      <c r="H2246" s="136"/>
      <c r="I2246" s="136"/>
      <c r="J2246" s="136"/>
      <c r="K2246" s="136"/>
      <c r="L2246" s="136"/>
      <c r="M2246" s="136"/>
      <c r="N2246" s="136"/>
      <c r="O2246" s="136"/>
      <c r="P2246" s="135"/>
      <c r="Q2246" s="136"/>
      <c r="R2246" s="135"/>
      <c r="S2246" s="136"/>
      <c r="T2246" s="135"/>
      <c r="U2246" s="136"/>
      <c r="V2246" s="135"/>
      <c r="W2246" s="136"/>
      <c r="X2246" s="135"/>
      <c r="Y2246" s="136"/>
      <c r="Z2246" s="135"/>
      <c r="AA2246" s="136"/>
      <c r="AB2246" s="135"/>
      <c r="AC2246" s="136"/>
      <c r="AD2246" s="135"/>
      <c r="AE2246" s="136"/>
      <c r="AF2246" s="135"/>
      <c r="AG2246" s="136"/>
      <c r="AH2246" s="135"/>
      <c r="AI2246" s="136"/>
      <c r="AJ2246" s="135"/>
      <c r="AK2246" s="136"/>
      <c r="AL2246" s="135"/>
      <c r="AM2246" s="136">
        <f t="shared" si="13"/>
        <v>0</v>
      </c>
    </row>
    <row r="2247" spans="2:39" ht="20.25" hidden="1" outlineLevel="1">
      <c r="B2247" s="149" t="s">
        <v>1339</v>
      </c>
      <c r="C2247" s="135" t="s">
        <v>1402</v>
      </c>
      <c r="D2247" s="152" t="s">
        <v>1403</v>
      </c>
      <c r="E2247" s="137" t="s">
        <v>44</v>
      </c>
      <c r="F2247" s="138" t="s">
        <v>45</v>
      </c>
      <c r="G2247" s="136"/>
      <c r="H2247" s="136"/>
      <c r="I2247" s="136"/>
      <c r="J2247" s="136"/>
      <c r="K2247" s="136"/>
      <c r="L2247" s="136"/>
      <c r="M2247" s="136">
        <v>15106</v>
      </c>
      <c r="N2247" s="136">
        <v>13163</v>
      </c>
      <c r="O2247" s="136">
        <v>1403</v>
      </c>
      <c r="P2247" s="135" t="s">
        <v>252</v>
      </c>
      <c r="Q2247" s="136">
        <v>1091</v>
      </c>
      <c r="R2247" s="135" t="s">
        <v>252</v>
      </c>
      <c r="S2247" s="136">
        <v>1000</v>
      </c>
      <c r="T2247" s="135" t="s">
        <v>252</v>
      </c>
      <c r="U2247" s="136">
        <v>876</v>
      </c>
      <c r="V2247" s="135" t="s">
        <v>252</v>
      </c>
      <c r="W2247" s="136">
        <v>747</v>
      </c>
      <c r="X2247" s="135" t="s">
        <v>252</v>
      </c>
      <c r="Y2247" s="136">
        <v>568</v>
      </c>
      <c r="Z2247" s="135" t="s">
        <v>252</v>
      </c>
      <c r="AA2247" s="136">
        <v>482</v>
      </c>
      <c r="AB2247" s="135" t="s">
        <v>252</v>
      </c>
      <c r="AC2247" s="136">
        <v>628</v>
      </c>
      <c r="AD2247" s="135" t="s">
        <v>252</v>
      </c>
      <c r="AE2247" s="136">
        <v>865</v>
      </c>
      <c r="AF2247" s="135" t="s">
        <v>252</v>
      </c>
      <c r="AG2247" s="136">
        <v>1183</v>
      </c>
      <c r="AH2247" s="135" t="s">
        <v>252</v>
      </c>
      <c r="AI2247" s="136">
        <v>1074</v>
      </c>
      <c r="AJ2247" s="135" t="s">
        <v>252</v>
      </c>
      <c r="AK2247" s="136">
        <v>1067</v>
      </c>
      <c r="AL2247" s="135" t="s">
        <v>252</v>
      </c>
      <c r="AM2247" s="136">
        <f t="shared" si="13"/>
        <v>10984</v>
      </c>
    </row>
    <row r="2248" spans="2:39" ht="20.25" hidden="1" outlineLevel="1">
      <c r="B2248" s="149" t="s">
        <v>1340</v>
      </c>
      <c r="C2248" s="135" t="s">
        <v>1402</v>
      </c>
      <c r="D2248" s="152" t="s">
        <v>1403</v>
      </c>
      <c r="E2248" s="137" t="s">
        <v>44</v>
      </c>
      <c r="F2248" s="138" t="s">
        <v>45</v>
      </c>
      <c r="G2248" s="136"/>
      <c r="H2248" s="136"/>
      <c r="I2248" s="136"/>
      <c r="J2248" s="136"/>
      <c r="K2248" s="136"/>
      <c r="L2248" s="136"/>
      <c r="M2248" s="136">
        <v>1536</v>
      </c>
      <c r="N2248" s="136">
        <v>1201</v>
      </c>
      <c r="O2248" s="136">
        <v>270</v>
      </c>
      <c r="P2248" s="135" t="s">
        <v>252</v>
      </c>
      <c r="Q2248" s="136">
        <v>215</v>
      </c>
      <c r="R2248" s="135" t="s">
        <v>252</v>
      </c>
      <c r="S2248" s="136">
        <v>157</v>
      </c>
      <c r="T2248" s="135" t="s">
        <v>252</v>
      </c>
      <c r="U2248" s="136">
        <v>162</v>
      </c>
      <c r="V2248" s="135" t="s">
        <v>252</v>
      </c>
      <c r="W2248" s="136">
        <v>117</v>
      </c>
      <c r="X2248" s="135" t="s">
        <v>252</v>
      </c>
      <c r="Y2248" s="136">
        <v>85</v>
      </c>
      <c r="Z2248" s="135" t="s">
        <v>252</v>
      </c>
      <c r="AA2248" s="136">
        <v>61</v>
      </c>
      <c r="AB2248" s="135" t="s">
        <v>252</v>
      </c>
      <c r="AC2248" s="136">
        <v>277</v>
      </c>
      <c r="AD2248" s="135" t="s">
        <v>252</v>
      </c>
      <c r="AE2248" s="136">
        <v>242</v>
      </c>
      <c r="AF2248" s="135" t="s">
        <v>252</v>
      </c>
      <c r="AG2248" s="136">
        <v>257</v>
      </c>
      <c r="AH2248" s="135" t="s">
        <v>252</v>
      </c>
      <c r="AI2248" s="136">
        <v>223</v>
      </c>
      <c r="AJ2248" s="135" t="s">
        <v>252</v>
      </c>
      <c r="AK2248" s="136">
        <v>191</v>
      </c>
      <c r="AL2248" s="135" t="s">
        <v>252</v>
      </c>
      <c r="AM2248" s="136">
        <f t="shared" si="13"/>
        <v>2257</v>
      </c>
    </row>
    <row r="2249" spans="2:39" ht="20.25" hidden="1" outlineLevel="1">
      <c r="B2249" s="149" t="s">
        <v>1341</v>
      </c>
      <c r="C2249" s="135" t="s">
        <v>1402</v>
      </c>
      <c r="D2249" s="152" t="s">
        <v>1403</v>
      </c>
      <c r="E2249" s="143" t="s">
        <v>138</v>
      </c>
      <c r="F2249" s="138" t="s">
        <v>45</v>
      </c>
      <c r="G2249" s="136"/>
      <c r="H2249" s="136"/>
      <c r="I2249" s="136"/>
      <c r="J2249" s="136"/>
      <c r="K2249" s="136"/>
      <c r="L2249" s="136"/>
      <c r="M2249" s="136">
        <v>10972</v>
      </c>
      <c r="N2249" s="136">
        <v>10451</v>
      </c>
      <c r="O2249" s="136">
        <v>1423</v>
      </c>
      <c r="P2249" s="135" t="s">
        <v>252</v>
      </c>
      <c r="Q2249" s="136">
        <v>1960</v>
      </c>
      <c r="R2249" s="135" t="s">
        <v>252</v>
      </c>
      <c r="S2249" s="136">
        <v>1611</v>
      </c>
      <c r="T2249" s="135" t="s">
        <v>252</v>
      </c>
      <c r="U2249" s="136">
        <v>1697</v>
      </c>
      <c r="V2249" s="135" t="s">
        <v>252</v>
      </c>
      <c r="W2249" s="136">
        <v>1681</v>
      </c>
      <c r="X2249" s="135" t="s">
        <v>252</v>
      </c>
      <c r="Y2249" s="136">
        <v>1975</v>
      </c>
      <c r="Z2249" s="135" t="s">
        <v>252</v>
      </c>
      <c r="AA2249" s="136">
        <v>327</v>
      </c>
      <c r="AB2249" s="135" t="s">
        <v>252</v>
      </c>
      <c r="AC2249" s="136">
        <v>719</v>
      </c>
      <c r="AD2249" s="135" t="s">
        <v>252</v>
      </c>
      <c r="AE2249" s="136">
        <v>1770</v>
      </c>
      <c r="AF2249" s="135" t="s">
        <v>252</v>
      </c>
      <c r="AG2249" s="136">
        <v>2032</v>
      </c>
      <c r="AH2249" s="135" t="s">
        <v>252</v>
      </c>
      <c r="AI2249" s="136">
        <v>235</v>
      </c>
      <c r="AJ2249" s="135" t="s">
        <v>252</v>
      </c>
      <c r="AK2249" s="136">
        <v>1675</v>
      </c>
      <c r="AL2249" s="135" t="s">
        <v>252</v>
      </c>
      <c r="AM2249" s="136">
        <f t="shared" si="13"/>
        <v>17105</v>
      </c>
    </row>
    <row r="2250" spans="2:39" ht="20.25" hidden="1" outlineLevel="1">
      <c r="B2250" s="149" t="s">
        <v>1341</v>
      </c>
      <c r="C2250" s="135" t="s">
        <v>1402</v>
      </c>
      <c r="D2250" s="152" t="s">
        <v>1403</v>
      </c>
      <c r="E2250" s="137" t="s">
        <v>44</v>
      </c>
      <c r="F2250" s="138" t="s">
        <v>45</v>
      </c>
      <c r="G2250" s="136"/>
      <c r="H2250" s="136"/>
      <c r="I2250" s="136"/>
      <c r="J2250" s="136"/>
      <c r="K2250" s="136"/>
      <c r="L2250" s="136"/>
      <c r="M2250" s="136">
        <v>18265</v>
      </c>
      <c r="N2250" s="136">
        <v>17129</v>
      </c>
      <c r="O2250" s="136">
        <v>488</v>
      </c>
      <c r="P2250" s="135" t="s">
        <v>252</v>
      </c>
      <c r="Q2250" s="136">
        <v>494</v>
      </c>
      <c r="R2250" s="135" t="s">
        <v>252</v>
      </c>
      <c r="S2250" s="136">
        <v>519</v>
      </c>
      <c r="T2250" s="135" t="s">
        <v>252</v>
      </c>
      <c r="U2250" s="136">
        <v>307</v>
      </c>
      <c r="V2250" s="135" t="s">
        <v>252</v>
      </c>
      <c r="W2250" s="136">
        <v>446</v>
      </c>
      <c r="X2250" s="135" t="s">
        <v>252</v>
      </c>
      <c r="Y2250" s="136">
        <v>496</v>
      </c>
      <c r="Z2250" s="135" t="s">
        <v>252</v>
      </c>
      <c r="AA2250" s="136">
        <v>1478</v>
      </c>
      <c r="AB2250" s="135" t="s">
        <v>252</v>
      </c>
      <c r="AC2250" s="136">
        <v>292</v>
      </c>
      <c r="AD2250" s="135" t="s">
        <v>252</v>
      </c>
      <c r="AE2250" s="136">
        <v>595</v>
      </c>
      <c r="AF2250" s="135" t="s">
        <v>252</v>
      </c>
      <c r="AG2250" s="136">
        <v>324</v>
      </c>
      <c r="AH2250" s="135" t="s">
        <v>252</v>
      </c>
      <c r="AI2250" s="136">
        <v>1245</v>
      </c>
      <c r="AJ2250" s="135" t="s">
        <v>252</v>
      </c>
      <c r="AK2250" s="136">
        <v>552</v>
      </c>
      <c r="AL2250" s="135" t="s">
        <v>252</v>
      </c>
      <c r="AM2250" s="136">
        <f t="shared" si="13"/>
        <v>7236</v>
      </c>
    </row>
    <row r="2251" spans="2:39" ht="20.25" hidden="1" outlineLevel="1">
      <c r="B2251" s="149" t="s">
        <v>1342</v>
      </c>
      <c r="C2251" s="135" t="s">
        <v>1402</v>
      </c>
      <c r="D2251" s="152" t="s">
        <v>1403</v>
      </c>
      <c r="E2251" s="137" t="s">
        <v>44</v>
      </c>
      <c r="F2251" s="138" t="s">
        <v>45</v>
      </c>
      <c r="G2251" s="136"/>
      <c r="H2251" s="136"/>
      <c r="I2251" s="136"/>
      <c r="J2251" s="136"/>
      <c r="K2251" s="136"/>
      <c r="L2251" s="136"/>
      <c r="M2251" s="136">
        <v>14204</v>
      </c>
      <c r="N2251" s="136">
        <v>14197</v>
      </c>
      <c r="O2251" s="136">
        <v>310</v>
      </c>
      <c r="P2251" s="135" t="s">
        <v>252</v>
      </c>
      <c r="Q2251" s="136">
        <v>692</v>
      </c>
      <c r="R2251" s="135" t="s">
        <v>252</v>
      </c>
      <c r="S2251" s="136">
        <v>585</v>
      </c>
      <c r="T2251" s="135" t="s">
        <v>252</v>
      </c>
      <c r="U2251" s="136">
        <v>850</v>
      </c>
      <c r="V2251" s="135" t="s">
        <v>252</v>
      </c>
      <c r="W2251" s="136">
        <v>770</v>
      </c>
      <c r="X2251" s="135" t="s">
        <v>252</v>
      </c>
      <c r="Y2251" s="136">
        <v>622</v>
      </c>
      <c r="Z2251" s="135" t="s">
        <v>252</v>
      </c>
      <c r="AA2251" s="136">
        <v>394</v>
      </c>
      <c r="AB2251" s="135" t="s">
        <v>252</v>
      </c>
      <c r="AC2251" s="136">
        <v>281</v>
      </c>
      <c r="AD2251" s="135" t="s">
        <v>252</v>
      </c>
      <c r="AE2251" s="136">
        <v>612</v>
      </c>
      <c r="AF2251" s="135" t="s">
        <v>252</v>
      </c>
      <c r="AG2251" s="136">
        <v>947</v>
      </c>
      <c r="AH2251" s="135" t="s">
        <v>252</v>
      </c>
      <c r="AI2251" s="136">
        <v>610</v>
      </c>
      <c r="AJ2251" s="135" t="s">
        <v>252</v>
      </c>
      <c r="AK2251" s="136">
        <v>769</v>
      </c>
      <c r="AL2251" s="135" t="s">
        <v>252</v>
      </c>
      <c r="AM2251" s="136">
        <f t="shared" si="13"/>
        <v>7442</v>
      </c>
    </row>
    <row r="2252" spans="2:39" ht="20.25" hidden="1" outlineLevel="1">
      <c r="B2252" s="149" t="s">
        <v>1343</v>
      </c>
      <c r="C2252" s="135" t="s">
        <v>1402</v>
      </c>
      <c r="D2252" s="152" t="s">
        <v>1403</v>
      </c>
      <c r="E2252" s="137" t="s">
        <v>44</v>
      </c>
      <c r="F2252" s="138" t="s">
        <v>45</v>
      </c>
      <c r="G2252" s="136"/>
      <c r="H2252" s="136"/>
      <c r="I2252" s="136"/>
      <c r="J2252" s="136"/>
      <c r="K2252" s="136"/>
      <c r="L2252" s="136"/>
      <c r="M2252" s="136">
        <v>2546</v>
      </c>
      <c r="N2252" s="136">
        <v>2425</v>
      </c>
      <c r="O2252" s="136">
        <v>231</v>
      </c>
      <c r="P2252" s="135" t="s">
        <v>252</v>
      </c>
      <c r="Q2252" s="136">
        <v>109</v>
      </c>
      <c r="R2252" s="135" t="s">
        <v>252</v>
      </c>
      <c r="S2252" s="136">
        <v>90</v>
      </c>
      <c r="T2252" s="135" t="s">
        <v>252</v>
      </c>
      <c r="U2252" s="136">
        <v>367</v>
      </c>
      <c r="V2252" s="135" t="s">
        <v>252</v>
      </c>
      <c r="W2252" s="136">
        <v>172</v>
      </c>
      <c r="X2252" s="135" t="s">
        <v>252</v>
      </c>
      <c r="Y2252" s="136">
        <v>179</v>
      </c>
      <c r="Z2252" s="135" t="s">
        <v>252</v>
      </c>
      <c r="AA2252" s="136">
        <v>150</v>
      </c>
      <c r="AB2252" s="135" t="s">
        <v>252</v>
      </c>
      <c r="AC2252" s="136">
        <v>253</v>
      </c>
      <c r="AD2252" s="135" t="s">
        <v>252</v>
      </c>
      <c r="AE2252" s="136">
        <v>180</v>
      </c>
      <c r="AF2252" s="135" t="s">
        <v>252</v>
      </c>
      <c r="AG2252" s="136">
        <v>179</v>
      </c>
      <c r="AH2252" s="135" t="s">
        <v>252</v>
      </c>
      <c r="AI2252" s="136">
        <v>168</v>
      </c>
      <c r="AJ2252" s="135" t="s">
        <v>252</v>
      </c>
      <c r="AK2252" s="136">
        <v>158</v>
      </c>
      <c r="AL2252" s="135" t="s">
        <v>252</v>
      </c>
      <c r="AM2252" s="136">
        <f t="shared" si="13"/>
        <v>2236</v>
      </c>
    </row>
    <row r="2253" spans="2:39" ht="40.5" hidden="1" outlineLevel="1">
      <c r="B2253" s="149" t="s">
        <v>1396</v>
      </c>
      <c r="C2253" s="136" t="s">
        <v>1411</v>
      </c>
      <c r="D2253" s="152"/>
      <c r="E2253" s="137" t="s">
        <v>44</v>
      </c>
      <c r="F2253" s="144" t="s">
        <v>45</v>
      </c>
      <c r="G2253" s="136"/>
      <c r="H2253" s="136"/>
      <c r="I2253" s="136"/>
      <c r="J2253" s="136"/>
      <c r="K2253" s="136"/>
      <c r="L2253" s="136"/>
      <c r="M2253" s="136"/>
      <c r="N2253" s="136"/>
      <c r="O2253" s="136"/>
      <c r="P2253" s="135"/>
      <c r="Q2253" s="136"/>
      <c r="R2253" s="135"/>
      <c r="S2253" s="136"/>
      <c r="T2253" s="135"/>
      <c r="U2253" s="136"/>
      <c r="V2253" s="135"/>
      <c r="W2253" s="136"/>
      <c r="X2253" s="135"/>
      <c r="Y2253" s="136"/>
      <c r="Z2253" s="135"/>
      <c r="AA2253" s="136"/>
      <c r="AB2253" s="135"/>
      <c r="AC2253" s="136"/>
      <c r="AD2253" s="135"/>
      <c r="AE2253" s="136"/>
      <c r="AF2253" s="135"/>
      <c r="AG2253" s="136"/>
      <c r="AH2253" s="135"/>
      <c r="AI2253" s="136"/>
      <c r="AJ2253" s="135"/>
      <c r="AK2253" s="136"/>
      <c r="AL2253" s="135"/>
      <c r="AM2253" s="136">
        <f t="shared" si="13"/>
        <v>0</v>
      </c>
    </row>
    <row r="2254" spans="2:39" ht="20.25" hidden="1" outlineLevel="1">
      <c r="B2254" s="149" t="s">
        <v>1344</v>
      </c>
      <c r="C2254" s="135" t="s">
        <v>1402</v>
      </c>
      <c r="D2254" s="152" t="s">
        <v>1403</v>
      </c>
      <c r="E2254" s="143" t="s">
        <v>138</v>
      </c>
      <c r="F2254" s="144" t="s">
        <v>45</v>
      </c>
      <c r="G2254" s="136"/>
      <c r="H2254" s="136"/>
      <c r="I2254" s="136"/>
      <c r="J2254" s="136"/>
      <c r="K2254" s="136"/>
      <c r="L2254" s="136"/>
      <c r="M2254" s="136">
        <v>4561</v>
      </c>
      <c r="N2254" s="136">
        <v>4602</v>
      </c>
      <c r="O2254" s="136">
        <v>513</v>
      </c>
      <c r="P2254" s="135" t="s">
        <v>252</v>
      </c>
      <c r="Q2254" s="136">
        <v>650</v>
      </c>
      <c r="R2254" s="135" t="s">
        <v>252</v>
      </c>
      <c r="S2254" s="136">
        <v>494</v>
      </c>
      <c r="T2254" s="135" t="s">
        <v>252</v>
      </c>
      <c r="U2254" s="136">
        <v>526</v>
      </c>
      <c r="V2254" s="135" t="s">
        <v>252</v>
      </c>
      <c r="W2254" s="136">
        <v>500</v>
      </c>
      <c r="X2254" s="135" t="s">
        <v>252</v>
      </c>
      <c r="Y2254" s="136">
        <v>639</v>
      </c>
      <c r="Z2254" s="135" t="s">
        <v>252</v>
      </c>
      <c r="AA2254" s="136">
        <v>481</v>
      </c>
      <c r="AB2254" s="135" t="s">
        <v>252</v>
      </c>
      <c r="AC2254" s="136">
        <v>402</v>
      </c>
      <c r="AD2254" s="135" t="s">
        <v>252</v>
      </c>
      <c r="AE2254" s="136">
        <v>554</v>
      </c>
      <c r="AF2254" s="135" t="s">
        <v>252</v>
      </c>
      <c r="AG2254" s="136">
        <v>617</v>
      </c>
      <c r="AH2254" s="135" t="s">
        <v>252</v>
      </c>
      <c r="AI2254" s="136">
        <v>561</v>
      </c>
      <c r="AJ2254" s="135" t="s">
        <v>252</v>
      </c>
      <c r="AK2254" s="136">
        <v>729</v>
      </c>
      <c r="AL2254" s="135" t="s">
        <v>252</v>
      </c>
      <c r="AM2254" s="136">
        <f t="shared" si="13"/>
        <v>6666</v>
      </c>
    </row>
    <row r="2255" spans="2:39" ht="20.25" hidden="1" outlineLevel="1">
      <c r="B2255" s="149" t="s">
        <v>1344</v>
      </c>
      <c r="C2255" s="135" t="s">
        <v>1402</v>
      </c>
      <c r="D2255" s="152" t="s">
        <v>1403</v>
      </c>
      <c r="E2255" s="137" t="s">
        <v>44</v>
      </c>
      <c r="F2255" s="138" t="s">
        <v>45</v>
      </c>
      <c r="G2255" s="136"/>
      <c r="H2255" s="136"/>
      <c r="I2255" s="136"/>
      <c r="J2255" s="136"/>
      <c r="K2255" s="136"/>
      <c r="L2255" s="136"/>
      <c r="M2255" s="136">
        <v>5237</v>
      </c>
      <c r="N2255" s="136">
        <v>5979</v>
      </c>
      <c r="O2255" s="136">
        <v>236</v>
      </c>
      <c r="P2255" s="135" t="s">
        <v>252</v>
      </c>
      <c r="Q2255" s="136">
        <v>287</v>
      </c>
      <c r="R2255" s="135" t="s">
        <v>252</v>
      </c>
      <c r="S2255" s="136">
        <v>189</v>
      </c>
      <c r="T2255" s="135" t="s">
        <v>252</v>
      </c>
      <c r="U2255" s="136">
        <v>208</v>
      </c>
      <c r="V2255" s="135" t="s">
        <v>252</v>
      </c>
      <c r="W2255" s="136">
        <v>205</v>
      </c>
      <c r="X2255" s="135" t="s">
        <v>252</v>
      </c>
      <c r="Y2255" s="136">
        <v>251</v>
      </c>
      <c r="Z2255" s="135" t="s">
        <v>252</v>
      </c>
      <c r="AA2255" s="136">
        <v>260</v>
      </c>
      <c r="AB2255" s="135" t="s">
        <v>252</v>
      </c>
      <c r="AC2255" s="136">
        <v>462</v>
      </c>
      <c r="AD2255" s="135" t="s">
        <v>252</v>
      </c>
      <c r="AE2255" s="136">
        <v>228</v>
      </c>
      <c r="AF2255" s="135" t="s">
        <v>252</v>
      </c>
      <c r="AG2255" s="136">
        <v>245</v>
      </c>
      <c r="AH2255" s="135" t="s">
        <v>252</v>
      </c>
      <c r="AI2255" s="136">
        <v>221</v>
      </c>
      <c r="AJ2255" s="135" t="s">
        <v>252</v>
      </c>
      <c r="AK2255" s="136">
        <v>320</v>
      </c>
      <c r="AL2255" s="135" t="s">
        <v>252</v>
      </c>
      <c r="AM2255" s="136">
        <f t="shared" si="13"/>
        <v>3112</v>
      </c>
    </row>
    <row r="2256" spans="2:39" ht="20.25" hidden="1" outlineLevel="1">
      <c r="B2256" s="149" t="s">
        <v>1345</v>
      </c>
      <c r="C2256" s="135" t="s">
        <v>1402</v>
      </c>
      <c r="D2256" s="152" t="s">
        <v>1403</v>
      </c>
      <c r="E2256" s="137" t="s">
        <v>44</v>
      </c>
      <c r="F2256" s="138" t="s">
        <v>45</v>
      </c>
      <c r="G2256" s="136"/>
      <c r="H2256" s="136"/>
      <c r="I2256" s="136"/>
      <c r="J2256" s="136"/>
      <c r="K2256" s="136"/>
      <c r="L2256" s="136"/>
      <c r="M2256" s="136">
        <v>7033</v>
      </c>
      <c r="N2256" s="136">
        <v>6122</v>
      </c>
      <c r="O2256" s="136">
        <v>624</v>
      </c>
      <c r="P2256" s="135" t="s">
        <v>252</v>
      </c>
      <c r="Q2256" s="136">
        <v>484</v>
      </c>
      <c r="R2256" s="135" t="s">
        <v>252</v>
      </c>
      <c r="S2256" s="136">
        <v>342</v>
      </c>
      <c r="T2256" s="135" t="s">
        <v>252</v>
      </c>
      <c r="U2256" s="136">
        <v>436</v>
      </c>
      <c r="V2256" s="135" t="s">
        <v>252</v>
      </c>
      <c r="W2256" s="136">
        <v>445</v>
      </c>
      <c r="X2256" s="135" t="s">
        <v>252</v>
      </c>
      <c r="Y2256" s="136">
        <v>588</v>
      </c>
      <c r="Z2256" s="135" t="s">
        <v>252</v>
      </c>
      <c r="AA2256" s="136">
        <v>372</v>
      </c>
      <c r="AB2256" s="135" t="s">
        <v>252</v>
      </c>
      <c r="AC2256" s="136">
        <v>154</v>
      </c>
      <c r="AD2256" s="135" t="s">
        <v>252</v>
      </c>
      <c r="AE2256" s="136">
        <v>627</v>
      </c>
      <c r="AF2256" s="135" t="s">
        <v>252</v>
      </c>
      <c r="AG2256" s="136">
        <v>495</v>
      </c>
      <c r="AH2256" s="135" t="s">
        <v>252</v>
      </c>
      <c r="AI2256" s="136">
        <v>430</v>
      </c>
      <c r="AJ2256" s="135" t="s">
        <v>252</v>
      </c>
      <c r="AK2256" s="136">
        <v>678</v>
      </c>
      <c r="AL2256" s="135" t="s">
        <v>252</v>
      </c>
      <c r="AM2256" s="136">
        <f t="shared" si="13"/>
        <v>5675</v>
      </c>
    </row>
    <row r="2257" spans="2:39" ht="20.25" hidden="1" outlineLevel="1">
      <c r="B2257" s="149" t="s">
        <v>1397</v>
      </c>
      <c r="C2257" s="135" t="s">
        <v>1402</v>
      </c>
      <c r="D2257" s="152" t="s">
        <v>1420</v>
      </c>
      <c r="E2257" s="137" t="s">
        <v>44</v>
      </c>
      <c r="F2257" s="138" t="s">
        <v>45</v>
      </c>
      <c r="G2257" s="136"/>
      <c r="H2257" s="136"/>
      <c r="I2257" s="136"/>
      <c r="J2257" s="136"/>
      <c r="K2257" s="136"/>
      <c r="L2257" s="136"/>
      <c r="M2257" s="142">
        <v>1560</v>
      </c>
      <c r="N2257" s="142">
        <v>1395</v>
      </c>
      <c r="O2257" s="136">
        <v>180</v>
      </c>
      <c r="P2257" s="135" t="s">
        <v>252</v>
      </c>
      <c r="Q2257" s="136">
        <v>84</v>
      </c>
      <c r="R2257" s="135" t="s">
        <v>252</v>
      </c>
      <c r="S2257" s="136">
        <v>75</v>
      </c>
      <c r="T2257" s="135" t="s">
        <v>252</v>
      </c>
      <c r="U2257" s="136">
        <v>196</v>
      </c>
      <c r="V2257" s="135" t="s">
        <v>252</v>
      </c>
      <c r="W2257" s="136">
        <v>153</v>
      </c>
      <c r="X2257" s="135" t="s">
        <v>252</v>
      </c>
      <c r="Y2257" s="136">
        <v>68</v>
      </c>
      <c r="Z2257" s="135" t="s">
        <v>252</v>
      </c>
      <c r="AA2257" s="136">
        <v>44</v>
      </c>
      <c r="AB2257" s="135" t="s">
        <v>252</v>
      </c>
      <c r="AC2257" s="136">
        <v>116</v>
      </c>
      <c r="AD2257" s="135" t="s">
        <v>252</v>
      </c>
      <c r="AE2257" s="136">
        <v>45</v>
      </c>
      <c r="AF2257" s="135" t="s">
        <v>252</v>
      </c>
      <c r="AG2257" s="136">
        <v>74</v>
      </c>
      <c r="AH2257" s="135" t="s">
        <v>252</v>
      </c>
      <c r="AI2257" s="136">
        <v>104</v>
      </c>
      <c r="AJ2257" s="135" t="s">
        <v>252</v>
      </c>
      <c r="AK2257" s="136">
        <v>172</v>
      </c>
      <c r="AL2257" s="135" t="s">
        <v>252</v>
      </c>
      <c r="AM2257" s="136">
        <f>O2257+Q2257+S2257+U2257+W2257+Y2257+AA2257+AC2257+AE2257+AG2257+AI2257+AK2257</f>
        <v>1311</v>
      </c>
    </row>
    <row r="2258" spans="2:39" ht="20.25" hidden="1" outlineLevel="1">
      <c r="B2258" s="149" t="s">
        <v>1398</v>
      </c>
      <c r="C2258" s="136" t="s">
        <v>1418</v>
      </c>
      <c r="D2258" s="152"/>
      <c r="E2258" s="137" t="s">
        <v>44</v>
      </c>
      <c r="F2258" s="138" t="s">
        <v>45</v>
      </c>
      <c r="G2258" s="136"/>
      <c r="H2258" s="136"/>
      <c r="I2258" s="136"/>
      <c r="J2258" s="136"/>
      <c r="K2258" s="136"/>
      <c r="L2258" s="136"/>
      <c r="M2258" s="136"/>
      <c r="N2258" s="136"/>
      <c r="O2258" s="136"/>
      <c r="P2258" s="135"/>
      <c r="Q2258" s="136"/>
      <c r="R2258" s="135"/>
      <c r="S2258" s="136"/>
      <c r="T2258" s="135"/>
      <c r="U2258" s="136"/>
      <c r="V2258" s="135"/>
      <c r="W2258" s="136"/>
      <c r="X2258" s="135"/>
      <c r="Y2258" s="136"/>
      <c r="Z2258" s="135"/>
      <c r="AA2258" s="136"/>
      <c r="AB2258" s="135"/>
      <c r="AC2258" s="136"/>
      <c r="AD2258" s="135"/>
      <c r="AE2258" s="136"/>
      <c r="AF2258" s="135"/>
      <c r="AG2258" s="136"/>
      <c r="AH2258" s="135"/>
      <c r="AI2258" s="136"/>
      <c r="AJ2258" s="135"/>
      <c r="AK2258" s="136"/>
      <c r="AL2258" s="135"/>
      <c r="AM2258" s="136" t="s">
        <v>240</v>
      </c>
    </row>
    <row r="2259" spans="2:39" ht="20.25" hidden="1" outlineLevel="1">
      <c r="B2259" s="149" t="s">
        <v>1346</v>
      </c>
      <c r="C2259" s="135" t="s">
        <v>1402</v>
      </c>
      <c r="D2259" s="152" t="s">
        <v>1403</v>
      </c>
      <c r="E2259" s="433" t="s">
        <v>138</v>
      </c>
      <c r="F2259" s="425" t="s">
        <v>45</v>
      </c>
      <c r="G2259" s="136"/>
      <c r="H2259" s="136"/>
      <c r="I2259" s="136"/>
      <c r="J2259" s="136"/>
      <c r="K2259" s="136"/>
      <c r="L2259" s="136"/>
      <c r="M2259" s="419">
        <v>4978</v>
      </c>
      <c r="N2259" s="419">
        <v>3875</v>
      </c>
      <c r="O2259" s="419">
        <v>310</v>
      </c>
      <c r="P2259" s="419" t="s">
        <v>252</v>
      </c>
      <c r="Q2259" s="419">
        <v>378</v>
      </c>
      <c r="R2259" s="419" t="s">
        <v>252</v>
      </c>
      <c r="S2259" s="419">
        <v>278</v>
      </c>
      <c r="T2259" s="419" t="s">
        <v>252</v>
      </c>
      <c r="U2259" s="419">
        <v>282</v>
      </c>
      <c r="V2259" s="419" t="s">
        <v>252</v>
      </c>
      <c r="W2259" s="419">
        <v>263</v>
      </c>
      <c r="X2259" s="419" t="s">
        <v>252</v>
      </c>
      <c r="Y2259" s="419">
        <v>310</v>
      </c>
      <c r="Z2259" s="419" t="s">
        <v>252</v>
      </c>
      <c r="AA2259" s="419">
        <v>272</v>
      </c>
      <c r="AB2259" s="419" t="s">
        <v>252</v>
      </c>
      <c r="AC2259" s="419">
        <v>581</v>
      </c>
      <c r="AD2259" s="419" t="s">
        <v>252</v>
      </c>
      <c r="AE2259" s="419">
        <v>290</v>
      </c>
      <c r="AF2259" s="419" t="s">
        <v>252</v>
      </c>
      <c r="AG2259" s="419">
        <v>354</v>
      </c>
      <c r="AH2259" s="419" t="s">
        <v>252</v>
      </c>
      <c r="AI2259" s="419">
        <v>305</v>
      </c>
      <c r="AJ2259" s="419" t="s">
        <v>252</v>
      </c>
      <c r="AK2259" s="419">
        <v>432</v>
      </c>
      <c r="AL2259" s="419" t="s">
        <v>252</v>
      </c>
      <c r="AM2259" s="419">
        <f>O2259+Q2259+S2259++U2259+W2259+Y2259+AA2259+AC2259+AE2259+AG2259+AI2259+AK2259</f>
        <v>4055</v>
      </c>
    </row>
    <row r="2260" spans="2:39" ht="20.25" hidden="1" outlineLevel="1">
      <c r="B2260" s="149" t="s">
        <v>1347</v>
      </c>
      <c r="C2260" s="135" t="s">
        <v>1402</v>
      </c>
      <c r="D2260" s="152" t="s">
        <v>1403</v>
      </c>
      <c r="E2260" s="434"/>
      <c r="F2260" s="426"/>
      <c r="G2260" s="136"/>
      <c r="H2260" s="136"/>
      <c r="I2260" s="136"/>
      <c r="J2260" s="136"/>
      <c r="K2260" s="136"/>
      <c r="L2260" s="136"/>
      <c r="M2260" s="420"/>
      <c r="N2260" s="420"/>
      <c r="O2260" s="420"/>
      <c r="P2260" s="420"/>
      <c r="Q2260" s="420"/>
      <c r="R2260" s="420"/>
      <c r="S2260" s="420"/>
      <c r="T2260" s="420"/>
      <c r="U2260" s="420"/>
      <c r="V2260" s="420"/>
      <c r="W2260" s="420"/>
      <c r="X2260" s="420"/>
      <c r="Y2260" s="420"/>
      <c r="Z2260" s="420"/>
      <c r="AA2260" s="420"/>
      <c r="AB2260" s="420"/>
      <c r="AC2260" s="420"/>
      <c r="AD2260" s="420"/>
      <c r="AE2260" s="420"/>
      <c r="AF2260" s="420"/>
      <c r="AG2260" s="420"/>
      <c r="AH2260" s="420"/>
      <c r="AI2260" s="420"/>
      <c r="AJ2260" s="420"/>
      <c r="AK2260" s="420"/>
      <c r="AL2260" s="420"/>
      <c r="AM2260" s="420"/>
    </row>
    <row r="2261" spans="2:39" ht="20.25" hidden="1" outlineLevel="1">
      <c r="B2261" s="149" t="s">
        <v>1346</v>
      </c>
      <c r="C2261" s="135" t="s">
        <v>1402</v>
      </c>
      <c r="D2261" s="152" t="s">
        <v>1403</v>
      </c>
      <c r="E2261" s="433" t="s">
        <v>44</v>
      </c>
      <c r="F2261" s="425" t="s">
        <v>45</v>
      </c>
      <c r="G2261" s="136"/>
      <c r="H2261" s="136"/>
      <c r="I2261" s="136"/>
      <c r="J2261" s="136"/>
      <c r="K2261" s="136"/>
      <c r="L2261" s="136"/>
      <c r="M2261" s="419">
        <v>2851</v>
      </c>
      <c r="N2261" s="419">
        <v>2261</v>
      </c>
      <c r="O2261" s="419">
        <v>231</v>
      </c>
      <c r="P2261" s="419" t="s">
        <v>252</v>
      </c>
      <c r="Q2261" s="419">
        <v>194</v>
      </c>
      <c r="R2261" s="419" t="s">
        <v>252</v>
      </c>
      <c r="S2261" s="419">
        <v>86</v>
      </c>
      <c r="T2261" s="419" t="s">
        <v>252</v>
      </c>
      <c r="U2261" s="419">
        <v>96</v>
      </c>
      <c r="V2261" s="419" t="s">
        <v>252</v>
      </c>
      <c r="W2261" s="419">
        <v>96</v>
      </c>
      <c r="X2261" s="419" t="s">
        <v>252</v>
      </c>
      <c r="Y2261" s="419">
        <v>125</v>
      </c>
      <c r="Z2261" s="419" t="s">
        <v>252</v>
      </c>
      <c r="AA2261" s="419">
        <v>104</v>
      </c>
      <c r="AB2261" s="419" t="s">
        <v>252</v>
      </c>
      <c r="AC2261" s="419">
        <v>205</v>
      </c>
      <c r="AD2261" s="419" t="s">
        <v>252</v>
      </c>
      <c r="AE2261" s="419">
        <v>47</v>
      </c>
      <c r="AF2261" s="419" t="s">
        <v>252</v>
      </c>
      <c r="AG2261" s="419">
        <v>106</v>
      </c>
      <c r="AH2261" s="419" t="s">
        <v>252</v>
      </c>
      <c r="AI2261" s="419">
        <v>119</v>
      </c>
      <c r="AJ2261" s="419" t="s">
        <v>252</v>
      </c>
      <c r="AK2261" s="419">
        <v>115</v>
      </c>
      <c r="AL2261" s="419" t="s">
        <v>252</v>
      </c>
      <c r="AM2261" s="419">
        <f>O2261+Q2261+S2261++U2261+W2261+Y2261+AA2261+AC2261+AE2261+AG2261+AI2261+AK2261</f>
        <v>1524</v>
      </c>
    </row>
    <row r="2262" spans="2:39" ht="20.25" hidden="1" outlineLevel="1">
      <c r="B2262" s="149" t="s">
        <v>1347</v>
      </c>
      <c r="C2262" s="135" t="s">
        <v>1402</v>
      </c>
      <c r="D2262" s="152" t="s">
        <v>1403</v>
      </c>
      <c r="E2262" s="434"/>
      <c r="F2262" s="426"/>
      <c r="G2262" s="136"/>
      <c r="H2262" s="136"/>
      <c r="I2262" s="136"/>
      <c r="J2262" s="136"/>
      <c r="K2262" s="136"/>
      <c r="L2262" s="136"/>
      <c r="M2262" s="420"/>
      <c r="N2262" s="420"/>
      <c r="O2262" s="420"/>
      <c r="P2262" s="420"/>
      <c r="Q2262" s="420"/>
      <c r="R2262" s="420"/>
      <c r="S2262" s="420"/>
      <c r="T2262" s="420"/>
      <c r="U2262" s="420"/>
      <c r="V2262" s="420"/>
      <c r="W2262" s="420"/>
      <c r="X2262" s="420"/>
      <c r="Y2262" s="420"/>
      <c r="Z2262" s="420"/>
      <c r="AA2262" s="420"/>
      <c r="AB2262" s="420"/>
      <c r="AC2262" s="420"/>
      <c r="AD2262" s="420"/>
      <c r="AE2262" s="420"/>
      <c r="AF2262" s="420"/>
      <c r="AG2262" s="420"/>
      <c r="AH2262" s="420"/>
      <c r="AI2262" s="420"/>
      <c r="AJ2262" s="420"/>
      <c r="AK2262" s="420"/>
      <c r="AL2262" s="420"/>
      <c r="AM2262" s="420"/>
    </row>
    <row r="2263" spans="2:39" ht="20.25" hidden="1" outlineLevel="1">
      <c r="B2263" s="149" t="s">
        <v>1348</v>
      </c>
      <c r="C2263" s="135" t="s">
        <v>1402</v>
      </c>
      <c r="D2263" s="152" t="s">
        <v>1403</v>
      </c>
      <c r="E2263" s="137" t="s">
        <v>44</v>
      </c>
      <c r="F2263" s="138" t="s">
        <v>45</v>
      </c>
      <c r="G2263" s="136"/>
      <c r="H2263" s="136"/>
      <c r="I2263" s="136"/>
      <c r="J2263" s="136"/>
      <c r="K2263" s="136"/>
      <c r="L2263" s="136"/>
      <c r="M2263" s="136">
        <v>12923</v>
      </c>
      <c r="N2263" s="136">
        <v>13748</v>
      </c>
      <c r="O2263" s="136">
        <v>1244</v>
      </c>
      <c r="P2263" s="136" t="s">
        <v>252</v>
      </c>
      <c r="Q2263" s="136">
        <v>1448</v>
      </c>
      <c r="R2263" s="136" t="s">
        <v>252</v>
      </c>
      <c r="S2263" s="136">
        <v>1177</v>
      </c>
      <c r="T2263" s="136" t="s">
        <v>252</v>
      </c>
      <c r="U2263" s="136">
        <v>1355</v>
      </c>
      <c r="V2263" s="136" t="s">
        <v>252</v>
      </c>
      <c r="W2263" s="136">
        <v>1054</v>
      </c>
      <c r="X2263" s="136" t="s">
        <v>252</v>
      </c>
      <c r="Y2263" s="136">
        <v>1088</v>
      </c>
      <c r="Z2263" s="136" t="s">
        <v>252</v>
      </c>
      <c r="AA2263" s="136">
        <v>752</v>
      </c>
      <c r="AB2263" s="136" t="s">
        <v>252</v>
      </c>
      <c r="AC2263" s="136">
        <v>363</v>
      </c>
      <c r="AD2263" s="136" t="s">
        <v>252</v>
      </c>
      <c r="AE2263" s="136">
        <v>1018</v>
      </c>
      <c r="AF2263" s="136" t="s">
        <v>252</v>
      </c>
      <c r="AG2263" s="136">
        <v>1386</v>
      </c>
      <c r="AH2263" s="136" t="s">
        <v>252</v>
      </c>
      <c r="AI2263" s="136">
        <v>835</v>
      </c>
      <c r="AJ2263" s="136" t="s">
        <v>252</v>
      </c>
      <c r="AK2263" s="136">
        <v>925</v>
      </c>
      <c r="AL2263" s="136" t="s">
        <v>252</v>
      </c>
      <c r="AM2263" s="136">
        <f>O2263+Q2263+S2263+U2263+W2263+Y2263+AA2263+AC2263+AE2263+AG2263+AI2263+AK2263</f>
        <v>12645</v>
      </c>
    </row>
    <row r="2264" spans="2:39" ht="20.25" hidden="1" outlineLevel="1">
      <c r="B2264" s="149" t="s">
        <v>1349</v>
      </c>
      <c r="C2264" s="135" t="s">
        <v>1402</v>
      </c>
      <c r="D2264" s="152" t="s">
        <v>1403</v>
      </c>
      <c r="E2264" s="137" t="s">
        <v>44</v>
      </c>
      <c r="F2264" s="144" t="s">
        <v>45</v>
      </c>
      <c r="G2264" s="136"/>
      <c r="H2264" s="136"/>
      <c r="I2264" s="136"/>
      <c r="J2264" s="136"/>
      <c r="K2264" s="136"/>
      <c r="L2264" s="136"/>
      <c r="M2264" s="136">
        <v>2061</v>
      </c>
      <c r="N2264" s="136">
        <v>2432</v>
      </c>
      <c r="O2264" s="136">
        <v>168</v>
      </c>
      <c r="P2264" s="136" t="s">
        <v>252</v>
      </c>
      <c r="Q2264" s="136">
        <v>145</v>
      </c>
      <c r="R2264" s="136" t="s">
        <v>252</v>
      </c>
      <c r="S2264" s="136">
        <v>116</v>
      </c>
      <c r="T2264" s="136" t="s">
        <v>252</v>
      </c>
      <c r="U2264" s="136">
        <v>177</v>
      </c>
      <c r="V2264" s="136" t="s">
        <v>252</v>
      </c>
      <c r="W2264" s="136">
        <v>172</v>
      </c>
      <c r="X2264" s="136" t="s">
        <v>252</v>
      </c>
      <c r="Y2264" s="136">
        <v>181</v>
      </c>
      <c r="Z2264" s="136" t="s">
        <v>252</v>
      </c>
      <c r="AA2264" s="136">
        <v>141</v>
      </c>
      <c r="AB2264" s="136" t="s">
        <v>252</v>
      </c>
      <c r="AC2264" s="136">
        <v>104</v>
      </c>
      <c r="AD2264" s="136" t="s">
        <v>252</v>
      </c>
      <c r="AE2264" s="136">
        <v>173</v>
      </c>
      <c r="AF2264" s="136" t="s">
        <v>252</v>
      </c>
      <c r="AG2264" s="136">
        <v>113</v>
      </c>
      <c r="AH2264" s="136" t="s">
        <v>252</v>
      </c>
      <c r="AI2264" s="136">
        <v>213</v>
      </c>
      <c r="AJ2264" s="136" t="s">
        <v>252</v>
      </c>
      <c r="AK2264" s="136">
        <v>217</v>
      </c>
      <c r="AL2264" s="136" t="s">
        <v>252</v>
      </c>
      <c r="AM2264" s="136">
        <f t="shared" ref="AM2264:AM2296" si="14">O2264+Q2264+S2264+U2264+W2264+Y2264+AA2264+AC2264+AE2264+AG2264+AI2264+AK2264</f>
        <v>1920</v>
      </c>
    </row>
    <row r="2265" spans="2:39" ht="20.25" hidden="1" outlineLevel="1">
      <c r="B2265" s="149" t="s">
        <v>1350</v>
      </c>
      <c r="C2265" s="135" t="s">
        <v>1402</v>
      </c>
      <c r="D2265" s="152" t="s">
        <v>1403</v>
      </c>
      <c r="E2265" s="137" t="s">
        <v>44</v>
      </c>
      <c r="F2265" s="144" t="s">
        <v>45</v>
      </c>
      <c r="G2265" s="136"/>
      <c r="H2265" s="136"/>
      <c r="I2265" s="136"/>
      <c r="J2265" s="136"/>
      <c r="K2265" s="136"/>
      <c r="L2265" s="136"/>
      <c r="M2265" s="419">
        <v>17140</v>
      </c>
      <c r="N2265" s="419">
        <v>18932</v>
      </c>
      <c r="O2265" s="419">
        <v>2825</v>
      </c>
      <c r="P2265" s="419" t="s">
        <v>252</v>
      </c>
      <c r="Q2265" s="419">
        <v>2224</v>
      </c>
      <c r="R2265" s="419" t="s">
        <v>252</v>
      </c>
      <c r="S2265" s="419">
        <v>1922</v>
      </c>
      <c r="T2265" s="419" t="s">
        <v>252</v>
      </c>
      <c r="U2265" s="419">
        <v>1922</v>
      </c>
      <c r="V2265" s="419" t="s">
        <v>252</v>
      </c>
      <c r="W2265" s="419">
        <v>1039</v>
      </c>
      <c r="X2265" s="419" t="s">
        <v>252</v>
      </c>
      <c r="Y2265" s="419">
        <v>1162</v>
      </c>
      <c r="Z2265" s="419" t="s">
        <v>252</v>
      </c>
      <c r="AA2265" s="419">
        <v>928</v>
      </c>
      <c r="AB2265" s="419" t="s">
        <v>252</v>
      </c>
      <c r="AC2265" s="419">
        <v>664</v>
      </c>
      <c r="AD2265" s="419" t="s">
        <v>252</v>
      </c>
      <c r="AE2265" s="419">
        <v>1301</v>
      </c>
      <c r="AF2265" s="419" t="s">
        <v>252</v>
      </c>
      <c r="AG2265" s="419">
        <v>1193</v>
      </c>
      <c r="AH2265" s="419" t="s">
        <v>252</v>
      </c>
      <c r="AI2265" s="419">
        <v>2356</v>
      </c>
      <c r="AJ2265" s="419" t="s">
        <v>252</v>
      </c>
      <c r="AK2265" s="419">
        <v>2587</v>
      </c>
      <c r="AL2265" s="419" t="s">
        <v>252</v>
      </c>
      <c r="AM2265" s="417">
        <f t="shared" si="14"/>
        <v>20123</v>
      </c>
    </row>
    <row r="2266" spans="2:39" ht="20.25" hidden="1" outlineLevel="1">
      <c r="B2266" s="149" t="s">
        <v>1351</v>
      </c>
      <c r="C2266" s="135" t="s">
        <v>1402</v>
      </c>
      <c r="D2266" s="152" t="s">
        <v>1403</v>
      </c>
      <c r="E2266" s="137" t="s">
        <v>44</v>
      </c>
      <c r="F2266" s="138" t="s">
        <v>45</v>
      </c>
      <c r="G2266" s="136"/>
      <c r="H2266" s="136"/>
      <c r="I2266" s="136"/>
      <c r="J2266" s="136"/>
      <c r="K2266" s="136"/>
      <c r="L2266" s="136"/>
      <c r="M2266" s="420"/>
      <c r="N2266" s="420"/>
      <c r="O2266" s="420"/>
      <c r="P2266" s="420"/>
      <c r="Q2266" s="420"/>
      <c r="R2266" s="420"/>
      <c r="S2266" s="420"/>
      <c r="T2266" s="420"/>
      <c r="U2266" s="420"/>
      <c r="V2266" s="420"/>
      <c r="W2266" s="420"/>
      <c r="X2266" s="420"/>
      <c r="Y2266" s="420"/>
      <c r="Z2266" s="420"/>
      <c r="AA2266" s="420"/>
      <c r="AB2266" s="420"/>
      <c r="AC2266" s="420"/>
      <c r="AD2266" s="420"/>
      <c r="AE2266" s="420"/>
      <c r="AF2266" s="420"/>
      <c r="AG2266" s="420"/>
      <c r="AH2266" s="420"/>
      <c r="AI2266" s="420"/>
      <c r="AJ2266" s="420"/>
      <c r="AK2266" s="420"/>
      <c r="AL2266" s="420"/>
      <c r="AM2266" s="418"/>
    </row>
    <row r="2267" spans="2:39" ht="20.25" hidden="1" outlineLevel="1">
      <c r="B2267" s="149" t="s">
        <v>1352</v>
      </c>
      <c r="C2267" s="135" t="s">
        <v>1402</v>
      </c>
      <c r="D2267" s="152" t="s">
        <v>1403</v>
      </c>
      <c r="E2267" s="137" t="s">
        <v>44</v>
      </c>
      <c r="F2267" s="138" t="s">
        <v>45</v>
      </c>
      <c r="G2267" s="136"/>
      <c r="H2267" s="136"/>
      <c r="I2267" s="136"/>
      <c r="J2267" s="136"/>
      <c r="K2267" s="136"/>
      <c r="L2267" s="136"/>
      <c r="M2267" s="136">
        <v>4052</v>
      </c>
      <c r="N2267" s="136">
        <v>3403</v>
      </c>
      <c r="O2267" s="136">
        <v>189</v>
      </c>
      <c r="P2267" s="135" t="s">
        <v>252</v>
      </c>
      <c r="Q2267" s="136">
        <v>218</v>
      </c>
      <c r="R2267" s="135" t="s">
        <v>252</v>
      </c>
      <c r="S2267" s="136">
        <v>165</v>
      </c>
      <c r="T2267" s="135" t="s">
        <v>252</v>
      </c>
      <c r="U2267" s="136">
        <v>218</v>
      </c>
      <c r="V2267" s="135" t="s">
        <v>252</v>
      </c>
      <c r="W2267" s="136">
        <v>151</v>
      </c>
      <c r="X2267" s="135" t="s">
        <v>252</v>
      </c>
      <c r="Y2267" s="136">
        <v>141</v>
      </c>
      <c r="Z2267" s="135" t="s">
        <v>252</v>
      </c>
      <c r="AA2267" s="136">
        <v>88</v>
      </c>
      <c r="AB2267" s="135" t="s">
        <v>252</v>
      </c>
      <c r="AC2267" s="136">
        <v>716</v>
      </c>
      <c r="AD2267" s="135" t="s">
        <v>252</v>
      </c>
      <c r="AE2267" s="136">
        <v>167</v>
      </c>
      <c r="AF2267" s="135" t="s">
        <v>252</v>
      </c>
      <c r="AG2267" s="136">
        <v>160</v>
      </c>
      <c r="AH2267" s="135" t="s">
        <v>252</v>
      </c>
      <c r="AI2267" s="136">
        <v>291</v>
      </c>
      <c r="AJ2267" s="135" t="s">
        <v>252</v>
      </c>
      <c r="AK2267" s="136">
        <v>312</v>
      </c>
      <c r="AL2267" s="135" t="s">
        <v>252</v>
      </c>
      <c r="AM2267" s="136">
        <f t="shared" si="14"/>
        <v>2816</v>
      </c>
    </row>
    <row r="2268" spans="2:39" ht="20.25" hidden="1" outlineLevel="1">
      <c r="B2268" s="149" t="s">
        <v>1353</v>
      </c>
      <c r="C2268" s="135" t="s">
        <v>1402</v>
      </c>
      <c r="D2268" s="152" t="s">
        <v>1403</v>
      </c>
      <c r="E2268" s="137" t="s">
        <v>44</v>
      </c>
      <c r="F2268" s="138" t="s">
        <v>45</v>
      </c>
      <c r="G2268" s="136"/>
      <c r="H2268" s="136"/>
      <c r="I2268" s="136"/>
      <c r="J2268" s="136"/>
      <c r="K2268" s="136"/>
      <c r="L2268" s="136"/>
      <c r="M2268" s="136">
        <v>14978</v>
      </c>
      <c r="N2268" s="136">
        <v>10423</v>
      </c>
      <c r="O2268" s="136">
        <v>760</v>
      </c>
      <c r="P2268" s="135" t="s">
        <v>252</v>
      </c>
      <c r="Q2268" s="136">
        <v>737</v>
      </c>
      <c r="R2268" s="135" t="s">
        <v>252</v>
      </c>
      <c r="S2268" s="136">
        <v>505</v>
      </c>
      <c r="T2268" s="135" t="s">
        <v>252</v>
      </c>
      <c r="U2268" s="136">
        <v>488</v>
      </c>
      <c r="V2268" s="135" t="s">
        <v>252</v>
      </c>
      <c r="W2268" s="136">
        <v>414</v>
      </c>
      <c r="X2268" s="135" t="s">
        <v>252</v>
      </c>
      <c r="Y2268" s="136">
        <v>419</v>
      </c>
      <c r="Z2268" s="135" t="s">
        <v>252</v>
      </c>
      <c r="AA2268" s="136">
        <v>326</v>
      </c>
      <c r="AB2268" s="135" t="s">
        <v>252</v>
      </c>
      <c r="AC2268" s="136">
        <v>310</v>
      </c>
      <c r="AD2268" s="135" t="s">
        <v>252</v>
      </c>
      <c r="AE2268" s="136">
        <v>421</v>
      </c>
      <c r="AF2268" s="135" t="s">
        <v>252</v>
      </c>
      <c r="AG2268" s="136">
        <v>314</v>
      </c>
      <c r="AH2268" s="135" t="s">
        <v>252</v>
      </c>
      <c r="AI2268" s="136">
        <v>803</v>
      </c>
      <c r="AJ2268" s="135" t="s">
        <v>252</v>
      </c>
      <c r="AK2268" s="136">
        <v>803</v>
      </c>
      <c r="AL2268" s="135" t="s">
        <v>252</v>
      </c>
      <c r="AM2268" s="136">
        <f t="shared" si="14"/>
        <v>6300</v>
      </c>
    </row>
    <row r="2269" spans="2:39" ht="20.25" hidden="1" outlineLevel="1">
      <c r="B2269" s="149" t="s">
        <v>1354</v>
      </c>
      <c r="C2269" s="135" t="s">
        <v>1402</v>
      </c>
      <c r="D2269" s="152" t="s">
        <v>1403</v>
      </c>
      <c r="E2269" s="143" t="s">
        <v>138</v>
      </c>
      <c r="F2269" s="144" t="s">
        <v>45</v>
      </c>
      <c r="G2269" s="136"/>
      <c r="H2269" s="136"/>
      <c r="I2269" s="136"/>
      <c r="J2269" s="136"/>
      <c r="K2269" s="136"/>
      <c r="L2269" s="136"/>
      <c r="M2269" s="136">
        <v>1297</v>
      </c>
      <c r="N2269" s="136">
        <v>945</v>
      </c>
      <c r="O2269" s="136">
        <v>80</v>
      </c>
      <c r="P2269" s="135" t="s">
        <v>252</v>
      </c>
      <c r="Q2269" s="136">
        <v>113</v>
      </c>
      <c r="R2269" s="135" t="s">
        <v>252</v>
      </c>
      <c r="S2269" s="136">
        <v>95</v>
      </c>
      <c r="T2269" s="135" t="s">
        <v>252</v>
      </c>
      <c r="U2269" s="136">
        <v>108</v>
      </c>
      <c r="V2269" s="135" t="s">
        <v>252</v>
      </c>
      <c r="W2269" s="136">
        <v>110</v>
      </c>
      <c r="X2269" s="135" t="s">
        <v>252</v>
      </c>
      <c r="Y2269" s="136">
        <v>124</v>
      </c>
      <c r="Z2269" s="135" t="s">
        <v>252</v>
      </c>
      <c r="AA2269" s="136">
        <v>99</v>
      </c>
      <c r="AB2269" s="135" t="s">
        <v>252</v>
      </c>
      <c r="AC2269" s="136">
        <v>44</v>
      </c>
      <c r="AD2269" s="135" t="s">
        <v>252</v>
      </c>
      <c r="AE2269" s="136">
        <v>118</v>
      </c>
      <c r="AF2269" s="135" t="s">
        <v>252</v>
      </c>
      <c r="AG2269" s="136">
        <v>115</v>
      </c>
      <c r="AH2269" s="135" t="s">
        <v>252</v>
      </c>
      <c r="AI2269" s="136">
        <v>93</v>
      </c>
      <c r="AJ2269" s="135" t="s">
        <v>252</v>
      </c>
      <c r="AK2269" s="136">
        <v>123</v>
      </c>
      <c r="AL2269" s="135" t="s">
        <v>252</v>
      </c>
      <c r="AM2269" s="136">
        <f t="shared" si="14"/>
        <v>1222</v>
      </c>
    </row>
    <row r="2270" spans="2:39" ht="20.25" hidden="1" outlineLevel="1">
      <c r="B2270" s="149" t="s">
        <v>1354</v>
      </c>
      <c r="C2270" s="135" t="s">
        <v>1402</v>
      </c>
      <c r="D2270" s="152" t="s">
        <v>1403</v>
      </c>
      <c r="E2270" s="137" t="s">
        <v>44</v>
      </c>
      <c r="F2270" s="144" t="s">
        <v>45</v>
      </c>
      <c r="G2270" s="136"/>
      <c r="H2270" s="136"/>
      <c r="I2270" s="136"/>
      <c r="J2270" s="136"/>
      <c r="K2270" s="136"/>
      <c r="L2270" s="136"/>
      <c r="M2270" s="136">
        <v>6682</v>
      </c>
      <c r="N2270" s="136">
        <v>6301</v>
      </c>
      <c r="O2270" s="136">
        <v>559</v>
      </c>
      <c r="P2270" s="135" t="s">
        <v>252</v>
      </c>
      <c r="Q2270" s="136">
        <v>360</v>
      </c>
      <c r="R2270" s="135" t="s">
        <v>252</v>
      </c>
      <c r="S2270" s="136">
        <v>251</v>
      </c>
      <c r="T2270" s="135" t="s">
        <v>252</v>
      </c>
      <c r="U2270" s="136">
        <v>379</v>
      </c>
      <c r="V2270" s="135" t="s">
        <v>252</v>
      </c>
      <c r="W2270" s="136">
        <v>3339</v>
      </c>
      <c r="X2270" s="135" t="s">
        <v>252</v>
      </c>
      <c r="Y2270" s="136">
        <v>381</v>
      </c>
      <c r="Z2270" s="135" t="s">
        <v>252</v>
      </c>
      <c r="AA2270" s="136">
        <v>281</v>
      </c>
      <c r="AB2270" s="135" t="s">
        <v>252</v>
      </c>
      <c r="AC2270" s="136">
        <v>253</v>
      </c>
      <c r="AD2270" s="135" t="s">
        <v>252</v>
      </c>
      <c r="AE2270" s="136">
        <v>384</v>
      </c>
      <c r="AF2270" s="135" t="s">
        <v>252</v>
      </c>
      <c r="AG2270" s="136">
        <v>379</v>
      </c>
      <c r="AH2270" s="135" t="s">
        <v>252</v>
      </c>
      <c r="AI2270" s="136">
        <v>387</v>
      </c>
      <c r="AJ2270" s="135" t="s">
        <v>252</v>
      </c>
      <c r="AK2270" s="136">
        <v>576</v>
      </c>
      <c r="AL2270" s="135" t="s">
        <v>252</v>
      </c>
      <c r="AM2270" s="136">
        <f t="shared" si="14"/>
        <v>7529</v>
      </c>
    </row>
    <row r="2271" spans="2:39" ht="20.25" hidden="1" outlineLevel="1">
      <c r="B2271" s="149" t="s">
        <v>1355</v>
      </c>
      <c r="C2271" s="135" t="s">
        <v>1402</v>
      </c>
      <c r="D2271" s="152" t="s">
        <v>1403</v>
      </c>
      <c r="E2271" s="143" t="s">
        <v>138</v>
      </c>
      <c r="F2271" s="138" t="s">
        <v>45</v>
      </c>
      <c r="G2271" s="136"/>
      <c r="H2271" s="136"/>
      <c r="I2271" s="136"/>
      <c r="J2271" s="136"/>
      <c r="K2271" s="136"/>
      <c r="L2271" s="136"/>
      <c r="M2271" s="136">
        <v>6491</v>
      </c>
      <c r="N2271" s="136">
        <v>7622</v>
      </c>
      <c r="O2271" s="136">
        <v>477</v>
      </c>
      <c r="P2271" s="135" t="s">
        <v>252</v>
      </c>
      <c r="Q2271" s="136">
        <v>635</v>
      </c>
      <c r="R2271" s="135" t="s">
        <v>252</v>
      </c>
      <c r="S2271" s="136">
        <v>509</v>
      </c>
      <c r="T2271" s="135" t="s">
        <v>252</v>
      </c>
      <c r="U2271" s="136">
        <v>508</v>
      </c>
      <c r="V2271" s="135" t="s">
        <v>252</v>
      </c>
      <c r="W2271" s="136">
        <v>522</v>
      </c>
      <c r="X2271" s="135" t="s">
        <v>252</v>
      </c>
      <c r="Y2271" s="136">
        <v>630</v>
      </c>
      <c r="Z2271" s="135" t="s">
        <v>252</v>
      </c>
      <c r="AA2271" s="136">
        <v>548</v>
      </c>
      <c r="AB2271" s="135" t="s">
        <v>252</v>
      </c>
      <c r="AC2271" s="136">
        <v>548</v>
      </c>
      <c r="AD2271" s="135" t="s">
        <v>252</v>
      </c>
      <c r="AE2271" s="136">
        <v>579</v>
      </c>
      <c r="AF2271" s="135" t="s">
        <v>252</v>
      </c>
      <c r="AG2271" s="136">
        <v>306</v>
      </c>
      <c r="AH2271" s="135" t="s">
        <v>252</v>
      </c>
      <c r="AI2271" s="136">
        <v>543</v>
      </c>
      <c r="AJ2271" s="135" t="s">
        <v>252</v>
      </c>
      <c r="AK2271" s="136">
        <v>518</v>
      </c>
      <c r="AL2271" s="135" t="s">
        <v>252</v>
      </c>
      <c r="AM2271" s="136">
        <f t="shared" si="14"/>
        <v>6323</v>
      </c>
    </row>
    <row r="2272" spans="2:39" ht="20.25" hidden="1" outlineLevel="1">
      <c r="B2272" s="149" t="s">
        <v>1355</v>
      </c>
      <c r="C2272" s="135" t="s">
        <v>1402</v>
      </c>
      <c r="D2272" s="152" t="s">
        <v>1403</v>
      </c>
      <c r="E2272" s="137" t="s">
        <v>44</v>
      </c>
      <c r="F2272" s="138" t="s">
        <v>45</v>
      </c>
      <c r="G2272" s="136"/>
      <c r="H2272" s="136"/>
      <c r="I2272" s="136"/>
      <c r="J2272" s="136"/>
      <c r="K2272" s="136"/>
      <c r="L2272" s="136"/>
      <c r="M2272" s="136">
        <v>3451</v>
      </c>
      <c r="N2272" s="136">
        <v>4101</v>
      </c>
      <c r="O2272" s="136">
        <v>584</v>
      </c>
      <c r="P2272" s="135" t="s">
        <v>252</v>
      </c>
      <c r="Q2272" s="136">
        <v>422</v>
      </c>
      <c r="R2272" s="135" t="s">
        <v>252</v>
      </c>
      <c r="S2272" s="136">
        <v>203</v>
      </c>
      <c r="T2272" s="135" t="s">
        <v>252</v>
      </c>
      <c r="U2272" s="136">
        <v>257</v>
      </c>
      <c r="V2272" s="135" t="s">
        <v>252</v>
      </c>
      <c r="W2272" s="136">
        <v>235</v>
      </c>
      <c r="X2272" s="135" t="s">
        <v>252</v>
      </c>
      <c r="Y2272" s="136">
        <v>240</v>
      </c>
      <c r="Z2272" s="135" t="s">
        <v>252</v>
      </c>
      <c r="AA2272" s="136">
        <v>205</v>
      </c>
      <c r="AB2272" s="135" t="s">
        <v>252</v>
      </c>
      <c r="AC2272" s="136">
        <v>248</v>
      </c>
      <c r="AD2272" s="135" t="s">
        <v>252</v>
      </c>
      <c r="AE2272" s="136">
        <v>279</v>
      </c>
      <c r="AF2272" s="135" t="s">
        <v>252</v>
      </c>
      <c r="AG2272" s="136">
        <v>163</v>
      </c>
      <c r="AH2272" s="135" t="s">
        <v>252</v>
      </c>
      <c r="AI2272" s="136">
        <v>406</v>
      </c>
      <c r="AJ2272" s="135" t="s">
        <v>252</v>
      </c>
      <c r="AK2272" s="136">
        <v>318</v>
      </c>
      <c r="AL2272" s="135" t="s">
        <v>252</v>
      </c>
      <c r="AM2272" s="136">
        <f t="shared" si="14"/>
        <v>3560</v>
      </c>
    </row>
    <row r="2273" spans="2:39" ht="20.25" hidden="1" outlineLevel="1">
      <c r="B2273" s="149" t="s">
        <v>1356</v>
      </c>
      <c r="C2273" s="135" t="s">
        <v>1402</v>
      </c>
      <c r="D2273" s="152" t="s">
        <v>1403</v>
      </c>
      <c r="E2273" s="137" t="s">
        <v>44</v>
      </c>
      <c r="F2273" s="138" t="s">
        <v>45</v>
      </c>
      <c r="G2273" s="136"/>
      <c r="H2273" s="136"/>
      <c r="I2273" s="136"/>
      <c r="J2273" s="136"/>
      <c r="K2273" s="136"/>
      <c r="L2273" s="136"/>
      <c r="M2273" s="136">
        <v>3286</v>
      </c>
      <c r="N2273" s="136">
        <v>25556</v>
      </c>
      <c r="O2273" s="136">
        <v>248</v>
      </c>
      <c r="P2273" s="135" t="s">
        <v>252</v>
      </c>
      <c r="Q2273" s="136">
        <v>251</v>
      </c>
      <c r="R2273" s="135" t="s">
        <v>252</v>
      </c>
      <c r="S2273" s="136">
        <v>201</v>
      </c>
      <c r="T2273" s="135" t="s">
        <v>252</v>
      </c>
      <c r="U2273" s="136">
        <v>181</v>
      </c>
      <c r="V2273" s="135" t="s">
        <v>252</v>
      </c>
      <c r="W2273" s="136">
        <v>161</v>
      </c>
      <c r="X2273" s="135" t="s">
        <v>252</v>
      </c>
      <c r="Y2273" s="136">
        <v>112</v>
      </c>
      <c r="Z2273" s="135" t="s">
        <v>252</v>
      </c>
      <c r="AA2273" s="136">
        <v>86</v>
      </c>
      <c r="AB2273" s="135" t="s">
        <v>252</v>
      </c>
      <c r="AC2273" s="136">
        <v>112</v>
      </c>
      <c r="AD2273" s="135" t="s">
        <v>252</v>
      </c>
      <c r="AE2273" s="136">
        <v>134</v>
      </c>
      <c r="AF2273" s="135" t="s">
        <v>252</v>
      </c>
      <c r="AG2273" s="136">
        <v>200</v>
      </c>
      <c r="AH2273" s="135" t="s">
        <v>252</v>
      </c>
      <c r="AI2273" s="136">
        <v>274</v>
      </c>
      <c r="AJ2273" s="135" t="s">
        <v>252</v>
      </c>
      <c r="AK2273" s="136">
        <v>249</v>
      </c>
      <c r="AL2273" s="135" t="s">
        <v>252</v>
      </c>
      <c r="AM2273" s="136">
        <f t="shared" si="14"/>
        <v>2209</v>
      </c>
    </row>
    <row r="2274" spans="2:39" ht="20.25" hidden="1" outlineLevel="1">
      <c r="B2274" s="149" t="s">
        <v>1357</v>
      </c>
      <c r="C2274" s="135" t="s">
        <v>1402</v>
      </c>
      <c r="D2274" s="152" t="s">
        <v>1403</v>
      </c>
      <c r="E2274" s="137" t="s">
        <v>44</v>
      </c>
      <c r="F2274" s="138" t="s">
        <v>45</v>
      </c>
      <c r="G2274" s="136"/>
      <c r="H2274" s="136"/>
      <c r="I2274" s="136"/>
      <c r="J2274" s="136"/>
      <c r="K2274" s="136"/>
      <c r="L2274" s="136"/>
      <c r="M2274" s="136">
        <v>3504</v>
      </c>
      <c r="N2274" s="136">
        <v>3734</v>
      </c>
      <c r="O2274" s="136">
        <v>322</v>
      </c>
      <c r="P2274" s="135" t="s">
        <v>252</v>
      </c>
      <c r="Q2274" s="136">
        <v>310</v>
      </c>
      <c r="R2274" s="135" t="s">
        <v>252</v>
      </c>
      <c r="S2274" s="136">
        <v>170</v>
      </c>
      <c r="T2274" s="135" t="s">
        <v>252</v>
      </c>
      <c r="U2274" s="136">
        <v>223</v>
      </c>
      <c r="V2274" s="135" t="s">
        <v>252</v>
      </c>
      <c r="W2274" s="136">
        <v>172</v>
      </c>
      <c r="X2274" s="135" t="s">
        <v>252</v>
      </c>
      <c r="Y2274" s="136">
        <v>169</v>
      </c>
      <c r="Z2274" s="135" t="s">
        <v>252</v>
      </c>
      <c r="AA2274" s="136">
        <v>113</v>
      </c>
      <c r="AB2274" s="135" t="s">
        <v>252</v>
      </c>
      <c r="AC2274" s="136">
        <v>127</v>
      </c>
      <c r="AD2274" s="135" t="s">
        <v>252</v>
      </c>
      <c r="AE2274" s="136">
        <v>245</v>
      </c>
      <c r="AF2274" s="135" t="s">
        <v>252</v>
      </c>
      <c r="AG2274" s="136">
        <v>307</v>
      </c>
      <c r="AH2274" s="135" t="s">
        <v>252</v>
      </c>
      <c r="AI2274" s="136">
        <v>310</v>
      </c>
      <c r="AJ2274" s="135" t="s">
        <v>252</v>
      </c>
      <c r="AK2274" s="136">
        <v>203</v>
      </c>
      <c r="AL2274" s="135" t="s">
        <v>252</v>
      </c>
      <c r="AM2274" s="136">
        <f t="shared" si="14"/>
        <v>2671</v>
      </c>
    </row>
    <row r="2275" spans="2:39" ht="20.25" hidden="1" outlineLevel="1">
      <c r="B2275" s="149" t="s">
        <v>1358</v>
      </c>
      <c r="C2275" s="135" t="s">
        <v>1402</v>
      </c>
      <c r="D2275" s="152" t="s">
        <v>1403</v>
      </c>
      <c r="E2275" s="143" t="s">
        <v>138</v>
      </c>
      <c r="F2275" s="138" t="s">
        <v>45</v>
      </c>
      <c r="G2275" s="136"/>
      <c r="H2275" s="136"/>
      <c r="I2275" s="136"/>
      <c r="J2275" s="136"/>
      <c r="K2275" s="136"/>
      <c r="L2275" s="136"/>
      <c r="M2275" s="136">
        <v>5668</v>
      </c>
      <c r="N2275" s="136">
        <v>20619</v>
      </c>
      <c r="O2275" s="136">
        <v>370</v>
      </c>
      <c r="P2275" s="135" t="s">
        <v>252</v>
      </c>
      <c r="Q2275" s="136">
        <v>475</v>
      </c>
      <c r="R2275" s="135" t="s">
        <v>252</v>
      </c>
      <c r="S2275" s="136">
        <v>269</v>
      </c>
      <c r="T2275" s="135" t="s">
        <v>252</v>
      </c>
      <c r="U2275" s="136">
        <v>402</v>
      </c>
      <c r="V2275" s="135" t="s">
        <v>252</v>
      </c>
      <c r="W2275" s="136">
        <v>363</v>
      </c>
      <c r="X2275" s="135" t="s">
        <v>252</v>
      </c>
      <c r="Y2275" s="136">
        <v>393</v>
      </c>
      <c r="Z2275" s="135" t="s">
        <v>252</v>
      </c>
      <c r="AA2275" s="136">
        <v>337</v>
      </c>
      <c r="AB2275" s="135" t="s">
        <v>252</v>
      </c>
      <c r="AC2275" s="136">
        <v>387</v>
      </c>
      <c r="AD2275" s="135" t="s">
        <v>252</v>
      </c>
      <c r="AE2275" s="136">
        <v>369</v>
      </c>
      <c r="AF2275" s="135" t="s">
        <v>252</v>
      </c>
      <c r="AG2275" s="136">
        <v>254</v>
      </c>
      <c r="AH2275" s="135" t="s">
        <v>252</v>
      </c>
      <c r="AI2275" s="136">
        <v>440</v>
      </c>
      <c r="AJ2275" s="135" t="s">
        <v>252</v>
      </c>
      <c r="AK2275" s="136">
        <v>421</v>
      </c>
      <c r="AL2275" s="135" t="s">
        <v>252</v>
      </c>
      <c r="AM2275" s="136">
        <f t="shared" si="14"/>
        <v>4480</v>
      </c>
    </row>
    <row r="2276" spans="2:39" ht="20.25" hidden="1" outlineLevel="1">
      <c r="B2276" s="149" t="s">
        <v>1358</v>
      </c>
      <c r="C2276" s="135" t="s">
        <v>1402</v>
      </c>
      <c r="D2276" s="152" t="s">
        <v>1403</v>
      </c>
      <c r="E2276" s="137" t="s">
        <v>44</v>
      </c>
      <c r="F2276" s="138" t="s">
        <v>45</v>
      </c>
      <c r="G2276" s="136"/>
      <c r="H2276" s="136"/>
      <c r="I2276" s="136"/>
      <c r="J2276" s="136"/>
      <c r="K2276" s="136"/>
      <c r="L2276" s="136"/>
      <c r="M2276" s="136">
        <v>19343</v>
      </c>
      <c r="N2276" s="136">
        <v>20619</v>
      </c>
      <c r="O2276" s="136">
        <v>981</v>
      </c>
      <c r="P2276" s="135" t="s">
        <v>252</v>
      </c>
      <c r="Q2276" s="136">
        <v>908</v>
      </c>
      <c r="R2276" s="135" t="s">
        <v>252</v>
      </c>
      <c r="S2276" s="136">
        <v>1402</v>
      </c>
      <c r="T2276" s="135" t="s">
        <v>252</v>
      </c>
      <c r="U2276" s="136">
        <v>1211</v>
      </c>
      <c r="V2276" s="135" t="s">
        <v>252</v>
      </c>
      <c r="W2276" s="136">
        <v>950</v>
      </c>
      <c r="X2276" s="135" t="s">
        <v>252</v>
      </c>
      <c r="Y2276" s="136">
        <v>1074</v>
      </c>
      <c r="Z2276" s="135" t="s">
        <v>252</v>
      </c>
      <c r="AA2276" s="136">
        <v>942</v>
      </c>
      <c r="AB2276" s="135" t="s">
        <v>252</v>
      </c>
      <c r="AC2276" s="136">
        <v>1144</v>
      </c>
      <c r="AD2276" s="135" t="s">
        <v>252</v>
      </c>
      <c r="AE2276" s="136">
        <v>973</v>
      </c>
      <c r="AF2276" s="135" t="s">
        <v>252</v>
      </c>
      <c r="AG2276" s="136">
        <v>855</v>
      </c>
      <c r="AH2276" s="135" t="s">
        <v>252</v>
      </c>
      <c r="AI2276" s="136">
        <v>1371</v>
      </c>
      <c r="AJ2276" s="135" t="s">
        <v>252</v>
      </c>
      <c r="AK2276" s="136">
        <v>1182</v>
      </c>
      <c r="AL2276" s="135" t="s">
        <v>252</v>
      </c>
      <c r="AM2276" s="136">
        <f t="shared" si="14"/>
        <v>12993</v>
      </c>
    </row>
    <row r="2277" spans="2:39" ht="20.25" hidden="1" outlineLevel="1">
      <c r="B2277" s="149" t="s">
        <v>1359</v>
      </c>
      <c r="C2277" s="135" t="s">
        <v>1402</v>
      </c>
      <c r="D2277" s="152" t="s">
        <v>1403</v>
      </c>
      <c r="E2277" s="137" t="s">
        <v>44</v>
      </c>
      <c r="F2277" s="138" t="s">
        <v>45</v>
      </c>
      <c r="G2277" s="136"/>
      <c r="H2277" s="136"/>
      <c r="I2277" s="136"/>
      <c r="J2277" s="136"/>
      <c r="K2277" s="136"/>
      <c r="L2277" s="136"/>
      <c r="M2277" s="136">
        <v>7393</v>
      </c>
      <c r="N2277" s="136">
        <v>8621</v>
      </c>
      <c r="O2277" s="136">
        <v>754</v>
      </c>
      <c r="P2277" s="135" t="s">
        <v>252</v>
      </c>
      <c r="Q2277" s="136">
        <v>773</v>
      </c>
      <c r="R2277" s="135" t="s">
        <v>252</v>
      </c>
      <c r="S2277" s="136">
        <v>411</v>
      </c>
      <c r="T2277" s="135" t="s">
        <v>252</v>
      </c>
      <c r="U2277" s="136">
        <v>745</v>
      </c>
      <c r="V2277" s="135" t="s">
        <v>252</v>
      </c>
      <c r="W2277" s="136">
        <v>646</v>
      </c>
      <c r="X2277" s="135" t="s">
        <v>252</v>
      </c>
      <c r="Y2277" s="136">
        <v>574</v>
      </c>
      <c r="Z2277" s="135" t="s">
        <v>252</v>
      </c>
      <c r="AA2277" s="136">
        <v>410</v>
      </c>
      <c r="AB2277" s="135" t="s">
        <v>252</v>
      </c>
      <c r="AC2277" s="136">
        <v>350</v>
      </c>
      <c r="AD2277" s="135" t="s">
        <v>252</v>
      </c>
      <c r="AE2277" s="136">
        <v>350</v>
      </c>
      <c r="AF2277" s="135" t="s">
        <v>252</v>
      </c>
      <c r="AG2277" s="136">
        <v>350</v>
      </c>
      <c r="AH2277" s="135" t="s">
        <v>252</v>
      </c>
      <c r="AI2277" s="136">
        <v>350</v>
      </c>
      <c r="AJ2277" s="135" t="s">
        <v>252</v>
      </c>
      <c r="AK2277" s="136">
        <v>350</v>
      </c>
      <c r="AL2277" s="135" t="s">
        <v>252</v>
      </c>
      <c r="AM2277" s="136">
        <f t="shared" si="14"/>
        <v>6063</v>
      </c>
    </row>
    <row r="2278" spans="2:39" ht="20.25" hidden="1" outlineLevel="1">
      <c r="B2278" s="149" t="s">
        <v>1360</v>
      </c>
      <c r="C2278" s="135" t="s">
        <v>1402</v>
      </c>
      <c r="D2278" s="152" t="s">
        <v>1403</v>
      </c>
      <c r="E2278" s="137" t="s">
        <v>44</v>
      </c>
      <c r="F2278" s="138" t="s">
        <v>45</v>
      </c>
      <c r="G2278" s="136"/>
      <c r="H2278" s="136"/>
      <c r="I2278" s="136"/>
      <c r="J2278" s="136"/>
      <c r="K2278" s="136"/>
      <c r="L2278" s="136"/>
      <c r="M2278" s="136">
        <v>6772</v>
      </c>
      <c r="N2278" s="136">
        <v>8887</v>
      </c>
      <c r="O2278" s="136">
        <v>695</v>
      </c>
      <c r="P2278" s="135" t="s">
        <v>252</v>
      </c>
      <c r="Q2278" s="136">
        <v>664</v>
      </c>
      <c r="R2278" s="135" t="s">
        <v>252</v>
      </c>
      <c r="S2278" s="136">
        <v>473</v>
      </c>
      <c r="T2278" s="135" t="s">
        <v>252</v>
      </c>
      <c r="U2278" s="136">
        <v>549</v>
      </c>
      <c r="V2278" s="135" t="s">
        <v>252</v>
      </c>
      <c r="W2278" s="136">
        <v>371</v>
      </c>
      <c r="X2278" s="135" t="s">
        <v>252</v>
      </c>
      <c r="Y2278" s="136">
        <v>351</v>
      </c>
      <c r="Z2278" s="135" t="s">
        <v>252</v>
      </c>
      <c r="AA2278" s="136">
        <v>420</v>
      </c>
      <c r="AB2278" s="135" t="s">
        <v>252</v>
      </c>
      <c r="AC2278" s="136">
        <v>429</v>
      </c>
      <c r="AD2278" s="135" t="s">
        <v>252</v>
      </c>
      <c r="AE2278" s="136">
        <v>508</v>
      </c>
      <c r="AF2278" s="135" t="s">
        <v>252</v>
      </c>
      <c r="AG2278" s="136">
        <v>526</v>
      </c>
      <c r="AH2278" s="135" t="s">
        <v>252</v>
      </c>
      <c r="AI2278" s="136">
        <v>661</v>
      </c>
      <c r="AJ2278" s="135" t="s">
        <v>252</v>
      </c>
      <c r="AK2278" s="136">
        <v>703</v>
      </c>
      <c r="AL2278" s="135" t="s">
        <v>252</v>
      </c>
      <c r="AM2278" s="136">
        <f t="shared" si="14"/>
        <v>6350</v>
      </c>
    </row>
    <row r="2279" spans="2:39" ht="20.25" hidden="1" outlineLevel="1">
      <c r="B2279" s="149" t="s">
        <v>1361</v>
      </c>
      <c r="C2279" s="135" t="s">
        <v>1402</v>
      </c>
      <c r="D2279" s="152" t="s">
        <v>1403</v>
      </c>
      <c r="E2279" s="137" t="s">
        <v>44</v>
      </c>
      <c r="F2279" s="138" t="s">
        <v>45</v>
      </c>
      <c r="G2279" s="136"/>
      <c r="H2279" s="136"/>
      <c r="I2279" s="136"/>
      <c r="J2279" s="136"/>
      <c r="K2279" s="136"/>
      <c r="L2279" s="136"/>
      <c r="M2279" s="136">
        <v>3562</v>
      </c>
      <c r="N2279" s="136">
        <v>3951</v>
      </c>
      <c r="O2279" s="136">
        <v>389</v>
      </c>
      <c r="P2279" s="135" t="s">
        <v>252</v>
      </c>
      <c r="Q2279" s="136">
        <v>664</v>
      </c>
      <c r="R2279" s="135" t="s">
        <v>252</v>
      </c>
      <c r="S2279" s="136">
        <v>232</v>
      </c>
      <c r="T2279" s="135" t="s">
        <v>252</v>
      </c>
      <c r="U2279" s="136">
        <v>291</v>
      </c>
      <c r="V2279" s="135" t="s">
        <v>252</v>
      </c>
      <c r="W2279" s="136">
        <v>200</v>
      </c>
      <c r="X2279" s="135" t="s">
        <v>252</v>
      </c>
      <c r="Y2279" s="136">
        <v>190</v>
      </c>
      <c r="Z2279" s="135" t="s">
        <v>252</v>
      </c>
      <c r="AA2279" s="136">
        <v>172</v>
      </c>
      <c r="AB2279" s="135" t="s">
        <v>252</v>
      </c>
      <c r="AC2279" s="136">
        <v>175</v>
      </c>
      <c r="AD2279" s="135" t="s">
        <v>252</v>
      </c>
      <c r="AE2279" s="136">
        <v>243</v>
      </c>
      <c r="AF2279" s="135" t="s">
        <v>252</v>
      </c>
      <c r="AG2279" s="136">
        <v>353</v>
      </c>
      <c r="AH2279" s="135" t="s">
        <v>252</v>
      </c>
      <c r="AI2279" s="136">
        <v>350</v>
      </c>
      <c r="AJ2279" s="135" t="s">
        <v>252</v>
      </c>
      <c r="AK2279" s="136">
        <v>324</v>
      </c>
      <c r="AL2279" s="135" t="s">
        <v>252</v>
      </c>
      <c r="AM2279" s="136">
        <f t="shared" si="14"/>
        <v>3583</v>
      </c>
    </row>
    <row r="2280" spans="2:39" ht="20.25" hidden="1" outlineLevel="1">
      <c r="B2280" s="149" t="s">
        <v>1362</v>
      </c>
      <c r="C2280" s="135" t="s">
        <v>1402</v>
      </c>
      <c r="D2280" s="152" t="s">
        <v>1403</v>
      </c>
      <c r="E2280" s="143" t="s">
        <v>138</v>
      </c>
      <c r="F2280" s="144" t="s">
        <v>45</v>
      </c>
      <c r="G2280" s="136"/>
      <c r="H2280" s="136"/>
      <c r="I2280" s="136"/>
      <c r="J2280" s="136"/>
      <c r="K2280" s="136"/>
      <c r="L2280" s="136"/>
      <c r="M2280" s="136">
        <v>6933</v>
      </c>
      <c r="N2280" s="136">
        <v>8362</v>
      </c>
      <c r="O2280" s="136">
        <v>320</v>
      </c>
      <c r="P2280" s="135" t="s">
        <v>252</v>
      </c>
      <c r="Q2280" s="136">
        <v>414</v>
      </c>
      <c r="R2280" s="135" t="s">
        <v>252</v>
      </c>
      <c r="S2280" s="136">
        <v>720</v>
      </c>
      <c r="T2280" s="135" t="s">
        <v>252</v>
      </c>
      <c r="U2280" s="136">
        <v>622</v>
      </c>
      <c r="V2280" s="135" t="s">
        <v>252</v>
      </c>
      <c r="W2280" s="136">
        <v>513</v>
      </c>
      <c r="X2280" s="135" t="s">
        <v>252</v>
      </c>
      <c r="Y2280" s="136">
        <v>611</v>
      </c>
      <c r="Z2280" s="135" t="s">
        <v>252</v>
      </c>
      <c r="AA2280" s="136">
        <v>563</v>
      </c>
      <c r="AB2280" s="135" t="s">
        <v>252</v>
      </c>
      <c r="AC2280" s="136">
        <v>545</v>
      </c>
      <c r="AD2280" s="135" t="s">
        <v>252</v>
      </c>
      <c r="AE2280" s="136">
        <v>639</v>
      </c>
      <c r="AF2280" s="135" t="s">
        <v>252</v>
      </c>
      <c r="AG2280" s="136">
        <v>589</v>
      </c>
      <c r="AH2280" s="135" t="s">
        <v>252</v>
      </c>
      <c r="AI2280" s="136">
        <v>529</v>
      </c>
      <c r="AJ2280" s="135" t="s">
        <v>252</v>
      </c>
      <c r="AK2280" s="136">
        <v>554</v>
      </c>
      <c r="AL2280" s="135" t="s">
        <v>252</v>
      </c>
      <c r="AM2280" s="136">
        <f t="shared" si="14"/>
        <v>6619</v>
      </c>
    </row>
    <row r="2281" spans="2:39" ht="20.25" hidden="1" outlineLevel="1">
      <c r="B2281" s="149" t="s">
        <v>1362</v>
      </c>
      <c r="C2281" s="135" t="s">
        <v>1402</v>
      </c>
      <c r="D2281" s="152" t="s">
        <v>1403</v>
      </c>
      <c r="E2281" s="137" t="s">
        <v>44</v>
      </c>
      <c r="F2281" s="144" t="s">
        <v>45</v>
      </c>
      <c r="G2281" s="136"/>
      <c r="H2281" s="136"/>
      <c r="I2281" s="136"/>
      <c r="J2281" s="136"/>
      <c r="K2281" s="136"/>
      <c r="L2281" s="136"/>
      <c r="M2281" s="136">
        <v>7451</v>
      </c>
      <c r="N2281" s="136">
        <v>8961</v>
      </c>
      <c r="O2281" s="136">
        <v>1058</v>
      </c>
      <c r="P2281" s="135" t="s">
        <v>252</v>
      </c>
      <c r="Q2281" s="136">
        <v>589</v>
      </c>
      <c r="R2281" s="135" t="s">
        <v>252</v>
      </c>
      <c r="S2281" s="136">
        <v>203</v>
      </c>
      <c r="T2281" s="135" t="s">
        <v>252</v>
      </c>
      <c r="U2281" s="136">
        <v>831</v>
      </c>
      <c r="V2281" s="135" t="s">
        <v>252</v>
      </c>
      <c r="W2281" s="136">
        <v>586</v>
      </c>
      <c r="X2281" s="135" t="s">
        <v>252</v>
      </c>
      <c r="Y2281" s="136">
        <v>749</v>
      </c>
      <c r="Z2281" s="135" t="s">
        <v>252</v>
      </c>
      <c r="AA2281" s="136">
        <v>574</v>
      </c>
      <c r="AB2281" s="135" t="s">
        <v>252</v>
      </c>
      <c r="AC2281" s="136">
        <v>626</v>
      </c>
      <c r="AD2281" s="135" t="s">
        <v>252</v>
      </c>
      <c r="AE2281" s="136">
        <v>723</v>
      </c>
      <c r="AF2281" s="135" t="s">
        <v>252</v>
      </c>
      <c r="AG2281" s="136">
        <v>609</v>
      </c>
      <c r="AH2281" s="135" t="s">
        <v>252</v>
      </c>
      <c r="AI2281" s="136">
        <v>680</v>
      </c>
      <c r="AJ2281" s="135" t="s">
        <v>252</v>
      </c>
      <c r="AK2281" s="136">
        <v>690</v>
      </c>
      <c r="AL2281" s="135" t="s">
        <v>252</v>
      </c>
      <c r="AM2281" s="136">
        <f t="shared" si="14"/>
        <v>7918</v>
      </c>
    </row>
    <row r="2282" spans="2:39" ht="20.25" hidden="1" outlineLevel="1">
      <c r="B2282" s="149" t="s">
        <v>1363</v>
      </c>
      <c r="C2282" s="135" t="s">
        <v>1402</v>
      </c>
      <c r="D2282" s="152" t="s">
        <v>1403</v>
      </c>
      <c r="E2282" s="137" t="s">
        <v>44</v>
      </c>
      <c r="F2282" s="138" t="s">
        <v>45</v>
      </c>
      <c r="G2282" s="136"/>
      <c r="H2282" s="136"/>
      <c r="I2282" s="136"/>
      <c r="J2282" s="136"/>
      <c r="K2282" s="136"/>
      <c r="L2282" s="136"/>
      <c r="M2282" s="136">
        <v>5037</v>
      </c>
      <c r="N2282" s="136">
        <v>3771</v>
      </c>
      <c r="O2282" s="136">
        <v>321</v>
      </c>
      <c r="P2282" s="135" t="s">
        <v>252</v>
      </c>
      <c r="Q2282" s="136">
        <v>344</v>
      </c>
      <c r="R2282" s="135" t="s">
        <v>252</v>
      </c>
      <c r="S2282" s="136">
        <v>232</v>
      </c>
      <c r="T2282" s="135" t="s">
        <v>252</v>
      </c>
      <c r="U2282" s="136">
        <v>215</v>
      </c>
      <c r="V2282" s="135" t="s">
        <v>252</v>
      </c>
      <c r="W2282" s="136">
        <v>185</v>
      </c>
      <c r="X2282" s="135" t="s">
        <v>252</v>
      </c>
      <c r="Y2282" s="136">
        <v>171</v>
      </c>
      <c r="Z2282" s="135" t="s">
        <v>252</v>
      </c>
      <c r="AA2282" s="136">
        <v>124</v>
      </c>
      <c r="AB2282" s="135" t="s">
        <v>252</v>
      </c>
      <c r="AC2282" s="136">
        <v>165</v>
      </c>
      <c r="AD2282" s="135" t="s">
        <v>252</v>
      </c>
      <c r="AE2282" s="136">
        <v>214</v>
      </c>
      <c r="AF2282" s="135" t="s">
        <v>252</v>
      </c>
      <c r="AG2282" s="136">
        <v>249</v>
      </c>
      <c r="AH2282" s="135" t="s">
        <v>252</v>
      </c>
      <c r="AI2282" s="136">
        <v>273</v>
      </c>
      <c r="AJ2282" s="135" t="s">
        <v>252</v>
      </c>
      <c r="AK2282" s="136">
        <v>358</v>
      </c>
      <c r="AL2282" s="135" t="s">
        <v>252</v>
      </c>
      <c r="AM2282" s="136">
        <f t="shared" si="14"/>
        <v>2851</v>
      </c>
    </row>
    <row r="2283" spans="2:39" ht="20.25" hidden="1" outlineLevel="1">
      <c r="B2283" s="149" t="s">
        <v>1364</v>
      </c>
      <c r="C2283" s="135" t="s">
        <v>1402</v>
      </c>
      <c r="D2283" s="152" t="s">
        <v>1403</v>
      </c>
      <c r="E2283" s="143" t="s">
        <v>138</v>
      </c>
      <c r="F2283" s="138" t="s">
        <v>45</v>
      </c>
      <c r="G2283" s="136"/>
      <c r="H2283" s="136"/>
      <c r="I2283" s="136"/>
      <c r="J2283" s="136"/>
      <c r="K2283" s="136"/>
      <c r="L2283" s="136"/>
      <c r="M2283" s="136">
        <v>8302</v>
      </c>
      <c r="N2283" s="136">
        <v>9401</v>
      </c>
      <c r="O2283" s="136">
        <v>389</v>
      </c>
      <c r="P2283" s="135" t="s">
        <v>252</v>
      </c>
      <c r="Q2283" s="136">
        <v>483</v>
      </c>
      <c r="R2283" s="135" t="s">
        <v>252</v>
      </c>
      <c r="S2283" s="136">
        <v>400</v>
      </c>
      <c r="T2283" s="135" t="s">
        <v>252</v>
      </c>
      <c r="U2283" s="136">
        <v>420</v>
      </c>
      <c r="V2283" s="135" t="s">
        <v>252</v>
      </c>
      <c r="W2283" s="136">
        <v>366</v>
      </c>
      <c r="X2283" s="135" t="s">
        <v>252</v>
      </c>
      <c r="Y2283" s="136">
        <v>425</v>
      </c>
      <c r="Z2283" s="135" t="s">
        <v>252</v>
      </c>
      <c r="AA2283" s="136">
        <v>347</v>
      </c>
      <c r="AB2283" s="135" t="s">
        <v>252</v>
      </c>
      <c r="AC2283" s="136">
        <v>339</v>
      </c>
      <c r="AD2283" s="135" t="s">
        <v>252</v>
      </c>
      <c r="AE2283" s="136">
        <v>384</v>
      </c>
      <c r="AF2283" s="135" t="s">
        <v>252</v>
      </c>
      <c r="AG2283" s="136">
        <v>281</v>
      </c>
      <c r="AH2283" s="135" t="s">
        <v>252</v>
      </c>
      <c r="AI2283" s="136">
        <v>499</v>
      </c>
      <c r="AJ2283" s="135" t="s">
        <v>252</v>
      </c>
      <c r="AK2283" s="136">
        <v>921</v>
      </c>
      <c r="AL2283" s="135" t="s">
        <v>252</v>
      </c>
      <c r="AM2283" s="136">
        <f t="shared" si="14"/>
        <v>5254</v>
      </c>
    </row>
    <row r="2284" spans="2:39" ht="20.25" hidden="1" outlineLevel="1">
      <c r="B2284" s="149" t="s">
        <v>1364</v>
      </c>
      <c r="C2284" s="135" t="s">
        <v>1402</v>
      </c>
      <c r="D2284" s="152" t="s">
        <v>1403</v>
      </c>
      <c r="E2284" s="137" t="s">
        <v>44</v>
      </c>
      <c r="F2284" s="138" t="s">
        <v>45</v>
      </c>
      <c r="G2284" s="136"/>
      <c r="H2284" s="136"/>
      <c r="I2284" s="136"/>
      <c r="J2284" s="136"/>
      <c r="K2284" s="136"/>
      <c r="L2284" s="136"/>
      <c r="M2284" s="136">
        <v>4708</v>
      </c>
      <c r="N2284" s="136">
        <v>6222</v>
      </c>
      <c r="O2284" s="136">
        <v>850</v>
      </c>
      <c r="P2284" s="135" t="s">
        <v>252</v>
      </c>
      <c r="Q2284" s="136">
        <v>999</v>
      </c>
      <c r="R2284" s="135" t="s">
        <v>252</v>
      </c>
      <c r="S2284" s="136">
        <v>828</v>
      </c>
      <c r="T2284" s="135" t="s">
        <v>252</v>
      </c>
      <c r="U2284" s="136">
        <v>807</v>
      </c>
      <c r="V2284" s="135" t="s">
        <v>252</v>
      </c>
      <c r="W2284" s="136">
        <v>696</v>
      </c>
      <c r="X2284" s="135" t="s">
        <v>252</v>
      </c>
      <c r="Y2284" s="136">
        <v>893</v>
      </c>
      <c r="Z2284" s="135" t="s">
        <v>252</v>
      </c>
      <c r="AA2284" s="136">
        <v>601</v>
      </c>
      <c r="AB2284" s="135" t="s">
        <v>252</v>
      </c>
      <c r="AC2284" s="136">
        <v>696</v>
      </c>
      <c r="AD2284" s="135" t="s">
        <v>252</v>
      </c>
      <c r="AE2284" s="136">
        <v>814</v>
      </c>
      <c r="AF2284" s="135" t="s">
        <v>252</v>
      </c>
      <c r="AG2284" s="136">
        <v>603</v>
      </c>
      <c r="AH2284" s="135" t="s">
        <v>252</v>
      </c>
      <c r="AI2284" s="136">
        <v>1390</v>
      </c>
      <c r="AJ2284" s="135" t="s">
        <v>252</v>
      </c>
      <c r="AK2284" s="136">
        <v>358</v>
      </c>
      <c r="AL2284" s="135" t="s">
        <v>252</v>
      </c>
      <c r="AM2284" s="136">
        <f t="shared" si="14"/>
        <v>9535</v>
      </c>
    </row>
    <row r="2285" spans="2:39" ht="20.25" hidden="1" outlineLevel="1">
      <c r="B2285" s="149" t="s">
        <v>1365</v>
      </c>
      <c r="C2285" s="135" t="s">
        <v>1402</v>
      </c>
      <c r="D2285" s="152" t="s">
        <v>1403</v>
      </c>
      <c r="E2285" s="137" t="s">
        <v>44</v>
      </c>
      <c r="F2285" s="138" t="s">
        <v>45</v>
      </c>
      <c r="G2285" s="136"/>
      <c r="H2285" s="136"/>
      <c r="I2285" s="136"/>
      <c r="J2285" s="136"/>
      <c r="K2285" s="136"/>
      <c r="L2285" s="136"/>
      <c r="M2285" s="136">
        <v>5285</v>
      </c>
      <c r="N2285" s="136">
        <v>4045</v>
      </c>
      <c r="O2285" s="136">
        <v>461</v>
      </c>
      <c r="P2285" s="135" t="s">
        <v>252</v>
      </c>
      <c r="Q2285" s="136">
        <v>456</v>
      </c>
      <c r="R2285" s="135" t="s">
        <v>252</v>
      </c>
      <c r="S2285" s="136">
        <v>295</v>
      </c>
      <c r="T2285" s="135" t="s">
        <v>252</v>
      </c>
      <c r="U2285" s="136">
        <v>195</v>
      </c>
      <c r="V2285" s="135" t="s">
        <v>252</v>
      </c>
      <c r="W2285" s="136">
        <v>152</v>
      </c>
      <c r="X2285" s="135" t="s">
        <v>252</v>
      </c>
      <c r="Y2285" s="136">
        <v>138</v>
      </c>
      <c r="Z2285" s="135" t="s">
        <v>252</v>
      </c>
      <c r="AA2285" s="136">
        <v>151</v>
      </c>
      <c r="AB2285" s="135" t="s">
        <v>252</v>
      </c>
      <c r="AC2285" s="136">
        <v>218</v>
      </c>
      <c r="AD2285" s="135" t="s">
        <v>252</v>
      </c>
      <c r="AE2285" s="136">
        <v>321</v>
      </c>
      <c r="AF2285" s="135" t="s">
        <v>252</v>
      </c>
      <c r="AG2285" s="136">
        <v>275</v>
      </c>
      <c r="AH2285" s="135" t="s">
        <v>252</v>
      </c>
      <c r="AI2285" s="136">
        <v>570</v>
      </c>
      <c r="AJ2285" s="135" t="s">
        <v>252</v>
      </c>
      <c r="AK2285" s="136">
        <v>388</v>
      </c>
      <c r="AL2285" s="135" t="s">
        <v>252</v>
      </c>
      <c r="AM2285" s="136">
        <f t="shared" si="14"/>
        <v>3620</v>
      </c>
    </row>
    <row r="2286" spans="2:39" ht="20.25" hidden="1" outlineLevel="1">
      <c r="B2286" s="149" t="s">
        <v>1366</v>
      </c>
      <c r="C2286" s="135" t="s">
        <v>1402</v>
      </c>
      <c r="D2286" s="152" t="s">
        <v>1403</v>
      </c>
      <c r="E2286" s="143" t="s">
        <v>138</v>
      </c>
      <c r="F2286" s="138" t="s">
        <v>45</v>
      </c>
      <c r="G2286" s="136"/>
      <c r="H2286" s="136"/>
      <c r="I2286" s="136"/>
      <c r="J2286" s="136"/>
      <c r="K2286" s="136"/>
      <c r="L2286" s="136"/>
      <c r="M2286" s="136">
        <v>3342</v>
      </c>
      <c r="N2286" s="136">
        <v>3396</v>
      </c>
      <c r="O2286" s="136">
        <v>353</v>
      </c>
      <c r="P2286" s="135" t="s">
        <v>252</v>
      </c>
      <c r="Q2286" s="136">
        <v>355</v>
      </c>
      <c r="R2286" s="135" t="s">
        <v>252</v>
      </c>
      <c r="S2286" s="136">
        <v>311</v>
      </c>
      <c r="T2286" s="135" t="s">
        <v>252</v>
      </c>
      <c r="U2286" s="136">
        <v>391</v>
      </c>
      <c r="V2286" s="135" t="s">
        <v>252</v>
      </c>
      <c r="W2286" s="136">
        <v>333</v>
      </c>
      <c r="X2286" s="135" t="s">
        <v>252</v>
      </c>
      <c r="Y2286" s="136">
        <v>351</v>
      </c>
      <c r="Z2286" s="135" t="s">
        <v>252</v>
      </c>
      <c r="AA2286" s="136">
        <v>358</v>
      </c>
      <c r="AB2286" s="135" t="s">
        <v>252</v>
      </c>
      <c r="AC2286" s="136">
        <v>321</v>
      </c>
      <c r="AD2286" s="135" t="s">
        <v>252</v>
      </c>
      <c r="AE2286" s="136">
        <v>371</v>
      </c>
      <c r="AF2286" s="135" t="s">
        <v>252</v>
      </c>
      <c r="AG2286" s="136">
        <v>319</v>
      </c>
      <c r="AH2286" s="135" t="s">
        <v>252</v>
      </c>
      <c r="AI2286" s="136">
        <v>362</v>
      </c>
      <c r="AJ2286" s="135" t="s">
        <v>252</v>
      </c>
      <c r="AK2286" s="136">
        <v>333</v>
      </c>
      <c r="AL2286" s="135" t="s">
        <v>252</v>
      </c>
      <c r="AM2286" s="136">
        <f t="shared" si="14"/>
        <v>4158</v>
      </c>
    </row>
    <row r="2287" spans="2:39" ht="20.25" hidden="1" outlineLevel="1">
      <c r="B2287" s="149" t="s">
        <v>1366</v>
      </c>
      <c r="C2287" s="135" t="s">
        <v>1402</v>
      </c>
      <c r="D2287" s="152" t="s">
        <v>1403</v>
      </c>
      <c r="E2287" s="137" t="s">
        <v>44</v>
      </c>
      <c r="F2287" s="138" t="s">
        <v>45</v>
      </c>
      <c r="G2287" s="136"/>
      <c r="H2287" s="136"/>
      <c r="I2287" s="136"/>
      <c r="J2287" s="136"/>
      <c r="K2287" s="136"/>
      <c r="L2287" s="136"/>
      <c r="M2287" s="136">
        <v>5171</v>
      </c>
      <c r="N2287" s="136">
        <v>5201</v>
      </c>
      <c r="O2287" s="136">
        <v>369</v>
      </c>
      <c r="P2287" s="135" t="s">
        <v>252</v>
      </c>
      <c r="Q2287" s="136">
        <v>480</v>
      </c>
      <c r="R2287" s="135" t="s">
        <v>252</v>
      </c>
      <c r="S2287" s="136">
        <v>420</v>
      </c>
      <c r="T2287" s="135" t="s">
        <v>252</v>
      </c>
      <c r="U2287" s="136">
        <v>499</v>
      </c>
      <c r="V2287" s="135" t="s">
        <v>252</v>
      </c>
      <c r="W2287" s="136">
        <v>369</v>
      </c>
      <c r="X2287" s="135" t="s">
        <v>252</v>
      </c>
      <c r="Y2287" s="136">
        <v>157</v>
      </c>
      <c r="Z2287" s="135" t="s">
        <v>252</v>
      </c>
      <c r="AA2287" s="136">
        <v>382</v>
      </c>
      <c r="AB2287" s="135" t="s">
        <v>252</v>
      </c>
      <c r="AC2287" s="136">
        <v>547</v>
      </c>
      <c r="AD2287" s="135" t="s">
        <v>252</v>
      </c>
      <c r="AE2287" s="136">
        <v>456</v>
      </c>
      <c r="AF2287" s="135" t="s">
        <v>252</v>
      </c>
      <c r="AG2287" s="136">
        <v>395</v>
      </c>
      <c r="AH2287" s="135" t="s">
        <v>252</v>
      </c>
      <c r="AI2287" s="136">
        <v>484</v>
      </c>
      <c r="AJ2287" s="135" t="s">
        <v>252</v>
      </c>
      <c r="AK2287" s="136">
        <v>463</v>
      </c>
      <c r="AL2287" s="135" t="s">
        <v>252</v>
      </c>
      <c r="AM2287" s="136">
        <f t="shared" si="14"/>
        <v>5021</v>
      </c>
    </row>
    <row r="2288" spans="2:39" ht="20.25" hidden="1" outlineLevel="1">
      <c r="B2288" s="149" t="s">
        <v>1367</v>
      </c>
      <c r="C2288" s="135" t="s">
        <v>1402</v>
      </c>
      <c r="D2288" s="152" t="s">
        <v>1403</v>
      </c>
      <c r="E2288" s="137" t="s">
        <v>44</v>
      </c>
      <c r="F2288" s="138" t="s">
        <v>45</v>
      </c>
      <c r="G2288" s="136"/>
      <c r="H2288" s="136"/>
      <c r="I2288" s="136"/>
      <c r="J2288" s="136"/>
      <c r="K2288" s="136"/>
      <c r="L2288" s="136"/>
      <c r="M2288" s="136">
        <v>2265</v>
      </c>
      <c r="N2288" s="136">
        <v>1442</v>
      </c>
      <c r="O2288" s="136">
        <v>186</v>
      </c>
      <c r="P2288" s="135" t="s">
        <v>252</v>
      </c>
      <c r="Q2288" s="136">
        <v>135</v>
      </c>
      <c r="R2288" s="135" t="s">
        <v>252</v>
      </c>
      <c r="S2288" s="136">
        <v>97</v>
      </c>
      <c r="T2288" s="135" t="s">
        <v>252</v>
      </c>
      <c r="U2288" s="136">
        <v>118</v>
      </c>
      <c r="V2288" s="135" t="s">
        <v>252</v>
      </c>
      <c r="W2288" s="136">
        <v>69</v>
      </c>
      <c r="X2288" s="135" t="s">
        <v>252</v>
      </c>
      <c r="Y2288" s="136">
        <v>69</v>
      </c>
      <c r="Z2288" s="135" t="s">
        <v>252</v>
      </c>
      <c r="AA2288" s="136">
        <v>71</v>
      </c>
      <c r="AB2288" s="135" t="s">
        <v>252</v>
      </c>
      <c r="AC2288" s="136">
        <v>70</v>
      </c>
      <c r="AD2288" s="135" t="s">
        <v>252</v>
      </c>
      <c r="AE2288" s="136">
        <v>90</v>
      </c>
      <c r="AF2288" s="135" t="s">
        <v>252</v>
      </c>
      <c r="AG2288" s="136">
        <v>84</v>
      </c>
      <c r="AH2288" s="135" t="s">
        <v>252</v>
      </c>
      <c r="AI2288" s="136">
        <v>112</v>
      </c>
      <c r="AJ2288" s="135" t="s">
        <v>252</v>
      </c>
      <c r="AK2288" s="136">
        <v>99</v>
      </c>
      <c r="AL2288" s="135" t="s">
        <v>252</v>
      </c>
      <c r="AM2288" s="136">
        <f t="shared" si="14"/>
        <v>1200</v>
      </c>
    </row>
    <row r="2289" spans="2:39" ht="20.25" hidden="1" outlineLevel="1">
      <c r="B2289" s="149" t="s">
        <v>1235</v>
      </c>
      <c r="C2289" s="135" t="s">
        <v>1402</v>
      </c>
      <c r="D2289" s="152" t="s">
        <v>1403</v>
      </c>
      <c r="E2289" s="137" t="s">
        <v>44</v>
      </c>
      <c r="F2289" s="148" t="s">
        <v>45</v>
      </c>
      <c r="G2289" s="136"/>
      <c r="H2289" s="136"/>
      <c r="I2289" s="136"/>
      <c r="J2289" s="136"/>
      <c r="K2289" s="136"/>
      <c r="L2289" s="136"/>
      <c r="M2289" s="419">
        <v>6641</v>
      </c>
      <c r="N2289" s="419">
        <v>5760</v>
      </c>
      <c r="O2289" s="419">
        <v>770</v>
      </c>
      <c r="P2289" s="419" t="s">
        <v>252</v>
      </c>
      <c r="Q2289" s="419">
        <v>416</v>
      </c>
      <c r="R2289" s="419" t="s">
        <v>252</v>
      </c>
      <c r="S2289" s="419">
        <v>322</v>
      </c>
      <c r="T2289" s="419" t="s">
        <v>252</v>
      </c>
      <c r="U2289" s="419">
        <v>604</v>
      </c>
      <c r="V2289" s="419" t="s">
        <v>252</v>
      </c>
      <c r="W2289" s="419">
        <v>363</v>
      </c>
      <c r="X2289" s="419" t="s">
        <v>252</v>
      </c>
      <c r="Y2289" s="419">
        <v>316</v>
      </c>
      <c r="Z2289" s="419" t="s">
        <v>252</v>
      </c>
      <c r="AA2289" s="419">
        <v>254</v>
      </c>
      <c r="AB2289" s="419" t="s">
        <v>252</v>
      </c>
      <c r="AC2289" s="419">
        <v>326</v>
      </c>
      <c r="AD2289" s="419" t="s">
        <v>252</v>
      </c>
      <c r="AE2289" s="419">
        <v>410</v>
      </c>
      <c r="AF2289" s="419" t="s">
        <v>252</v>
      </c>
      <c r="AG2289" s="419">
        <v>484</v>
      </c>
      <c r="AH2289" s="419" t="s">
        <v>252</v>
      </c>
      <c r="AI2289" s="419">
        <v>532</v>
      </c>
      <c r="AJ2289" s="419" t="s">
        <v>252</v>
      </c>
      <c r="AK2289" s="419">
        <v>528</v>
      </c>
      <c r="AL2289" s="419" t="s">
        <v>252</v>
      </c>
      <c r="AM2289" s="419">
        <f t="shared" si="14"/>
        <v>5325</v>
      </c>
    </row>
    <row r="2290" spans="2:39" ht="20.25" hidden="1" outlineLevel="1">
      <c r="B2290" s="149" t="s">
        <v>1236</v>
      </c>
      <c r="C2290" s="135" t="s">
        <v>1402</v>
      </c>
      <c r="D2290" s="152" t="s">
        <v>1403</v>
      </c>
      <c r="E2290" s="137" t="s">
        <v>44</v>
      </c>
      <c r="F2290" s="148" t="s">
        <v>45</v>
      </c>
      <c r="G2290" s="136"/>
      <c r="H2290" s="136"/>
      <c r="I2290" s="136"/>
      <c r="J2290" s="136"/>
      <c r="K2290" s="136"/>
      <c r="L2290" s="136"/>
      <c r="M2290" s="420"/>
      <c r="N2290" s="420"/>
      <c r="O2290" s="420"/>
      <c r="P2290" s="420"/>
      <c r="Q2290" s="420"/>
      <c r="R2290" s="420"/>
      <c r="S2290" s="420"/>
      <c r="T2290" s="420"/>
      <c r="U2290" s="420"/>
      <c r="V2290" s="420"/>
      <c r="W2290" s="420"/>
      <c r="X2290" s="420"/>
      <c r="Y2290" s="420"/>
      <c r="Z2290" s="420"/>
      <c r="AA2290" s="420"/>
      <c r="AB2290" s="420"/>
      <c r="AC2290" s="420"/>
      <c r="AD2290" s="420"/>
      <c r="AE2290" s="420"/>
      <c r="AF2290" s="420"/>
      <c r="AG2290" s="420"/>
      <c r="AH2290" s="420"/>
      <c r="AI2290" s="420"/>
      <c r="AJ2290" s="420"/>
      <c r="AK2290" s="420"/>
      <c r="AL2290" s="420"/>
      <c r="AM2290" s="420"/>
    </row>
    <row r="2291" spans="2:39" ht="20.25" hidden="1" outlineLevel="1">
      <c r="B2291" s="149" t="s">
        <v>1368</v>
      </c>
      <c r="C2291" s="135" t="s">
        <v>1402</v>
      </c>
      <c r="D2291" s="152" t="s">
        <v>1403</v>
      </c>
      <c r="E2291" s="143" t="s">
        <v>138</v>
      </c>
      <c r="F2291" s="138" t="s">
        <v>45</v>
      </c>
      <c r="G2291" s="136"/>
      <c r="H2291" s="136"/>
      <c r="I2291" s="136"/>
      <c r="J2291" s="136"/>
      <c r="K2291" s="136"/>
      <c r="L2291" s="136"/>
      <c r="M2291" s="136">
        <v>6787</v>
      </c>
      <c r="N2291" s="136">
        <v>12675</v>
      </c>
      <c r="O2291" s="136">
        <v>1156</v>
      </c>
      <c r="P2291" s="135" t="s">
        <v>252</v>
      </c>
      <c r="Q2291" s="136">
        <v>1201</v>
      </c>
      <c r="R2291" s="135" t="s">
        <v>252</v>
      </c>
      <c r="S2291" s="136">
        <v>989</v>
      </c>
      <c r="T2291" s="135" t="s">
        <v>252</v>
      </c>
      <c r="U2291" s="136">
        <v>1211</v>
      </c>
      <c r="V2291" s="135" t="s">
        <v>252</v>
      </c>
      <c r="W2291" s="136">
        <v>1016</v>
      </c>
      <c r="X2291" s="135" t="s">
        <v>252</v>
      </c>
      <c r="Y2291" s="136">
        <v>1102</v>
      </c>
      <c r="Z2291" s="135" t="s">
        <v>252</v>
      </c>
      <c r="AA2291" s="136">
        <v>1134</v>
      </c>
      <c r="AB2291" s="135" t="s">
        <v>252</v>
      </c>
      <c r="AC2291" s="136">
        <v>950</v>
      </c>
      <c r="AD2291" s="135" t="s">
        <v>252</v>
      </c>
      <c r="AE2291" s="136">
        <v>1161</v>
      </c>
      <c r="AF2291" s="135" t="s">
        <v>252</v>
      </c>
      <c r="AG2291" s="136">
        <v>1102</v>
      </c>
      <c r="AH2291" s="135" t="s">
        <v>252</v>
      </c>
      <c r="AI2291" s="136">
        <v>1306</v>
      </c>
      <c r="AJ2291" s="135" t="s">
        <v>252</v>
      </c>
      <c r="AK2291" s="136">
        <v>1076</v>
      </c>
      <c r="AL2291" s="135" t="s">
        <v>252</v>
      </c>
      <c r="AM2291" s="136">
        <f t="shared" si="14"/>
        <v>13404</v>
      </c>
    </row>
    <row r="2292" spans="2:39" ht="20.25" hidden="1" outlineLevel="1">
      <c r="B2292" s="149" t="s">
        <v>1368</v>
      </c>
      <c r="C2292" s="135" t="s">
        <v>1402</v>
      </c>
      <c r="D2292" s="152" t="s">
        <v>1403</v>
      </c>
      <c r="E2292" s="137" t="s">
        <v>44</v>
      </c>
      <c r="F2292" s="138" t="s">
        <v>45</v>
      </c>
      <c r="G2292" s="136"/>
      <c r="H2292" s="136"/>
      <c r="I2292" s="136"/>
      <c r="J2292" s="136"/>
      <c r="K2292" s="136"/>
      <c r="L2292" s="136"/>
      <c r="M2292" s="136">
        <v>2307</v>
      </c>
      <c r="N2292" s="136">
        <v>7156</v>
      </c>
      <c r="O2292" s="136">
        <v>638</v>
      </c>
      <c r="P2292" s="135" t="s">
        <v>252</v>
      </c>
      <c r="Q2292" s="136">
        <v>497</v>
      </c>
      <c r="R2292" s="135" t="s">
        <v>252</v>
      </c>
      <c r="S2292" s="136">
        <v>400</v>
      </c>
      <c r="T2292" s="135" t="s">
        <v>252</v>
      </c>
      <c r="U2292" s="136">
        <v>547</v>
      </c>
      <c r="V2292" s="135" t="s">
        <v>252</v>
      </c>
      <c r="W2292" s="136">
        <v>435</v>
      </c>
      <c r="X2292" s="135" t="s">
        <v>252</v>
      </c>
      <c r="Y2292" s="136">
        <v>410</v>
      </c>
      <c r="Z2292" s="135" t="s">
        <v>252</v>
      </c>
      <c r="AA2292" s="136">
        <v>345</v>
      </c>
      <c r="AB2292" s="135" t="s">
        <v>252</v>
      </c>
      <c r="AC2292" s="136">
        <v>327</v>
      </c>
      <c r="AD2292" s="135" t="s">
        <v>252</v>
      </c>
      <c r="AE2292" s="136">
        <v>452</v>
      </c>
      <c r="AF2292" s="135" t="s">
        <v>252</v>
      </c>
      <c r="AG2292" s="136">
        <v>426</v>
      </c>
      <c r="AH2292" s="135" t="s">
        <v>252</v>
      </c>
      <c r="AI2292" s="136">
        <v>666</v>
      </c>
      <c r="AJ2292" s="135" t="s">
        <v>252</v>
      </c>
      <c r="AK2292" s="136">
        <v>814</v>
      </c>
      <c r="AL2292" s="135" t="s">
        <v>252</v>
      </c>
      <c r="AM2292" s="136">
        <f t="shared" si="14"/>
        <v>5957</v>
      </c>
    </row>
    <row r="2293" spans="2:39" ht="20.25" hidden="1" outlineLevel="1">
      <c r="B2293" s="149" t="s">
        <v>1369</v>
      </c>
      <c r="C2293" s="135" t="s">
        <v>1402</v>
      </c>
      <c r="D2293" s="152" t="s">
        <v>1403</v>
      </c>
      <c r="E2293" s="143" t="s">
        <v>138</v>
      </c>
      <c r="F2293" s="138" t="s">
        <v>45</v>
      </c>
      <c r="G2293" s="136"/>
      <c r="H2293" s="136"/>
      <c r="I2293" s="136"/>
      <c r="J2293" s="136"/>
      <c r="K2293" s="136"/>
      <c r="L2293" s="136"/>
      <c r="M2293" s="136">
        <v>14981</v>
      </c>
      <c r="N2293" s="136">
        <v>14852</v>
      </c>
      <c r="O2293" s="136">
        <v>1400</v>
      </c>
      <c r="P2293" s="135" t="s">
        <v>252</v>
      </c>
      <c r="Q2293" s="136">
        <v>949</v>
      </c>
      <c r="R2293" s="135" t="s">
        <v>252</v>
      </c>
      <c r="S2293" s="136">
        <v>775</v>
      </c>
      <c r="T2293" s="135" t="s">
        <v>252</v>
      </c>
      <c r="U2293" s="136">
        <v>1044</v>
      </c>
      <c r="V2293" s="135" t="s">
        <v>252</v>
      </c>
      <c r="W2293" s="136">
        <v>978</v>
      </c>
      <c r="X2293" s="135" t="s">
        <v>252</v>
      </c>
      <c r="Y2293" s="136">
        <v>1598</v>
      </c>
      <c r="Z2293" s="135" t="s">
        <v>252</v>
      </c>
      <c r="AA2293" s="136">
        <v>1232</v>
      </c>
      <c r="AB2293" s="135" t="s">
        <v>252</v>
      </c>
      <c r="AC2293" s="136">
        <v>861</v>
      </c>
      <c r="AD2293" s="135" t="s">
        <v>252</v>
      </c>
      <c r="AE2293" s="136">
        <v>1003</v>
      </c>
      <c r="AF2293" s="135" t="s">
        <v>252</v>
      </c>
      <c r="AG2293" s="136">
        <v>1158</v>
      </c>
      <c r="AH2293" s="135" t="s">
        <v>252</v>
      </c>
      <c r="AI2293" s="136">
        <v>906</v>
      </c>
      <c r="AJ2293" s="135" t="s">
        <v>252</v>
      </c>
      <c r="AK2293" s="136">
        <v>1080</v>
      </c>
      <c r="AL2293" s="135" t="s">
        <v>252</v>
      </c>
      <c r="AM2293" s="136">
        <f t="shared" si="14"/>
        <v>12984</v>
      </c>
    </row>
    <row r="2294" spans="2:39" ht="20.25" hidden="1" outlineLevel="1">
      <c r="B2294" s="149" t="s">
        <v>1369</v>
      </c>
      <c r="C2294" s="135" t="s">
        <v>1402</v>
      </c>
      <c r="D2294" s="152" t="s">
        <v>1403</v>
      </c>
      <c r="E2294" s="137" t="s">
        <v>44</v>
      </c>
      <c r="F2294" s="138" t="s">
        <v>45</v>
      </c>
      <c r="G2294" s="136"/>
      <c r="H2294" s="136"/>
      <c r="I2294" s="136"/>
      <c r="J2294" s="136"/>
      <c r="K2294" s="136"/>
      <c r="L2294" s="136"/>
      <c r="M2294" s="136">
        <v>17375</v>
      </c>
      <c r="N2294" s="136">
        <v>17206</v>
      </c>
      <c r="O2294" s="136">
        <v>1800</v>
      </c>
      <c r="P2294" s="135" t="s">
        <v>252</v>
      </c>
      <c r="Q2294" s="136">
        <v>1355</v>
      </c>
      <c r="R2294" s="135" t="s">
        <v>252</v>
      </c>
      <c r="S2294" s="136">
        <v>1080</v>
      </c>
      <c r="T2294" s="135" t="s">
        <v>252</v>
      </c>
      <c r="U2294" s="136">
        <v>1343</v>
      </c>
      <c r="V2294" s="135" t="s">
        <v>252</v>
      </c>
      <c r="W2294" s="136">
        <v>1311</v>
      </c>
      <c r="X2294" s="135" t="s">
        <v>252</v>
      </c>
      <c r="Y2294" s="136">
        <v>1031</v>
      </c>
      <c r="Z2294" s="135" t="s">
        <v>252</v>
      </c>
      <c r="AA2294" s="136">
        <v>873</v>
      </c>
      <c r="AB2294" s="135" t="s">
        <v>252</v>
      </c>
      <c r="AC2294" s="136">
        <v>1144</v>
      </c>
      <c r="AD2294" s="135" t="s">
        <v>252</v>
      </c>
      <c r="AE2294" s="136">
        <v>1162</v>
      </c>
      <c r="AF2294" s="135" t="s">
        <v>252</v>
      </c>
      <c r="AG2294" s="136">
        <v>893</v>
      </c>
      <c r="AH2294" s="135" t="s">
        <v>252</v>
      </c>
      <c r="AI2294" s="136">
        <v>1205</v>
      </c>
      <c r="AJ2294" s="135" t="s">
        <v>252</v>
      </c>
      <c r="AK2294" s="136">
        <v>1404</v>
      </c>
      <c r="AL2294" s="135" t="s">
        <v>252</v>
      </c>
      <c r="AM2294" s="136">
        <f t="shared" si="14"/>
        <v>14601</v>
      </c>
    </row>
    <row r="2295" spans="2:39" ht="20.25" hidden="1" outlineLevel="1">
      <c r="B2295" s="149" t="s">
        <v>1370</v>
      </c>
      <c r="C2295" s="135" t="s">
        <v>1402</v>
      </c>
      <c r="D2295" s="152" t="s">
        <v>1403</v>
      </c>
      <c r="E2295" s="143" t="s">
        <v>138</v>
      </c>
      <c r="F2295" s="138" t="s">
        <v>45</v>
      </c>
      <c r="G2295" s="136"/>
      <c r="H2295" s="136"/>
      <c r="I2295" s="136"/>
      <c r="J2295" s="136"/>
      <c r="K2295" s="136"/>
      <c r="L2295" s="136"/>
      <c r="M2295" s="136">
        <v>3467</v>
      </c>
      <c r="N2295" s="136">
        <v>4501</v>
      </c>
      <c r="O2295" s="136">
        <v>240</v>
      </c>
      <c r="P2295" s="135" t="s">
        <v>252</v>
      </c>
      <c r="Q2295" s="136">
        <v>313</v>
      </c>
      <c r="R2295" s="135" t="s">
        <v>252</v>
      </c>
      <c r="S2295" s="136">
        <v>246</v>
      </c>
      <c r="T2295" s="135" t="s">
        <v>252</v>
      </c>
      <c r="U2295" s="136">
        <v>285</v>
      </c>
      <c r="V2295" s="135" t="s">
        <v>252</v>
      </c>
      <c r="W2295" s="136">
        <v>264</v>
      </c>
      <c r="X2295" s="135" t="s">
        <v>252</v>
      </c>
      <c r="Y2295" s="136">
        <v>274</v>
      </c>
      <c r="Z2295" s="135" t="s">
        <v>252</v>
      </c>
      <c r="AA2295" s="136">
        <v>272</v>
      </c>
      <c r="AB2295" s="135" t="s">
        <v>252</v>
      </c>
      <c r="AC2295" s="136">
        <v>282</v>
      </c>
      <c r="AD2295" s="135" t="s">
        <v>252</v>
      </c>
      <c r="AE2295" s="136">
        <v>309</v>
      </c>
      <c r="AF2295" s="135" t="s">
        <v>252</v>
      </c>
      <c r="AG2295" s="136">
        <v>269</v>
      </c>
      <c r="AH2295" s="135" t="s">
        <v>252</v>
      </c>
      <c r="AI2295" s="136">
        <v>257</v>
      </c>
      <c r="AJ2295" s="135" t="s">
        <v>252</v>
      </c>
      <c r="AK2295" s="136">
        <v>290</v>
      </c>
      <c r="AL2295" s="135" t="s">
        <v>252</v>
      </c>
      <c r="AM2295" s="136">
        <f t="shared" si="14"/>
        <v>3301</v>
      </c>
    </row>
    <row r="2296" spans="2:39" ht="20.25" hidden="1" outlineLevel="1">
      <c r="B2296" s="149" t="s">
        <v>1370</v>
      </c>
      <c r="C2296" s="135" t="s">
        <v>1402</v>
      </c>
      <c r="D2296" s="152" t="s">
        <v>1403</v>
      </c>
      <c r="E2296" s="137" t="s">
        <v>44</v>
      </c>
      <c r="F2296" s="138" t="s">
        <v>45</v>
      </c>
      <c r="G2296" s="136"/>
      <c r="H2296" s="136"/>
      <c r="I2296" s="136"/>
      <c r="J2296" s="136"/>
      <c r="K2296" s="136"/>
      <c r="L2296" s="136"/>
      <c r="M2296" s="136">
        <v>5102</v>
      </c>
      <c r="N2296" s="136">
        <v>6509</v>
      </c>
      <c r="O2296" s="136">
        <v>939</v>
      </c>
      <c r="P2296" s="135" t="s">
        <v>252</v>
      </c>
      <c r="Q2296" s="136">
        <v>874</v>
      </c>
      <c r="R2296" s="135" t="s">
        <v>252</v>
      </c>
      <c r="S2296" s="136">
        <v>556</v>
      </c>
      <c r="T2296" s="135" t="s">
        <v>252</v>
      </c>
      <c r="U2296" s="136">
        <v>696</v>
      </c>
      <c r="V2296" s="135" t="s">
        <v>252</v>
      </c>
      <c r="W2296" s="136">
        <v>572</v>
      </c>
      <c r="X2296" s="135" t="s">
        <v>252</v>
      </c>
      <c r="Y2296" s="136">
        <v>475</v>
      </c>
      <c r="Z2296" s="135" t="s">
        <v>252</v>
      </c>
      <c r="AA2296" s="136">
        <v>336</v>
      </c>
      <c r="AB2296" s="135" t="s">
        <v>252</v>
      </c>
      <c r="AC2296" s="136">
        <v>463</v>
      </c>
      <c r="AD2296" s="135" t="s">
        <v>252</v>
      </c>
      <c r="AE2296" s="136">
        <v>652</v>
      </c>
      <c r="AF2296" s="135" t="s">
        <v>252</v>
      </c>
      <c r="AG2296" s="136">
        <v>606</v>
      </c>
      <c r="AH2296" s="135" t="s">
        <v>252</v>
      </c>
      <c r="AI2296" s="136">
        <v>664</v>
      </c>
      <c r="AJ2296" s="135" t="s">
        <v>252</v>
      </c>
      <c r="AK2296" s="136">
        <v>842</v>
      </c>
      <c r="AL2296" s="135" t="s">
        <v>252</v>
      </c>
      <c r="AM2296" s="136">
        <f t="shared" si="14"/>
        <v>7675</v>
      </c>
    </row>
    <row r="2297" spans="2:39" ht="20.25" hidden="1" outlineLevel="1">
      <c r="B2297" s="149" t="s">
        <v>1371</v>
      </c>
      <c r="C2297" s="135" t="s">
        <v>1402</v>
      </c>
      <c r="D2297" s="152" t="s">
        <v>1421</v>
      </c>
      <c r="E2297" s="143" t="s">
        <v>138</v>
      </c>
      <c r="F2297" s="138" t="s">
        <v>45</v>
      </c>
      <c r="G2297" s="136"/>
      <c r="H2297" s="136"/>
      <c r="I2297" s="136"/>
      <c r="J2297" s="136"/>
      <c r="K2297" s="136"/>
      <c r="L2297" s="136"/>
      <c r="M2297" s="136">
        <v>5350</v>
      </c>
      <c r="N2297" s="136">
        <v>5160</v>
      </c>
      <c r="O2297" s="136">
        <v>272</v>
      </c>
      <c r="P2297" s="135" t="s">
        <v>252</v>
      </c>
      <c r="Q2297" s="136">
        <v>512</v>
      </c>
      <c r="R2297" s="135" t="s">
        <v>252</v>
      </c>
      <c r="S2297" s="136">
        <v>383</v>
      </c>
      <c r="T2297" s="135" t="s">
        <v>252</v>
      </c>
      <c r="U2297" s="136">
        <v>427</v>
      </c>
      <c r="V2297" s="135" t="s">
        <v>252</v>
      </c>
      <c r="W2297" s="136">
        <v>699</v>
      </c>
      <c r="X2297" s="135" t="s">
        <v>252</v>
      </c>
      <c r="Y2297" s="136">
        <v>367</v>
      </c>
      <c r="Z2297" s="135" t="s">
        <v>252</v>
      </c>
      <c r="AA2297" s="136">
        <v>381</v>
      </c>
      <c r="AB2297" s="135" t="s">
        <v>252</v>
      </c>
      <c r="AC2297" s="136">
        <v>399</v>
      </c>
      <c r="AD2297" s="135" t="s">
        <v>252</v>
      </c>
      <c r="AE2297" s="136">
        <v>356</v>
      </c>
      <c r="AF2297" s="135" t="s">
        <v>252</v>
      </c>
      <c r="AG2297" s="136">
        <v>333</v>
      </c>
      <c r="AH2297" s="135" t="s">
        <v>252</v>
      </c>
      <c r="AI2297" s="136">
        <v>348</v>
      </c>
      <c r="AJ2297" s="135" t="s">
        <v>252</v>
      </c>
      <c r="AK2297" s="136">
        <v>457</v>
      </c>
      <c r="AL2297" s="135" t="s">
        <v>252</v>
      </c>
      <c r="AM2297" s="136">
        <f>O2297+Q2297+S2297+U2297+W2297+Y2297+AA2297+AC2297+AE2297+AG2297+AI2297+AK2297</f>
        <v>4934</v>
      </c>
    </row>
    <row r="2298" spans="2:39" ht="20.25" hidden="1" outlineLevel="1">
      <c r="B2298" s="149" t="s">
        <v>1371</v>
      </c>
      <c r="C2298" s="135" t="s">
        <v>1402</v>
      </c>
      <c r="D2298" s="152" t="s">
        <v>1403</v>
      </c>
      <c r="E2298" s="137" t="s">
        <v>44</v>
      </c>
      <c r="F2298" s="138" t="s">
        <v>45</v>
      </c>
      <c r="G2298" s="136"/>
      <c r="H2298" s="136"/>
      <c r="I2298" s="136"/>
      <c r="J2298" s="136"/>
      <c r="K2298" s="136"/>
      <c r="L2298" s="136"/>
      <c r="M2298" s="136">
        <v>4700</v>
      </c>
      <c r="N2298" s="136">
        <v>4260</v>
      </c>
      <c r="O2298" s="136">
        <v>271</v>
      </c>
      <c r="P2298" s="135" t="s">
        <v>252</v>
      </c>
      <c r="Q2298" s="136">
        <v>541</v>
      </c>
      <c r="R2298" s="135" t="s">
        <v>252</v>
      </c>
      <c r="S2298" s="136">
        <v>312</v>
      </c>
      <c r="T2298" s="135" t="s">
        <v>252</v>
      </c>
      <c r="U2298" s="136">
        <v>324</v>
      </c>
      <c r="V2298" s="135" t="s">
        <v>252</v>
      </c>
      <c r="W2298" s="136">
        <v>287</v>
      </c>
      <c r="X2298" s="135" t="s">
        <v>252</v>
      </c>
      <c r="Y2298" s="136">
        <v>308</v>
      </c>
      <c r="Z2298" s="135" t="s">
        <v>252</v>
      </c>
      <c r="AA2298" s="136">
        <v>232</v>
      </c>
      <c r="AB2298" s="135" t="s">
        <v>252</v>
      </c>
      <c r="AC2298" s="136">
        <v>231</v>
      </c>
      <c r="AD2298" s="135" t="s">
        <v>252</v>
      </c>
      <c r="AE2298" s="136">
        <v>421</v>
      </c>
      <c r="AF2298" s="135" t="s">
        <v>252</v>
      </c>
      <c r="AG2298" s="136">
        <v>380</v>
      </c>
      <c r="AH2298" s="135" t="s">
        <v>252</v>
      </c>
      <c r="AI2298" s="136">
        <v>350</v>
      </c>
      <c r="AJ2298" s="135" t="s">
        <v>252</v>
      </c>
      <c r="AK2298" s="136">
        <v>421</v>
      </c>
      <c r="AL2298" s="135" t="s">
        <v>252</v>
      </c>
      <c r="AM2298" s="136">
        <f>O2298+Q2298+S2298+U2298+W2298+Y2298+AA2298+AC2298+AE2298+AG2298+AI2298+AK2298</f>
        <v>4078</v>
      </c>
    </row>
    <row r="2299" spans="2:39" ht="20.25" hidden="1" outlineLevel="1">
      <c r="B2299" s="149" t="s">
        <v>1372</v>
      </c>
      <c r="C2299" s="135" t="s">
        <v>1402</v>
      </c>
      <c r="D2299" s="152" t="s">
        <v>1403</v>
      </c>
      <c r="E2299" s="137" t="s">
        <v>44</v>
      </c>
      <c r="F2299" s="144" t="s">
        <v>45</v>
      </c>
      <c r="G2299" s="136"/>
      <c r="H2299" s="136"/>
      <c r="I2299" s="136"/>
      <c r="J2299" s="136"/>
      <c r="K2299" s="136"/>
      <c r="L2299" s="136"/>
      <c r="M2299" s="136">
        <v>12126</v>
      </c>
      <c r="N2299" s="136">
        <v>6631</v>
      </c>
      <c r="O2299" s="136">
        <v>557</v>
      </c>
      <c r="P2299" s="136" t="s">
        <v>252</v>
      </c>
      <c r="Q2299" s="136">
        <v>505</v>
      </c>
      <c r="R2299" s="136" t="s">
        <v>252</v>
      </c>
      <c r="S2299" s="136">
        <v>306</v>
      </c>
      <c r="T2299" s="136" t="s">
        <v>252</v>
      </c>
      <c r="U2299" s="136">
        <v>403</v>
      </c>
      <c r="V2299" s="136" t="s">
        <v>252</v>
      </c>
      <c r="W2299" s="136">
        <v>331</v>
      </c>
      <c r="X2299" s="136" t="s">
        <v>252</v>
      </c>
      <c r="Y2299" s="136">
        <v>266</v>
      </c>
      <c r="Z2299" s="136" t="s">
        <v>252</v>
      </c>
      <c r="AA2299" s="136">
        <v>258</v>
      </c>
      <c r="AB2299" s="136" t="s">
        <v>252</v>
      </c>
      <c r="AC2299" s="136">
        <v>341</v>
      </c>
      <c r="AD2299" s="136" t="s">
        <v>252</v>
      </c>
      <c r="AE2299" s="136">
        <v>297</v>
      </c>
      <c r="AF2299" s="136" t="s">
        <v>252</v>
      </c>
      <c r="AG2299" s="136">
        <v>313</v>
      </c>
      <c r="AH2299" s="136" t="s">
        <v>252</v>
      </c>
      <c r="AI2299" s="136">
        <v>435</v>
      </c>
      <c r="AJ2299" s="136" t="s">
        <v>252</v>
      </c>
      <c r="AK2299" s="136">
        <v>974</v>
      </c>
      <c r="AL2299" s="136" t="s">
        <v>252</v>
      </c>
      <c r="AM2299" s="136">
        <f>O2299+Q2299+S2299+U2299+W2299+Y2299+AA2299+AC2299+AE2299+AG2299+AI2299+AK2299</f>
        <v>4986</v>
      </c>
    </row>
    <row r="2300" spans="2:39" ht="20.25" hidden="1" outlineLevel="1">
      <c r="B2300" s="149" t="s">
        <v>1373</v>
      </c>
      <c r="C2300" s="135" t="s">
        <v>1402</v>
      </c>
      <c r="D2300" s="152" t="s">
        <v>1403</v>
      </c>
      <c r="E2300" s="433" t="s">
        <v>138</v>
      </c>
      <c r="F2300" s="425" t="s">
        <v>45</v>
      </c>
      <c r="G2300" s="136"/>
      <c r="H2300" s="136"/>
      <c r="I2300" s="136"/>
      <c r="J2300" s="136"/>
      <c r="K2300" s="136"/>
      <c r="L2300" s="136"/>
      <c r="M2300" s="419">
        <v>987</v>
      </c>
      <c r="N2300" s="419">
        <v>851</v>
      </c>
      <c r="O2300" s="419">
        <v>57</v>
      </c>
      <c r="P2300" s="419" t="s">
        <v>252</v>
      </c>
      <c r="Q2300" s="419">
        <v>129</v>
      </c>
      <c r="R2300" s="419" t="s">
        <v>252</v>
      </c>
      <c r="S2300" s="442">
        <v>94</v>
      </c>
      <c r="T2300" s="419" t="s">
        <v>252</v>
      </c>
      <c r="U2300" s="419">
        <v>104</v>
      </c>
      <c r="V2300" s="419" t="s">
        <v>252</v>
      </c>
      <c r="W2300" s="419">
        <v>92</v>
      </c>
      <c r="X2300" s="419" t="s">
        <v>252</v>
      </c>
      <c r="Y2300" s="419">
        <v>100</v>
      </c>
      <c r="Z2300" s="419" t="s">
        <v>252</v>
      </c>
      <c r="AA2300" s="419">
        <v>90</v>
      </c>
      <c r="AB2300" s="419" t="s">
        <v>252</v>
      </c>
      <c r="AC2300" s="419">
        <v>82</v>
      </c>
      <c r="AD2300" s="419" t="s">
        <v>252</v>
      </c>
      <c r="AE2300" s="419">
        <v>119</v>
      </c>
      <c r="AF2300" s="419" t="s">
        <v>252</v>
      </c>
      <c r="AG2300" s="419">
        <v>180</v>
      </c>
      <c r="AH2300" s="419" t="s">
        <v>252</v>
      </c>
      <c r="AI2300" s="419">
        <v>129</v>
      </c>
      <c r="AJ2300" s="419" t="s">
        <v>252</v>
      </c>
      <c r="AK2300" s="419">
        <v>137</v>
      </c>
      <c r="AL2300" s="419" t="s">
        <v>252</v>
      </c>
      <c r="AM2300" s="419">
        <f>O2300+Q2300+S2300++U2300+W2300+Y2300+AA2300+AC2300+AE2300+AG2300+AI2300+AK2300</f>
        <v>1313</v>
      </c>
    </row>
    <row r="2301" spans="2:39" ht="20.25" hidden="1" outlineLevel="1">
      <c r="B2301" s="149" t="s">
        <v>1374</v>
      </c>
      <c r="C2301" s="135" t="s">
        <v>1402</v>
      </c>
      <c r="D2301" s="152" t="s">
        <v>1403</v>
      </c>
      <c r="E2301" s="434"/>
      <c r="F2301" s="426"/>
      <c r="G2301" s="136"/>
      <c r="H2301" s="136"/>
      <c r="I2301" s="136"/>
      <c r="J2301" s="136"/>
      <c r="K2301" s="136"/>
      <c r="L2301" s="136"/>
      <c r="M2301" s="420"/>
      <c r="N2301" s="420"/>
      <c r="O2301" s="420"/>
      <c r="P2301" s="420"/>
      <c r="Q2301" s="420"/>
      <c r="R2301" s="420"/>
      <c r="S2301" s="443"/>
      <c r="T2301" s="420"/>
      <c r="U2301" s="420"/>
      <c r="V2301" s="420"/>
      <c r="W2301" s="420"/>
      <c r="X2301" s="420"/>
      <c r="Y2301" s="420"/>
      <c r="Z2301" s="420"/>
      <c r="AA2301" s="420"/>
      <c r="AB2301" s="420"/>
      <c r="AC2301" s="420"/>
      <c r="AD2301" s="420"/>
      <c r="AE2301" s="420"/>
      <c r="AF2301" s="420"/>
      <c r="AG2301" s="420"/>
      <c r="AH2301" s="420"/>
      <c r="AI2301" s="420"/>
      <c r="AJ2301" s="420"/>
      <c r="AK2301" s="420"/>
      <c r="AL2301" s="420"/>
      <c r="AM2301" s="420"/>
    </row>
    <row r="2302" spans="2:39" ht="20.25" hidden="1" outlineLevel="1">
      <c r="B2302" s="149" t="s">
        <v>1373</v>
      </c>
      <c r="C2302" s="135" t="s">
        <v>1402</v>
      </c>
      <c r="D2302" s="152" t="s">
        <v>1403</v>
      </c>
      <c r="E2302" s="433" t="s">
        <v>44</v>
      </c>
      <c r="F2302" s="425" t="s">
        <v>45</v>
      </c>
      <c r="G2302" s="136"/>
      <c r="H2302" s="136"/>
      <c r="I2302" s="136"/>
      <c r="J2302" s="136"/>
      <c r="K2302" s="136"/>
      <c r="L2302" s="136"/>
      <c r="M2302" s="419">
        <v>6567</v>
      </c>
      <c r="N2302" s="419">
        <v>5913</v>
      </c>
      <c r="O2302" s="419">
        <v>507</v>
      </c>
      <c r="P2302" s="419" t="s">
        <v>252</v>
      </c>
      <c r="Q2302" s="419">
        <v>626</v>
      </c>
      <c r="R2302" s="419" t="s">
        <v>252</v>
      </c>
      <c r="S2302" s="419">
        <v>468</v>
      </c>
      <c r="T2302" s="419" t="s">
        <v>252</v>
      </c>
      <c r="U2302" s="419">
        <v>443</v>
      </c>
      <c r="V2302" s="419" t="s">
        <v>252</v>
      </c>
      <c r="W2302" s="419">
        <v>376</v>
      </c>
      <c r="X2302" s="419" t="s">
        <v>252</v>
      </c>
      <c r="Y2302" s="419">
        <v>404</v>
      </c>
      <c r="Z2302" s="419" t="s">
        <v>252</v>
      </c>
      <c r="AA2302" s="419">
        <v>398</v>
      </c>
      <c r="AB2302" s="419" t="s">
        <v>252</v>
      </c>
      <c r="AC2302" s="419">
        <v>360</v>
      </c>
      <c r="AD2302" s="419" t="s">
        <v>252</v>
      </c>
      <c r="AE2302" s="419">
        <v>382</v>
      </c>
      <c r="AF2302" s="419" t="s">
        <v>252</v>
      </c>
      <c r="AG2302" s="419">
        <v>393</v>
      </c>
      <c r="AH2302" s="419" t="s">
        <v>252</v>
      </c>
      <c r="AI2302" s="419">
        <v>436</v>
      </c>
      <c r="AJ2302" s="419" t="s">
        <v>252</v>
      </c>
      <c r="AK2302" s="419">
        <v>520</v>
      </c>
      <c r="AL2302" s="419" t="s">
        <v>252</v>
      </c>
      <c r="AM2302" s="419">
        <f>O2302+Q2302+S2302++U2302+W2302+Y2302+AA2302+AC2302+AE2302+AG2302+AI2302+AK2302</f>
        <v>5313</v>
      </c>
    </row>
    <row r="2303" spans="2:39" ht="20.25" hidden="1" outlineLevel="1">
      <c r="B2303" s="149" t="s">
        <v>1374</v>
      </c>
      <c r="C2303" s="135" t="s">
        <v>1402</v>
      </c>
      <c r="D2303" s="152" t="s">
        <v>1403</v>
      </c>
      <c r="E2303" s="434"/>
      <c r="F2303" s="426"/>
      <c r="G2303" s="136"/>
      <c r="H2303" s="136"/>
      <c r="I2303" s="136"/>
      <c r="J2303" s="136"/>
      <c r="K2303" s="136"/>
      <c r="L2303" s="136"/>
      <c r="M2303" s="420"/>
      <c r="N2303" s="420"/>
      <c r="O2303" s="420"/>
      <c r="P2303" s="420"/>
      <c r="Q2303" s="420"/>
      <c r="R2303" s="420"/>
      <c r="S2303" s="420"/>
      <c r="T2303" s="420"/>
      <c r="U2303" s="420"/>
      <c r="V2303" s="420"/>
      <c r="W2303" s="420"/>
      <c r="X2303" s="420"/>
      <c r="Y2303" s="420"/>
      <c r="Z2303" s="420"/>
      <c r="AA2303" s="420"/>
      <c r="AB2303" s="420"/>
      <c r="AC2303" s="420"/>
      <c r="AD2303" s="420"/>
      <c r="AE2303" s="420"/>
      <c r="AF2303" s="420"/>
      <c r="AG2303" s="420"/>
      <c r="AH2303" s="420"/>
      <c r="AI2303" s="420"/>
      <c r="AJ2303" s="420"/>
      <c r="AK2303" s="420"/>
      <c r="AL2303" s="420"/>
      <c r="AM2303" s="420"/>
    </row>
    <row r="2304" spans="2:39" ht="20.25" hidden="1" outlineLevel="1">
      <c r="B2304" s="149" t="s">
        <v>1375</v>
      </c>
      <c r="C2304" s="135" t="s">
        <v>1402</v>
      </c>
      <c r="D2304" s="152" t="s">
        <v>1403</v>
      </c>
      <c r="E2304" s="137" t="s">
        <v>44</v>
      </c>
      <c r="F2304" s="138" t="s">
        <v>45</v>
      </c>
      <c r="G2304" s="136"/>
      <c r="H2304" s="136"/>
      <c r="I2304" s="136"/>
      <c r="J2304" s="136"/>
      <c r="K2304" s="136"/>
      <c r="L2304" s="136"/>
      <c r="M2304" s="419">
        <v>6263</v>
      </c>
      <c r="N2304" s="419">
        <v>6031</v>
      </c>
      <c r="O2304" s="419">
        <v>1049</v>
      </c>
      <c r="P2304" s="419" t="s">
        <v>252</v>
      </c>
      <c r="Q2304" s="419">
        <v>1239</v>
      </c>
      <c r="R2304" s="419" t="s">
        <v>252</v>
      </c>
      <c r="S2304" s="419">
        <v>855</v>
      </c>
      <c r="T2304" s="419" t="s">
        <v>252</v>
      </c>
      <c r="U2304" s="419">
        <v>669</v>
      </c>
      <c r="V2304" s="419" t="s">
        <v>252</v>
      </c>
      <c r="W2304" s="419">
        <v>610</v>
      </c>
      <c r="X2304" s="419" t="s">
        <v>252</v>
      </c>
      <c r="Y2304" s="417">
        <v>585</v>
      </c>
      <c r="Z2304" s="419" t="s">
        <v>252</v>
      </c>
      <c r="AA2304" s="419">
        <v>37</v>
      </c>
      <c r="AB2304" s="419" t="s">
        <v>252</v>
      </c>
      <c r="AC2304" s="419">
        <v>548</v>
      </c>
      <c r="AD2304" s="419" t="s">
        <v>252</v>
      </c>
      <c r="AE2304" s="419">
        <v>1057</v>
      </c>
      <c r="AF2304" s="419" t="s">
        <v>252</v>
      </c>
      <c r="AG2304" s="419">
        <v>933</v>
      </c>
      <c r="AH2304" s="419" t="s">
        <v>252</v>
      </c>
      <c r="AI2304" s="419">
        <v>1007</v>
      </c>
      <c r="AJ2304" s="419" t="s">
        <v>252</v>
      </c>
      <c r="AK2304" s="419">
        <v>1174</v>
      </c>
      <c r="AL2304" s="419" t="s">
        <v>252</v>
      </c>
      <c r="AM2304" s="419">
        <f>O2304+Q2304+S2304+U2304+W2304+Y2304+AA2304+AC2304+AE2304+AG2304+AI2304+AK2304</f>
        <v>9763</v>
      </c>
    </row>
    <row r="2305" spans="2:39" ht="20.25" hidden="1" outlineLevel="1">
      <c r="B2305" s="149" t="s">
        <v>1376</v>
      </c>
      <c r="C2305" s="135" t="s">
        <v>1402</v>
      </c>
      <c r="D2305" s="152" t="s">
        <v>1403</v>
      </c>
      <c r="E2305" s="137" t="s">
        <v>44</v>
      </c>
      <c r="F2305" s="138" t="s">
        <v>45</v>
      </c>
      <c r="G2305" s="136"/>
      <c r="H2305" s="136"/>
      <c r="I2305" s="136"/>
      <c r="J2305" s="136"/>
      <c r="K2305" s="136"/>
      <c r="L2305" s="136"/>
      <c r="M2305" s="431"/>
      <c r="N2305" s="431"/>
      <c r="O2305" s="431"/>
      <c r="P2305" s="431"/>
      <c r="Q2305" s="431"/>
      <c r="R2305" s="431"/>
      <c r="S2305" s="431"/>
      <c r="T2305" s="431"/>
      <c r="U2305" s="431"/>
      <c r="V2305" s="431"/>
      <c r="W2305" s="431"/>
      <c r="X2305" s="431"/>
      <c r="Y2305" s="432"/>
      <c r="Z2305" s="431"/>
      <c r="AA2305" s="431"/>
      <c r="AB2305" s="431"/>
      <c r="AC2305" s="431"/>
      <c r="AD2305" s="431"/>
      <c r="AE2305" s="431"/>
      <c r="AF2305" s="431"/>
      <c r="AG2305" s="431"/>
      <c r="AH2305" s="431"/>
      <c r="AI2305" s="431"/>
      <c r="AJ2305" s="431"/>
      <c r="AK2305" s="431"/>
      <c r="AL2305" s="431"/>
      <c r="AM2305" s="431"/>
    </row>
    <row r="2306" spans="2:39" ht="20.25" hidden="1" outlineLevel="1">
      <c r="B2306" s="149" t="s">
        <v>1377</v>
      </c>
      <c r="C2306" s="135" t="s">
        <v>1402</v>
      </c>
      <c r="D2306" s="152" t="s">
        <v>1403</v>
      </c>
      <c r="E2306" s="137" t="s">
        <v>44</v>
      </c>
      <c r="F2306" s="138" t="s">
        <v>45</v>
      </c>
      <c r="G2306" s="136"/>
      <c r="H2306" s="136"/>
      <c r="I2306" s="136"/>
      <c r="J2306" s="136"/>
      <c r="K2306" s="136"/>
      <c r="L2306" s="136"/>
      <c r="M2306" s="420"/>
      <c r="N2306" s="420"/>
      <c r="O2306" s="420"/>
      <c r="P2306" s="420"/>
      <c r="Q2306" s="420"/>
      <c r="R2306" s="420"/>
      <c r="S2306" s="420"/>
      <c r="T2306" s="420"/>
      <c r="U2306" s="420"/>
      <c r="V2306" s="420"/>
      <c r="W2306" s="420"/>
      <c r="X2306" s="420"/>
      <c r="Y2306" s="418"/>
      <c r="Z2306" s="420"/>
      <c r="AA2306" s="420"/>
      <c r="AB2306" s="420"/>
      <c r="AC2306" s="420"/>
      <c r="AD2306" s="420"/>
      <c r="AE2306" s="420"/>
      <c r="AF2306" s="420"/>
      <c r="AG2306" s="420"/>
      <c r="AH2306" s="420"/>
      <c r="AI2306" s="420"/>
      <c r="AJ2306" s="420"/>
      <c r="AK2306" s="420"/>
      <c r="AL2306" s="420"/>
      <c r="AM2306" s="420"/>
    </row>
    <row r="2307" spans="2:39" ht="20.25" hidden="1" outlineLevel="1">
      <c r="B2307" s="149" t="s">
        <v>1378</v>
      </c>
      <c r="C2307" s="135" t="s">
        <v>1402</v>
      </c>
      <c r="D2307" s="152" t="s">
        <v>1403</v>
      </c>
      <c r="E2307" s="137" t="s">
        <v>44</v>
      </c>
      <c r="F2307" s="138" t="s">
        <v>45</v>
      </c>
      <c r="G2307" s="136"/>
      <c r="H2307" s="136"/>
      <c r="I2307" s="136"/>
      <c r="J2307" s="136"/>
      <c r="K2307" s="136"/>
      <c r="L2307" s="136"/>
      <c r="M2307" s="136">
        <v>2696</v>
      </c>
      <c r="N2307" s="136">
        <v>2501</v>
      </c>
      <c r="O2307" s="136">
        <v>530</v>
      </c>
      <c r="P2307" s="136" t="s">
        <v>252</v>
      </c>
      <c r="Q2307" s="136">
        <v>711</v>
      </c>
      <c r="R2307" s="136" t="s">
        <v>252</v>
      </c>
      <c r="S2307" s="136">
        <v>390</v>
      </c>
      <c r="T2307" s="136" t="s">
        <v>252</v>
      </c>
      <c r="U2307" s="136">
        <v>471</v>
      </c>
      <c r="V2307" s="136" t="s">
        <v>252</v>
      </c>
      <c r="W2307" s="136">
        <v>401</v>
      </c>
      <c r="X2307" s="136" t="s">
        <v>252</v>
      </c>
      <c r="Y2307" s="136">
        <v>377</v>
      </c>
      <c r="Z2307" s="136" t="s">
        <v>252</v>
      </c>
      <c r="AA2307" s="136">
        <v>394</v>
      </c>
      <c r="AB2307" s="136" t="s">
        <v>252</v>
      </c>
      <c r="AC2307" s="136">
        <v>402</v>
      </c>
      <c r="AD2307" s="136" t="s">
        <v>252</v>
      </c>
      <c r="AE2307" s="136">
        <v>840</v>
      </c>
      <c r="AF2307" s="136" t="s">
        <v>252</v>
      </c>
      <c r="AG2307" s="136">
        <v>575</v>
      </c>
      <c r="AH2307" s="136" t="s">
        <v>252</v>
      </c>
      <c r="AI2307" s="136">
        <v>569</v>
      </c>
      <c r="AJ2307" s="136" t="s">
        <v>252</v>
      </c>
      <c r="AK2307" s="136">
        <v>769</v>
      </c>
      <c r="AL2307" s="136" t="s">
        <v>252</v>
      </c>
      <c r="AM2307" s="136">
        <f t="shared" ref="AM2307:AM2317" si="15">O2307+Q2307+S2307+U2307+W2307+Y2307+AA2307+AC2307+AE2307+AG2307+AI2307+AK2307</f>
        <v>6429</v>
      </c>
    </row>
    <row r="2308" spans="2:39" ht="20.25" hidden="1" outlineLevel="1">
      <c r="B2308" s="149" t="s">
        <v>1379</v>
      </c>
      <c r="C2308" s="135" t="s">
        <v>1402</v>
      </c>
      <c r="D2308" s="152" t="s">
        <v>1403</v>
      </c>
      <c r="E2308" s="137" t="s">
        <v>44</v>
      </c>
      <c r="F2308" s="138" t="s">
        <v>45</v>
      </c>
      <c r="G2308" s="136"/>
      <c r="H2308" s="136"/>
      <c r="I2308" s="136"/>
      <c r="J2308" s="136"/>
      <c r="K2308" s="136"/>
      <c r="L2308" s="136"/>
      <c r="M2308" s="419">
        <v>3817</v>
      </c>
      <c r="N2308" s="419">
        <v>3192</v>
      </c>
      <c r="O2308" s="419">
        <v>409</v>
      </c>
      <c r="P2308" s="419" t="s">
        <v>252</v>
      </c>
      <c r="Q2308" s="419">
        <v>399</v>
      </c>
      <c r="R2308" s="419" t="s">
        <v>252</v>
      </c>
      <c r="S2308" s="419">
        <v>284</v>
      </c>
      <c r="T2308" s="419" t="s">
        <v>252</v>
      </c>
      <c r="U2308" s="419">
        <v>267</v>
      </c>
      <c r="V2308" s="419" t="s">
        <v>252</v>
      </c>
      <c r="W2308" s="419">
        <v>159</v>
      </c>
      <c r="X2308" s="419" t="s">
        <v>252</v>
      </c>
      <c r="Y2308" s="419">
        <v>180</v>
      </c>
      <c r="Z2308" s="419" t="s">
        <v>252</v>
      </c>
      <c r="AA2308" s="419">
        <v>117</v>
      </c>
      <c r="AB2308" s="419" t="s">
        <v>252</v>
      </c>
      <c r="AC2308" s="419">
        <v>160</v>
      </c>
      <c r="AD2308" s="419" t="s">
        <v>252</v>
      </c>
      <c r="AE2308" s="419">
        <v>283</v>
      </c>
      <c r="AF2308" s="419" t="s">
        <v>252</v>
      </c>
      <c r="AG2308" s="419">
        <v>359</v>
      </c>
      <c r="AH2308" s="419" t="s">
        <v>252</v>
      </c>
      <c r="AI2308" s="419">
        <v>476</v>
      </c>
      <c r="AJ2308" s="419" t="s">
        <v>252</v>
      </c>
      <c r="AK2308" s="419">
        <v>414</v>
      </c>
      <c r="AL2308" s="419" t="s">
        <v>252</v>
      </c>
      <c r="AM2308" s="419">
        <f t="shared" si="15"/>
        <v>3507</v>
      </c>
    </row>
    <row r="2309" spans="2:39" ht="20.25" hidden="1" outlineLevel="1">
      <c r="B2309" s="149" t="s">
        <v>1380</v>
      </c>
      <c r="C2309" s="135" t="s">
        <v>1402</v>
      </c>
      <c r="D2309" s="152" t="s">
        <v>1403</v>
      </c>
      <c r="E2309" s="137" t="s">
        <v>44</v>
      </c>
      <c r="F2309" s="138" t="s">
        <v>45</v>
      </c>
      <c r="G2309" s="136"/>
      <c r="H2309" s="136"/>
      <c r="I2309" s="136"/>
      <c r="J2309" s="136"/>
      <c r="K2309" s="136"/>
      <c r="L2309" s="136"/>
      <c r="M2309" s="431"/>
      <c r="N2309" s="431"/>
      <c r="O2309" s="431"/>
      <c r="P2309" s="431"/>
      <c r="Q2309" s="431"/>
      <c r="R2309" s="431"/>
      <c r="S2309" s="431"/>
      <c r="T2309" s="431"/>
      <c r="U2309" s="431"/>
      <c r="V2309" s="431"/>
      <c r="W2309" s="431"/>
      <c r="X2309" s="431"/>
      <c r="Y2309" s="431"/>
      <c r="Z2309" s="431"/>
      <c r="AA2309" s="431"/>
      <c r="AB2309" s="431"/>
      <c r="AC2309" s="431"/>
      <c r="AD2309" s="431"/>
      <c r="AE2309" s="431"/>
      <c r="AF2309" s="431"/>
      <c r="AG2309" s="431"/>
      <c r="AH2309" s="431"/>
      <c r="AI2309" s="431"/>
      <c r="AJ2309" s="431"/>
      <c r="AK2309" s="431"/>
      <c r="AL2309" s="431"/>
      <c r="AM2309" s="431"/>
    </row>
    <row r="2310" spans="2:39" ht="20.25" hidden="1" outlineLevel="1">
      <c r="B2310" s="149" t="s">
        <v>1381</v>
      </c>
      <c r="C2310" s="135" t="s">
        <v>1402</v>
      </c>
      <c r="D2310" s="152" t="s">
        <v>1403</v>
      </c>
      <c r="E2310" s="137" t="s">
        <v>44</v>
      </c>
      <c r="F2310" s="138" t="s">
        <v>45</v>
      </c>
      <c r="G2310" s="136"/>
      <c r="H2310" s="136"/>
      <c r="I2310" s="136"/>
      <c r="J2310" s="136"/>
      <c r="K2310" s="136"/>
      <c r="L2310" s="136"/>
      <c r="M2310" s="431"/>
      <c r="N2310" s="431"/>
      <c r="O2310" s="431"/>
      <c r="P2310" s="431"/>
      <c r="Q2310" s="431"/>
      <c r="R2310" s="431"/>
      <c r="S2310" s="431"/>
      <c r="T2310" s="431"/>
      <c r="U2310" s="431"/>
      <c r="V2310" s="431"/>
      <c r="W2310" s="431"/>
      <c r="X2310" s="431"/>
      <c r="Y2310" s="431"/>
      <c r="Z2310" s="431"/>
      <c r="AA2310" s="431"/>
      <c r="AB2310" s="431"/>
      <c r="AC2310" s="431"/>
      <c r="AD2310" s="431"/>
      <c r="AE2310" s="431"/>
      <c r="AF2310" s="431"/>
      <c r="AG2310" s="431"/>
      <c r="AH2310" s="431"/>
      <c r="AI2310" s="431"/>
      <c r="AJ2310" s="431"/>
      <c r="AK2310" s="431"/>
      <c r="AL2310" s="431"/>
      <c r="AM2310" s="431"/>
    </row>
    <row r="2311" spans="2:39" ht="20.25" hidden="1" outlineLevel="1">
      <c r="B2311" s="149" t="s">
        <v>1382</v>
      </c>
      <c r="C2311" s="135" t="s">
        <v>1402</v>
      </c>
      <c r="D2311" s="152" t="s">
        <v>1403</v>
      </c>
      <c r="E2311" s="137" t="s">
        <v>44</v>
      </c>
      <c r="F2311" s="144" t="s">
        <v>45</v>
      </c>
      <c r="G2311" s="136"/>
      <c r="H2311" s="136"/>
      <c r="I2311" s="136"/>
      <c r="J2311" s="136"/>
      <c r="K2311" s="136"/>
      <c r="L2311" s="136"/>
      <c r="M2311" s="420"/>
      <c r="N2311" s="420"/>
      <c r="O2311" s="420"/>
      <c r="P2311" s="420"/>
      <c r="Q2311" s="420"/>
      <c r="R2311" s="420"/>
      <c r="S2311" s="420"/>
      <c r="T2311" s="420"/>
      <c r="U2311" s="420"/>
      <c r="V2311" s="420"/>
      <c r="W2311" s="420"/>
      <c r="X2311" s="420"/>
      <c r="Y2311" s="420"/>
      <c r="Z2311" s="420"/>
      <c r="AA2311" s="420"/>
      <c r="AB2311" s="420"/>
      <c r="AC2311" s="420"/>
      <c r="AD2311" s="420"/>
      <c r="AE2311" s="420"/>
      <c r="AF2311" s="420"/>
      <c r="AG2311" s="420"/>
      <c r="AH2311" s="420"/>
      <c r="AI2311" s="420"/>
      <c r="AJ2311" s="420"/>
      <c r="AK2311" s="420"/>
      <c r="AL2311" s="420"/>
      <c r="AM2311" s="420"/>
    </row>
    <row r="2312" spans="2:39" ht="20.25" hidden="1" outlineLevel="1">
      <c r="B2312" s="149" t="s">
        <v>1383</v>
      </c>
      <c r="C2312" s="135" t="s">
        <v>1402</v>
      </c>
      <c r="D2312" s="152" t="s">
        <v>1403</v>
      </c>
      <c r="E2312" s="143" t="s">
        <v>138</v>
      </c>
      <c r="F2312" s="144" t="s">
        <v>45</v>
      </c>
      <c r="G2312" s="136"/>
      <c r="H2312" s="136"/>
      <c r="I2312" s="136"/>
      <c r="J2312" s="136"/>
      <c r="K2312" s="136"/>
      <c r="L2312" s="136"/>
      <c r="M2312" s="136">
        <v>7523</v>
      </c>
      <c r="N2312" s="136">
        <v>7204</v>
      </c>
      <c r="O2312" s="136">
        <v>303</v>
      </c>
      <c r="P2312" s="135" t="s">
        <v>252</v>
      </c>
      <c r="Q2312" s="136">
        <v>388</v>
      </c>
      <c r="R2312" s="135" t="s">
        <v>252</v>
      </c>
      <c r="S2312" s="136">
        <v>266</v>
      </c>
      <c r="T2312" s="135" t="s">
        <v>252</v>
      </c>
      <c r="U2312" s="136">
        <v>319</v>
      </c>
      <c r="V2312" s="135" t="s">
        <v>252</v>
      </c>
      <c r="W2312" s="136">
        <v>306</v>
      </c>
      <c r="X2312" s="135" t="s">
        <v>252</v>
      </c>
      <c r="Y2312" s="136">
        <v>356</v>
      </c>
      <c r="Z2312" s="135" t="s">
        <v>252</v>
      </c>
      <c r="AA2312" s="136">
        <v>305</v>
      </c>
      <c r="AB2312" s="135" t="s">
        <v>252</v>
      </c>
      <c r="AC2312" s="136">
        <v>310</v>
      </c>
      <c r="AD2312" s="135" t="s">
        <v>252</v>
      </c>
      <c r="AE2312" s="136">
        <v>361</v>
      </c>
      <c r="AF2312" s="135" t="s">
        <v>252</v>
      </c>
      <c r="AG2312" s="136">
        <v>236</v>
      </c>
      <c r="AH2312" s="135" t="s">
        <v>252</v>
      </c>
      <c r="AI2312" s="136">
        <v>417</v>
      </c>
      <c r="AJ2312" s="135" t="s">
        <v>252</v>
      </c>
      <c r="AK2312" s="136">
        <v>363</v>
      </c>
      <c r="AL2312" s="135" t="s">
        <v>252</v>
      </c>
      <c r="AM2312" s="136">
        <f t="shared" si="15"/>
        <v>3930</v>
      </c>
    </row>
    <row r="2313" spans="2:39" ht="20.25" hidden="1" outlineLevel="1">
      <c r="B2313" s="149" t="s">
        <v>1383</v>
      </c>
      <c r="C2313" s="135" t="s">
        <v>1402</v>
      </c>
      <c r="D2313" s="152" t="s">
        <v>1403</v>
      </c>
      <c r="E2313" s="137" t="s">
        <v>44</v>
      </c>
      <c r="F2313" s="138" t="s">
        <v>45</v>
      </c>
      <c r="G2313" s="136"/>
      <c r="H2313" s="136"/>
      <c r="I2313" s="136"/>
      <c r="J2313" s="136"/>
      <c r="K2313" s="136"/>
      <c r="L2313" s="136"/>
      <c r="M2313" s="136">
        <v>15901</v>
      </c>
      <c r="N2313" s="136">
        <v>15101</v>
      </c>
      <c r="O2313" s="136">
        <v>988</v>
      </c>
      <c r="P2313" s="135" t="s">
        <v>252</v>
      </c>
      <c r="Q2313" s="136">
        <v>1285</v>
      </c>
      <c r="R2313" s="135" t="s">
        <v>252</v>
      </c>
      <c r="S2313" s="136">
        <v>1023</v>
      </c>
      <c r="T2313" s="135" t="s">
        <v>252</v>
      </c>
      <c r="U2313" s="136">
        <v>990</v>
      </c>
      <c r="V2313" s="135" t="s">
        <v>252</v>
      </c>
      <c r="W2313" s="136">
        <v>799</v>
      </c>
      <c r="X2313" s="135" t="s">
        <v>252</v>
      </c>
      <c r="Y2313" s="136">
        <v>936</v>
      </c>
      <c r="Z2313" s="135" t="s">
        <v>252</v>
      </c>
      <c r="AA2313" s="136">
        <v>619</v>
      </c>
      <c r="AB2313" s="135" t="s">
        <v>252</v>
      </c>
      <c r="AC2313" s="136">
        <v>724</v>
      </c>
      <c r="AD2313" s="135" t="s">
        <v>252</v>
      </c>
      <c r="AE2313" s="136">
        <v>1057</v>
      </c>
      <c r="AF2313" s="135" t="s">
        <v>252</v>
      </c>
      <c r="AG2313" s="136">
        <v>834</v>
      </c>
      <c r="AH2313" s="135" t="s">
        <v>252</v>
      </c>
      <c r="AI2313" s="136">
        <v>1427</v>
      </c>
      <c r="AJ2313" s="135" t="s">
        <v>252</v>
      </c>
      <c r="AK2313" s="136">
        <v>1272</v>
      </c>
      <c r="AL2313" s="135" t="s">
        <v>252</v>
      </c>
      <c r="AM2313" s="136">
        <f t="shared" si="15"/>
        <v>11954</v>
      </c>
    </row>
    <row r="2314" spans="2:39" ht="20.25" hidden="1" outlineLevel="1">
      <c r="B2314" s="149" t="s">
        <v>1384</v>
      </c>
      <c r="C2314" s="135" t="s">
        <v>1402</v>
      </c>
      <c r="D2314" s="152" t="s">
        <v>1403</v>
      </c>
      <c r="E2314" s="137" t="s">
        <v>44</v>
      </c>
      <c r="F2314" s="138" t="s">
        <v>45</v>
      </c>
      <c r="G2314" s="136"/>
      <c r="H2314" s="136"/>
      <c r="I2314" s="136"/>
      <c r="J2314" s="136"/>
      <c r="K2314" s="136"/>
      <c r="L2314" s="136"/>
      <c r="M2314" s="136">
        <v>4532</v>
      </c>
      <c r="N2314" s="136">
        <v>5110</v>
      </c>
      <c r="O2314" s="136">
        <v>699</v>
      </c>
      <c r="P2314" s="135" t="s">
        <v>252</v>
      </c>
      <c r="Q2314" s="136">
        <v>469</v>
      </c>
      <c r="R2314" s="135" t="s">
        <v>252</v>
      </c>
      <c r="S2314" s="136">
        <v>320</v>
      </c>
      <c r="T2314" s="135" t="s">
        <v>252</v>
      </c>
      <c r="U2314" s="136">
        <v>293</v>
      </c>
      <c r="V2314" s="135" t="s">
        <v>252</v>
      </c>
      <c r="W2314" s="136">
        <v>231</v>
      </c>
      <c r="X2314" s="135" t="s">
        <v>252</v>
      </c>
      <c r="Y2314" s="136">
        <v>222</v>
      </c>
      <c r="Z2314" s="135" t="s">
        <v>252</v>
      </c>
      <c r="AA2314" s="136">
        <v>162</v>
      </c>
      <c r="AB2314" s="135" t="s">
        <v>252</v>
      </c>
      <c r="AC2314" s="136">
        <v>216</v>
      </c>
      <c r="AD2314" s="135" t="s">
        <v>252</v>
      </c>
      <c r="AE2314" s="136">
        <v>412</v>
      </c>
      <c r="AF2314" s="135" t="s">
        <v>252</v>
      </c>
      <c r="AG2314" s="136">
        <v>143</v>
      </c>
      <c r="AH2314" s="135" t="s">
        <v>252</v>
      </c>
      <c r="AI2314" s="136">
        <v>768</v>
      </c>
      <c r="AJ2314" s="135" t="s">
        <v>252</v>
      </c>
      <c r="AK2314" s="136">
        <v>994</v>
      </c>
      <c r="AL2314" s="135" t="s">
        <v>252</v>
      </c>
      <c r="AM2314" s="136">
        <f t="shared" si="15"/>
        <v>4929</v>
      </c>
    </row>
    <row r="2315" spans="2:39" ht="20.25" hidden="1" outlineLevel="1">
      <c r="B2315" s="149" t="s">
        <v>1385</v>
      </c>
      <c r="C2315" s="135" t="s">
        <v>1402</v>
      </c>
      <c r="D2315" s="152" t="s">
        <v>1403</v>
      </c>
      <c r="E2315" s="137" t="s">
        <v>44</v>
      </c>
      <c r="F2315" s="138" t="s">
        <v>45</v>
      </c>
      <c r="G2315" s="136"/>
      <c r="H2315" s="136"/>
      <c r="I2315" s="136"/>
      <c r="J2315" s="136"/>
      <c r="K2315" s="136"/>
      <c r="L2315" s="136"/>
      <c r="M2315" s="136">
        <v>10380</v>
      </c>
      <c r="N2315" s="136">
        <v>8754</v>
      </c>
      <c r="O2315" s="136">
        <v>859</v>
      </c>
      <c r="P2315" s="135" t="s">
        <v>252</v>
      </c>
      <c r="Q2315" s="136">
        <v>876</v>
      </c>
      <c r="R2315" s="135" t="s">
        <v>252</v>
      </c>
      <c r="S2315" s="136">
        <v>663</v>
      </c>
      <c r="T2315" s="135" t="s">
        <v>252</v>
      </c>
      <c r="U2315" s="136">
        <v>696</v>
      </c>
      <c r="V2315" s="135" t="s">
        <v>252</v>
      </c>
      <c r="W2315" s="136">
        <v>660</v>
      </c>
      <c r="X2315" s="135" t="s">
        <v>252</v>
      </c>
      <c r="Y2315" s="136">
        <v>755</v>
      </c>
      <c r="Z2315" s="135" t="s">
        <v>252</v>
      </c>
      <c r="AA2315" s="136">
        <v>511</v>
      </c>
      <c r="AB2315" s="135" t="s">
        <v>252</v>
      </c>
      <c r="AC2315" s="136">
        <v>603</v>
      </c>
      <c r="AD2315" s="135" t="s">
        <v>252</v>
      </c>
      <c r="AE2315" s="136">
        <v>796</v>
      </c>
      <c r="AF2315" s="135" t="s">
        <v>252</v>
      </c>
      <c r="AG2315" s="136">
        <v>615</v>
      </c>
      <c r="AH2315" s="135" t="s">
        <v>252</v>
      </c>
      <c r="AI2315" s="136">
        <v>1107</v>
      </c>
      <c r="AJ2315" s="135" t="s">
        <v>252</v>
      </c>
      <c r="AK2315" s="136">
        <v>979</v>
      </c>
      <c r="AL2315" s="135" t="s">
        <v>252</v>
      </c>
      <c r="AM2315" s="136">
        <f t="shared" si="15"/>
        <v>9120</v>
      </c>
    </row>
    <row r="2316" spans="2:39" ht="20.25" hidden="1" outlineLevel="1">
      <c r="B2316" s="149" t="s">
        <v>1386</v>
      </c>
      <c r="C2316" s="135" t="s">
        <v>1402</v>
      </c>
      <c r="D2316" s="152" t="s">
        <v>1403</v>
      </c>
      <c r="E2316" s="137" t="s">
        <v>44</v>
      </c>
      <c r="F2316" s="138" t="s">
        <v>45</v>
      </c>
      <c r="G2316" s="136"/>
      <c r="H2316" s="136"/>
      <c r="I2316" s="136"/>
      <c r="J2316" s="136"/>
      <c r="K2316" s="136"/>
      <c r="L2316" s="136"/>
      <c r="M2316" s="136">
        <v>6480</v>
      </c>
      <c r="N2316" s="136">
        <v>2423</v>
      </c>
      <c r="O2316" s="136">
        <v>264</v>
      </c>
      <c r="P2316" s="135" t="s">
        <v>252</v>
      </c>
      <c r="Q2316" s="136">
        <v>218</v>
      </c>
      <c r="R2316" s="135" t="s">
        <v>252</v>
      </c>
      <c r="S2316" s="136">
        <v>156</v>
      </c>
      <c r="T2316" s="135" t="s">
        <v>252</v>
      </c>
      <c r="U2316" s="136">
        <v>181</v>
      </c>
      <c r="V2316" s="135" t="s">
        <v>252</v>
      </c>
      <c r="W2316" s="136">
        <v>139</v>
      </c>
      <c r="X2316" s="135" t="s">
        <v>252</v>
      </c>
      <c r="Y2316" s="136">
        <v>110</v>
      </c>
      <c r="Z2316" s="135" t="s">
        <v>252</v>
      </c>
      <c r="AA2316" s="136">
        <v>87</v>
      </c>
      <c r="AB2316" s="135" t="s">
        <v>252</v>
      </c>
      <c r="AC2316" s="136">
        <v>114</v>
      </c>
      <c r="AD2316" s="135" t="s">
        <v>252</v>
      </c>
      <c r="AE2316" s="136">
        <v>197</v>
      </c>
      <c r="AF2316" s="135" t="s">
        <v>252</v>
      </c>
      <c r="AG2316" s="136">
        <v>158</v>
      </c>
      <c r="AH2316" s="135" t="s">
        <v>252</v>
      </c>
      <c r="AI2316" s="136">
        <v>332</v>
      </c>
      <c r="AJ2316" s="135" t="s">
        <v>252</v>
      </c>
      <c r="AK2316" s="136">
        <v>239</v>
      </c>
      <c r="AL2316" s="135" t="s">
        <v>252</v>
      </c>
      <c r="AM2316" s="136">
        <f t="shared" si="15"/>
        <v>2195</v>
      </c>
    </row>
    <row r="2317" spans="2:39" ht="20.25" hidden="1">
      <c r="B2317" s="149" t="s">
        <v>1387</v>
      </c>
      <c r="C2317" s="135" t="s">
        <v>1402</v>
      </c>
      <c r="D2317" s="152" t="s">
        <v>1403</v>
      </c>
      <c r="E2317" s="137" t="s">
        <v>44</v>
      </c>
      <c r="F2317" s="138" t="s">
        <v>45</v>
      </c>
      <c r="G2317" s="136"/>
      <c r="H2317" s="136"/>
      <c r="I2317" s="136"/>
      <c r="J2317" s="136"/>
      <c r="K2317" s="136"/>
      <c r="L2317" s="136"/>
      <c r="M2317" s="419">
        <v>4246</v>
      </c>
      <c r="N2317" s="419">
        <v>4576</v>
      </c>
      <c r="O2317" s="419">
        <v>422</v>
      </c>
      <c r="P2317" s="419" t="s">
        <v>252</v>
      </c>
      <c r="Q2317" s="419">
        <v>478</v>
      </c>
      <c r="R2317" s="419" t="s">
        <v>252</v>
      </c>
      <c r="S2317" s="419">
        <v>382</v>
      </c>
      <c r="T2317" s="419" t="s">
        <v>252</v>
      </c>
      <c r="U2317" s="419">
        <v>439</v>
      </c>
      <c r="V2317" s="419" t="s">
        <v>252</v>
      </c>
      <c r="W2317" s="419">
        <v>412</v>
      </c>
      <c r="X2317" s="419" t="s">
        <v>252</v>
      </c>
      <c r="Y2317" s="419">
        <v>326</v>
      </c>
      <c r="Z2317" s="419" t="s">
        <v>252</v>
      </c>
      <c r="AA2317" s="419">
        <v>276</v>
      </c>
      <c r="AB2317" s="419" t="s">
        <v>252</v>
      </c>
      <c r="AC2317" s="419">
        <v>215</v>
      </c>
      <c r="AD2317" s="419" t="s">
        <v>252</v>
      </c>
      <c r="AE2317" s="419">
        <v>450</v>
      </c>
      <c r="AF2317" s="419" t="s">
        <v>252</v>
      </c>
      <c r="AG2317" s="419">
        <v>375</v>
      </c>
      <c r="AH2317" s="419" t="s">
        <v>252</v>
      </c>
      <c r="AI2317" s="419">
        <v>621</v>
      </c>
      <c r="AJ2317" s="419" t="s">
        <v>252</v>
      </c>
      <c r="AK2317" s="419">
        <v>550</v>
      </c>
      <c r="AL2317" s="419" t="s">
        <v>252</v>
      </c>
      <c r="AM2317" s="419">
        <f t="shared" si="15"/>
        <v>4946</v>
      </c>
    </row>
    <row r="2318" spans="2:39" ht="20.25" hidden="1">
      <c r="B2318" s="149" t="s">
        <v>1388</v>
      </c>
      <c r="C2318" s="135" t="s">
        <v>1402</v>
      </c>
      <c r="D2318" s="152" t="s">
        <v>1403</v>
      </c>
      <c r="E2318" s="137" t="s">
        <v>44</v>
      </c>
      <c r="F2318" s="138" t="s">
        <v>45</v>
      </c>
      <c r="G2318" s="136"/>
      <c r="H2318" s="136"/>
      <c r="I2318" s="136"/>
      <c r="J2318" s="136"/>
      <c r="K2318" s="136"/>
      <c r="L2318" s="136"/>
      <c r="M2318" s="431"/>
      <c r="N2318" s="431"/>
      <c r="O2318" s="431"/>
      <c r="P2318" s="431"/>
      <c r="Q2318" s="431"/>
      <c r="R2318" s="431"/>
      <c r="S2318" s="431"/>
      <c r="T2318" s="431"/>
      <c r="U2318" s="431"/>
      <c r="V2318" s="431"/>
      <c r="W2318" s="431"/>
      <c r="X2318" s="431"/>
      <c r="Y2318" s="431"/>
      <c r="Z2318" s="431"/>
      <c r="AA2318" s="431"/>
      <c r="AB2318" s="431"/>
      <c r="AC2318" s="431"/>
      <c r="AD2318" s="431"/>
      <c r="AE2318" s="431"/>
      <c r="AF2318" s="431"/>
      <c r="AG2318" s="431"/>
      <c r="AH2318" s="431"/>
      <c r="AI2318" s="431"/>
      <c r="AJ2318" s="431"/>
      <c r="AK2318" s="431"/>
      <c r="AL2318" s="431"/>
      <c r="AM2318" s="431"/>
    </row>
    <row r="2319" spans="2:39" ht="20.25" hidden="1">
      <c r="B2319" s="149" t="s">
        <v>1389</v>
      </c>
      <c r="C2319" s="135" t="s">
        <v>1402</v>
      </c>
      <c r="D2319" s="152" t="s">
        <v>1403</v>
      </c>
      <c r="E2319" s="137" t="s">
        <v>44</v>
      </c>
      <c r="F2319" s="148" t="s">
        <v>45</v>
      </c>
      <c r="G2319" s="136"/>
      <c r="H2319" s="136"/>
      <c r="I2319" s="136"/>
      <c r="J2319" s="136"/>
      <c r="K2319" s="136"/>
      <c r="L2319" s="136"/>
      <c r="M2319" s="420"/>
      <c r="N2319" s="420"/>
      <c r="O2319" s="420"/>
      <c r="P2319" s="420"/>
      <c r="Q2319" s="420"/>
      <c r="R2319" s="420"/>
      <c r="S2319" s="420"/>
      <c r="T2319" s="420"/>
      <c r="U2319" s="420"/>
      <c r="V2319" s="420"/>
      <c r="W2319" s="420"/>
      <c r="X2319" s="420"/>
      <c r="Y2319" s="420"/>
      <c r="Z2319" s="420"/>
      <c r="AA2319" s="420"/>
      <c r="AB2319" s="420"/>
      <c r="AC2319" s="420"/>
      <c r="AD2319" s="420"/>
      <c r="AE2319" s="420"/>
      <c r="AF2319" s="420"/>
      <c r="AG2319" s="420"/>
      <c r="AH2319" s="420"/>
      <c r="AI2319" s="420"/>
      <c r="AJ2319" s="420"/>
      <c r="AK2319" s="420"/>
      <c r="AL2319" s="420"/>
      <c r="AM2319" s="420"/>
    </row>
    <row r="2320" spans="2:39" s="3" customFormat="1" ht="15.75" outlineLevel="1">
      <c r="B2320" s="178" t="s">
        <v>735</v>
      </c>
      <c r="C2320" s="218" t="s">
        <v>1489</v>
      </c>
      <c r="D2320" s="219" t="s">
        <v>1403</v>
      </c>
      <c r="E2320" s="397" t="s">
        <v>138</v>
      </c>
      <c r="F2320" s="403" t="s">
        <v>45</v>
      </c>
      <c r="G2320" s="393" t="s">
        <v>1432</v>
      </c>
      <c r="H2320" s="376">
        <v>62</v>
      </c>
      <c r="I2320" s="393" t="s">
        <v>1433</v>
      </c>
      <c r="J2320" s="379" t="s">
        <v>1434</v>
      </c>
      <c r="K2320" s="403" t="s">
        <v>233</v>
      </c>
      <c r="L2320" s="403" t="s">
        <v>233</v>
      </c>
      <c r="M2320" s="399">
        <v>2200</v>
      </c>
      <c r="N2320" s="399">
        <v>27761</v>
      </c>
      <c r="O2320" s="336">
        <v>1082</v>
      </c>
      <c r="P2320" s="336" t="s">
        <v>252</v>
      </c>
      <c r="Q2320" s="336">
        <v>791</v>
      </c>
      <c r="R2320" s="336" t="s">
        <v>252</v>
      </c>
      <c r="S2320" s="336">
        <v>658</v>
      </c>
      <c r="T2320" s="336" t="s">
        <v>252</v>
      </c>
      <c r="U2320" s="336">
        <v>791</v>
      </c>
      <c r="V2320" s="336" t="s">
        <v>252</v>
      </c>
      <c r="W2320" s="336">
        <v>580</v>
      </c>
      <c r="X2320" s="336" t="s">
        <v>252</v>
      </c>
      <c r="Y2320" s="336">
        <v>701</v>
      </c>
      <c r="Z2320" s="336" t="s">
        <v>252</v>
      </c>
      <c r="AA2320" s="336">
        <v>639</v>
      </c>
      <c r="AB2320" s="336" t="s">
        <v>252</v>
      </c>
      <c r="AC2320" s="336">
        <v>582</v>
      </c>
      <c r="AD2320" s="336" t="s">
        <v>252</v>
      </c>
      <c r="AE2320" s="336">
        <v>578</v>
      </c>
      <c r="AF2320" s="336" t="s">
        <v>252</v>
      </c>
      <c r="AG2320" s="336">
        <v>137</v>
      </c>
      <c r="AH2320" s="336" t="s">
        <v>252</v>
      </c>
      <c r="AI2320" s="336">
        <v>546</v>
      </c>
      <c r="AJ2320" s="336" t="s">
        <v>252</v>
      </c>
      <c r="AK2320" s="336">
        <v>831</v>
      </c>
      <c r="AL2320" s="336" t="s">
        <v>252</v>
      </c>
      <c r="AM2320" s="336">
        <f>O2320+Q2320+S2320+U2320+W2320+Y2320+AA2320+AC2320+AE2320+AG2320+AI2320+AK2320</f>
        <v>7916</v>
      </c>
    </row>
    <row r="2321" spans="2:39" s="3" customFormat="1" ht="15.75" outlineLevel="1">
      <c r="B2321" s="178" t="s">
        <v>738</v>
      </c>
      <c r="C2321" s="218" t="s">
        <v>1489</v>
      </c>
      <c r="D2321" s="219" t="s">
        <v>1403</v>
      </c>
      <c r="E2321" s="398"/>
      <c r="F2321" s="404"/>
      <c r="G2321" s="394"/>
      <c r="H2321" s="378"/>
      <c r="I2321" s="394"/>
      <c r="J2321" s="380"/>
      <c r="K2321" s="404"/>
      <c r="L2321" s="404"/>
      <c r="M2321" s="400"/>
      <c r="N2321" s="400"/>
      <c r="O2321" s="337"/>
      <c r="P2321" s="337"/>
      <c r="Q2321" s="337"/>
      <c r="R2321" s="337"/>
      <c r="S2321" s="337"/>
      <c r="T2321" s="337"/>
      <c r="U2321" s="337"/>
      <c r="V2321" s="337"/>
      <c r="W2321" s="337"/>
      <c r="X2321" s="337"/>
      <c r="Y2321" s="337"/>
      <c r="Z2321" s="337"/>
      <c r="AA2321" s="337"/>
      <c r="AB2321" s="337"/>
      <c r="AC2321" s="337"/>
      <c r="AD2321" s="337"/>
      <c r="AE2321" s="337"/>
      <c r="AF2321" s="337"/>
      <c r="AG2321" s="337"/>
      <c r="AH2321" s="337"/>
      <c r="AI2321" s="337"/>
      <c r="AJ2321" s="337"/>
      <c r="AK2321" s="337"/>
      <c r="AL2321" s="337"/>
      <c r="AM2321" s="337"/>
    </row>
    <row r="2322" spans="2:39" s="3" customFormat="1" ht="21" customHeight="1" outlineLevel="1">
      <c r="B2322" s="178" t="s">
        <v>735</v>
      </c>
      <c r="C2322" s="218" t="s">
        <v>1489</v>
      </c>
      <c r="D2322" s="219" t="s">
        <v>1403</v>
      </c>
      <c r="E2322" s="397" t="s">
        <v>44</v>
      </c>
      <c r="F2322" s="403" t="s">
        <v>45</v>
      </c>
      <c r="G2322" s="393" t="s">
        <v>1432</v>
      </c>
      <c r="H2322" s="376">
        <v>27</v>
      </c>
      <c r="I2322" s="393" t="s">
        <v>1433</v>
      </c>
      <c r="J2322" s="379" t="s">
        <v>1435</v>
      </c>
      <c r="K2322" s="403" t="s">
        <v>233</v>
      </c>
      <c r="L2322" s="403" t="s">
        <v>233</v>
      </c>
      <c r="M2322" s="336">
        <v>3590</v>
      </c>
      <c r="N2322" s="336">
        <v>3787</v>
      </c>
      <c r="O2322" s="336">
        <v>662</v>
      </c>
      <c r="P2322" s="336" t="s">
        <v>252</v>
      </c>
      <c r="Q2322" s="336">
        <v>867</v>
      </c>
      <c r="R2322" s="336" t="s">
        <v>252</v>
      </c>
      <c r="S2322" s="336">
        <v>725</v>
      </c>
      <c r="T2322" s="336" t="s">
        <v>252</v>
      </c>
      <c r="U2322" s="336">
        <v>773</v>
      </c>
      <c r="V2322" s="336" t="s">
        <v>252</v>
      </c>
      <c r="W2322" s="336">
        <v>584</v>
      </c>
      <c r="X2322" s="336" t="s">
        <v>252</v>
      </c>
      <c r="Y2322" s="336">
        <v>636</v>
      </c>
      <c r="Z2322" s="336" t="s">
        <v>252</v>
      </c>
      <c r="AA2322" s="336">
        <v>536</v>
      </c>
      <c r="AB2322" s="336" t="s">
        <v>252</v>
      </c>
      <c r="AC2322" s="336">
        <v>693</v>
      </c>
      <c r="AD2322" s="336" t="s">
        <v>252</v>
      </c>
      <c r="AE2322" s="336">
        <v>908</v>
      </c>
      <c r="AF2322" s="336" t="s">
        <v>252</v>
      </c>
      <c r="AG2322" s="336">
        <v>1276</v>
      </c>
      <c r="AH2322" s="336" t="s">
        <v>252</v>
      </c>
      <c r="AI2322" s="336">
        <v>1594</v>
      </c>
      <c r="AJ2322" s="336" t="s">
        <v>252</v>
      </c>
      <c r="AK2322" s="336">
        <v>1036</v>
      </c>
      <c r="AL2322" s="336" t="s">
        <v>252</v>
      </c>
      <c r="AM2322" s="336">
        <f>O2322+Q2322+S2322+U2322+W2322+Y2322+AA2322+AC2322+AE2322+AG2322+AI2322+AK2322</f>
        <v>10290</v>
      </c>
    </row>
    <row r="2323" spans="2:39" s="3" customFormat="1" ht="21" customHeight="1" outlineLevel="1">
      <c r="B2323" s="178" t="s">
        <v>738</v>
      </c>
      <c r="C2323" s="218" t="s">
        <v>1489</v>
      </c>
      <c r="D2323" s="219" t="s">
        <v>1403</v>
      </c>
      <c r="E2323" s="398"/>
      <c r="F2323" s="404"/>
      <c r="G2323" s="394"/>
      <c r="H2323" s="378"/>
      <c r="I2323" s="394"/>
      <c r="J2323" s="380"/>
      <c r="K2323" s="404"/>
      <c r="L2323" s="404"/>
      <c r="M2323" s="337"/>
      <c r="N2323" s="337"/>
      <c r="O2323" s="337"/>
      <c r="P2323" s="337"/>
      <c r="Q2323" s="337"/>
      <c r="R2323" s="337"/>
      <c r="S2323" s="337"/>
      <c r="T2323" s="337"/>
      <c r="U2323" s="337"/>
      <c r="V2323" s="337"/>
      <c r="W2323" s="337"/>
      <c r="X2323" s="337"/>
      <c r="Y2323" s="337"/>
      <c r="Z2323" s="337"/>
      <c r="AA2323" s="337"/>
      <c r="AB2323" s="337"/>
      <c r="AC2323" s="337"/>
      <c r="AD2323" s="337"/>
      <c r="AE2323" s="337"/>
      <c r="AF2323" s="337"/>
      <c r="AG2323" s="337"/>
      <c r="AH2323" s="337"/>
      <c r="AI2323" s="337"/>
      <c r="AJ2323" s="337"/>
      <c r="AK2323" s="337"/>
      <c r="AL2323" s="337"/>
      <c r="AM2323" s="337"/>
    </row>
    <row r="2324" spans="2:39" s="3" customFormat="1" ht="15.75" outlineLevel="1">
      <c r="B2324" s="178" t="s">
        <v>740</v>
      </c>
      <c r="C2324" s="218" t="s">
        <v>1489</v>
      </c>
      <c r="D2324" s="219" t="s">
        <v>1403</v>
      </c>
      <c r="E2324" s="23" t="s">
        <v>44</v>
      </c>
      <c r="F2324" s="93" t="s">
        <v>45</v>
      </c>
      <c r="G2324" s="188" t="s">
        <v>1432</v>
      </c>
      <c r="H2324" s="194">
        <v>27</v>
      </c>
      <c r="I2324" s="188" t="s">
        <v>1433</v>
      </c>
      <c r="J2324" s="220" t="s">
        <v>1436</v>
      </c>
      <c r="K2324" s="178" t="s">
        <v>233</v>
      </c>
      <c r="L2324" s="178" t="s">
        <v>233</v>
      </c>
      <c r="M2324" s="179">
        <v>2320</v>
      </c>
      <c r="N2324" s="179">
        <v>3190</v>
      </c>
      <c r="O2324" s="179">
        <v>601</v>
      </c>
      <c r="P2324" s="179" t="s">
        <v>252</v>
      </c>
      <c r="Q2324" s="179">
        <v>602</v>
      </c>
      <c r="R2324" s="179" t="s">
        <v>252</v>
      </c>
      <c r="S2324" s="179">
        <v>731</v>
      </c>
      <c r="T2324" s="179" t="s">
        <v>252</v>
      </c>
      <c r="U2324" s="179">
        <v>616</v>
      </c>
      <c r="V2324" s="179" t="s">
        <v>252</v>
      </c>
      <c r="W2324" s="179">
        <v>439</v>
      </c>
      <c r="X2324" s="179" t="s">
        <v>252</v>
      </c>
      <c r="Y2324" s="179">
        <v>357</v>
      </c>
      <c r="Z2324" s="179" t="s">
        <v>252</v>
      </c>
      <c r="AA2324" s="179">
        <v>370</v>
      </c>
      <c r="AB2324" s="179" t="s">
        <v>252</v>
      </c>
      <c r="AC2324" s="179">
        <v>398</v>
      </c>
      <c r="AD2324" s="179" t="s">
        <v>252</v>
      </c>
      <c r="AE2324" s="179">
        <v>565</v>
      </c>
      <c r="AF2324" s="179" t="s">
        <v>252</v>
      </c>
      <c r="AG2324" s="179">
        <v>665</v>
      </c>
      <c r="AH2324" s="179" t="s">
        <v>252</v>
      </c>
      <c r="AI2324" s="179">
        <v>664</v>
      </c>
      <c r="AJ2324" s="179" t="s">
        <v>252</v>
      </c>
      <c r="AK2324" s="179">
        <v>690</v>
      </c>
      <c r="AL2324" s="179" t="s">
        <v>252</v>
      </c>
      <c r="AM2324" s="194">
        <f>O2324+Q2324+S2324+U2324+W2324+Y2324+AA2324+AC2324+AE2324+AG2324+AI2324+AK2324</f>
        <v>6698</v>
      </c>
    </row>
    <row r="2325" spans="2:39" s="3" customFormat="1" ht="15.75" outlineLevel="1">
      <c r="B2325" s="178" t="s">
        <v>742</v>
      </c>
      <c r="C2325" s="218" t="s">
        <v>1489</v>
      </c>
      <c r="D2325" s="219" t="s">
        <v>1403</v>
      </c>
      <c r="E2325" s="23" t="s">
        <v>44</v>
      </c>
      <c r="F2325" s="93" t="s">
        <v>45</v>
      </c>
      <c r="G2325" s="188" t="s">
        <v>1432</v>
      </c>
      <c r="H2325" s="194">
        <v>24</v>
      </c>
      <c r="I2325" s="188" t="s">
        <v>1433</v>
      </c>
      <c r="J2325" s="220" t="s">
        <v>1437</v>
      </c>
      <c r="K2325" s="178" t="s">
        <v>233</v>
      </c>
      <c r="L2325" s="178" t="s">
        <v>233</v>
      </c>
      <c r="M2325" s="179">
        <v>4648</v>
      </c>
      <c r="N2325" s="179">
        <v>5438</v>
      </c>
      <c r="O2325" s="179">
        <v>545</v>
      </c>
      <c r="P2325" s="179" t="s">
        <v>252</v>
      </c>
      <c r="Q2325" s="179">
        <v>645</v>
      </c>
      <c r="R2325" s="179" t="s">
        <v>252</v>
      </c>
      <c r="S2325" s="179">
        <v>389</v>
      </c>
      <c r="T2325" s="179" t="s">
        <v>252</v>
      </c>
      <c r="U2325" s="179">
        <v>421</v>
      </c>
      <c r="V2325" s="179" t="s">
        <v>252</v>
      </c>
      <c r="W2325" s="179">
        <v>389</v>
      </c>
      <c r="X2325" s="179" t="s">
        <v>252</v>
      </c>
      <c r="Y2325" s="179">
        <v>359</v>
      </c>
      <c r="Z2325" s="179" t="s">
        <v>252</v>
      </c>
      <c r="AA2325" s="179">
        <v>311</v>
      </c>
      <c r="AB2325" s="179" t="s">
        <v>252</v>
      </c>
      <c r="AC2325" s="179">
        <v>394</v>
      </c>
      <c r="AD2325" s="179" t="s">
        <v>252</v>
      </c>
      <c r="AE2325" s="179">
        <v>504</v>
      </c>
      <c r="AF2325" s="179" t="s">
        <v>252</v>
      </c>
      <c r="AG2325" s="179">
        <v>539</v>
      </c>
      <c r="AH2325" s="179" t="s">
        <v>252</v>
      </c>
      <c r="AI2325" s="179">
        <v>552</v>
      </c>
      <c r="AJ2325" s="179" t="s">
        <v>252</v>
      </c>
      <c r="AK2325" s="179">
        <v>500</v>
      </c>
      <c r="AL2325" s="179" t="s">
        <v>252</v>
      </c>
      <c r="AM2325" s="194">
        <f>O2325+Q2325+S2325+U2325+W2325+Y2325+AA2325+AC2325+AE2325+AG2325+AI2325+AK2325</f>
        <v>5548</v>
      </c>
    </row>
    <row r="2326" spans="2:39" s="3" customFormat="1" ht="20.25" customHeight="1" outlineLevel="1">
      <c r="B2326" s="178" t="s">
        <v>744</v>
      </c>
      <c r="C2326" s="218" t="s">
        <v>1489</v>
      </c>
      <c r="D2326" s="219" t="s">
        <v>1403</v>
      </c>
      <c r="E2326" s="397" t="s">
        <v>138</v>
      </c>
      <c r="F2326" s="384" t="s">
        <v>45</v>
      </c>
      <c r="G2326" s="393" t="s">
        <v>1438</v>
      </c>
      <c r="H2326" s="399" t="s">
        <v>631</v>
      </c>
      <c r="I2326" s="393" t="s">
        <v>1433</v>
      </c>
      <c r="J2326" s="401" t="s">
        <v>1437</v>
      </c>
      <c r="K2326" s="403" t="s">
        <v>233</v>
      </c>
      <c r="L2326" s="403" t="s">
        <v>233</v>
      </c>
      <c r="M2326" s="336">
        <v>13020</v>
      </c>
      <c r="N2326" s="336">
        <v>11252</v>
      </c>
      <c r="O2326" s="336">
        <v>881</v>
      </c>
      <c r="P2326" s="336" t="s">
        <v>252</v>
      </c>
      <c r="Q2326" s="336">
        <v>952</v>
      </c>
      <c r="R2326" s="336" t="s">
        <v>252</v>
      </c>
      <c r="S2326" s="336">
        <v>759</v>
      </c>
      <c r="T2326" s="336" t="s">
        <v>252</v>
      </c>
      <c r="U2326" s="336">
        <v>949</v>
      </c>
      <c r="V2326" s="336" t="s">
        <v>252</v>
      </c>
      <c r="W2326" s="336">
        <v>806</v>
      </c>
      <c r="X2326" s="336" t="s">
        <v>252</v>
      </c>
      <c r="Y2326" s="336">
        <v>839</v>
      </c>
      <c r="Z2326" s="336" t="s">
        <v>252</v>
      </c>
      <c r="AA2326" s="336">
        <v>834</v>
      </c>
      <c r="AB2326" s="336" t="s">
        <v>252</v>
      </c>
      <c r="AC2326" s="336">
        <v>757</v>
      </c>
      <c r="AD2326" s="336" t="s">
        <v>252</v>
      </c>
      <c r="AE2326" s="336">
        <v>905</v>
      </c>
      <c r="AF2326" s="336" t="s">
        <v>252</v>
      </c>
      <c r="AG2326" s="336">
        <v>807</v>
      </c>
      <c r="AH2326" s="336" t="s">
        <v>252</v>
      </c>
      <c r="AI2326" s="336">
        <v>938</v>
      </c>
      <c r="AJ2326" s="336" t="s">
        <v>252</v>
      </c>
      <c r="AK2326" s="336">
        <v>761</v>
      </c>
      <c r="AL2326" s="336" t="s">
        <v>252</v>
      </c>
      <c r="AM2326" s="336">
        <f>O2326+Q2326+S2326+U2326+W2326+Y2326+AA2326+AC2326+AE2326+AG2326+AI2326+AK2326</f>
        <v>10188</v>
      </c>
    </row>
    <row r="2327" spans="2:39" s="3" customFormat="1" ht="15.75" outlineLevel="1">
      <c r="B2327" s="178" t="s">
        <v>746</v>
      </c>
      <c r="C2327" s="218" t="s">
        <v>1489</v>
      </c>
      <c r="D2327" s="219" t="s">
        <v>1403</v>
      </c>
      <c r="E2327" s="398"/>
      <c r="F2327" s="385"/>
      <c r="G2327" s="394"/>
      <c r="H2327" s="400"/>
      <c r="I2327" s="394"/>
      <c r="J2327" s="402"/>
      <c r="K2327" s="404"/>
      <c r="L2327" s="404"/>
      <c r="M2327" s="337"/>
      <c r="N2327" s="337"/>
      <c r="O2327" s="337"/>
      <c r="P2327" s="337"/>
      <c r="Q2327" s="337"/>
      <c r="R2327" s="337"/>
      <c r="S2327" s="337"/>
      <c r="T2327" s="337"/>
      <c r="U2327" s="337"/>
      <c r="V2327" s="337"/>
      <c r="W2327" s="337"/>
      <c r="X2327" s="337"/>
      <c r="Y2327" s="337"/>
      <c r="Z2327" s="337"/>
      <c r="AA2327" s="337"/>
      <c r="AB2327" s="337"/>
      <c r="AC2327" s="337"/>
      <c r="AD2327" s="337"/>
      <c r="AE2327" s="337"/>
      <c r="AF2327" s="337"/>
      <c r="AG2327" s="337"/>
      <c r="AH2327" s="337"/>
      <c r="AI2327" s="337"/>
      <c r="AJ2327" s="337"/>
      <c r="AK2327" s="337"/>
      <c r="AL2327" s="337"/>
      <c r="AM2327" s="337"/>
    </row>
    <row r="2328" spans="2:39" s="3" customFormat="1" ht="21" customHeight="1" outlineLevel="1">
      <c r="B2328" s="178" t="s">
        <v>744</v>
      </c>
      <c r="C2328" s="218" t="s">
        <v>1489</v>
      </c>
      <c r="D2328" s="219" t="s">
        <v>1403</v>
      </c>
      <c r="E2328" s="397" t="s">
        <v>44</v>
      </c>
      <c r="F2328" s="384" t="s">
        <v>45</v>
      </c>
      <c r="G2328" s="393" t="s">
        <v>1438</v>
      </c>
      <c r="H2328" s="399" t="s">
        <v>1439</v>
      </c>
      <c r="I2328" s="393" t="s">
        <v>1433</v>
      </c>
      <c r="J2328" s="401" t="s">
        <v>1440</v>
      </c>
      <c r="K2328" s="403" t="s">
        <v>233</v>
      </c>
      <c r="L2328" s="403" t="s">
        <v>233</v>
      </c>
      <c r="M2328" s="336">
        <v>17031</v>
      </c>
      <c r="N2328" s="336">
        <v>15017</v>
      </c>
      <c r="O2328" s="336">
        <v>1074</v>
      </c>
      <c r="P2328" s="336" t="s">
        <v>252</v>
      </c>
      <c r="Q2328" s="336">
        <v>1113</v>
      </c>
      <c r="R2328" s="336" t="s">
        <v>252</v>
      </c>
      <c r="S2328" s="336">
        <v>797</v>
      </c>
      <c r="T2328" s="336" t="s">
        <v>252</v>
      </c>
      <c r="U2328" s="336">
        <v>1072</v>
      </c>
      <c r="V2328" s="336" t="s">
        <v>252</v>
      </c>
      <c r="W2328" s="336">
        <v>1043</v>
      </c>
      <c r="X2328" s="336" t="s">
        <v>252</v>
      </c>
      <c r="Y2328" s="336">
        <v>950</v>
      </c>
      <c r="Z2328" s="336" t="s">
        <v>252</v>
      </c>
      <c r="AA2328" s="336">
        <v>642</v>
      </c>
      <c r="AB2328" s="336" t="s">
        <v>252</v>
      </c>
      <c r="AC2328" s="336">
        <v>658</v>
      </c>
      <c r="AD2328" s="336" t="s">
        <v>252</v>
      </c>
      <c r="AE2328" s="336">
        <v>750</v>
      </c>
      <c r="AF2328" s="336" t="s">
        <v>252</v>
      </c>
      <c r="AG2328" s="336">
        <v>675</v>
      </c>
      <c r="AH2328" s="336" t="s">
        <v>252</v>
      </c>
      <c r="AI2328" s="336">
        <v>784</v>
      </c>
      <c r="AJ2328" s="336" t="s">
        <v>252</v>
      </c>
      <c r="AK2328" s="336">
        <v>803</v>
      </c>
      <c r="AL2328" s="336" t="s">
        <v>252</v>
      </c>
      <c r="AM2328" s="336">
        <f>O2328+Q2328+S2328+U2328+W2328+Y2328+AA2328+AC2328+AE2328+AG2328+AI2328+AK2328</f>
        <v>10361</v>
      </c>
    </row>
    <row r="2329" spans="2:39" s="3" customFormat="1" ht="21" customHeight="1" outlineLevel="1">
      <c r="B2329" s="178" t="s">
        <v>746</v>
      </c>
      <c r="C2329" s="218" t="s">
        <v>1489</v>
      </c>
      <c r="D2329" s="219" t="s">
        <v>1403</v>
      </c>
      <c r="E2329" s="398"/>
      <c r="F2329" s="385"/>
      <c r="G2329" s="394"/>
      <c r="H2329" s="400"/>
      <c r="I2329" s="394"/>
      <c r="J2329" s="402"/>
      <c r="K2329" s="404"/>
      <c r="L2329" s="404"/>
      <c r="M2329" s="337"/>
      <c r="N2329" s="337"/>
      <c r="O2329" s="337"/>
      <c r="P2329" s="337"/>
      <c r="Q2329" s="337"/>
      <c r="R2329" s="337"/>
      <c r="S2329" s="337"/>
      <c r="T2329" s="337"/>
      <c r="U2329" s="337"/>
      <c r="V2329" s="337"/>
      <c r="W2329" s="337"/>
      <c r="X2329" s="337"/>
      <c r="Y2329" s="337"/>
      <c r="Z2329" s="337"/>
      <c r="AA2329" s="337"/>
      <c r="AB2329" s="337"/>
      <c r="AC2329" s="337"/>
      <c r="AD2329" s="337"/>
      <c r="AE2329" s="337"/>
      <c r="AF2329" s="337"/>
      <c r="AG2329" s="337"/>
      <c r="AH2329" s="337"/>
      <c r="AI2329" s="337"/>
      <c r="AJ2329" s="337"/>
      <c r="AK2329" s="337"/>
      <c r="AL2329" s="337"/>
      <c r="AM2329" s="337"/>
    </row>
    <row r="2330" spans="2:39" s="3" customFormat="1" ht="15.75" outlineLevel="1">
      <c r="B2330" s="178" t="s">
        <v>747</v>
      </c>
      <c r="C2330" s="218" t="s">
        <v>1489</v>
      </c>
      <c r="D2330" s="219" t="s">
        <v>1403</v>
      </c>
      <c r="E2330" s="23" t="s">
        <v>44</v>
      </c>
      <c r="F2330" s="93" t="s">
        <v>45</v>
      </c>
      <c r="G2330" s="188" t="s">
        <v>1432</v>
      </c>
      <c r="H2330" s="194">
        <v>34</v>
      </c>
      <c r="I2330" s="188" t="s">
        <v>1433</v>
      </c>
      <c r="J2330" s="220" t="s">
        <v>1441</v>
      </c>
      <c r="K2330" s="173" t="s">
        <v>233</v>
      </c>
      <c r="L2330" s="173" t="s">
        <v>233</v>
      </c>
      <c r="M2330" s="179">
        <v>10876</v>
      </c>
      <c r="N2330" s="179">
        <v>7523</v>
      </c>
      <c r="O2330" s="179">
        <v>710</v>
      </c>
      <c r="P2330" s="179" t="s">
        <v>252</v>
      </c>
      <c r="Q2330" s="179">
        <v>671</v>
      </c>
      <c r="R2330" s="179" t="s">
        <v>252</v>
      </c>
      <c r="S2330" s="179">
        <v>523</v>
      </c>
      <c r="T2330" s="179" t="s">
        <v>252</v>
      </c>
      <c r="U2330" s="179">
        <v>757</v>
      </c>
      <c r="V2330" s="179" t="s">
        <v>252</v>
      </c>
      <c r="W2330" s="179">
        <v>624</v>
      </c>
      <c r="X2330" s="179" t="s">
        <v>252</v>
      </c>
      <c r="Y2330" s="179">
        <v>622</v>
      </c>
      <c r="Z2330" s="179" t="s">
        <v>252</v>
      </c>
      <c r="AA2330" s="179">
        <v>619</v>
      </c>
      <c r="AB2330" s="179" t="s">
        <v>252</v>
      </c>
      <c r="AC2330" s="179">
        <v>440</v>
      </c>
      <c r="AD2330" s="179" t="s">
        <v>252</v>
      </c>
      <c r="AE2330" s="179">
        <v>518</v>
      </c>
      <c r="AF2330" s="179" t="s">
        <v>252</v>
      </c>
      <c r="AG2330" s="179">
        <v>589</v>
      </c>
      <c r="AH2330" s="179" t="s">
        <v>252</v>
      </c>
      <c r="AI2330" s="179">
        <v>601</v>
      </c>
      <c r="AJ2330" s="179" t="s">
        <v>252</v>
      </c>
      <c r="AK2330" s="179">
        <v>675</v>
      </c>
      <c r="AL2330" s="179" t="s">
        <v>252</v>
      </c>
      <c r="AM2330" s="194">
        <f t="shared" ref="AM2330:AM2339" si="16">O2330+Q2330+S2330+U2330+W2330+Y2330+AA2330+AC2330+AE2330+AG2330+AI2330+AK2330</f>
        <v>7349</v>
      </c>
    </row>
    <row r="2331" spans="2:39" s="3" customFormat="1" ht="15.75" outlineLevel="1">
      <c r="B2331" s="178" t="s">
        <v>749</v>
      </c>
      <c r="C2331" s="218" t="s">
        <v>1489</v>
      </c>
      <c r="D2331" s="219" t="s">
        <v>1403</v>
      </c>
      <c r="E2331" s="23" t="s">
        <v>44</v>
      </c>
      <c r="F2331" s="93" t="s">
        <v>45</v>
      </c>
      <c r="G2331" s="188" t="s">
        <v>1432</v>
      </c>
      <c r="H2331" s="194">
        <v>20</v>
      </c>
      <c r="I2331" s="188" t="s">
        <v>1433</v>
      </c>
      <c r="J2331" s="220" t="s">
        <v>617</v>
      </c>
      <c r="K2331" s="173" t="s">
        <v>233</v>
      </c>
      <c r="L2331" s="173" t="s">
        <v>233</v>
      </c>
      <c r="M2331" s="179">
        <v>3127</v>
      </c>
      <c r="N2331" s="179">
        <v>3525</v>
      </c>
      <c r="O2331" s="179">
        <v>433</v>
      </c>
      <c r="P2331" s="179" t="s">
        <v>252</v>
      </c>
      <c r="Q2331" s="179">
        <v>338</v>
      </c>
      <c r="R2331" s="179" t="s">
        <v>252</v>
      </c>
      <c r="S2331" s="179">
        <v>264</v>
      </c>
      <c r="T2331" s="179" t="s">
        <v>252</v>
      </c>
      <c r="U2331" s="179">
        <v>329</v>
      </c>
      <c r="V2331" s="179" t="s">
        <v>252</v>
      </c>
      <c r="W2331" s="179">
        <v>242</v>
      </c>
      <c r="X2331" s="179" t="s">
        <v>252</v>
      </c>
      <c r="Y2331" s="179">
        <v>128</v>
      </c>
      <c r="Z2331" s="179" t="s">
        <v>252</v>
      </c>
      <c r="AA2331" s="179">
        <v>144</v>
      </c>
      <c r="AB2331" s="179" t="s">
        <v>252</v>
      </c>
      <c r="AC2331" s="179">
        <v>157</v>
      </c>
      <c r="AD2331" s="179" t="s">
        <v>252</v>
      </c>
      <c r="AE2331" s="179">
        <v>291</v>
      </c>
      <c r="AF2331" s="179" t="s">
        <v>252</v>
      </c>
      <c r="AG2331" s="179">
        <v>274</v>
      </c>
      <c r="AH2331" s="179" t="s">
        <v>252</v>
      </c>
      <c r="AI2331" s="179">
        <v>292</v>
      </c>
      <c r="AJ2331" s="179" t="s">
        <v>252</v>
      </c>
      <c r="AK2331" s="179">
        <v>310</v>
      </c>
      <c r="AL2331" s="179" t="s">
        <v>252</v>
      </c>
      <c r="AM2331" s="194">
        <f t="shared" si="16"/>
        <v>3202</v>
      </c>
    </row>
    <row r="2332" spans="2:39" s="3" customFormat="1" ht="15.75" outlineLevel="1">
      <c r="B2332" s="178" t="s">
        <v>751</v>
      </c>
      <c r="C2332" s="218" t="s">
        <v>1489</v>
      </c>
      <c r="D2332" s="219" t="s">
        <v>1403</v>
      </c>
      <c r="E2332" s="23" t="s">
        <v>138</v>
      </c>
      <c r="F2332" s="93" t="s">
        <v>45</v>
      </c>
      <c r="G2332" s="188" t="s">
        <v>1432</v>
      </c>
      <c r="H2332" s="194">
        <v>22</v>
      </c>
      <c r="I2332" s="188" t="s">
        <v>1433</v>
      </c>
      <c r="J2332" s="220" t="s">
        <v>617</v>
      </c>
      <c r="K2332" s="173" t="s">
        <v>233</v>
      </c>
      <c r="L2332" s="173" t="s">
        <v>233</v>
      </c>
      <c r="M2332" s="179">
        <v>6011</v>
      </c>
      <c r="N2332" s="179">
        <v>5667</v>
      </c>
      <c r="O2332" s="236">
        <v>433</v>
      </c>
      <c r="P2332" s="179" t="s">
        <v>252</v>
      </c>
      <c r="Q2332" s="179">
        <v>377</v>
      </c>
      <c r="R2332" s="179" t="s">
        <v>252</v>
      </c>
      <c r="S2332" s="179">
        <v>250</v>
      </c>
      <c r="T2332" s="179" t="s">
        <v>252</v>
      </c>
      <c r="U2332" s="179">
        <v>290</v>
      </c>
      <c r="V2332" s="179" t="s">
        <v>252</v>
      </c>
      <c r="W2332" s="179">
        <v>252</v>
      </c>
      <c r="X2332" s="179" t="s">
        <v>252</v>
      </c>
      <c r="Y2332" s="179">
        <v>272</v>
      </c>
      <c r="Z2332" s="179" t="s">
        <v>252</v>
      </c>
      <c r="AA2332" s="179">
        <v>243</v>
      </c>
      <c r="AB2332" s="179" t="s">
        <v>252</v>
      </c>
      <c r="AC2332" s="179">
        <v>252</v>
      </c>
      <c r="AD2332" s="179" t="s">
        <v>252</v>
      </c>
      <c r="AE2332" s="179">
        <v>281</v>
      </c>
      <c r="AF2332" s="179" t="s">
        <v>252</v>
      </c>
      <c r="AG2332" s="179">
        <v>268</v>
      </c>
      <c r="AH2332" s="179" t="s">
        <v>252</v>
      </c>
      <c r="AI2332" s="179">
        <v>286</v>
      </c>
      <c r="AJ2332" s="179" t="s">
        <v>252</v>
      </c>
      <c r="AK2332" s="179">
        <v>285</v>
      </c>
      <c r="AL2332" s="179" t="s">
        <v>252</v>
      </c>
      <c r="AM2332" s="194">
        <f t="shared" si="16"/>
        <v>3489</v>
      </c>
    </row>
    <row r="2333" spans="2:39" s="3" customFormat="1" ht="15.75" outlineLevel="1">
      <c r="B2333" s="178" t="s">
        <v>751</v>
      </c>
      <c r="C2333" s="218" t="s">
        <v>1489</v>
      </c>
      <c r="D2333" s="219" t="s">
        <v>1403</v>
      </c>
      <c r="E2333" s="23" t="s">
        <v>44</v>
      </c>
      <c r="F2333" s="93" t="s">
        <v>45</v>
      </c>
      <c r="G2333" s="188" t="s">
        <v>1432</v>
      </c>
      <c r="H2333" s="194">
        <v>17</v>
      </c>
      <c r="I2333" s="188" t="s">
        <v>1433</v>
      </c>
      <c r="J2333" s="220" t="s">
        <v>165</v>
      </c>
      <c r="K2333" s="173" t="s">
        <v>233</v>
      </c>
      <c r="L2333" s="173" t="s">
        <v>233</v>
      </c>
      <c r="M2333" s="179">
        <v>8039</v>
      </c>
      <c r="N2333" s="179">
        <v>7798</v>
      </c>
      <c r="O2333" s="236">
        <v>2075</v>
      </c>
      <c r="P2333" s="179" t="s">
        <v>252</v>
      </c>
      <c r="Q2333" s="179">
        <v>1247</v>
      </c>
      <c r="R2333" s="179" t="s">
        <v>252</v>
      </c>
      <c r="S2333" s="179">
        <v>331</v>
      </c>
      <c r="T2333" s="179" t="s">
        <v>252</v>
      </c>
      <c r="U2333" s="179">
        <v>547</v>
      </c>
      <c r="V2333" s="179" t="s">
        <v>252</v>
      </c>
      <c r="W2333" s="179">
        <v>390</v>
      </c>
      <c r="X2333" s="179" t="s">
        <v>252</v>
      </c>
      <c r="Y2333" s="179">
        <v>607</v>
      </c>
      <c r="Z2333" s="179" t="s">
        <v>252</v>
      </c>
      <c r="AA2333" s="179">
        <v>619</v>
      </c>
      <c r="AB2333" s="179" t="s">
        <v>252</v>
      </c>
      <c r="AC2333" s="179">
        <v>350</v>
      </c>
      <c r="AD2333" s="179" t="s">
        <v>252</v>
      </c>
      <c r="AE2333" s="179">
        <v>368</v>
      </c>
      <c r="AF2333" s="179" t="s">
        <v>252</v>
      </c>
      <c r="AG2333" s="179">
        <v>388</v>
      </c>
      <c r="AH2333" s="179" t="s">
        <v>252</v>
      </c>
      <c r="AI2333" s="179">
        <v>888</v>
      </c>
      <c r="AJ2333" s="179" t="s">
        <v>252</v>
      </c>
      <c r="AK2333" s="179">
        <v>537</v>
      </c>
      <c r="AL2333" s="179" t="s">
        <v>252</v>
      </c>
      <c r="AM2333" s="194">
        <f t="shared" si="16"/>
        <v>8347</v>
      </c>
    </row>
    <row r="2334" spans="2:39" s="3" customFormat="1" ht="15.75" outlineLevel="1">
      <c r="B2334" s="178" t="s">
        <v>752</v>
      </c>
      <c r="C2334" s="218" t="s">
        <v>1489</v>
      </c>
      <c r="D2334" s="219" t="s">
        <v>1403</v>
      </c>
      <c r="E2334" s="23" t="s">
        <v>44</v>
      </c>
      <c r="F2334" s="93" t="s">
        <v>45</v>
      </c>
      <c r="G2334" s="188" t="s">
        <v>1432</v>
      </c>
      <c r="H2334" s="194">
        <v>9</v>
      </c>
      <c r="I2334" s="188" t="s">
        <v>1433</v>
      </c>
      <c r="J2334" s="220" t="s">
        <v>1442</v>
      </c>
      <c r="K2334" s="173" t="s">
        <v>233</v>
      </c>
      <c r="L2334" s="173" t="s">
        <v>233</v>
      </c>
      <c r="M2334" s="179">
        <v>2799</v>
      </c>
      <c r="N2334" s="179">
        <v>3108</v>
      </c>
      <c r="O2334" s="179">
        <v>381</v>
      </c>
      <c r="P2334" s="179" t="s">
        <v>252</v>
      </c>
      <c r="Q2334" s="179">
        <v>323</v>
      </c>
      <c r="R2334" s="179" t="s">
        <v>252</v>
      </c>
      <c r="S2334" s="179">
        <v>235</v>
      </c>
      <c r="T2334" s="179" t="s">
        <v>252</v>
      </c>
      <c r="U2334" s="179">
        <v>238</v>
      </c>
      <c r="V2334" s="179" t="s">
        <v>252</v>
      </c>
      <c r="W2334" s="179">
        <v>224</v>
      </c>
      <c r="X2334" s="179" t="s">
        <v>252</v>
      </c>
      <c r="Y2334" s="179">
        <v>192</v>
      </c>
      <c r="Z2334" s="179" t="s">
        <v>252</v>
      </c>
      <c r="AA2334" s="179">
        <v>194</v>
      </c>
      <c r="AB2334" s="179" t="s">
        <v>252</v>
      </c>
      <c r="AC2334" s="179">
        <v>203</v>
      </c>
      <c r="AD2334" s="179" t="s">
        <v>252</v>
      </c>
      <c r="AE2334" s="179">
        <v>287</v>
      </c>
      <c r="AF2334" s="179" t="s">
        <v>252</v>
      </c>
      <c r="AG2334" s="179">
        <v>315</v>
      </c>
      <c r="AH2334" s="179" t="s">
        <v>252</v>
      </c>
      <c r="AI2334" s="179">
        <v>356</v>
      </c>
      <c r="AJ2334" s="179" t="s">
        <v>252</v>
      </c>
      <c r="AK2334" s="179">
        <v>301</v>
      </c>
      <c r="AL2334" s="179" t="s">
        <v>252</v>
      </c>
      <c r="AM2334" s="194">
        <f t="shared" si="16"/>
        <v>3249</v>
      </c>
    </row>
    <row r="2335" spans="2:39" s="3" customFormat="1" ht="15.75" outlineLevel="1">
      <c r="B2335" s="178" t="s">
        <v>753</v>
      </c>
      <c r="C2335" s="218" t="s">
        <v>1489</v>
      </c>
      <c r="D2335" s="219" t="s">
        <v>1403</v>
      </c>
      <c r="E2335" s="23" t="s">
        <v>44</v>
      </c>
      <c r="F2335" s="93" t="s">
        <v>45</v>
      </c>
      <c r="G2335" s="188" t="s">
        <v>1432</v>
      </c>
      <c r="H2335" s="194">
        <v>11</v>
      </c>
      <c r="I2335" s="188" t="s">
        <v>1433</v>
      </c>
      <c r="J2335" s="220" t="s">
        <v>1442</v>
      </c>
      <c r="K2335" s="173" t="s">
        <v>233</v>
      </c>
      <c r="L2335" s="173" t="s">
        <v>233</v>
      </c>
      <c r="M2335" s="179">
        <v>1600</v>
      </c>
      <c r="N2335" s="179">
        <v>970</v>
      </c>
      <c r="O2335" s="179">
        <v>90</v>
      </c>
      <c r="P2335" s="179" t="s">
        <v>252</v>
      </c>
      <c r="Q2335" s="179">
        <v>38</v>
      </c>
      <c r="R2335" s="179" t="s">
        <v>252</v>
      </c>
      <c r="S2335" s="179">
        <v>24</v>
      </c>
      <c r="T2335" s="179" t="s">
        <v>252</v>
      </c>
      <c r="U2335" s="179">
        <v>148</v>
      </c>
      <c r="V2335" s="179" t="s">
        <v>252</v>
      </c>
      <c r="W2335" s="179">
        <v>49</v>
      </c>
      <c r="X2335" s="179" t="s">
        <v>252</v>
      </c>
      <c r="Y2335" s="179">
        <v>92</v>
      </c>
      <c r="Z2335" s="179" t="s">
        <v>252</v>
      </c>
      <c r="AA2335" s="179">
        <v>76</v>
      </c>
      <c r="AB2335" s="179" t="s">
        <v>252</v>
      </c>
      <c r="AC2335" s="179">
        <v>84</v>
      </c>
      <c r="AD2335" s="179" t="s">
        <v>252</v>
      </c>
      <c r="AE2335" s="179">
        <v>94</v>
      </c>
      <c r="AF2335" s="179" t="s">
        <v>252</v>
      </c>
      <c r="AG2335" s="179">
        <v>70</v>
      </c>
      <c r="AH2335" s="179" t="s">
        <v>252</v>
      </c>
      <c r="AI2335" s="179">
        <v>51</v>
      </c>
      <c r="AJ2335" s="179" t="s">
        <v>252</v>
      </c>
      <c r="AK2335" s="179">
        <v>50</v>
      </c>
      <c r="AL2335" s="179" t="s">
        <v>252</v>
      </c>
      <c r="AM2335" s="194">
        <f t="shared" si="16"/>
        <v>866</v>
      </c>
    </row>
    <row r="2336" spans="2:39" s="3" customFormat="1" ht="15.75" outlineLevel="1">
      <c r="B2336" s="178" t="s">
        <v>754</v>
      </c>
      <c r="C2336" s="218" t="s">
        <v>1489</v>
      </c>
      <c r="D2336" s="219" t="s">
        <v>1403</v>
      </c>
      <c r="E2336" s="23" t="s">
        <v>44</v>
      </c>
      <c r="F2336" s="93" t="s">
        <v>45</v>
      </c>
      <c r="G2336" s="188" t="s">
        <v>1432</v>
      </c>
      <c r="H2336" s="194">
        <v>25</v>
      </c>
      <c r="I2336" s="188" t="s">
        <v>1433</v>
      </c>
      <c r="J2336" s="220" t="s">
        <v>1443</v>
      </c>
      <c r="K2336" s="173" t="s">
        <v>233</v>
      </c>
      <c r="L2336" s="173" t="s">
        <v>233</v>
      </c>
      <c r="M2336" s="179">
        <v>8064</v>
      </c>
      <c r="N2336" s="179">
        <v>7380</v>
      </c>
      <c r="O2336" s="179">
        <v>584</v>
      </c>
      <c r="P2336" s="179" t="s">
        <v>252</v>
      </c>
      <c r="Q2336" s="179">
        <v>648</v>
      </c>
      <c r="R2336" s="179" t="s">
        <v>252</v>
      </c>
      <c r="S2336" s="179">
        <v>383</v>
      </c>
      <c r="T2336" s="179" t="s">
        <v>252</v>
      </c>
      <c r="U2336" s="179">
        <v>620</v>
      </c>
      <c r="V2336" s="179" t="s">
        <v>252</v>
      </c>
      <c r="W2336" s="179">
        <v>485</v>
      </c>
      <c r="X2336" s="179" t="s">
        <v>252</v>
      </c>
      <c r="Y2336" s="179">
        <v>485</v>
      </c>
      <c r="Z2336" s="179" t="s">
        <v>252</v>
      </c>
      <c r="AA2336" s="179">
        <v>488</v>
      </c>
      <c r="AB2336" s="179" t="s">
        <v>252</v>
      </c>
      <c r="AC2336" s="179">
        <v>492</v>
      </c>
      <c r="AD2336" s="179" t="s">
        <v>252</v>
      </c>
      <c r="AE2336" s="179">
        <v>580</v>
      </c>
      <c r="AF2336" s="179" t="s">
        <v>252</v>
      </c>
      <c r="AG2336" s="179">
        <v>561</v>
      </c>
      <c r="AH2336" s="179" t="s">
        <v>252</v>
      </c>
      <c r="AI2336" s="179">
        <v>673</v>
      </c>
      <c r="AJ2336" s="179" t="s">
        <v>252</v>
      </c>
      <c r="AK2336" s="179">
        <v>695</v>
      </c>
      <c r="AL2336" s="179" t="s">
        <v>252</v>
      </c>
      <c r="AM2336" s="194">
        <f t="shared" si="16"/>
        <v>6694</v>
      </c>
    </row>
    <row r="2337" spans="2:39" s="3" customFormat="1" ht="15.75" outlineLevel="1">
      <c r="B2337" s="178" t="s">
        <v>755</v>
      </c>
      <c r="C2337" s="218" t="s">
        <v>1489</v>
      </c>
      <c r="D2337" s="219" t="s">
        <v>1403</v>
      </c>
      <c r="E2337" s="23" t="s">
        <v>44</v>
      </c>
      <c r="F2337" s="93" t="s">
        <v>45</v>
      </c>
      <c r="G2337" s="188" t="s">
        <v>1432</v>
      </c>
      <c r="H2337" s="194">
        <v>35</v>
      </c>
      <c r="I2337" s="188" t="s">
        <v>1433</v>
      </c>
      <c r="J2337" s="220" t="s">
        <v>1444</v>
      </c>
      <c r="K2337" s="173" t="s">
        <v>233</v>
      </c>
      <c r="L2337" s="173" t="s">
        <v>233</v>
      </c>
      <c r="M2337" s="179">
        <v>8021</v>
      </c>
      <c r="N2337" s="179">
        <v>7358</v>
      </c>
      <c r="O2337" s="179">
        <v>716</v>
      </c>
      <c r="P2337" s="179" t="s">
        <v>252</v>
      </c>
      <c r="Q2337" s="179">
        <v>535</v>
      </c>
      <c r="R2337" s="179" t="s">
        <v>252</v>
      </c>
      <c r="S2337" s="179">
        <v>434</v>
      </c>
      <c r="T2337" s="179" t="s">
        <v>252</v>
      </c>
      <c r="U2337" s="179">
        <v>716</v>
      </c>
      <c r="V2337" s="179" t="s">
        <v>252</v>
      </c>
      <c r="W2337" s="179">
        <v>446</v>
      </c>
      <c r="X2337" s="179" t="s">
        <v>252</v>
      </c>
      <c r="Y2337" s="179">
        <v>480</v>
      </c>
      <c r="Z2337" s="179" t="s">
        <v>252</v>
      </c>
      <c r="AA2337" s="179">
        <v>338</v>
      </c>
      <c r="AB2337" s="179" t="s">
        <v>252</v>
      </c>
      <c r="AC2337" s="179">
        <v>379</v>
      </c>
      <c r="AD2337" s="179" t="s">
        <v>252</v>
      </c>
      <c r="AE2337" s="179">
        <v>243</v>
      </c>
      <c r="AF2337" s="179" t="s">
        <v>252</v>
      </c>
      <c r="AG2337" s="179">
        <v>768</v>
      </c>
      <c r="AH2337" s="179" t="s">
        <v>252</v>
      </c>
      <c r="AI2337" s="179">
        <v>701</v>
      </c>
      <c r="AJ2337" s="179" t="s">
        <v>252</v>
      </c>
      <c r="AK2337" s="179">
        <v>788</v>
      </c>
      <c r="AL2337" s="179" t="s">
        <v>252</v>
      </c>
      <c r="AM2337" s="194">
        <f t="shared" si="16"/>
        <v>6544</v>
      </c>
    </row>
    <row r="2338" spans="2:39" s="3" customFormat="1" ht="15.75" outlineLevel="1">
      <c r="B2338" s="178" t="s">
        <v>756</v>
      </c>
      <c r="C2338" s="218" t="s">
        <v>1489</v>
      </c>
      <c r="D2338" s="219" t="s">
        <v>1403</v>
      </c>
      <c r="E2338" s="23" t="s">
        <v>44</v>
      </c>
      <c r="F2338" s="93" t="s">
        <v>45</v>
      </c>
      <c r="G2338" s="188" t="s">
        <v>1432</v>
      </c>
      <c r="H2338" s="194">
        <v>30</v>
      </c>
      <c r="I2338" s="188" t="s">
        <v>1433</v>
      </c>
      <c r="J2338" s="220" t="s">
        <v>1445</v>
      </c>
      <c r="K2338" s="173" t="s">
        <v>233</v>
      </c>
      <c r="L2338" s="173" t="s">
        <v>233</v>
      </c>
      <c r="M2338" s="179">
        <v>5695</v>
      </c>
      <c r="N2338" s="179">
        <v>5893</v>
      </c>
      <c r="O2338" s="179">
        <v>412</v>
      </c>
      <c r="P2338" s="179" t="s">
        <v>252</v>
      </c>
      <c r="Q2338" s="179">
        <v>406</v>
      </c>
      <c r="R2338" s="179" t="s">
        <v>252</v>
      </c>
      <c r="S2338" s="179">
        <v>334</v>
      </c>
      <c r="T2338" s="179" t="s">
        <v>252</v>
      </c>
      <c r="U2338" s="179">
        <v>403</v>
      </c>
      <c r="V2338" s="179" t="s">
        <v>252</v>
      </c>
      <c r="W2338" s="179">
        <v>254</v>
      </c>
      <c r="X2338" s="179" t="s">
        <v>252</v>
      </c>
      <c r="Y2338" s="179">
        <v>704</v>
      </c>
      <c r="Z2338" s="179" t="s">
        <v>252</v>
      </c>
      <c r="AA2338" s="179">
        <v>413</v>
      </c>
      <c r="AB2338" s="179" t="s">
        <v>252</v>
      </c>
      <c r="AC2338" s="179">
        <v>207</v>
      </c>
      <c r="AD2338" s="179" t="s">
        <v>252</v>
      </c>
      <c r="AE2338" s="179">
        <v>344</v>
      </c>
      <c r="AF2338" s="179" t="s">
        <v>252</v>
      </c>
      <c r="AG2338" s="179">
        <v>378</v>
      </c>
      <c r="AH2338" s="179" t="s">
        <v>252</v>
      </c>
      <c r="AI2338" s="179">
        <v>373</v>
      </c>
      <c r="AJ2338" s="179" t="s">
        <v>252</v>
      </c>
      <c r="AK2338" s="179">
        <v>442</v>
      </c>
      <c r="AL2338" s="179" t="s">
        <v>252</v>
      </c>
      <c r="AM2338" s="194">
        <f t="shared" si="16"/>
        <v>4670</v>
      </c>
    </row>
    <row r="2339" spans="2:39" s="3" customFormat="1" ht="15.75" outlineLevel="1">
      <c r="B2339" s="178" t="s">
        <v>757</v>
      </c>
      <c r="C2339" s="218" t="s">
        <v>1489</v>
      </c>
      <c r="D2339" s="219" t="s">
        <v>1403</v>
      </c>
      <c r="E2339" s="23" t="s">
        <v>44</v>
      </c>
      <c r="F2339" s="93" t="s">
        <v>45</v>
      </c>
      <c r="G2339" s="334" t="s">
        <v>1432</v>
      </c>
      <c r="H2339" s="336">
        <v>29</v>
      </c>
      <c r="I2339" s="334" t="s">
        <v>1433</v>
      </c>
      <c r="J2339" s="395" t="s">
        <v>970</v>
      </c>
      <c r="K2339" s="334" t="s">
        <v>233</v>
      </c>
      <c r="L2339" s="334" t="s">
        <v>233</v>
      </c>
      <c r="M2339" s="336">
        <v>8793</v>
      </c>
      <c r="N2339" s="336">
        <v>6725</v>
      </c>
      <c r="O2339" s="336">
        <v>744</v>
      </c>
      <c r="P2339" s="336" t="s">
        <v>252</v>
      </c>
      <c r="Q2339" s="336">
        <v>604</v>
      </c>
      <c r="R2339" s="336" t="s">
        <v>252</v>
      </c>
      <c r="S2339" s="336">
        <v>527</v>
      </c>
      <c r="T2339" s="336" t="s">
        <v>252</v>
      </c>
      <c r="U2339" s="336">
        <v>567</v>
      </c>
      <c r="V2339" s="336" t="s">
        <v>252</v>
      </c>
      <c r="W2339" s="336">
        <v>411</v>
      </c>
      <c r="X2339" s="336" t="s">
        <v>252</v>
      </c>
      <c r="Y2339" s="336">
        <v>451</v>
      </c>
      <c r="Z2339" s="336" t="s">
        <v>252</v>
      </c>
      <c r="AA2339" s="336">
        <v>329</v>
      </c>
      <c r="AB2339" s="336" t="s">
        <v>252</v>
      </c>
      <c r="AC2339" s="336">
        <v>434</v>
      </c>
      <c r="AD2339" s="336" t="s">
        <v>252</v>
      </c>
      <c r="AE2339" s="336">
        <v>542</v>
      </c>
      <c r="AF2339" s="336" t="s">
        <v>252</v>
      </c>
      <c r="AG2339" s="336">
        <v>610</v>
      </c>
      <c r="AH2339" s="336" t="s">
        <v>252</v>
      </c>
      <c r="AI2339" s="336">
        <v>651</v>
      </c>
      <c r="AJ2339" s="336" t="s">
        <v>252</v>
      </c>
      <c r="AK2339" s="336">
        <v>721</v>
      </c>
      <c r="AL2339" s="336" t="s">
        <v>252</v>
      </c>
      <c r="AM2339" s="336">
        <f t="shared" si="16"/>
        <v>6591</v>
      </c>
    </row>
    <row r="2340" spans="2:39" s="3" customFormat="1" ht="15.75" outlineLevel="1">
      <c r="B2340" s="178" t="s">
        <v>758</v>
      </c>
      <c r="C2340" s="218" t="s">
        <v>1489</v>
      </c>
      <c r="D2340" s="219" t="s">
        <v>1403</v>
      </c>
      <c r="E2340" s="23" t="s">
        <v>44</v>
      </c>
      <c r="F2340" s="93" t="s">
        <v>45</v>
      </c>
      <c r="G2340" s="335"/>
      <c r="H2340" s="337"/>
      <c r="I2340" s="335"/>
      <c r="J2340" s="396"/>
      <c r="K2340" s="335"/>
      <c r="L2340" s="335"/>
      <c r="M2340" s="337"/>
      <c r="N2340" s="337"/>
      <c r="O2340" s="337"/>
      <c r="P2340" s="337"/>
      <c r="Q2340" s="337"/>
      <c r="R2340" s="337"/>
      <c r="S2340" s="337"/>
      <c r="T2340" s="337"/>
      <c r="U2340" s="337"/>
      <c r="V2340" s="337"/>
      <c r="W2340" s="337"/>
      <c r="X2340" s="337"/>
      <c r="Y2340" s="337"/>
      <c r="Z2340" s="337"/>
      <c r="AA2340" s="337"/>
      <c r="AB2340" s="337"/>
      <c r="AC2340" s="337"/>
      <c r="AD2340" s="337"/>
      <c r="AE2340" s="337"/>
      <c r="AF2340" s="337"/>
      <c r="AG2340" s="337"/>
      <c r="AH2340" s="337"/>
      <c r="AI2340" s="337"/>
      <c r="AJ2340" s="337"/>
      <c r="AK2340" s="337"/>
      <c r="AL2340" s="337"/>
      <c r="AM2340" s="337"/>
    </row>
    <row r="2341" spans="2:39" s="3" customFormat="1" ht="21" customHeight="1" outlineLevel="1">
      <c r="B2341" s="178" t="s">
        <v>759</v>
      </c>
      <c r="C2341" s="218" t="s">
        <v>1489</v>
      </c>
      <c r="D2341" s="219" t="s">
        <v>1403</v>
      </c>
      <c r="E2341" s="23" t="s">
        <v>44</v>
      </c>
      <c r="F2341" s="93" t="s">
        <v>45</v>
      </c>
      <c r="G2341" s="334" t="s">
        <v>1432</v>
      </c>
      <c r="H2341" s="336">
        <v>25</v>
      </c>
      <c r="I2341" s="334" t="s">
        <v>1433</v>
      </c>
      <c r="J2341" s="395" t="s">
        <v>970</v>
      </c>
      <c r="K2341" s="334" t="s">
        <v>233</v>
      </c>
      <c r="L2341" s="334" t="s">
        <v>233</v>
      </c>
      <c r="M2341" s="336">
        <v>3653</v>
      </c>
      <c r="N2341" s="336">
        <v>1383</v>
      </c>
      <c r="O2341" s="336">
        <v>124</v>
      </c>
      <c r="P2341" s="336" t="s">
        <v>252</v>
      </c>
      <c r="Q2341" s="336">
        <v>48</v>
      </c>
      <c r="R2341" s="336" t="s">
        <v>252</v>
      </c>
      <c r="S2341" s="336">
        <v>38</v>
      </c>
      <c r="T2341" s="336" t="s">
        <v>252</v>
      </c>
      <c r="U2341" s="336">
        <v>76</v>
      </c>
      <c r="V2341" s="336" t="s">
        <v>252</v>
      </c>
      <c r="W2341" s="336">
        <v>65</v>
      </c>
      <c r="X2341" s="336" t="s">
        <v>252</v>
      </c>
      <c r="Y2341" s="336">
        <v>58</v>
      </c>
      <c r="Z2341" s="336" t="s">
        <v>252</v>
      </c>
      <c r="AA2341" s="336">
        <v>56</v>
      </c>
      <c r="AB2341" s="336" t="s">
        <v>252</v>
      </c>
      <c r="AC2341" s="336">
        <v>59</v>
      </c>
      <c r="AD2341" s="336" t="s">
        <v>252</v>
      </c>
      <c r="AE2341" s="336">
        <v>68</v>
      </c>
      <c r="AF2341" s="336" t="s">
        <v>252</v>
      </c>
      <c r="AG2341" s="336">
        <v>70</v>
      </c>
      <c r="AH2341" s="336" t="s">
        <v>252</v>
      </c>
      <c r="AI2341" s="336">
        <v>100</v>
      </c>
      <c r="AJ2341" s="336" t="s">
        <v>252</v>
      </c>
      <c r="AK2341" s="336">
        <v>89</v>
      </c>
      <c r="AL2341" s="336" t="s">
        <v>252</v>
      </c>
      <c r="AM2341" s="336">
        <f>O2341+Q2341+S2341+U2341+W2341+Y2341+AA2341+AC2341+AE2341+AG2341+AI2341+AK2341</f>
        <v>851</v>
      </c>
    </row>
    <row r="2342" spans="2:39" s="3" customFormat="1" ht="21" customHeight="1" outlineLevel="1">
      <c r="B2342" s="178" t="s">
        <v>761</v>
      </c>
      <c r="C2342" s="218" t="s">
        <v>1489</v>
      </c>
      <c r="D2342" s="219" t="s">
        <v>1403</v>
      </c>
      <c r="E2342" s="23" t="s">
        <v>44</v>
      </c>
      <c r="F2342" s="93" t="s">
        <v>45</v>
      </c>
      <c r="G2342" s="335"/>
      <c r="H2342" s="337"/>
      <c r="I2342" s="335"/>
      <c r="J2342" s="396"/>
      <c r="K2342" s="335"/>
      <c r="L2342" s="335"/>
      <c r="M2342" s="337"/>
      <c r="N2342" s="337"/>
      <c r="O2342" s="337"/>
      <c r="P2342" s="337"/>
      <c r="Q2342" s="337"/>
      <c r="R2342" s="337"/>
      <c r="S2342" s="337"/>
      <c r="T2342" s="337"/>
      <c r="U2342" s="337"/>
      <c r="V2342" s="337"/>
      <c r="W2342" s="337"/>
      <c r="X2342" s="337"/>
      <c r="Y2342" s="337"/>
      <c r="Z2342" s="337"/>
      <c r="AA2342" s="337"/>
      <c r="AB2342" s="337"/>
      <c r="AC2342" s="337"/>
      <c r="AD2342" s="337"/>
      <c r="AE2342" s="337"/>
      <c r="AF2342" s="337"/>
      <c r="AG2342" s="337"/>
      <c r="AH2342" s="337"/>
      <c r="AI2342" s="337"/>
      <c r="AJ2342" s="337"/>
      <c r="AK2342" s="337"/>
      <c r="AL2342" s="337"/>
      <c r="AM2342" s="337"/>
    </row>
    <row r="2343" spans="2:39" s="3" customFormat="1" ht="15.75" outlineLevel="1">
      <c r="B2343" s="178" t="s">
        <v>762</v>
      </c>
      <c r="C2343" s="218" t="s">
        <v>1489</v>
      </c>
      <c r="D2343" s="219" t="s">
        <v>1403</v>
      </c>
      <c r="E2343" s="23" t="s">
        <v>44</v>
      </c>
      <c r="F2343" s="93" t="s">
        <v>45</v>
      </c>
      <c r="G2343" s="188" t="s">
        <v>1432</v>
      </c>
      <c r="H2343" s="194">
        <v>12</v>
      </c>
      <c r="I2343" s="188" t="s">
        <v>1433</v>
      </c>
      <c r="J2343" s="220" t="s">
        <v>1446</v>
      </c>
      <c r="K2343" s="173" t="s">
        <v>233</v>
      </c>
      <c r="L2343" s="173" t="s">
        <v>233</v>
      </c>
      <c r="M2343" s="179">
        <v>3125</v>
      </c>
      <c r="N2343" s="179">
        <v>2497</v>
      </c>
      <c r="O2343" s="179">
        <v>304</v>
      </c>
      <c r="P2343" s="179" t="s">
        <v>252</v>
      </c>
      <c r="Q2343" s="179">
        <v>212</v>
      </c>
      <c r="R2343" s="179" t="s">
        <v>252</v>
      </c>
      <c r="S2343" s="179">
        <v>166</v>
      </c>
      <c r="T2343" s="179" t="s">
        <v>252</v>
      </c>
      <c r="U2343" s="179">
        <v>244</v>
      </c>
      <c r="V2343" s="179" t="s">
        <v>252</v>
      </c>
      <c r="W2343" s="179">
        <v>164</v>
      </c>
      <c r="X2343" s="179" t="s">
        <v>252</v>
      </c>
      <c r="Y2343" s="179">
        <v>247</v>
      </c>
      <c r="Z2343" s="179" t="s">
        <v>252</v>
      </c>
      <c r="AA2343" s="179">
        <v>253</v>
      </c>
      <c r="AB2343" s="179" t="s">
        <v>252</v>
      </c>
      <c r="AC2343" s="179">
        <v>161</v>
      </c>
      <c r="AD2343" s="179" t="s">
        <v>252</v>
      </c>
      <c r="AE2343" s="179">
        <v>191</v>
      </c>
      <c r="AF2343" s="179" t="s">
        <v>252</v>
      </c>
      <c r="AG2343" s="179">
        <v>196</v>
      </c>
      <c r="AH2343" s="179" t="s">
        <v>252</v>
      </c>
      <c r="AI2343" s="179">
        <v>272</v>
      </c>
      <c r="AJ2343" s="179" t="s">
        <v>252</v>
      </c>
      <c r="AK2343" s="179">
        <v>349</v>
      </c>
      <c r="AL2343" s="179" t="s">
        <v>252</v>
      </c>
      <c r="AM2343" s="194">
        <f t="shared" ref="AM2343:AM2360" si="17">O2343+Q2343+S2343+U2343+W2343+Y2343+AA2343+AC2343+AE2343+AG2343+AI2343+AK2343</f>
        <v>2759</v>
      </c>
    </row>
    <row r="2344" spans="2:39" s="3" customFormat="1" ht="15.75" outlineLevel="1">
      <c r="B2344" s="178" t="s">
        <v>764</v>
      </c>
      <c r="C2344" s="218" t="s">
        <v>1489</v>
      </c>
      <c r="D2344" s="219" t="s">
        <v>1403</v>
      </c>
      <c r="E2344" s="23" t="s">
        <v>44</v>
      </c>
      <c r="F2344" s="93" t="s">
        <v>45</v>
      </c>
      <c r="G2344" s="188" t="s">
        <v>1432</v>
      </c>
      <c r="H2344" s="194">
        <v>40</v>
      </c>
      <c r="I2344" s="188" t="s">
        <v>1433</v>
      </c>
      <c r="J2344" s="220" t="s">
        <v>216</v>
      </c>
      <c r="K2344" s="173" t="s">
        <v>233</v>
      </c>
      <c r="L2344" s="173" t="s">
        <v>233</v>
      </c>
      <c r="M2344" s="224">
        <v>12298</v>
      </c>
      <c r="N2344" s="179">
        <v>13232</v>
      </c>
      <c r="O2344" s="179">
        <v>1865</v>
      </c>
      <c r="P2344" s="179" t="s">
        <v>259</v>
      </c>
      <c r="Q2344" s="179">
        <v>1294</v>
      </c>
      <c r="R2344" s="179" t="s">
        <v>259</v>
      </c>
      <c r="S2344" s="179">
        <v>752</v>
      </c>
      <c r="T2344" s="179" t="s">
        <v>259</v>
      </c>
      <c r="U2344" s="179">
        <v>1441</v>
      </c>
      <c r="V2344" s="179" t="s">
        <v>259</v>
      </c>
      <c r="W2344" s="179">
        <v>1123</v>
      </c>
      <c r="X2344" s="179" t="s">
        <v>259</v>
      </c>
      <c r="Y2344" s="179">
        <v>1111</v>
      </c>
      <c r="Z2344" s="179" t="s">
        <v>259</v>
      </c>
      <c r="AA2344" s="179">
        <v>1582</v>
      </c>
      <c r="AB2344" s="179" t="s">
        <v>259</v>
      </c>
      <c r="AC2344" s="179">
        <v>1088</v>
      </c>
      <c r="AD2344" s="179" t="s">
        <v>259</v>
      </c>
      <c r="AE2344" s="179">
        <v>1063</v>
      </c>
      <c r="AF2344" s="179" t="s">
        <v>259</v>
      </c>
      <c r="AG2344" s="179">
        <v>1352</v>
      </c>
      <c r="AH2344" s="179" t="s">
        <v>259</v>
      </c>
      <c r="AI2344" s="179">
        <v>1396</v>
      </c>
      <c r="AJ2344" s="179" t="s">
        <v>259</v>
      </c>
      <c r="AK2344" s="179">
        <v>1523</v>
      </c>
      <c r="AL2344" s="179" t="s">
        <v>259</v>
      </c>
      <c r="AM2344" s="194">
        <f t="shared" si="17"/>
        <v>15590</v>
      </c>
    </row>
    <row r="2345" spans="2:39" s="3" customFormat="1" ht="15.75" outlineLevel="1">
      <c r="B2345" s="178" t="s">
        <v>765</v>
      </c>
      <c r="C2345" s="218" t="s">
        <v>1489</v>
      </c>
      <c r="D2345" s="219" t="s">
        <v>1403</v>
      </c>
      <c r="E2345" s="23" t="s">
        <v>44</v>
      </c>
      <c r="F2345" s="93" t="s">
        <v>45</v>
      </c>
      <c r="G2345" s="188" t="s">
        <v>240</v>
      </c>
      <c r="H2345" s="194" t="s">
        <v>240</v>
      </c>
      <c r="I2345" s="188" t="s">
        <v>240</v>
      </c>
      <c r="J2345" s="220" t="s">
        <v>240</v>
      </c>
      <c r="K2345" s="188" t="s">
        <v>240</v>
      </c>
      <c r="L2345" s="188" t="s">
        <v>240</v>
      </c>
      <c r="M2345" s="179"/>
      <c r="N2345" s="179"/>
      <c r="O2345" s="179"/>
      <c r="P2345" s="179"/>
      <c r="Q2345" s="179"/>
      <c r="R2345" s="179"/>
      <c r="S2345" s="179"/>
      <c r="T2345" s="179"/>
      <c r="U2345" s="179"/>
      <c r="V2345" s="179"/>
      <c r="W2345" s="179"/>
      <c r="X2345" s="179"/>
      <c r="Y2345" s="179"/>
      <c r="Z2345" s="179"/>
      <c r="AA2345" s="179"/>
      <c r="AB2345" s="179"/>
      <c r="AC2345" s="179"/>
      <c r="AD2345" s="179"/>
      <c r="AE2345" s="179"/>
      <c r="AF2345" s="179"/>
      <c r="AG2345" s="179"/>
      <c r="AH2345" s="179"/>
      <c r="AI2345" s="179"/>
      <c r="AJ2345" s="179"/>
      <c r="AK2345" s="179"/>
      <c r="AL2345" s="179"/>
      <c r="AM2345" s="194">
        <f t="shared" si="17"/>
        <v>0</v>
      </c>
    </row>
    <row r="2346" spans="2:39" s="3" customFormat="1" ht="15.75" outlineLevel="1">
      <c r="B2346" s="178" t="s">
        <v>768</v>
      </c>
      <c r="C2346" s="218" t="s">
        <v>1489</v>
      </c>
      <c r="D2346" s="219" t="s">
        <v>1403</v>
      </c>
      <c r="E2346" s="221" t="s">
        <v>138</v>
      </c>
      <c r="F2346" s="222" t="s">
        <v>45</v>
      </c>
      <c r="G2346" s="188" t="s">
        <v>1432</v>
      </c>
      <c r="H2346" s="194">
        <v>15</v>
      </c>
      <c r="I2346" s="188" t="s">
        <v>1433</v>
      </c>
      <c r="J2346" s="220" t="s">
        <v>208</v>
      </c>
      <c r="K2346" s="173" t="s">
        <v>233</v>
      </c>
      <c r="L2346" s="173" t="s">
        <v>233</v>
      </c>
      <c r="M2346" s="179">
        <v>5020</v>
      </c>
      <c r="N2346" s="179">
        <v>4837</v>
      </c>
      <c r="O2346" s="179">
        <v>330</v>
      </c>
      <c r="P2346" s="179" t="s">
        <v>252</v>
      </c>
      <c r="Q2346" s="179">
        <v>350</v>
      </c>
      <c r="R2346" s="179" t="s">
        <v>252</v>
      </c>
      <c r="S2346" s="179">
        <v>320</v>
      </c>
      <c r="T2346" s="179" t="s">
        <v>252</v>
      </c>
      <c r="U2346" s="179">
        <v>440</v>
      </c>
      <c r="V2346" s="179" t="s">
        <v>252</v>
      </c>
      <c r="W2346" s="179">
        <v>360</v>
      </c>
      <c r="X2346" s="179" t="s">
        <v>252</v>
      </c>
      <c r="Y2346" s="179">
        <v>380</v>
      </c>
      <c r="Z2346" s="179" t="s">
        <v>252</v>
      </c>
      <c r="AA2346" s="179">
        <v>340</v>
      </c>
      <c r="AB2346" s="179" t="s">
        <v>252</v>
      </c>
      <c r="AC2346" s="179">
        <v>320</v>
      </c>
      <c r="AD2346" s="179" t="s">
        <v>252</v>
      </c>
      <c r="AE2346" s="179">
        <v>400</v>
      </c>
      <c r="AF2346" s="179" t="s">
        <v>252</v>
      </c>
      <c r="AG2346" s="179">
        <v>39</v>
      </c>
      <c r="AH2346" s="179" t="s">
        <v>252</v>
      </c>
      <c r="AI2346" s="179">
        <v>390</v>
      </c>
      <c r="AJ2346" s="179" t="s">
        <v>252</v>
      </c>
      <c r="AK2346" s="179">
        <v>430</v>
      </c>
      <c r="AL2346" s="179" t="s">
        <v>252</v>
      </c>
      <c r="AM2346" s="194">
        <f t="shared" si="17"/>
        <v>4099</v>
      </c>
    </row>
    <row r="2347" spans="2:39" s="3" customFormat="1" ht="15.75" outlineLevel="1">
      <c r="B2347" s="178" t="s">
        <v>768</v>
      </c>
      <c r="C2347" s="218" t="s">
        <v>1489</v>
      </c>
      <c r="D2347" s="219" t="s">
        <v>1403</v>
      </c>
      <c r="E2347" s="23" t="s">
        <v>44</v>
      </c>
      <c r="F2347" s="222" t="s">
        <v>45</v>
      </c>
      <c r="G2347" s="188" t="s">
        <v>1432</v>
      </c>
      <c r="H2347" s="194">
        <v>10</v>
      </c>
      <c r="I2347" s="188" t="s">
        <v>1433</v>
      </c>
      <c r="J2347" s="220" t="s">
        <v>216</v>
      </c>
      <c r="K2347" s="173" t="s">
        <v>233</v>
      </c>
      <c r="L2347" s="173" t="s">
        <v>233</v>
      </c>
      <c r="M2347" s="179">
        <v>9600</v>
      </c>
      <c r="N2347" s="179">
        <v>8961</v>
      </c>
      <c r="O2347" s="179">
        <v>2134</v>
      </c>
      <c r="P2347" s="179" t="s">
        <v>252</v>
      </c>
      <c r="Q2347" s="179">
        <v>1942</v>
      </c>
      <c r="R2347" s="179" t="s">
        <v>252</v>
      </c>
      <c r="S2347" s="179">
        <v>1490</v>
      </c>
      <c r="T2347" s="179" t="s">
        <v>252</v>
      </c>
      <c r="U2347" s="179">
        <v>2319</v>
      </c>
      <c r="V2347" s="179" t="s">
        <v>252</v>
      </c>
      <c r="W2347" s="179">
        <v>1723</v>
      </c>
      <c r="X2347" s="179" t="s">
        <v>252</v>
      </c>
      <c r="Y2347" s="179">
        <v>1477</v>
      </c>
      <c r="Z2347" s="179" t="s">
        <v>252</v>
      </c>
      <c r="AA2347" s="179">
        <v>1094</v>
      </c>
      <c r="AB2347" s="179" t="s">
        <v>252</v>
      </c>
      <c r="AC2347" s="179">
        <v>1324</v>
      </c>
      <c r="AD2347" s="179" t="s">
        <v>252</v>
      </c>
      <c r="AE2347" s="179">
        <v>1665</v>
      </c>
      <c r="AF2347" s="179" t="s">
        <v>252</v>
      </c>
      <c r="AG2347" s="179">
        <v>1864</v>
      </c>
      <c r="AH2347" s="179" t="s">
        <v>252</v>
      </c>
      <c r="AI2347" s="179">
        <v>1941</v>
      </c>
      <c r="AJ2347" s="179" t="s">
        <v>252</v>
      </c>
      <c r="AK2347" s="179">
        <v>2009</v>
      </c>
      <c r="AL2347" s="179" t="s">
        <v>252</v>
      </c>
      <c r="AM2347" s="194">
        <f t="shared" si="17"/>
        <v>20982</v>
      </c>
    </row>
    <row r="2348" spans="2:39" s="3" customFormat="1" ht="15.75" outlineLevel="1">
      <c r="B2348" s="178" t="s">
        <v>769</v>
      </c>
      <c r="C2348" s="218" t="s">
        <v>1489</v>
      </c>
      <c r="D2348" s="219" t="s">
        <v>1403</v>
      </c>
      <c r="E2348" s="23" t="s">
        <v>44</v>
      </c>
      <c r="F2348" s="93" t="s">
        <v>45</v>
      </c>
      <c r="G2348" s="188" t="s">
        <v>1432</v>
      </c>
      <c r="H2348" s="194">
        <v>37</v>
      </c>
      <c r="I2348" s="188" t="s">
        <v>1433</v>
      </c>
      <c r="J2348" s="220" t="s">
        <v>1127</v>
      </c>
      <c r="K2348" s="173" t="s">
        <v>233</v>
      </c>
      <c r="L2348" s="173" t="s">
        <v>233</v>
      </c>
      <c r="M2348" s="179">
        <v>1179</v>
      </c>
      <c r="N2348" s="179">
        <v>1052</v>
      </c>
      <c r="O2348" s="179">
        <v>300</v>
      </c>
      <c r="P2348" s="179" t="s">
        <v>252</v>
      </c>
      <c r="Q2348" s="179">
        <v>198</v>
      </c>
      <c r="R2348" s="179" t="s">
        <v>252</v>
      </c>
      <c r="S2348" s="179">
        <v>188</v>
      </c>
      <c r="T2348" s="179" t="s">
        <v>252</v>
      </c>
      <c r="U2348" s="179">
        <v>250</v>
      </c>
      <c r="V2348" s="179" t="s">
        <v>252</v>
      </c>
      <c r="W2348" s="179">
        <v>250</v>
      </c>
      <c r="X2348" s="179" t="s">
        <v>252</v>
      </c>
      <c r="Y2348" s="179">
        <v>200</v>
      </c>
      <c r="Z2348" s="179" t="s">
        <v>252</v>
      </c>
      <c r="AA2348" s="179">
        <v>250</v>
      </c>
      <c r="AB2348" s="179" t="s">
        <v>252</v>
      </c>
      <c r="AC2348" s="179">
        <v>215</v>
      </c>
      <c r="AD2348" s="179" t="s">
        <v>252</v>
      </c>
      <c r="AE2348" s="179">
        <v>135</v>
      </c>
      <c r="AF2348" s="179" t="s">
        <v>252</v>
      </c>
      <c r="AG2348" s="179">
        <v>89</v>
      </c>
      <c r="AH2348" s="179" t="s">
        <v>252</v>
      </c>
      <c r="AI2348" s="179">
        <v>142</v>
      </c>
      <c r="AJ2348" s="179" t="s">
        <v>252</v>
      </c>
      <c r="AK2348" s="179">
        <v>138</v>
      </c>
      <c r="AL2348" s="179" t="s">
        <v>252</v>
      </c>
      <c r="AM2348" s="194">
        <f t="shared" si="17"/>
        <v>2355</v>
      </c>
    </row>
    <row r="2349" spans="2:39" s="3" customFormat="1" ht="15.75" outlineLevel="1">
      <c r="B2349" s="178" t="s">
        <v>770</v>
      </c>
      <c r="C2349" s="218" t="s">
        <v>1489</v>
      </c>
      <c r="D2349" s="219" t="s">
        <v>1403</v>
      </c>
      <c r="E2349" s="23" t="s">
        <v>44</v>
      </c>
      <c r="F2349" s="93" t="s">
        <v>45</v>
      </c>
      <c r="G2349" s="188" t="s">
        <v>1432</v>
      </c>
      <c r="H2349" s="194">
        <v>53</v>
      </c>
      <c r="I2349" s="188" t="s">
        <v>1433</v>
      </c>
      <c r="J2349" s="220" t="s">
        <v>1447</v>
      </c>
      <c r="K2349" s="173" t="s">
        <v>233</v>
      </c>
      <c r="L2349" s="173" t="s">
        <v>233</v>
      </c>
      <c r="M2349" s="179">
        <v>8454</v>
      </c>
      <c r="N2349" s="179">
        <v>7791</v>
      </c>
      <c r="O2349" s="179">
        <v>552</v>
      </c>
      <c r="P2349" s="179" t="s">
        <v>252</v>
      </c>
      <c r="Q2349" s="179">
        <v>519</v>
      </c>
      <c r="R2349" s="179" t="s">
        <v>252</v>
      </c>
      <c r="S2349" s="179">
        <v>446</v>
      </c>
      <c r="T2349" s="179" t="s">
        <v>252</v>
      </c>
      <c r="U2349" s="179">
        <v>638</v>
      </c>
      <c r="V2349" s="179" t="s">
        <v>252</v>
      </c>
      <c r="W2349" s="179">
        <v>595</v>
      </c>
      <c r="X2349" s="179" t="s">
        <v>252</v>
      </c>
      <c r="Y2349" s="179">
        <v>269</v>
      </c>
      <c r="Z2349" s="179" t="s">
        <v>252</v>
      </c>
      <c r="AA2349" s="179">
        <v>173</v>
      </c>
      <c r="AB2349" s="179" t="s">
        <v>252</v>
      </c>
      <c r="AC2349" s="179">
        <v>177</v>
      </c>
      <c r="AD2349" s="179" t="s">
        <v>252</v>
      </c>
      <c r="AE2349" s="179">
        <v>229</v>
      </c>
      <c r="AF2349" s="179" t="s">
        <v>252</v>
      </c>
      <c r="AG2349" s="179">
        <v>294</v>
      </c>
      <c r="AH2349" s="179" t="s">
        <v>252</v>
      </c>
      <c r="AI2349" s="179">
        <v>195</v>
      </c>
      <c r="AJ2349" s="179" t="s">
        <v>252</v>
      </c>
      <c r="AK2349" s="179">
        <v>345</v>
      </c>
      <c r="AL2349" s="179" t="s">
        <v>252</v>
      </c>
      <c r="AM2349" s="194">
        <f t="shared" si="17"/>
        <v>4432</v>
      </c>
    </row>
    <row r="2350" spans="2:39" s="3" customFormat="1" ht="15.75" outlineLevel="1">
      <c r="B2350" s="178" t="s">
        <v>771</v>
      </c>
      <c r="C2350" s="218" t="s">
        <v>1489</v>
      </c>
      <c r="D2350" s="219" t="s">
        <v>1403</v>
      </c>
      <c r="E2350" s="23" t="s">
        <v>44</v>
      </c>
      <c r="F2350" s="93" t="s">
        <v>45</v>
      </c>
      <c r="G2350" s="188" t="s">
        <v>1432</v>
      </c>
      <c r="H2350" s="194">
        <v>48</v>
      </c>
      <c r="I2350" s="188" t="s">
        <v>1433</v>
      </c>
      <c r="J2350" s="220" t="s">
        <v>976</v>
      </c>
      <c r="K2350" s="173" t="s">
        <v>233</v>
      </c>
      <c r="L2350" s="173" t="s">
        <v>233</v>
      </c>
      <c r="M2350" s="179">
        <v>4361</v>
      </c>
      <c r="N2350" s="179">
        <v>10468</v>
      </c>
      <c r="O2350" s="179">
        <v>860</v>
      </c>
      <c r="P2350" s="179" t="s">
        <v>252</v>
      </c>
      <c r="Q2350" s="179">
        <v>652</v>
      </c>
      <c r="R2350" s="179" t="s">
        <v>252</v>
      </c>
      <c r="S2350" s="179">
        <v>492</v>
      </c>
      <c r="T2350" s="179" t="s">
        <v>252</v>
      </c>
      <c r="U2350" s="179">
        <v>791</v>
      </c>
      <c r="V2350" s="179" t="s">
        <v>252</v>
      </c>
      <c r="W2350" s="179">
        <v>788</v>
      </c>
      <c r="X2350" s="179" t="s">
        <v>252</v>
      </c>
      <c r="Y2350" s="179">
        <v>672</v>
      </c>
      <c r="Z2350" s="179" t="s">
        <v>252</v>
      </c>
      <c r="AA2350" s="179">
        <v>506</v>
      </c>
      <c r="AB2350" s="179" t="s">
        <v>252</v>
      </c>
      <c r="AC2350" s="179">
        <v>592</v>
      </c>
      <c r="AD2350" s="179" t="s">
        <v>252</v>
      </c>
      <c r="AE2350" s="179">
        <v>695</v>
      </c>
      <c r="AF2350" s="179" t="s">
        <v>252</v>
      </c>
      <c r="AG2350" s="179">
        <v>569</v>
      </c>
      <c r="AH2350" s="179" t="s">
        <v>252</v>
      </c>
      <c r="AI2350" s="179">
        <v>735</v>
      </c>
      <c r="AJ2350" s="179" t="s">
        <v>252</v>
      </c>
      <c r="AK2350" s="179">
        <v>878</v>
      </c>
      <c r="AL2350" s="179" t="s">
        <v>252</v>
      </c>
      <c r="AM2350" s="194">
        <f t="shared" si="17"/>
        <v>8230</v>
      </c>
    </row>
    <row r="2351" spans="2:39" s="3" customFormat="1" ht="15.75" outlineLevel="1">
      <c r="B2351" s="178" t="s">
        <v>772</v>
      </c>
      <c r="C2351" s="218" t="s">
        <v>1489</v>
      </c>
      <c r="D2351" s="219" t="s">
        <v>1403</v>
      </c>
      <c r="E2351" s="23" t="s">
        <v>44</v>
      </c>
      <c r="F2351" s="93" t="s">
        <v>45</v>
      </c>
      <c r="G2351" s="188" t="s">
        <v>1432</v>
      </c>
      <c r="H2351" s="194">
        <v>15</v>
      </c>
      <c r="I2351" s="188" t="s">
        <v>1433</v>
      </c>
      <c r="J2351" s="220" t="s">
        <v>1448</v>
      </c>
      <c r="K2351" s="173" t="s">
        <v>233</v>
      </c>
      <c r="L2351" s="173" t="s">
        <v>233</v>
      </c>
      <c r="M2351" s="224">
        <v>6753</v>
      </c>
      <c r="N2351" s="194">
        <v>6282</v>
      </c>
      <c r="O2351" s="194">
        <v>572</v>
      </c>
      <c r="P2351" s="179" t="s">
        <v>252</v>
      </c>
      <c r="Q2351" s="194">
        <v>570</v>
      </c>
      <c r="R2351" s="179" t="s">
        <v>252</v>
      </c>
      <c r="S2351" s="194">
        <v>418</v>
      </c>
      <c r="T2351" s="179" t="s">
        <v>252</v>
      </c>
      <c r="U2351" s="194">
        <v>430</v>
      </c>
      <c r="V2351" s="179" t="s">
        <v>252</v>
      </c>
      <c r="W2351" s="194">
        <v>362</v>
      </c>
      <c r="X2351" s="179" t="s">
        <v>252</v>
      </c>
      <c r="Y2351" s="194">
        <v>353</v>
      </c>
      <c r="Z2351" s="179" t="s">
        <v>252</v>
      </c>
      <c r="AA2351" s="194">
        <v>356</v>
      </c>
      <c r="AB2351" s="179" t="s">
        <v>252</v>
      </c>
      <c r="AC2351" s="194">
        <v>453</v>
      </c>
      <c r="AD2351" s="179" t="s">
        <v>252</v>
      </c>
      <c r="AE2351" s="194">
        <v>522</v>
      </c>
      <c r="AF2351" s="179" t="s">
        <v>252</v>
      </c>
      <c r="AG2351" s="194">
        <v>466</v>
      </c>
      <c r="AH2351" s="179" t="s">
        <v>252</v>
      </c>
      <c r="AI2351" s="194">
        <v>647</v>
      </c>
      <c r="AJ2351" s="179" t="s">
        <v>252</v>
      </c>
      <c r="AK2351" s="194">
        <v>530</v>
      </c>
      <c r="AL2351" s="179" t="s">
        <v>252</v>
      </c>
      <c r="AM2351" s="194">
        <f t="shared" si="17"/>
        <v>5679</v>
      </c>
    </row>
    <row r="2352" spans="2:39" s="3" customFormat="1" ht="15.75" outlineLevel="1">
      <c r="B2352" s="178" t="s">
        <v>773</v>
      </c>
      <c r="C2352" s="218" t="s">
        <v>1489</v>
      </c>
      <c r="D2352" s="219" t="s">
        <v>1403</v>
      </c>
      <c r="E2352" s="23" t="s">
        <v>44</v>
      </c>
      <c r="F2352" s="93" t="s">
        <v>45</v>
      </c>
      <c r="G2352" s="188" t="s">
        <v>1432</v>
      </c>
      <c r="H2352" s="194">
        <v>20</v>
      </c>
      <c r="I2352" s="188" t="s">
        <v>1433</v>
      </c>
      <c r="J2352" s="220" t="s">
        <v>1448</v>
      </c>
      <c r="K2352" s="173" t="s">
        <v>233</v>
      </c>
      <c r="L2352" s="173" t="s">
        <v>233</v>
      </c>
      <c r="M2352" s="194">
        <v>2435</v>
      </c>
      <c r="N2352" s="194">
        <v>2472</v>
      </c>
      <c r="O2352" s="194">
        <v>634</v>
      </c>
      <c r="P2352" s="179" t="s">
        <v>252</v>
      </c>
      <c r="Q2352" s="194">
        <v>377</v>
      </c>
      <c r="R2352" s="179" t="s">
        <v>252</v>
      </c>
      <c r="S2352" s="194">
        <v>239</v>
      </c>
      <c r="T2352" s="179" t="s">
        <v>252</v>
      </c>
      <c r="U2352" s="194">
        <v>196</v>
      </c>
      <c r="V2352" s="179" t="s">
        <v>252</v>
      </c>
      <c r="W2352" s="194">
        <v>96</v>
      </c>
      <c r="X2352" s="179" t="s">
        <v>252</v>
      </c>
      <c r="Y2352" s="194">
        <v>100</v>
      </c>
      <c r="Z2352" s="179" t="s">
        <v>252</v>
      </c>
      <c r="AA2352" s="194">
        <v>114</v>
      </c>
      <c r="AB2352" s="179" t="s">
        <v>252</v>
      </c>
      <c r="AC2352" s="194">
        <v>163</v>
      </c>
      <c r="AD2352" s="179" t="s">
        <v>252</v>
      </c>
      <c r="AE2352" s="194">
        <v>211</v>
      </c>
      <c r="AF2352" s="179" t="s">
        <v>252</v>
      </c>
      <c r="AG2352" s="194">
        <v>193</v>
      </c>
      <c r="AH2352" s="179" t="s">
        <v>252</v>
      </c>
      <c r="AI2352" s="194">
        <v>261</v>
      </c>
      <c r="AJ2352" s="179" t="s">
        <v>252</v>
      </c>
      <c r="AK2352" s="194">
        <v>334</v>
      </c>
      <c r="AL2352" s="179" t="s">
        <v>252</v>
      </c>
      <c r="AM2352" s="194">
        <f t="shared" si="17"/>
        <v>2918</v>
      </c>
    </row>
    <row r="2353" spans="2:39" s="3" customFormat="1" ht="15.75" outlineLevel="1">
      <c r="B2353" s="178" t="s">
        <v>774</v>
      </c>
      <c r="C2353" s="218" t="s">
        <v>1489</v>
      </c>
      <c r="D2353" s="219" t="s">
        <v>1403</v>
      </c>
      <c r="E2353" s="23" t="s">
        <v>44</v>
      </c>
      <c r="F2353" s="93" t="s">
        <v>45</v>
      </c>
      <c r="G2353" s="188" t="s">
        <v>1432</v>
      </c>
      <c r="H2353" s="194">
        <v>120</v>
      </c>
      <c r="I2353" s="188" t="s">
        <v>1433</v>
      </c>
      <c r="J2353" s="220" t="s">
        <v>216</v>
      </c>
      <c r="K2353" s="173" t="s">
        <v>233</v>
      </c>
      <c r="L2353" s="173" t="s">
        <v>233</v>
      </c>
      <c r="M2353" s="194">
        <v>3787</v>
      </c>
      <c r="N2353" s="194">
        <v>3549</v>
      </c>
      <c r="O2353" s="194">
        <v>435</v>
      </c>
      <c r="P2353" s="179" t="s">
        <v>252</v>
      </c>
      <c r="Q2353" s="194">
        <v>458</v>
      </c>
      <c r="R2353" s="179" t="s">
        <v>252</v>
      </c>
      <c r="S2353" s="194">
        <v>283</v>
      </c>
      <c r="T2353" s="179" t="s">
        <v>252</v>
      </c>
      <c r="U2353" s="194">
        <v>321</v>
      </c>
      <c r="V2353" s="179" t="s">
        <v>252</v>
      </c>
      <c r="W2353" s="194">
        <v>261</v>
      </c>
      <c r="X2353" s="179" t="s">
        <v>252</v>
      </c>
      <c r="Y2353" s="194">
        <v>195</v>
      </c>
      <c r="Z2353" s="179" t="s">
        <v>252</v>
      </c>
      <c r="AA2353" s="194">
        <v>174</v>
      </c>
      <c r="AB2353" s="179" t="s">
        <v>252</v>
      </c>
      <c r="AC2353" s="194">
        <v>251</v>
      </c>
      <c r="AD2353" s="179" t="s">
        <v>252</v>
      </c>
      <c r="AE2353" s="194">
        <v>420</v>
      </c>
      <c r="AF2353" s="179" t="s">
        <v>252</v>
      </c>
      <c r="AG2353" s="194">
        <v>292</v>
      </c>
      <c r="AH2353" s="179" t="s">
        <v>252</v>
      </c>
      <c r="AI2353" s="194">
        <v>577</v>
      </c>
      <c r="AJ2353" s="179" t="s">
        <v>252</v>
      </c>
      <c r="AK2353" s="194">
        <v>552</v>
      </c>
      <c r="AL2353" s="179" t="s">
        <v>252</v>
      </c>
      <c r="AM2353" s="194">
        <f t="shared" si="17"/>
        <v>4219</v>
      </c>
    </row>
    <row r="2354" spans="2:39" s="3" customFormat="1" ht="15.75" outlineLevel="1">
      <c r="B2354" s="178" t="s">
        <v>775</v>
      </c>
      <c r="C2354" s="218" t="s">
        <v>1489</v>
      </c>
      <c r="D2354" s="219" t="s">
        <v>1403</v>
      </c>
      <c r="E2354" s="23" t="s">
        <v>44</v>
      </c>
      <c r="F2354" s="93" t="s">
        <v>45</v>
      </c>
      <c r="G2354" s="188" t="s">
        <v>1432</v>
      </c>
      <c r="H2354" s="194">
        <v>90</v>
      </c>
      <c r="I2354" s="188" t="s">
        <v>1433</v>
      </c>
      <c r="J2354" s="220" t="s">
        <v>1449</v>
      </c>
      <c r="K2354" s="173" t="s">
        <v>233</v>
      </c>
      <c r="L2354" s="173" t="s">
        <v>233</v>
      </c>
      <c r="M2354" s="194">
        <v>2729</v>
      </c>
      <c r="N2354" s="194">
        <v>2631</v>
      </c>
      <c r="O2354" s="194">
        <v>253</v>
      </c>
      <c r="P2354" s="179" t="s">
        <v>252</v>
      </c>
      <c r="Q2354" s="194">
        <v>224</v>
      </c>
      <c r="R2354" s="179" t="s">
        <v>252</v>
      </c>
      <c r="S2354" s="194">
        <v>161</v>
      </c>
      <c r="T2354" s="179" t="s">
        <v>252</v>
      </c>
      <c r="U2354" s="194">
        <v>185</v>
      </c>
      <c r="V2354" s="179" t="s">
        <v>252</v>
      </c>
      <c r="W2354" s="194">
        <v>140</v>
      </c>
      <c r="X2354" s="179" t="s">
        <v>252</v>
      </c>
      <c r="Y2354" s="194">
        <v>116</v>
      </c>
      <c r="Z2354" s="179" t="s">
        <v>252</v>
      </c>
      <c r="AA2354" s="194">
        <v>107</v>
      </c>
      <c r="AB2354" s="179" t="s">
        <v>252</v>
      </c>
      <c r="AC2354" s="194">
        <v>157</v>
      </c>
      <c r="AD2354" s="179" t="s">
        <v>252</v>
      </c>
      <c r="AE2354" s="194">
        <v>151</v>
      </c>
      <c r="AF2354" s="179" t="s">
        <v>252</v>
      </c>
      <c r="AG2354" s="194">
        <v>198</v>
      </c>
      <c r="AH2354" s="179" t="s">
        <v>252</v>
      </c>
      <c r="AI2354" s="194">
        <v>232</v>
      </c>
      <c r="AJ2354" s="179" t="s">
        <v>252</v>
      </c>
      <c r="AK2354" s="194">
        <v>313</v>
      </c>
      <c r="AL2354" s="179" t="s">
        <v>252</v>
      </c>
      <c r="AM2354" s="194">
        <f t="shared" si="17"/>
        <v>2237</v>
      </c>
    </row>
    <row r="2355" spans="2:39" s="3" customFormat="1" ht="15.75" outlineLevel="1">
      <c r="B2355" s="178" t="s">
        <v>776</v>
      </c>
      <c r="C2355" s="218" t="s">
        <v>1489</v>
      </c>
      <c r="D2355" s="219" t="s">
        <v>1403</v>
      </c>
      <c r="E2355" s="221" t="s">
        <v>138</v>
      </c>
      <c r="F2355" s="93" t="s">
        <v>45</v>
      </c>
      <c r="G2355" s="188" t="s">
        <v>1432</v>
      </c>
      <c r="H2355" s="194">
        <v>12</v>
      </c>
      <c r="I2355" s="188" t="s">
        <v>1433</v>
      </c>
      <c r="J2355" s="220" t="s">
        <v>1450</v>
      </c>
      <c r="K2355" s="173" t="s">
        <v>233</v>
      </c>
      <c r="L2355" s="173" t="s">
        <v>233</v>
      </c>
      <c r="M2355" s="194">
        <v>628</v>
      </c>
      <c r="N2355" s="194">
        <v>729</v>
      </c>
      <c r="O2355" s="194">
        <v>51</v>
      </c>
      <c r="P2355" s="179" t="s">
        <v>252</v>
      </c>
      <c r="Q2355" s="194">
        <v>58</v>
      </c>
      <c r="R2355" s="179" t="s">
        <v>252</v>
      </c>
      <c r="S2355" s="194">
        <v>46</v>
      </c>
      <c r="T2355" s="179" t="s">
        <v>252</v>
      </c>
      <c r="U2355" s="194">
        <v>63</v>
      </c>
      <c r="V2355" s="179" t="s">
        <v>252</v>
      </c>
      <c r="W2355" s="194">
        <v>38</v>
      </c>
      <c r="X2355" s="179" t="s">
        <v>252</v>
      </c>
      <c r="Y2355" s="194">
        <v>48</v>
      </c>
      <c r="Z2355" s="179" t="s">
        <v>252</v>
      </c>
      <c r="AA2355" s="194">
        <v>43</v>
      </c>
      <c r="AB2355" s="179" t="s">
        <v>252</v>
      </c>
      <c r="AC2355" s="194">
        <v>753</v>
      </c>
      <c r="AD2355" s="179" t="s">
        <v>252</v>
      </c>
      <c r="AE2355" s="194">
        <v>49</v>
      </c>
      <c r="AF2355" s="179" t="s">
        <v>252</v>
      </c>
      <c r="AG2355" s="194">
        <v>43</v>
      </c>
      <c r="AH2355" s="179" t="s">
        <v>252</v>
      </c>
      <c r="AI2355" s="194">
        <v>39</v>
      </c>
      <c r="AJ2355" s="179" t="s">
        <v>252</v>
      </c>
      <c r="AK2355" s="194">
        <v>52</v>
      </c>
      <c r="AL2355" s="179" t="s">
        <v>252</v>
      </c>
      <c r="AM2355" s="194">
        <f t="shared" si="17"/>
        <v>1283</v>
      </c>
    </row>
    <row r="2356" spans="2:39" s="3" customFormat="1" ht="15.75" outlineLevel="1">
      <c r="B2356" s="178" t="s">
        <v>776</v>
      </c>
      <c r="C2356" s="218" t="s">
        <v>1489</v>
      </c>
      <c r="D2356" s="219" t="s">
        <v>1403</v>
      </c>
      <c r="E2356" s="23" t="s">
        <v>44</v>
      </c>
      <c r="F2356" s="93" t="s">
        <v>45</v>
      </c>
      <c r="G2356" s="188" t="s">
        <v>1432</v>
      </c>
      <c r="H2356" s="194">
        <v>49</v>
      </c>
      <c r="I2356" s="188" t="s">
        <v>1433</v>
      </c>
      <c r="J2356" s="220" t="s">
        <v>1451</v>
      </c>
      <c r="K2356" s="173" t="s">
        <v>233</v>
      </c>
      <c r="L2356" s="173" t="s">
        <v>233</v>
      </c>
      <c r="M2356" s="194">
        <v>15159</v>
      </c>
      <c r="N2356" s="194">
        <v>16821</v>
      </c>
      <c r="O2356" s="194">
        <v>1603</v>
      </c>
      <c r="P2356" s="179" t="s">
        <v>252</v>
      </c>
      <c r="Q2356" s="194">
        <v>1446</v>
      </c>
      <c r="R2356" s="179" t="s">
        <v>252</v>
      </c>
      <c r="S2356" s="194">
        <v>1148</v>
      </c>
      <c r="T2356" s="179" t="s">
        <v>252</v>
      </c>
      <c r="U2356" s="194">
        <v>1293</v>
      </c>
      <c r="V2356" s="179" t="s">
        <v>252</v>
      </c>
      <c r="W2356" s="194">
        <v>1097</v>
      </c>
      <c r="X2356" s="179" t="s">
        <v>252</v>
      </c>
      <c r="Y2356" s="194">
        <v>814</v>
      </c>
      <c r="Z2356" s="179" t="s">
        <v>252</v>
      </c>
      <c r="AA2356" s="194">
        <v>664</v>
      </c>
      <c r="AB2356" s="179" t="s">
        <v>252</v>
      </c>
      <c r="AC2356" s="194">
        <v>48</v>
      </c>
      <c r="AD2356" s="179" t="s">
        <v>252</v>
      </c>
      <c r="AE2356" s="194">
        <v>1151</v>
      </c>
      <c r="AF2356" s="179" t="s">
        <v>252</v>
      </c>
      <c r="AG2356" s="194">
        <v>1074</v>
      </c>
      <c r="AH2356" s="179" t="s">
        <v>252</v>
      </c>
      <c r="AI2356" s="194">
        <v>1158</v>
      </c>
      <c r="AJ2356" s="179" t="s">
        <v>252</v>
      </c>
      <c r="AK2356" s="194">
        <v>1432</v>
      </c>
      <c r="AL2356" s="179" t="s">
        <v>252</v>
      </c>
      <c r="AM2356" s="194">
        <f t="shared" si="17"/>
        <v>12928</v>
      </c>
    </row>
    <row r="2357" spans="2:39" s="3" customFormat="1" ht="15.75" outlineLevel="1">
      <c r="B2357" s="178" t="s">
        <v>777</v>
      </c>
      <c r="C2357" s="218" t="s">
        <v>1489</v>
      </c>
      <c r="D2357" s="219" t="s">
        <v>1403</v>
      </c>
      <c r="E2357" s="23" t="s">
        <v>44</v>
      </c>
      <c r="F2357" s="222" t="s">
        <v>45</v>
      </c>
      <c r="G2357" s="188" t="s">
        <v>1432</v>
      </c>
      <c r="H2357" s="194">
        <v>6</v>
      </c>
      <c r="I2357" s="188" t="s">
        <v>1433</v>
      </c>
      <c r="J2357" s="220" t="s">
        <v>208</v>
      </c>
      <c r="K2357" s="173" t="s">
        <v>233</v>
      </c>
      <c r="L2357" s="173" t="s">
        <v>233</v>
      </c>
      <c r="M2357" s="224">
        <v>8906</v>
      </c>
      <c r="N2357" s="194">
        <v>9581</v>
      </c>
      <c r="O2357" s="194">
        <v>428</v>
      </c>
      <c r="P2357" s="179" t="s">
        <v>252</v>
      </c>
      <c r="Q2357" s="194">
        <v>419</v>
      </c>
      <c r="R2357" s="179" t="s">
        <v>252</v>
      </c>
      <c r="S2357" s="194">
        <v>243</v>
      </c>
      <c r="T2357" s="179" t="s">
        <v>252</v>
      </c>
      <c r="U2357" s="194">
        <v>479</v>
      </c>
      <c r="V2357" s="179" t="s">
        <v>252</v>
      </c>
      <c r="W2357" s="194">
        <v>300</v>
      </c>
      <c r="X2357" s="179" t="s">
        <v>252</v>
      </c>
      <c r="Y2357" s="194">
        <v>296</v>
      </c>
      <c r="Z2357" s="179" t="s">
        <v>252</v>
      </c>
      <c r="AA2357" s="194">
        <v>421</v>
      </c>
      <c r="AB2357" s="179" t="s">
        <v>252</v>
      </c>
      <c r="AC2357" s="194">
        <v>407</v>
      </c>
      <c r="AD2357" s="179" t="s">
        <v>252</v>
      </c>
      <c r="AE2357" s="194">
        <v>233</v>
      </c>
      <c r="AF2357" s="179" t="s">
        <v>252</v>
      </c>
      <c r="AG2357" s="194">
        <v>297</v>
      </c>
      <c r="AH2357" s="179" t="s">
        <v>252</v>
      </c>
      <c r="AI2357" s="194">
        <v>307</v>
      </c>
      <c r="AJ2357" s="179" t="s">
        <v>252</v>
      </c>
      <c r="AK2357" s="194">
        <v>335</v>
      </c>
      <c r="AL2357" s="179" t="s">
        <v>252</v>
      </c>
      <c r="AM2357" s="194">
        <f t="shared" si="17"/>
        <v>4165</v>
      </c>
    </row>
    <row r="2358" spans="2:39" s="3" customFormat="1" ht="15.75" outlineLevel="1">
      <c r="B2358" s="178" t="s">
        <v>779</v>
      </c>
      <c r="C2358" s="218" t="s">
        <v>1489</v>
      </c>
      <c r="D2358" s="219" t="s">
        <v>1403</v>
      </c>
      <c r="E2358" s="221" t="s">
        <v>138</v>
      </c>
      <c r="F2358" s="222" t="s">
        <v>45</v>
      </c>
      <c r="G2358" s="188" t="s">
        <v>1432</v>
      </c>
      <c r="H2358" s="194">
        <v>49</v>
      </c>
      <c r="I2358" s="188" t="s">
        <v>1433</v>
      </c>
      <c r="J2358" s="220" t="s">
        <v>1452</v>
      </c>
      <c r="K2358" s="173" t="s">
        <v>233</v>
      </c>
      <c r="L2358" s="173" t="s">
        <v>233</v>
      </c>
      <c r="M2358" s="224">
        <v>12500</v>
      </c>
      <c r="N2358" s="224">
        <v>11290</v>
      </c>
      <c r="O2358" s="194">
        <v>900</v>
      </c>
      <c r="P2358" s="179" t="s">
        <v>259</v>
      </c>
      <c r="Q2358" s="224">
        <v>900</v>
      </c>
      <c r="R2358" s="179" t="s">
        <v>259</v>
      </c>
      <c r="S2358" s="224">
        <v>679</v>
      </c>
      <c r="T2358" s="179" t="s">
        <v>259</v>
      </c>
      <c r="U2358" s="224">
        <v>882</v>
      </c>
      <c r="V2358" s="179" t="s">
        <v>259</v>
      </c>
      <c r="W2358" s="224">
        <v>882</v>
      </c>
      <c r="X2358" s="179" t="s">
        <v>259</v>
      </c>
      <c r="Y2358" s="224">
        <v>882</v>
      </c>
      <c r="Z2358" s="179" t="s">
        <v>259</v>
      </c>
      <c r="AA2358" s="224">
        <v>882</v>
      </c>
      <c r="AB2358" s="179" t="s">
        <v>259</v>
      </c>
      <c r="AC2358" s="224">
        <v>882</v>
      </c>
      <c r="AD2358" s="179" t="s">
        <v>259</v>
      </c>
      <c r="AE2358" s="224">
        <v>974</v>
      </c>
      <c r="AF2358" s="179" t="s">
        <v>259</v>
      </c>
      <c r="AG2358" s="224">
        <v>974</v>
      </c>
      <c r="AH2358" s="179" t="s">
        <v>259</v>
      </c>
      <c r="AI2358" s="224">
        <v>974</v>
      </c>
      <c r="AJ2358" s="179" t="s">
        <v>259</v>
      </c>
      <c r="AK2358" s="224">
        <v>974</v>
      </c>
      <c r="AL2358" s="179" t="s">
        <v>259</v>
      </c>
      <c r="AM2358" s="194">
        <f t="shared" si="17"/>
        <v>10785</v>
      </c>
    </row>
    <row r="2359" spans="2:39" s="3" customFormat="1" ht="15.75" outlineLevel="1">
      <c r="B2359" s="178" t="s">
        <v>779</v>
      </c>
      <c r="C2359" s="218" t="s">
        <v>1489</v>
      </c>
      <c r="D2359" s="219" t="s">
        <v>1403</v>
      </c>
      <c r="E2359" s="23" t="s">
        <v>44</v>
      </c>
      <c r="F2359" s="93" t="s">
        <v>45</v>
      </c>
      <c r="G2359" s="188" t="s">
        <v>1432</v>
      </c>
      <c r="H2359" s="194">
        <v>27</v>
      </c>
      <c r="I2359" s="188" t="s">
        <v>1433</v>
      </c>
      <c r="J2359" s="220" t="s">
        <v>216</v>
      </c>
      <c r="K2359" s="173" t="s">
        <v>233</v>
      </c>
      <c r="L2359" s="173" t="s">
        <v>233</v>
      </c>
      <c r="M2359" s="224">
        <v>1465</v>
      </c>
      <c r="N2359" s="224">
        <v>12900</v>
      </c>
      <c r="O2359" s="194">
        <v>1000</v>
      </c>
      <c r="P2359" s="179" t="s">
        <v>259</v>
      </c>
      <c r="Q2359" s="224">
        <v>1000</v>
      </c>
      <c r="R2359" s="179" t="s">
        <v>259</v>
      </c>
      <c r="S2359" s="224">
        <v>679</v>
      </c>
      <c r="T2359" s="179" t="s">
        <v>259</v>
      </c>
      <c r="U2359" s="224">
        <v>1086</v>
      </c>
      <c r="V2359" s="179" t="s">
        <v>259</v>
      </c>
      <c r="W2359" s="224">
        <v>1024</v>
      </c>
      <c r="X2359" s="179" t="s">
        <v>259</v>
      </c>
      <c r="Y2359" s="224">
        <v>1017</v>
      </c>
      <c r="Z2359" s="179" t="s">
        <v>259</v>
      </c>
      <c r="AA2359" s="224">
        <v>968</v>
      </c>
      <c r="AB2359" s="179" t="s">
        <v>259</v>
      </c>
      <c r="AC2359" s="224">
        <v>968</v>
      </c>
      <c r="AD2359" s="179" t="s">
        <v>259</v>
      </c>
      <c r="AE2359" s="224">
        <v>393</v>
      </c>
      <c r="AF2359" s="179" t="s">
        <v>259</v>
      </c>
      <c r="AG2359" s="224">
        <v>1131</v>
      </c>
      <c r="AH2359" s="179" t="s">
        <v>259</v>
      </c>
      <c r="AI2359" s="224">
        <v>1387</v>
      </c>
      <c r="AJ2359" s="179" t="s">
        <v>259</v>
      </c>
      <c r="AK2359" s="224">
        <v>1383</v>
      </c>
      <c r="AL2359" s="179" t="s">
        <v>259</v>
      </c>
      <c r="AM2359" s="194">
        <f t="shared" si="17"/>
        <v>12036</v>
      </c>
    </row>
    <row r="2360" spans="2:39" s="3" customFormat="1" ht="15.75" outlineLevel="1">
      <c r="B2360" s="178" t="s">
        <v>780</v>
      </c>
      <c r="C2360" s="218" t="s">
        <v>1489</v>
      </c>
      <c r="D2360" s="219" t="s">
        <v>1403</v>
      </c>
      <c r="E2360" s="23" t="s">
        <v>44</v>
      </c>
      <c r="F2360" s="93" t="s">
        <v>45</v>
      </c>
      <c r="G2360" s="188" t="s">
        <v>1432</v>
      </c>
      <c r="H2360" s="194">
        <v>11</v>
      </c>
      <c r="I2360" s="188" t="s">
        <v>1433</v>
      </c>
      <c r="J2360" s="220" t="s">
        <v>1453</v>
      </c>
      <c r="K2360" s="173" t="s">
        <v>233</v>
      </c>
      <c r="L2360" s="173" t="s">
        <v>233</v>
      </c>
      <c r="M2360" s="194">
        <v>4395</v>
      </c>
      <c r="N2360" s="194">
        <v>3792</v>
      </c>
      <c r="O2360" s="194">
        <v>435</v>
      </c>
      <c r="P2360" s="179" t="s">
        <v>252</v>
      </c>
      <c r="Q2360" s="194">
        <v>149</v>
      </c>
      <c r="R2360" s="179" t="s">
        <v>252</v>
      </c>
      <c r="S2360" s="194">
        <v>766</v>
      </c>
      <c r="T2360" s="179" t="s">
        <v>252</v>
      </c>
      <c r="U2360" s="194">
        <v>357</v>
      </c>
      <c r="V2360" s="179" t="s">
        <v>252</v>
      </c>
      <c r="W2360" s="194">
        <v>329</v>
      </c>
      <c r="X2360" s="179" t="s">
        <v>252</v>
      </c>
      <c r="Y2360" s="194">
        <v>280</v>
      </c>
      <c r="Z2360" s="179" t="s">
        <v>252</v>
      </c>
      <c r="AA2360" s="194">
        <v>327</v>
      </c>
      <c r="AB2360" s="179" t="s">
        <v>252</v>
      </c>
      <c r="AC2360" s="194">
        <v>874</v>
      </c>
      <c r="AD2360" s="179" t="s">
        <v>252</v>
      </c>
      <c r="AE2360" s="194">
        <v>394</v>
      </c>
      <c r="AF2360" s="179" t="s">
        <v>252</v>
      </c>
      <c r="AG2360" s="194">
        <v>552</v>
      </c>
      <c r="AH2360" s="179" t="s">
        <v>252</v>
      </c>
      <c r="AI2360" s="194">
        <v>465</v>
      </c>
      <c r="AJ2360" s="179" t="s">
        <v>252</v>
      </c>
      <c r="AK2360" s="194">
        <v>457</v>
      </c>
      <c r="AL2360" s="179" t="s">
        <v>252</v>
      </c>
      <c r="AM2360" s="194">
        <f t="shared" si="17"/>
        <v>5385</v>
      </c>
    </row>
    <row r="2361" spans="2:39" s="3" customFormat="1" ht="15.75" outlineLevel="1">
      <c r="B2361" s="223" t="s">
        <v>782</v>
      </c>
      <c r="C2361" s="218" t="s">
        <v>1489</v>
      </c>
      <c r="D2361" s="219" t="s">
        <v>1403</v>
      </c>
      <c r="E2361" s="23" t="s">
        <v>44</v>
      </c>
      <c r="F2361" s="93" t="s">
        <v>45</v>
      </c>
      <c r="G2361" s="188" t="s">
        <v>1432</v>
      </c>
      <c r="H2361" s="194">
        <v>81</v>
      </c>
      <c r="I2361" s="188" t="s">
        <v>1433</v>
      </c>
      <c r="J2361" s="220" t="s">
        <v>1454</v>
      </c>
      <c r="K2361" s="173" t="s">
        <v>233</v>
      </c>
      <c r="L2361" s="173" t="s">
        <v>233</v>
      </c>
      <c r="M2361" s="224">
        <v>25800</v>
      </c>
      <c r="N2361" s="224">
        <v>23700</v>
      </c>
      <c r="O2361" s="224">
        <v>1500</v>
      </c>
      <c r="P2361" s="224" t="s">
        <v>259</v>
      </c>
      <c r="Q2361" s="224">
        <v>1500</v>
      </c>
      <c r="R2361" s="224" t="s">
        <v>259</v>
      </c>
      <c r="S2361" s="224">
        <v>1495</v>
      </c>
      <c r="T2361" s="224" t="s">
        <v>259</v>
      </c>
      <c r="U2361" s="224">
        <v>1755</v>
      </c>
      <c r="V2361" s="224" t="s">
        <v>259</v>
      </c>
      <c r="W2361" s="224">
        <v>1653</v>
      </c>
      <c r="X2361" s="224" t="s">
        <v>259</v>
      </c>
      <c r="Y2361" s="224">
        <v>1644</v>
      </c>
      <c r="Z2361" s="224" t="s">
        <v>259</v>
      </c>
      <c r="AA2361" s="224">
        <v>1613</v>
      </c>
      <c r="AB2361" s="224" t="s">
        <v>259</v>
      </c>
      <c r="AC2361" s="224">
        <v>1613</v>
      </c>
      <c r="AD2361" s="224" t="s">
        <v>259</v>
      </c>
      <c r="AE2361" s="224">
        <v>1613</v>
      </c>
      <c r="AF2361" s="224" t="s">
        <v>259</v>
      </c>
      <c r="AG2361" s="224">
        <v>1599</v>
      </c>
      <c r="AH2361" s="224" t="s">
        <v>259</v>
      </c>
      <c r="AI2361" s="224">
        <v>1764</v>
      </c>
      <c r="AJ2361" s="224" t="s">
        <v>259</v>
      </c>
      <c r="AK2361" s="224">
        <v>1696</v>
      </c>
      <c r="AL2361" s="224" t="s">
        <v>259</v>
      </c>
      <c r="AM2361" s="194">
        <f>O2361+Q2361+S2361+U2361+W2361+Y2361+AA2361+AC2361+AE2361+AG2361+AI2361+AK2361</f>
        <v>19445</v>
      </c>
    </row>
    <row r="2362" spans="2:39" s="3" customFormat="1" ht="15.75" outlineLevel="1">
      <c r="B2362" s="178" t="s">
        <v>783</v>
      </c>
      <c r="C2362" s="218" t="s">
        <v>1489</v>
      </c>
      <c r="D2362" s="219" t="s">
        <v>1403</v>
      </c>
      <c r="E2362" s="23" t="s">
        <v>44</v>
      </c>
      <c r="F2362" s="93" t="s">
        <v>45</v>
      </c>
      <c r="G2362" s="188" t="s">
        <v>1432</v>
      </c>
      <c r="H2362" s="376">
        <v>58</v>
      </c>
      <c r="I2362" s="188" t="s">
        <v>1433</v>
      </c>
      <c r="J2362" s="379" t="s">
        <v>1434</v>
      </c>
      <c r="K2362" s="173" t="s">
        <v>233</v>
      </c>
      <c r="L2362" s="173" t="s">
        <v>233</v>
      </c>
      <c r="M2362" s="376">
        <v>9003</v>
      </c>
      <c r="N2362" s="376">
        <v>8258</v>
      </c>
      <c r="O2362" s="376">
        <v>832</v>
      </c>
      <c r="P2362" s="376" t="s">
        <v>252</v>
      </c>
      <c r="Q2362" s="376">
        <v>103</v>
      </c>
      <c r="R2362" s="376" t="s">
        <v>252</v>
      </c>
      <c r="S2362" s="376">
        <v>407</v>
      </c>
      <c r="T2362" s="376" t="s">
        <v>252</v>
      </c>
      <c r="U2362" s="376">
        <v>649</v>
      </c>
      <c r="V2362" s="376" t="s">
        <v>252</v>
      </c>
      <c r="W2362" s="376">
        <v>538</v>
      </c>
      <c r="X2362" s="376" t="s">
        <v>252</v>
      </c>
      <c r="Y2362" s="376">
        <v>494</v>
      </c>
      <c r="Z2362" s="376" t="s">
        <v>252</v>
      </c>
      <c r="AA2362" s="376">
        <v>403</v>
      </c>
      <c r="AB2362" s="376" t="s">
        <v>252</v>
      </c>
      <c r="AC2362" s="376">
        <v>510</v>
      </c>
      <c r="AD2362" s="376" t="s">
        <v>252</v>
      </c>
      <c r="AE2362" s="376">
        <v>666</v>
      </c>
      <c r="AF2362" s="376" t="s">
        <v>252</v>
      </c>
      <c r="AG2362" s="376">
        <v>534</v>
      </c>
      <c r="AH2362" s="376" t="s">
        <v>252</v>
      </c>
      <c r="AI2362" s="376">
        <v>941</v>
      </c>
      <c r="AJ2362" s="376" t="s">
        <v>252</v>
      </c>
      <c r="AK2362" s="376">
        <v>898</v>
      </c>
      <c r="AL2362" s="376" t="s">
        <v>252</v>
      </c>
      <c r="AM2362" s="376">
        <f>O2362+Q2362+S2362+U2362+W2362+Y2362+AA2362+AC2362+AE2362+AG2362+AI2362+AK2362</f>
        <v>6975</v>
      </c>
    </row>
    <row r="2363" spans="2:39" s="3" customFormat="1" ht="15.75" outlineLevel="1">
      <c r="B2363" s="178" t="s">
        <v>784</v>
      </c>
      <c r="C2363" s="218" t="s">
        <v>1489</v>
      </c>
      <c r="D2363" s="219" t="s">
        <v>1403</v>
      </c>
      <c r="E2363" s="23" t="s">
        <v>44</v>
      </c>
      <c r="F2363" s="93" t="s">
        <v>45</v>
      </c>
      <c r="G2363" s="188" t="s">
        <v>1432</v>
      </c>
      <c r="H2363" s="377"/>
      <c r="I2363" s="188" t="s">
        <v>1433</v>
      </c>
      <c r="J2363" s="381"/>
      <c r="K2363" s="173" t="s">
        <v>233</v>
      </c>
      <c r="L2363" s="173" t="s">
        <v>233</v>
      </c>
      <c r="M2363" s="377"/>
      <c r="N2363" s="377"/>
      <c r="O2363" s="377"/>
      <c r="P2363" s="377"/>
      <c r="Q2363" s="377"/>
      <c r="R2363" s="377"/>
      <c r="S2363" s="377"/>
      <c r="T2363" s="377"/>
      <c r="U2363" s="377"/>
      <c r="V2363" s="377"/>
      <c r="W2363" s="377"/>
      <c r="X2363" s="377"/>
      <c r="Y2363" s="377"/>
      <c r="Z2363" s="377"/>
      <c r="AA2363" s="377"/>
      <c r="AB2363" s="377"/>
      <c r="AC2363" s="377"/>
      <c r="AD2363" s="377"/>
      <c r="AE2363" s="377"/>
      <c r="AF2363" s="377"/>
      <c r="AG2363" s="377"/>
      <c r="AH2363" s="377"/>
      <c r="AI2363" s="377"/>
      <c r="AJ2363" s="377"/>
      <c r="AK2363" s="377"/>
      <c r="AL2363" s="377"/>
      <c r="AM2363" s="377"/>
    </row>
    <row r="2364" spans="2:39" s="3" customFormat="1" ht="15.75" outlineLevel="1">
      <c r="B2364" s="178" t="s">
        <v>785</v>
      </c>
      <c r="C2364" s="218" t="s">
        <v>1489</v>
      </c>
      <c r="D2364" s="219" t="s">
        <v>1403</v>
      </c>
      <c r="E2364" s="23" t="s">
        <v>44</v>
      </c>
      <c r="F2364" s="93" t="s">
        <v>45</v>
      </c>
      <c r="G2364" s="188" t="s">
        <v>1432</v>
      </c>
      <c r="H2364" s="377"/>
      <c r="I2364" s="188" t="s">
        <v>1433</v>
      </c>
      <c r="J2364" s="381"/>
      <c r="K2364" s="173" t="s">
        <v>233</v>
      </c>
      <c r="L2364" s="173" t="s">
        <v>233</v>
      </c>
      <c r="M2364" s="377"/>
      <c r="N2364" s="377"/>
      <c r="O2364" s="377"/>
      <c r="P2364" s="377"/>
      <c r="Q2364" s="377"/>
      <c r="R2364" s="377"/>
      <c r="S2364" s="377"/>
      <c r="T2364" s="377"/>
      <c r="U2364" s="377"/>
      <c r="V2364" s="377"/>
      <c r="W2364" s="377"/>
      <c r="X2364" s="377"/>
      <c r="Y2364" s="377"/>
      <c r="Z2364" s="377"/>
      <c r="AA2364" s="377"/>
      <c r="AB2364" s="377"/>
      <c r="AC2364" s="377"/>
      <c r="AD2364" s="377"/>
      <c r="AE2364" s="377"/>
      <c r="AF2364" s="377"/>
      <c r="AG2364" s="377"/>
      <c r="AH2364" s="377"/>
      <c r="AI2364" s="377"/>
      <c r="AJ2364" s="377"/>
      <c r="AK2364" s="377"/>
      <c r="AL2364" s="377"/>
      <c r="AM2364" s="377"/>
    </row>
    <row r="2365" spans="2:39" s="3" customFormat="1" ht="15.75" outlineLevel="1">
      <c r="B2365" s="178" t="s">
        <v>786</v>
      </c>
      <c r="C2365" s="218" t="s">
        <v>1489</v>
      </c>
      <c r="D2365" s="219" t="s">
        <v>1403</v>
      </c>
      <c r="E2365" s="23" t="s">
        <v>44</v>
      </c>
      <c r="F2365" s="222" t="s">
        <v>45</v>
      </c>
      <c r="G2365" s="188" t="s">
        <v>1432</v>
      </c>
      <c r="H2365" s="377"/>
      <c r="I2365" s="188" t="s">
        <v>1433</v>
      </c>
      <c r="J2365" s="381"/>
      <c r="K2365" s="173" t="s">
        <v>233</v>
      </c>
      <c r="L2365" s="173" t="s">
        <v>233</v>
      </c>
      <c r="M2365" s="377"/>
      <c r="N2365" s="377"/>
      <c r="O2365" s="377"/>
      <c r="P2365" s="377"/>
      <c r="Q2365" s="377"/>
      <c r="R2365" s="377"/>
      <c r="S2365" s="377"/>
      <c r="T2365" s="377"/>
      <c r="U2365" s="377"/>
      <c r="V2365" s="377"/>
      <c r="W2365" s="377"/>
      <c r="X2365" s="377"/>
      <c r="Y2365" s="377"/>
      <c r="Z2365" s="377"/>
      <c r="AA2365" s="377"/>
      <c r="AB2365" s="377"/>
      <c r="AC2365" s="377"/>
      <c r="AD2365" s="377"/>
      <c r="AE2365" s="377"/>
      <c r="AF2365" s="377"/>
      <c r="AG2365" s="377"/>
      <c r="AH2365" s="377"/>
      <c r="AI2365" s="377"/>
      <c r="AJ2365" s="377"/>
      <c r="AK2365" s="377"/>
      <c r="AL2365" s="377"/>
      <c r="AM2365" s="377"/>
    </row>
    <row r="2366" spans="2:39" s="3" customFormat="1" ht="15.75" outlineLevel="1">
      <c r="B2366" s="178" t="s">
        <v>788</v>
      </c>
      <c r="C2366" s="218" t="s">
        <v>1489</v>
      </c>
      <c r="D2366" s="219" t="s">
        <v>1403</v>
      </c>
      <c r="E2366" s="23" t="s">
        <v>44</v>
      </c>
      <c r="F2366" s="222" t="s">
        <v>45</v>
      </c>
      <c r="G2366" s="188" t="s">
        <v>1432</v>
      </c>
      <c r="H2366" s="378"/>
      <c r="I2366" s="188" t="s">
        <v>1433</v>
      </c>
      <c r="J2366" s="380"/>
      <c r="K2366" s="173" t="s">
        <v>233</v>
      </c>
      <c r="L2366" s="173" t="s">
        <v>233</v>
      </c>
      <c r="M2366" s="378"/>
      <c r="N2366" s="378"/>
      <c r="O2366" s="378"/>
      <c r="P2366" s="378"/>
      <c r="Q2366" s="378"/>
      <c r="R2366" s="378"/>
      <c r="S2366" s="378"/>
      <c r="T2366" s="378"/>
      <c r="U2366" s="378"/>
      <c r="V2366" s="378"/>
      <c r="W2366" s="378"/>
      <c r="X2366" s="378"/>
      <c r="Y2366" s="378"/>
      <c r="Z2366" s="378"/>
      <c r="AA2366" s="378"/>
      <c r="AB2366" s="378"/>
      <c r="AC2366" s="378"/>
      <c r="AD2366" s="378"/>
      <c r="AE2366" s="378"/>
      <c r="AF2366" s="378"/>
      <c r="AG2366" s="378"/>
      <c r="AH2366" s="378"/>
      <c r="AI2366" s="378"/>
      <c r="AJ2366" s="378"/>
      <c r="AK2366" s="378"/>
      <c r="AL2366" s="378"/>
      <c r="AM2366" s="378"/>
    </row>
    <row r="2367" spans="2:39" s="3" customFormat="1" ht="15.75" outlineLevel="1">
      <c r="B2367" s="178" t="s">
        <v>794</v>
      </c>
      <c r="C2367" s="218" t="s">
        <v>1489</v>
      </c>
      <c r="D2367" s="219" t="s">
        <v>1403</v>
      </c>
      <c r="E2367" s="23" t="s">
        <v>44</v>
      </c>
      <c r="F2367" s="93" t="s">
        <v>45</v>
      </c>
      <c r="G2367" s="188" t="s">
        <v>1432</v>
      </c>
      <c r="H2367" s="376">
        <v>18</v>
      </c>
      <c r="I2367" s="188" t="s">
        <v>1433</v>
      </c>
      <c r="J2367" s="379" t="s">
        <v>216</v>
      </c>
      <c r="K2367" s="173" t="s">
        <v>233</v>
      </c>
      <c r="L2367" s="173" t="s">
        <v>233</v>
      </c>
      <c r="M2367" s="376">
        <v>5541</v>
      </c>
      <c r="N2367" s="376">
        <v>4976</v>
      </c>
      <c r="O2367" s="376">
        <v>464</v>
      </c>
      <c r="P2367" s="376" t="s">
        <v>252</v>
      </c>
      <c r="Q2367" s="376">
        <v>431</v>
      </c>
      <c r="R2367" s="376" t="s">
        <v>252</v>
      </c>
      <c r="S2367" s="376">
        <v>412</v>
      </c>
      <c r="T2367" s="376" t="s">
        <v>252</v>
      </c>
      <c r="U2367" s="376">
        <v>449</v>
      </c>
      <c r="V2367" s="376" t="s">
        <v>252</v>
      </c>
      <c r="W2367" s="376">
        <v>303</v>
      </c>
      <c r="X2367" s="376" t="s">
        <v>252</v>
      </c>
      <c r="Y2367" s="376">
        <v>292</v>
      </c>
      <c r="Z2367" s="376" t="s">
        <v>252</v>
      </c>
      <c r="AA2367" s="376">
        <v>227</v>
      </c>
      <c r="AB2367" s="376" t="s">
        <v>252</v>
      </c>
      <c r="AC2367" s="376">
        <v>293</v>
      </c>
      <c r="AD2367" s="376" t="s">
        <v>252</v>
      </c>
      <c r="AE2367" s="376">
        <v>413</v>
      </c>
      <c r="AF2367" s="376" t="s">
        <v>252</v>
      </c>
      <c r="AG2367" s="376">
        <v>325</v>
      </c>
      <c r="AH2367" s="376" t="s">
        <v>252</v>
      </c>
      <c r="AI2367" s="376">
        <v>593</v>
      </c>
      <c r="AJ2367" s="376" t="s">
        <v>252</v>
      </c>
      <c r="AK2367" s="376">
        <v>450</v>
      </c>
      <c r="AL2367" s="376" t="s">
        <v>252</v>
      </c>
      <c r="AM2367" s="376">
        <v>6975</v>
      </c>
    </row>
    <row r="2368" spans="2:39" s="3" customFormat="1" ht="15.75" outlineLevel="1">
      <c r="B2368" s="178" t="s">
        <v>795</v>
      </c>
      <c r="C2368" s="218" t="s">
        <v>1489</v>
      </c>
      <c r="D2368" s="219" t="s">
        <v>1403</v>
      </c>
      <c r="E2368" s="23" t="s">
        <v>44</v>
      </c>
      <c r="F2368" s="93" t="s">
        <v>45</v>
      </c>
      <c r="G2368" s="188" t="s">
        <v>1432</v>
      </c>
      <c r="H2368" s="378"/>
      <c r="I2368" s="188" t="s">
        <v>1433</v>
      </c>
      <c r="J2368" s="380"/>
      <c r="K2368" s="173" t="s">
        <v>233</v>
      </c>
      <c r="L2368" s="173" t="s">
        <v>233</v>
      </c>
      <c r="M2368" s="378"/>
      <c r="N2368" s="378"/>
      <c r="O2368" s="378"/>
      <c r="P2368" s="378"/>
      <c r="Q2368" s="378"/>
      <c r="R2368" s="378"/>
      <c r="S2368" s="378"/>
      <c r="T2368" s="378"/>
      <c r="U2368" s="378"/>
      <c r="V2368" s="378"/>
      <c r="W2368" s="378"/>
      <c r="X2368" s="378"/>
      <c r="Y2368" s="378"/>
      <c r="Z2368" s="378"/>
      <c r="AA2368" s="378"/>
      <c r="AB2368" s="378"/>
      <c r="AC2368" s="378"/>
      <c r="AD2368" s="378"/>
      <c r="AE2368" s="378"/>
      <c r="AF2368" s="378"/>
      <c r="AG2368" s="378"/>
      <c r="AH2368" s="378"/>
      <c r="AI2368" s="378"/>
      <c r="AJ2368" s="378"/>
      <c r="AK2368" s="378"/>
      <c r="AL2368" s="378"/>
      <c r="AM2368" s="378"/>
    </row>
    <row r="2369" spans="2:39" s="3" customFormat="1" ht="15.75" outlineLevel="1">
      <c r="B2369" s="178" t="s">
        <v>796</v>
      </c>
      <c r="C2369" s="218" t="s">
        <v>1489</v>
      </c>
      <c r="D2369" s="219" t="s">
        <v>1403</v>
      </c>
      <c r="E2369" s="23" t="s">
        <v>44</v>
      </c>
      <c r="F2369" s="93" t="s">
        <v>45</v>
      </c>
      <c r="G2369" s="188" t="s">
        <v>1432</v>
      </c>
      <c r="H2369" s="376">
        <v>22</v>
      </c>
      <c r="I2369" s="188" t="s">
        <v>1433</v>
      </c>
      <c r="J2369" s="379" t="s">
        <v>1443</v>
      </c>
      <c r="K2369" s="173" t="s">
        <v>233</v>
      </c>
      <c r="L2369" s="173" t="s">
        <v>233</v>
      </c>
      <c r="M2369" s="194">
        <v>9668</v>
      </c>
      <c r="N2369" s="194">
        <v>8236</v>
      </c>
      <c r="O2369" s="194">
        <v>993</v>
      </c>
      <c r="P2369" s="224" t="s">
        <v>252</v>
      </c>
      <c r="Q2369" s="194">
        <v>587</v>
      </c>
      <c r="R2369" s="224" t="s">
        <v>252</v>
      </c>
      <c r="S2369" s="194">
        <v>503</v>
      </c>
      <c r="T2369" s="224" t="s">
        <v>252</v>
      </c>
      <c r="U2369" s="194">
        <v>519</v>
      </c>
      <c r="V2369" s="224" t="s">
        <v>252</v>
      </c>
      <c r="W2369" s="194">
        <v>492</v>
      </c>
      <c r="X2369" s="224" t="s">
        <v>252</v>
      </c>
      <c r="Y2369" s="194">
        <v>221</v>
      </c>
      <c r="Z2369" s="224" t="s">
        <v>252</v>
      </c>
      <c r="AA2369" s="194">
        <v>374</v>
      </c>
      <c r="AB2369" s="224" t="s">
        <v>252</v>
      </c>
      <c r="AC2369" s="194">
        <v>413</v>
      </c>
      <c r="AD2369" s="224" t="s">
        <v>252</v>
      </c>
      <c r="AE2369" s="194">
        <v>568</v>
      </c>
      <c r="AF2369" s="224" t="s">
        <v>252</v>
      </c>
      <c r="AG2369" s="194">
        <v>489</v>
      </c>
      <c r="AH2369" s="224" t="s">
        <v>252</v>
      </c>
      <c r="AI2369" s="194">
        <v>514</v>
      </c>
      <c r="AJ2369" s="224" t="s">
        <v>252</v>
      </c>
      <c r="AK2369" s="194">
        <v>602</v>
      </c>
      <c r="AL2369" s="224" t="s">
        <v>252</v>
      </c>
      <c r="AM2369" s="194">
        <f>O2369+Q2369+S2369+U2369+W2369+Y2369+AA2369+AC2369+AE2369+AG2369+AI2369+AK2369</f>
        <v>6275</v>
      </c>
    </row>
    <row r="2370" spans="2:39" s="3" customFormat="1" ht="15.75" outlineLevel="1">
      <c r="B2370" s="178" t="s">
        <v>797</v>
      </c>
      <c r="C2370" s="218" t="s">
        <v>1489</v>
      </c>
      <c r="D2370" s="219" t="s">
        <v>1403</v>
      </c>
      <c r="E2370" s="23" t="s">
        <v>44</v>
      </c>
      <c r="F2370" s="93" t="s">
        <v>45</v>
      </c>
      <c r="G2370" s="188" t="s">
        <v>1432</v>
      </c>
      <c r="H2370" s="378"/>
      <c r="I2370" s="188" t="s">
        <v>1433</v>
      </c>
      <c r="J2370" s="380"/>
      <c r="K2370" s="173" t="s">
        <v>233</v>
      </c>
      <c r="L2370" s="173" t="s">
        <v>233</v>
      </c>
      <c r="M2370" s="194"/>
      <c r="N2370" s="194"/>
      <c r="O2370" s="194"/>
      <c r="P2370" s="224" t="s">
        <v>252</v>
      </c>
      <c r="Q2370" s="194"/>
      <c r="R2370" s="224" t="s">
        <v>252</v>
      </c>
      <c r="S2370" s="194"/>
      <c r="T2370" s="224" t="s">
        <v>252</v>
      </c>
      <c r="U2370" s="194"/>
      <c r="V2370" s="224" t="s">
        <v>252</v>
      </c>
      <c r="W2370" s="194"/>
      <c r="X2370" s="224" t="s">
        <v>252</v>
      </c>
      <c r="Y2370" s="194"/>
      <c r="Z2370" s="224" t="s">
        <v>252</v>
      </c>
      <c r="AA2370" s="194"/>
      <c r="AB2370" s="224" t="s">
        <v>252</v>
      </c>
      <c r="AC2370" s="194"/>
      <c r="AD2370" s="224" t="s">
        <v>252</v>
      </c>
      <c r="AE2370" s="194"/>
      <c r="AF2370" s="224" t="s">
        <v>252</v>
      </c>
      <c r="AG2370" s="194"/>
      <c r="AH2370" s="224" t="s">
        <v>252</v>
      </c>
      <c r="AI2370" s="194"/>
      <c r="AJ2370" s="224" t="s">
        <v>252</v>
      </c>
      <c r="AK2370" s="194"/>
      <c r="AL2370" s="224" t="s">
        <v>252</v>
      </c>
      <c r="AM2370" s="194">
        <f t="shared" ref="AM2370:AM2414" si="18">O2370+Q2370+S2370+U2370+W2370+Y2370+AA2370+AC2370+AE2370+AG2370+AI2370+AK2370</f>
        <v>0</v>
      </c>
    </row>
    <row r="2371" spans="2:39" s="3" customFormat="1" ht="15.75" outlineLevel="1">
      <c r="B2371" s="178" t="s">
        <v>798</v>
      </c>
      <c r="C2371" s="218" t="s">
        <v>1489</v>
      </c>
      <c r="D2371" s="219" t="s">
        <v>1403</v>
      </c>
      <c r="E2371" s="23" t="s">
        <v>44</v>
      </c>
      <c r="F2371" s="93" t="s">
        <v>45</v>
      </c>
      <c r="G2371" s="188" t="s">
        <v>1432</v>
      </c>
      <c r="H2371" s="194">
        <v>29</v>
      </c>
      <c r="I2371" s="188" t="s">
        <v>1433</v>
      </c>
      <c r="J2371" s="220" t="s">
        <v>216</v>
      </c>
      <c r="K2371" s="173" t="s">
        <v>233</v>
      </c>
      <c r="L2371" s="173" t="s">
        <v>233</v>
      </c>
      <c r="M2371" s="194">
        <v>7893</v>
      </c>
      <c r="N2371" s="194">
        <v>5857</v>
      </c>
      <c r="O2371" s="194">
        <v>464</v>
      </c>
      <c r="P2371" s="224" t="s">
        <v>252</v>
      </c>
      <c r="Q2371" s="194">
        <v>535</v>
      </c>
      <c r="R2371" s="224" t="s">
        <v>252</v>
      </c>
      <c r="S2371" s="194">
        <v>455</v>
      </c>
      <c r="T2371" s="224" t="s">
        <v>252</v>
      </c>
      <c r="U2371" s="194">
        <v>388</v>
      </c>
      <c r="V2371" s="224" t="s">
        <v>252</v>
      </c>
      <c r="W2371" s="194">
        <v>304</v>
      </c>
      <c r="X2371" s="224" t="s">
        <v>252</v>
      </c>
      <c r="Y2371" s="194">
        <v>323</v>
      </c>
      <c r="Z2371" s="224" t="s">
        <v>252</v>
      </c>
      <c r="AA2371" s="194">
        <v>295</v>
      </c>
      <c r="AB2371" s="224" t="s">
        <v>252</v>
      </c>
      <c r="AC2371" s="194">
        <v>330</v>
      </c>
      <c r="AD2371" s="224" t="s">
        <v>252</v>
      </c>
      <c r="AE2371" s="194">
        <v>397</v>
      </c>
      <c r="AF2371" s="224" t="s">
        <v>252</v>
      </c>
      <c r="AG2371" s="194">
        <v>293</v>
      </c>
      <c r="AH2371" s="224" t="s">
        <v>252</v>
      </c>
      <c r="AI2371" s="194">
        <v>558</v>
      </c>
      <c r="AJ2371" s="224" t="s">
        <v>252</v>
      </c>
      <c r="AK2371" s="194">
        <v>466</v>
      </c>
      <c r="AL2371" s="224" t="s">
        <v>252</v>
      </c>
      <c r="AM2371" s="194">
        <f t="shared" si="18"/>
        <v>4808</v>
      </c>
    </row>
    <row r="2372" spans="2:39" s="3" customFormat="1" ht="15.75" outlineLevel="1">
      <c r="B2372" s="178" t="s">
        <v>799</v>
      </c>
      <c r="C2372" s="218" t="s">
        <v>1489</v>
      </c>
      <c r="D2372" s="219" t="s">
        <v>1403</v>
      </c>
      <c r="E2372" s="23" t="s">
        <v>44</v>
      </c>
      <c r="F2372" s="93" t="s">
        <v>45</v>
      </c>
      <c r="G2372" s="188" t="s">
        <v>1432</v>
      </c>
      <c r="H2372" s="194">
        <v>52</v>
      </c>
      <c r="I2372" s="188" t="s">
        <v>1433</v>
      </c>
      <c r="J2372" s="220" t="s">
        <v>617</v>
      </c>
      <c r="K2372" s="173" t="s">
        <v>233</v>
      </c>
      <c r="L2372" s="173" t="s">
        <v>233</v>
      </c>
      <c r="M2372" s="194">
        <v>9312</v>
      </c>
      <c r="N2372" s="194">
        <v>8746</v>
      </c>
      <c r="O2372" s="194">
        <v>710</v>
      </c>
      <c r="P2372" s="224" t="s">
        <v>252</v>
      </c>
      <c r="Q2372" s="194">
        <v>520</v>
      </c>
      <c r="R2372" s="224" t="s">
        <v>252</v>
      </c>
      <c r="S2372" s="194">
        <v>445</v>
      </c>
      <c r="T2372" s="224" t="s">
        <v>252</v>
      </c>
      <c r="U2372" s="194">
        <v>659</v>
      </c>
      <c r="V2372" s="224" t="s">
        <v>252</v>
      </c>
      <c r="W2372" s="194">
        <v>707</v>
      </c>
      <c r="X2372" s="224" t="s">
        <v>252</v>
      </c>
      <c r="Y2372" s="194">
        <v>1024</v>
      </c>
      <c r="Z2372" s="224" t="s">
        <v>252</v>
      </c>
      <c r="AA2372" s="194">
        <v>528</v>
      </c>
      <c r="AB2372" s="224" t="s">
        <v>252</v>
      </c>
      <c r="AC2372" s="194">
        <v>741</v>
      </c>
      <c r="AD2372" s="224" t="s">
        <v>252</v>
      </c>
      <c r="AE2372" s="194">
        <v>874</v>
      </c>
      <c r="AF2372" s="224" t="s">
        <v>252</v>
      </c>
      <c r="AG2372" s="194">
        <v>464</v>
      </c>
      <c r="AH2372" s="224" t="s">
        <v>252</v>
      </c>
      <c r="AI2372" s="194">
        <v>1199</v>
      </c>
      <c r="AJ2372" s="224" t="s">
        <v>252</v>
      </c>
      <c r="AK2372" s="194">
        <v>722</v>
      </c>
      <c r="AL2372" s="224" t="s">
        <v>252</v>
      </c>
      <c r="AM2372" s="194">
        <f t="shared" si="18"/>
        <v>8593</v>
      </c>
    </row>
    <row r="2373" spans="2:39" s="3" customFormat="1" ht="15.75" outlineLevel="1">
      <c r="B2373" s="178" t="s">
        <v>800</v>
      </c>
      <c r="C2373" s="218" t="s">
        <v>1489</v>
      </c>
      <c r="D2373" s="219" t="s">
        <v>1403</v>
      </c>
      <c r="E2373" s="23" t="s">
        <v>44</v>
      </c>
      <c r="F2373" s="93" t="s">
        <v>45</v>
      </c>
      <c r="G2373" s="188" t="s">
        <v>1432</v>
      </c>
      <c r="H2373" s="194">
        <v>38</v>
      </c>
      <c r="I2373" s="188" t="s">
        <v>1433</v>
      </c>
      <c r="J2373" s="220" t="s">
        <v>1455</v>
      </c>
      <c r="K2373" s="173" t="s">
        <v>233</v>
      </c>
      <c r="L2373" s="173" t="s">
        <v>233</v>
      </c>
      <c r="M2373" s="194">
        <v>3576</v>
      </c>
      <c r="N2373" s="194">
        <v>3393</v>
      </c>
      <c r="O2373" s="194">
        <v>335</v>
      </c>
      <c r="P2373" s="224" t="s">
        <v>252</v>
      </c>
      <c r="Q2373" s="194">
        <v>327</v>
      </c>
      <c r="R2373" s="224" t="s">
        <v>252</v>
      </c>
      <c r="S2373" s="194">
        <v>220</v>
      </c>
      <c r="T2373" s="224" t="s">
        <v>252</v>
      </c>
      <c r="U2373" s="194">
        <v>277</v>
      </c>
      <c r="V2373" s="224" t="s">
        <v>252</v>
      </c>
      <c r="W2373" s="194">
        <v>273</v>
      </c>
      <c r="X2373" s="224" t="s">
        <v>252</v>
      </c>
      <c r="Y2373" s="194">
        <v>308</v>
      </c>
      <c r="Z2373" s="224" t="s">
        <v>252</v>
      </c>
      <c r="AA2373" s="194">
        <v>185</v>
      </c>
      <c r="AB2373" s="224" t="s">
        <v>252</v>
      </c>
      <c r="AC2373" s="194">
        <v>209</v>
      </c>
      <c r="AD2373" s="224" t="s">
        <v>252</v>
      </c>
      <c r="AE2373" s="194">
        <v>265</v>
      </c>
      <c r="AF2373" s="224" t="s">
        <v>252</v>
      </c>
      <c r="AG2373" s="194">
        <v>241</v>
      </c>
      <c r="AH2373" s="224" t="s">
        <v>252</v>
      </c>
      <c r="AI2373" s="194">
        <v>296</v>
      </c>
      <c r="AJ2373" s="224" t="s">
        <v>252</v>
      </c>
      <c r="AK2373" s="194">
        <v>348</v>
      </c>
      <c r="AL2373" s="224" t="s">
        <v>252</v>
      </c>
      <c r="AM2373" s="194">
        <f t="shared" si="18"/>
        <v>3284</v>
      </c>
    </row>
    <row r="2374" spans="2:39" s="3" customFormat="1" ht="15.75" outlineLevel="1">
      <c r="B2374" s="178" t="s">
        <v>801</v>
      </c>
      <c r="C2374" s="218" t="s">
        <v>1489</v>
      </c>
      <c r="D2374" s="219" t="s">
        <v>1403</v>
      </c>
      <c r="E2374" s="23" t="s">
        <v>44</v>
      </c>
      <c r="F2374" s="93" t="s">
        <v>45</v>
      </c>
      <c r="G2374" s="188" t="s">
        <v>1432</v>
      </c>
      <c r="H2374" s="194">
        <v>42</v>
      </c>
      <c r="I2374" s="188" t="s">
        <v>1433</v>
      </c>
      <c r="J2374" s="220" t="s">
        <v>1436</v>
      </c>
      <c r="K2374" s="173" t="s">
        <v>233</v>
      </c>
      <c r="L2374" s="173" t="s">
        <v>233</v>
      </c>
      <c r="M2374" s="194">
        <v>7675</v>
      </c>
      <c r="N2374" s="194">
        <v>6294</v>
      </c>
      <c r="O2374" s="194">
        <v>365</v>
      </c>
      <c r="P2374" s="224" t="s">
        <v>252</v>
      </c>
      <c r="Q2374" s="194">
        <v>616</v>
      </c>
      <c r="R2374" s="224" t="s">
        <v>252</v>
      </c>
      <c r="S2374" s="194">
        <v>399</v>
      </c>
      <c r="T2374" s="224" t="s">
        <v>252</v>
      </c>
      <c r="U2374" s="194">
        <v>392</v>
      </c>
      <c r="V2374" s="224" t="s">
        <v>252</v>
      </c>
      <c r="W2374" s="194">
        <v>284</v>
      </c>
      <c r="X2374" s="224" t="s">
        <v>252</v>
      </c>
      <c r="Y2374" s="194">
        <v>282</v>
      </c>
      <c r="Z2374" s="224" t="s">
        <v>252</v>
      </c>
      <c r="AA2374" s="194">
        <v>175</v>
      </c>
      <c r="AB2374" s="224" t="s">
        <v>252</v>
      </c>
      <c r="AC2374" s="194">
        <v>226</v>
      </c>
      <c r="AD2374" s="224" t="s">
        <v>252</v>
      </c>
      <c r="AE2374" s="194">
        <v>325</v>
      </c>
      <c r="AF2374" s="224" t="s">
        <v>252</v>
      </c>
      <c r="AG2374" s="194">
        <v>388</v>
      </c>
      <c r="AH2374" s="224" t="s">
        <v>252</v>
      </c>
      <c r="AI2374" s="194">
        <v>696</v>
      </c>
      <c r="AJ2374" s="224" t="s">
        <v>252</v>
      </c>
      <c r="AK2374" s="194">
        <v>511</v>
      </c>
      <c r="AL2374" s="224" t="s">
        <v>252</v>
      </c>
      <c r="AM2374" s="194">
        <f t="shared" si="18"/>
        <v>4659</v>
      </c>
    </row>
    <row r="2375" spans="2:39" s="3" customFormat="1" ht="15.75" outlineLevel="1">
      <c r="B2375" s="178" t="s">
        <v>803</v>
      </c>
      <c r="C2375" s="218" t="s">
        <v>1489</v>
      </c>
      <c r="D2375" s="219" t="s">
        <v>1403</v>
      </c>
      <c r="E2375" s="23" t="s">
        <v>44</v>
      </c>
      <c r="F2375" s="222" t="s">
        <v>45</v>
      </c>
      <c r="G2375" s="188" t="s">
        <v>1432</v>
      </c>
      <c r="H2375" s="194">
        <v>81</v>
      </c>
      <c r="I2375" s="188" t="s">
        <v>1433</v>
      </c>
      <c r="J2375" s="220" t="s">
        <v>1456</v>
      </c>
      <c r="K2375" s="173" t="s">
        <v>233</v>
      </c>
      <c r="L2375" s="173" t="s">
        <v>233</v>
      </c>
      <c r="M2375" s="194">
        <v>2767</v>
      </c>
      <c r="N2375" s="194">
        <v>3396</v>
      </c>
      <c r="O2375" s="194">
        <v>189</v>
      </c>
      <c r="P2375" s="224" t="s">
        <v>252</v>
      </c>
      <c r="Q2375" s="194">
        <v>264</v>
      </c>
      <c r="R2375" s="224" t="s">
        <v>252</v>
      </c>
      <c r="S2375" s="194">
        <v>272</v>
      </c>
      <c r="T2375" s="224" t="s">
        <v>252</v>
      </c>
      <c r="U2375" s="194">
        <v>208</v>
      </c>
      <c r="V2375" s="224" t="s">
        <v>252</v>
      </c>
      <c r="W2375" s="194">
        <v>123</v>
      </c>
      <c r="X2375" s="224" t="s">
        <v>252</v>
      </c>
      <c r="Y2375" s="194">
        <v>113</v>
      </c>
      <c r="Z2375" s="224" t="s">
        <v>252</v>
      </c>
      <c r="AA2375" s="194">
        <v>92</v>
      </c>
      <c r="AB2375" s="224" t="s">
        <v>252</v>
      </c>
      <c r="AC2375" s="194">
        <v>127</v>
      </c>
      <c r="AD2375" s="224" t="s">
        <v>252</v>
      </c>
      <c r="AE2375" s="194">
        <v>88</v>
      </c>
      <c r="AF2375" s="224" t="s">
        <v>252</v>
      </c>
      <c r="AG2375" s="194">
        <v>76</v>
      </c>
      <c r="AH2375" s="224" t="s">
        <v>252</v>
      </c>
      <c r="AI2375" s="194">
        <v>164</v>
      </c>
      <c r="AJ2375" s="224" t="s">
        <v>252</v>
      </c>
      <c r="AK2375" s="194">
        <v>134</v>
      </c>
      <c r="AL2375" s="224" t="s">
        <v>252</v>
      </c>
      <c r="AM2375" s="194">
        <f t="shared" si="18"/>
        <v>1850</v>
      </c>
    </row>
    <row r="2376" spans="2:39" s="3" customFormat="1" ht="15.75" outlineLevel="1">
      <c r="B2376" s="178" t="s">
        <v>804</v>
      </c>
      <c r="C2376" s="218" t="s">
        <v>1489</v>
      </c>
      <c r="D2376" s="219" t="s">
        <v>1403</v>
      </c>
      <c r="E2376" s="23" t="s">
        <v>44</v>
      </c>
      <c r="F2376" s="222" t="s">
        <v>45</v>
      </c>
      <c r="G2376" s="188" t="s">
        <v>1432</v>
      </c>
      <c r="H2376" s="194">
        <v>28</v>
      </c>
      <c r="I2376" s="188" t="s">
        <v>1433</v>
      </c>
      <c r="J2376" s="220" t="s">
        <v>205</v>
      </c>
      <c r="K2376" s="173" t="s">
        <v>233</v>
      </c>
      <c r="L2376" s="173" t="s">
        <v>233</v>
      </c>
      <c r="M2376" s="194">
        <v>8369</v>
      </c>
      <c r="N2376" s="194">
        <v>7931</v>
      </c>
      <c r="O2376" s="194">
        <v>920</v>
      </c>
      <c r="P2376" s="224" t="s">
        <v>252</v>
      </c>
      <c r="Q2376" s="194">
        <v>826</v>
      </c>
      <c r="R2376" s="224" t="s">
        <v>252</v>
      </c>
      <c r="S2376" s="194">
        <v>651</v>
      </c>
      <c r="T2376" s="224" t="s">
        <v>252</v>
      </c>
      <c r="U2376" s="194">
        <v>832</v>
      </c>
      <c r="V2376" s="224" t="s">
        <v>252</v>
      </c>
      <c r="W2376" s="194">
        <v>413</v>
      </c>
      <c r="X2376" s="224" t="s">
        <v>252</v>
      </c>
      <c r="Y2376" s="194">
        <v>429</v>
      </c>
      <c r="Z2376" s="224" t="s">
        <v>252</v>
      </c>
      <c r="AA2376" s="194">
        <v>269</v>
      </c>
      <c r="AB2376" s="224" t="s">
        <v>252</v>
      </c>
      <c r="AC2376" s="194">
        <v>269</v>
      </c>
      <c r="AD2376" s="224" t="s">
        <v>252</v>
      </c>
      <c r="AE2376" s="194">
        <v>230</v>
      </c>
      <c r="AF2376" s="224" t="s">
        <v>252</v>
      </c>
      <c r="AG2376" s="194">
        <v>261</v>
      </c>
      <c r="AH2376" s="224" t="s">
        <v>252</v>
      </c>
      <c r="AI2376" s="194">
        <v>645</v>
      </c>
      <c r="AJ2376" s="224" t="s">
        <v>252</v>
      </c>
      <c r="AK2376" s="194">
        <v>236</v>
      </c>
      <c r="AL2376" s="224" t="s">
        <v>252</v>
      </c>
      <c r="AM2376" s="194">
        <f>O2376+Q2376+S2376+U2376+W2376+Y2376+AA2376+AC2376+AE2376+AG2376+AI2376+AK2376</f>
        <v>5981</v>
      </c>
    </row>
    <row r="2377" spans="2:39" s="3" customFormat="1" ht="15.75" outlineLevel="1">
      <c r="B2377" s="178" t="s">
        <v>805</v>
      </c>
      <c r="C2377" s="218" t="s">
        <v>1489</v>
      </c>
      <c r="D2377" s="219" t="s">
        <v>1406</v>
      </c>
      <c r="E2377" s="23" t="s">
        <v>44</v>
      </c>
      <c r="F2377" s="93" t="s">
        <v>45</v>
      </c>
      <c r="G2377" s="188" t="s">
        <v>1432</v>
      </c>
      <c r="H2377" s="194">
        <v>42</v>
      </c>
      <c r="I2377" s="188" t="s">
        <v>1433</v>
      </c>
      <c r="J2377" s="220" t="s">
        <v>1176</v>
      </c>
      <c r="K2377" s="173" t="s">
        <v>233</v>
      </c>
      <c r="L2377" s="173" t="s">
        <v>233</v>
      </c>
      <c r="M2377" s="194">
        <v>3670</v>
      </c>
      <c r="N2377" s="194">
        <v>3495</v>
      </c>
      <c r="O2377" s="194">
        <v>348</v>
      </c>
      <c r="P2377" s="224" t="s">
        <v>252</v>
      </c>
      <c r="Q2377" s="194">
        <v>430</v>
      </c>
      <c r="R2377" s="224" t="s">
        <v>252</v>
      </c>
      <c r="S2377" s="194">
        <v>336</v>
      </c>
      <c r="T2377" s="224" t="s">
        <v>252</v>
      </c>
      <c r="U2377" s="194">
        <v>301</v>
      </c>
      <c r="V2377" s="224" t="s">
        <v>252</v>
      </c>
      <c r="W2377" s="194">
        <v>261</v>
      </c>
      <c r="X2377" s="224" t="s">
        <v>252</v>
      </c>
      <c r="Y2377" s="194">
        <v>327</v>
      </c>
      <c r="Z2377" s="224" t="s">
        <v>252</v>
      </c>
      <c r="AA2377" s="194">
        <v>282</v>
      </c>
      <c r="AB2377" s="224" t="s">
        <v>252</v>
      </c>
      <c r="AC2377" s="194">
        <v>276</v>
      </c>
      <c r="AD2377" s="224" t="s">
        <v>252</v>
      </c>
      <c r="AE2377" s="194">
        <v>367</v>
      </c>
      <c r="AF2377" s="224" t="s">
        <v>252</v>
      </c>
      <c r="AG2377" s="194">
        <v>223</v>
      </c>
      <c r="AH2377" s="224" t="s">
        <v>252</v>
      </c>
      <c r="AI2377" s="194">
        <v>497</v>
      </c>
      <c r="AJ2377" s="224" t="s">
        <v>252</v>
      </c>
      <c r="AK2377" s="194">
        <v>336</v>
      </c>
      <c r="AL2377" s="224" t="s">
        <v>252</v>
      </c>
      <c r="AM2377" s="194">
        <f t="shared" si="18"/>
        <v>3984</v>
      </c>
    </row>
    <row r="2378" spans="2:39" s="3" customFormat="1" ht="15.75" outlineLevel="1">
      <c r="B2378" s="178" t="s">
        <v>808</v>
      </c>
      <c r="C2378" s="218" t="s">
        <v>1489</v>
      </c>
      <c r="D2378" s="219" t="s">
        <v>1403</v>
      </c>
      <c r="E2378" s="23" t="s">
        <v>44</v>
      </c>
      <c r="F2378" s="93" t="s">
        <v>45</v>
      </c>
      <c r="G2378" s="188" t="s">
        <v>1432</v>
      </c>
      <c r="H2378" s="194">
        <v>28</v>
      </c>
      <c r="I2378" s="188" t="s">
        <v>1433</v>
      </c>
      <c r="J2378" s="220" t="s">
        <v>1457</v>
      </c>
      <c r="K2378" s="173" t="s">
        <v>233</v>
      </c>
      <c r="L2378" s="173" t="s">
        <v>233</v>
      </c>
      <c r="M2378" s="194">
        <v>10100</v>
      </c>
      <c r="N2378" s="194">
        <v>10350</v>
      </c>
      <c r="O2378" s="194">
        <v>944</v>
      </c>
      <c r="P2378" s="224" t="s">
        <v>252</v>
      </c>
      <c r="Q2378" s="194">
        <v>1028</v>
      </c>
      <c r="R2378" s="224" t="s">
        <v>252</v>
      </c>
      <c r="S2378" s="194">
        <v>746</v>
      </c>
      <c r="T2378" s="224" t="s">
        <v>252</v>
      </c>
      <c r="U2378" s="194">
        <v>787</v>
      </c>
      <c r="V2378" s="224" t="s">
        <v>252</v>
      </c>
      <c r="W2378" s="194">
        <v>718</v>
      </c>
      <c r="X2378" s="224" t="s">
        <v>252</v>
      </c>
      <c r="Y2378" s="194">
        <v>741</v>
      </c>
      <c r="Z2378" s="224" t="s">
        <v>252</v>
      </c>
      <c r="AA2378" s="194">
        <v>546</v>
      </c>
      <c r="AB2378" s="224" t="s">
        <v>252</v>
      </c>
      <c r="AC2378" s="194">
        <v>613</v>
      </c>
      <c r="AD2378" s="224" t="s">
        <v>252</v>
      </c>
      <c r="AE2378" s="194">
        <v>1172</v>
      </c>
      <c r="AF2378" s="224" t="s">
        <v>252</v>
      </c>
      <c r="AG2378" s="194">
        <v>335</v>
      </c>
      <c r="AH2378" s="224" t="s">
        <v>252</v>
      </c>
      <c r="AI2378" s="194">
        <v>1160</v>
      </c>
      <c r="AJ2378" s="224" t="s">
        <v>252</v>
      </c>
      <c r="AK2378" s="194">
        <v>1087</v>
      </c>
      <c r="AL2378" s="224" t="s">
        <v>252</v>
      </c>
      <c r="AM2378" s="194">
        <f t="shared" si="18"/>
        <v>9877</v>
      </c>
    </row>
    <row r="2379" spans="2:39" s="3" customFormat="1" ht="15.75" outlineLevel="1">
      <c r="B2379" s="178" t="s">
        <v>809</v>
      </c>
      <c r="C2379" s="218" t="s">
        <v>1489</v>
      </c>
      <c r="D2379" s="219" t="s">
        <v>1403</v>
      </c>
      <c r="E2379" s="23" t="s">
        <v>44</v>
      </c>
      <c r="F2379" s="93" t="s">
        <v>45</v>
      </c>
      <c r="G2379" s="188" t="s">
        <v>1432</v>
      </c>
      <c r="H2379" s="194">
        <v>20</v>
      </c>
      <c r="I2379" s="188" t="s">
        <v>1433</v>
      </c>
      <c r="J2379" s="220" t="s">
        <v>1453</v>
      </c>
      <c r="K2379" s="173" t="s">
        <v>233</v>
      </c>
      <c r="L2379" s="173" t="s">
        <v>233</v>
      </c>
      <c r="M2379" s="194">
        <v>5952</v>
      </c>
      <c r="N2379" s="194">
        <v>5790</v>
      </c>
      <c r="O2379" s="194">
        <v>600</v>
      </c>
      <c r="P2379" s="194" t="s">
        <v>252</v>
      </c>
      <c r="Q2379" s="194">
        <v>675</v>
      </c>
      <c r="R2379" s="194" t="s">
        <v>252</v>
      </c>
      <c r="S2379" s="194">
        <v>535</v>
      </c>
      <c r="T2379" s="194" t="s">
        <v>252</v>
      </c>
      <c r="U2379" s="194">
        <v>560</v>
      </c>
      <c r="V2379" s="194" t="s">
        <v>252</v>
      </c>
      <c r="W2379" s="194">
        <v>356</v>
      </c>
      <c r="X2379" s="194" t="s">
        <v>252</v>
      </c>
      <c r="Y2379" s="194">
        <v>371</v>
      </c>
      <c r="Z2379" s="194" t="s">
        <v>252</v>
      </c>
      <c r="AA2379" s="194">
        <v>310</v>
      </c>
      <c r="AB2379" s="194" t="s">
        <v>252</v>
      </c>
      <c r="AC2379" s="194">
        <v>394</v>
      </c>
      <c r="AD2379" s="194" t="s">
        <v>252</v>
      </c>
      <c r="AE2379" s="194">
        <v>545</v>
      </c>
      <c r="AF2379" s="194" t="s">
        <v>252</v>
      </c>
      <c r="AG2379" s="194">
        <v>442</v>
      </c>
      <c r="AH2379" s="194" t="s">
        <v>252</v>
      </c>
      <c r="AI2379" s="194">
        <v>909</v>
      </c>
      <c r="AJ2379" s="194" t="s">
        <v>252</v>
      </c>
      <c r="AK2379" s="194">
        <v>878</v>
      </c>
      <c r="AL2379" s="194" t="s">
        <v>252</v>
      </c>
      <c r="AM2379" s="194">
        <f t="shared" si="18"/>
        <v>6575</v>
      </c>
    </row>
    <row r="2380" spans="2:39" s="3" customFormat="1" ht="15.75" outlineLevel="1">
      <c r="B2380" s="178" t="s">
        <v>810</v>
      </c>
      <c r="C2380" s="218" t="s">
        <v>1489</v>
      </c>
      <c r="D2380" s="219" t="s">
        <v>1403</v>
      </c>
      <c r="E2380" s="23" t="s">
        <v>44</v>
      </c>
      <c r="F2380" s="93" t="s">
        <v>45</v>
      </c>
      <c r="G2380" s="188" t="s">
        <v>1432</v>
      </c>
      <c r="H2380" s="376">
        <v>82</v>
      </c>
      <c r="I2380" s="188" t="s">
        <v>1433</v>
      </c>
      <c r="J2380" s="379" t="s">
        <v>1458</v>
      </c>
      <c r="K2380" s="173" t="s">
        <v>233</v>
      </c>
      <c r="L2380" s="173" t="s">
        <v>233</v>
      </c>
      <c r="M2380" s="376">
        <v>15057</v>
      </c>
      <c r="N2380" s="376">
        <v>11656</v>
      </c>
      <c r="O2380" s="376">
        <v>1004</v>
      </c>
      <c r="P2380" s="376" t="s">
        <v>252</v>
      </c>
      <c r="Q2380" s="376">
        <v>1019</v>
      </c>
      <c r="R2380" s="376" t="s">
        <v>252</v>
      </c>
      <c r="S2380" s="376">
        <v>881</v>
      </c>
      <c r="T2380" s="376" t="s">
        <v>252</v>
      </c>
      <c r="U2380" s="376">
        <v>1259</v>
      </c>
      <c r="V2380" s="376" t="s">
        <v>252</v>
      </c>
      <c r="W2380" s="376">
        <v>619</v>
      </c>
      <c r="X2380" s="376" t="s">
        <v>252</v>
      </c>
      <c r="Y2380" s="376">
        <v>751</v>
      </c>
      <c r="Z2380" s="376" t="s">
        <v>252</v>
      </c>
      <c r="AA2380" s="376">
        <v>530</v>
      </c>
      <c r="AB2380" s="376" t="s">
        <v>252</v>
      </c>
      <c r="AC2380" s="376">
        <v>729</v>
      </c>
      <c r="AD2380" s="376" t="s">
        <v>252</v>
      </c>
      <c r="AE2380" s="376">
        <v>847</v>
      </c>
      <c r="AF2380" s="376" t="s">
        <v>252</v>
      </c>
      <c r="AG2380" s="376">
        <v>738</v>
      </c>
      <c r="AH2380" s="376" t="s">
        <v>252</v>
      </c>
      <c r="AI2380" s="376">
        <v>1273</v>
      </c>
      <c r="AJ2380" s="376" t="s">
        <v>252</v>
      </c>
      <c r="AK2380" s="376">
        <v>1135</v>
      </c>
      <c r="AL2380" s="376" t="s">
        <v>252</v>
      </c>
      <c r="AM2380" s="376">
        <f t="shared" si="18"/>
        <v>10785</v>
      </c>
    </row>
    <row r="2381" spans="2:39" s="3" customFormat="1" ht="15.75" outlineLevel="1">
      <c r="B2381" s="178" t="s">
        <v>811</v>
      </c>
      <c r="C2381" s="218" t="s">
        <v>1489</v>
      </c>
      <c r="D2381" s="219" t="s">
        <v>1403</v>
      </c>
      <c r="E2381" s="23" t="s">
        <v>44</v>
      </c>
      <c r="F2381" s="222" t="s">
        <v>45</v>
      </c>
      <c r="G2381" s="188" t="s">
        <v>1432</v>
      </c>
      <c r="H2381" s="377"/>
      <c r="I2381" s="188" t="s">
        <v>1433</v>
      </c>
      <c r="J2381" s="381"/>
      <c r="K2381" s="173" t="s">
        <v>233</v>
      </c>
      <c r="L2381" s="173" t="s">
        <v>233</v>
      </c>
      <c r="M2381" s="377"/>
      <c r="N2381" s="377"/>
      <c r="O2381" s="377"/>
      <c r="P2381" s="377"/>
      <c r="Q2381" s="377"/>
      <c r="R2381" s="377"/>
      <c r="S2381" s="377"/>
      <c r="T2381" s="377"/>
      <c r="U2381" s="377"/>
      <c r="V2381" s="377"/>
      <c r="W2381" s="377"/>
      <c r="X2381" s="377"/>
      <c r="Y2381" s="377"/>
      <c r="Z2381" s="377"/>
      <c r="AA2381" s="377"/>
      <c r="AB2381" s="377"/>
      <c r="AC2381" s="377"/>
      <c r="AD2381" s="377"/>
      <c r="AE2381" s="377"/>
      <c r="AF2381" s="377"/>
      <c r="AG2381" s="377"/>
      <c r="AH2381" s="377"/>
      <c r="AI2381" s="377"/>
      <c r="AJ2381" s="377"/>
      <c r="AK2381" s="377"/>
      <c r="AL2381" s="377"/>
      <c r="AM2381" s="377"/>
    </row>
    <row r="2382" spans="2:39" s="3" customFormat="1" ht="15.75" outlineLevel="1">
      <c r="B2382" s="178" t="s">
        <v>813</v>
      </c>
      <c r="C2382" s="218" t="s">
        <v>1489</v>
      </c>
      <c r="D2382" s="219" t="s">
        <v>1403</v>
      </c>
      <c r="E2382" s="23" t="s">
        <v>44</v>
      </c>
      <c r="F2382" s="222" t="s">
        <v>45</v>
      </c>
      <c r="G2382" s="188" t="s">
        <v>1432</v>
      </c>
      <c r="H2382" s="378"/>
      <c r="I2382" s="188" t="s">
        <v>1433</v>
      </c>
      <c r="J2382" s="380"/>
      <c r="K2382" s="173" t="s">
        <v>233</v>
      </c>
      <c r="L2382" s="173" t="s">
        <v>233</v>
      </c>
      <c r="M2382" s="378"/>
      <c r="N2382" s="378"/>
      <c r="O2382" s="378"/>
      <c r="P2382" s="378"/>
      <c r="Q2382" s="378"/>
      <c r="R2382" s="378"/>
      <c r="S2382" s="378"/>
      <c r="T2382" s="378"/>
      <c r="U2382" s="378"/>
      <c r="V2382" s="378"/>
      <c r="W2382" s="378"/>
      <c r="X2382" s="378"/>
      <c r="Y2382" s="378"/>
      <c r="Z2382" s="378"/>
      <c r="AA2382" s="378"/>
      <c r="AB2382" s="378"/>
      <c r="AC2382" s="378"/>
      <c r="AD2382" s="378"/>
      <c r="AE2382" s="378"/>
      <c r="AF2382" s="378"/>
      <c r="AG2382" s="378"/>
      <c r="AH2382" s="378"/>
      <c r="AI2382" s="378"/>
      <c r="AJ2382" s="378"/>
      <c r="AK2382" s="378"/>
      <c r="AL2382" s="378"/>
      <c r="AM2382" s="378"/>
    </row>
    <row r="2383" spans="2:39" s="3" customFormat="1" ht="15.75" outlineLevel="1">
      <c r="B2383" s="178" t="s">
        <v>814</v>
      </c>
      <c r="C2383" s="218" t="s">
        <v>1489</v>
      </c>
      <c r="D2383" s="219" t="s">
        <v>1403</v>
      </c>
      <c r="E2383" s="23" t="s">
        <v>44</v>
      </c>
      <c r="F2383" s="93" t="s">
        <v>45</v>
      </c>
      <c r="G2383" s="188" t="s">
        <v>1432</v>
      </c>
      <c r="H2383" s="194">
        <v>64</v>
      </c>
      <c r="I2383" s="188" t="s">
        <v>1433</v>
      </c>
      <c r="J2383" s="220" t="s">
        <v>1459</v>
      </c>
      <c r="K2383" s="173" t="s">
        <v>233</v>
      </c>
      <c r="L2383" s="173" t="s">
        <v>233</v>
      </c>
      <c r="M2383" s="194">
        <v>8998</v>
      </c>
      <c r="N2383" s="194">
        <v>9433</v>
      </c>
      <c r="O2383" s="194">
        <v>808</v>
      </c>
      <c r="P2383" s="194" t="s">
        <v>252</v>
      </c>
      <c r="Q2383" s="194">
        <v>705</v>
      </c>
      <c r="R2383" s="194" t="s">
        <v>252</v>
      </c>
      <c r="S2383" s="194">
        <v>527</v>
      </c>
      <c r="T2383" s="194" t="s">
        <v>252</v>
      </c>
      <c r="U2383" s="194">
        <v>602</v>
      </c>
      <c r="V2383" s="194" t="s">
        <v>252</v>
      </c>
      <c r="W2383" s="194">
        <v>558</v>
      </c>
      <c r="X2383" s="194" t="s">
        <v>252</v>
      </c>
      <c r="Y2383" s="194">
        <v>837</v>
      </c>
      <c r="Z2383" s="194" t="s">
        <v>252</v>
      </c>
      <c r="AA2383" s="194">
        <v>556</v>
      </c>
      <c r="AB2383" s="194" t="s">
        <v>252</v>
      </c>
      <c r="AC2383" s="194">
        <v>503</v>
      </c>
      <c r="AD2383" s="194" t="s">
        <v>252</v>
      </c>
      <c r="AE2383" s="194">
        <v>806</v>
      </c>
      <c r="AF2383" s="194" t="s">
        <v>252</v>
      </c>
      <c r="AG2383" s="194">
        <v>551</v>
      </c>
      <c r="AH2383" s="194" t="s">
        <v>252</v>
      </c>
      <c r="AI2383" s="194">
        <v>1167</v>
      </c>
      <c r="AJ2383" s="194" t="s">
        <v>252</v>
      </c>
      <c r="AK2383" s="194">
        <v>1063</v>
      </c>
      <c r="AL2383" s="194" t="s">
        <v>252</v>
      </c>
      <c r="AM2383" s="194">
        <f t="shared" si="18"/>
        <v>8683</v>
      </c>
    </row>
    <row r="2384" spans="2:39" s="3" customFormat="1" ht="15.75" outlineLevel="1">
      <c r="B2384" s="178" t="s">
        <v>816</v>
      </c>
      <c r="C2384" s="218" t="s">
        <v>1489</v>
      </c>
      <c r="D2384" s="219" t="s">
        <v>1403</v>
      </c>
      <c r="E2384" s="23" t="s">
        <v>44</v>
      </c>
      <c r="F2384" s="93" t="s">
        <v>45</v>
      </c>
      <c r="G2384" s="188" t="s">
        <v>1432</v>
      </c>
      <c r="H2384" s="194">
        <v>28</v>
      </c>
      <c r="I2384" s="188" t="s">
        <v>1433</v>
      </c>
      <c r="J2384" s="220" t="s">
        <v>216</v>
      </c>
      <c r="K2384" s="173" t="s">
        <v>233</v>
      </c>
      <c r="L2384" s="173" t="s">
        <v>233</v>
      </c>
      <c r="M2384" s="194">
        <v>7234</v>
      </c>
      <c r="N2384" s="194">
        <v>6879</v>
      </c>
      <c r="O2384" s="194">
        <v>570</v>
      </c>
      <c r="P2384" s="194" t="s">
        <v>252</v>
      </c>
      <c r="Q2384" s="194">
        <v>598</v>
      </c>
      <c r="R2384" s="194" t="s">
        <v>252</v>
      </c>
      <c r="S2384" s="194">
        <v>448</v>
      </c>
      <c r="T2384" s="194" t="s">
        <v>252</v>
      </c>
      <c r="U2384" s="194">
        <v>512</v>
      </c>
      <c r="V2384" s="194" t="s">
        <v>252</v>
      </c>
      <c r="W2384" s="194">
        <v>466</v>
      </c>
      <c r="X2384" s="194" t="s">
        <v>252</v>
      </c>
      <c r="Y2384" s="194">
        <v>451</v>
      </c>
      <c r="Z2384" s="194" t="s">
        <v>252</v>
      </c>
      <c r="AA2384" s="194">
        <v>369</v>
      </c>
      <c r="AB2384" s="194" t="s">
        <v>252</v>
      </c>
      <c r="AC2384" s="194">
        <v>405</v>
      </c>
      <c r="AD2384" s="194" t="s">
        <v>252</v>
      </c>
      <c r="AE2384" s="194">
        <v>527</v>
      </c>
      <c r="AF2384" s="194" t="s">
        <v>252</v>
      </c>
      <c r="AG2384" s="194">
        <v>349</v>
      </c>
      <c r="AH2384" s="194" t="s">
        <v>252</v>
      </c>
      <c r="AI2384" s="194">
        <v>816</v>
      </c>
      <c r="AJ2384" s="194" t="s">
        <v>252</v>
      </c>
      <c r="AK2384" s="194">
        <v>646</v>
      </c>
      <c r="AL2384" s="194" t="s">
        <v>252</v>
      </c>
      <c r="AM2384" s="194">
        <f t="shared" si="18"/>
        <v>6157</v>
      </c>
    </row>
    <row r="2385" spans="2:39" s="3" customFormat="1" ht="15.75" outlineLevel="1">
      <c r="B2385" s="178" t="s">
        <v>817</v>
      </c>
      <c r="C2385" s="218" t="s">
        <v>1489</v>
      </c>
      <c r="D2385" s="219" t="s">
        <v>1403</v>
      </c>
      <c r="E2385" s="23" t="s">
        <v>44</v>
      </c>
      <c r="F2385" s="93" t="s">
        <v>45</v>
      </c>
      <c r="G2385" s="188" t="s">
        <v>1432</v>
      </c>
      <c r="H2385" s="194">
        <v>34</v>
      </c>
      <c r="I2385" s="188" t="s">
        <v>1433</v>
      </c>
      <c r="J2385" s="220" t="s">
        <v>1445</v>
      </c>
      <c r="K2385" s="173" t="s">
        <v>233</v>
      </c>
      <c r="L2385" s="173" t="s">
        <v>233</v>
      </c>
      <c r="M2385" s="194">
        <v>3188</v>
      </c>
      <c r="N2385" s="194">
        <v>2670</v>
      </c>
      <c r="O2385" s="194">
        <v>244</v>
      </c>
      <c r="P2385" s="194" t="s">
        <v>252</v>
      </c>
      <c r="Q2385" s="194">
        <v>239</v>
      </c>
      <c r="R2385" s="194" t="s">
        <v>252</v>
      </c>
      <c r="S2385" s="194">
        <v>177</v>
      </c>
      <c r="T2385" s="194" t="s">
        <v>252</v>
      </c>
      <c r="U2385" s="194">
        <v>158</v>
      </c>
      <c r="V2385" s="194" t="s">
        <v>252</v>
      </c>
      <c r="W2385" s="194">
        <v>148</v>
      </c>
      <c r="X2385" s="194" t="s">
        <v>252</v>
      </c>
      <c r="Y2385" s="194">
        <v>156</v>
      </c>
      <c r="Z2385" s="194" t="s">
        <v>252</v>
      </c>
      <c r="AA2385" s="194">
        <v>124</v>
      </c>
      <c r="AB2385" s="194" t="s">
        <v>252</v>
      </c>
      <c r="AC2385" s="194">
        <v>133</v>
      </c>
      <c r="AD2385" s="194" t="s">
        <v>252</v>
      </c>
      <c r="AE2385" s="194">
        <v>176</v>
      </c>
      <c r="AF2385" s="194" t="s">
        <v>252</v>
      </c>
      <c r="AG2385" s="194">
        <v>134</v>
      </c>
      <c r="AH2385" s="194" t="s">
        <v>252</v>
      </c>
      <c r="AI2385" s="194">
        <v>259</v>
      </c>
      <c r="AJ2385" s="194" t="s">
        <v>252</v>
      </c>
      <c r="AK2385" s="194">
        <v>251</v>
      </c>
      <c r="AL2385" s="194" t="s">
        <v>252</v>
      </c>
      <c r="AM2385" s="194">
        <f t="shared" si="18"/>
        <v>2199</v>
      </c>
    </row>
    <row r="2386" spans="2:39" s="3" customFormat="1" ht="15.75" outlineLevel="1">
      <c r="B2386" s="178" t="s">
        <v>818</v>
      </c>
      <c r="C2386" s="218" t="s">
        <v>1489</v>
      </c>
      <c r="D2386" s="219" t="s">
        <v>1403</v>
      </c>
      <c r="E2386" s="23" t="s">
        <v>44</v>
      </c>
      <c r="F2386" s="93" t="s">
        <v>45</v>
      </c>
      <c r="G2386" s="188" t="s">
        <v>1432</v>
      </c>
      <c r="H2386" s="194">
        <v>32</v>
      </c>
      <c r="I2386" s="188" t="s">
        <v>1433</v>
      </c>
      <c r="J2386" s="220" t="s">
        <v>1436</v>
      </c>
      <c r="K2386" s="173" t="s">
        <v>233</v>
      </c>
      <c r="L2386" s="173" t="s">
        <v>233</v>
      </c>
      <c r="M2386" s="194">
        <v>4013</v>
      </c>
      <c r="N2386" s="194">
        <v>3216</v>
      </c>
      <c r="O2386" s="194">
        <v>302</v>
      </c>
      <c r="P2386" s="194" t="s">
        <v>259</v>
      </c>
      <c r="Q2386" s="194">
        <v>281</v>
      </c>
      <c r="R2386" s="194" t="s">
        <v>259</v>
      </c>
      <c r="S2386" s="194">
        <v>188</v>
      </c>
      <c r="T2386" s="194" t="s">
        <v>259</v>
      </c>
      <c r="U2386" s="194">
        <v>213</v>
      </c>
      <c r="V2386" s="194" t="s">
        <v>259</v>
      </c>
      <c r="W2386" s="194">
        <v>227</v>
      </c>
      <c r="X2386" s="194" t="s">
        <v>259</v>
      </c>
      <c r="Y2386" s="194">
        <v>229</v>
      </c>
      <c r="Z2386" s="194" t="s">
        <v>259</v>
      </c>
      <c r="AA2386" s="194">
        <v>184</v>
      </c>
      <c r="AB2386" s="194" t="s">
        <v>259</v>
      </c>
      <c r="AC2386" s="194">
        <v>207</v>
      </c>
      <c r="AD2386" s="194" t="s">
        <v>259</v>
      </c>
      <c r="AE2386" s="194">
        <v>284</v>
      </c>
      <c r="AF2386" s="194" t="s">
        <v>259</v>
      </c>
      <c r="AG2386" s="194">
        <v>201</v>
      </c>
      <c r="AH2386" s="194" t="s">
        <v>259</v>
      </c>
      <c r="AI2386" s="194">
        <v>422</v>
      </c>
      <c r="AJ2386" s="194" t="s">
        <v>259</v>
      </c>
      <c r="AK2386" s="194">
        <v>333</v>
      </c>
      <c r="AL2386" s="194" t="s">
        <v>259</v>
      </c>
      <c r="AM2386" s="194">
        <f t="shared" si="18"/>
        <v>3071</v>
      </c>
    </row>
    <row r="2387" spans="2:39" s="3" customFormat="1" ht="15.75" outlineLevel="1">
      <c r="B2387" s="178" t="s">
        <v>819</v>
      </c>
      <c r="C2387" s="218" t="s">
        <v>1489</v>
      </c>
      <c r="D2387" s="219" t="s">
        <v>1403</v>
      </c>
      <c r="E2387" s="23" t="s">
        <v>44</v>
      </c>
      <c r="F2387" s="93" t="s">
        <v>45</v>
      </c>
      <c r="G2387" s="188" t="s">
        <v>1432</v>
      </c>
      <c r="H2387" s="194">
        <v>28</v>
      </c>
      <c r="I2387" s="188" t="s">
        <v>1433</v>
      </c>
      <c r="J2387" s="220" t="s">
        <v>1436</v>
      </c>
      <c r="K2387" s="173" t="s">
        <v>233</v>
      </c>
      <c r="L2387" s="173" t="s">
        <v>233</v>
      </c>
      <c r="M2387" s="194">
        <v>2675</v>
      </c>
      <c r="N2387" s="194">
        <v>1820</v>
      </c>
      <c r="O2387" s="194">
        <v>201</v>
      </c>
      <c r="P2387" s="194" t="s">
        <v>259</v>
      </c>
      <c r="Q2387" s="194">
        <v>154</v>
      </c>
      <c r="R2387" s="194" t="s">
        <v>259</v>
      </c>
      <c r="S2387" s="194">
        <v>102</v>
      </c>
      <c r="T2387" s="194" t="s">
        <v>259</v>
      </c>
      <c r="U2387" s="194">
        <v>142</v>
      </c>
      <c r="V2387" s="194" t="s">
        <v>259</v>
      </c>
      <c r="W2387" s="194">
        <v>151</v>
      </c>
      <c r="X2387" s="194" t="s">
        <v>259</v>
      </c>
      <c r="Y2387" s="194">
        <v>152</v>
      </c>
      <c r="Z2387" s="194" t="s">
        <v>259</v>
      </c>
      <c r="AA2387" s="194">
        <v>124</v>
      </c>
      <c r="AB2387" s="194" t="s">
        <v>259</v>
      </c>
      <c r="AC2387" s="194">
        <v>169</v>
      </c>
      <c r="AD2387" s="194" t="s">
        <v>259</v>
      </c>
      <c r="AE2387" s="194">
        <v>233</v>
      </c>
      <c r="AF2387" s="194" t="s">
        <v>259</v>
      </c>
      <c r="AG2387" s="194">
        <v>165</v>
      </c>
      <c r="AH2387" s="194" t="s">
        <v>259</v>
      </c>
      <c r="AI2387" s="194">
        <v>345</v>
      </c>
      <c r="AJ2387" s="194" t="s">
        <v>259</v>
      </c>
      <c r="AK2387" s="194">
        <v>271</v>
      </c>
      <c r="AL2387" s="194" t="s">
        <v>259</v>
      </c>
      <c r="AM2387" s="194">
        <f t="shared" si="18"/>
        <v>2209</v>
      </c>
    </row>
    <row r="2388" spans="2:39" s="3" customFormat="1" ht="15.75" outlineLevel="1">
      <c r="B2388" s="178" t="s">
        <v>821</v>
      </c>
      <c r="C2388" s="218" t="s">
        <v>1489</v>
      </c>
      <c r="D2388" s="219" t="s">
        <v>1403</v>
      </c>
      <c r="E2388" s="23" t="s">
        <v>44</v>
      </c>
      <c r="F2388" s="93" t="s">
        <v>45</v>
      </c>
      <c r="G2388" s="188" t="s">
        <v>1432</v>
      </c>
      <c r="H2388" s="194">
        <v>32</v>
      </c>
      <c r="I2388" s="188" t="s">
        <v>1433</v>
      </c>
      <c r="J2388" s="220" t="s">
        <v>1442</v>
      </c>
      <c r="K2388" s="173" t="s">
        <v>233</v>
      </c>
      <c r="L2388" s="173" t="s">
        <v>233</v>
      </c>
      <c r="M2388" s="194">
        <v>1032</v>
      </c>
      <c r="N2388" s="194">
        <v>999</v>
      </c>
      <c r="O2388" s="194">
        <v>94</v>
      </c>
      <c r="P2388" s="194" t="s">
        <v>252</v>
      </c>
      <c r="Q2388" s="194">
        <v>73</v>
      </c>
      <c r="R2388" s="194" t="s">
        <v>252</v>
      </c>
      <c r="S2388" s="194">
        <v>59</v>
      </c>
      <c r="T2388" s="194" t="s">
        <v>252</v>
      </c>
      <c r="U2388" s="194">
        <v>84</v>
      </c>
      <c r="V2388" s="194" t="s">
        <v>252</v>
      </c>
      <c r="W2388" s="194">
        <v>84</v>
      </c>
      <c r="X2388" s="194" t="s">
        <v>252</v>
      </c>
      <c r="Y2388" s="194">
        <v>97</v>
      </c>
      <c r="Z2388" s="194" t="s">
        <v>252</v>
      </c>
      <c r="AA2388" s="194">
        <v>79</v>
      </c>
      <c r="AB2388" s="194" t="s">
        <v>252</v>
      </c>
      <c r="AC2388" s="194">
        <v>86</v>
      </c>
      <c r="AD2388" s="194" t="s">
        <v>252</v>
      </c>
      <c r="AE2388" s="194">
        <v>93</v>
      </c>
      <c r="AF2388" s="194" t="s">
        <v>252</v>
      </c>
      <c r="AG2388" s="194">
        <v>83</v>
      </c>
      <c r="AH2388" s="194" t="s">
        <v>252</v>
      </c>
      <c r="AI2388" s="194">
        <v>123</v>
      </c>
      <c r="AJ2388" s="194" t="s">
        <v>252</v>
      </c>
      <c r="AK2388" s="194">
        <v>87</v>
      </c>
      <c r="AL2388" s="194" t="s">
        <v>252</v>
      </c>
      <c r="AM2388" s="194">
        <f t="shared" si="18"/>
        <v>1042</v>
      </c>
    </row>
    <row r="2389" spans="2:39" s="3" customFormat="1" ht="15.75" outlineLevel="1">
      <c r="B2389" s="178" t="s">
        <v>823</v>
      </c>
      <c r="C2389" s="218" t="s">
        <v>1489</v>
      </c>
      <c r="D2389" s="219" t="s">
        <v>1403</v>
      </c>
      <c r="E2389" s="23" t="s">
        <v>44</v>
      </c>
      <c r="F2389" s="93" t="s">
        <v>45</v>
      </c>
      <c r="G2389" s="188" t="s">
        <v>1432</v>
      </c>
      <c r="H2389" s="194">
        <v>42</v>
      </c>
      <c r="I2389" s="188" t="s">
        <v>1433</v>
      </c>
      <c r="J2389" s="220" t="s">
        <v>1436</v>
      </c>
      <c r="K2389" s="173" t="s">
        <v>233</v>
      </c>
      <c r="L2389" s="173" t="s">
        <v>233</v>
      </c>
      <c r="M2389" s="194">
        <v>2824</v>
      </c>
      <c r="N2389" s="194">
        <v>3501</v>
      </c>
      <c r="O2389" s="194">
        <v>408</v>
      </c>
      <c r="P2389" s="194" t="s">
        <v>252</v>
      </c>
      <c r="Q2389" s="194">
        <v>376</v>
      </c>
      <c r="R2389" s="194" t="s">
        <v>252</v>
      </c>
      <c r="S2389" s="194">
        <v>264</v>
      </c>
      <c r="T2389" s="194" t="s">
        <v>252</v>
      </c>
      <c r="U2389" s="194">
        <v>432</v>
      </c>
      <c r="V2389" s="194" t="s">
        <v>252</v>
      </c>
      <c r="W2389" s="194">
        <v>370</v>
      </c>
      <c r="X2389" s="194" t="s">
        <v>252</v>
      </c>
      <c r="Y2389" s="194">
        <v>372</v>
      </c>
      <c r="Z2389" s="194" t="s">
        <v>252</v>
      </c>
      <c r="AA2389" s="194">
        <v>394</v>
      </c>
      <c r="AB2389" s="194" t="s">
        <v>252</v>
      </c>
      <c r="AC2389" s="194">
        <v>394</v>
      </c>
      <c r="AD2389" s="194" t="s">
        <v>252</v>
      </c>
      <c r="AE2389" s="194">
        <v>599</v>
      </c>
      <c r="AF2389" s="194" t="s">
        <v>252</v>
      </c>
      <c r="AG2389" s="194">
        <v>611</v>
      </c>
      <c r="AH2389" s="194" t="s">
        <v>252</v>
      </c>
      <c r="AI2389" s="194">
        <v>467</v>
      </c>
      <c r="AJ2389" s="194" t="s">
        <v>252</v>
      </c>
      <c r="AK2389" s="194">
        <v>407</v>
      </c>
      <c r="AL2389" s="194" t="s">
        <v>252</v>
      </c>
      <c r="AM2389" s="194">
        <f t="shared" si="18"/>
        <v>5094</v>
      </c>
    </row>
    <row r="2390" spans="2:39" s="3" customFormat="1" ht="15.75" outlineLevel="1">
      <c r="B2390" s="178" t="s">
        <v>824</v>
      </c>
      <c r="C2390" s="218" t="s">
        <v>1489</v>
      </c>
      <c r="D2390" s="219" t="s">
        <v>1403</v>
      </c>
      <c r="E2390" s="23" t="s">
        <v>44</v>
      </c>
      <c r="F2390" s="93" t="s">
        <v>45</v>
      </c>
      <c r="G2390" s="188" t="s">
        <v>1432</v>
      </c>
      <c r="H2390" s="194">
        <v>28</v>
      </c>
      <c r="I2390" s="188" t="s">
        <v>1433</v>
      </c>
      <c r="J2390" s="220" t="s">
        <v>1460</v>
      </c>
      <c r="K2390" s="173" t="s">
        <v>233</v>
      </c>
      <c r="L2390" s="173" t="s">
        <v>233</v>
      </c>
      <c r="M2390" s="194">
        <v>3468</v>
      </c>
      <c r="N2390" s="194">
        <v>4976</v>
      </c>
      <c r="O2390" s="194">
        <v>533</v>
      </c>
      <c r="P2390" s="194" t="s">
        <v>252</v>
      </c>
      <c r="Q2390" s="194">
        <v>454</v>
      </c>
      <c r="R2390" s="194" t="s">
        <v>252</v>
      </c>
      <c r="S2390" s="194">
        <v>299</v>
      </c>
      <c r="T2390" s="194" t="s">
        <v>252</v>
      </c>
      <c r="U2390" s="194">
        <v>301</v>
      </c>
      <c r="V2390" s="194" t="s">
        <v>252</v>
      </c>
      <c r="W2390" s="194">
        <v>226</v>
      </c>
      <c r="X2390" s="194" t="s">
        <v>252</v>
      </c>
      <c r="Y2390" s="194">
        <v>225</v>
      </c>
      <c r="Z2390" s="194" t="s">
        <v>252</v>
      </c>
      <c r="AA2390" s="194">
        <v>215</v>
      </c>
      <c r="AB2390" s="194" t="s">
        <v>252</v>
      </c>
      <c r="AC2390" s="194">
        <v>266</v>
      </c>
      <c r="AD2390" s="194" t="s">
        <v>252</v>
      </c>
      <c r="AE2390" s="194">
        <v>375</v>
      </c>
      <c r="AF2390" s="194" t="s">
        <v>252</v>
      </c>
      <c r="AG2390" s="194">
        <v>310</v>
      </c>
      <c r="AH2390" s="194" t="s">
        <v>252</v>
      </c>
      <c r="AI2390" s="194">
        <v>333</v>
      </c>
      <c r="AJ2390" s="194" t="s">
        <v>252</v>
      </c>
      <c r="AK2390" s="194">
        <v>340</v>
      </c>
      <c r="AL2390" s="194" t="s">
        <v>252</v>
      </c>
      <c r="AM2390" s="194">
        <f t="shared" si="18"/>
        <v>3877</v>
      </c>
    </row>
    <row r="2391" spans="2:39" s="3" customFormat="1" ht="15.75" outlineLevel="1">
      <c r="B2391" s="178" t="s">
        <v>825</v>
      </c>
      <c r="C2391" s="218" t="s">
        <v>1489</v>
      </c>
      <c r="D2391" s="219" t="s">
        <v>1403</v>
      </c>
      <c r="E2391" s="23" t="s">
        <v>44</v>
      </c>
      <c r="F2391" s="222" t="s">
        <v>45</v>
      </c>
      <c r="G2391" s="188" t="s">
        <v>1432</v>
      </c>
      <c r="H2391" s="194">
        <v>41</v>
      </c>
      <c r="I2391" s="188" t="s">
        <v>1433</v>
      </c>
      <c r="J2391" s="220" t="s">
        <v>1446</v>
      </c>
      <c r="K2391" s="173" t="s">
        <v>233</v>
      </c>
      <c r="L2391" s="173" t="s">
        <v>233</v>
      </c>
      <c r="M2391" s="194">
        <v>5256</v>
      </c>
      <c r="N2391" s="194">
        <v>4279</v>
      </c>
      <c r="O2391" s="194">
        <v>482</v>
      </c>
      <c r="P2391" s="194" t="s">
        <v>252</v>
      </c>
      <c r="Q2391" s="194">
        <v>346</v>
      </c>
      <c r="R2391" s="194" t="s">
        <v>252</v>
      </c>
      <c r="S2391" s="194">
        <v>212</v>
      </c>
      <c r="T2391" s="194" t="s">
        <v>252</v>
      </c>
      <c r="U2391" s="194">
        <v>525</v>
      </c>
      <c r="V2391" s="194" t="s">
        <v>252</v>
      </c>
      <c r="W2391" s="194">
        <v>278</v>
      </c>
      <c r="X2391" s="194" t="s">
        <v>252</v>
      </c>
      <c r="Y2391" s="194">
        <v>249</v>
      </c>
      <c r="Z2391" s="194" t="s">
        <v>252</v>
      </c>
      <c r="AA2391" s="194">
        <v>163</v>
      </c>
      <c r="AB2391" s="194" t="s">
        <v>252</v>
      </c>
      <c r="AC2391" s="194">
        <v>617</v>
      </c>
      <c r="AD2391" s="194" t="s">
        <v>252</v>
      </c>
      <c r="AE2391" s="194">
        <v>431</v>
      </c>
      <c r="AF2391" s="194" t="s">
        <v>252</v>
      </c>
      <c r="AG2391" s="194">
        <v>413</v>
      </c>
      <c r="AH2391" s="194" t="s">
        <v>252</v>
      </c>
      <c r="AI2391" s="194">
        <v>591</v>
      </c>
      <c r="AJ2391" s="194" t="s">
        <v>252</v>
      </c>
      <c r="AK2391" s="194">
        <v>380</v>
      </c>
      <c r="AL2391" s="194" t="s">
        <v>252</v>
      </c>
      <c r="AM2391" s="194">
        <f t="shared" si="18"/>
        <v>4687</v>
      </c>
    </row>
    <row r="2392" spans="2:39" s="3" customFormat="1" ht="15.75" outlineLevel="1">
      <c r="B2392" s="178" t="s">
        <v>826</v>
      </c>
      <c r="C2392" s="218" t="s">
        <v>1489</v>
      </c>
      <c r="D2392" s="219" t="s">
        <v>1403</v>
      </c>
      <c r="E2392" s="23" t="s">
        <v>44</v>
      </c>
      <c r="F2392" s="222" t="s">
        <v>45</v>
      </c>
      <c r="G2392" s="188" t="s">
        <v>1432</v>
      </c>
      <c r="H2392" s="194">
        <v>37</v>
      </c>
      <c r="I2392" s="188" t="s">
        <v>1433</v>
      </c>
      <c r="J2392" s="220" t="s">
        <v>1461</v>
      </c>
      <c r="K2392" s="173" t="s">
        <v>233</v>
      </c>
      <c r="L2392" s="173" t="s">
        <v>233</v>
      </c>
      <c r="M2392" s="194">
        <v>2060</v>
      </c>
      <c r="N2392" s="194">
        <v>2763</v>
      </c>
      <c r="O2392" s="194">
        <v>332</v>
      </c>
      <c r="P2392" s="194" t="s">
        <v>259</v>
      </c>
      <c r="Q2392" s="194">
        <v>366</v>
      </c>
      <c r="R2392" s="194" t="s">
        <v>259</v>
      </c>
      <c r="S2392" s="194">
        <v>248</v>
      </c>
      <c r="T2392" s="194" t="s">
        <v>259</v>
      </c>
      <c r="U2392" s="194">
        <v>265</v>
      </c>
      <c r="V2392" s="194" t="s">
        <v>259</v>
      </c>
      <c r="W2392" s="194">
        <v>206</v>
      </c>
      <c r="X2392" s="194" t="s">
        <v>259</v>
      </c>
      <c r="Y2392" s="194">
        <v>159</v>
      </c>
      <c r="Z2392" s="194" t="s">
        <v>259</v>
      </c>
      <c r="AA2392" s="194">
        <v>155</v>
      </c>
      <c r="AB2392" s="194" t="s">
        <v>259</v>
      </c>
      <c r="AC2392" s="194">
        <v>200</v>
      </c>
      <c r="AD2392" s="194" t="s">
        <v>259</v>
      </c>
      <c r="AE2392" s="194">
        <v>311</v>
      </c>
      <c r="AF2392" s="194" t="s">
        <v>259</v>
      </c>
      <c r="AG2392" s="194">
        <v>297</v>
      </c>
      <c r="AH2392" s="194" t="s">
        <v>259</v>
      </c>
      <c r="AI2392" s="194">
        <v>251</v>
      </c>
      <c r="AJ2392" s="194" t="s">
        <v>259</v>
      </c>
      <c r="AK2392" s="194">
        <v>276</v>
      </c>
      <c r="AL2392" s="194" t="s">
        <v>259</v>
      </c>
      <c r="AM2392" s="194">
        <f t="shared" si="18"/>
        <v>3066</v>
      </c>
    </row>
    <row r="2393" spans="2:39" s="3" customFormat="1" ht="15.75" outlineLevel="1">
      <c r="B2393" s="178" t="s">
        <v>827</v>
      </c>
      <c r="C2393" s="218" t="s">
        <v>1489</v>
      </c>
      <c r="D2393" s="219" t="s">
        <v>1403</v>
      </c>
      <c r="E2393" s="23" t="s">
        <v>44</v>
      </c>
      <c r="F2393" s="93" t="s">
        <v>45</v>
      </c>
      <c r="G2393" s="188" t="s">
        <v>1432</v>
      </c>
      <c r="H2393" s="376">
        <v>44</v>
      </c>
      <c r="I2393" s="188" t="s">
        <v>1433</v>
      </c>
      <c r="J2393" s="379" t="s">
        <v>1445</v>
      </c>
      <c r="K2393" s="173" t="s">
        <v>233</v>
      </c>
      <c r="L2393" s="173" t="s">
        <v>233</v>
      </c>
      <c r="M2393" s="194">
        <v>9486</v>
      </c>
      <c r="N2393" s="194">
        <v>9106</v>
      </c>
      <c r="O2393" s="194">
        <v>850</v>
      </c>
      <c r="P2393" s="194" t="s">
        <v>252</v>
      </c>
      <c r="Q2393" s="194">
        <v>935</v>
      </c>
      <c r="R2393" s="194" t="s">
        <v>252</v>
      </c>
      <c r="S2393" s="194">
        <v>711</v>
      </c>
      <c r="T2393" s="194" t="s">
        <v>252</v>
      </c>
      <c r="U2393" s="194">
        <v>847</v>
      </c>
      <c r="V2393" s="194" t="s">
        <v>252</v>
      </c>
      <c r="W2393" s="194">
        <v>604</v>
      </c>
      <c r="X2393" s="194" t="s">
        <v>252</v>
      </c>
      <c r="Y2393" s="194">
        <v>690</v>
      </c>
      <c r="Z2393" s="194" t="s">
        <v>252</v>
      </c>
      <c r="AA2393" s="194">
        <v>783</v>
      </c>
      <c r="AB2393" s="194" t="s">
        <v>252</v>
      </c>
      <c r="AC2393" s="194">
        <v>731</v>
      </c>
      <c r="AD2393" s="194" t="s">
        <v>252</v>
      </c>
      <c r="AE2393" s="194">
        <v>778</v>
      </c>
      <c r="AF2393" s="194" t="s">
        <v>252</v>
      </c>
      <c r="AG2393" s="194">
        <v>740</v>
      </c>
      <c r="AH2393" s="194" t="s">
        <v>252</v>
      </c>
      <c r="AI2393" s="194">
        <v>638</v>
      </c>
      <c r="AJ2393" s="194" t="s">
        <v>252</v>
      </c>
      <c r="AK2393" s="194">
        <v>477</v>
      </c>
      <c r="AL2393" s="194" t="s">
        <v>252</v>
      </c>
      <c r="AM2393" s="194">
        <f t="shared" si="18"/>
        <v>8784</v>
      </c>
    </row>
    <row r="2394" spans="2:39" s="3" customFormat="1" ht="15.75" outlineLevel="1">
      <c r="B2394" s="178" t="s">
        <v>828</v>
      </c>
      <c r="C2394" s="218" t="s">
        <v>1489</v>
      </c>
      <c r="D2394" s="219" t="s">
        <v>1403</v>
      </c>
      <c r="E2394" s="23" t="s">
        <v>44</v>
      </c>
      <c r="F2394" s="93" t="s">
        <v>45</v>
      </c>
      <c r="G2394" s="188" t="s">
        <v>1432</v>
      </c>
      <c r="H2394" s="378"/>
      <c r="I2394" s="188" t="s">
        <v>1433</v>
      </c>
      <c r="J2394" s="380"/>
      <c r="K2394" s="173" t="s">
        <v>233</v>
      </c>
      <c r="L2394" s="173" t="s">
        <v>233</v>
      </c>
      <c r="M2394" s="194"/>
      <c r="N2394" s="194"/>
      <c r="O2394" s="194"/>
      <c r="P2394" s="194" t="s">
        <v>252</v>
      </c>
      <c r="Q2394" s="194"/>
      <c r="R2394" s="194" t="s">
        <v>252</v>
      </c>
      <c r="S2394" s="194"/>
      <c r="T2394" s="194" t="s">
        <v>252</v>
      </c>
      <c r="U2394" s="194"/>
      <c r="V2394" s="194" t="s">
        <v>252</v>
      </c>
      <c r="W2394" s="194"/>
      <c r="X2394" s="194" t="s">
        <v>252</v>
      </c>
      <c r="Y2394" s="194"/>
      <c r="Z2394" s="194" t="s">
        <v>252</v>
      </c>
      <c r="AA2394" s="194"/>
      <c r="AB2394" s="194" t="s">
        <v>252</v>
      </c>
      <c r="AC2394" s="194"/>
      <c r="AD2394" s="194" t="s">
        <v>252</v>
      </c>
      <c r="AE2394" s="194"/>
      <c r="AF2394" s="194" t="s">
        <v>252</v>
      </c>
      <c r="AG2394" s="194"/>
      <c r="AH2394" s="194" t="s">
        <v>252</v>
      </c>
      <c r="AI2394" s="194"/>
      <c r="AJ2394" s="194" t="s">
        <v>252</v>
      </c>
      <c r="AK2394" s="194"/>
      <c r="AL2394" s="194" t="s">
        <v>252</v>
      </c>
      <c r="AM2394" s="194">
        <f t="shared" si="18"/>
        <v>0</v>
      </c>
    </row>
    <row r="2395" spans="2:39" s="3" customFormat="1" ht="15.75" outlineLevel="1">
      <c r="B2395" s="178" t="s">
        <v>829</v>
      </c>
      <c r="C2395" s="218" t="s">
        <v>1489</v>
      </c>
      <c r="D2395" s="219" t="s">
        <v>1403</v>
      </c>
      <c r="E2395" s="221" t="s">
        <v>138</v>
      </c>
      <c r="F2395" s="93" t="s">
        <v>45</v>
      </c>
      <c r="G2395" s="188" t="s">
        <v>1432</v>
      </c>
      <c r="H2395" s="376">
        <v>68</v>
      </c>
      <c r="I2395" s="188" t="s">
        <v>1433</v>
      </c>
      <c r="J2395" s="379" t="s">
        <v>1462</v>
      </c>
      <c r="K2395" s="173" t="s">
        <v>233</v>
      </c>
      <c r="L2395" s="173" t="s">
        <v>233</v>
      </c>
      <c r="M2395" s="194">
        <v>6316</v>
      </c>
      <c r="N2395" s="194">
        <v>6013</v>
      </c>
      <c r="O2395" s="194">
        <v>390</v>
      </c>
      <c r="P2395" s="194" t="s">
        <v>252</v>
      </c>
      <c r="Q2395" s="194">
        <v>516</v>
      </c>
      <c r="R2395" s="194" t="s">
        <v>252</v>
      </c>
      <c r="S2395" s="194">
        <v>421</v>
      </c>
      <c r="T2395" s="194" t="s">
        <v>252</v>
      </c>
      <c r="U2395" s="194">
        <v>430</v>
      </c>
      <c r="V2395" s="194" t="s">
        <v>252</v>
      </c>
      <c r="W2395" s="194">
        <v>425</v>
      </c>
      <c r="X2395" s="194" t="s">
        <v>252</v>
      </c>
      <c r="Y2395" s="194">
        <v>503</v>
      </c>
      <c r="Z2395" s="194" t="s">
        <v>252</v>
      </c>
      <c r="AA2395" s="194">
        <v>417</v>
      </c>
      <c r="AB2395" s="194" t="s">
        <v>252</v>
      </c>
      <c r="AC2395" s="194">
        <v>443</v>
      </c>
      <c r="AD2395" s="194" t="s">
        <v>252</v>
      </c>
      <c r="AE2395" s="194">
        <v>492</v>
      </c>
      <c r="AF2395" s="194" t="s">
        <v>252</v>
      </c>
      <c r="AG2395" s="194">
        <v>296</v>
      </c>
      <c r="AH2395" s="194" t="s">
        <v>252</v>
      </c>
      <c r="AI2395" s="194">
        <v>562</v>
      </c>
      <c r="AJ2395" s="194" t="s">
        <v>252</v>
      </c>
      <c r="AK2395" s="194">
        <v>429</v>
      </c>
      <c r="AL2395" s="194" t="s">
        <v>252</v>
      </c>
      <c r="AM2395" s="194">
        <f t="shared" si="18"/>
        <v>5324</v>
      </c>
    </row>
    <row r="2396" spans="2:39" s="3" customFormat="1" ht="15.75" outlineLevel="1">
      <c r="B2396" s="178" t="s">
        <v>829</v>
      </c>
      <c r="C2396" s="218" t="s">
        <v>1489</v>
      </c>
      <c r="D2396" s="219" t="s">
        <v>1403</v>
      </c>
      <c r="E2396" s="23" t="s">
        <v>44</v>
      </c>
      <c r="F2396" s="93" t="s">
        <v>45</v>
      </c>
      <c r="G2396" s="188" t="s">
        <v>1432</v>
      </c>
      <c r="H2396" s="378"/>
      <c r="I2396" s="188" t="s">
        <v>1433</v>
      </c>
      <c r="J2396" s="380"/>
      <c r="K2396" s="173" t="s">
        <v>233</v>
      </c>
      <c r="L2396" s="173" t="s">
        <v>233</v>
      </c>
      <c r="M2396" s="194">
        <v>7781</v>
      </c>
      <c r="N2396" s="194">
        <v>7873</v>
      </c>
      <c r="O2396" s="194">
        <v>731</v>
      </c>
      <c r="P2396" s="194" t="s">
        <v>252</v>
      </c>
      <c r="Q2396" s="194">
        <v>766</v>
      </c>
      <c r="R2396" s="194" t="s">
        <v>252</v>
      </c>
      <c r="S2396" s="194">
        <v>610</v>
      </c>
      <c r="T2396" s="194" t="s">
        <v>252</v>
      </c>
      <c r="U2396" s="194">
        <v>719</v>
      </c>
      <c r="V2396" s="194" t="s">
        <v>252</v>
      </c>
      <c r="W2396" s="194">
        <v>674</v>
      </c>
      <c r="X2396" s="194" t="s">
        <v>252</v>
      </c>
      <c r="Y2396" s="194">
        <v>671</v>
      </c>
      <c r="Z2396" s="194" t="s">
        <v>252</v>
      </c>
      <c r="AA2396" s="194">
        <v>464</v>
      </c>
      <c r="AB2396" s="194" t="s">
        <v>252</v>
      </c>
      <c r="AC2396" s="194">
        <v>523</v>
      </c>
      <c r="AD2396" s="194" t="s">
        <v>252</v>
      </c>
      <c r="AE2396" s="194">
        <v>678</v>
      </c>
      <c r="AF2396" s="194" t="s">
        <v>252</v>
      </c>
      <c r="AG2396" s="194">
        <v>441</v>
      </c>
      <c r="AH2396" s="194" t="s">
        <v>252</v>
      </c>
      <c r="AI2396" s="194">
        <v>998</v>
      </c>
      <c r="AJ2396" s="194" t="s">
        <v>252</v>
      </c>
      <c r="AK2396" s="194">
        <v>764</v>
      </c>
      <c r="AL2396" s="194" t="s">
        <v>252</v>
      </c>
      <c r="AM2396" s="194">
        <f t="shared" si="18"/>
        <v>8039</v>
      </c>
    </row>
    <row r="2397" spans="2:39" s="3" customFormat="1" ht="15.75" outlineLevel="1">
      <c r="B2397" s="178" t="s">
        <v>830</v>
      </c>
      <c r="C2397" s="218" t="s">
        <v>1489</v>
      </c>
      <c r="D2397" s="219" t="s">
        <v>1403</v>
      </c>
      <c r="E2397" s="23" t="s">
        <v>44</v>
      </c>
      <c r="F2397" s="93" t="s">
        <v>45</v>
      </c>
      <c r="G2397" s="188" t="s">
        <v>1432</v>
      </c>
      <c r="H2397" s="194">
        <v>62</v>
      </c>
      <c r="I2397" s="188" t="s">
        <v>1433</v>
      </c>
      <c r="J2397" s="220" t="s">
        <v>1463</v>
      </c>
      <c r="K2397" s="173" t="s">
        <v>233</v>
      </c>
      <c r="L2397" s="173" t="s">
        <v>233</v>
      </c>
      <c r="M2397" s="194">
        <v>1980</v>
      </c>
      <c r="N2397" s="194">
        <v>2551</v>
      </c>
      <c r="O2397" s="194">
        <v>307</v>
      </c>
      <c r="P2397" s="194" t="s">
        <v>259</v>
      </c>
      <c r="Q2397" s="194">
        <v>301</v>
      </c>
      <c r="R2397" s="194" t="s">
        <v>259</v>
      </c>
      <c r="S2397" s="194">
        <v>203</v>
      </c>
      <c r="T2397" s="194" t="s">
        <v>259</v>
      </c>
      <c r="U2397" s="194">
        <v>246</v>
      </c>
      <c r="V2397" s="194" t="s">
        <v>259</v>
      </c>
      <c r="W2397" s="194">
        <v>191</v>
      </c>
      <c r="X2397" s="194" t="s">
        <v>259</v>
      </c>
      <c r="Y2397" s="194">
        <v>1024</v>
      </c>
      <c r="Z2397" s="194" t="s">
        <v>259</v>
      </c>
      <c r="AA2397" s="194">
        <v>143</v>
      </c>
      <c r="AB2397" s="194" t="s">
        <v>259</v>
      </c>
      <c r="AC2397" s="194">
        <v>209</v>
      </c>
      <c r="AD2397" s="194" t="s">
        <v>259</v>
      </c>
      <c r="AE2397" s="194">
        <v>322</v>
      </c>
      <c r="AF2397" s="194" t="s">
        <v>259</v>
      </c>
      <c r="AG2397" s="194">
        <v>309</v>
      </c>
      <c r="AH2397" s="194" t="s">
        <v>259</v>
      </c>
      <c r="AI2397" s="194">
        <v>262</v>
      </c>
      <c r="AJ2397" s="194" t="s">
        <v>259</v>
      </c>
      <c r="AK2397" s="194">
        <v>287</v>
      </c>
      <c r="AL2397" s="194" t="s">
        <v>259</v>
      </c>
      <c r="AM2397" s="194">
        <f t="shared" si="18"/>
        <v>3804</v>
      </c>
    </row>
    <row r="2398" spans="2:39" s="3" customFormat="1" ht="15.75" outlineLevel="1">
      <c r="B2398" s="178" t="s">
        <v>831</v>
      </c>
      <c r="C2398" s="218" t="s">
        <v>1489</v>
      </c>
      <c r="D2398" s="219" t="s">
        <v>1403</v>
      </c>
      <c r="E2398" s="23" t="s">
        <v>44</v>
      </c>
      <c r="F2398" s="93" t="s">
        <v>45</v>
      </c>
      <c r="G2398" s="188" t="s">
        <v>1432</v>
      </c>
      <c r="H2398" s="194">
        <v>32</v>
      </c>
      <c r="I2398" s="188" t="s">
        <v>1433</v>
      </c>
      <c r="J2398" s="220" t="s">
        <v>216</v>
      </c>
      <c r="K2398" s="173" t="s">
        <v>233</v>
      </c>
      <c r="L2398" s="173" t="s">
        <v>233</v>
      </c>
      <c r="M2398" s="194">
        <v>3385</v>
      </c>
      <c r="N2398" s="194">
        <v>3862</v>
      </c>
      <c r="O2398" s="194">
        <v>259</v>
      </c>
      <c r="P2398" s="194" t="s">
        <v>252</v>
      </c>
      <c r="Q2398" s="194">
        <v>301</v>
      </c>
      <c r="R2398" s="194" t="s">
        <v>252</v>
      </c>
      <c r="S2398" s="194">
        <v>230</v>
      </c>
      <c r="T2398" s="194" t="s">
        <v>252</v>
      </c>
      <c r="U2398" s="194">
        <v>243</v>
      </c>
      <c r="V2398" s="194" t="s">
        <v>252</v>
      </c>
      <c r="W2398" s="194">
        <v>164</v>
      </c>
      <c r="X2398" s="194" t="s">
        <v>252</v>
      </c>
      <c r="Y2398" s="194">
        <v>258</v>
      </c>
      <c r="Z2398" s="194" t="s">
        <v>252</v>
      </c>
      <c r="AA2398" s="194">
        <v>210</v>
      </c>
      <c r="AB2398" s="194" t="s">
        <v>252</v>
      </c>
      <c r="AC2398" s="194">
        <v>156</v>
      </c>
      <c r="AD2398" s="194" t="s">
        <v>252</v>
      </c>
      <c r="AE2398" s="194">
        <v>166</v>
      </c>
      <c r="AF2398" s="194" t="s">
        <v>252</v>
      </c>
      <c r="AG2398" s="194">
        <v>132</v>
      </c>
      <c r="AH2398" s="194" t="s">
        <v>252</v>
      </c>
      <c r="AI2398" s="194">
        <v>374</v>
      </c>
      <c r="AJ2398" s="194" t="s">
        <v>252</v>
      </c>
      <c r="AK2398" s="194">
        <v>385</v>
      </c>
      <c r="AL2398" s="194" t="s">
        <v>252</v>
      </c>
      <c r="AM2398" s="194">
        <f t="shared" si="18"/>
        <v>2878</v>
      </c>
    </row>
    <row r="2399" spans="2:39" s="3" customFormat="1" ht="15.75" outlineLevel="1">
      <c r="B2399" s="178" t="s">
        <v>832</v>
      </c>
      <c r="C2399" s="218" t="s">
        <v>1489</v>
      </c>
      <c r="D2399" s="219" t="s">
        <v>1403</v>
      </c>
      <c r="E2399" s="221" t="s">
        <v>138</v>
      </c>
      <c r="F2399" s="93" t="s">
        <v>45</v>
      </c>
      <c r="G2399" s="188" t="s">
        <v>1432</v>
      </c>
      <c r="H2399" s="376">
        <v>32</v>
      </c>
      <c r="I2399" s="188" t="s">
        <v>1433</v>
      </c>
      <c r="J2399" s="379" t="s">
        <v>210</v>
      </c>
      <c r="K2399" s="173" t="s">
        <v>233</v>
      </c>
      <c r="L2399" s="173" t="s">
        <v>233</v>
      </c>
      <c r="M2399" s="194">
        <v>830</v>
      </c>
      <c r="N2399" s="194">
        <v>1483</v>
      </c>
      <c r="O2399" s="194">
        <v>68</v>
      </c>
      <c r="P2399" s="194" t="s">
        <v>252</v>
      </c>
      <c r="Q2399" s="194">
        <v>116</v>
      </c>
      <c r="R2399" s="194" t="s">
        <v>252</v>
      </c>
      <c r="S2399" s="194">
        <v>68</v>
      </c>
      <c r="T2399" s="194" t="s">
        <v>252</v>
      </c>
      <c r="U2399" s="194">
        <v>93</v>
      </c>
      <c r="V2399" s="194" t="s">
        <v>252</v>
      </c>
      <c r="W2399" s="194">
        <v>80</v>
      </c>
      <c r="X2399" s="194" t="s">
        <v>252</v>
      </c>
      <c r="Y2399" s="194">
        <v>85</v>
      </c>
      <c r="Z2399" s="194" t="s">
        <v>252</v>
      </c>
      <c r="AA2399" s="194">
        <v>83</v>
      </c>
      <c r="AB2399" s="194" t="s">
        <v>252</v>
      </c>
      <c r="AC2399" s="194">
        <v>87</v>
      </c>
      <c r="AD2399" s="194" t="s">
        <v>252</v>
      </c>
      <c r="AE2399" s="194">
        <v>88</v>
      </c>
      <c r="AF2399" s="194" t="s">
        <v>252</v>
      </c>
      <c r="AG2399" s="194">
        <v>81</v>
      </c>
      <c r="AH2399" s="194" t="s">
        <v>252</v>
      </c>
      <c r="AI2399" s="194">
        <v>84</v>
      </c>
      <c r="AJ2399" s="194" t="s">
        <v>252</v>
      </c>
      <c r="AK2399" s="194">
        <v>88</v>
      </c>
      <c r="AL2399" s="194" t="s">
        <v>252</v>
      </c>
      <c r="AM2399" s="194">
        <f t="shared" si="18"/>
        <v>1021</v>
      </c>
    </row>
    <row r="2400" spans="2:39" s="3" customFormat="1" ht="15.75" outlineLevel="1">
      <c r="B2400" s="178" t="s">
        <v>832</v>
      </c>
      <c r="C2400" s="218" t="s">
        <v>1489</v>
      </c>
      <c r="D2400" s="219" t="s">
        <v>1403</v>
      </c>
      <c r="E2400" s="23" t="s">
        <v>44</v>
      </c>
      <c r="F2400" s="93" t="s">
        <v>45</v>
      </c>
      <c r="G2400" s="188" t="s">
        <v>1432</v>
      </c>
      <c r="H2400" s="378"/>
      <c r="I2400" s="188" t="s">
        <v>1433</v>
      </c>
      <c r="J2400" s="380"/>
      <c r="K2400" s="173" t="s">
        <v>233</v>
      </c>
      <c r="L2400" s="173" t="s">
        <v>233</v>
      </c>
      <c r="M2400" s="194">
        <v>4573</v>
      </c>
      <c r="N2400" s="194">
        <v>5573</v>
      </c>
      <c r="O2400" s="194">
        <v>604</v>
      </c>
      <c r="P2400" s="194" t="s">
        <v>252</v>
      </c>
      <c r="Q2400" s="194">
        <v>635</v>
      </c>
      <c r="R2400" s="194" t="s">
        <v>252</v>
      </c>
      <c r="S2400" s="194">
        <v>346</v>
      </c>
      <c r="T2400" s="194" t="s">
        <v>252</v>
      </c>
      <c r="U2400" s="194">
        <v>545</v>
      </c>
      <c r="V2400" s="194" t="s">
        <v>252</v>
      </c>
      <c r="W2400" s="194">
        <v>408</v>
      </c>
      <c r="X2400" s="194" t="s">
        <v>252</v>
      </c>
      <c r="Y2400" s="194">
        <v>406</v>
      </c>
      <c r="Z2400" s="194" t="s">
        <v>252</v>
      </c>
      <c r="AA2400" s="194">
        <v>345</v>
      </c>
      <c r="AB2400" s="194" t="s">
        <v>252</v>
      </c>
      <c r="AC2400" s="194">
        <v>448</v>
      </c>
      <c r="AD2400" s="194" t="s">
        <v>252</v>
      </c>
      <c r="AE2400" s="194">
        <v>559</v>
      </c>
      <c r="AF2400" s="194" t="s">
        <v>252</v>
      </c>
      <c r="AG2400" s="194">
        <v>620</v>
      </c>
      <c r="AH2400" s="194" t="s">
        <v>252</v>
      </c>
      <c r="AI2400" s="194">
        <v>695</v>
      </c>
      <c r="AJ2400" s="194" t="s">
        <v>252</v>
      </c>
      <c r="AK2400" s="194">
        <v>616</v>
      </c>
      <c r="AL2400" s="194" t="s">
        <v>252</v>
      </c>
      <c r="AM2400" s="194">
        <f t="shared" si="18"/>
        <v>6227</v>
      </c>
    </row>
    <row r="2401" spans="2:39" s="3" customFormat="1" ht="15.75" outlineLevel="1">
      <c r="B2401" s="178" t="s">
        <v>833</v>
      </c>
      <c r="C2401" s="218" t="s">
        <v>1489</v>
      </c>
      <c r="D2401" s="219" t="s">
        <v>1407</v>
      </c>
      <c r="E2401" s="23" t="s">
        <v>44</v>
      </c>
      <c r="F2401" s="93" t="s">
        <v>45</v>
      </c>
      <c r="G2401" s="188" t="s">
        <v>1432</v>
      </c>
      <c r="H2401" s="194">
        <v>28</v>
      </c>
      <c r="I2401" s="188" t="s">
        <v>1433</v>
      </c>
      <c r="J2401" s="220" t="s">
        <v>1460</v>
      </c>
      <c r="K2401" s="173" t="s">
        <v>233</v>
      </c>
      <c r="L2401" s="173" t="s">
        <v>233</v>
      </c>
      <c r="M2401" s="194">
        <v>612</v>
      </c>
      <c r="N2401" s="194">
        <v>366</v>
      </c>
      <c r="O2401" s="194">
        <v>155</v>
      </c>
      <c r="P2401" s="194" t="s">
        <v>259</v>
      </c>
      <c r="Q2401" s="194">
        <v>111</v>
      </c>
      <c r="R2401" s="194" t="s">
        <v>259</v>
      </c>
      <c r="S2401" s="194">
        <v>72</v>
      </c>
      <c r="T2401" s="194" t="s">
        <v>259</v>
      </c>
      <c r="U2401" s="194">
        <v>65</v>
      </c>
      <c r="V2401" s="194" t="s">
        <v>259</v>
      </c>
      <c r="W2401" s="194">
        <v>50</v>
      </c>
      <c r="X2401" s="194" t="s">
        <v>259</v>
      </c>
      <c r="Y2401" s="194">
        <v>46</v>
      </c>
      <c r="Z2401" s="194" t="s">
        <v>259</v>
      </c>
      <c r="AA2401" s="194">
        <v>52</v>
      </c>
      <c r="AB2401" s="194" t="s">
        <v>259</v>
      </c>
      <c r="AC2401" s="194">
        <v>49</v>
      </c>
      <c r="AD2401" s="194" t="s">
        <v>259</v>
      </c>
      <c r="AE2401" s="194">
        <v>41</v>
      </c>
      <c r="AF2401" s="194" t="s">
        <v>259</v>
      </c>
      <c r="AG2401" s="194">
        <v>30</v>
      </c>
      <c r="AH2401" s="194" t="s">
        <v>259</v>
      </c>
      <c r="AI2401" s="194">
        <v>64</v>
      </c>
      <c r="AJ2401" s="194" t="s">
        <v>259</v>
      </c>
      <c r="AK2401" s="194">
        <v>52</v>
      </c>
      <c r="AL2401" s="194" t="s">
        <v>259</v>
      </c>
      <c r="AM2401" s="194">
        <f t="shared" si="18"/>
        <v>787</v>
      </c>
    </row>
    <row r="2402" spans="2:39" s="3" customFormat="1" ht="15.75" outlineLevel="1">
      <c r="B2402" s="178" t="s">
        <v>834</v>
      </c>
      <c r="C2402" s="218" t="s">
        <v>1489</v>
      </c>
      <c r="D2402" s="219" t="s">
        <v>1403</v>
      </c>
      <c r="E2402" s="23" t="s">
        <v>44</v>
      </c>
      <c r="F2402" s="93" t="s">
        <v>45</v>
      </c>
      <c r="G2402" s="188" t="s">
        <v>1432</v>
      </c>
      <c r="H2402" s="376">
        <v>35</v>
      </c>
      <c r="I2402" s="188" t="s">
        <v>1433</v>
      </c>
      <c r="J2402" s="379" t="s">
        <v>1464</v>
      </c>
      <c r="K2402" s="173" t="s">
        <v>233</v>
      </c>
      <c r="L2402" s="173" t="s">
        <v>233</v>
      </c>
      <c r="M2402" s="194">
        <v>1132</v>
      </c>
      <c r="N2402" s="194">
        <v>607</v>
      </c>
      <c r="O2402" s="194">
        <v>253</v>
      </c>
      <c r="P2402" s="194" t="s">
        <v>259</v>
      </c>
      <c r="Q2402" s="194">
        <v>168</v>
      </c>
      <c r="R2402" s="194" t="s">
        <v>259</v>
      </c>
      <c r="S2402" s="194">
        <v>109</v>
      </c>
      <c r="T2402" s="194" t="s">
        <v>259</v>
      </c>
      <c r="U2402" s="194">
        <v>104</v>
      </c>
      <c r="V2402" s="194" t="s">
        <v>259</v>
      </c>
      <c r="W2402" s="194">
        <v>81</v>
      </c>
      <c r="X2402" s="194" t="s">
        <v>259</v>
      </c>
      <c r="Y2402" s="194">
        <v>77</v>
      </c>
      <c r="Z2402" s="194" t="s">
        <v>259</v>
      </c>
      <c r="AA2402" s="194">
        <v>85</v>
      </c>
      <c r="AB2402" s="194" t="s">
        <v>259</v>
      </c>
      <c r="AC2402" s="194">
        <v>128</v>
      </c>
      <c r="AD2402" s="194" t="s">
        <v>259</v>
      </c>
      <c r="AE2402" s="194">
        <v>106</v>
      </c>
      <c r="AF2402" s="194" t="s">
        <v>259</v>
      </c>
      <c r="AG2402" s="194">
        <v>76</v>
      </c>
      <c r="AH2402" s="194" t="s">
        <v>259</v>
      </c>
      <c r="AI2402" s="194">
        <v>165</v>
      </c>
      <c r="AJ2402" s="194" t="s">
        <v>259</v>
      </c>
      <c r="AK2402" s="194">
        <v>135</v>
      </c>
      <c r="AL2402" s="194" t="s">
        <v>259</v>
      </c>
      <c r="AM2402" s="194">
        <f t="shared" si="18"/>
        <v>1487</v>
      </c>
    </row>
    <row r="2403" spans="2:39" s="3" customFormat="1" ht="15.75" outlineLevel="1">
      <c r="B2403" s="178" t="s">
        <v>835</v>
      </c>
      <c r="C2403" s="218" t="s">
        <v>1489</v>
      </c>
      <c r="D2403" s="219" t="s">
        <v>1403</v>
      </c>
      <c r="E2403" s="23" t="s">
        <v>44</v>
      </c>
      <c r="F2403" s="93" t="s">
        <v>45</v>
      </c>
      <c r="G2403" s="188" t="s">
        <v>1432</v>
      </c>
      <c r="H2403" s="378"/>
      <c r="I2403" s="188" t="s">
        <v>1433</v>
      </c>
      <c r="J2403" s="380"/>
      <c r="K2403" s="173" t="s">
        <v>233</v>
      </c>
      <c r="L2403" s="173" t="s">
        <v>233</v>
      </c>
      <c r="M2403" s="194"/>
      <c r="N2403" s="194"/>
      <c r="O2403" s="194"/>
      <c r="P2403" s="194" t="s">
        <v>259</v>
      </c>
      <c r="Q2403" s="194"/>
      <c r="R2403" s="194" t="s">
        <v>259</v>
      </c>
      <c r="S2403" s="194"/>
      <c r="T2403" s="194" t="s">
        <v>259</v>
      </c>
      <c r="U2403" s="194"/>
      <c r="V2403" s="194" t="s">
        <v>259</v>
      </c>
      <c r="W2403" s="194"/>
      <c r="X2403" s="194" t="s">
        <v>259</v>
      </c>
      <c r="Y2403" s="194"/>
      <c r="Z2403" s="194" t="s">
        <v>259</v>
      </c>
      <c r="AA2403" s="194"/>
      <c r="AB2403" s="194" t="s">
        <v>259</v>
      </c>
      <c r="AC2403" s="194"/>
      <c r="AD2403" s="194" t="s">
        <v>259</v>
      </c>
      <c r="AE2403" s="194"/>
      <c r="AF2403" s="194" t="s">
        <v>259</v>
      </c>
      <c r="AG2403" s="194"/>
      <c r="AH2403" s="194" t="s">
        <v>259</v>
      </c>
      <c r="AI2403" s="194"/>
      <c r="AJ2403" s="194" t="s">
        <v>259</v>
      </c>
      <c r="AK2403" s="194"/>
      <c r="AL2403" s="194" t="s">
        <v>259</v>
      </c>
      <c r="AM2403" s="194">
        <f t="shared" si="18"/>
        <v>0</v>
      </c>
    </row>
    <row r="2404" spans="2:39" s="3" customFormat="1" ht="15.75" outlineLevel="1">
      <c r="B2404" s="178" t="s">
        <v>836</v>
      </c>
      <c r="C2404" s="218" t="s">
        <v>1489</v>
      </c>
      <c r="D2404" s="219" t="s">
        <v>1403</v>
      </c>
      <c r="E2404" s="221" t="s">
        <v>138</v>
      </c>
      <c r="F2404" s="93" t="s">
        <v>45</v>
      </c>
      <c r="G2404" s="393" t="s">
        <v>1432</v>
      </c>
      <c r="H2404" s="376">
        <v>28</v>
      </c>
      <c r="I2404" s="188" t="s">
        <v>1433</v>
      </c>
      <c r="J2404" s="379" t="s">
        <v>559</v>
      </c>
      <c r="K2404" s="173" t="s">
        <v>233</v>
      </c>
      <c r="L2404" s="173" t="s">
        <v>233</v>
      </c>
      <c r="M2404" s="194">
        <v>8900</v>
      </c>
      <c r="N2404" s="194">
        <v>9567</v>
      </c>
      <c r="O2404" s="194">
        <v>42</v>
      </c>
      <c r="P2404" s="194" t="s">
        <v>252</v>
      </c>
      <c r="Q2404" s="194">
        <v>57</v>
      </c>
      <c r="R2404" s="194" t="s">
        <v>252</v>
      </c>
      <c r="S2404" s="194">
        <v>44</v>
      </c>
      <c r="T2404" s="194" t="s">
        <v>252</v>
      </c>
      <c r="U2404" s="194">
        <v>31</v>
      </c>
      <c r="V2404" s="194" t="s">
        <v>252</v>
      </c>
      <c r="W2404" s="194">
        <v>38</v>
      </c>
      <c r="X2404" s="194" t="s">
        <v>252</v>
      </c>
      <c r="Y2404" s="194">
        <v>47</v>
      </c>
      <c r="Z2404" s="194" t="s">
        <v>252</v>
      </c>
      <c r="AA2404" s="194">
        <v>41</v>
      </c>
      <c r="AB2404" s="194" t="s">
        <v>252</v>
      </c>
      <c r="AC2404" s="194">
        <v>41</v>
      </c>
      <c r="AD2404" s="194" t="s">
        <v>252</v>
      </c>
      <c r="AE2404" s="194">
        <v>45</v>
      </c>
      <c r="AF2404" s="194" t="s">
        <v>252</v>
      </c>
      <c r="AG2404" s="194">
        <v>28</v>
      </c>
      <c r="AH2404" s="194" t="s">
        <v>252</v>
      </c>
      <c r="AI2404" s="194">
        <v>53</v>
      </c>
      <c r="AJ2404" s="194" t="s">
        <v>252</v>
      </c>
      <c r="AK2404" s="194">
        <v>39</v>
      </c>
      <c r="AL2404" s="194" t="s">
        <v>252</v>
      </c>
      <c r="AM2404" s="194">
        <f t="shared" si="18"/>
        <v>506</v>
      </c>
    </row>
    <row r="2405" spans="2:39" s="3" customFormat="1" ht="15.75" outlineLevel="1">
      <c r="B2405" s="178" t="s">
        <v>836</v>
      </c>
      <c r="C2405" s="218" t="s">
        <v>1489</v>
      </c>
      <c r="D2405" s="219" t="s">
        <v>1403</v>
      </c>
      <c r="E2405" s="23" t="s">
        <v>44</v>
      </c>
      <c r="F2405" s="93" t="s">
        <v>45</v>
      </c>
      <c r="G2405" s="394"/>
      <c r="H2405" s="378"/>
      <c r="I2405" s="188" t="s">
        <v>1433</v>
      </c>
      <c r="J2405" s="380"/>
      <c r="K2405" s="173" t="s">
        <v>233</v>
      </c>
      <c r="L2405" s="173" t="s">
        <v>233</v>
      </c>
      <c r="M2405" s="194">
        <v>1127</v>
      </c>
      <c r="N2405" s="194">
        <v>1599</v>
      </c>
      <c r="O2405" s="194">
        <v>717</v>
      </c>
      <c r="P2405" s="194" t="s">
        <v>252</v>
      </c>
      <c r="Q2405" s="194">
        <v>805</v>
      </c>
      <c r="R2405" s="194" t="s">
        <v>252</v>
      </c>
      <c r="S2405" s="194">
        <v>620</v>
      </c>
      <c r="T2405" s="194" t="s">
        <v>252</v>
      </c>
      <c r="U2405" s="194">
        <v>633</v>
      </c>
      <c r="V2405" s="194" t="s">
        <v>252</v>
      </c>
      <c r="W2405" s="194">
        <v>594</v>
      </c>
      <c r="X2405" s="194" t="s">
        <v>252</v>
      </c>
      <c r="Y2405" s="194">
        <v>693</v>
      </c>
      <c r="Z2405" s="194" t="s">
        <v>252</v>
      </c>
      <c r="AA2405" s="194">
        <v>524</v>
      </c>
      <c r="AB2405" s="194" t="s">
        <v>252</v>
      </c>
      <c r="AC2405" s="194">
        <v>630</v>
      </c>
      <c r="AD2405" s="194" t="s">
        <v>252</v>
      </c>
      <c r="AE2405" s="194">
        <v>868</v>
      </c>
      <c r="AF2405" s="194" t="s">
        <v>252</v>
      </c>
      <c r="AG2405" s="194">
        <v>561</v>
      </c>
      <c r="AH2405" s="194" t="s">
        <v>252</v>
      </c>
      <c r="AI2405" s="194">
        <v>1027</v>
      </c>
      <c r="AJ2405" s="194" t="s">
        <v>252</v>
      </c>
      <c r="AK2405" s="194">
        <v>899</v>
      </c>
      <c r="AL2405" s="194" t="s">
        <v>252</v>
      </c>
      <c r="AM2405" s="194">
        <f t="shared" si="18"/>
        <v>8571</v>
      </c>
    </row>
    <row r="2406" spans="2:39" s="3" customFormat="1" ht="15.75" outlineLevel="1">
      <c r="B2406" s="178" t="s">
        <v>837</v>
      </c>
      <c r="C2406" s="218" t="s">
        <v>1489</v>
      </c>
      <c r="D2406" s="219" t="s">
        <v>1403</v>
      </c>
      <c r="E2406" s="23" t="s">
        <v>44</v>
      </c>
      <c r="F2406" s="93" t="s">
        <v>45</v>
      </c>
      <c r="G2406" s="188" t="s">
        <v>1432</v>
      </c>
      <c r="H2406" s="194">
        <v>34</v>
      </c>
      <c r="I2406" s="188" t="s">
        <v>1433</v>
      </c>
      <c r="J2406" s="220" t="s">
        <v>1446</v>
      </c>
      <c r="K2406" s="173" t="s">
        <v>233</v>
      </c>
      <c r="L2406" s="173" t="s">
        <v>233</v>
      </c>
      <c r="M2406" s="194">
        <v>5769</v>
      </c>
      <c r="N2406" s="194">
        <v>4898</v>
      </c>
      <c r="O2406" s="194">
        <v>465</v>
      </c>
      <c r="P2406" s="194" t="s">
        <v>252</v>
      </c>
      <c r="Q2406" s="194">
        <v>466</v>
      </c>
      <c r="R2406" s="194" t="s">
        <v>252</v>
      </c>
      <c r="S2406" s="194">
        <v>335</v>
      </c>
      <c r="T2406" s="194" t="s">
        <v>252</v>
      </c>
      <c r="U2406" s="194">
        <v>331</v>
      </c>
      <c r="V2406" s="194" t="s">
        <v>252</v>
      </c>
      <c r="W2406" s="194">
        <v>250</v>
      </c>
      <c r="X2406" s="194" t="s">
        <v>252</v>
      </c>
      <c r="Y2406" s="194">
        <v>223</v>
      </c>
      <c r="Z2406" s="194" t="s">
        <v>252</v>
      </c>
      <c r="AA2406" s="194">
        <v>164</v>
      </c>
      <c r="AB2406" s="194" t="s">
        <v>252</v>
      </c>
      <c r="AC2406" s="194">
        <v>214</v>
      </c>
      <c r="AD2406" s="194" t="s">
        <v>252</v>
      </c>
      <c r="AE2406" s="194">
        <v>327</v>
      </c>
      <c r="AF2406" s="194" t="s">
        <v>252</v>
      </c>
      <c r="AG2406" s="194">
        <v>233</v>
      </c>
      <c r="AH2406" s="194" t="s">
        <v>252</v>
      </c>
      <c r="AI2406" s="194">
        <v>502</v>
      </c>
      <c r="AJ2406" s="194" t="s">
        <v>252</v>
      </c>
      <c r="AK2406" s="194">
        <v>400</v>
      </c>
      <c r="AL2406" s="194" t="s">
        <v>252</v>
      </c>
      <c r="AM2406" s="194">
        <f t="shared" si="18"/>
        <v>3910</v>
      </c>
    </row>
    <row r="2407" spans="2:39" s="3" customFormat="1" ht="15.75" outlineLevel="1">
      <c r="B2407" s="178" t="s">
        <v>838</v>
      </c>
      <c r="C2407" s="218" t="s">
        <v>1489</v>
      </c>
      <c r="D2407" s="219" t="s">
        <v>1403</v>
      </c>
      <c r="E2407" s="23" t="s">
        <v>44</v>
      </c>
      <c r="F2407" s="93" t="s">
        <v>45</v>
      </c>
      <c r="G2407" s="188" t="s">
        <v>1432</v>
      </c>
      <c r="H2407" s="194">
        <v>41</v>
      </c>
      <c r="I2407" s="188" t="s">
        <v>1433</v>
      </c>
      <c r="J2407" s="220" t="s">
        <v>205</v>
      </c>
      <c r="K2407" s="173" t="s">
        <v>233</v>
      </c>
      <c r="L2407" s="173" t="s">
        <v>233</v>
      </c>
      <c r="M2407" s="194">
        <v>4880</v>
      </c>
      <c r="N2407" s="194">
        <v>4213</v>
      </c>
      <c r="O2407" s="194">
        <v>319</v>
      </c>
      <c r="P2407" s="194" t="s">
        <v>252</v>
      </c>
      <c r="Q2407" s="194">
        <v>383</v>
      </c>
      <c r="R2407" s="194" t="s">
        <v>252</v>
      </c>
      <c r="S2407" s="194">
        <v>287</v>
      </c>
      <c r="T2407" s="194" t="s">
        <v>252</v>
      </c>
      <c r="U2407" s="194">
        <v>300</v>
      </c>
      <c r="V2407" s="194" t="s">
        <v>252</v>
      </c>
      <c r="W2407" s="194">
        <v>287</v>
      </c>
      <c r="X2407" s="194" t="s">
        <v>252</v>
      </c>
      <c r="Y2407" s="194">
        <v>318</v>
      </c>
      <c r="Z2407" s="194" t="s">
        <v>252</v>
      </c>
      <c r="AA2407" s="194">
        <v>214</v>
      </c>
      <c r="AB2407" s="194" t="s">
        <v>252</v>
      </c>
      <c r="AC2407" s="194">
        <v>272</v>
      </c>
      <c r="AD2407" s="194" t="s">
        <v>252</v>
      </c>
      <c r="AE2407" s="194">
        <v>331</v>
      </c>
      <c r="AF2407" s="194" t="s">
        <v>252</v>
      </c>
      <c r="AG2407" s="194">
        <v>204</v>
      </c>
      <c r="AH2407" s="194" t="s">
        <v>252</v>
      </c>
      <c r="AI2407" s="194">
        <v>381</v>
      </c>
      <c r="AJ2407" s="194" t="s">
        <v>252</v>
      </c>
      <c r="AK2407" s="194">
        <v>295</v>
      </c>
      <c r="AL2407" s="194" t="s">
        <v>252</v>
      </c>
      <c r="AM2407" s="194">
        <f t="shared" si="18"/>
        <v>3591</v>
      </c>
    </row>
    <row r="2408" spans="2:39" s="3" customFormat="1" ht="15.75" outlineLevel="1">
      <c r="B2408" s="178" t="s">
        <v>839</v>
      </c>
      <c r="C2408" s="218" t="s">
        <v>1489</v>
      </c>
      <c r="D2408" s="219" t="s">
        <v>1403</v>
      </c>
      <c r="E2408" s="23" t="s">
        <v>44</v>
      </c>
      <c r="F2408" s="93" t="s">
        <v>45</v>
      </c>
      <c r="G2408" s="188" t="s">
        <v>1432</v>
      </c>
      <c r="H2408" s="194">
        <v>52</v>
      </c>
      <c r="I2408" s="188" t="s">
        <v>1433</v>
      </c>
      <c r="J2408" s="220" t="s">
        <v>1464</v>
      </c>
      <c r="K2408" s="173" t="s">
        <v>233</v>
      </c>
      <c r="L2408" s="173" t="s">
        <v>233</v>
      </c>
      <c r="M2408" s="194">
        <v>12233</v>
      </c>
      <c r="N2408" s="194">
        <v>10334</v>
      </c>
      <c r="O2408" s="194">
        <v>440</v>
      </c>
      <c r="P2408" s="194" t="s">
        <v>252</v>
      </c>
      <c r="Q2408" s="194">
        <v>237</v>
      </c>
      <c r="R2408" s="194" t="s">
        <v>252</v>
      </c>
      <c r="S2408" s="194">
        <v>155</v>
      </c>
      <c r="T2408" s="194" t="s">
        <v>252</v>
      </c>
      <c r="U2408" s="194">
        <v>190</v>
      </c>
      <c r="V2408" s="194" t="s">
        <v>252</v>
      </c>
      <c r="W2408" s="194">
        <v>256</v>
      </c>
      <c r="X2408" s="194" t="s">
        <v>252</v>
      </c>
      <c r="Y2408" s="194">
        <v>241</v>
      </c>
      <c r="Z2408" s="194" t="s">
        <v>252</v>
      </c>
      <c r="AA2408" s="194">
        <v>171</v>
      </c>
      <c r="AB2408" s="194" t="s">
        <v>252</v>
      </c>
      <c r="AC2408" s="194">
        <v>230</v>
      </c>
      <c r="AD2408" s="194" t="s">
        <v>252</v>
      </c>
      <c r="AE2408" s="194">
        <v>331</v>
      </c>
      <c r="AF2408" s="194" t="s">
        <v>252</v>
      </c>
      <c r="AG2408" s="194">
        <v>211</v>
      </c>
      <c r="AH2408" s="194" t="s">
        <v>252</v>
      </c>
      <c r="AI2408" s="194">
        <v>568</v>
      </c>
      <c r="AJ2408" s="194" t="s">
        <v>252</v>
      </c>
      <c r="AK2408" s="194">
        <v>377</v>
      </c>
      <c r="AL2408" s="194" t="s">
        <v>252</v>
      </c>
      <c r="AM2408" s="194">
        <f t="shared" si="18"/>
        <v>3407</v>
      </c>
    </row>
    <row r="2409" spans="2:39" s="3" customFormat="1" ht="15.75" outlineLevel="1">
      <c r="B2409" s="178" t="s">
        <v>840</v>
      </c>
      <c r="C2409" s="218" t="s">
        <v>1489</v>
      </c>
      <c r="D2409" s="219" t="s">
        <v>1408</v>
      </c>
      <c r="E2409" s="23" t="s">
        <v>44</v>
      </c>
      <c r="F2409" s="222" t="s">
        <v>45</v>
      </c>
      <c r="G2409" s="188" t="s">
        <v>1432</v>
      </c>
      <c r="H2409" s="194">
        <v>74</v>
      </c>
      <c r="I2409" s="188" t="s">
        <v>1433</v>
      </c>
      <c r="J2409" s="220" t="s">
        <v>230</v>
      </c>
      <c r="K2409" s="173" t="s">
        <v>233</v>
      </c>
      <c r="L2409" s="173" t="s">
        <v>233</v>
      </c>
      <c r="M2409" s="194">
        <v>8230</v>
      </c>
      <c r="N2409" s="194">
        <v>9106</v>
      </c>
      <c r="O2409" s="194">
        <v>1119</v>
      </c>
      <c r="P2409" s="194" t="s">
        <v>252</v>
      </c>
      <c r="Q2409" s="194">
        <v>346</v>
      </c>
      <c r="R2409" s="194" t="s">
        <v>252</v>
      </c>
      <c r="S2409" s="194">
        <v>723</v>
      </c>
      <c r="T2409" s="194" t="s">
        <v>252</v>
      </c>
      <c r="U2409" s="194">
        <v>959</v>
      </c>
      <c r="V2409" s="194" t="s">
        <v>252</v>
      </c>
      <c r="W2409" s="194">
        <v>671</v>
      </c>
      <c r="X2409" s="194" t="s">
        <v>252</v>
      </c>
      <c r="Y2409" s="194">
        <v>451</v>
      </c>
      <c r="Z2409" s="194" t="s">
        <v>252</v>
      </c>
      <c r="AA2409" s="194">
        <v>572</v>
      </c>
      <c r="AB2409" s="194" t="s">
        <v>252</v>
      </c>
      <c r="AC2409" s="194">
        <v>653</v>
      </c>
      <c r="AD2409" s="194" t="s">
        <v>252</v>
      </c>
      <c r="AE2409" s="194">
        <v>840</v>
      </c>
      <c r="AF2409" s="194" t="s">
        <v>252</v>
      </c>
      <c r="AG2409" s="194">
        <v>924</v>
      </c>
      <c r="AH2409" s="194" t="s">
        <v>252</v>
      </c>
      <c r="AI2409" s="194">
        <v>976</v>
      </c>
      <c r="AJ2409" s="194" t="s">
        <v>252</v>
      </c>
      <c r="AK2409" s="194">
        <v>923</v>
      </c>
      <c r="AL2409" s="194" t="s">
        <v>252</v>
      </c>
      <c r="AM2409" s="194">
        <f t="shared" si="18"/>
        <v>9157</v>
      </c>
    </row>
    <row r="2410" spans="2:39" s="3" customFormat="1" ht="15.75" outlineLevel="1">
      <c r="B2410" s="178" t="s">
        <v>842</v>
      </c>
      <c r="C2410" s="218" t="s">
        <v>1489</v>
      </c>
      <c r="D2410" s="219" t="s">
        <v>1403</v>
      </c>
      <c r="E2410" s="23" t="s">
        <v>44</v>
      </c>
      <c r="F2410" s="222" t="s">
        <v>45</v>
      </c>
      <c r="G2410" s="188" t="s">
        <v>1432</v>
      </c>
      <c r="H2410" s="376">
        <v>38</v>
      </c>
      <c r="I2410" s="188" t="s">
        <v>1433</v>
      </c>
      <c r="J2410" s="379" t="s">
        <v>1437</v>
      </c>
      <c r="K2410" s="173" t="s">
        <v>233</v>
      </c>
      <c r="L2410" s="173" t="s">
        <v>233</v>
      </c>
      <c r="M2410" s="194">
        <v>3894</v>
      </c>
      <c r="N2410" s="194">
        <v>4073</v>
      </c>
      <c r="O2410" s="194">
        <v>426</v>
      </c>
      <c r="P2410" s="194" t="s">
        <v>252</v>
      </c>
      <c r="Q2410" s="194">
        <v>328</v>
      </c>
      <c r="R2410" s="194" t="s">
        <v>252</v>
      </c>
      <c r="S2410" s="194">
        <v>243</v>
      </c>
      <c r="T2410" s="194" t="s">
        <v>252</v>
      </c>
      <c r="U2410" s="194">
        <v>279</v>
      </c>
      <c r="V2410" s="194" t="s">
        <v>252</v>
      </c>
      <c r="W2410" s="194">
        <v>256</v>
      </c>
      <c r="X2410" s="194" t="s">
        <v>252</v>
      </c>
      <c r="Y2410" s="194">
        <v>271</v>
      </c>
      <c r="Z2410" s="194" t="s">
        <v>252</v>
      </c>
      <c r="AA2410" s="194">
        <v>239</v>
      </c>
      <c r="AB2410" s="194" t="s">
        <v>252</v>
      </c>
      <c r="AC2410" s="194">
        <v>264</v>
      </c>
      <c r="AD2410" s="194" t="s">
        <v>252</v>
      </c>
      <c r="AE2410" s="194">
        <v>261</v>
      </c>
      <c r="AF2410" s="194" t="s">
        <v>252</v>
      </c>
      <c r="AG2410" s="194">
        <v>340</v>
      </c>
      <c r="AH2410" s="194" t="s">
        <v>252</v>
      </c>
      <c r="AI2410" s="194">
        <v>397</v>
      </c>
      <c r="AJ2410" s="194" t="s">
        <v>252</v>
      </c>
      <c r="AK2410" s="194">
        <v>500</v>
      </c>
      <c r="AL2410" s="194" t="s">
        <v>252</v>
      </c>
      <c r="AM2410" s="194">
        <f t="shared" si="18"/>
        <v>3804</v>
      </c>
    </row>
    <row r="2411" spans="2:39" s="3" customFormat="1" ht="15.75" outlineLevel="1">
      <c r="B2411" s="178" t="s">
        <v>843</v>
      </c>
      <c r="C2411" s="218" t="s">
        <v>1489</v>
      </c>
      <c r="D2411" s="219" t="s">
        <v>1403</v>
      </c>
      <c r="E2411" s="23" t="s">
        <v>44</v>
      </c>
      <c r="F2411" s="93" t="s">
        <v>45</v>
      </c>
      <c r="G2411" s="188" t="s">
        <v>1432</v>
      </c>
      <c r="H2411" s="378"/>
      <c r="I2411" s="188" t="s">
        <v>1433</v>
      </c>
      <c r="J2411" s="380"/>
      <c r="K2411" s="173" t="s">
        <v>233</v>
      </c>
      <c r="L2411" s="173" t="s">
        <v>233</v>
      </c>
      <c r="M2411" s="194"/>
      <c r="N2411" s="194"/>
      <c r="O2411" s="194"/>
      <c r="P2411" s="194" t="s">
        <v>252</v>
      </c>
      <c r="Q2411" s="194"/>
      <c r="R2411" s="194" t="s">
        <v>252</v>
      </c>
      <c r="S2411" s="194"/>
      <c r="T2411" s="194" t="s">
        <v>252</v>
      </c>
      <c r="U2411" s="194"/>
      <c r="V2411" s="194" t="s">
        <v>252</v>
      </c>
      <c r="W2411" s="194"/>
      <c r="X2411" s="194" t="s">
        <v>252</v>
      </c>
      <c r="Y2411" s="194"/>
      <c r="Z2411" s="194" t="s">
        <v>252</v>
      </c>
      <c r="AA2411" s="194"/>
      <c r="AB2411" s="194" t="s">
        <v>252</v>
      </c>
      <c r="AC2411" s="194"/>
      <c r="AD2411" s="194" t="s">
        <v>252</v>
      </c>
      <c r="AE2411" s="194"/>
      <c r="AF2411" s="194" t="s">
        <v>252</v>
      </c>
      <c r="AG2411" s="194"/>
      <c r="AH2411" s="194" t="s">
        <v>252</v>
      </c>
      <c r="AI2411" s="194"/>
      <c r="AJ2411" s="194" t="s">
        <v>252</v>
      </c>
      <c r="AK2411" s="194"/>
      <c r="AL2411" s="194" t="s">
        <v>252</v>
      </c>
      <c r="AM2411" s="194">
        <f t="shared" si="18"/>
        <v>0</v>
      </c>
    </row>
    <row r="2412" spans="2:39" s="3" customFormat="1" ht="15.75" outlineLevel="1">
      <c r="B2412" s="178" t="s">
        <v>844</v>
      </c>
      <c r="C2412" s="218" t="s">
        <v>1489</v>
      </c>
      <c r="D2412" s="219" t="s">
        <v>1403</v>
      </c>
      <c r="E2412" s="23" t="s">
        <v>44</v>
      </c>
      <c r="F2412" s="93" t="s">
        <v>45</v>
      </c>
      <c r="G2412" s="188" t="s">
        <v>1432</v>
      </c>
      <c r="H2412" s="194">
        <v>92</v>
      </c>
      <c r="I2412" s="188" t="s">
        <v>1433</v>
      </c>
      <c r="J2412" s="220" t="s">
        <v>1465</v>
      </c>
      <c r="K2412" s="173" t="s">
        <v>233</v>
      </c>
      <c r="L2412" s="173" t="s">
        <v>233</v>
      </c>
      <c r="M2412" s="194">
        <v>4838</v>
      </c>
      <c r="N2412" s="194">
        <v>4926</v>
      </c>
      <c r="O2412" s="194">
        <v>355</v>
      </c>
      <c r="P2412" s="194" t="s">
        <v>252</v>
      </c>
      <c r="Q2412" s="194">
        <v>371</v>
      </c>
      <c r="R2412" s="194" t="s">
        <v>252</v>
      </c>
      <c r="S2412" s="194">
        <v>261</v>
      </c>
      <c r="T2412" s="194" t="s">
        <v>252</v>
      </c>
      <c r="U2412" s="194">
        <v>340</v>
      </c>
      <c r="V2412" s="194" t="s">
        <v>252</v>
      </c>
      <c r="W2412" s="194">
        <v>267</v>
      </c>
      <c r="X2412" s="194" t="s">
        <v>252</v>
      </c>
      <c r="Y2412" s="194">
        <v>213</v>
      </c>
      <c r="Z2412" s="194" t="s">
        <v>252</v>
      </c>
      <c r="AA2412" s="194">
        <v>170</v>
      </c>
      <c r="AB2412" s="194" t="s">
        <v>252</v>
      </c>
      <c r="AC2412" s="194">
        <v>287</v>
      </c>
      <c r="AD2412" s="194" t="s">
        <v>252</v>
      </c>
      <c r="AE2412" s="194">
        <v>320</v>
      </c>
      <c r="AF2412" s="194" t="s">
        <v>252</v>
      </c>
      <c r="AG2412" s="194">
        <v>395</v>
      </c>
      <c r="AH2412" s="194" t="s">
        <v>252</v>
      </c>
      <c r="AI2412" s="194">
        <v>339</v>
      </c>
      <c r="AJ2412" s="194" t="s">
        <v>252</v>
      </c>
      <c r="AK2412" s="194">
        <v>422</v>
      </c>
      <c r="AL2412" s="194" t="s">
        <v>252</v>
      </c>
      <c r="AM2412" s="194">
        <f t="shared" si="18"/>
        <v>3740</v>
      </c>
    </row>
    <row r="2413" spans="2:39" s="3" customFormat="1" ht="15.75" outlineLevel="1">
      <c r="B2413" s="178" t="s">
        <v>845</v>
      </c>
      <c r="C2413" s="218" t="s">
        <v>1489</v>
      </c>
      <c r="D2413" s="219" t="s">
        <v>1403</v>
      </c>
      <c r="E2413" s="23" t="s">
        <v>44</v>
      </c>
      <c r="F2413" s="93" t="s">
        <v>45</v>
      </c>
      <c r="G2413" s="188" t="s">
        <v>1432</v>
      </c>
      <c r="H2413" s="194">
        <v>54</v>
      </c>
      <c r="I2413" s="188" t="s">
        <v>1433</v>
      </c>
      <c r="J2413" s="220" t="s">
        <v>1446</v>
      </c>
      <c r="K2413" s="173" t="s">
        <v>233</v>
      </c>
      <c r="L2413" s="173" t="s">
        <v>233</v>
      </c>
      <c r="M2413" s="194">
        <v>7814</v>
      </c>
      <c r="N2413" s="194">
        <v>9166</v>
      </c>
      <c r="O2413" s="194">
        <v>899</v>
      </c>
      <c r="P2413" s="194" t="s">
        <v>252</v>
      </c>
      <c r="Q2413" s="194">
        <v>774</v>
      </c>
      <c r="R2413" s="194" t="s">
        <v>252</v>
      </c>
      <c r="S2413" s="194">
        <v>300</v>
      </c>
      <c r="T2413" s="194" t="s">
        <v>252</v>
      </c>
      <c r="U2413" s="194">
        <v>432</v>
      </c>
      <c r="V2413" s="194" t="s">
        <v>252</v>
      </c>
      <c r="W2413" s="194">
        <v>293</v>
      </c>
      <c r="X2413" s="194" t="s">
        <v>252</v>
      </c>
      <c r="Y2413" s="194">
        <v>217</v>
      </c>
      <c r="Z2413" s="194" t="s">
        <v>252</v>
      </c>
      <c r="AA2413" s="194">
        <v>249</v>
      </c>
      <c r="AB2413" s="194" t="s">
        <v>252</v>
      </c>
      <c r="AC2413" s="194">
        <v>216</v>
      </c>
      <c r="AD2413" s="194" t="s">
        <v>252</v>
      </c>
      <c r="AE2413" s="194">
        <v>354</v>
      </c>
      <c r="AF2413" s="194" t="s">
        <v>252</v>
      </c>
      <c r="AG2413" s="194">
        <v>391</v>
      </c>
      <c r="AH2413" s="194" t="s">
        <v>252</v>
      </c>
      <c r="AI2413" s="194">
        <v>448</v>
      </c>
      <c r="AJ2413" s="194" t="s">
        <v>252</v>
      </c>
      <c r="AK2413" s="194">
        <v>595</v>
      </c>
      <c r="AL2413" s="194" t="s">
        <v>252</v>
      </c>
      <c r="AM2413" s="194">
        <f t="shared" si="18"/>
        <v>5168</v>
      </c>
    </row>
    <row r="2414" spans="2:39" s="3" customFormat="1" ht="15.75" outlineLevel="1">
      <c r="B2414" s="178" t="s">
        <v>847</v>
      </c>
      <c r="C2414" s="218" t="s">
        <v>1489</v>
      </c>
      <c r="D2414" s="219" t="s">
        <v>1403</v>
      </c>
      <c r="E2414" s="23" t="s">
        <v>44</v>
      </c>
      <c r="F2414" s="93" t="s">
        <v>45</v>
      </c>
      <c r="G2414" s="188" t="s">
        <v>1432</v>
      </c>
      <c r="H2414" s="194">
        <v>59</v>
      </c>
      <c r="I2414" s="188" t="s">
        <v>1433</v>
      </c>
      <c r="J2414" s="220" t="s">
        <v>1464</v>
      </c>
      <c r="K2414" s="173" t="s">
        <v>233</v>
      </c>
      <c r="L2414" s="173" t="s">
        <v>233</v>
      </c>
      <c r="M2414" s="194">
        <v>1526</v>
      </c>
      <c r="N2414" s="194">
        <v>1521</v>
      </c>
      <c r="O2414" s="194">
        <v>116</v>
      </c>
      <c r="P2414" s="194" t="s">
        <v>252</v>
      </c>
      <c r="Q2414" s="194">
        <v>85</v>
      </c>
      <c r="R2414" s="194" t="s">
        <v>252</v>
      </c>
      <c r="S2414" s="194">
        <v>46</v>
      </c>
      <c r="T2414" s="194" t="s">
        <v>252</v>
      </c>
      <c r="U2414" s="194">
        <v>78</v>
      </c>
      <c r="V2414" s="194" t="s">
        <v>252</v>
      </c>
      <c r="W2414" s="194">
        <v>74</v>
      </c>
      <c r="X2414" s="194" t="s">
        <v>252</v>
      </c>
      <c r="Y2414" s="194">
        <v>83</v>
      </c>
      <c r="Z2414" s="194" t="s">
        <v>252</v>
      </c>
      <c r="AA2414" s="194">
        <v>78</v>
      </c>
      <c r="AB2414" s="194" t="s">
        <v>252</v>
      </c>
      <c r="AC2414" s="194">
        <v>85</v>
      </c>
      <c r="AD2414" s="194" t="s">
        <v>252</v>
      </c>
      <c r="AE2414" s="194">
        <v>109</v>
      </c>
      <c r="AF2414" s="194" t="s">
        <v>252</v>
      </c>
      <c r="AG2414" s="194">
        <v>113</v>
      </c>
      <c r="AH2414" s="194" t="s">
        <v>252</v>
      </c>
      <c r="AI2414" s="194">
        <v>145</v>
      </c>
      <c r="AJ2414" s="194" t="s">
        <v>252</v>
      </c>
      <c r="AK2414" s="194">
        <v>182</v>
      </c>
      <c r="AL2414" s="194" t="s">
        <v>252</v>
      </c>
      <c r="AM2414" s="194">
        <f t="shared" si="18"/>
        <v>1194</v>
      </c>
    </row>
    <row r="2415" spans="2:39" s="3" customFormat="1" ht="15.75" outlineLevel="1">
      <c r="B2415" s="178" t="s">
        <v>849</v>
      </c>
      <c r="C2415" s="218" t="s">
        <v>1489</v>
      </c>
      <c r="D2415" s="219" t="s">
        <v>1403</v>
      </c>
      <c r="E2415" s="382" t="s">
        <v>138</v>
      </c>
      <c r="F2415" s="384" t="s">
        <v>45</v>
      </c>
      <c r="G2415" s="188" t="s">
        <v>1432</v>
      </c>
      <c r="H2415" s="376">
        <v>34</v>
      </c>
      <c r="I2415" s="188" t="s">
        <v>1433</v>
      </c>
      <c r="J2415" s="379" t="s">
        <v>196</v>
      </c>
      <c r="K2415" s="173" t="s">
        <v>233</v>
      </c>
      <c r="L2415" s="173" t="s">
        <v>233</v>
      </c>
      <c r="M2415" s="376">
        <v>5560</v>
      </c>
      <c r="N2415" s="376">
        <v>6234</v>
      </c>
      <c r="O2415" s="376">
        <v>894</v>
      </c>
      <c r="P2415" s="376" t="s">
        <v>252</v>
      </c>
      <c r="Q2415" s="376">
        <v>639</v>
      </c>
      <c r="R2415" s="376" t="s">
        <v>252</v>
      </c>
      <c r="S2415" s="376">
        <v>359</v>
      </c>
      <c r="T2415" s="376" t="s">
        <v>252</v>
      </c>
      <c r="U2415" s="376">
        <v>527</v>
      </c>
      <c r="V2415" s="376" t="s">
        <v>252</v>
      </c>
      <c r="W2415" s="376">
        <v>384</v>
      </c>
      <c r="X2415" s="376" t="s">
        <v>252</v>
      </c>
      <c r="Y2415" s="376">
        <v>438</v>
      </c>
      <c r="Z2415" s="376" t="s">
        <v>252</v>
      </c>
      <c r="AA2415" s="376">
        <v>359</v>
      </c>
      <c r="AB2415" s="376" t="s">
        <v>252</v>
      </c>
      <c r="AC2415" s="376">
        <v>441</v>
      </c>
      <c r="AD2415" s="376" t="s">
        <v>252</v>
      </c>
      <c r="AE2415" s="376">
        <v>426</v>
      </c>
      <c r="AF2415" s="376" t="s">
        <v>252</v>
      </c>
      <c r="AG2415" s="376">
        <v>425</v>
      </c>
      <c r="AH2415" s="376" t="s">
        <v>252</v>
      </c>
      <c r="AI2415" s="376">
        <v>530</v>
      </c>
      <c r="AJ2415" s="376" t="s">
        <v>252</v>
      </c>
      <c r="AK2415" s="376">
        <v>587</v>
      </c>
      <c r="AL2415" s="376" t="s">
        <v>252</v>
      </c>
      <c r="AM2415" s="336">
        <f>O2415+Q2415+S2415+U2415+W2415+Y2415+AA2415+AC2415+AE2415+AG2415+AI2415+AK2415</f>
        <v>6009</v>
      </c>
    </row>
    <row r="2416" spans="2:39" s="3" customFormat="1" ht="15.75" outlineLevel="1">
      <c r="B2416" s="178" t="s">
        <v>850</v>
      </c>
      <c r="C2416" s="218" t="s">
        <v>1489</v>
      </c>
      <c r="D2416" s="219" t="s">
        <v>1403</v>
      </c>
      <c r="E2416" s="383"/>
      <c r="F2416" s="385"/>
      <c r="G2416" s="188" t="s">
        <v>1432</v>
      </c>
      <c r="H2416" s="377"/>
      <c r="I2416" s="188" t="s">
        <v>1433</v>
      </c>
      <c r="J2416" s="381"/>
      <c r="K2416" s="173" t="s">
        <v>233</v>
      </c>
      <c r="L2416" s="173" t="s">
        <v>233</v>
      </c>
      <c r="M2416" s="378"/>
      <c r="N2416" s="378"/>
      <c r="O2416" s="378"/>
      <c r="P2416" s="378"/>
      <c r="Q2416" s="378"/>
      <c r="R2416" s="378"/>
      <c r="S2416" s="378"/>
      <c r="T2416" s="378"/>
      <c r="U2416" s="378"/>
      <c r="V2416" s="378"/>
      <c r="W2416" s="378"/>
      <c r="X2416" s="378"/>
      <c r="Y2416" s="378"/>
      <c r="Z2416" s="378"/>
      <c r="AA2416" s="378"/>
      <c r="AB2416" s="378"/>
      <c r="AC2416" s="378"/>
      <c r="AD2416" s="378"/>
      <c r="AE2416" s="378"/>
      <c r="AF2416" s="378"/>
      <c r="AG2416" s="378"/>
      <c r="AH2416" s="378"/>
      <c r="AI2416" s="378"/>
      <c r="AJ2416" s="378"/>
      <c r="AK2416" s="378"/>
      <c r="AL2416" s="378"/>
      <c r="AM2416" s="337"/>
    </row>
    <row r="2417" spans="2:39" s="3" customFormat="1" ht="15.75" outlineLevel="1">
      <c r="B2417" s="178" t="s">
        <v>849</v>
      </c>
      <c r="C2417" s="218" t="s">
        <v>1489</v>
      </c>
      <c r="D2417" s="219" t="s">
        <v>1403</v>
      </c>
      <c r="E2417" s="382" t="s">
        <v>44</v>
      </c>
      <c r="F2417" s="384" t="s">
        <v>45</v>
      </c>
      <c r="G2417" s="188" t="s">
        <v>1432</v>
      </c>
      <c r="H2417" s="377"/>
      <c r="I2417" s="188" t="s">
        <v>1433</v>
      </c>
      <c r="J2417" s="381"/>
      <c r="K2417" s="173" t="s">
        <v>233</v>
      </c>
      <c r="L2417" s="173" t="s">
        <v>233</v>
      </c>
      <c r="M2417" s="376">
        <v>5362</v>
      </c>
      <c r="N2417" s="376">
        <v>5967</v>
      </c>
      <c r="O2417" s="376">
        <v>352</v>
      </c>
      <c r="P2417" s="376" t="s">
        <v>252</v>
      </c>
      <c r="Q2417" s="376">
        <v>490</v>
      </c>
      <c r="R2417" s="376" t="s">
        <v>252</v>
      </c>
      <c r="S2417" s="376">
        <v>547</v>
      </c>
      <c r="T2417" s="376" t="s">
        <v>252</v>
      </c>
      <c r="U2417" s="376">
        <v>570</v>
      </c>
      <c r="V2417" s="376" t="s">
        <v>252</v>
      </c>
      <c r="W2417" s="376">
        <v>389</v>
      </c>
      <c r="X2417" s="376" t="s">
        <v>252</v>
      </c>
      <c r="Y2417" s="376">
        <v>353</v>
      </c>
      <c r="Z2417" s="376" t="s">
        <v>252</v>
      </c>
      <c r="AA2417" s="376">
        <v>316</v>
      </c>
      <c r="AB2417" s="376" t="s">
        <v>252</v>
      </c>
      <c r="AC2417" s="376">
        <v>439</v>
      </c>
      <c r="AD2417" s="376" t="s">
        <v>252</v>
      </c>
      <c r="AE2417" s="376">
        <v>444</v>
      </c>
      <c r="AF2417" s="376" t="s">
        <v>252</v>
      </c>
      <c r="AG2417" s="376">
        <v>630</v>
      </c>
      <c r="AH2417" s="376" t="s">
        <v>252</v>
      </c>
      <c r="AI2417" s="376">
        <v>799</v>
      </c>
      <c r="AJ2417" s="376" t="s">
        <v>252</v>
      </c>
      <c r="AK2417" s="376">
        <v>686</v>
      </c>
      <c r="AL2417" s="376" t="s">
        <v>252</v>
      </c>
      <c r="AM2417" s="336">
        <f>O2417+Q2417+S2417+U2417+W2417+Y2417+AA2417+AC2417+AE2417+AG2417+AI2417+AK2417</f>
        <v>6015</v>
      </c>
    </row>
    <row r="2418" spans="2:39" s="3" customFormat="1" ht="15.75" outlineLevel="1">
      <c r="B2418" s="178" t="s">
        <v>850</v>
      </c>
      <c r="C2418" s="218" t="s">
        <v>1489</v>
      </c>
      <c r="D2418" s="219" t="s">
        <v>1403</v>
      </c>
      <c r="E2418" s="383"/>
      <c r="F2418" s="385"/>
      <c r="G2418" s="188" t="s">
        <v>1432</v>
      </c>
      <c r="H2418" s="378"/>
      <c r="I2418" s="188" t="s">
        <v>1433</v>
      </c>
      <c r="J2418" s="380"/>
      <c r="K2418" s="173" t="s">
        <v>233</v>
      </c>
      <c r="L2418" s="173" t="s">
        <v>233</v>
      </c>
      <c r="M2418" s="378"/>
      <c r="N2418" s="378"/>
      <c r="O2418" s="378"/>
      <c r="P2418" s="378"/>
      <c r="Q2418" s="378"/>
      <c r="R2418" s="378"/>
      <c r="S2418" s="378"/>
      <c r="T2418" s="378"/>
      <c r="U2418" s="378"/>
      <c r="V2418" s="378"/>
      <c r="W2418" s="378"/>
      <c r="X2418" s="378"/>
      <c r="Y2418" s="378"/>
      <c r="Z2418" s="378"/>
      <c r="AA2418" s="378"/>
      <c r="AB2418" s="378"/>
      <c r="AC2418" s="378"/>
      <c r="AD2418" s="378"/>
      <c r="AE2418" s="378"/>
      <c r="AF2418" s="378"/>
      <c r="AG2418" s="378"/>
      <c r="AH2418" s="378"/>
      <c r="AI2418" s="378"/>
      <c r="AJ2418" s="378"/>
      <c r="AK2418" s="378"/>
      <c r="AL2418" s="378"/>
      <c r="AM2418" s="337"/>
    </row>
    <row r="2419" spans="2:39" s="3" customFormat="1" ht="15.75" outlineLevel="1">
      <c r="B2419" s="178" t="s">
        <v>851</v>
      </c>
      <c r="C2419" s="218" t="s">
        <v>1489</v>
      </c>
      <c r="D2419" s="219" t="s">
        <v>1403</v>
      </c>
      <c r="E2419" s="23" t="s">
        <v>44</v>
      </c>
      <c r="F2419" s="93" t="s">
        <v>45</v>
      </c>
      <c r="G2419" s="188" t="s">
        <v>1432</v>
      </c>
      <c r="H2419" s="194">
        <v>28</v>
      </c>
      <c r="I2419" s="188" t="s">
        <v>1433</v>
      </c>
      <c r="J2419" s="220" t="s">
        <v>1460</v>
      </c>
      <c r="K2419" s="173" t="s">
        <v>233</v>
      </c>
      <c r="L2419" s="173" t="s">
        <v>233</v>
      </c>
      <c r="M2419" s="194">
        <v>2921</v>
      </c>
      <c r="N2419" s="194">
        <v>2183</v>
      </c>
      <c r="O2419" s="194">
        <v>162</v>
      </c>
      <c r="P2419" s="194" t="s">
        <v>252</v>
      </c>
      <c r="Q2419" s="194">
        <v>262</v>
      </c>
      <c r="R2419" s="194" t="s">
        <v>252</v>
      </c>
      <c r="S2419" s="194">
        <v>135</v>
      </c>
      <c r="T2419" s="194" t="s">
        <v>252</v>
      </c>
      <c r="U2419" s="194">
        <v>156</v>
      </c>
      <c r="V2419" s="194" t="s">
        <v>252</v>
      </c>
      <c r="W2419" s="194">
        <v>95</v>
      </c>
      <c r="X2419" s="194" t="s">
        <v>252</v>
      </c>
      <c r="Y2419" s="194">
        <v>104</v>
      </c>
      <c r="Z2419" s="194" t="s">
        <v>252</v>
      </c>
      <c r="AA2419" s="194">
        <v>86</v>
      </c>
      <c r="AB2419" s="194" t="s">
        <v>252</v>
      </c>
      <c r="AC2419" s="194">
        <v>170</v>
      </c>
      <c r="AD2419" s="194" t="s">
        <v>252</v>
      </c>
      <c r="AE2419" s="194">
        <v>233</v>
      </c>
      <c r="AF2419" s="194" t="s">
        <v>252</v>
      </c>
      <c r="AG2419" s="194">
        <v>197</v>
      </c>
      <c r="AH2419" s="194" t="s">
        <v>252</v>
      </c>
      <c r="AI2419" s="194">
        <v>307</v>
      </c>
      <c r="AJ2419" s="194" t="s">
        <v>252</v>
      </c>
      <c r="AK2419" s="194">
        <v>293</v>
      </c>
      <c r="AL2419" s="194" t="s">
        <v>252</v>
      </c>
      <c r="AM2419" s="194">
        <f t="shared" ref="AM2419:AM2434" si="19">O2419+Q2419+S2419+U2419+W2419+Y2419+AA2419+AC2419+AE2419+AG2419+AI2419+AK2419</f>
        <v>2200</v>
      </c>
    </row>
    <row r="2420" spans="2:39" s="3" customFormat="1" ht="15.75" outlineLevel="1">
      <c r="B2420" s="178" t="s">
        <v>852</v>
      </c>
      <c r="C2420" s="218" t="s">
        <v>1489</v>
      </c>
      <c r="D2420" s="219" t="s">
        <v>1403</v>
      </c>
      <c r="E2420" s="221" t="s">
        <v>138</v>
      </c>
      <c r="F2420" s="222" t="s">
        <v>45</v>
      </c>
      <c r="G2420" s="188" t="s">
        <v>1432</v>
      </c>
      <c r="H2420" s="376">
        <v>32</v>
      </c>
      <c r="I2420" s="188" t="s">
        <v>1433</v>
      </c>
      <c r="J2420" s="379" t="s">
        <v>216</v>
      </c>
      <c r="K2420" s="173" t="s">
        <v>233</v>
      </c>
      <c r="L2420" s="173" t="s">
        <v>233</v>
      </c>
      <c r="M2420" s="194">
        <v>3240</v>
      </c>
      <c r="N2420" s="194">
        <v>3567</v>
      </c>
      <c r="O2420" s="194">
        <v>233</v>
      </c>
      <c r="P2420" s="194" t="s">
        <v>252</v>
      </c>
      <c r="Q2420" s="194">
        <v>304</v>
      </c>
      <c r="R2420" s="194" t="s">
        <v>252</v>
      </c>
      <c r="S2420" s="194">
        <v>172</v>
      </c>
      <c r="T2420" s="194" t="s">
        <v>252</v>
      </c>
      <c r="U2420" s="194">
        <v>272</v>
      </c>
      <c r="V2420" s="194" t="s">
        <v>252</v>
      </c>
      <c r="W2420" s="194">
        <v>614</v>
      </c>
      <c r="X2420" s="194" t="s">
        <v>252</v>
      </c>
      <c r="Y2420" s="194">
        <v>262</v>
      </c>
      <c r="Z2420" s="194" t="s">
        <v>252</v>
      </c>
      <c r="AA2420" s="194">
        <v>219</v>
      </c>
      <c r="AB2420" s="194" t="s">
        <v>252</v>
      </c>
      <c r="AC2420" s="194">
        <v>246</v>
      </c>
      <c r="AD2420" s="194" t="s">
        <v>252</v>
      </c>
      <c r="AE2420" s="194">
        <v>606</v>
      </c>
      <c r="AF2420" s="194" t="s">
        <v>252</v>
      </c>
      <c r="AG2420" s="194">
        <v>224</v>
      </c>
      <c r="AH2420" s="194" t="s">
        <v>252</v>
      </c>
      <c r="AI2420" s="194">
        <v>254</v>
      </c>
      <c r="AJ2420" s="194" t="s">
        <v>252</v>
      </c>
      <c r="AK2420" s="194">
        <v>280</v>
      </c>
      <c r="AL2420" s="194" t="s">
        <v>252</v>
      </c>
      <c r="AM2420" s="194">
        <f t="shared" si="19"/>
        <v>3686</v>
      </c>
    </row>
    <row r="2421" spans="2:39" s="3" customFormat="1" ht="15.75" outlineLevel="1">
      <c r="B2421" s="178" t="s">
        <v>852</v>
      </c>
      <c r="C2421" s="218" t="s">
        <v>1489</v>
      </c>
      <c r="D2421" s="219" t="s">
        <v>1403</v>
      </c>
      <c r="E2421" s="23" t="s">
        <v>44</v>
      </c>
      <c r="F2421" s="222" t="s">
        <v>45</v>
      </c>
      <c r="G2421" s="188" t="s">
        <v>1432</v>
      </c>
      <c r="H2421" s="378"/>
      <c r="I2421" s="188" t="s">
        <v>1433</v>
      </c>
      <c r="J2421" s="380"/>
      <c r="K2421" s="173" t="s">
        <v>233</v>
      </c>
      <c r="L2421" s="173" t="s">
        <v>233</v>
      </c>
      <c r="M2421" s="194">
        <v>8544</v>
      </c>
      <c r="N2421" s="194">
        <v>8798</v>
      </c>
      <c r="O2421" s="194">
        <v>905</v>
      </c>
      <c r="P2421" s="194" t="s">
        <v>252</v>
      </c>
      <c r="Q2421" s="194">
        <v>989</v>
      </c>
      <c r="R2421" s="194" t="s">
        <v>252</v>
      </c>
      <c r="S2421" s="194">
        <v>574</v>
      </c>
      <c r="T2421" s="194" t="s">
        <v>252</v>
      </c>
      <c r="U2421" s="194">
        <v>839</v>
      </c>
      <c r="V2421" s="194" t="s">
        <v>252</v>
      </c>
      <c r="W2421" s="194">
        <v>237</v>
      </c>
      <c r="X2421" s="194" t="s">
        <v>252</v>
      </c>
      <c r="Y2421" s="194">
        <v>559</v>
      </c>
      <c r="Z2421" s="194" t="s">
        <v>252</v>
      </c>
      <c r="AA2421" s="194">
        <v>458</v>
      </c>
      <c r="AB2421" s="194" t="s">
        <v>252</v>
      </c>
      <c r="AC2421" s="194">
        <v>631</v>
      </c>
      <c r="AD2421" s="194" t="s">
        <v>252</v>
      </c>
      <c r="AE2421" s="194">
        <v>233</v>
      </c>
      <c r="AF2421" s="194" t="s">
        <v>252</v>
      </c>
      <c r="AG2421" s="194">
        <v>711</v>
      </c>
      <c r="AH2421" s="194" t="s">
        <v>252</v>
      </c>
      <c r="AI2421" s="194">
        <v>862</v>
      </c>
      <c r="AJ2421" s="194" t="s">
        <v>252</v>
      </c>
      <c r="AK2421" s="194">
        <v>1076</v>
      </c>
      <c r="AL2421" s="194" t="s">
        <v>252</v>
      </c>
      <c r="AM2421" s="194">
        <f t="shared" si="19"/>
        <v>8074</v>
      </c>
    </row>
    <row r="2422" spans="2:39" s="3" customFormat="1" ht="15.75" outlineLevel="1">
      <c r="B2422" s="178" t="s">
        <v>853</v>
      </c>
      <c r="C2422" s="218" t="s">
        <v>1489</v>
      </c>
      <c r="D2422" s="219" t="s">
        <v>1403</v>
      </c>
      <c r="E2422" s="23" t="s">
        <v>44</v>
      </c>
      <c r="F2422" s="93" t="s">
        <v>45</v>
      </c>
      <c r="G2422" s="188" t="s">
        <v>1432</v>
      </c>
      <c r="H2422" s="194">
        <v>28</v>
      </c>
      <c r="I2422" s="188" t="s">
        <v>1433</v>
      </c>
      <c r="J2422" s="220" t="s">
        <v>1460</v>
      </c>
      <c r="K2422" s="173" t="s">
        <v>233</v>
      </c>
      <c r="L2422" s="173" t="s">
        <v>233</v>
      </c>
      <c r="M2422" s="194">
        <v>6347</v>
      </c>
      <c r="N2422" s="194">
        <v>5516</v>
      </c>
      <c r="O2422" s="194">
        <v>731</v>
      </c>
      <c r="P2422" s="194" t="s">
        <v>252</v>
      </c>
      <c r="Q2422" s="194">
        <v>735</v>
      </c>
      <c r="R2422" s="194" t="s">
        <v>252</v>
      </c>
      <c r="S2422" s="194">
        <v>333</v>
      </c>
      <c r="T2422" s="194" t="s">
        <v>252</v>
      </c>
      <c r="U2422" s="194">
        <v>382</v>
      </c>
      <c r="V2422" s="194" t="s">
        <v>252</v>
      </c>
      <c r="W2422" s="194">
        <v>277</v>
      </c>
      <c r="X2422" s="194" t="s">
        <v>252</v>
      </c>
      <c r="Y2422" s="194">
        <v>225</v>
      </c>
      <c r="Z2422" s="194" t="s">
        <v>252</v>
      </c>
      <c r="AA2422" s="194">
        <v>175</v>
      </c>
      <c r="AB2422" s="194" t="s">
        <v>252</v>
      </c>
      <c r="AC2422" s="194">
        <v>370</v>
      </c>
      <c r="AD2422" s="194" t="s">
        <v>252</v>
      </c>
      <c r="AE2422" s="194">
        <v>606</v>
      </c>
      <c r="AF2422" s="194" t="s">
        <v>252</v>
      </c>
      <c r="AG2422" s="194">
        <v>476</v>
      </c>
      <c r="AH2422" s="194" t="s">
        <v>252</v>
      </c>
      <c r="AI2422" s="194">
        <v>574</v>
      </c>
      <c r="AJ2422" s="194" t="s">
        <v>252</v>
      </c>
      <c r="AK2422" s="194">
        <v>570</v>
      </c>
      <c r="AL2422" s="194" t="s">
        <v>252</v>
      </c>
      <c r="AM2422" s="194">
        <f t="shared" si="19"/>
        <v>5454</v>
      </c>
    </row>
    <row r="2423" spans="2:39" s="3" customFormat="1" ht="15.75" outlineLevel="1">
      <c r="B2423" s="178" t="s">
        <v>854</v>
      </c>
      <c r="C2423" s="218" t="s">
        <v>1489</v>
      </c>
      <c r="D2423" s="219" t="s">
        <v>1403</v>
      </c>
      <c r="E2423" s="23" t="s">
        <v>44</v>
      </c>
      <c r="F2423" s="93" t="s">
        <v>45</v>
      </c>
      <c r="G2423" s="188" t="s">
        <v>1432</v>
      </c>
      <c r="H2423" s="194">
        <v>32</v>
      </c>
      <c r="I2423" s="188" t="s">
        <v>1433</v>
      </c>
      <c r="J2423" s="220" t="s">
        <v>1457</v>
      </c>
      <c r="K2423" s="173" t="s">
        <v>233</v>
      </c>
      <c r="L2423" s="173" t="s">
        <v>233</v>
      </c>
      <c r="M2423" s="194">
        <v>4201</v>
      </c>
      <c r="N2423" s="194">
        <v>4120</v>
      </c>
      <c r="O2423" s="194">
        <v>468</v>
      </c>
      <c r="P2423" s="194" t="s">
        <v>252</v>
      </c>
      <c r="Q2423" s="194">
        <v>514</v>
      </c>
      <c r="R2423" s="194" t="s">
        <v>252</v>
      </c>
      <c r="S2423" s="194">
        <v>282</v>
      </c>
      <c r="T2423" s="194" t="s">
        <v>252</v>
      </c>
      <c r="U2423" s="194">
        <v>391</v>
      </c>
      <c r="V2423" s="194" t="s">
        <v>252</v>
      </c>
      <c r="W2423" s="194">
        <v>311</v>
      </c>
      <c r="X2423" s="194" t="s">
        <v>252</v>
      </c>
      <c r="Y2423" s="194">
        <v>264</v>
      </c>
      <c r="Z2423" s="194" t="s">
        <v>252</v>
      </c>
      <c r="AA2423" s="194">
        <v>179</v>
      </c>
      <c r="AB2423" s="194" t="s">
        <v>252</v>
      </c>
      <c r="AC2423" s="194">
        <v>201</v>
      </c>
      <c r="AD2423" s="194" t="s">
        <v>252</v>
      </c>
      <c r="AE2423" s="194">
        <v>293</v>
      </c>
      <c r="AF2423" s="194" t="s">
        <v>252</v>
      </c>
      <c r="AG2423" s="194">
        <v>410</v>
      </c>
      <c r="AH2423" s="194" t="s">
        <v>252</v>
      </c>
      <c r="AI2423" s="194">
        <v>458</v>
      </c>
      <c r="AJ2423" s="194" t="s">
        <v>252</v>
      </c>
      <c r="AK2423" s="194">
        <v>552</v>
      </c>
      <c r="AL2423" s="194" t="s">
        <v>252</v>
      </c>
      <c r="AM2423" s="194">
        <f t="shared" si="19"/>
        <v>4323</v>
      </c>
    </row>
    <row r="2424" spans="2:39" s="3" customFormat="1" ht="15.75" outlineLevel="1">
      <c r="B2424" s="178" t="s">
        <v>856</v>
      </c>
      <c r="C2424" s="218" t="s">
        <v>1489</v>
      </c>
      <c r="D2424" s="219" t="s">
        <v>1403</v>
      </c>
      <c r="E2424" s="221" t="s">
        <v>138</v>
      </c>
      <c r="F2424" s="93" t="s">
        <v>45</v>
      </c>
      <c r="G2424" s="188" t="s">
        <v>1432</v>
      </c>
      <c r="H2424" s="376">
        <v>108</v>
      </c>
      <c r="I2424" s="188" t="s">
        <v>1433</v>
      </c>
      <c r="J2424" s="379" t="s">
        <v>1456</v>
      </c>
      <c r="K2424" s="173" t="s">
        <v>233</v>
      </c>
      <c r="L2424" s="173" t="s">
        <v>233</v>
      </c>
      <c r="M2424" s="194">
        <v>8667</v>
      </c>
      <c r="N2424" s="194">
        <v>8139</v>
      </c>
      <c r="O2424" s="194">
        <v>582</v>
      </c>
      <c r="P2424" s="194" t="s">
        <v>252</v>
      </c>
      <c r="Q2424" s="194">
        <v>689</v>
      </c>
      <c r="R2424" s="194" t="s">
        <v>252</v>
      </c>
      <c r="S2424" s="194">
        <v>402</v>
      </c>
      <c r="T2424" s="194" t="s">
        <v>252</v>
      </c>
      <c r="U2424" s="194">
        <v>611</v>
      </c>
      <c r="V2424" s="194" t="s">
        <v>252</v>
      </c>
      <c r="W2424" s="194">
        <v>472</v>
      </c>
      <c r="X2424" s="194" t="s">
        <v>252</v>
      </c>
      <c r="Y2424" s="194">
        <v>578</v>
      </c>
      <c r="Z2424" s="194" t="s">
        <v>252</v>
      </c>
      <c r="AA2424" s="194">
        <v>489</v>
      </c>
      <c r="AB2424" s="194" t="s">
        <v>252</v>
      </c>
      <c r="AC2424" s="194">
        <v>486</v>
      </c>
      <c r="AD2424" s="194" t="s">
        <v>252</v>
      </c>
      <c r="AE2424" s="194">
        <v>435</v>
      </c>
      <c r="AF2424" s="194" t="s">
        <v>252</v>
      </c>
      <c r="AG2424" s="194">
        <v>447</v>
      </c>
      <c r="AH2424" s="194" t="s">
        <v>252</v>
      </c>
      <c r="AI2424" s="194">
        <v>512</v>
      </c>
      <c r="AJ2424" s="194" t="s">
        <v>252</v>
      </c>
      <c r="AK2424" s="194">
        <v>516</v>
      </c>
      <c r="AL2424" s="194" t="s">
        <v>252</v>
      </c>
      <c r="AM2424" s="194">
        <f t="shared" si="19"/>
        <v>6219</v>
      </c>
    </row>
    <row r="2425" spans="2:39" s="3" customFormat="1" ht="15.75" outlineLevel="1">
      <c r="B2425" s="178" t="s">
        <v>856</v>
      </c>
      <c r="C2425" s="218" t="s">
        <v>1489</v>
      </c>
      <c r="D2425" s="219" t="s">
        <v>1403</v>
      </c>
      <c r="E2425" s="23" t="s">
        <v>44</v>
      </c>
      <c r="F2425" s="93" t="s">
        <v>45</v>
      </c>
      <c r="G2425" s="188" t="s">
        <v>1432</v>
      </c>
      <c r="H2425" s="378"/>
      <c r="I2425" s="188" t="s">
        <v>1433</v>
      </c>
      <c r="J2425" s="380"/>
      <c r="K2425" s="173" t="s">
        <v>233</v>
      </c>
      <c r="L2425" s="173" t="s">
        <v>233</v>
      </c>
      <c r="M2425" s="194">
        <v>7123</v>
      </c>
      <c r="N2425" s="194">
        <v>6957</v>
      </c>
      <c r="O2425" s="194">
        <v>780</v>
      </c>
      <c r="P2425" s="194" t="s">
        <v>252</v>
      </c>
      <c r="Q2425" s="194">
        <v>624</v>
      </c>
      <c r="R2425" s="194" t="s">
        <v>252</v>
      </c>
      <c r="S2425" s="194">
        <v>264</v>
      </c>
      <c r="T2425" s="194" t="s">
        <v>252</v>
      </c>
      <c r="U2425" s="194">
        <v>685</v>
      </c>
      <c r="V2425" s="194" t="s">
        <v>252</v>
      </c>
      <c r="W2425" s="194">
        <v>537</v>
      </c>
      <c r="X2425" s="194" t="s">
        <v>252</v>
      </c>
      <c r="Y2425" s="194">
        <v>516</v>
      </c>
      <c r="Z2425" s="194" t="s">
        <v>252</v>
      </c>
      <c r="AA2425" s="194">
        <v>369</v>
      </c>
      <c r="AB2425" s="194" t="s">
        <v>252</v>
      </c>
      <c r="AC2425" s="194">
        <v>554</v>
      </c>
      <c r="AD2425" s="194" t="s">
        <v>252</v>
      </c>
      <c r="AE2425" s="194">
        <v>620</v>
      </c>
      <c r="AF2425" s="194" t="s">
        <v>252</v>
      </c>
      <c r="AG2425" s="194">
        <v>865</v>
      </c>
      <c r="AH2425" s="194" t="s">
        <v>252</v>
      </c>
      <c r="AI2425" s="194">
        <v>1093</v>
      </c>
      <c r="AJ2425" s="194" t="s">
        <v>252</v>
      </c>
      <c r="AK2425" s="194">
        <v>1193</v>
      </c>
      <c r="AL2425" s="194" t="s">
        <v>252</v>
      </c>
      <c r="AM2425" s="194">
        <f t="shared" si="19"/>
        <v>8100</v>
      </c>
    </row>
    <row r="2426" spans="2:39" s="3" customFormat="1" ht="15.75" outlineLevel="1">
      <c r="B2426" s="178" t="s">
        <v>857</v>
      </c>
      <c r="C2426" s="218" t="s">
        <v>1489</v>
      </c>
      <c r="D2426" s="219" t="s">
        <v>1403</v>
      </c>
      <c r="E2426" s="23" t="s">
        <v>44</v>
      </c>
      <c r="F2426" s="93" t="s">
        <v>45</v>
      </c>
      <c r="G2426" s="188" t="s">
        <v>1432</v>
      </c>
      <c r="H2426" s="194">
        <v>28</v>
      </c>
      <c r="I2426" s="188" t="s">
        <v>1432</v>
      </c>
      <c r="J2426" s="220" t="s">
        <v>916</v>
      </c>
      <c r="K2426" s="173" t="s">
        <v>233</v>
      </c>
      <c r="L2426" s="173" t="s">
        <v>233</v>
      </c>
      <c r="M2426" s="194">
        <v>5998</v>
      </c>
      <c r="N2426" s="194">
        <v>3628</v>
      </c>
      <c r="O2426" s="194">
        <v>295</v>
      </c>
      <c r="P2426" s="194" t="s">
        <v>252</v>
      </c>
      <c r="Q2426" s="194">
        <v>193</v>
      </c>
      <c r="R2426" s="194" t="s">
        <v>252</v>
      </c>
      <c r="S2426" s="194">
        <v>135</v>
      </c>
      <c r="T2426" s="194" t="s">
        <v>252</v>
      </c>
      <c r="U2426" s="194">
        <v>187</v>
      </c>
      <c r="V2426" s="194" t="s">
        <v>252</v>
      </c>
      <c r="W2426" s="194">
        <v>189</v>
      </c>
      <c r="X2426" s="194" t="s">
        <v>252</v>
      </c>
      <c r="Y2426" s="194">
        <v>95</v>
      </c>
      <c r="Z2426" s="194" t="s">
        <v>252</v>
      </c>
      <c r="AA2426" s="194">
        <v>122</v>
      </c>
      <c r="AB2426" s="194" t="s">
        <v>252</v>
      </c>
      <c r="AC2426" s="194">
        <v>159</v>
      </c>
      <c r="AD2426" s="194" t="s">
        <v>252</v>
      </c>
      <c r="AE2426" s="194">
        <v>197</v>
      </c>
      <c r="AF2426" s="194" t="s">
        <v>252</v>
      </c>
      <c r="AG2426" s="194">
        <v>282</v>
      </c>
      <c r="AH2426" s="194" t="s">
        <v>252</v>
      </c>
      <c r="AI2426" s="194">
        <v>220</v>
      </c>
      <c r="AJ2426" s="194" t="s">
        <v>252</v>
      </c>
      <c r="AK2426" s="194">
        <v>273</v>
      </c>
      <c r="AL2426" s="194" t="s">
        <v>252</v>
      </c>
      <c r="AM2426" s="194">
        <f t="shared" si="19"/>
        <v>2347</v>
      </c>
    </row>
    <row r="2427" spans="2:39" s="3" customFormat="1" ht="15.75" outlineLevel="1">
      <c r="B2427" s="178" t="s">
        <v>858</v>
      </c>
      <c r="C2427" s="218" t="s">
        <v>1489</v>
      </c>
      <c r="D2427" s="219" t="s">
        <v>1403</v>
      </c>
      <c r="E2427" s="23" t="s">
        <v>44</v>
      </c>
      <c r="F2427" s="93" t="s">
        <v>45</v>
      </c>
      <c r="G2427" s="188" t="s">
        <v>1432</v>
      </c>
      <c r="H2427" s="194">
        <v>26</v>
      </c>
      <c r="I2427" s="188" t="s">
        <v>1433</v>
      </c>
      <c r="J2427" s="220" t="s">
        <v>1442</v>
      </c>
      <c r="K2427" s="173" t="s">
        <v>233</v>
      </c>
      <c r="L2427" s="173" t="s">
        <v>233</v>
      </c>
      <c r="M2427" s="194">
        <v>1354</v>
      </c>
      <c r="N2427" s="194">
        <v>1023</v>
      </c>
      <c r="O2427" s="194">
        <v>45</v>
      </c>
      <c r="P2427" s="194" t="s">
        <v>252</v>
      </c>
      <c r="Q2427" s="194">
        <v>31</v>
      </c>
      <c r="R2427" s="194" t="s">
        <v>252</v>
      </c>
      <c r="S2427" s="194">
        <v>29</v>
      </c>
      <c r="T2427" s="194" t="s">
        <v>252</v>
      </c>
      <c r="U2427" s="194">
        <v>44</v>
      </c>
      <c r="V2427" s="194" t="s">
        <v>252</v>
      </c>
      <c r="W2427" s="194">
        <v>51</v>
      </c>
      <c r="X2427" s="194" t="s">
        <v>252</v>
      </c>
      <c r="Y2427" s="194">
        <v>76</v>
      </c>
      <c r="Z2427" s="194" t="s">
        <v>252</v>
      </c>
      <c r="AA2427" s="194">
        <v>49</v>
      </c>
      <c r="AB2427" s="194" t="s">
        <v>252</v>
      </c>
      <c r="AC2427" s="194">
        <v>57</v>
      </c>
      <c r="AD2427" s="194" t="s">
        <v>252</v>
      </c>
      <c r="AE2427" s="194">
        <v>56</v>
      </c>
      <c r="AF2427" s="194" t="s">
        <v>252</v>
      </c>
      <c r="AG2427" s="194">
        <v>97</v>
      </c>
      <c r="AH2427" s="194" t="s">
        <v>252</v>
      </c>
      <c r="AI2427" s="194">
        <v>69</v>
      </c>
      <c r="AJ2427" s="194" t="s">
        <v>252</v>
      </c>
      <c r="AK2427" s="194">
        <v>58</v>
      </c>
      <c r="AL2427" s="194" t="s">
        <v>252</v>
      </c>
      <c r="AM2427" s="194">
        <f t="shared" si="19"/>
        <v>662</v>
      </c>
    </row>
    <row r="2428" spans="2:39" s="3" customFormat="1" ht="15.75" outlineLevel="1">
      <c r="B2428" s="178" t="s">
        <v>862</v>
      </c>
      <c r="C2428" s="218" t="s">
        <v>1489</v>
      </c>
      <c r="D2428" s="219" t="s">
        <v>1403</v>
      </c>
      <c r="E2428" s="23" t="s">
        <v>44</v>
      </c>
      <c r="F2428" s="222" t="s">
        <v>45</v>
      </c>
      <c r="G2428" s="188" t="s">
        <v>1432</v>
      </c>
      <c r="H2428" s="194">
        <v>78</v>
      </c>
      <c r="I2428" s="188" t="s">
        <v>1433</v>
      </c>
      <c r="J2428" s="220" t="s">
        <v>1466</v>
      </c>
      <c r="K2428" s="173" t="s">
        <v>233</v>
      </c>
      <c r="L2428" s="173" t="s">
        <v>233</v>
      </c>
      <c r="M2428" s="194">
        <v>5143</v>
      </c>
      <c r="N2428" s="194">
        <v>6470</v>
      </c>
      <c r="O2428" s="194">
        <v>454</v>
      </c>
      <c r="P2428" s="194" t="s">
        <v>252</v>
      </c>
      <c r="Q2428" s="194">
        <v>484</v>
      </c>
      <c r="R2428" s="194" t="s">
        <v>252</v>
      </c>
      <c r="S2428" s="194">
        <v>353</v>
      </c>
      <c r="T2428" s="194" t="s">
        <v>252</v>
      </c>
      <c r="U2428" s="194">
        <v>399</v>
      </c>
      <c r="V2428" s="194" t="s">
        <v>252</v>
      </c>
      <c r="W2428" s="194">
        <v>335</v>
      </c>
      <c r="X2428" s="194" t="s">
        <v>252</v>
      </c>
      <c r="Y2428" s="194">
        <v>332</v>
      </c>
      <c r="Z2428" s="194" t="s">
        <v>252</v>
      </c>
      <c r="AA2428" s="194">
        <v>287</v>
      </c>
      <c r="AB2428" s="194" t="s">
        <v>252</v>
      </c>
      <c r="AC2428" s="194">
        <v>341</v>
      </c>
      <c r="AD2428" s="194" t="s">
        <v>252</v>
      </c>
      <c r="AE2428" s="194">
        <v>356</v>
      </c>
      <c r="AF2428" s="194" t="s">
        <v>252</v>
      </c>
      <c r="AG2428" s="194">
        <v>382</v>
      </c>
      <c r="AH2428" s="194" t="s">
        <v>252</v>
      </c>
      <c r="AI2428" s="194">
        <v>753</v>
      </c>
      <c r="AJ2428" s="194" t="s">
        <v>252</v>
      </c>
      <c r="AK2428" s="194">
        <v>530</v>
      </c>
      <c r="AL2428" s="194" t="s">
        <v>252</v>
      </c>
      <c r="AM2428" s="194">
        <f t="shared" si="19"/>
        <v>5006</v>
      </c>
    </row>
    <row r="2429" spans="2:39" s="3" customFormat="1" ht="15.75" outlineLevel="1">
      <c r="B2429" s="178" t="s">
        <v>863</v>
      </c>
      <c r="C2429" s="218" t="s">
        <v>1489</v>
      </c>
      <c r="D2429" s="219" t="s">
        <v>1403</v>
      </c>
      <c r="E2429" s="23" t="s">
        <v>44</v>
      </c>
      <c r="F2429" s="93" t="s">
        <v>45</v>
      </c>
      <c r="G2429" s="188" t="s">
        <v>1432</v>
      </c>
      <c r="H2429" s="194">
        <v>38</v>
      </c>
      <c r="I2429" s="188" t="s">
        <v>1433</v>
      </c>
      <c r="J2429" s="220" t="s">
        <v>1467</v>
      </c>
      <c r="K2429" s="173" t="s">
        <v>233</v>
      </c>
      <c r="L2429" s="173" t="s">
        <v>233</v>
      </c>
      <c r="M2429" s="194">
        <v>6266</v>
      </c>
      <c r="N2429" s="194">
        <v>4351</v>
      </c>
      <c r="O2429" s="194">
        <v>368</v>
      </c>
      <c r="P2429" s="194" t="s">
        <v>252</v>
      </c>
      <c r="Q2429" s="194">
        <v>470</v>
      </c>
      <c r="R2429" s="194" t="s">
        <v>252</v>
      </c>
      <c r="S2429" s="194">
        <v>268</v>
      </c>
      <c r="T2429" s="194" t="s">
        <v>252</v>
      </c>
      <c r="U2429" s="194">
        <v>301</v>
      </c>
      <c r="V2429" s="194" t="s">
        <v>252</v>
      </c>
      <c r="W2429" s="194">
        <v>231</v>
      </c>
      <c r="X2429" s="194" t="s">
        <v>252</v>
      </c>
      <c r="Y2429" s="194">
        <v>299</v>
      </c>
      <c r="Z2429" s="194" t="s">
        <v>252</v>
      </c>
      <c r="AA2429" s="194">
        <v>210</v>
      </c>
      <c r="AB2429" s="194" t="s">
        <v>252</v>
      </c>
      <c r="AC2429" s="194">
        <v>237</v>
      </c>
      <c r="AD2429" s="194" t="s">
        <v>252</v>
      </c>
      <c r="AE2429" s="194">
        <v>270</v>
      </c>
      <c r="AF2429" s="194" t="s">
        <v>252</v>
      </c>
      <c r="AG2429" s="194">
        <v>194</v>
      </c>
      <c r="AH2429" s="194" t="s">
        <v>252</v>
      </c>
      <c r="AI2429" s="194">
        <v>468</v>
      </c>
      <c r="AJ2429" s="194" t="s">
        <v>252</v>
      </c>
      <c r="AK2429" s="194">
        <v>446</v>
      </c>
      <c r="AL2429" s="194" t="s">
        <v>252</v>
      </c>
      <c r="AM2429" s="194">
        <f t="shared" si="19"/>
        <v>3762</v>
      </c>
    </row>
    <row r="2430" spans="2:39" s="3" customFormat="1" ht="15.75" outlineLevel="1">
      <c r="B2430" s="178" t="s">
        <v>865</v>
      </c>
      <c r="C2430" s="218" t="s">
        <v>1489</v>
      </c>
      <c r="D2430" s="219" t="s">
        <v>1403</v>
      </c>
      <c r="E2430" s="23" t="s">
        <v>44</v>
      </c>
      <c r="F2430" s="93" t="s">
        <v>45</v>
      </c>
      <c r="G2430" s="188" t="s">
        <v>1432</v>
      </c>
      <c r="H2430" s="194">
        <v>42</v>
      </c>
      <c r="I2430" s="188" t="s">
        <v>1433</v>
      </c>
      <c r="J2430" s="220" t="s">
        <v>1464</v>
      </c>
      <c r="K2430" s="173" t="s">
        <v>233</v>
      </c>
      <c r="L2430" s="173" t="s">
        <v>233</v>
      </c>
      <c r="M2430" s="194">
        <v>5441</v>
      </c>
      <c r="N2430" s="194">
        <v>2174</v>
      </c>
      <c r="O2430" s="194">
        <v>154</v>
      </c>
      <c r="P2430" s="194" t="s">
        <v>252</v>
      </c>
      <c r="Q2430" s="194">
        <v>102</v>
      </c>
      <c r="R2430" s="194" t="s">
        <v>252</v>
      </c>
      <c r="S2430" s="194">
        <v>72</v>
      </c>
      <c r="T2430" s="194" t="s">
        <v>252</v>
      </c>
      <c r="U2430" s="194">
        <v>134</v>
      </c>
      <c r="V2430" s="194" t="s">
        <v>252</v>
      </c>
      <c r="W2430" s="194">
        <v>102</v>
      </c>
      <c r="X2430" s="194" t="s">
        <v>252</v>
      </c>
      <c r="Y2430" s="194">
        <v>87</v>
      </c>
      <c r="Z2430" s="194" t="s">
        <v>252</v>
      </c>
      <c r="AA2430" s="194">
        <v>62</v>
      </c>
      <c r="AB2430" s="194" t="s">
        <v>252</v>
      </c>
      <c r="AC2430" s="194">
        <v>78</v>
      </c>
      <c r="AD2430" s="194" t="s">
        <v>252</v>
      </c>
      <c r="AE2430" s="194">
        <v>95</v>
      </c>
      <c r="AF2430" s="194" t="s">
        <v>252</v>
      </c>
      <c r="AG2430" s="194">
        <v>66</v>
      </c>
      <c r="AH2430" s="194" t="s">
        <v>252</v>
      </c>
      <c r="AI2430" s="194">
        <v>143</v>
      </c>
      <c r="AJ2430" s="194" t="s">
        <v>252</v>
      </c>
      <c r="AK2430" s="194">
        <v>126</v>
      </c>
      <c r="AL2430" s="194" t="s">
        <v>252</v>
      </c>
      <c r="AM2430" s="194">
        <f t="shared" si="19"/>
        <v>1221</v>
      </c>
    </row>
    <row r="2431" spans="2:39" s="3" customFormat="1" ht="15.75" outlineLevel="1">
      <c r="B2431" s="178" t="s">
        <v>866</v>
      </c>
      <c r="C2431" s="218" t="s">
        <v>1489</v>
      </c>
      <c r="D2431" s="219" t="s">
        <v>1403</v>
      </c>
      <c r="E2431" s="23" t="s">
        <v>44</v>
      </c>
      <c r="F2431" s="93" t="s">
        <v>45</v>
      </c>
      <c r="G2431" s="188" t="s">
        <v>1432</v>
      </c>
      <c r="H2431" s="194">
        <v>18</v>
      </c>
      <c r="I2431" s="188" t="s">
        <v>1433</v>
      </c>
      <c r="J2431" s="220" t="s">
        <v>1461</v>
      </c>
      <c r="K2431" s="173" t="s">
        <v>233</v>
      </c>
      <c r="L2431" s="173" t="s">
        <v>233</v>
      </c>
      <c r="M2431" s="194">
        <v>5517</v>
      </c>
      <c r="N2431" s="194">
        <v>5684</v>
      </c>
      <c r="O2431" s="194">
        <v>588</v>
      </c>
      <c r="P2431" s="194" t="s">
        <v>252</v>
      </c>
      <c r="Q2431" s="194">
        <v>565</v>
      </c>
      <c r="R2431" s="194" t="s">
        <v>252</v>
      </c>
      <c r="S2431" s="194">
        <v>513</v>
      </c>
      <c r="T2431" s="194" t="s">
        <v>252</v>
      </c>
      <c r="U2431" s="194">
        <v>368</v>
      </c>
      <c r="V2431" s="194" t="s">
        <v>252</v>
      </c>
      <c r="W2431" s="194">
        <v>447</v>
      </c>
      <c r="X2431" s="194" t="s">
        <v>252</v>
      </c>
      <c r="Y2431" s="194">
        <v>464</v>
      </c>
      <c r="Z2431" s="194" t="s">
        <v>252</v>
      </c>
      <c r="AA2431" s="194">
        <v>477</v>
      </c>
      <c r="AB2431" s="194" t="s">
        <v>252</v>
      </c>
      <c r="AC2431" s="194">
        <v>448</v>
      </c>
      <c r="AD2431" s="194" t="s">
        <v>252</v>
      </c>
      <c r="AE2431" s="194">
        <v>534</v>
      </c>
      <c r="AF2431" s="194" t="s">
        <v>252</v>
      </c>
      <c r="AG2431" s="194">
        <v>362</v>
      </c>
      <c r="AH2431" s="194" t="s">
        <v>252</v>
      </c>
      <c r="AI2431" s="194">
        <v>409</v>
      </c>
      <c r="AJ2431" s="194" t="s">
        <v>252</v>
      </c>
      <c r="AK2431" s="194">
        <v>428</v>
      </c>
      <c r="AL2431" s="194" t="s">
        <v>252</v>
      </c>
      <c r="AM2431" s="194">
        <f t="shared" si="19"/>
        <v>5603</v>
      </c>
    </row>
    <row r="2432" spans="2:39" s="3" customFormat="1" ht="15.75" outlineLevel="1">
      <c r="B2432" s="178" t="s">
        <v>867</v>
      </c>
      <c r="C2432" s="218" t="s">
        <v>1489</v>
      </c>
      <c r="D2432" s="219" t="s">
        <v>1403</v>
      </c>
      <c r="E2432" s="221" t="s">
        <v>138</v>
      </c>
      <c r="F2432" s="93" t="s">
        <v>45</v>
      </c>
      <c r="G2432" s="188" t="s">
        <v>1432</v>
      </c>
      <c r="H2432" s="376">
        <v>29</v>
      </c>
      <c r="I2432" s="188" t="s">
        <v>1433</v>
      </c>
      <c r="J2432" s="379" t="s">
        <v>530</v>
      </c>
      <c r="K2432" s="173" t="s">
        <v>233</v>
      </c>
      <c r="L2432" s="173" t="s">
        <v>233</v>
      </c>
      <c r="M2432" s="194">
        <v>7921</v>
      </c>
      <c r="N2432" s="194">
        <v>7029</v>
      </c>
      <c r="O2432" s="194">
        <v>353</v>
      </c>
      <c r="P2432" s="194" t="s">
        <v>252</v>
      </c>
      <c r="Q2432" s="194">
        <v>327</v>
      </c>
      <c r="R2432" s="194" t="s">
        <v>252</v>
      </c>
      <c r="S2432" s="194">
        <v>930</v>
      </c>
      <c r="T2432" s="194" t="s">
        <v>252</v>
      </c>
      <c r="U2432" s="194">
        <v>921</v>
      </c>
      <c r="V2432" s="194" t="s">
        <v>252</v>
      </c>
      <c r="W2432" s="194">
        <v>299</v>
      </c>
      <c r="X2432" s="194" t="s">
        <v>252</v>
      </c>
      <c r="Y2432" s="194">
        <v>299</v>
      </c>
      <c r="Z2432" s="194" t="s">
        <v>252</v>
      </c>
      <c r="AA2432" s="194">
        <v>613</v>
      </c>
      <c r="AB2432" s="194" t="s">
        <v>252</v>
      </c>
      <c r="AC2432" s="194">
        <v>245</v>
      </c>
      <c r="AD2432" s="194" t="s">
        <v>252</v>
      </c>
      <c r="AE2432" s="194">
        <v>286</v>
      </c>
      <c r="AF2432" s="194" t="s">
        <v>252</v>
      </c>
      <c r="AG2432" s="194">
        <v>272</v>
      </c>
      <c r="AH2432" s="194" t="s">
        <v>252</v>
      </c>
      <c r="AI2432" s="194">
        <v>870</v>
      </c>
      <c r="AJ2432" s="194" t="s">
        <v>252</v>
      </c>
      <c r="AK2432" s="194">
        <v>280</v>
      </c>
      <c r="AL2432" s="194" t="s">
        <v>252</v>
      </c>
      <c r="AM2432" s="194">
        <f t="shared" si="19"/>
        <v>5695</v>
      </c>
    </row>
    <row r="2433" spans="2:39" s="3" customFormat="1" ht="15.75" outlineLevel="1">
      <c r="B2433" s="178" t="s">
        <v>867</v>
      </c>
      <c r="C2433" s="218" t="s">
        <v>1489</v>
      </c>
      <c r="D2433" s="219" t="s">
        <v>1403</v>
      </c>
      <c r="E2433" s="23" t="s">
        <v>44</v>
      </c>
      <c r="F2433" s="93" t="s">
        <v>45</v>
      </c>
      <c r="G2433" s="188" t="s">
        <v>1432</v>
      </c>
      <c r="H2433" s="378"/>
      <c r="I2433" s="188" t="s">
        <v>1433</v>
      </c>
      <c r="J2433" s="380"/>
      <c r="K2433" s="173" t="s">
        <v>233</v>
      </c>
      <c r="L2433" s="173" t="s">
        <v>233</v>
      </c>
      <c r="M2433" s="194">
        <v>8829</v>
      </c>
      <c r="N2433" s="194">
        <v>8135</v>
      </c>
      <c r="O2433" s="194">
        <v>940</v>
      </c>
      <c r="P2433" s="194" t="s">
        <v>252</v>
      </c>
      <c r="Q2433" s="194">
        <v>922</v>
      </c>
      <c r="R2433" s="194" t="s">
        <v>252</v>
      </c>
      <c r="S2433" s="194">
        <v>251</v>
      </c>
      <c r="T2433" s="194" t="s">
        <v>252</v>
      </c>
      <c r="U2433" s="194">
        <v>368</v>
      </c>
      <c r="V2433" s="194" t="s">
        <v>252</v>
      </c>
      <c r="W2433" s="194">
        <v>664</v>
      </c>
      <c r="X2433" s="194" t="s">
        <v>252</v>
      </c>
      <c r="Y2433" s="194">
        <v>664</v>
      </c>
      <c r="Z2433" s="194" t="s">
        <v>252</v>
      </c>
      <c r="AA2433" s="194">
        <v>298</v>
      </c>
      <c r="AB2433" s="194" t="s">
        <v>252</v>
      </c>
      <c r="AC2433" s="194">
        <v>460</v>
      </c>
      <c r="AD2433" s="194" t="s">
        <v>252</v>
      </c>
      <c r="AE2433" s="194">
        <v>812</v>
      </c>
      <c r="AF2433" s="194" t="s">
        <v>252</v>
      </c>
      <c r="AG2433" s="194">
        <v>818</v>
      </c>
      <c r="AH2433" s="194" t="s">
        <v>252</v>
      </c>
      <c r="AI2433" s="194">
        <v>312</v>
      </c>
      <c r="AJ2433" s="194" t="s">
        <v>252</v>
      </c>
      <c r="AK2433" s="194">
        <v>802</v>
      </c>
      <c r="AL2433" s="194" t="s">
        <v>252</v>
      </c>
      <c r="AM2433" s="194">
        <f t="shared" si="19"/>
        <v>7311</v>
      </c>
    </row>
    <row r="2434" spans="2:39" s="3" customFormat="1" ht="15.75" outlineLevel="1">
      <c r="B2434" s="178" t="s">
        <v>868</v>
      </c>
      <c r="C2434" s="218" t="s">
        <v>1489</v>
      </c>
      <c r="D2434" s="219" t="s">
        <v>1403</v>
      </c>
      <c r="E2434" s="23" t="s">
        <v>44</v>
      </c>
      <c r="F2434" s="93" t="s">
        <v>45</v>
      </c>
      <c r="G2434" s="188" t="s">
        <v>1432</v>
      </c>
      <c r="H2434" s="194">
        <v>34</v>
      </c>
      <c r="I2434" s="188" t="s">
        <v>1433</v>
      </c>
      <c r="J2434" s="220" t="s">
        <v>1464</v>
      </c>
      <c r="K2434" s="173" t="s">
        <v>233</v>
      </c>
      <c r="L2434" s="173" t="s">
        <v>233</v>
      </c>
      <c r="M2434" s="194">
        <v>4833</v>
      </c>
      <c r="N2434" s="194">
        <v>4621</v>
      </c>
      <c r="O2434" s="194">
        <v>655</v>
      </c>
      <c r="P2434" s="194" t="s">
        <v>252</v>
      </c>
      <c r="Q2434" s="194">
        <v>618</v>
      </c>
      <c r="R2434" s="194" t="s">
        <v>252</v>
      </c>
      <c r="S2434" s="194">
        <v>463</v>
      </c>
      <c r="T2434" s="194" t="s">
        <v>252</v>
      </c>
      <c r="U2434" s="194">
        <v>580</v>
      </c>
      <c r="V2434" s="194" t="s">
        <v>252</v>
      </c>
      <c r="W2434" s="194">
        <v>475</v>
      </c>
      <c r="X2434" s="194" t="s">
        <v>252</v>
      </c>
      <c r="Y2434" s="194">
        <v>459</v>
      </c>
      <c r="Z2434" s="194" t="s">
        <v>252</v>
      </c>
      <c r="AA2434" s="194">
        <v>374</v>
      </c>
      <c r="AB2434" s="194" t="s">
        <v>252</v>
      </c>
      <c r="AC2434" s="194">
        <v>342</v>
      </c>
      <c r="AD2434" s="194" t="s">
        <v>252</v>
      </c>
      <c r="AE2434" s="194">
        <v>435</v>
      </c>
      <c r="AF2434" s="194" t="s">
        <v>252</v>
      </c>
      <c r="AG2434" s="194">
        <v>427</v>
      </c>
      <c r="AH2434" s="194" t="s">
        <v>252</v>
      </c>
      <c r="AI2434" s="194">
        <v>542</v>
      </c>
      <c r="AJ2434" s="194" t="s">
        <v>252</v>
      </c>
      <c r="AK2434" s="194">
        <v>509</v>
      </c>
      <c r="AL2434" s="194" t="s">
        <v>252</v>
      </c>
      <c r="AM2434" s="194">
        <f t="shared" si="19"/>
        <v>5879</v>
      </c>
    </row>
    <row r="2435" spans="2:39" s="3" customFormat="1" ht="15.75" outlineLevel="1">
      <c r="B2435" s="178" t="s">
        <v>869</v>
      </c>
      <c r="C2435" s="218" t="s">
        <v>1489</v>
      </c>
      <c r="D2435" s="219" t="s">
        <v>1403</v>
      </c>
      <c r="E2435" s="382" t="s">
        <v>138</v>
      </c>
      <c r="F2435" s="384" t="s">
        <v>45</v>
      </c>
      <c r="G2435" s="188" t="s">
        <v>1432</v>
      </c>
      <c r="H2435" s="376">
        <v>112</v>
      </c>
      <c r="I2435" s="188" t="s">
        <v>1433</v>
      </c>
      <c r="J2435" s="379" t="s">
        <v>1466</v>
      </c>
      <c r="K2435" s="173" t="s">
        <v>233</v>
      </c>
      <c r="L2435" s="173" t="s">
        <v>233</v>
      </c>
      <c r="M2435" s="376">
        <v>2796</v>
      </c>
      <c r="N2435" s="376">
        <v>3146</v>
      </c>
      <c r="O2435" s="376">
        <v>155</v>
      </c>
      <c r="P2435" s="376" t="s">
        <v>252</v>
      </c>
      <c r="Q2435" s="376">
        <v>171</v>
      </c>
      <c r="R2435" s="376" t="s">
        <v>252</v>
      </c>
      <c r="S2435" s="376">
        <v>138</v>
      </c>
      <c r="T2435" s="376" t="s">
        <v>252</v>
      </c>
      <c r="U2435" s="376">
        <v>176</v>
      </c>
      <c r="V2435" s="376" t="s">
        <v>252</v>
      </c>
      <c r="W2435" s="376">
        <v>152</v>
      </c>
      <c r="X2435" s="376" t="s">
        <v>252</v>
      </c>
      <c r="Y2435" s="376">
        <v>157</v>
      </c>
      <c r="Z2435" s="376" t="s">
        <v>252</v>
      </c>
      <c r="AA2435" s="376">
        <v>160</v>
      </c>
      <c r="AB2435" s="376" t="s">
        <v>252</v>
      </c>
      <c r="AC2435" s="376">
        <v>125</v>
      </c>
      <c r="AD2435" s="376" t="s">
        <v>252</v>
      </c>
      <c r="AE2435" s="376">
        <v>146</v>
      </c>
      <c r="AF2435" s="376" t="s">
        <v>252</v>
      </c>
      <c r="AG2435" s="376">
        <v>138</v>
      </c>
      <c r="AH2435" s="376" t="s">
        <v>252</v>
      </c>
      <c r="AI2435" s="376">
        <v>142</v>
      </c>
      <c r="AJ2435" s="376" t="s">
        <v>252</v>
      </c>
      <c r="AK2435" s="376">
        <v>117</v>
      </c>
      <c r="AL2435" s="376" t="s">
        <v>252</v>
      </c>
      <c r="AM2435" s="376">
        <f>O2435+Q2435+S2435+U2435+W2435+Y2435+AA2435+AC2435+AE2435+AG2435+AI2435+AK2435</f>
        <v>1777</v>
      </c>
    </row>
    <row r="2436" spans="2:39" s="3" customFormat="1" ht="15.75" outlineLevel="1">
      <c r="B2436" s="178" t="s">
        <v>870</v>
      </c>
      <c r="C2436" s="218" t="s">
        <v>1489</v>
      </c>
      <c r="D2436" s="219" t="s">
        <v>1403</v>
      </c>
      <c r="E2436" s="389"/>
      <c r="F2436" s="390"/>
      <c r="G2436" s="188" t="s">
        <v>1432</v>
      </c>
      <c r="H2436" s="377"/>
      <c r="I2436" s="188" t="s">
        <v>1433</v>
      </c>
      <c r="J2436" s="381"/>
      <c r="K2436" s="173" t="s">
        <v>233</v>
      </c>
      <c r="L2436" s="173" t="s">
        <v>233</v>
      </c>
      <c r="M2436" s="377"/>
      <c r="N2436" s="377"/>
      <c r="O2436" s="377"/>
      <c r="P2436" s="377"/>
      <c r="Q2436" s="377"/>
      <c r="R2436" s="377"/>
      <c r="S2436" s="377"/>
      <c r="T2436" s="377"/>
      <c r="U2436" s="377"/>
      <c r="V2436" s="377"/>
      <c r="W2436" s="377"/>
      <c r="X2436" s="377"/>
      <c r="Y2436" s="377"/>
      <c r="Z2436" s="377"/>
      <c r="AA2436" s="377"/>
      <c r="AB2436" s="377"/>
      <c r="AC2436" s="377"/>
      <c r="AD2436" s="377"/>
      <c r="AE2436" s="377"/>
      <c r="AF2436" s="377"/>
      <c r="AG2436" s="377"/>
      <c r="AH2436" s="377"/>
      <c r="AI2436" s="377"/>
      <c r="AJ2436" s="377"/>
      <c r="AK2436" s="377"/>
      <c r="AL2436" s="377"/>
      <c r="AM2436" s="377"/>
    </row>
    <row r="2437" spans="2:39" s="3" customFormat="1" ht="15.75" outlineLevel="1">
      <c r="B2437" s="178" t="s">
        <v>872</v>
      </c>
      <c r="C2437" s="218" t="s">
        <v>1489</v>
      </c>
      <c r="D2437" s="219" t="s">
        <v>1403</v>
      </c>
      <c r="E2437" s="383"/>
      <c r="F2437" s="385"/>
      <c r="G2437" s="188" t="s">
        <v>1432</v>
      </c>
      <c r="H2437" s="377"/>
      <c r="I2437" s="188" t="s">
        <v>1433</v>
      </c>
      <c r="J2437" s="381"/>
      <c r="K2437" s="173" t="s">
        <v>233</v>
      </c>
      <c r="L2437" s="173" t="s">
        <v>233</v>
      </c>
      <c r="M2437" s="378"/>
      <c r="N2437" s="378"/>
      <c r="O2437" s="378"/>
      <c r="P2437" s="378"/>
      <c r="Q2437" s="378"/>
      <c r="R2437" s="378"/>
      <c r="S2437" s="378"/>
      <c r="T2437" s="378"/>
      <c r="U2437" s="378"/>
      <c r="V2437" s="378"/>
      <c r="W2437" s="378"/>
      <c r="X2437" s="378"/>
      <c r="Y2437" s="378"/>
      <c r="Z2437" s="378"/>
      <c r="AA2437" s="378"/>
      <c r="AB2437" s="378"/>
      <c r="AC2437" s="378"/>
      <c r="AD2437" s="378"/>
      <c r="AE2437" s="378"/>
      <c r="AF2437" s="378"/>
      <c r="AG2437" s="378"/>
      <c r="AH2437" s="378"/>
      <c r="AI2437" s="378"/>
      <c r="AJ2437" s="378"/>
      <c r="AK2437" s="378"/>
      <c r="AL2437" s="378"/>
      <c r="AM2437" s="378"/>
    </row>
    <row r="2438" spans="2:39" s="3" customFormat="1" ht="15.75" outlineLevel="1">
      <c r="B2438" s="178" t="s">
        <v>869</v>
      </c>
      <c r="C2438" s="218" t="s">
        <v>1489</v>
      </c>
      <c r="D2438" s="219" t="s">
        <v>1403</v>
      </c>
      <c r="E2438" s="382" t="s">
        <v>44</v>
      </c>
      <c r="F2438" s="384" t="s">
        <v>45</v>
      </c>
      <c r="G2438" s="188" t="s">
        <v>1432</v>
      </c>
      <c r="H2438" s="377"/>
      <c r="I2438" s="188" t="s">
        <v>1433</v>
      </c>
      <c r="J2438" s="381"/>
      <c r="K2438" s="173" t="s">
        <v>233</v>
      </c>
      <c r="L2438" s="173" t="s">
        <v>233</v>
      </c>
      <c r="M2438" s="376">
        <v>7310</v>
      </c>
      <c r="N2438" s="376">
        <v>7868</v>
      </c>
      <c r="O2438" s="376">
        <v>802</v>
      </c>
      <c r="P2438" s="376" t="s">
        <v>252</v>
      </c>
      <c r="Q2438" s="376">
        <v>685</v>
      </c>
      <c r="R2438" s="376" t="s">
        <v>252</v>
      </c>
      <c r="S2438" s="376">
        <v>580</v>
      </c>
      <c r="T2438" s="376" t="s">
        <v>252</v>
      </c>
      <c r="U2438" s="376">
        <v>753</v>
      </c>
      <c r="V2438" s="376" t="s">
        <v>252</v>
      </c>
      <c r="W2438" s="376">
        <v>545</v>
      </c>
      <c r="X2438" s="376" t="s">
        <v>252</v>
      </c>
      <c r="Y2438" s="376">
        <v>458</v>
      </c>
      <c r="Z2438" s="376" t="s">
        <v>252</v>
      </c>
      <c r="AA2438" s="376">
        <v>526</v>
      </c>
      <c r="AB2438" s="376" t="s">
        <v>252</v>
      </c>
      <c r="AC2438" s="376">
        <v>517</v>
      </c>
      <c r="AD2438" s="376" t="s">
        <v>252</v>
      </c>
      <c r="AE2438" s="376">
        <v>759</v>
      </c>
      <c r="AF2438" s="376" t="s">
        <v>252</v>
      </c>
      <c r="AG2438" s="376">
        <v>770</v>
      </c>
      <c r="AH2438" s="376" t="s">
        <v>252</v>
      </c>
      <c r="AI2438" s="376">
        <v>958</v>
      </c>
      <c r="AJ2438" s="376" t="s">
        <v>252</v>
      </c>
      <c r="AK2438" s="376">
        <v>838</v>
      </c>
      <c r="AL2438" s="376" t="s">
        <v>252</v>
      </c>
      <c r="AM2438" s="376">
        <f>O2438+Q2438+S2438+U2438+W2438+Y2438+AA2438+AC2438+AE2438+AG2438+AI2438+AK2438</f>
        <v>8191</v>
      </c>
    </row>
    <row r="2439" spans="2:39" s="3" customFormat="1" ht="15.75" outlineLevel="1">
      <c r="B2439" s="178" t="s">
        <v>870</v>
      </c>
      <c r="C2439" s="218" t="s">
        <v>1489</v>
      </c>
      <c r="D2439" s="219" t="s">
        <v>1403</v>
      </c>
      <c r="E2439" s="389"/>
      <c r="F2439" s="390"/>
      <c r="G2439" s="188" t="s">
        <v>1432</v>
      </c>
      <c r="H2439" s="377"/>
      <c r="I2439" s="188" t="s">
        <v>1433</v>
      </c>
      <c r="J2439" s="381"/>
      <c r="K2439" s="173" t="s">
        <v>233</v>
      </c>
      <c r="L2439" s="173" t="s">
        <v>233</v>
      </c>
      <c r="M2439" s="377"/>
      <c r="N2439" s="377"/>
      <c r="O2439" s="377"/>
      <c r="P2439" s="377"/>
      <c r="Q2439" s="377"/>
      <c r="R2439" s="377"/>
      <c r="S2439" s="377"/>
      <c r="T2439" s="377"/>
      <c r="U2439" s="377"/>
      <c r="V2439" s="377"/>
      <c r="W2439" s="377"/>
      <c r="X2439" s="377"/>
      <c r="Y2439" s="377"/>
      <c r="Z2439" s="377"/>
      <c r="AA2439" s="377"/>
      <c r="AB2439" s="377"/>
      <c r="AC2439" s="377"/>
      <c r="AD2439" s="377"/>
      <c r="AE2439" s="377"/>
      <c r="AF2439" s="377"/>
      <c r="AG2439" s="377"/>
      <c r="AH2439" s="377"/>
      <c r="AI2439" s="377"/>
      <c r="AJ2439" s="377"/>
      <c r="AK2439" s="377"/>
      <c r="AL2439" s="377"/>
      <c r="AM2439" s="377"/>
    </row>
    <row r="2440" spans="2:39" s="3" customFormat="1" ht="15.75" outlineLevel="1">
      <c r="B2440" s="178" t="s">
        <v>872</v>
      </c>
      <c r="C2440" s="218" t="s">
        <v>1489</v>
      </c>
      <c r="D2440" s="219" t="s">
        <v>1403</v>
      </c>
      <c r="E2440" s="383"/>
      <c r="F2440" s="385"/>
      <c r="G2440" s="188" t="s">
        <v>1432</v>
      </c>
      <c r="H2440" s="378"/>
      <c r="I2440" s="188" t="s">
        <v>1433</v>
      </c>
      <c r="J2440" s="380"/>
      <c r="K2440" s="173" t="s">
        <v>233</v>
      </c>
      <c r="L2440" s="173" t="s">
        <v>233</v>
      </c>
      <c r="M2440" s="378"/>
      <c r="N2440" s="378"/>
      <c r="O2440" s="378"/>
      <c r="P2440" s="378"/>
      <c r="Q2440" s="378"/>
      <c r="R2440" s="378"/>
      <c r="S2440" s="378"/>
      <c r="T2440" s="378"/>
      <c r="U2440" s="378"/>
      <c r="V2440" s="378"/>
      <c r="W2440" s="378"/>
      <c r="X2440" s="378"/>
      <c r="Y2440" s="378"/>
      <c r="Z2440" s="378"/>
      <c r="AA2440" s="378"/>
      <c r="AB2440" s="378"/>
      <c r="AC2440" s="378"/>
      <c r="AD2440" s="378"/>
      <c r="AE2440" s="378"/>
      <c r="AF2440" s="378"/>
      <c r="AG2440" s="378"/>
      <c r="AH2440" s="378"/>
      <c r="AI2440" s="378"/>
      <c r="AJ2440" s="378"/>
      <c r="AK2440" s="378"/>
      <c r="AL2440" s="378"/>
      <c r="AM2440" s="378"/>
    </row>
    <row r="2441" spans="2:39" s="3" customFormat="1" ht="15.75" outlineLevel="1">
      <c r="B2441" s="178" t="s">
        <v>873</v>
      </c>
      <c r="C2441" s="218" t="s">
        <v>1489</v>
      </c>
      <c r="D2441" s="219" t="s">
        <v>1409</v>
      </c>
      <c r="E2441" s="23" t="s">
        <v>44</v>
      </c>
      <c r="F2441" s="93" t="s">
        <v>45</v>
      </c>
      <c r="G2441" s="188" t="s">
        <v>1432</v>
      </c>
      <c r="H2441" s="194">
        <v>22</v>
      </c>
      <c r="I2441" s="188" t="s">
        <v>1433</v>
      </c>
      <c r="J2441" s="220" t="s">
        <v>1468</v>
      </c>
      <c r="K2441" s="173" t="s">
        <v>233</v>
      </c>
      <c r="L2441" s="173" t="s">
        <v>233</v>
      </c>
      <c r="M2441" s="194">
        <v>7029</v>
      </c>
      <c r="N2441" s="194">
        <v>6856</v>
      </c>
      <c r="O2441" s="194">
        <v>727</v>
      </c>
      <c r="P2441" s="194" t="s">
        <v>252</v>
      </c>
      <c r="Q2441" s="194">
        <v>599</v>
      </c>
      <c r="R2441" s="194" t="s">
        <v>252</v>
      </c>
      <c r="S2441" s="194">
        <v>491</v>
      </c>
      <c r="T2441" s="194" t="s">
        <v>252</v>
      </c>
      <c r="U2441" s="194">
        <v>627</v>
      </c>
      <c r="V2441" s="194" t="s">
        <v>252</v>
      </c>
      <c r="W2441" s="194">
        <v>523</v>
      </c>
      <c r="X2441" s="194" t="s">
        <v>252</v>
      </c>
      <c r="Y2441" s="194">
        <v>448</v>
      </c>
      <c r="Z2441" s="194" t="s">
        <v>252</v>
      </c>
      <c r="AA2441" s="194">
        <v>406</v>
      </c>
      <c r="AB2441" s="194" t="s">
        <v>252</v>
      </c>
      <c r="AC2441" s="194">
        <v>549</v>
      </c>
      <c r="AD2441" s="194" t="s">
        <v>252</v>
      </c>
      <c r="AE2441" s="194">
        <v>602</v>
      </c>
      <c r="AF2441" s="194" t="s">
        <v>252</v>
      </c>
      <c r="AG2441" s="194">
        <v>615</v>
      </c>
      <c r="AH2441" s="194" t="s">
        <v>252</v>
      </c>
      <c r="AI2441" s="194">
        <v>596</v>
      </c>
      <c r="AJ2441" s="194" t="s">
        <v>252</v>
      </c>
      <c r="AK2441" s="194">
        <v>636</v>
      </c>
      <c r="AL2441" s="194" t="s">
        <v>252</v>
      </c>
      <c r="AM2441" s="194">
        <f t="shared" ref="AM2441:AM2462" si="20">O2441+Q2441+S2441+U2441+W2441+Y2441+AA2441+AC2441+AE2441+AG2441+AI2441+AK2441</f>
        <v>6819</v>
      </c>
    </row>
    <row r="2442" spans="2:39" s="3" customFormat="1" ht="15.75" outlineLevel="1">
      <c r="B2442" s="178" t="s">
        <v>874</v>
      </c>
      <c r="C2442" s="218" t="s">
        <v>1489</v>
      </c>
      <c r="D2442" s="219" t="s">
        <v>1403</v>
      </c>
      <c r="E2442" s="23" t="s">
        <v>44</v>
      </c>
      <c r="F2442" s="93" t="s">
        <v>45</v>
      </c>
      <c r="G2442" s="188" t="s">
        <v>1432</v>
      </c>
      <c r="H2442" s="194">
        <v>24</v>
      </c>
      <c r="I2442" s="188" t="s">
        <v>1433</v>
      </c>
      <c r="J2442" s="220" t="s">
        <v>1443</v>
      </c>
      <c r="K2442" s="173" t="s">
        <v>233</v>
      </c>
      <c r="L2442" s="173" t="s">
        <v>233</v>
      </c>
      <c r="M2442" s="194">
        <v>4477</v>
      </c>
      <c r="N2442" s="194">
        <v>3223</v>
      </c>
      <c r="O2442" s="194">
        <v>211</v>
      </c>
      <c r="P2442" s="194" t="s">
        <v>252</v>
      </c>
      <c r="Q2442" s="194">
        <v>202</v>
      </c>
      <c r="R2442" s="194" t="s">
        <v>252</v>
      </c>
      <c r="S2442" s="194">
        <v>192</v>
      </c>
      <c r="T2442" s="194" t="s">
        <v>252</v>
      </c>
      <c r="U2442" s="194">
        <v>264</v>
      </c>
      <c r="V2442" s="194" t="s">
        <v>252</v>
      </c>
      <c r="W2442" s="194">
        <v>195</v>
      </c>
      <c r="X2442" s="194" t="s">
        <v>252</v>
      </c>
      <c r="Y2442" s="194">
        <v>193</v>
      </c>
      <c r="Z2442" s="194" t="s">
        <v>252</v>
      </c>
      <c r="AA2442" s="194">
        <v>167</v>
      </c>
      <c r="AB2442" s="194" t="s">
        <v>252</v>
      </c>
      <c r="AC2442" s="194">
        <v>202</v>
      </c>
      <c r="AD2442" s="194" t="s">
        <v>252</v>
      </c>
      <c r="AE2442" s="194">
        <v>244</v>
      </c>
      <c r="AF2442" s="194" t="s">
        <v>252</v>
      </c>
      <c r="AG2442" s="194">
        <v>344</v>
      </c>
      <c r="AH2442" s="194" t="s">
        <v>252</v>
      </c>
      <c r="AI2442" s="194">
        <v>332</v>
      </c>
      <c r="AJ2442" s="194" t="s">
        <v>252</v>
      </c>
      <c r="AK2442" s="194">
        <v>279</v>
      </c>
      <c r="AL2442" s="194" t="s">
        <v>252</v>
      </c>
      <c r="AM2442" s="194">
        <f t="shared" si="20"/>
        <v>2825</v>
      </c>
    </row>
    <row r="2443" spans="2:39" s="3" customFormat="1" ht="15.75" outlineLevel="1">
      <c r="B2443" s="178" t="s">
        <v>875</v>
      </c>
      <c r="C2443" s="218" t="s">
        <v>1489</v>
      </c>
      <c r="D2443" s="219" t="s">
        <v>1410</v>
      </c>
      <c r="E2443" s="221" t="s">
        <v>138</v>
      </c>
      <c r="F2443" s="93" t="s">
        <v>45</v>
      </c>
      <c r="G2443" s="188" t="s">
        <v>1432</v>
      </c>
      <c r="H2443" s="376">
        <v>32</v>
      </c>
      <c r="I2443" s="188" t="s">
        <v>1433</v>
      </c>
      <c r="J2443" s="379" t="s">
        <v>1436</v>
      </c>
      <c r="K2443" s="173" t="s">
        <v>233</v>
      </c>
      <c r="L2443" s="173" t="s">
        <v>233</v>
      </c>
      <c r="M2443" s="194">
        <v>7344</v>
      </c>
      <c r="N2443" s="194">
        <v>7015</v>
      </c>
      <c r="O2443" s="194">
        <v>1066</v>
      </c>
      <c r="P2443" s="194" t="s">
        <v>252</v>
      </c>
      <c r="Q2443" s="194">
        <v>162</v>
      </c>
      <c r="R2443" s="194" t="s">
        <v>252</v>
      </c>
      <c r="S2443" s="194">
        <v>147</v>
      </c>
      <c r="T2443" s="194" t="s">
        <v>252</v>
      </c>
      <c r="U2443" s="194">
        <v>175</v>
      </c>
      <c r="V2443" s="194" t="s">
        <v>252</v>
      </c>
      <c r="W2443" s="194">
        <v>149</v>
      </c>
      <c r="X2443" s="194" t="s">
        <v>252</v>
      </c>
      <c r="Y2443" s="194">
        <v>170</v>
      </c>
      <c r="Z2443" s="194" t="s">
        <v>252</v>
      </c>
      <c r="AA2443" s="194">
        <v>183</v>
      </c>
      <c r="AB2443" s="194" t="s">
        <v>252</v>
      </c>
      <c r="AC2443" s="194">
        <v>181</v>
      </c>
      <c r="AD2443" s="194" t="s">
        <v>252</v>
      </c>
      <c r="AE2443" s="194">
        <v>195</v>
      </c>
      <c r="AF2443" s="194" t="s">
        <v>252</v>
      </c>
      <c r="AG2443" s="194">
        <v>184</v>
      </c>
      <c r="AH2443" s="194" t="s">
        <v>252</v>
      </c>
      <c r="AI2443" s="194">
        <v>171</v>
      </c>
      <c r="AJ2443" s="194" t="s">
        <v>252</v>
      </c>
      <c r="AK2443" s="194">
        <v>163</v>
      </c>
      <c r="AL2443" s="194" t="s">
        <v>252</v>
      </c>
      <c r="AM2443" s="194">
        <f t="shared" si="20"/>
        <v>2946</v>
      </c>
    </row>
    <row r="2444" spans="2:39" s="3" customFormat="1" ht="15.75" outlineLevel="1">
      <c r="B2444" s="178" t="s">
        <v>875</v>
      </c>
      <c r="C2444" s="218" t="s">
        <v>1489</v>
      </c>
      <c r="D2444" s="219" t="s">
        <v>1403</v>
      </c>
      <c r="E2444" s="23" t="s">
        <v>44</v>
      </c>
      <c r="F2444" s="93" t="s">
        <v>45</v>
      </c>
      <c r="G2444" s="188" t="s">
        <v>1432</v>
      </c>
      <c r="H2444" s="378"/>
      <c r="I2444" s="188" t="s">
        <v>1433</v>
      </c>
      <c r="J2444" s="380"/>
      <c r="K2444" s="173" t="s">
        <v>233</v>
      </c>
      <c r="L2444" s="173" t="s">
        <v>233</v>
      </c>
      <c r="M2444" s="194">
        <v>2570</v>
      </c>
      <c r="N2444" s="194">
        <v>2353</v>
      </c>
      <c r="O2444" s="194">
        <v>164</v>
      </c>
      <c r="P2444" s="194" t="s">
        <v>252</v>
      </c>
      <c r="Q2444" s="194">
        <v>844</v>
      </c>
      <c r="R2444" s="194" t="s">
        <v>252</v>
      </c>
      <c r="S2444" s="194">
        <v>713</v>
      </c>
      <c r="T2444" s="194" t="s">
        <v>252</v>
      </c>
      <c r="U2444" s="194">
        <v>804</v>
      </c>
      <c r="V2444" s="194" t="s">
        <v>252</v>
      </c>
      <c r="W2444" s="194">
        <v>645</v>
      </c>
      <c r="X2444" s="194" t="s">
        <v>252</v>
      </c>
      <c r="Y2444" s="194">
        <v>523</v>
      </c>
      <c r="Z2444" s="194" t="s">
        <v>252</v>
      </c>
      <c r="AA2444" s="194">
        <v>492</v>
      </c>
      <c r="AB2444" s="194" t="s">
        <v>252</v>
      </c>
      <c r="AC2444" s="194">
        <v>560</v>
      </c>
      <c r="AD2444" s="194" t="s">
        <v>252</v>
      </c>
      <c r="AE2444" s="194">
        <v>752</v>
      </c>
      <c r="AF2444" s="194" t="s">
        <v>252</v>
      </c>
      <c r="AG2444" s="194">
        <v>787</v>
      </c>
      <c r="AH2444" s="194" t="s">
        <v>252</v>
      </c>
      <c r="AI2444" s="194">
        <v>835</v>
      </c>
      <c r="AJ2444" s="194" t="s">
        <v>252</v>
      </c>
      <c r="AK2444" s="194">
        <v>1020</v>
      </c>
      <c r="AL2444" s="194" t="s">
        <v>252</v>
      </c>
      <c r="AM2444" s="194">
        <f t="shared" si="20"/>
        <v>8139</v>
      </c>
    </row>
    <row r="2445" spans="2:39" s="3" customFormat="1" ht="15.75" outlineLevel="1">
      <c r="B2445" s="178" t="s">
        <v>876</v>
      </c>
      <c r="C2445" s="218" t="s">
        <v>1489</v>
      </c>
      <c r="D2445" s="219" t="s">
        <v>1403</v>
      </c>
      <c r="E2445" s="23" t="s">
        <v>44</v>
      </c>
      <c r="F2445" s="222" t="s">
        <v>45</v>
      </c>
      <c r="G2445" s="188" t="s">
        <v>1432</v>
      </c>
      <c r="H2445" s="194">
        <v>34</v>
      </c>
      <c r="I2445" s="188" t="s">
        <v>1433</v>
      </c>
      <c r="J2445" s="220" t="s">
        <v>196</v>
      </c>
      <c r="K2445" s="173" t="s">
        <v>233</v>
      </c>
      <c r="L2445" s="173" t="s">
        <v>233</v>
      </c>
      <c r="M2445" s="194">
        <v>5535</v>
      </c>
      <c r="N2445" s="194">
        <v>5688</v>
      </c>
      <c r="O2445" s="194">
        <v>958</v>
      </c>
      <c r="P2445" s="194" t="s">
        <v>252</v>
      </c>
      <c r="Q2445" s="194">
        <v>594</v>
      </c>
      <c r="R2445" s="194" t="s">
        <v>252</v>
      </c>
      <c r="S2445" s="194">
        <v>913</v>
      </c>
      <c r="T2445" s="194" t="s">
        <v>252</v>
      </c>
      <c r="U2445" s="194">
        <v>587</v>
      </c>
      <c r="V2445" s="194" t="s">
        <v>252</v>
      </c>
      <c r="W2445" s="194">
        <v>273</v>
      </c>
      <c r="X2445" s="194" t="s">
        <v>252</v>
      </c>
      <c r="Y2445" s="194">
        <v>225</v>
      </c>
      <c r="Z2445" s="194" t="s">
        <v>252</v>
      </c>
      <c r="AA2445" s="194">
        <v>166</v>
      </c>
      <c r="AB2445" s="194" t="s">
        <v>252</v>
      </c>
      <c r="AC2445" s="194">
        <v>237</v>
      </c>
      <c r="AD2445" s="194" t="s">
        <v>252</v>
      </c>
      <c r="AE2445" s="194">
        <v>255</v>
      </c>
      <c r="AF2445" s="194" t="s">
        <v>252</v>
      </c>
      <c r="AG2445" s="194">
        <v>374</v>
      </c>
      <c r="AH2445" s="194" t="s">
        <v>252</v>
      </c>
      <c r="AI2445" s="194">
        <v>431</v>
      </c>
      <c r="AJ2445" s="194" t="s">
        <v>252</v>
      </c>
      <c r="AK2445" s="194">
        <v>418</v>
      </c>
      <c r="AL2445" s="194" t="s">
        <v>252</v>
      </c>
      <c r="AM2445" s="194">
        <f t="shared" si="20"/>
        <v>5431</v>
      </c>
    </row>
    <row r="2446" spans="2:39" s="3" customFormat="1" ht="15.75" outlineLevel="1">
      <c r="B2446" s="178" t="s">
        <v>877</v>
      </c>
      <c r="C2446" s="218" t="s">
        <v>1489</v>
      </c>
      <c r="D2446" s="219" t="s">
        <v>1403</v>
      </c>
      <c r="E2446" s="23" t="s">
        <v>44</v>
      </c>
      <c r="F2446" s="222" t="s">
        <v>45</v>
      </c>
      <c r="G2446" s="188" t="s">
        <v>1432</v>
      </c>
      <c r="H2446" s="194">
        <v>28</v>
      </c>
      <c r="I2446" s="188" t="s">
        <v>1433</v>
      </c>
      <c r="J2446" s="220" t="s">
        <v>1457</v>
      </c>
      <c r="K2446" s="173" t="s">
        <v>233</v>
      </c>
      <c r="L2446" s="173" t="s">
        <v>233</v>
      </c>
      <c r="M2446" s="194">
        <v>2657</v>
      </c>
      <c r="N2446" s="194">
        <v>2498</v>
      </c>
      <c r="O2446" s="194">
        <v>309</v>
      </c>
      <c r="P2446" s="194" t="s">
        <v>252</v>
      </c>
      <c r="Q2446" s="194">
        <v>221</v>
      </c>
      <c r="R2446" s="194" t="s">
        <v>252</v>
      </c>
      <c r="S2446" s="194">
        <v>175</v>
      </c>
      <c r="T2446" s="194" t="s">
        <v>252</v>
      </c>
      <c r="U2446" s="194">
        <v>242</v>
      </c>
      <c r="V2446" s="194" t="s">
        <v>252</v>
      </c>
      <c r="W2446" s="194">
        <v>69</v>
      </c>
      <c r="X2446" s="194" t="s">
        <v>252</v>
      </c>
      <c r="Y2446" s="194">
        <v>49</v>
      </c>
      <c r="Z2446" s="194" t="s">
        <v>252</v>
      </c>
      <c r="AA2446" s="194">
        <v>50</v>
      </c>
      <c r="AB2446" s="194" t="s">
        <v>252</v>
      </c>
      <c r="AC2446" s="194">
        <v>57</v>
      </c>
      <c r="AD2446" s="194" t="s">
        <v>252</v>
      </c>
      <c r="AE2446" s="194">
        <v>137</v>
      </c>
      <c r="AF2446" s="194" t="s">
        <v>252</v>
      </c>
      <c r="AG2446" s="194">
        <v>177</v>
      </c>
      <c r="AH2446" s="194" t="s">
        <v>252</v>
      </c>
      <c r="AI2446" s="194">
        <v>186</v>
      </c>
      <c r="AJ2446" s="194" t="s">
        <v>252</v>
      </c>
      <c r="AK2446" s="194">
        <v>270</v>
      </c>
      <c r="AL2446" s="194" t="s">
        <v>252</v>
      </c>
      <c r="AM2446" s="194">
        <f t="shared" si="20"/>
        <v>1942</v>
      </c>
    </row>
    <row r="2447" spans="2:39" s="3" customFormat="1" ht="15.75" outlineLevel="1">
      <c r="B2447" s="178" t="s">
        <v>878</v>
      </c>
      <c r="C2447" s="218" t="s">
        <v>1489</v>
      </c>
      <c r="D2447" s="219" t="s">
        <v>1403</v>
      </c>
      <c r="E2447" s="221" t="s">
        <v>138</v>
      </c>
      <c r="F2447" s="93" t="s">
        <v>45</v>
      </c>
      <c r="G2447" s="188" t="s">
        <v>1432</v>
      </c>
      <c r="H2447" s="376">
        <v>34</v>
      </c>
      <c r="I2447" s="188" t="s">
        <v>1433</v>
      </c>
      <c r="J2447" s="379" t="s">
        <v>1436</v>
      </c>
      <c r="K2447" s="173" t="s">
        <v>233</v>
      </c>
      <c r="L2447" s="173" t="s">
        <v>233</v>
      </c>
      <c r="M2447" s="194">
        <v>4824</v>
      </c>
      <c r="N2447" s="194">
        <v>4398</v>
      </c>
      <c r="O2447" s="194">
        <v>205</v>
      </c>
      <c r="P2447" s="194" t="s">
        <v>252</v>
      </c>
      <c r="Q2447" s="194">
        <v>254</v>
      </c>
      <c r="R2447" s="194" t="s">
        <v>252</v>
      </c>
      <c r="S2447" s="194">
        <v>153</v>
      </c>
      <c r="T2447" s="194" t="s">
        <v>252</v>
      </c>
      <c r="U2447" s="194">
        <v>282</v>
      </c>
      <c r="V2447" s="194" t="s">
        <v>252</v>
      </c>
      <c r="W2447" s="194">
        <v>194</v>
      </c>
      <c r="X2447" s="194" t="s">
        <v>252</v>
      </c>
      <c r="Y2447" s="194">
        <v>256</v>
      </c>
      <c r="Z2447" s="194" t="s">
        <v>252</v>
      </c>
      <c r="AA2447" s="194">
        <v>206</v>
      </c>
      <c r="AB2447" s="194" t="s">
        <v>252</v>
      </c>
      <c r="AC2447" s="194">
        <v>361</v>
      </c>
      <c r="AD2447" s="194" t="s">
        <v>252</v>
      </c>
      <c r="AE2447" s="194">
        <v>147</v>
      </c>
      <c r="AF2447" s="194" t="s">
        <v>252</v>
      </c>
      <c r="AG2447" s="194">
        <v>253</v>
      </c>
      <c r="AH2447" s="194" t="s">
        <v>252</v>
      </c>
      <c r="AI2447" s="194">
        <v>218</v>
      </c>
      <c r="AJ2447" s="194" t="s">
        <v>252</v>
      </c>
      <c r="AK2447" s="194">
        <v>165</v>
      </c>
      <c r="AL2447" s="194" t="s">
        <v>252</v>
      </c>
      <c r="AM2447" s="194">
        <f t="shared" si="20"/>
        <v>2694</v>
      </c>
    </row>
    <row r="2448" spans="2:39" s="3" customFormat="1" ht="15.75" outlineLevel="1">
      <c r="B2448" s="178" t="s">
        <v>878</v>
      </c>
      <c r="C2448" s="218" t="s">
        <v>1489</v>
      </c>
      <c r="D2448" s="219" t="s">
        <v>1403</v>
      </c>
      <c r="E2448" s="23" t="s">
        <v>44</v>
      </c>
      <c r="F2448" s="93" t="s">
        <v>45</v>
      </c>
      <c r="G2448" s="188" t="s">
        <v>1432</v>
      </c>
      <c r="H2448" s="378"/>
      <c r="I2448" s="188" t="s">
        <v>1433</v>
      </c>
      <c r="J2448" s="380"/>
      <c r="K2448" s="173" t="s">
        <v>233</v>
      </c>
      <c r="L2448" s="173" t="s">
        <v>233</v>
      </c>
      <c r="M2448" s="194">
        <v>2967</v>
      </c>
      <c r="N2448" s="194">
        <v>2651</v>
      </c>
      <c r="O2448" s="194">
        <v>410</v>
      </c>
      <c r="P2448" s="194" t="s">
        <v>252</v>
      </c>
      <c r="Q2448" s="194">
        <v>553</v>
      </c>
      <c r="R2448" s="194" t="s">
        <v>252</v>
      </c>
      <c r="S2448" s="194">
        <v>292</v>
      </c>
      <c r="T2448" s="194" t="s">
        <v>252</v>
      </c>
      <c r="U2448" s="194">
        <v>246</v>
      </c>
      <c r="V2448" s="194" t="s">
        <v>252</v>
      </c>
      <c r="W2448" s="194">
        <v>241</v>
      </c>
      <c r="X2448" s="194" t="s">
        <v>252</v>
      </c>
      <c r="Y2448" s="194">
        <v>383</v>
      </c>
      <c r="Z2448" s="194" t="s">
        <v>252</v>
      </c>
      <c r="AA2448" s="194">
        <v>248</v>
      </c>
      <c r="AB2448" s="194" t="s">
        <v>252</v>
      </c>
      <c r="AC2448" s="194">
        <v>236</v>
      </c>
      <c r="AD2448" s="194" t="s">
        <v>252</v>
      </c>
      <c r="AE2448" s="194">
        <v>361</v>
      </c>
      <c r="AF2448" s="194" t="s">
        <v>252</v>
      </c>
      <c r="AG2448" s="194">
        <v>377</v>
      </c>
      <c r="AH2448" s="194" t="s">
        <v>252</v>
      </c>
      <c r="AI2448" s="194">
        <v>400</v>
      </c>
      <c r="AJ2448" s="194" t="s">
        <v>252</v>
      </c>
      <c r="AK2448" s="194">
        <v>443</v>
      </c>
      <c r="AL2448" s="194" t="s">
        <v>252</v>
      </c>
      <c r="AM2448" s="194">
        <f t="shared" si="20"/>
        <v>4190</v>
      </c>
    </row>
    <row r="2449" spans="2:39" s="3" customFormat="1" ht="15.75" outlineLevel="1">
      <c r="B2449" s="178" t="s">
        <v>879</v>
      </c>
      <c r="C2449" s="218" t="s">
        <v>1489</v>
      </c>
      <c r="D2449" s="219" t="s">
        <v>1403</v>
      </c>
      <c r="E2449" s="23" t="s">
        <v>44</v>
      </c>
      <c r="F2449" s="93" t="s">
        <v>45</v>
      </c>
      <c r="G2449" s="188" t="s">
        <v>1432</v>
      </c>
      <c r="H2449" s="194">
        <v>42</v>
      </c>
      <c r="I2449" s="188" t="s">
        <v>1433</v>
      </c>
      <c r="J2449" s="220" t="s">
        <v>210</v>
      </c>
      <c r="K2449" s="173" t="s">
        <v>233</v>
      </c>
      <c r="L2449" s="173" t="s">
        <v>233</v>
      </c>
      <c r="M2449" s="194">
        <v>7382</v>
      </c>
      <c r="N2449" s="194">
        <v>7441</v>
      </c>
      <c r="O2449" s="194">
        <v>570</v>
      </c>
      <c r="P2449" s="194" t="s">
        <v>252</v>
      </c>
      <c r="Q2449" s="194">
        <v>603</v>
      </c>
      <c r="R2449" s="194" t="s">
        <v>252</v>
      </c>
      <c r="S2449" s="194">
        <v>404</v>
      </c>
      <c r="T2449" s="194" t="s">
        <v>252</v>
      </c>
      <c r="U2449" s="194">
        <v>690</v>
      </c>
      <c r="V2449" s="194" t="s">
        <v>252</v>
      </c>
      <c r="W2449" s="194">
        <v>538</v>
      </c>
      <c r="X2449" s="194" t="s">
        <v>252</v>
      </c>
      <c r="Y2449" s="194">
        <v>540</v>
      </c>
      <c r="Z2449" s="194" t="s">
        <v>252</v>
      </c>
      <c r="AA2449" s="194">
        <v>539</v>
      </c>
      <c r="AB2449" s="194" t="s">
        <v>252</v>
      </c>
      <c r="AC2449" s="194">
        <v>542</v>
      </c>
      <c r="AD2449" s="194" t="s">
        <v>252</v>
      </c>
      <c r="AE2449" s="194">
        <v>663</v>
      </c>
      <c r="AF2449" s="194" t="s">
        <v>252</v>
      </c>
      <c r="AG2449" s="194">
        <v>625</v>
      </c>
      <c r="AH2449" s="194" t="s">
        <v>252</v>
      </c>
      <c r="AI2449" s="194">
        <v>595</v>
      </c>
      <c r="AJ2449" s="194" t="s">
        <v>252</v>
      </c>
      <c r="AK2449" s="194">
        <v>645</v>
      </c>
      <c r="AL2449" s="194" t="s">
        <v>252</v>
      </c>
      <c r="AM2449" s="194">
        <f t="shared" si="20"/>
        <v>6954</v>
      </c>
    </row>
    <row r="2450" spans="2:39" s="3" customFormat="1" ht="15.75" outlineLevel="1">
      <c r="B2450" s="178" t="s">
        <v>880</v>
      </c>
      <c r="C2450" s="218" t="s">
        <v>1489</v>
      </c>
      <c r="D2450" s="219" t="s">
        <v>1403</v>
      </c>
      <c r="E2450" s="23" t="s">
        <v>44</v>
      </c>
      <c r="F2450" s="93" t="s">
        <v>45</v>
      </c>
      <c r="G2450" s="188" t="s">
        <v>1432</v>
      </c>
      <c r="H2450" s="194">
        <v>42</v>
      </c>
      <c r="I2450" s="188" t="s">
        <v>1433</v>
      </c>
      <c r="J2450" s="220" t="s">
        <v>208</v>
      </c>
      <c r="K2450" s="173" t="s">
        <v>233</v>
      </c>
      <c r="L2450" s="173" t="s">
        <v>233</v>
      </c>
      <c r="M2450" s="194">
        <v>1884</v>
      </c>
      <c r="N2450" s="194">
        <v>1647</v>
      </c>
      <c r="O2450" s="194">
        <v>157</v>
      </c>
      <c r="P2450" s="194" t="s">
        <v>252</v>
      </c>
      <c r="Q2450" s="194">
        <v>169</v>
      </c>
      <c r="R2450" s="194" t="s">
        <v>252</v>
      </c>
      <c r="S2450" s="194">
        <v>107</v>
      </c>
      <c r="T2450" s="194" t="s">
        <v>252</v>
      </c>
      <c r="U2450" s="194">
        <v>207</v>
      </c>
      <c r="V2450" s="194" t="s">
        <v>252</v>
      </c>
      <c r="W2450" s="194">
        <v>135</v>
      </c>
      <c r="X2450" s="194" t="s">
        <v>252</v>
      </c>
      <c r="Y2450" s="194">
        <v>80</v>
      </c>
      <c r="Z2450" s="194" t="s">
        <v>252</v>
      </c>
      <c r="AA2450" s="194">
        <v>46</v>
      </c>
      <c r="AB2450" s="194" t="s">
        <v>252</v>
      </c>
      <c r="AC2450" s="194">
        <v>70</v>
      </c>
      <c r="AD2450" s="194" t="s">
        <v>252</v>
      </c>
      <c r="AE2450" s="194">
        <v>99</v>
      </c>
      <c r="AF2450" s="194" t="s">
        <v>252</v>
      </c>
      <c r="AG2450" s="194">
        <v>141</v>
      </c>
      <c r="AH2450" s="194" t="s">
        <v>252</v>
      </c>
      <c r="AI2450" s="194">
        <v>304</v>
      </c>
      <c r="AJ2450" s="194" t="s">
        <v>252</v>
      </c>
      <c r="AK2450" s="194">
        <v>249</v>
      </c>
      <c r="AL2450" s="194" t="s">
        <v>252</v>
      </c>
      <c r="AM2450" s="194">
        <f t="shared" si="20"/>
        <v>1764</v>
      </c>
    </row>
    <row r="2451" spans="2:39" s="3" customFormat="1" ht="15.75" outlineLevel="1">
      <c r="B2451" s="178" t="s">
        <v>881</v>
      </c>
      <c r="C2451" s="218" t="s">
        <v>1489</v>
      </c>
      <c r="D2451" s="219" t="s">
        <v>1403</v>
      </c>
      <c r="E2451" s="221" t="s">
        <v>138</v>
      </c>
      <c r="F2451" s="93" t="s">
        <v>45</v>
      </c>
      <c r="G2451" s="188" t="s">
        <v>1432</v>
      </c>
      <c r="H2451" s="376">
        <v>28</v>
      </c>
      <c r="I2451" s="188" t="s">
        <v>1433</v>
      </c>
      <c r="J2451" s="379" t="s">
        <v>1464</v>
      </c>
      <c r="K2451" s="173" t="s">
        <v>233</v>
      </c>
      <c r="L2451" s="173" t="s">
        <v>233</v>
      </c>
      <c r="M2451" s="194">
        <v>3562</v>
      </c>
      <c r="N2451" s="194">
        <v>4516</v>
      </c>
      <c r="O2451" s="194">
        <v>68</v>
      </c>
      <c r="P2451" s="194" t="s">
        <v>252</v>
      </c>
      <c r="Q2451" s="194">
        <v>96</v>
      </c>
      <c r="R2451" s="194" t="s">
        <v>252</v>
      </c>
      <c r="S2451" s="194">
        <v>62</v>
      </c>
      <c r="T2451" s="194" t="s">
        <v>252</v>
      </c>
      <c r="U2451" s="194">
        <v>90</v>
      </c>
      <c r="V2451" s="194" t="s">
        <v>252</v>
      </c>
      <c r="W2451" s="194">
        <v>77</v>
      </c>
      <c r="X2451" s="194" t="s">
        <v>252</v>
      </c>
      <c r="Y2451" s="194">
        <v>78</v>
      </c>
      <c r="Z2451" s="194" t="s">
        <v>252</v>
      </c>
      <c r="AA2451" s="194">
        <v>80</v>
      </c>
      <c r="AB2451" s="194" t="s">
        <v>252</v>
      </c>
      <c r="AC2451" s="194">
        <v>78</v>
      </c>
      <c r="AD2451" s="194" t="s">
        <v>252</v>
      </c>
      <c r="AE2451" s="194">
        <v>87</v>
      </c>
      <c r="AF2451" s="194" t="s">
        <v>252</v>
      </c>
      <c r="AG2451" s="194">
        <v>77</v>
      </c>
      <c r="AH2451" s="194" t="s">
        <v>252</v>
      </c>
      <c r="AI2451" s="194">
        <v>77</v>
      </c>
      <c r="AJ2451" s="194" t="s">
        <v>252</v>
      </c>
      <c r="AK2451" s="194">
        <v>81</v>
      </c>
      <c r="AL2451" s="194" t="s">
        <v>252</v>
      </c>
      <c r="AM2451" s="194">
        <f t="shared" si="20"/>
        <v>951</v>
      </c>
    </row>
    <row r="2452" spans="2:39" s="3" customFormat="1" ht="15.75" outlineLevel="1">
      <c r="B2452" s="178" t="s">
        <v>881</v>
      </c>
      <c r="C2452" s="218" t="s">
        <v>1489</v>
      </c>
      <c r="D2452" s="219" t="s">
        <v>1403</v>
      </c>
      <c r="E2452" s="23" t="s">
        <v>44</v>
      </c>
      <c r="F2452" s="93" t="s">
        <v>45</v>
      </c>
      <c r="G2452" s="188" t="s">
        <v>1432</v>
      </c>
      <c r="H2452" s="378"/>
      <c r="I2452" s="188" t="s">
        <v>1433</v>
      </c>
      <c r="J2452" s="380"/>
      <c r="K2452" s="173" t="s">
        <v>233</v>
      </c>
      <c r="L2452" s="173" t="s">
        <v>233</v>
      </c>
      <c r="M2452" s="194">
        <v>897</v>
      </c>
      <c r="N2452" s="194">
        <v>1357</v>
      </c>
      <c r="O2452" s="194">
        <v>263</v>
      </c>
      <c r="P2452" s="194" t="s">
        <v>252</v>
      </c>
      <c r="Q2452" s="194">
        <v>350</v>
      </c>
      <c r="R2452" s="194" t="s">
        <v>252</v>
      </c>
      <c r="S2452" s="194">
        <v>220</v>
      </c>
      <c r="T2452" s="194" t="s">
        <v>252</v>
      </c>
      <c r="U2452" s="194">
        <v>276</v>
      </c>
      <c r="V2452" s="194" t="s">
        <v>252</v>
      </c>
      <c r="W2452" s="194">
        <v>220</v>
      </c>
      <c r="X2452" s="194" t="s">
        <v>252</v>
      </c>
      <c r="Y2452" s="194">
        <v>232</v>
      </c>
      <c r="Z2452" s="194" t="s">
        <v>252</v>
      </c>
      <c r="AA2452" s="194">
        <v>254</v>
      </c>
      <c r="AB2452" s="194" t="s">
        <v>252</v>
      </c>
      <c r="AC2452" s="194">
        <v>356</v>
      </c>
      <c r="AD2452" s="194" t="s">
        <v>252</v>
      </c>
      <c r="AE2452" s="194">
        <v>430</v>
      </c>
      <c r="AF2452" s="194" t="s">
        <v>252</v>
      </c>
      <c r="AG2452" s="194">
        <v>588</v>
      </c>
      <c r="AH2452" s="194" t="s">
        <v>252</v>
      </c>
      <c r="AI2452" s="194">
        <v>357</v>
      </c>
      <c r="AJ2452" s="194" t="s">
        <v>252</v>
      </c>
      <c r="AK2452" s="194">
        <v>229</v>
      </c>
      <c r="AL2452" s="194" t="s">
        <v>252</v>
      </c>
      <c r="AM2452" s="194">
        <f t="shared" si="20"/>
        <v>3775</v>
      </c>
    </row>
    <row r="2453" spans="2:39" s="3" customFormat="1" ht="15.75" outlineLevel="1">
      <c r="B2453" s="178" t="s">
        <v>882</v>
      </c>
      <c r="C2453" s="218" t="s">
        <v>1489</v>
      </c>
      <c r="D2453" s="219" t="s">
        <v>1403</v>
      </c>
      <c r="E2453" s="221" t="s">
        <v>138</v>
      </c>
      <c r="F2453" s="93" t="s">
        <v>45</v>
      </c>
      <c r="G2453" s="188" t="s">
        <v>1432</v>
      </c>
      <c r="H2453" s="376">
        <v>48</v>
      </c>
      <c r="I2453" s="188" t="s">
        <v>1433</v>
      </c>
      <c r="J2453" s="379" t="s">
        <v>1440</v>
      </c>
      <c r="K2453" s="173" t="s">
        <v>233</v>
      </c>
      <c r="L2453" s="173" t="s">
        <v>233</v>
      </c>
      <c r="M2453" s="194">
        <v>5486</v>
      </c>
      <c r="N2453" s="194">
        <v>2692</v>
      </c>
      <c r="O2453" s="194">
        <v>239</v>
      </c>
      <c r="P2453" s="194" t="s">
        <v>252</v>
      </c>
      <c r="Q2453" s="194">
        <v>312</v>
      </c>
      <c r="R2453" s="194" t="s">
        <v>252</v>
      </c>
      <c r="S2453" s="194">
        <v>181</v>
      </c>
      <c r="T2453" s="194" t="s">
        <v>252</v>
      </c>
      <c r="U2453" s="194">
        <v>301</v>
      </c>
      <c r="V2453" s="194" t="s">
        <v>252</v>
      </c>
      <c r="W2453" s="194">
        <v>224</v>
      </c>
      <c r="X2453" s="194" t="s">
        <v>252</v>
      </c>
      <c r="Y2453" s="194">
        <v>283</v>
      </c>
      <c r="Z2453" s="194" t="s">
        <v>252</v>
      </c>
      <c r="AA2453" s="194">
        <v>242</v>
      </c>
      <c r="AB2453" s="194" t="s">
        <v>252</v>
      </c>
      <c r="AC2453" s="194">
        <v>272</v>
      </c>
      <c r="AD2453" s="194" t="s">
        <v>252</v>
      </c>
      <c r="AE2453" s="194">
        <v>255</v>
      </c>
      <c r="AF2453" s="194" t="s">
        <v>252</v>
      </c>
      <c r="AG2453" s="194">
        <v>165</v>
      </c>
      <c r="AH2453" s="194" t="s">
        <v>252</v>
      </c>
      <c r="AI2453" s="194">
        <v>331</v>
      </c>
      <c r="AJ2453" s="194" t="s">
        <v>252</v>
      </c>
      <c r="AK2453" s="194">
        <v>250</v>
      </c>
      <c r="AL2453" s="194" t="s">
        <v>252</v>
      </c>
      <c r="AM2453" s="194">
        <f t="shared" si="20"/>
        <v>3055</v>
      </c>
    </row>
    <row r="2454" spans="2:39" s="3" customFormat="1" ht="15.75" outlineLevel="1">
      <c r="B2454" s="178" t="s">
        <v>882</v>
      </c>
      <c r="C2454" s="218" t="s">
        <v>1489</v>
      </c>
      <c r="D2454" s="219" t="s">
        <v>1403</v>
      </c>
      <c r="E2454" s="23" t="s">
        <v>44</v>
      </c>
      <c r="F2454" s="93" t="s">
        <v>45</v>
      </c>
      <c r="G2454" s="188" t="s">
        <v>1432</v>
      </c>
      <c r="H2454" s="378"/>
      <c r="I2454" s="188" t="s">
        <v>1433</v>
      </c>
      <c r="J2454" s="380"/>
      <c r="K2454" s="173" t="s">
        <v>233</v>
      </c>
      <c r="L2454" s="173" t="s">
        <v>233</v>
      </c>
      <c r="M2454" s="194">
        <v>5676</v>
      </c>
      <c r="N2454" s="194">
        <v>2997</v>
      </c>
      <c r="O2454" s="194">
        <v>332</v>
      </c>
      <c r="P2454" s="194" t="s">
        <v>252</v>
      </c>
      <c r="Q2454" s="194">
        <v>327</v>
      </c>
      <c r="R2454" s="194" t="s">
        <v>252</v>
      </c>
      <c r="S2454" s="194">
        <v>177</v>
      </c>
      <c r="T2454" s="194" t="s">
        <v>252</v>
      </c>
      <c r="U2454" s="194">
        <v>318</v>
      </c>
      <c r="V2454" s="194" t="s">
        <v>252</v>
      </c>
      <c r="W2454" s="194">
        <v>198</v>
      </c>
      <c r="X2454" s="194" t="s">
        <v>252</v>
      </c>
      <c r="Y2454" s="194">
        <v>244</v>
      </c>
      <c r="Z2454" s="194" t="s">
        <v>252</v>
      </c>
      <c r="AA2454" s="194">
        <v>155</v>
      </c>
      <c r="AB2454" s="194" t="s">
        <v>252</v>
      </c>
      <c r="AC2454" s="194">
        <v>252</v>
      </c>
      <c r="AD2454" s="194" t="s">
        <v>252</v>
      </c>
      <c r="AE2454" s="194">
        <v>303</v>
      </c>
      <c r="AF2454" s="194" t="s">
        <v>252</v>
      </c>
      <c r="AG2454" s="194">
        <v>207</v>
      </c>
      <c r="AH2454" s="194" t="s">
        <v>252</v>
      </c>
      <c r="AI2454" s="194">
        <v>353</v>
      </c>
      <c r="AJ2454" s="194" t="s">
        <v>252</v>
      </c>
      <c r="AK2454" s="194">
        <v>288</v>
      </c>
      <c r="AL2454" s="194" t="s">
        <v>252</v>
      </c>
      <c r="AM2454" s="194">
        <f t="shared" si="20"/>
        <v>3154</v>
      </c>
    </row>
    <row r="2455" spans="2:39" s="3" customFormat="1" ht="15.75" outlineLevel="1">
      <c r="B2455" s="178" t="s">
        <v>883</v>
      </c>
      <c r="C2455" s="218" t="s">
        <v>1489</v>
      </c>
      <c r="D2455" s="219" t="s">
        <v>1403</v>
      </c>
      <c r="E2455" s="23" t="s">
        <v>44</v>
      </c>
      <c r="F2455" s="93" t="s">
        <v>45</v>
      </c>
      <c r="G2455" s="188" t="s">
        <v>1432</v>
      </c>
      <c r="H2455" s="194">
        <v>32</v>
      </c>
      <c r="I2455" s="188" t="s">
        <v>1433</v>
      </c>
      <c r="J2455" s="220" t="s">
        <v>530</v>
      </c>
      <c r="K2455" s="173" t="s">
        <v>233</v>
      </c>
      <c r="L2455" s="173" t="s">
        <v>233</v>
      </c>
      <c r="M2455" s="194">
        <v>14958</v>
      </c>
      <c r="N2455" s="194">
        <v>14004</v>
      </c>
      <c r="O2455" s="194">
        <v>1055</v>
      </c>
      <c r="P2455" s="194" t="s">
        <v>252</v>
      </c>
      <c r="Q2455" s="194">
        <v>1115</v>
      </c>
      <c r="R2455" s="194" t="s">
        <v>252</v>
      </c>
      <c r="S2455" s="194">
        <v>728</v>
      </c>
      <c r="T2455" s="194" t="s">
        <v>252</v>
      </c>
      <c r="U2455" s="194">
        <v>1257</v>
      </c>
      <c r="V2455" s="194" t="s">
        <v>252</v>
      </c>
      <c r="W2455" s="194">
        <v>953</v>
      </c>
      <c r="X2455" s="194" t="s">
        <v>252</v>
      </c>
      <c r="Y2455" s="194">
        <v>749</v>
      </c>
      <c r="Z2455" s="194" t="s">
        <v>252</v>
      </c>
      <c r="AA2455" s="194">
        <v>764</v>
      </c>
      <c r="AB2455" s="194" t="s">
        <v>252</v>
      </c>
      <c r="AC2455" s="194">
        <v>896</v>
      </c>
      <c r="AD2455" s="194" t="s">
        <v>252</v>
      </c>
      <c r="AE2455" s="194">
        <v>1051</v>
      </c>
      <c r="AF2455" s="194" t="s">
        <v>252</v>
      </c>
      <c r="AG2455" s="194">
        <v>1217</v>
      </c>
      <c r="AH2455" s="194" t="s">
        <v>252</v>
      </c>
      <c r="AI2455" s="194">
        <v>1214</v>
      </c>
      <c r="AJ2455" s="194" t="s">
        <v>252</v>
      </c>
      <c r="AK2455" s="194">
        <v>1302</v>
      </c>
      <c r="AL2455" s="194" t="s">
        <v>252</v>
      </c>
      <c r="AM2455" s="194">
        <f t="shared" si="20"/>
        <v>12301</v>
      </c>
    </row>
    <row r="2456" spans="2:39" s="3" customFormat="1" ht="15.75" outlineLevel="1">
      <c r="B2456" s="178" t="s">
        <v>885</v>
      </c>
      <c r="C2456" s="218" t="s">
        <v>1489</v>
      </c>
      <c r="D2456" s="219" t="s">
        <v>1403</v>
      </c>
      <c r="E2456" s="23" t="s">
        <v>44</v>
      </c>
      <c r="F2456" s="222" t="s">
        <v>45</v>
      </c>
      <c r="G2456" s="188" t="s">
        <v>1432</v>
      </c>
      <c r="H2456" s="194">
        <v>24</v>
      </c>
      <c r="I2456" s="188" t="s">
        <v>1433</v>
      </c>
      <c r="J2456" s="220" t="s">
        <v>1469</v>
      </c>
      <c r="K2456" s="173" t="s">
        <v>233</v>
      </c>
      <c r="L2456" s="173" t="s">
        <v>233</v>
      </c>
      <c r="M2456" s="194">
        <v>4815</v>
      </c>
      <c r="N2456" s="194">
        <v>4629</v>
      </c>
      <c r="O2456" s="194">
        <v>439</v>
      </c>
      <c r="P2456" s="194" t="s">
        <v>252</v>
      </c>
      <c r="Q2456" s="194">
        <v>141</v>
      </c>
      <c r="R2456" s="194" t="s">
        <v>252</v>
      </c>
      <c r="S2456" s="194">
        <v>96</v>
      </c>
      <c r="T2456" s="194" t="s">
        <v>252</v>
      </c>
      <c r="U2456" s="194">
        <v>382</v>
      </c>
      <c r="V2456" s="194" t="s">
        <v>252</v>
      </c>
      <c r="W2456" s="194">
        <v>354</v>
      </c>
      <c r="X2456" s="194" t="s">
        <v>252</v>
      </c>
      <c r="Y2456" s="194">
        <v>342</v>
      </c>
      <c r="Z2456" s="194" t="s">
        <v>252</v>
      </c>
      <c r="AA2456" s="194">
        <v>283</v>
      </c>
      <c r="AB2456" s="194" t="s">
        <v>252</v>
      </c>
      <c r="AC2456" s="194">
        <v>226</v>
      </c>
      <c r="AD2456" s="194" t="s">
        <v>252</v>
      </c>
      <c r="AE2456" s="194">
        <v>169</v>
      </c>
      <c r="AF2456" s="194" t="s">
        <v>252</v>
      </c>
      <c r="AG2456" s="194">
        <v>335</v>
      </c>
      <c r="AH2456" s="194" t="s">
        <v>252</v>
      </c>
      <c r="AI2456" s="194">
        <v>687</v>
      </c>
      <c r="AJ2456" s="194" t="s">
        <v>252</v>
      </c>
      <c r="AK2456" s="194">
        <v>657</v>
      </c>
      <c r="AL2456" s="194" t="s">
        <v>252</v>
      </c>
      <c r="AM2456" s="194">
        <f t="shared" si="20"/>
        <v>4111</v>
      </c>
    </row>
    <row r="2457" spans="2:39" s="3" customFormat="1" ht="15.75" outlineLevel="1">
      <c r="B2457" s="178" t="s">
        <v>886</v>
      </c>
      <c r="C2457" s="218" t="s">
        <v>1489</v>
      </c>
      <c r="D2457" s="219" t="s">
        <v>1403</v>
      </c>
      <c r="E2457" s="23" t="s">
        <v>44</v>
      </c>
      <c r="F2457" s="222" t="s">
        <v>45</v>
      </c>
      <c r="G2457" s="188" t="s">
        <v>1432</v>
      </c>
      <c r="H2457" s="376">
        <v>38</v>
      </c>
      <c r="I2457" s="188" t="s">
        <v>1433</v>
      </c>
      <c r="J2457" s="379" t="s">
        <v>210</v>
      </c>
      <c r="K2457" s="173" t="s">
        <v>233</v>
      </c>
      <c r="L2457" s="173" t="s">
        <v>233</v>
      </c>
      <c r="M2457" s="194">
        <v>3565</v>
      </c>
      <c r="N2457" s="194">
        <v>3227</v>
      </c>
      <c r="O2457" s="194">
        <v>293</v>
      </c>
      <c r="P2457" s="194" t="s">
        <v>252</v>
      </c>
      <c r="Q2457" s="194">
        <v>308</v>
      </c>
      <c r="R2457" s="194" t="s">
        <v>252</v>
      </c>
      <c r="S2457" s="194">
        <v>207</v>
      </c>
      <c r="T2457" s="194" t="s">
        <v>252</v>
      </c>
      <c r="U2457" s="194">
        <v>239</v>
      </c>
      <c r="V2457" s="194" t="s">
        <v>252</v>
      </c>
      <c r="W2457" s="194">
        <v>193</v>
      </c>
      <c r="X2457" s="194" t="s">
        <v>252</v>
      </c>
      <c r="Y2457" s="194">
        <v>193</v>
      </c>
      <c r="Z2457" s="194" t="s">
        <v>252</v>
      </c>
      <c r="AA2457" s="194">
        <v>119</v>
      </c>
      <c r="AB2457" s="194" t="s">
        <v>252</v>
      </c>
      <c r="AC2457" s="194">
        <v>117</v>
      </c>
      <c r="AD2457" s="194" t="s">
        <v>252</v>
      </c>
      <c r="AE2457" s="194">
        <v>206</v>
      </c>
      <c r="AF2457" s="194" t="s">
        <v>252</v>
      </c>
      <c r="AG2457" s="194">
        <v>134</v>
      </c>
      <c r="AH2457" s="194" t="s">
        <v>252</v>
      </c>
      <c r="AI2457" s="194">
        <v>341</v>
      </c>
      <c r="AJ2457" s="194" t="s">
        <v>252</v>
      </c>
      <c r="AK2457" s="194">
        <v>322</v>
      </c>
      <c r="AL2457" s="194" t="s">
        <v>252</v>
      </c>
      <c r="AM2457" s="194">
        <f t="shared" si="20"/>
        <v>2672</v>
      </c>
    </row>
    <row r="2458" spans="2:39" s="3" customFormat="1" ht="15.75" outlineLevel="1">
      <c r="B2458" s="178" t="s">
        <v>887</v>
      </c>
      <c r="C2458" s="218" t="s">
        <v>1489</v>
      </c>
      <c r="D2458" s="219" t="s">
        <v>1403</v>
      </c>
      <c r="E2458" s="23" t="s">
        <v>44</v>
      </c>
      <c r="F2458" s="93" t="s">
        <v>45</v>
      </c>
      <c r="G2458" s="188" t="s">
        <v>1432</v>
      </c>
      <c r="H2458" s="378"/>
      <c r="I2458" s="188" t="s">
        <v>1433</v>
      </c>
      <c r="J2458" s="380"/>
      <c r="K2458" s="173" t="s">
        <v>233</v>
      </c>
      <c r="L2458" s="173" t="s">
        <v>233</v>
      </c>
      <c r="M2458" s="194"/>
      <c r="N2458" s="194"/>
      <c r="O2458" s="194"/>
      <c r="P2458" s="194" t="s">
        <v>252</v>
      </c>
      <c r="Q2458" s="194"/>
      <c r="R2458" s="194" t="s">
        <v>252</v>
      </c>
      <c r="S2458" s="194"/>
      <c r="T2458" s="194" t="s">
        <v>252</v>
      </c>
      <c r="U2458" s="194"/>
      <c r="V2458" s="194" t="s">
        <v>252</v>
      </c>
      <c r="W2458" s="194"/>
      <c r="X2458" s="194" t="s">
        <v>252</v>
      </c>
      <c r="Y2458" s="194"/>
      <c r="Z2458" s="194" t="s">
        <v>252</v>
      </c>
      <c r="AA2458" s="194"/>
      <c r="AB2458" s="194" t="s">
        <v>252</v>
      </c>
      <c r="AC2458" s="194"/>
      <c r="AD2458" s="194" t="s">
        <v>252</v>
      </c>
      <c r="AE2458" s="194"/>
      <c r="AF2458" s="194" t="s">
        <v>252</v>
      </c>
      <c r="AG2458" s="194"/>
      <c r="AH2458" s="194" t="s">
        <v>252</v>
      </c>
      <c r="AI2458" s="194"/>
      <c r="AJ2458" s="194" t="s">
        <v>252</v>
      </c>
      <c r="AK2458" s="194"/>
      <c r="AL2458" s="194" t="s">
        <v>252</v>
      </c>
      <c r="AM2458" s="194">
        <f t="shared" si="20"/>
        <v>0</v>
      </c>
    </row>
    <row r="2459" spans="2:39" s="3" customFormat="1" ht="15.75" outlineLevel="1">
      <c r="B2459" s="178" t="s">
        <v>888</v>
      </c>
      <c r="C2459" s="218" t="s">
        <v>1489</v>
      </c>
      <c r="D2459" s="219" t="s">
        <v>1403</v>
      </c>
      <c r="E2459" s="221" t="s">
        <v>138</v>
      </c>
      <c r="F2459" s="93" t="s">
        <v>45</v>
      </c>
      <c r="G2459" s="188" t="s">
        <v>1432</v>
      </c>
      <c r="H2459" s="376">
        <v>35</v>
      </c>
      <c r="I2459" s="188" t="s">
        <v>1433</v>
      </c>
      <c r="J2459" s="379" t="s">
        <v>1470</v>
      </c>
      <c r="K2459" s="173" t="s">
        <v>233</v>
      </c>
      <c r="L2459" s="173" t="s">
        <v>233</v>
      </c>
      <c r="M2459" s="194">
        <v>2550</v>
      </c>
      <c r="N2459" s="194">
        <v>2421</v>
      </c>
      <c r="O2459" s="194">
        <v>103</v>
      </c>
      <c r="P2459" s="194" t="s">
        <v>252</v>
      </c>
      <c r="Q2459" s="194">
        <v>156</v>
      </c>
      <c r="R2459" s="194" t="s">
        <v>252</v>
      </c>
      <c r="S2459" s="194">
        <v>125</v>
      </c>
      <c r="T2459" s="194" t="s">
        <v>252</v>
      </c>
      <c r="U2459" s="194">
        <v>130</v>
      </c>
      <c r="V2459" s="194" t="s">
        <v>252</v>
      </c>
      <c r="W2459" s="194">
        <v>125</v>
      </c>
      <c r="X2459" s="194" t="s">
        <v>252</v>
      </c>
      <c r="Y2459" s="194">
        <v>138</v>
      </c>
      <c r="Z2459" s="194" t="s">
        <v>252</v>
      </c>
      <c r="AA2459" s="194">
        <v>112</v>
      </c>
      <c r="AB2459" s="194" t="s">
        <v>252</v>
      </c>
      <c r="AC2459" s="194">
        <v>117</v>
      </c>
      <c r="AD2459" s="194" t="s">
        <v>252</v>
      </c>
      <c r="AE2459" s="194">
        <v>128</v>
      </c>
      <c r="AF2459" s="194" t="s">
        <v>252</v>
      </c>
      <c r="AG2459" s="194">
        <v>82</v>
      </c>
      <c r="AH2459" s="194" t="s">
        <v>252</v>
      </c>
      <c r="AI2459" s="194">
        <v>151</v>
      </c>
      <c r="AJ2459" s="194" t="s">
        <v>252</v>
      </c>
      <c r="AK2459" s="194">
        <v>110</v>
      </c>
      <c r="AL2459" s="194" t="s">
        <v>252</v>
      </c>
      <c r="AM2459" s="194">
        <f t="shared" si="20"/>
        <v>1477</v>
      </c>
    </row>
    <row r="2460" spans="2:39" s="3" customFormat="1" ht="15.75" outlineLevel="1">
      <c r="B2460" s="178" t="s">
        <v>888</v>
      </c>
      <c r="C2460" s="218" t="s">
        <v>1489</v>
      </c>
      <c r="D2460" s="219" t="s">
        <v>1403</v>
      </c>
      <c r="E2460" s="23" t="s">
        <v>44</v>
      </c>
      <c r="F2460" s="93" t="s">
        <v>45</v>
      </c>
      <c r="G2460" s="188" t="s">
        <v>1432</v>
      </c>
      <c r="H2460" s="378"/>
      <c r="I2460" s="188" t="s">
        <v>1433</v>
      </c>
      <c r="J2460" s="380"/>
      <c r="K2460" s="173" t="s">
        <v>233</v>
      </c>
      <c r="L2460" s="173" t="s">
        <v>233</v>
      </c>
      <c r="M2460" s="194">
        <v>2081</v>
      </c>
      <c r="N2460" s="194">
        <v>1997</v>
      </c>
      <c r="O2460" s="194">
        <v>159</v>
      </c>
      <c r="P2460" s="194" t="s">
        <v>252</v>
      </c>
      <c r="Q2460" s="194">
        <v>164</v>
      </c>
      <c r="R2460" s="194" t="s">
        <v>252</v>
      </c>
      <c r="S2460" s="194">
        <v>121</v>
      </c>
      <c r="T2460" s="194" t="s">
        <v>252</v>
      </c>
      <c r="U2460" s="194">
        <v>159</v>
      </c>
      <c r="V2460" s="194" t="s">
        <v>252</v>
      </c>
      <c r="W2460" s="194">
        <v>148</v>
      </c>
      <c r="X2460" s="194" t="s">
        <v>252</v>
      </c>
      <c r="Y2460" s="194">
        <v>157</v>
      </c>
      <c r="Z2460" s="194" t="s">
        <v>252</v>
      </c>
      <c r="AA2460" s="194">
        <v>123</v>
      </c>
      <c r="AB2460" s="194" t="s">
        <v>252</v>
      </c>
      <c r="AC2460" s="194">
        <v>130</v>
      </c>
      <c r="AD2460" s="194" t="s">
        <v>252</v>
      </c>
      <c r="AE2460" s="194">
        <v>178</v>
      </c>
      <c r="AF2460" s="194" t="s">
        <v>252</v>
      </c>
      <c r="AG2460" s="194">
        <v>141</v>
      </c>
      <c r="AH2460" s="194" t="s">
        <v>252</v>
      </c>
      <c r="AI2460" s="194">
        <v>181</v>
      </c>
      <c r="AJ2460" s="194" t="s">
        <v>252</v>
      </c>
      <c r="AK2460" s="194">
        <v>137</v>
      </c>
      <c r="AL2460" s="194" t="s">
        <v>252</v>
      </c>
      <c r="AM2460" s="194">
        <f t="shared" si="20"/>
        <v>1798</v>
      </c>
    </row>
    <row r="2461" spans="2:39" s="3" customFormat="1" ht="15.75" outlineLevel="1">
      <c r="B2461" s="178" t="s">
        <v>889</v>
      </c>
      <c r="C2461" s="218" t="s">
        <v>1489</v>
      </c>
      <c r="D2461" s="219" t="s">
        <v>1403</v>
      </c>
      <c r="E2461" s="23" t="s">
        <v>44</v>
      </c>
      <c r="F2461" s="93" t="s">
        <v>45</v>
      </c>
      <c r="G2461" s="188" t="s">
        <v>1432</v>
      </c>
      <c r="H2461" s="376">
        <v>38</v>
      </c>
      <c r="I2461" s="188" t="s">
        <v>1433</v>
      </c>
      <c r="J2461" s="379" t="s">
        <v>1460</v>
      </c>
      <c r="K2461" s="173" t="s">
        <v>233</v>
      </c>
      <c r="L2461" s="173" t="s">
        <v>233</v>
      </c>
      <c r="M2461" s="194">
        <v>15946</v>
      </c>
      <c r="N2461" s="194">
        <v>11118</v>
      </c>
      <c r="O2461" s="194">
        <v>1183</v>
      </c>
      <c r="P2461" s="194" t="s">
        <v>252</v>
      </c>
      <c r="Q2461" s="194">
        <v>993</v>
      </c>
      <c r="R2461" s="194" t="s">
        <v>252</v>
      </c>
      <c r="S2461" s="194">
        <v>845</v>
      </c>
      <c r="T2461" s="194" t="s">
        <v>252</v>
      </c>
      <c r="U2461" s="194">
        <v>1031</v>
      </c>
      <c r="V2461" s="194" t="s">
        <v>252</v>
      </c>
      <c r="W2461" s="194">
        <v>545</v>
      </c>
      <c r="X2461" s="194" t="s">
        <v>252</v>
      </c>
      <c r="Y2461" s="194">
        <v>445</v>
      </c>
      <c r="Z2461" s="194" t="s">
        <v>252</v>
      </c>
      <c r="AA2461" s="194">
        <v>382</v>
      </c>
      <c r="AB2461" s="194" t="s">
        <v>252</v>
      </c>
      <c r="AC2461" s="194">
        <v>334</v>
      </c>
      <c r="AD2461" s="194" t="s">
        <v>252</v>
      </c>
      <c r="AE2461" s="194">
        <v>376</v>
      </c>
      <c r="AF2461" s="194" t="s">
        <v>252</v>
      </c>
      <c r="AG2461" s="194">
        <v>322</v>
      </c>
      <c r="AH2461" s="194" t="s">
        <v>252</v>
      </c>
      <c r="AI2461" s="194">
        <v>435</v>
      </c>
      <c r="AJ2461" s="194" t="s">
        <v>252</v>
      </c>
      <c r="AK2461" s="194">
        <v>717</v>
      </c>
      <c r="AL2461" s="194" t="s">
        <v>252</v>
      </c>
      <c r="AM2461" s="194">
        <f t="shared" si="20"/>
        <v>7608</v>
      </c>
    </row>
    <row r="2462" spans="2:39" s="3" customFormat="1" ht="15.75" outlineLevel="1">
      <c r="B2462" s="178" t="s">
        <v>890</v>
      </c>
      <c r="C2462" s="218" t="s">
        <v>1489</v>
      </c>
      <c r="D2462" s="219" t="s">
        <v>1403</v>
      </c>
      <c r="E2462" s="23" t="s">
        <v>44</v>
      </c>
      <c r="F2462" s="93" t="s">
        <v>45</v>
      </c>
      <c r="G2462" s="188" t="s">
        <v>1432</v>
      </c>
      <c r="H2462" s="378"/>
      <c r="I2462" s="188" t="s">
        <v>1433</v>
      </c>
      <c r="J2462" s="380"/>
      <c r="K2462" s="173" t="s">
        <v>233</v>
      </c>
      <c r="L2462" s="173" t="s">
        <v>233</v>
      </c>
      <c r="M2462" s="194"/>
      <c r="N2462" s="194"/>
      <c r="O2462" s="194"/>
      <c r="P2462" s="194" t="s">
        <v>252</v>
      </c>
      <c r="Q2462" s="194"/>
      <c r="R2462" s="194" t="s">
        <v>252</v>
      </c>
      <c r="S2462" s="194"/>
      <c r="T2462" s="194" t="s">
        <v>252</v>
      </c>
      <c r="U2462" s="194"/>
      <c r="V2462" s="194" t="s">
        <v>252</v>
      </c>
      <c r="W2462" s="194"/>
      <c r="X2462" s="194" t="s">
        <v>252</v>
      </c>
      <c r="Y2462" s="194"/>
      <c r="Z2462" s="194" t="s">
        <v>252</v>
      </c>
      <c r="AA2462" s="194"/>
      <c r="AB2462" s="194" t="s">
        <v>252</v>
      </c>
      <c r="AC2462" s="194"/>
      <c r="AD2462" s="194" t="s">
        <v>252</v>
      </c>
      <c r="AE2462" s="194"/>
      <c r="AF2462" s="194" t="s">
        <v>252</v>
      </c>
      <c r="AG2462" s="194"/>
      <c r="AH2462" s="194" t="s">
        <v>252</v>
      </c>
      <c r="AI2462" s="194"/>
      <c r="AJ2462" s="194" t="s">
        <v>252</v>
      </c>
      <c r="AK2462" s="194"/>
      <c r="AL2462" s="194" t="s">
        <v>252</v>
      </c>
      <c r="AM2462" s="194">
        <f t="shared" si="20"/>
        <v>0</v>
      </c>
    </row>
    <row r="2463" spans="2:39" s="3" customFormat="1" ht="15.75" outlineLevel="1">
      <c r="B2463" s="178" t="s">
        <v>891</v>
      </c>
      <c r="C2463" s="218" t="s">
        <v>1489</v>
      </c>
      <c r="D2463" s="219" t="s">
        <v>1403</v>
      </c>
      <c r="E2463" s="382" t="s">
        <v>138</v>
      </c>
      <c r="F2463" s="384" t="s">
        <v>45</v>
      </c>
      <c r="G2463" s="188" t="s">
        <v>1432</v>
      </c>
      <c r="H2463" s="376">
        <v>75</v>
      </c>
      <c r="I2463" s="188" t="s">
        <v>1433</v>
      </c>
      <c r="J2463" s="379" t="s">
        <v>1440</v>
      </c>
      <c r="K2463" s="173" t="s">
        <v>233</v>
      </c>
      <c r="L2463" s="173" t="s">
        <v>233</v>
      </c>
      <c r="M2463" s="376">
        <v>4507</v>
      </c>
      <c r="N2463" s="376">
        <v>4751</v>
      </c>
      <c r="O2463" s="376">
        <v>300</v>
      </c>
      <c r="P2463" s="376" t="s">
        <v>252</v>
      </c>
      <c r="Q2463" s="376">
        <v>464</v>
      </c>
      <c r="R2463" s="376" t="s">
        <v>252</v>
      </c>
      <c r="S2463" s="376">
        <v>368</v>
      </c>
      <c r="T2463" s="376" t="s">
        <v>252</v>
      </c>
      <c r="U2463" s="376">
        <v>383</v>
      </c>
      <c r="V2463" s="376" t="s">
        <v>252</v>
      </c>
      <c r="W2463" s="376">
        <v>323</v>
      </c>
      <c r="X2463" s="376" t="s">
        <v>252</v>
      </c>
      <c r="Y2463" s="376">
        <v>328</v>
      </c>
      <c r="Z2463" s="376" t="s">
        <v>252</v>
      </c>
      <c r="AA2463" s="376">
        <v>358</v>
      </c>
      <c r="AB2463" s="376" t="s">
        <v>252</v>
      </c>
      <c r="AC2463" s="376">
        <v>278</v>
      </c>
      <c r="AD2463" s="376" t="s">
        <v>252</v>
      </c>
      <c r="AE2463" s="376">
        <v>293</v>
      </c>
      <c r="AF2463" s="376" t="s">
        <v>252</v>
      </c>
      <c r="AG2463" s="376">
        <v>249</v>
      </c>
      <c r="AH2463" s="376" t="s">
        <v>252</v>
      </c>
      <c r="AI2463" s="376">
        <v>276</v>
      </c>
      <c r="AJ2463" s="376" t="s">
        <v>252</v>
      </c>
      <c r="AK2463" s="376">
        <v>276</v>
      </c>
      <c r="AL2463" s="376" t="s">
        <v>252</v>
      </c>
      <c r="AM2463" s="336">
        <f>O2463+Q2463+S2463+U2463+W2463+Y2463+AA2463+AC2463+AE2463+AG2463+AI2463+AK2463</f>
        <v>3896</v>
      </c>
    </row>
    <row r="2464" spans="2:39" s="3" customFormat="1" ht="15.75" outlineLevel="1">
      <c r="B2464" s="178" t="s">
        <v>892</v>
      </c>
      <c r="C2464" s="218" t="s">
        <v>1489</v>
      </c>
      <c r="D2464" s="219" t="s">
        <v>1403</v>
      </c>
      <c r="E2464" s="383"/>
      <c r="F2464" s="385"/>
      <c r="G2464" s="188" t="s">
        <v>1432</v>
      </c>
      <c r="H2464" s="377"/>
      <c r="I2464" s="188" t="s">
        <v>1433</v>
      </c>
      <c r="J2464" s="381"/>
      <c r="K2464" s="173" t="s">
        <v>233</v>
      </c>
      <c r="L2464" s="173" t="s">
        <v>233</v>
      </c>
      <c r="M2464" s="378"/>
      <c r="N2464" s="378"/>
      <c r="O2464" s="378"/>
      <c r="P2464" s="378"/>
      <c r="Q2464" s="378"/>
      <c r="R2464" s="378"/>
      <c r="S2464" s="378"/>
      <c r="T2464" s="378"/>
      <c r="U2464" s="378"/>
      <c r="V2464" s="378"/>
      <c r="W2464" s="378"/>
      <c r="X2464" s="378"/>
      <c r="Y2464" s="378"/>
      <c r="Z2464" s="378"/>
      <c r="AA2464" s="378"/>
      <c r="AB2464" s="378"/>
      <c r="AC2464" s="378"/>
      <c r="AD2464" s="378"/>
      <c r="AE2464" s="378"/>
      <c r="AF2464" s="378"/>
      <c r="AG2464" s="378"/>
      <c r="AH2464" s="378"/>
      <c r="AI2464" s="378"/>
      <c r="AJ2464" s="378"/>
      <c r="AK2464" s="378"/>
      <c r="AL2464" s="378"/>
      <c r="AM2464" s="337"/>
    </row>
    <row r="2465" spans="2:39" s="3" customFormat="1" ht="15.75" outlineLevel="1">
      <c r="B2465" s="178" t="s">
        <v>891</v>
      </c>
      <c r="C2465" s="218" t="s">
        <v>1489</v>
      </c>
      <c r="D2465" s="219" t="s">
        <v>1403</v>
      </c>
      <c r="E2465" s="382" t="s">
        <v>44</v>
      </c>
      <c r="F2465" s="384" t="s">
        <v>45</v>
      </c>
      <c r="G2465" s="188" t="s">
        <v>1432</v>
      </c>
      <c r="H2465" s="377"/>
      <c r="I2465" s="188" t="s">
        <v>1433</v>
      </c>
      <c r="J2465" s="381"/>
      <c r="K2465" s="173" t="s">
        <v>233</v>
      </c>
      <c r="L2465" s="173" t="s">
        <v>233</v>
      </c>
      <c r="M2465" s="376">
        <v>4041</v>
      </c>
      <c r="N2465" s="376">
        <v>4192</v>
      </c>
      <c r="O2465" s="376">
        <v>245</v>
      </c>
      <c r="P2465" s="376" t="s">
        <v>252</v>
      </c>
      <c r="Q2465" s="376">
        <v>184</v>
      </c>
      <c r="R2465" s="376" t="s">
        <v>252</v>
      </c>
      <c r="S2465" s="376">
        <v>111</v>
      </c>
      <c r="T2465" s="376" t="s">
        <v>252</v>
      </c>
      <c r="U2465" s="376">
        <v>115</v>
      </c>
      <c r="V2465" s="376" t="s">
        <v>252</v>
      </c>
      <c r="W2465" s="376">
        <v>244</v>
      </c>
      <c r="X2465" s="376" t="s">
        <v>252</v>
      </c>
      <c r="Y2465" s="376">
        <v>283</v>
      </c>
      <c r="Z2465" s="376" t="s">
        <v>252</v>
      </c>
      <c r="AA2465" s="376">
        <v>311</v>
      </c>
      <c r="AB2465" s="376" t="s">
        <v>252</v>
      </c>
      <c r="AC2465" s="376">
        <v>253</v>
      </c>
      <c r="AD2465" s="376" t="s">
        <v>252</v>
      </c>
      <c r="AE2465" s="376">
        <v>330</v>
      </c>
      <c r="AF2465" s="376" t="s">
        <v>252</v>
      </c>
      <c r="AG2465" s="376">
        <v>377</v>
      </c>
      <c r="AH2465" s="376" t="s">
        <v>252</v>
      </c>
      <c r="AI2465" s="376">
        <v>280</v>
      </c>
      <c r="AJ2465" s="376" t="s">
        <v>252</v>
      </c>
      <c r="AK2465" s="376">
        <v>244</v>
      </c>
      <c r="AL2465" s="376" t="s">
        <v>252</v>
      </c>
      <c r="AM2465" s="336">
        <f>O2465+Q2465+S2465+U2465+W2465+Y2465+AA2465+AC2465+AE2465+AG2465+AI2465+AK2465</f>
        <v>2977</v>
      </c>
    </row>
    <row r="2466" spans="2:39" s="3" customFormat="1" ht="15.75" outlineLevel="1">
      <c r="B2466" s="178" t="s">
        <v>892</v>
      </c>
      <c r="C2466" s="218" t="s">
        <v>1489</v>
      </c>
      <c r="D2466" s="219" t="s">
        <v>1403</v>
      </c>
      <c r="E2466" s="383"/>
      <c r="F2466" s="385"/>
      <c r="G2466" s="188" t="s">
        <v>1432</v>
      </c>
      <c r="H2466" s="378"/>
      <c r="I2466" s="188" t="s">
        <v>1433</v>
      </c>
      <c r="J2466" s="380"/>
      <c r="K2466" s="173" t="s">
        <v>233</v>
      </c>
      <c r="L2466" s="173" t="s">
        <v>233</v>
      </c>
      <c r="M2466" s="378"/>
      <c r="N2466" s="378"/>
      <c r="O2466" s="378"/>
      <c r="P2466" s="378"/>
      <c r="Q2466" s="378"/>
      <c r="R2466" s="378"/>
      <c r="S2466" s="378"/>
      <c r="T2466" s="378"/>
      <c r="U2466" s="378"/>
      <c r="V2466" s="378"/>
      <c r="W2466" s="378"/>
      <c r="X2466" s="378"/>
      <c r="Y2466" s="378"/>
      <c r="Z2466" s="378"/>
      <c r="AA2466" s="378"/>
      <c r="AB2466" s="378"/>
      <c r="AC2466" s="378"/>
      <c r="AD2466" s="378"/>
      <c r="AE2466" s="378"/>
      <c r="AF2466" s="378"/>
      <c r="AG2466" s="378"/>
      <c r="AH2466" s="378"/>
      <c r="AI2466" s="378"/>
      <c r="AJ2466" s="378"/>
      <c r="AK2466" s="378"/>
      <c r="AL2466" s="378"/>
      <c r="AM2466" s="337"/>
    </row>
    <row r="2467" spans="2:39" s="3" customFormat="1" ht="15.75" outlineLevel="1">
      <c r="B2467" s="178" t="s">
        <v>893</v>
      </c>
      <c r="C2467" s="218" t="s">
        <v>1489</v>
      </c>
      <c r="D2467" s="219" t="s">
        <v>1403</v>
      </c>
      <c r="E2467" s="23" t="s">
        <v>44</v>
      </c>
      <c r="F2467" s="93" t="s">
        <v>45</v>
      </c>
      <c r="G2467" s="188" t="s">
        <v>1432</v>
      </c>
      <c r="H2467" s="194">
        <v>6</v>
      </c>
      <c r="I2467" s="188" t="s">
        <v>1433</v>
      </c>
      <c r="J2467" s="220" t="s">
        <v>1471</v>
      </c>
      <c r="K2467" s="173" t="s">
        <v>233</v>
      </c>
      <c r="L2467" s="173" t="s">
        <v>233</v>
      </c>
      <c r="M2467" s="194">
        <v>5109</v>
      </c>
      <c r="N2467" s="194">
        <v>5376</v>
      </c>
      <c r="O2467" s="194">
        <v>435</v>
      </c>
      <c r="P2467" s="194" t="s">
        <v>252</v>
      </c>
      <c r="Q2467" s="194">
        <v>285</v>
      </c>
      <c r="R2467" s="194" t="s">
        <v>252</v>
      </c>
      <c r="S2467" s="194">
        <v>201</v>
      </c>
      <c r="T2467" s="194" t="s">
        <v>252</v>
      </c>
      <c r="U2467" s="194">
        <v>296</v>
      </c>
      <c r="V2467" s="194" t="s">
        <v>252</v>
      </c>
      <c r="W2467" s="194">
        <v>263</v>
      </c>
      <c r="X2467" s="194" t="s">
        <v>252</v>
      </c>
      <c r="Y2467" s="194">
        <v>300</v>
      </c>
      <c r="Z2467" s="194" t="s">
        <v>252</v>
      </c>
      <c r="AA2467" s="194">
        <v>232</v>
      </c>
      <c r="AB2467" s="194" t="s">
        <v>252</v>
      </c>
      <c r="AC2467" s="194">
        <v>374</v>
      </c>
      <c r="AD2467" s="194" t="s">
        <v>252</v>
      </c>
      <c r="AE2467" s="194">
        <v>463</v>
      </c>
      <c r="AF2467" s="194" t="s">
        <v>252</v>
      </c>
      <c r="AG2467" s="194">
        <v>469</v>
      </c>
      <c r="AH2467" s="194" t="s">
        <v>252</v>
      </c>
      <c r="AI2467" s="194">
        <v>456</v>
      </c>
      <c r="AJ2467" s="194" t="s">
        <v>252</v>
      </c>
      <c r="AK2467" s="194">
        <v>403</v>
      </c>
      <c r="AL2467" s="194" t="s">
        <v>252</v>
      </c>
      <c r="AM2467" s="194">
        <f t="shared" ref="AM2467:AM2480" si="21">O2467+Q2467+S2467+U2467+W2467+Y2467+AA2467+AC2467+AE2467+AG2467+AI2467+AK2467</f>
        <v>4177</v>
      </c>
    </row>
    <row r="2468" spans="2:39" s="3" customFormat="1" ht="15.75" outlineLevel="1">
      <c r="B2468" s="178" t="s">
        <v>894</v>
      </c>
      <c r="C2468" s="218" t="s">
        <v>1489</v>
      </c>
      <c r="D2468" s="219" t="s">
        <v>1403</v>
      </c>
      <c r="E2468" s="23" t="s">
        <v>44</v>
      </c>
      <c r="F2468" s="93" t="s">
        <v>45</v>
      </c>
      <c r="G2468" s="188" t="s">
        <v>1432</v>
      </c>
      <c r="H2468" s="194">
        <v>10</v>
      </c>
      <c r="I2468" s="188" t="s">
        <v>1433</v>
      </c>
      <c r="J2468" s="220" t="s">
        <v>1442</v>
      </c>
      <c r="K2468" s="173" t="s">
        <v>233</v>
      </c>
      <c r="L2468" s="173" t="s">
        <v>233</v>
      </c>
      <c r="M2468" s="194">
        <v>3776</v>
      </c>
      <c r="N2468" s="194">
        <v>4197</v>
      </c>
      <c r="O2468" s="194">
        <v>159</v>
      </c>
      <c r="P2468" s="194" t="s">
        <v>252</v>
      </c>
      <c r="Q2468" s="194">
        <v>170</v>
      </c>
      <c r="R2468" s="194" t="s">
        <v>252</v>
      </c>
      <c r="S2468" s="194">
        <v>154</v>
      </c>
      <c r="T2468" s="194" t="s">
        <v>252</v>
      </c>
      <c r="U2468" s="194">
        <v>150</v>
      </c>
      <c r="V2468" s="194" t="s">
        <v>252</v>
      </c>
      <c r="W2468" s="194">
        <v>101</v>
      </c>
      <c r="X2468" s="194" t="s">
        <v>252</v>
      </c>
      <c r="Y2468" s="194">
        <v>93</v>
      </c>
      <c r="Z2468" s="194" t="s">
        <v>252</v>
      </c>
      <c r="AA2468" s="194">
        <v>68</v>
      </c>
      <c r="AB2468" s="194" t="s">
        <v>252</v>
      </c>
      <c r="AC2468" s="194">
        <v>116</v>
      </c>
      <c r="AD2468" s="194" t="s">
        <v>252</v>
      </c>
      <c r="AE2468" s="194">
        <v>165</v>
      </c>
      <c r="AF2468" s="194" t="s">
        <v>252</v>
      </c>
      <c r="AG2468" s="194">
        <v>216</v>
      </c>
      <c r="AH2468" s="194" t="s">
        <v>252</v>
      </c>
      <c r="AI2468" s="194">
        <v>168</v>
      </c>
      <c r="AJ2468" s="194" t="s">
        <v>252</v>
      </c>
      <c r="AK2468" s="194">
        <v>180</v>
      </c>
      <c r="AL2468" s="194" t="s">
        <v>252</v>
      </c>
      <c r="AM2468" s="194">
        <f t="shared" si="21"/>
        <v>1740</v>
      </c>
    </row>
    <row r="2469" spans="2:39" s="3" customFormat="1" ht="15.75" outlineLevel="1">
      <c r="B2469" s="178" t="s">
        <v>895</v>
      </c>
      <c r="C2469" s="218" t="s">
        <v>1489</v>
      </c>
      <c r="D2469" s="219" t="s">
        <v>1403</v>
      </c>
      <c r="E2469" s="23" t="s">
        <v>44</v>
      </c>
      <c r="F2469" s="93" t="s">
        <v>45</v>
      </c>
      <c r="G2469" s="188" t="s">
        <v>1432</v>
      </c>
      <c r="H2469" s="376">
        <v>85</v>
      </c>
      <c r="I2469" s="188" t="s">
        <v>1433</v>
      </c>
      <c r="J2469" s="379" t="s">
        <v>1451</v>
      </c>
      <c r="K2469" s="173" t="s">
        <v>233</v>
      </c>
      <c r="L2469" s="173" t="s">
        <v>233</v>
      </c>
      <c r="M2469" s="194">
        <v>2463</v>
      </c>
      <c r="N2469" s="194">
        <v>2313</v>
      </c>
      <c r="O2469" s="194">
        <v>273</v>
      </c>
      <c r="P2469" s="194" t="s">
        <v>252</v>
      </c>
      <c r="Q2469" s="194">
        <v>217</v>
      </c>
      <c r="R2469" s="194" t="s">
        <v>252</v>
      </c>
      <c r="S2469" s="194">
        <v>163</v>
      </c>
      <c r="T2469" s="194" t="s">
        <v>252</v>
      </c>
      <c r="U2469" s="194">
        <v>139</v>
      </c>
      <c r="V2469" s="194" t="s">
        <v>252</v>
      </c>
      <c r="W2469" s="194">
        <v>106</v>
      </c>
      <c r="X2469" s="194" t="s">
        <v>252</v>
      </c>
      <c r="Y2469" s="194">
        <v>64</v>
      </c>
      <c r="Z2469" s="194" t="s">
        <v>252</v>
      </c>
      <c r="AA2469" s="194">
        <v>37</v>
      </c>
      <c r="AB2469" s="194" t="s">
        <v>252</v>
      </c>
      <c r="AC2469" s="194">
        <v>70</v>
      </c>
      <c r="AD2469" s="194" t="s">
        <v>252</v>
      </c>
      <c r="AE2469" s="194">
        <v>115</v>
      </c>
      <c r="AF2469" s="194" t="s">
        <v>252</v>
      </c>
      <c r="AG2469" s="194">
        <v>126</v>
      </c>
      <c r="AH2469" s="194" t="s">
        <v>252</v>
      </c>
      <c r="AI2469" s="194">
        <v>314</v>
      </c>
      <c r="AJ2469" s="194" t="s">
        <v>252</v>
      </c>
      <c r="AK2469" s="194">
        <v>250</v>
      </c>
      <c r="AL2469" s="194" t="s">
        <v>252</v>
      </c>
      <c r="AM2469" s="194">
        <f t="shared" si="21"/>
        <v>1874</v>
      </c>
    </row>
    <row r="2470" spans="2:39" s="3" customFormat="1" ht="15.75" outlineLevel="1">
      <c r="B2470" s="178" t="s">
        <v>896</v>
      </c>
      <c r="C2470" s="218" t="s">
        <v>1489</v>
      </c>
      <c r="D2470" s="219" t="s">
        <v>1403</v>
      </c>
      <c r="E2470" s="23" t="s">
        <v>44</v>
      </c>
      <c r="F2470" s="93" t="s">
        <v>45</v>
      </c>
      <c r="G2470" s="188" t="s">
        <v>1432</v>
      </c>
      <c r="H2470" s="377"/>
      <c r="I2470" s="188" t="s">
        <v>1433</v>
      </c>
      <c r="J2470" s="381"/>
      <c r="K2470" s="173" t="s">
        <v>233</v>
      </c>
      <c r="L2470" s="173" t="s">
        <v>233</v>
      </c>
      <c r="M2470" s="194"/>
      <c r="N2470" s="194"/>
      <c r="O2470" s="194"/>
      <c r="P2470" s="194" t="s">
        <v>252</v>
      </c>
      <c r="Q2470" s="194"/>
      <c r="R2470" s="194" t="s">
        <v>252</v>
      </c>
      <c r="S2470" s="194"/>
      <c r="T2470" s="194" t="s">
        <v>252</v>
      </c>
      <c r="U2470" s="194"/>
      <c r="V2470" s="194" t="s">
        <v>252</v>
      </c>
      <c r="W2470" s="194"/>
      <c r="X2470" s="194" t="s">
        <v>252</v>
      </c>
      <c r="Y2470" s="194"/>
      <c r="Z2470" s="194" t="s">
        <v>252</v>
      </c>
      <c r="AA2470" s="194"/>
      <c r="AB2470" s="194" t="s">
        <v>252</v>
      </c>
      <c r="AC2470" s="194"/>
      <c r="AD2470" s="194" t="s">
        <v>252</v>
      </c>
      <c r="AE2470" s="194"/>
      <c r="AF2470" s="194" t="s">
        <v>252</v>
      </c>
      <c r="AG2470" s="194"/>
      <c r="AH2470" s="194" t="s">
        <v>252</v>
      </c>
      <c r="AI2470" s="194"/>
      <c r="AJ2470" s="194" t="s">
        <v>252</v>
      </c>
      <c r="AK2470" s="194"/>
      <c r="AL2470" s="194" t="s">
        <v>252</v>
      </c>
      <c r="AM2470" s="194">
        <f t="shared" si="21"/>
        <v>0</v>
      </c>
    </row>
    <row r="2471" spans="2:39" s="3" customFormat="1" ht="15.75" outlineLevel="1">
      <c r="B2471" s="178" t="s">
        <v>897</v>
      </c>
      <c r="C2471" s="218" t="s">
        <v>1489</v>
      </c>
      <c r="D2471" s="219" t="s">
        <v>1403</v>
      </c>
      <c r="E2471" s="23" t="s">
        <v>44</v>
      </c>
      <c r="F2471" s="93" t="s">
        <v>45</v>
      </c>
      <c r="G2471" s="188" t="s">
        <v>1432</v>
      </c>
      <c r="H2471" s="378"/>
      <c r="I2471" s="188" t="s">
        <v>1433</v>
      </c>
      <c r="J2471" s="380"/>
      <c r="K2471" s="173" t="s">
        <v>233</v>
      </c>
      <c r="L2471" s="173" t="s">
        <v>233</v>
      </c>
      <c r="M2471" s="194"/>
      <c r="N2471" s="194"/>
      <c r="O2471" s="194"/>
      <c r="P2471" s="194" t="s">
        <v>252</v>
      </c>
      <c r="Q2471" s="194"/>
      <c r="R2471" s="194" t="s">
        <v>252</v>
      </c>
      <c r="S2471" s="194"/>
      <c r="T2471" s="194" t="s">
        <v>252</v>
      </c>
      <c r="U2471" s="194"/>
      <c r="V2471" s="194" t="s">
        <v>252</v>
      </c>
      <c r="W2471" s="194"/>
      <c r="X2471" s="194" t="s">
        <v>252</v>
      </c>
      <c r="Y2471" s="194"/>
      <c r="Z2471" s="194" t="s">
        <v>252</v>
      </c>
      <c r="AA2471" s="194"/>
      <c r="AB2471" s="194" t="s">
        <v>252</v>
      </c>
      <c r="AC2471" s="194"/>
      <c r="AD2471" s="194" t="s">
        <v>252</v>
      </c>
      <c r="AE2471" s="194"/>
      <c r="AF2471" s="194" t="s">
        <v>252</v>
      </c>
      <c r="AG2471" s="194"/>
      <c r="AH2471" s="194" t="s">
        <v>252</v>
      </c>
      <c r="AI2471" s="194"/>
      <c r="AJ2471" s="194" t="s">
        <v>252</v>
      </c>
      <c r="AK2471" s="194"/>
      <c r="AL2471" s="194" t="s">
        <v>252</v>
      </c>
      <c r="AM2471" s="194">
        <f t="shared" si="21"/>
        <v>0</v>
      </c>
    </row>
    <row r="2472" spans="2:39" s="3" customFormat="1" ht="15.75" outlineLevel="1">
      <c r="B2472" s="178" t="s">
        <v>902</v>
      </c>
      <c r="C2472" s="218" t="s">
        <v>1489</v>
      </c>
      <c r="D2472" s="219" t="s">
        <v>1403</v>
      </c>
      <c r="E2472" s="23" t="s">
        <v>44</v>
      </c>
      <c r="F2472" s="93" t="s">
        <v>45</v>
      </c>
      <c r="G2472" s="188" t="s">
        <v>1432</v>
      </c>
      <c r="H2472" s="194">
        <v>42</v>
      </c>
      <c r="I2472" s="188" t="s">
        <v>1433</v>
      </c>
      <c r="J2472" s="220" t="s">
        <v>1463</v>
      </c>
      <c r="K2472" s="173" t="s">
        <v>233</v>
      </c>
      <c r="L2472" s="173" t="s">
        <v>233</v>
      </c>
      <c r="M2472" s="194">
        <v>4544</v>
      </c>
      <c r="N2472" s="194">
        <v>4597</v>
      </c>
      <c r="O2472" s="194">
        <v>374</v>
      </c>
      <c r="P2472" s="194" t="s">
        <v>252</v>
      </c>
      <c r="Q2472" s="194">
        <v>340</v>
      </c>
      <c r="R2472" s="194" t="s">
        <v>252</v>
      </c>
      <c r="S2472" s="194">
        <v>257</v>
      </c>
      <c r="T2472" s="194" t="s">
        <v>252</v>
      </c>
      <c r="U2472" s="194">
        <v>361</v>
      </c>
      <c r="V2472" s="194" t="s">
        <v>252</v>
      </c>
      <c r="W2472" s="194">
        <v>261</v>
      </c>
      <c r="X2472" s="194" t="s">
        <v>252</v>
      </c>
      <c r="Y2472" s="194">
        <v>314</v>
      </c>
      <c r="Z2472" s="194" t="s">
        <v>252</v>
      </c>
      <c r="AA2472" s="194">
        <v>277</v>
      </c>
      <c r="AB2472" s="194" t="s">
        <v>252</v>
      </c>
      <c r="AC2472" s="194">
        <v>200</v>
      </c>
      <c r="AD2472" s="194" t="s">
        <v>252</v>
      </c>
      <c r="AE2472" s="194">
        <v>306</v>
      </c>
      <c r="AF2472" s="194" t="s">
        <v>252</v>
      </c>
      <c r="AG2472" s="194">
        <v>438</v>
      </c>
      <c r="AH2472" s="194" t="s">
        <v>252</v>
      </c>
      <c r="AI2472" s="194">
        <v>619</v>
      </c>
      <c r="AJ2472" s="194" t="s">
        <v>252</v>
      </c>
      <c r="AK2472" s="194">
        <v>379</v>
      </c>
      <c r="AL2472" s="194" t="s">
        <v>252</v>
      </c>
      <c r="AM2472" s="194">
        <f t="shared" si="21"/>
        <v>4126</v>
      </c>
    </row>
    <row r="2473" spans="2:39" s="3" customFormat="1" ht="15.75" outlineLevel="1">
      <c r="B2473" s="178" t="s">
        <v>903</v>
      </c>
      <c r="C2473" s="218" t="s">
        <v>1489</v>
      </c>
      <c r="D2473" s="219" t="s">
        <v>1403</v>
      </c>
      <c r="E2473" s="23" t="s">
        <v>44</v>
      </c>
      <c r="F2473" s="222" t="s">
        <v>45</v>
      </c>
      <c r="G2473" s="188" t="s">
        <v>1432</v>
      </c>
      <c r="H2473" s="194">
        <v>32</v>
      </c>
      <c r="I2473" s="188" t="s">
        <v>1433</v>
      </c>
      <c r="J2473" s="220" t="s">
        <v>617</v>
      </c>
      <c r="K2473" s="173" t="s">
        <v>233</v>
      </c>
      <c r="L2473" s="173" t="s">
        <v>233</v>
      </c>
      <c r="M2473" s="194">
        <v>5176</v>
      </c>
      <c r="N2473" s="194">
        <v>8304</v>
      </c>
      <c r="O2473" s="194">
        <v>851</v>
      </c>
      <c r="P2473" s="194" t="s">
        <v>252</v>
      </c>
      <c r="Q2473" s="194">
        <v>1056</v>
      </c>
      <c r="R2473" s="194" t="s">
        <v>252</v>
      </c>
      <c r="S2473" s="194">
        <v>657</v>
      </c>
      <c r="T2473" s="194" t="s">
        <v>252</v>
      </c>
      <c r="U2473" s="194">
        <v>981</v>
      </c>
      <c r="V2473" s="194" t="s">
        <v>252</v>
      </c>
      <c r="W2473" s="194">
        <v>686</v>
      </c>
      <c r="X2473" s="194" t="s">
        <v>252</v>
      </c>
      <c r="Y2473" s="194">
        <v>674</v>
      </c>
      <c r="Z2473" s="194" t="s">
        <v>252</v>
      </c>
      <c r="AA2473" s="194">
        <v>571</v>
      </c>
      <c r="AB2473" s="194" t="s">
        <v>252</v>
      </c>
      <c r="AC2473" s="194">
        <v>475</v>
      </c>
      <c r="AD2473" s="194" t="s">
        <v>252</v>
      </c>
      <c r="AE2473" s="194">
        <v>563</v>
      </c>
      <c r="AF2473" s="194" t="s">
        <v>252</v>
      </c>
      <c r="AG2473" s="194">
        <v>682</v>
      </c>
      <c r="AH2473" s="194" t="s">
        <v>252</v>
      </c>
      <c r="AI2473" s="194">
        <v>667</v>
      </c>
      <c r="AJ2473" s="194" t="s">
        <v>252</v>
      </c>
      <c r="AK2473" s="194">
        <v>524</v>
      </c>
      <c r="AL2473" s="194" t="s">
        <v>252</v>
      </c>
      <c r="AM2473" s="194">
        <f t="shared" si="21"/>
        <v>8387</v>
      </c>
    </row>
    <row r="2474" spans="2:39" s="3" customFormat="1" ht="15.75" outlineLevel="1">
      <c r="B2474" s="178" t="s">
        <v>904</v>
      </c>
      <c r="C2474" s="218" t="s">
        <v>1489</v>
      </c>
      <c r="D2474" s="219" t="s">
        <v>1403</v>
      </c>
      <c r="E2474" s="23" t="s">
        <v>44</v>
      </c>
      <c r="F2474" s="222" t="s">
        <v>45</v>
      </c>
      <c r="G2474" s="188" t="s">
        <v>1432</v>
      </c>
      <c r="H2474" s="194">
        <v>42</v>
      </c>
      <c r="I2474" s="188" t="s">
        <v>1433</v>
      </c>
      <c r="J2474" s="220" t="s">
        <v>1460</v>
      </c>
      <c r="K2474" s="173" t="s">
        <v>233</v>
      </c>
      <c r="L2474" s="173" t="s">
        <v>233</v>
      </c>
      <c r="M2474" s="194">
        <v>3818</v>
      </c>
      <c r="N2474" s="194">
        <v>3674</v>
      </c>
      <c r="O2474" s="194">
        <v>269</v>
      </c>
      <c r="P2474" s="194" t="s">
        <v>252</v>
      </c>
      <c r="Q2474" s="194">
        <v>306</v>
      </c>
      <c r="R2474" s="194" t="s">
        <v>252</v>
      </c>
      <c r="S2474" s="194">
        <v>188</v>
      </c>
      <c r="T2474" s="194" t="s">
        <v>252</v>
      </c>
      <c r="U2474" s="194">
        <v>503</v>
      </c>
      <c r="V2474" s="194" t="s">
        <v>252</v>
      </c>
      <c r="W2474" s="194">
        <v>297</v>
      </c>
      <c r="X2474" s="194" t="s">
        <v>252</v>
      </c>
      <c r="Y2474" s="194">
        <v>300</v>
      </c>
      <c r="Z2474" s="194" t="s">
        <v>252</v>
      </c>
      <c r="AA2474" s="194">
        <v>275</v>
      </c>
      <c r="AB2474" s="194" t="s">
        <v>252</v>
      </c>
      <c r="AC2474" s="194">
        <v>234</v>
      </c>
      <c r="AD2474" s="194" t="s">
        <v>252</v>
      </c>
      <c r="AE2474" s="194">
        <v>257</v>
      </c>
      <c r="AF2474" s="194" t="s">
        <v>252</v>
      </c>
      <c r="AG2474" s="194">
        <v>360</v>
      </c>
      <c r="AH2474" s="194" t="s">
        <v>252</v>
      </c>
      <c r="AI2474" s="194">
        <v>400</v>
      </c>
      <c r="AJ2474" s="194" t="s">
        <v>252</v>
      </c>
      <c r="AK2474" s="194">
        <v>368</v>
      </c>
      <c r="AL2474" s="194" t="s">
        <v>252</v>
      </c>
      <c r="AM2474" s="194">
        <f t="shared" si="21"/>
        <v>3757</v>
      </c>
    </row>
    <row r="2475" spans="2:39" s="3" customFormat="1" ht="15.75" outlineLevel="1">
      <c r="B2475" s="178" t="s">
        <v>905</v>
      </c>
      <c r="C2475" s="218" t="s">
        <v>1489</v>
      </c>
      <c r="D2475" s="219" t="s">
        <v>1403</v>
      </c>
      <c r="E2475" s="23" t="s">
        <v>44</v>
      </c>
      <c r="F2475" s="93" t="s">
        <v>45</v>
      </c>
      <c r="G2475" s="188" t="s">
        <v>1432</v>
      </c>
      <c r="H2475" s="225">
        <v>39</v>
      </c>
      <c r="I2475" s="188" t="s">
        <v>1433</v>
      </c>
      <c r="J2475" s="226" t="s">
        <v>1464</v>
      </c>
      <c r="K2475" s="173" t="s">
        <v>233</v>
      </c>
      <c r="L2475" s="173" t="s">
        <v>233</v>
      </c>
      <c r="M2475" s="194">
        <v>8764</v>
      </c>
      <c r="N2475" s="194">
        <v>9049</v>
      </c>
      <c r="O2475" s="194">
        <v>869</v>
      </c>
      <c r="P2475" s="194" t="s">
        <v>252</v>
      </c>
      <c r="Q2475" s="194">
        <v>1042</v>
      </c>
      <c r="R2475" s="194" t="s">
        <v>252</v>
      </c>
      <c r="S2475" s="194">
        <v>754</v>
      </c>
      <c r="T2475" s="194" t="s">
        <v>252</v>
      </c>
      <c r="U2475" s="194">
        <v>908</v>
      </c>
      <c r="V2475" s="194" t="s">
        <v>252</v>
      </c>
      <c r="W2475" s="194">
        <v>600</v>
      </c>
      <c r="X2475" s="194" t="s">
        <v>252</v>
      </c>
      <c r="Y2475" s="194">
        <v>571</v>
      </c>
      <c r="Z2475" s="194" t="s">
        <v>252</v>
      </c>
      <c r="AA2475" s="194">
        <v>493</v>
      </c>
      <c r="AB2475" s="194" t="s">
        <v>252</v>
      </c>
      <c r="AC2475" s="194">
        <v>612</v>
      </c>
      <c r="AD2475" s="194" t="s">
        <v>252</v>
      </c>
      <c r="AE2475" s="194">
        <v>820</v>
      </c>
      <c r="AF2475" s="194" t="s">
        <v>252</v>
      </c>
      <c r="AG2475" s="194">
        <v>800</v>
      </c>
      <c r="AH2475" s="194" t="s">
        <v>252</v>
      </c>
      <c r="AI2475" s="194">
        <v>639</v>
      </c>
      <c r="AJ2475" s="194" t="s">
        <v>252</v>
      </c>
      <c r="AK2475" s="194">
        <v>760</v>
      </c>
      <c r="AL2475" s="194" t="s">
        <v>252</v>
      </c>
      <c r="AM2475" s="194">
        <f t="shared" si="21"/>
        <v>8868</v>
      </c>
    </row>
    <row r="2476" spans="2:39" s="3" customFormat="1" ht="15.75" outlineLevel="1">
      <c r="B2476" s="178" t="s">
        <v>907</v>
      </c>
      <c r="C2476" s="218" t="s">
        <v>1489</v>
      </c>
      <c r="D2476" s="219" t="s">
        <v>1403</v>
      </c>
      <c r="E2476" s="23" t="s">
        <v>44</v>
      </c>
      <c r="F2476" s="93" t="s">
        <v>45</v>
      </c>
      <c r="G2476" s="188" t="s">
        <v>1432</v>
      </c>
      <c r="H2476" s="225">
        <v>39</v>
      </c>
      <c r="I2476" s="188" t="s">
        <v>1433</v>
      </c>
      <c r="J2476" s="226" t="s">
        <v>1440</v>
      </c>
      <c r="K2476" s="173" t="s">
        <v>233</v>
      </c>
      <c r="L2476" s="173" t="s">
        <v>233</v>
      </c>
      <c r="M2476" s="194">
        <v>6445</v>
      </c>
      <c r="N2476" s="194">
        <v>6377</v>
      </c>
      <c r="O2476" s="194">
        <v>657</v>
      </c>
      <c r="P2476" s="194" t="s">
        <v>252</v>
      </c>
      <c r="Q2476" s="194">
        <v>592</v>
      </c>
      <c r="R2476" s="194" t="s">
        <v>252</v>
      </c>
      <c r="S2476" s="194">
        <v>373</v>
      </c>
      <c r="T2476" s="194" t="s">
        <v>252</v>
      </c>
      <c r="U2476" s="194">
        <v>512</v>
      </c>
      <c r="V2476" s="194" t="s">
        <v>252</v>
      </c>
      <c r="W2476" s="194">
        <v>322</v>
      </c>
      <c r="X2476" s="194" t="s">
        <v>252</v>
      </c>
      <c r="Y2476" s="194">
        <v>316</v>
      </c>
      <c r="Z2476" s="194" t="s">
        <v>252</v>
      </c>
      <c r="AA2476" s="194">
        <v>285</v>
      </c>
      <c r="AB2476" s="194" t="s">
        <v>252</v>
      </c>
      <c r="AC2476" s="194">
        <v>328</v>
      </c>
      <c r="AD2476" s="194" t="s">
        <v>252</v>
      </c>
      <c r="AE2476" s="194">
        <v>502</v>
      </c>
      <c r="AF2476" s="194" t="s">
        <v>252</v>
      </c>
      <c r="AG2476" s="194">
        <v>564</v>
      </c>
      <c r="AH2476" s="194" t="s">
        <v>252</v>
      </c>
      <c r="AI2476" s="194">
        <v>581</v>
      </c>
      <c r="AJ2476" s="194" t="s">
        <v>252</v>
      </c>
      <c r="AK2476" s="194">
        <v>622</v>
      </c>
      <c r="AL2476" s="194" t="s">
        <v>252</v>
      </c>
      <c r="AM2476" s="194">
        <f t="shared" si="21"/>
        <v>5654</v>
      </c>
    </row>
    <row r="2477" spans="2:39" s="3" customFormat="1" ht="15.75" outlineLevel="1">
      <c r="B2477" s="178" t="s">
        <v>908</v>
      </c>
      <c r="C2477" s="218" t="s">
        <v>1489</v>
      </c>
      <c r="D2477" s="219" t="s">
        <v>1403</v>
      </c>
      <c r="E2477" s="23" t="s">
        <v>44</v>
      </c>
      <c r="F2477" s="93" t="s">
        <v>45</v>
      </c>
      <c r="G2477" s="188" t="s">
        <v>1432</v>
      </c>
      <c r="H2477" s="194">
        <v>28</v>
      </c>
      <c r="I2477" s="188" t="s">
        <v>1433</v>
      </c>
      <c r="J2477" s="220" t="s">
        <v>617</v>
      </c>
      <c r="K2477" s="173" t="s">
        <v>233</v>
      </c>
      <c r="L2477" s="173" t="s">
        <v>233</v>
      </c>
      <c r="M2477" s="194"/>
      <c r="N2477" s="194"/>
      <c r="O2477" s="194"/>
      <c r="P2477" s="194" t="s">
        <v>252</v>
      </c>
      <c r="Q2477" s="194"/>
      <c r="R2477" s="194" t="s">
        <v>252</v>
      </c>
      <c r="S2477" s="194"/>
      <c r="T2477" s="194" t="s">
        <v>252</v>
      </c>
      <c r="U2477" s="194"/>
      <c r="V2477" s="194" t="s">
        <v>252</v>
      </c>
      <c r="W2477" s="194"/>
      <c r="X2477" s="194" t="s">
        <v>252</v>
      </c>
      <c r="Y2477" s="194"/>
      <c r="Z2477" s="194" t="s">
        <v>252</v>
      </c>
      <c r="AA2477" s="194"/>
      <c r="AB2477" s="194" t="s">
        <v>252</v>
      </c>
      <c r="AC2477" s="194"/>
      <c r="AD2477" s="194" t="s">
        <v>252</v>
      </c>
      <c r="AE2477" s="194"/>
      <c r="AF2477" s="194" t="s">
        <v>252</v>
      </c>
      <c r="AG2477" s="194"/>
      <c r="AH2477" s="194" t="s">
        <v>252</v>
      </c>
      <c r="AI2477" s="194"/>
      <c r="AJ2477" s="194" t="s">
        <v>252</v>
      </c>
      <c r="AK2477" s="194"/>
      <c r="AL2477" s="194" t="s">
        <v>252</v>
      </c>
      <c r="AM2477" s="194">
        <f t="shared" si="21"/>
        <v>0</v>
      </c>
    </row>
    <row r="2478" spans="2:39" s="3" customFormat="1" ht="15.75" outlineLevel="1">
      <c r="B2478" s="178" t="s">
        <v>909</v>
      </c>
      <c r="C2478" s="218" t="s">
        <v>1489</v>
      </c>
      <c r="D2478" s="219" t="s">
        <v>1403</v>
      </c>
      <c r="E2478" s="23" t="s">
        <v>44</v>
      </c>
      <c r="F2478" s="93" t="s">
        <v>45</v>
      </c>
      <c r="G2478" s="188" t="s">
        <v>1432</v>
      </c>
      <c r="H2478" s="194">
        <v>42</v>
      </c>
      <c r="I2478" s="188" t="s">
        <v>1433</v>
      </c>
      <c r="J2478" s="220" t="s">
        <v>1460</v>
      </c>
      <c r="K2478" s="173" t="s">
        <v>233</v>
      </c>
      <c r="L2478" s="173" t="s">
        <v>233</v>
      </c>
      <c r="M2478" s="194">
        <v>6207</v>
      </c>
      <c r="N2478" s="194">
        <v>6249</v>
      </c>
      <c r="O2478" s="194">
        <v>530</v>
      </c>
      <c r="P2478" s="194" t="s">
        <v>252</v>
      </c>
      <c r="Q2478" s="194">
        <v>379</v>
      </c>
      <c r="R2478" s="194" t="s">
        <v>252</v>
      </c>
      <c r="S2478" s="194">
        <v>311</v>
      </c>
      <c r="T2478" s="194" t="s">
        <v>252</v>
      </c>
      <c r="U2478" s="194">
        <v>588</v>
      </c>
      <c r="V2478" s="194" t="s">
        <v>252</v>
      </c>
      <c r="W2478" s="194">
        <v>444</v>
      </c>
      <c r="X2478" s="194" t="s">
        <v>252</v>
      </c>
      <c r="Y2478" s="194">
        <v>455</v>
      </c>
      <c r="Z2478" s="194" t="s">
        <v>252</v>
      </c>
      <c r="AA2478" s="194">
        <v>414</v>
      </c>
      <c r="AB2478" s="194" t="s">
        <v>252</v>
      </c>
      <c r="AC2478" s="194">
        <v>486</v>
      </c>
      <c r="AD2478" s="194" t="s">
        <v>252</v>
      </c>
      <c r="AE2478" s="194">
        <v>535</v>
      </c>
      <c r="AF2478" s="194" t="s">
        <v>252</v>
      </c>
      <c r="AG2478" s="194">
        <v>530</v>
      </c>
      <c r="AH2478" s="194" t="s">
        <v>252</v>
      </c>
      <c r="AI2478" s="194">
        <v>457</v>
      </c>
      <c r="AJ2478" s="194" t="s">
        <v>252</v>
      </c>
      <c r="AK2478" s="194">
        <v>567</v>
      </c>
      <c r="AL2478" s="194" t="s">
        <v>252</v>
      </c>
      <c r="AM2478" s="194">
        <f t="shared" si="21"/>
        <v>5696</v>
      </c>
    </row>
    <row r="2479" spans="2:39" s="3" customFormat="1" ht="15.75" outlineLevel="1">
      <c r="B2479" s="178" t="s">
        <v>910</v>
      </c>
      <c r="C2479" s="218" t="s">
        <v>1489</v>
      </c>
      <c r="D2479" s="219" t="s">
        <v>1403</v>
      </c>
      <c r="E2479" s="23" t="s">
        <v>44</v>
      </c>
      <c r="F2479" s="93" t="s">
        <v>45</v>
      </c>
      <c r="G2479" s="188" t="s">
        <v>1432</v>
      </c>
      <c r="H2479" s="194">
        <v>49</v>
      </c>
      <c r="I2479" s="188" t="s">
        <v>1433</v>
      </c>
      <c r="J2479" s="220" t="s">
        <v>1457</v>
      </c>
      <c r="K2479" s="173" t="s">
        <v>233</v>
      </c>
      <c r="L2479" s="173" t="s">
        <v>233</v>
      </c>
      <c r="M2479" s="194">
        <v>11408</v>
      </c>
      <c r="N2479" s="194">
        <v>11775</v>
      </c>
      <c r="O2479" s="194">
        <v>1125</v>
      </c>
      <c r="P2479" s="194" t="s">
        <v>252</v>
      </c>
      <c r="Q2479" s="194">
        <v>907</v>
      </c>
      <c r="R2479" s="194" t="s">
        <v>252</v>
      </c>
      <c r="S2479" s="194">
        <v>619</v>
      </c>
      <c r="T2479" s="194" t="s">
        <v>252</v>
      </c>
      <c r="U2479" s="194">
        <v>809</v>
      </c>
      <c r="V2479" s="194" t="s">
        <v>252</v>
      </c>
      <c r="W2479" s="194">
        <v>612</v>
      </c>
      <c r="X2479" s="194" t="s">
        <v>252</v>
      </c>
      <c r="Y2479" s="194">
        <v>649</v>
      </c>
      <c r="Z2479" s="194" t="s">
        <v>252</v>
      </c>
      <c r="AA2479" s="194">
        <v>424</v>
      </c>
      <c r="AB2479" s="194" t="s">
        <v>252</v>
      </c>
      <c r="AC2479" s="194">
        <v>371</v>
      </c>
      <c r="AD2479" s="194" t="s">
        <v>252</v>
      </c>
      <c r="AE2479" s="194">
        <v>561</v>
      </c>
      <c r="AF2479" s="194" t="s">
        <v>252</v>
      </c>
      <c r="AG2479" s="194">
        <v>740</v>
      </c>
      <c r="AH2479" s="194" t="s">
        <v>252</v>
      </c>
      <c r="AI2479" s="194">
        <v>686</v>
      </c>
      <c r="AJ2479" s="194" t="s">
        <v>252</v>
      </c>
      <c r="AK2479" s="194">
        <v>849</v>
      </c>
      <c r="AL2479" s="194" t="s">
        <v>252</v>
      </c>
      <c r="AM2479" s="194">
        <f t="shared" si="21"/>
        <v>8352</v>
      </c>
    </row>
    <row r="2480" spans="2:39" s="3" customFormat="1" ht="15.75" outlineLevel="1">
      <c r="B2480" s="178" t="s">
        <v>911</v>
      </c>
      <c r="C2480" s="218" t="s">
        <v>1489</v>
      </c>
      <c r="D2480" s="219" t="s">
        <v>1403</v>
      </c>
      <c r="E2480" s="23" t="s">
        <v>44</v>
      </c>
      <c r="F2480" s="93" t="s">
        <v>45</v>
      </c>
      <c r="G2480" s="188" t="s">
        <v>1432</v>
      </c>
      <c r="H2480" s="194">
        <v>39</v>
      </c>
      <c r="I2480" s="188" t="s">
        <v>1433</v>
      </c>
      <c r="J2480" s="220" t="s">
        <v>1460</v>
      </c>
      <c r="K2480" s="173" t="s">
        <v>233</v>
      </c>
      <c r="L2480" s="173" t="s">
        <v>233</v>
      </c>
      <c r="M2480" s="194">
        <v>10520</v>
      </c>
      <c r="N2480" s="194">
        <v>10462</v>
      </c>
      <c r="O2480" s="194">
        <v>874</v>
      </c>
      <c r="P2480" s="194" t="s">
        <v>252</v>
      </c>
      <c r="Q2480" s="194">
        <v>877</v>
      </c>
      <c r="R2480" s="194" t="s">
        <v>252</v>
      </c>
      <c r="S2480" s="194">
        <v>730</v>
      </c>
      <c r="T2480" s="194" t="s">
        <v>252</v>
      </c>
      <c r="U2480" s="194">
        <v>1028</v>
      </c>
      <c r="V2480" s="194" t="s">
        <v>252</v>
      </c>
      <c r="W2480" s="194">
        <v>780</v>
      </c>
      <c r="X2480" s="194" t="s">
        <v>252</v>
      </c>
      <c r="Y2480" s="194">
        <v>778</v>
      </c>
      <c r="Z2480" s="194" t="s">
        <v>252</v>
      </c>
      <c r="AA2480" s="194">
        <v>677</v>
      </c>
      <c r="AB2480" s="194" t="s">
        <v>252</v>
      </c>
      <c r="AC2480" s="194">
        <v>720</v>
      </c>
      <c r="AD2480" s="194" t="s">
        <v>252</v>
      </c>
      <c r="AE2480" s="194">
        <v>974</v>
      </c>
      <c r="AF2480" s="194" t="s">
        <v>252</v>
      </c>
      <c r="AG2480" s="194">
        <v>869</v>
      </c>
      <c r="AH2480" s="194" t="s">
        <v>252</v>
      </c>
      <c r="AI2480" s="194">
        <v>729</v>
      </c>
      <c r="AJ2480" s="194" t="s">
        <v>252</v>
      </c>
      <c r="AK2480" s="194">
        <v>855</v>
      </c>
      <c r="AL2480" s="194" t="s">
        <v>252</v>
      </c>
      <c r="AM2480" s="194">
        <f t="shared" si="21"/>
        <v>9891</v>
      </c>
    </row>
    <row r="2481" spans="2:39" s="3" customFormat="1" ht="15.75" outlineLevel="1">
      <c r="B2481" s="178" t="s">
        <v>912</v>
      </c>
      <c r="C2481" s="218" t="s">
        <v>1489</v>
      </c>
      <c r="D2481" s="219" t="s">
        <v>1403</v>
      </c>
      <c r="E2481" s="382" t="s">
        <v>138</v>
      </c>
      <c r="F2481" s="384" t="s">
        <v>45</v>
      </c>
      <c r="G2481" s="188" t="s">
        <v>1432</v>
      </c>
      <c r="H2481" s="376">
        <v>58</v>
      </c>
      <c r="I2481" s="188" t="s">
        <v>1433</v>
      </c>
      <c r="J2481" s="379" t="s">
        <v>1462</v>
      </c>
      <c r="K2481" s="173" t="s">
        <v>233</v>
      </c>
      <c r="L2481" s="173" t="s">
        <v>233</v>
      </c>
      <c r="M2481" s="376">
        <v>5907</v>
      </c>
      <c r="N2481" s="376">
        <v>5801</v>
      </c>
      <c r="O2481" s="376">
        <v>347</v>
      </c>
      <c r="P2481" s="376" t="s">
        <v>252</v>
      </c>
      <c r="Q2481" s="376">
        <v>496</v>
      </c>
      <c r="R2481" s="376" t="s">
        <v>252</v>
      </c>
      <c r="S2481" s="376">
        <v>348</v>
      </c>
      <c r="T2481" s="376" t="s">
        <v>252</v>
      </c>
      <c r="U2481" s="376">
        <v>338</v>
      </c>
      <c r="V2481" s="376" t="s">
        <v>252</v>
      </c>
      <c r="W2481" s="376">
        <v>501</v>
      </c>
      <c r="X2481" s="376" t="s">
        <v>252</v>
      </c>
      <c r="Y2481" s="376">
        <v>425</v>
      </c>
      <c r="Z2481" s="376" t="s">
        <v>252</v>
      </c>
      <c r="AA2481" s="376">
        <v>400</v>
      </c>
      <c r="AB2481" s="376" t="s">
        <v>252</v>
      </c>
      <c r="AC2481" s="376">
        <v>377</v>
      </c>
      <c r="AD2481" s="376" t="s">
        <v>252</v>
      </c>
      <c r="AE2481" s="376">
        <v>370</v>
      </c>
      <c r="AF2481" s="376" t="s">
        <v>252</v>
      </c>
      <c r="AG2481" s="376">
        <v>391</v>
      </c>
      <c r="AH2481" s="376" t="s">
        <v>252</v>
      </c>
      <c r="AI2481" s="376">
        <v>340</v>
      </c>
      <c r="AJ2481" s="376" t="s">
        <v>252</v>
      </c>
      <c r="AK2481" s="376">
        <v>528</v>
      </c>
      <c r="AL2481" s="376" t="s">
        <v>252</v>
      </c>
      <c r="AM2481" s="336">
        <f>O2481+Q2481+S2481+U2481+W2481+Y2481+AA2481+AC2481+AE2481+AG2481+AI2481+AK2481</f>
        <v>4861</v>
      </c>
    </row>
    <row r="2482" spans="2:39" s="3" customFormat="1" ht="15.75" outlineLevel="1">
      <c r="B2482" s="178" t="s">
        <v>913</v>
      </c>
      <c r="C2482" s="218" t="s">
        <v>1489</v>
      </c>
      <c r="D2482" s="219" t="s">
        <v>1403</v>
      </c>
      <c r="E2482" s="383"/>
      <c r="F2482" s="385"/>
      <c r="G2482" s="188" t="s">
        <v>1432</v>
      </c>
      <c r="H2482" s="377"/>
      <c r="I2482" s="188" t="s">
        <v>1433</v>
      </c>
      <c r="J2482" s="381"/>
      <c r="K2482" s="173" t="s">
        <v>233</v>
      </c>
      <c r="L2482" s="173" t="s">
        <v>233</v>
      </c>
      <c r="M2482" s="378"/>
      <c r="N2482" s="378"/>
      <c r="O2482" s="378"/>
      <c r="P2482" s="378"/>
      <c r="Q2482" s="378"/>
      <c r="R2482" s="378"/>
      <c r="S2482" s="378"/>
      <c r="T2482" s="378"/>
      <c r="U2482" s="378"/>
      <c r="V2482" s="378"/>
      <c r="W2482" s="378"/>
      <c r="X2482" s="378"/>
      <c r="Y2482" s="378"/>
      <c r="Z2482" s="378"/>
      <c r="AA2482" s="378"/>
      <c r="AB2482" s="378"/>
      <c r="AC2482" s="378"/>
      <c r="AD2482" s="378"/>
      <c r="AE2482" s="378"/>
      <c r="AF2482" s="378"/>
      <c r="AG2482" s="378"/>
      <c r="AH2482" s="378"/>
      <c r="AI2482" s="378"/>
      <c r="AJ2482" s="378"/>
      <c r="AK2482" s="378"/>
      <c r="AL2482" s="378"/>
      <c r="AM2482" s="337"/>
    </row>
    <row r="2483" spans="2:39" s="3" customFormat="1" ht="15.75" outlineLevel="1">
      <c r="B2483" s="178" t="s">
        <v>912</v>
      </c>
      <c r="C2483" s="218" t="s">
        <v>1489</v>
      </c>
      <c r="D2483" s="219" t="s">
        <v>1403</v>
      </c>
      <c r="E2483" s="382" t="s">
        <v>44</v>
      </c>
      <c r="F2483" s="384" t="s">
        <v>45</v>
      </c>
      <c r="G2483" s="188" t="s">
        <v>1432</v>
      </c>
      <c r="H2483" s="377"/>
      <c r="I2483" s="188" t="s">
        <v>1433</v>
      </c>
      <c r="J2483" s="381"/>
      <c r="K2483" s="173" t="s">
        <v>233</v>
      </c>
      <c r="L2483" s="173" t="s">
        <v>233</v>
      </c>
      <c r="M2483" s="376">
        <v>4693</v>
      </c>
      <c r="N2483" s="376">
        <v>4677</v>
      </c>
      <c r="O2483" s="376">
        <v>517</v>
      </c>
      <c r="P2483" s="376" t="s">
        <v>252</v>
      </c>
      <c r="Q2483" s="376">
        <v>509</v>
      </c>
      <c r="R2483" s="376" t="s">
        <v>252</v>
      </c>
      <c r="S2483" s="376">
        <v>328</v>
      </c>
      <c r="T2483" s="376" t="s">
        <v>252</v>
      </c>
      <c r="U2483" s="376">
        <v>477</v>
      </c>
      <c r="V2483" s="376" t="s">
        <v>252</v>
      </c>
      <c r="W2483" s="376">
        <v>323</v>
      </c>
      <c r="X2483" s="376" t="s">
        <v>252</v>
      </c>
      <c r="Y2483" s="376">
        <v>259</v>
      </c>
      <c r="Z2483" s="376" t="s">
        <v>252</v>
      </c>
      <c r="AA2483" s="376">
        <v>309</v>
      </c>
      <c r="AB2483" s="376" t="s">
        <v>252</v>
      </c>
      <c r="AC2483" s="376">
        <v>308</v>
      </c>
      <c r="AD2483" s="376" t="s">
        <v>252</v>
      </c>
      <c r="AE2483" s="376">
        <v>356</v>
      </c>
      <c r="AF2483" s="376" t="s">
        <v>252</v>
      </c>
      <c r="AG2483" s="376">
        <v>507</v>
      </c>
      <c r="AH2483" s="376" t="s">
        <v>252</v>
      </c>
      <c r="AI2483" s="376">
        <v>530</v>
      </c>
      <c r="AJ2483" s="376" t="s">
        <v>252</v>
      </c>
      <c r="AK2483" s="376">
        <v>362</v>
      </c>
      <c r="AL2483" s="376" t="s">
        <v>252</v>
      </c>
      <c r="AM2483" s="336">
        <f>O2483+Q2483+S2483+U2483+W2483+Y2483+AA2483+AC2483+AE2483+AG2483+AI2483+AK2483</f>
        <v>4785</v>
      </c>
    </row>
    <row r="2484" spans="2:39" s="3" customFormat="1" ht="15.75" outlineLevel="1">
      <c r="B2484" s="178" t="s">
        <v>913</v>
      </c>
      <c r="C2484" s="218" t="s">
        <v>1489</v>
      </c>
      <c r="D2484" s="219" t="s">
        <v>1403</v>
      </c>
      <c r="E2484" s="383"/>
      <c r="F2484" s="385"/>
      <c r="G2484" s="188" t="s">
        <v>1432</v>
      </c>
      <c r="H2484" s="378"/>
      <c r="I2484" s="188" t="s">
        <v>1433</v>
      </c>
      <c r="J2484" s="380"/>
      <c r="K2484" s="173" t="s">
        <v>233</v>
      </c>
      <c r="L2484" s="173" t="s">
        <v>233</v>
      </c>
      <c r="M2484" s="378"/>
      <c r="N2484" s="378"/>
      <c r="O2484" s="378"/>
      <c r="P2484" s="378"/>
      <c r="Q2484" s="378"/>
      <c r="R2484" s="378"/>
      <c r="S2484" s="378"/>
      <c r="T2484" s="378"/>
      <c r="U2484" s="378"/>
      <c r="V2484" s="378"/>
      <c r="W2484" s="378"/>
      <c r="X2484" s="378"/>
      <c r="Y2484" s="378"/>
      <c r="Z2484" s="378"/>
      <c r="AA2484" s="378"/>
      <c r="AB2484" s="378"/>
      <c r="AC2484" s="378"/>
      <c r="AD2484" s="378"/>
      <c r="AE2484" s="378"/>
      <c r="AF2484" s="378"/>
      <c r="AG2484" s="378"/>
      <c r="AH2484" s="378"/>
      <c r="AI2484" s="378"/>
      <c r="AJ2484" s="378"/>
      <c r="AK2484" s="378"/>
      <c r="AL2484" s="378"/>
      <c r="AM2484" s="337"/>
    </row>
    <row r="2485" spans="2:39" s="3" customFormat="1" ht="15.75" outlineLevel="1">
      <c r="B2485" s="178" t="s">
        <v>914</v>
      </c>
      <c r="C2485" s="218" t="s">
        <v>1489</v>
      </c>
      <c r="D2485" s="219" t="s">
        <v>1403</v>
      </c>
      <c r="E2485" s="23" t="s">
        <v>44</v>
      </c>
      <c r="F2485" s="222" t="s">
        <v>45</v>
      </c>
      <c r="G2485" s="188" t="s">
        <v>1432</v>
      </c>
      <c r="H2485" s="194">
        <v>42</v>
      </c>
      <c r="I2485" s="188" t="s">
        <v>1433</v>
      </c>
      <c r="J2485" s="220" t="s">
        <v>1440</v>
      </c>
      <c r="K2485" s="173" t="s">
        <v>233</v>
      </c>
      <c r="L2485" s="173" t="s">
        <v>233</v>
      </c>
      <c r="M2485" s="194">
        <v>2075</v>
      </c>
      <c r="N2485" s="194">
        <v>2097</v>
      </c>
      <c r="O2485" s="194">
        <v>322</v>
      </c>
      <c r="P2485" s="194" t="s">
        <v>252</v>
      </c>
      <c r="Q2485" s="194">
        <v>233</v>
      </c>
      <c r="R2485" s="194" t="s">
        <v>252</v>
      </c>
      <c r="S2485" s="194">
        <v>164</v>
      </c>
      <c r="T2485" s="194" t="s">
        <v>252</v>
      </c>
      <c r="U2485" s="194">
        <v>151</v>
      </c>
      <c r="V2485" s="194" t="s">
        <v>252</v>
      </c>
      <c r="W2485" s="194">
        <v>120</v>
      </c>
      <c r="X2485" s="194" t="s">
        <v>252</v>
      </c>
      <c r="Y2485" s="194">
        <v>104</v>
      </c>
      <c r="Z2485" s="194" t="s">
        <v>252</v>
      </c>
      <c r="AA2485" s="194">
        <v>85</v>
      </c>
      <c r="AB2485" s="194" t="s">
        <v>252</v>
      </c>
      <c r="AC2485" s="194">
        <v>105</v>
      </c>
      <c r="AD2485" s="194" t="s">
        <v>252</v>
      </c>
      <c r="AE2485" s="194">
        <v>132</v>
      </c>
      <c r="AF2485" s="194" t="s">
        <v>252</v>
      </c>
      <c r="AG2485" s="194">
        <v>139</v>
      </c>
      <c r="AH2485" s="194" t="s">
        <v>252</v>
      </c>
      <c r="AI2485" s="194">
        <v>172</v>
      </c>
      <c r="AJ2485" s="194" t="s">
        <v>252</v>
      </c>
      <c r="AK2485" s="194">
        <v>276</v>
      </c>
      <c r="AL2485" s="194" t="s">
        <v>252</v>
      </c>
      <c r="AM2485" s="194">
        <f t="shared" ref="AM2485:AM2522" si="22">O2485+Q2485+S2485+U2485+W2485+Y2485+AA2485+AC2485+AE2485+AG2485+AI2485+AK2485</f>
        <v>2003</v>
      </c>
    </row>
    <row r="2486" spans="2:39" s="3" customFormat="1" ht="15.75" outlineLevel="1">
      <c r="B2486" s="178" t="s">
        <v>917</v>
      </c>
      <c r="C2486" s="218" t="s">
        <v>1489</v>
      </c>
      <c r="D2486" s="219" t="s">
        <v>1403</v>
      </c>
      <c r="E2486" s="23" t="s">
        <v>44</v>
      </c>
      <c r="F2486" s="93" t="s">
        <v>45</v>
      </c>
      <c r="G2486" s="188" t="s">
        <v>1432</v>
      </c>
      <c r="H2486" s="194">
        <v>28</v>
      </c>
      <c r="I2486" s="188" t="s">
        <v>1433</v>
      </c>
      <c r="J2486" s="220" t="s">
        <v>617</v>
      </c>
      <c r="K2486" s="173" t="s">
        <v>233</v>
      </c>
      <c r="L2486" s="173" t="s">
        <v>233</v>
      </c>
      <c r="M2486" s="194">
        <v>2672</v>
      </c>
      <c r="N2486" s="194">
        <v>2897</v>
      </c>
      <c r="O2486" s="194">
        <v>532</v>
      </c>
      <c r="P2486" s="194" t="s">
        <v>252</v>
      </c>
      <c r="Q2486" s="194">
        <v>559</v>
      </c>
      <c r="R2486" s="194" t="s">
        <v>252</v>
      </c>
      <c r="S2486" s="194">
        <v>361</v>
      </c>
      <c r="T2486" s="194" t="s">
        <v>252</v>
      </c>
      <c r="U2486" s="194">
        <v>414</v>
      </c>
      <c r="V2486" s="194" t="s">
        <v>252</v>
      </c>
      <c r="W2486" s="194">
        <v>236</v>
      </c>
      <c r="X2486" s="194" t="s">
        <v>252</v>
      </c>
      <c r="Y2486" s="194">
        <v>161</v>
      </c>
      <c r="Z2486" s="194" t="s">
        <v>252</v>
      </c>
      <c r="AA2486" s="194">
        <v>154</v>
      </c>
      <c r="AB2486" s="194" t="s">
        <v>252</v>
      </c>
      <c r="AC2486" s="194">
        <v>188</v>
      </c>
      <c r="AD2486" s="194" t="s">
        <v>252</v>
      </c>
      <c r="AE2486" s="194">
        <v>330</v>
      </c>
      <c r="AF2486" s="194" t="s">
        <v>252</v>
      </c>
      <c r="AG2486" s="194">
        <v>388</v>
      </c>
      <c r="AH2486" s="194" t="s">
        <v>252</v>
      </c>
      <c r="AI2486" s="194">
        <v>476</v>
      </c>
      <c r="AJ2486" s="194" t="s">
        <v>252</v>
      </c>
      <c r="AK2486" s="194">
        <v>627</v>
      </c>
      <c r="AL2486" s="194" t="s">
        <v>252</v>
      </c>
      <c r="AM2486" s="194">
        <f t="shared" si="22"/>
        <v>4426</v>
      </c>
    </row>
    <row r="2487" spans="2:39" s="3" customFormat="1" ht="15.75" outlineLevel="1">
      <c r="B2487" s="178" t="s">
        <v>918</v>
      </c>
      <c r="C2487" s="218" t="s">
        <v>1489</v>
      </c>
      <c r="D2487" s="219" t="s">
        <v>1403</v>
      </c>
      <c r="E2487" s="221" t="s">
        <v>138</v>
      </c>
      <c r="F2487" s="93" t="s">
        <v>45</v>
      </c>
      <c r="G2487" s="188" t="s">
        <v>1432</v>
      </c>
      <c r="H2487" s="376">
        <v>79</v>
      </c>
      <c r="I2487" s="188" t="s">
        <v>1433</v>
      </c>
      <c r="J2487" s="379" t="s">
        <v>1451</v>
      </c>
      <c r="K2487" s="173" t="s">
        <v>233</v>
      </c>
      <c r="L2487" s="173" t="s">
        <v>233</v>
      </c>
      <c r="M2487" s="224">
        <v>3634</v>
      </c>
      <c r="N2487" s="194">
        <v>3798</v>
      </c>
      <c r="O2487" s="194">
        <v>256</v>
      </c>
      <c r="P2487" s="194" t="s">
        <v>252</v>
      </c>
      <c r="Q2487" s="194">
        <v>301</v>
      </c>
      <c r="R2487" s="194" t="s">
        <v>252</v>
      </c>
      <c r="S2487" s="194">
        <v>285</v>
      </c>
      <c r="T2487" s="194" t="s">
        <v>252</v>
      </c>
      <c r="U2487" s="194">
        <v>327</v>
      </c>
      <c r="V2487" s="194" t="s">
        <v>252</v>
      </c>
      <c r="W2487" s="194">
        <v>281</v>
      </c>
      <c r="X2487" s="194" t="s">
        <v>252</v>
      </c>
      <c r="Y2487" s="194">
        <v>258</v>
      </c>
      <c r="Z2487" s="194" t="s">
        <v>252</v>
      </c>
      <c r="AA2487" s="194">
        <v>329</v>
      </c>
      <c r="AB2487" s="194" t="s">
        <v>252</v>
      </c>
      <c r="AC2487" s="194">
        <v>281</v>
      </c>
      <c r="AD2487" s="194" t="s">
        <v>252</v>
      </c>
      <c r="AE2487" s="194">
        <v>300</v>
      </c>
      <c r="AF2487" s="194" t="s">
        <v>252</v>
      </c>
      <c r="AG2487" s="194">
        <v>301</v>
      </c>
      <c r="AH2487" s="194" t="s">
        <v>252</v>
      </c>
      <c r="AI2487" s="194">
        <v>251</v>
      </c>
      <c r="AJ2487" s="194" t="s">
        <v>252</v>
      </c>
      <c r="AK2487" s="194">
        <v>280</v>
      </c>
      <c r="AL2487" s="194" t="s">
        <v>252</v>
      </c>
      <c r="AM2487" s="194">
        <f t="shared" si="22"/>
        <v>3450</v>
      </c>
    </row>
    <row r="2488" spans="2:39" s="3" customFormat="1" ht="15.75" outlineLevel="1">
      <c r="B2488" s="178" t="s">
        <v>918</v>
      </c>
      <c r="C2488" s="218" t="s">
        <v>1489</v>
      </c>
      <c r="D2488" s="219" t="s">
        <v>1403</v>
      </c>
      <c r="E2488" s="23" t="s">
        <v>44</v>
      </c>
      <c r="F2488" s="93" t="s">
        <v>45</v>
      </c>
      <c r="G2488" s="188" t="s">
        <v>1432</v>
      </c>
      <c r="H2488" s="378"/>
      <c r="I2488" s="188" t="s">
        <v>1433</v>
      </c>
      <c r="J2488" s="380"/>
      <c r="K2488" s="173" t="s">
        <v>233</v>
      </c>
      <c r="L2488" s="173" t="s">
        <v>233</v>
      </c>
      <c r="M2488" s="224">
        <v>10812</v>
      </c>
      <c r="N2488" s="194">
        <v>10862</v>
      </c>
      <c r="O2488" s="194">
        <v>873</v>
      </c>
      <c r="P2488" s="194" t="s">
        <v>252</v>
      </c>
      <c r="Q2488" s="194">
        <v>972</v>
      </c>
      <c r="R2488" s="194" t="s">
        <v>252</v>
      </c>
      <c r="S2488" s="194">
        <v>759</v>
      </c>
      <c r="T2488" s="194" t="s">
        <v>252</v>
      </c>
      <c r="U2488" s="194">
        <v>930</v>
      </c>
      <c r="V2488" s="194" t="s">
        <v>252</v>
      </c>
      <c r="W2488" s="194">
        <v>759</v>
      </c>
      <c r="X2488" s="194" t="s">
        <v>252</v>
      </c>
      <c r="Y2488" s="194">
        <v>709</v>
      </c>
      <c r="Z2488" s="194" t="s">
        <v>252</v>
      </c>
      <c r="AA2488" s="194">
        <v>694</v>
      </c>
      <c r="AB2488" s="194" t="s">
        <v>252</v>
      </c>
      <c r="AC2488" s="194">
        <v>818</v>
      </c>
      <c r="AD2488" s="194" t="s">
        <v>252</v>
      </c>
      <c r="AE2488" s="194">
        <v>850</v>
      </c>
      <c r="AF2488" s="194" t="s">
        <v>252</v>
      </c>
      <c r="AG2488" s="194">
        <v>949</v>
      </c>
      <c r="AH2488" s="194" t="s">
        <v>252</v>
      </c>
      <c r="AI2488" s="194">
        <v>942</v>
      </c>
      <c r="AJ2488" s="194" t="s">
        <v>252</v>
      </c>
      <c r="AK2488" s="194">
        <v>1002</v>
      </c>
      <c r="AL2488" s="194" t="s">
        <v>252</v>
      </c>
      <c r="AM2488" s="194">
        <f t="shared" si="22"/>
        <v>10257</v>
      </c>
    </row>
    <row r="2489" spans="2:39" s="3" customFormat="1" ht="15.75" outlineLevel="1">
      <c r="B2489" s="178" t="s">
        <v>919</v>
      </c>
      <c r="C2489" s="218" t="s">
        <v>1489</v>
      </c>
      <c r="D2489" s="219" t="s">
        <v>1403</v>
      </c>
      <c r="E2489" s="23" t="s">
        <v>44</v>
      </c>
      <c r="F2489" s="93" t="s">
        <v>45</v>
      </c>
      <c r="G2489" s="188" t="s">
        <v>1432</v>
      </c>
      <c r="H2489" s="194">
        <v>42</v>
      </c>
      <c r="I2489" s="188" t="s">
        <v>1433</v>
      </c>
      <c r="J2489" s="220" t="s">
        <v>1462</v>
      </c>
      <c r="K2489" s="173" t="s">
        <v>233</v>
      </c>
      <c r="L2489" s="173" t="s">
        <v>233</v>
      </c>
      <c r="M2489" s="194">
        <v>7478</v>
      </c>
      <c r="N2489" s="194">
        <v>8794</v>
      </c>
      <c r="O2489" s="194">
        <v>889</v>
      </c>
      <c r="P2489" s="194" t="s">
        <v>252</v>
      </c>
      <c r="Q2489" s="194">
        <v>857</v>
      </c>
      <c r="R2489" s="194" t="s">
        <v>252</v>
      </c>
      <c r="S2489" s="194">
        <v>527</v>
      </c>
      <c r="T2489" s="194" t="s">
        <v>252</v>
      </c>
      <c r="U2489" s="194">
        <v>729</v>
      </c>
      <c r="V2489" s="194" t="s">
        <v>252</v>
      </c>
      <c r="W2489" s="194">
        <v>568</v>
      </c>
      <c r="X2489" s="194" t="s">
        <v>252</v>
      </c>
      <c r="Y2489" s="194">
        <v>473</v>
      </c>
      <c r="Z2489" s="194" t="s">
        <v>252</v>
      </c>
      <c r="AA2489" s="194">
        <v>569</v>
      </c>
      <c r="AB2489" s="194" t="s">
        <v>252</v>
      </c>
      <c r="AC2489" s="194">
        <v>520</v>
      </c>
      <c r="AD2489" s="194" t="s">
        <v>252</v>
      </c>
      <c r="AE2489" s="194">
        <v>596</v>
      </c>
      <c r="AF2489" s="194" t="s">
        <v>252</v>
      </c>
      <c r="AG2489" s="194">
        <v>742</v>
      </c>
      <c r="AH2489" s="194" t="s">
        <v>252</v>
      </c>
      <c r="AI2489" s="194">
        <v>748</v>
      </c>
      <c r="AJ2489" s="194" t="s">
        <v>252</v>
      </c>
      <c r="AK2489" s="194">
        <v>903</v>
      </c>
      <c r="AL2489" s="194" t="s">
        <v>252</v>
      </c>
      <c r="AM2489" s="194">
        <f t="shared" si="22"/>
        <v>8121</v>
      </c>
    </row>
    <row r="2490" spans="2:39" s="3" customFormat="1" ht="15.75" outlineLevel="1">
      <c r="B2490" s="178" t="s">
        <v>920</v>
      </c>
      <c r="C2490" s="218" t="s">
        <v>1489</v>
      </c>
      <c r="D2490" s="219" t="s">
        <v>1403</v>
      </c>
      <c r="E2490" s="23" t="s">
        <v>44</v>
      </c>
      <c r="F2490" s="93" t="s">
        <v>45</v>
      </c>
      <c r="G2490" s="188" t="s">
        <v>1432</v>
      </c>
      <c r="H2490" s="376">
        <v>38</v>
      </c>
      <c r="I2490" s="188" t="s">
        <v>1433</v>
      </c>
      <c r="J2490" s="379" t="s">
        <v>1440</v>
      </c>
      <c r="K2490" s="173" t="s">
        <v>233</v>
      </c>
      <c r="L2490" s="173" t="s">
        <v>233</v>
      </c>
      <c r="M2490" s="194">
        <v>6903</v>
      </c>
      <c r="N2490" s="194">
        <v>5299</v>
      </c>
      <c r="O2490" s="194">
        <v>473</v>
      </c>
      <c r="P2490" s="194"/>
      <c r="Q2490" s="194">
        <v>536</v>
      </c>
      <c r="R2490" s="194"/>
      <c r="S2490" s="194">
        <v>423</v>
      </c>
      <c r="T2490" s="194"/>
      <c r="U2490" s="194">
        <v>861</v>
      </c>
      <c r="V2490" s="194"/>
      <c r="W2490" s="194">
        <v>249</v>
      </c>
      <c r="X2490" s="194"/>
      <c r="Y2490" s="194">
        <v>192</v>
      </c>
      <c r="Z2490" s="194"/>
      <c r="AA2490" s="194">
        <v>199</v>
      </c>
      <c r="AB2490" s="194"/>
      <c r="AC2490" s="194">
        <v>216</v>
      </c>
      <c r="AD2490" s="194"/>
      <c r="AE2490" s="194">
        <v>210</v>
      </c>
      <c r="AF2490" s="194"/>
      <c r="AG2490" s="194">
        <v>465</v>
      </c>
      <c r="AH2490" s="194"/>
      <c r="AI2490" s="194">
        <v>555</v>
      </c>
      <c r="AJ2490" s="194"/>
      <c r="AK2490" s="194">
        <v>607</v>
      </c>
      <c r="AL2490" s="194"/>
      <c r="AM2490" s="194">
        <f t="shared" si="22"/>
        <v>4986</v>
      </c>
    </row>
    <row r="2491" spans="2:39" s="3" customFormat="1" ht="15.75" outlineLevel="1">
      <c r="B2491" s="178" t="s">
        <v>921</v>
      </c>
      <c r="C2491" s="218" t="s">
        <v>1489</v>
      </c>
      <c r="D2491" s="219" t="s">
        <v>1403</v>
      </c>
      <c r="E2491" s="23" t="s">
        <v>44</v>
      </c>
      <c r="F2491" s="93" t="s">
        <v>45</v>
      </c>
      <c r="G2491" s="188" t="s">
        <v>1432</v>
      </c>
      <c r="H2491" s="378"/>
      <c r="I2491" s="188" t="s">
        <v>1433</v>
      </c>
      <c r="J2491" s="380"/>
      <c r="K2491" s="173" t="s">
        <v>233</v>
      </c>
      <c r="L2491" s="173" t="s">
        <v>233</v>
      </c>
      <c r="M2491" s="194"/>
      <c r="N2491" s="194"/>
      <c r="O2491" s="194"/>
      <c r="P2491" s="194" t="s">
        <v>252</v>
      </c>
      <c r="Q2491" s="194"/>
      <c r="R2491" s="194" t="s">
        <v>252</v>
      </c>
      <c r="S2491" s="194"/>
      <c r="T2491" s="194" t="s">
        <v>252</v>
      </c>
      <c r="U2491" s="194"/>
      <c r="V2491" s="194" t="s">
        <v>252</v>
      </c>
      <c r="W2491" s="194"/>
      <c r="X2491" s="194" t="s">
        <v>252</v>
      </c>
      <c r="Y2491" s="194"/>
      <c r="Z2491" s="194" t="s">
        <v>252</v>
      </c>
      <c r="AA2491" s="194"/>
      <c r="AB2491" s="194" t="s">
        <v>252</v>
      </c>
      <c r="AC2491" s="194"/>
      <c r="AD2491" s="194" t="s">
        <v>252</v>
      </c>
      <c r="AE2491" s="194"/>
      <c r="AF2491" s="194" t="s">
        <v>252</v>
      </c>
      <c r="AG2491" s="194"/>
      <c r="AH2491" s="194" t="s">
        <v>252</v>
      </c>
      <c r="AI2491" s="194"/>
      <c r="AJ2491" s="194" t="s">
        <v>252</v>
      </c>
      <c r="AK2491" s="194"/>
      <c r="AL2491" s="194" t="s">
        <v>252</v>
      </c>
      <c r="AM2491" s="194">
        <f t="shared" si="22"/>
        <v>0</v>
      </c>
    </row>
    <row r="2492" spans="2:39" s="3" customFormat="1" ht="15.75" outlineLevel="1">
      <c r="B2492" s="178" t="s">
        <v>922</v>
      </c>
      <c r="C2492" s="218" t="s">
        <v>1489</v>
      </c>
      <c r="D2492" s="219" t="s">
        <v>1403</v>
      </c>
      <c r="E2492" s="221" t="s">
        <v>138</v>
      </c>
      <c r="F2492" s="222" t="s">
        <v>45</v>
      </c>
      <c r="G2492" s="188" t="s">
        <v>1432</v>
      </c>
      <c r="H2492" s="376">
        <v>42</v>
      </c>
      <c r="I2492" s="188" t="s">
        <v>1433</v>
      </c>
      <c r="J2492" s="379" t="s">
        <v>1467</v>
      </c>
      <c r="K2492" s="173" t="s">
        <v>233</v>
      </c>
      <c r="L2492" s="173" t="s">
        <v>233</v>
      </c>
      <c r="M2492" s="224">
        <v>1650</v>
      </c>
      <c r="N2492" s="194">
        <v>620</v>
      </c>
      <c r="O2492" s="194">
        <v>48</v>
      </c>
      <c r="P2492" s="194" t="s">
        <v>252</v>
      </c>
      <c r="Q2492" s="194">
        <v>59</v>
      </c>
      <c r="R2492" s="194" t="s">
        <v>252</v>
      </c>
      <c r="S2492" s="194">
        <v>44</v>
      </c>
      <c r="T2492" s="194" t="s">
        <v>252</v>
      </c>
      <c r="U2492" s="194">
        <v>50</v>
      </c>
      <c r="V2492" s="194" t="s">
        <v>252</v>
      </c>
      <c r="W2492" s="194">
        <v>48</v>
      </c>
      <c r="X2492" s="194" t="s">
        <v>252</v>
      </c>
      <c r="Y2492" s="194">
        <v>37</v>
      </c>
      <c r="Z2492" s="194" t="s">
        <v>252</v>
      </c>
      <c r="AA2492" s="194">
        <v>41</v>
      </c>
      <c r="AB2492" s="194" t="s">
        <v>252</v>
      </c>
      <c r="AC2492" s="194">
        <v>39</v>
      </c>
      <c r="AD2492" s="194" t="s">
        <v>252</v>
      </c>
      <c r="AE2492" s="194">
        <v>68</v>
      </c>
      <c r="AF2492" s="194" t="s">
        <v>252</v>
      </c>
      <c r="AG2492" s="194">
        <v>48</v>
      </c>
      <c r="AH2492" s="194" t="s">
        <v>252</v>
      </c>
      <c r="AI2492" s="194">
        <v>51</v>
      </c>
      <c r="AJ2492" s="194" t="s">
        <v>252</v>
      </c>
      <c r="AK2492" s="194">
        <v>53</v>
      </c>
      <c r="AL2492" s="194" t="s">
        <v>252</v>
      </c>
      <c r="AM2492" s="194">
        <f t="shared" si="22"/>
        <v>586</v>
      </c>
    </row>
    <row r="2493" spans="2:39" s="3" customFormat="1" ht="15.75" outlineLevel="1">
      <c r="B2493" s="178" t="s">
        <v>922</v>
      </c>
      <c r="C2493" s="218" t="s">
        <v>1489</v>
      </c>
      <c r="D2493" s="219" t="s">
        <v>1403</v>
      </c>
      <c r="E2493" s="23" t="s">
        <v>44</v>
      </c>
      <c r="F2493" s="222" t="s">
        <v>45</v>
      </c>
      <c r="G2493" s="188" t="s">
        <v>1432</v>
      </c>
      <c r="H2493" s="378"/>
      <c r="I2493" s="188" t="s">
        <v>1433</v>
      </c>
      <c r="J2493" s="380"/>
      <c r="K2493" s="173" t="s">
        <v>233</v>
      </c>
      <c r="L2493" s="173" t="s">
        <v>233</v>
      </c>
      <c r="M2493" s="224">
        <v>7058</v>
      </c>
      <c r="N2493" s="194">
        <v>5800</v>
      </c>
      <c r="O2493" s="194">
        <v>449</v>
      </c>
      <c r="P2493" s="194"/>
      <c r="Q2493" s="194">
        <v>440</v>
      </c>
      <c r="R2493" s="194"/>
      <c r="S2493" s="194">
        <v>322</v>
      </c>
      <c r="T2493" s="194"/>
      <c r="U2493" s="194">
        <v>414</v>
      </c>
      <c r="V2493" s="194"/>
      <c r="W2493" s="194">
        <v>340</v>
      </c>
      <c r="X2493" s="194"/>
      <c r="Y2493" s="194">
        <v>301</v>
      </c>
      <c r="Z2493" s="194"/>
      <c r="AA2493" s="194">
        <v>260</v>
      </c>
      <c r="AB2493" s="194"/>
      <c r="AC2493" s="194">
        <v>214</v>
      </c>
      <c r="AD2493" s="194"/>
      <c r="AE2493" s="194">
        <v>420</v>
      </c>
      <c r="AF2493" s="194"/>
      <c r="AG2493" s="194">
        <v>469</v>
      </c>
      <c r="AH2493" s="194"/>
      <c r="AI2493" s="194">
        <v>382</v>
      </c>
      <c r="AJ2493" s="194"/>
      <c r="AK2493" s="194">
        <v>399</v>
      </c>
      <c r="AL2493" s="194"/>
      <c r="AM2493" s="194">
        <f t="shared" si="22"/>
        <v>4410</v>
      </c>
    </row>
    <row r="2494" spans="2:39" s="3" customFormat="1" ht="15.75" outlineLevel="1">
      <c r="B2494" s="178" t="s">
        <v>923</v>
      </c>
      <c r="C2494" s="218" t="s">
        <v>1489</v>
      </c>
      <c r="D2494" s="219" t="s">
        <v>1403</v>
      </c>
      <c r="E2494" s="23" t="s">
        <v>44</v>
      </c>
      <c r="F2494" s="93" t="s">
        <v>45</v>
      </c>
      <c r="G2494" s="188" t="s">
        <v>1432</v>
      </c>
      <c r="H2494" s="194">
        <v>24</v>
      </c>
      <c r="I2494" s="188" t="s">
        <v>1433</v>
      </c>
      <c r="J2494" s="220" t="s">
        <v>1457</v>
      </c>
      <c r="K2494" s="173" t="s">
        <v>233</v>
      </c>
      <c r="L2494" s="173" t="s">
        <v>233</v>
      </c>
      <c r="M2494" s="194">
        <v>2953</v>
      </c>
      <c r="N2494" s="194">
        <v>3482</v>
      </c>
      <c r="O2494" s="194">
        <v>443</v>
      </c>
      <c r="P2494" s="194" t="s">
        <v>252</v>
      </c>
      <c r="Q2494" s="194">
        <v>297</v>
      </c>
      <c r="R2494" s="194" t="s">
        <v>252</v>
      </c>
      <c r="S2494" s="194">
        <v>404</v>
      </c>
      <c r="T2494" s="194" t="s">
        <v>252</v>
      </c>
      <c r="U2494" s="194">
        <v>405</v>
      </c>
      <c r="V2494" s="194" t="s">
        <v>252</v>
      </c>
      <c r="W2494" s="194">
        <v>406</v>
      </c>
      <c r="X2494" s="194" t="s">
        <v>252</v>
      </c>
      <c r="Y2494" s="194">
        <v>310</v>
      </c>
      <c r="Z2494" s="194" t="s">
        <v>252</v>
      </c>
      <c r="AA2494" s="194">
        <v>174</v>
      </c>
      <c r="AB2494" s="194" t="s">
        <v>252</v>
      </c>
      <c r="AC2494" s="194">
        <v>140</v>
      </c>
      <c r="AD2494" s="194" t="s">
        <v>252</v>
      </c>
      <c r="AE2494" s="194">
        <v>152</v>
      </c>
      <c r="AF2494" s="194" t="s">
        <v>252</v>
      </c>
      <c r="AG2494" s="194">
        <v>346</v>
      </c>
      <c r="AH2494" s="194" t="s">
        <v>252</v>
      </c>
      <c r="AI2494" s="194">
        <v>366</v>
      </c>
      <c r="AJ2494" s="194" t="s">
        <v>252</v>
      </c>
      <c r="AK2494" s="194">
        <v>335</v>
      </c>
      <c r="AL2494" s="194" t="s">
        <v>252</v>
      </c>
      <c r="AM2494" s="194">
        <f t="shared" si="22"/>
        <v>3778</v>
      </c>
    </row>
    <row r="2495" spans="2:39" s="3" customFormat="1" ht="15.75" outlineLevel="1">
      <c r="B2495" s="178" t="s">
        <v>924</v>
      </c>
      <c r="C2495" s="218" t="s">
        <v>1489</v>
      </c>
      <c r="D2495" s="219" t="s">
        <v>1403</v>
      </c>
      <c r="E2495" s="23" t="s">
        <v>44</v>
      </c>
      <c r="F2495" s="93" t="s">
        <v>45</v>
      </c>
      <c r="G2495" s="188" t="s">
        <v>1432</v>
      </c>
      <c r="H2495" s="194">
        <v>38</v>
      </c>
      <c r="I2495" s="188" t="s">
        <v>1433</v>
      </c>
      <c r="J2495" s="220" t="s">
        <v>1460</v>
      </c>
      <c r="K2495" s="173" t="s">
        <v>233</v>
      </c>
      <c r="L2495" s="173" t="s">
        <v>233</v>
      </c>
      <c r="M2495" s="194">
        <v>11813</v>
      </c>
      <c r="N2495" s="194">
        <v>11380</v>
      </c>
      <c r="O2495" s="194">
        <v>1120</v>
      </c>
      <c r="P2495" s="194" t="s">
        <v>252</v>
      </c>
      <c r="Q2495" s="194">
        <v>1287</v>
      </c>
      <c r="R2495" s="194" t="s">
        <v>252</v>
      </c>
      <c r="S2495" s="194">
        <v>801</v>
      </c>
      <c r="T2495" s="194" t="s">
        <v>252</v>
      </c>
      <c r="U2495" s="194">
        <v>1089</v>
      </c>
      <c r="V2495" s="194" t="s">
        <v>252</v>
      </c>
      <c r="W2495" s="194">
        <v>838</v>
      </c>
      <c r="X2495" s="194" t="s">
        <v>252</v>
      </c>
      <c r="Y2495" s="194">
        <v>705</v>
      </c>
      <c r="Z2495" s="194" t="s">
        <v>252</v>
      </c>
      <c r="AA2495" s="194">
        <v>656</v>
      </c>
      <c r="AB2495" s="194" t="s">
        <v>252</v>
      </c>
      <c r="AC2495" s="194">
        <v>693</v>
      </c>
      <c r="AD2495" s="194" t="s">
        <v>252</v>
      </c>
      <c r="AE2495" s="194">
        <v>870</v>
      </c>
      <c r="AF2495" s="194" t="s">
        <v>252</v>
      </c>
      <c r="AG2495" s="194">
        <v>911</v>
      </c>
      <c r="AH2495" s="194" t="s">
        <v>252</v>
      </c>
      <c r="AI2495" s="194">
        <v>1004</v>
      </c>
      <c r="AJ2495" s="194" t="s">
        <v>252</v>
      </c>
      <c r="AK2495" s="194">
        <v>946</v>
      </c>
      <c r="AL2495" s="194" t="s">
        <v>252</v>
      </c>
      <c r="AM2495" s="194">
        <f t="shared" si="22"/>
        <v>10920</v>
      </c>
    </row>
    <row r="2496" spans="2:39" s="3" customFormat="1" ht="15.75" outlineLevel="1">
      <c r="B2496" s="178" t="s">
        <v>925</v>
      </c>
      <c r="C2496" s="218" t="s">
        <v>1489</v>
      </c>
      <c r="D2496" s="219" t="s">
        <v>1403</v>
      </c>
      <c r="E2496" s="23" t="s">
        <v>44</v>
      </c>
      <c r="F2496" s="93" t="s">
        <v>45</v>
      </c>
      <c r="G2496" s="188" t="s">
        <v>1432</v>
      </c>
      <c r="H2496" s="194">
        <v>27</v>
      </c>
      <c r="I2496" s="188" t="s">
        <v>1433</v>
      </c>
      <c r="J2496" s="220" t="s">
        <v>1460</v>
      </c>
      <c r="K2496" s="173" t="s">
        <v>233</v>
      </c>
      <c r="L2496" s="173" t="s">
        <v>233</v>
      </c>
      <c r="M2496" s="194">
        <v>5632</v>
      </c>
      <c r="N2496" s="194">
        <v>7034</v>
      </c>
      <c r="O2496" s="194">
        <v>590</v>
      </c>
      <c r="P2496" s="194" t="s">
        <v>252</v>
      </c>
      <c r="Q2496" s="194">
        <v>549</v>
      </c>
      <c r="R2496" s="194" t="s">
        <v>252</v>
      </c>
      <c r="S2496" s="194">
        <v>390</v>
      </c>
      <c r="T2496" s="194" t="s">
        <v>252</v>
      </c>
      <c r="U2496" s="194">
        <v>579</v>
      </c>
      <c r="V2496" s="194" t="s">
        <v>252</v>
      </c>
      <c r="W2496" s="194">
        <v>462</v>
      </c>
      <c r="X2496" s="194" t="s">
        <v>252</v>
      </c>
      <c r="Y2496" s="194">
        <v>456</v>
      </c>
      <c r="Z2496" s="194" t="s">
        <v>252</v>
      </c>
      <c r="AA2496" s="194">
        <v>396</v>
      </c>
      <c r="AB2496" s="194" t="s">
        <v>252</v>
      </c>
      <c r="AC2496" s="194">
        <v>342</v>
      </c>
      <c r="AD2496" s="194" t="s">
        <v>252</v>
      </c>
      <c r="AE2496" s="194">
        <v>418</v>
      </c>
      <c r="AF2496" s="194" t="s">
        <v>252</v>
      </c>
      <c r="AG2496" s="194">
        <v>471</v>
      </c>
      <c r="AH2496" s="194" t="s">
        <v>252</v>
      </c>
      <c r="AI2496" s="194">
        <v>599</v>
      </c>
      <c r="AJ2496" s="194" t="s">
        <v>252</v>
      </c>
      <c r="AK2496" s="194">
        <v>584</v>
      </c>
      <c r="AL2496" s="194" t="s">
        <v>252</v>
      </c>
      <c r="AM2496" s="194">
        <f t="shared" si="22"/>
        <v>5836</v>
      </c>
    </row>
    <row r="2497" spans="2:39" s="3" customFormat="1" ht="15.75" outlineLevel="1">
      <c r="B2497" s="178" t="s">
        <v>926</v>
      </c>
      <c r="C2497" s="218" t="s">
        <v>1489</v>
      </c>
      <c r="D2497" s="219" t="s">
        <v>1403</v>
      </c>
      <c r="E2497" s="23" t="s">
        <v>44</v>
      </c>
      <c r="F2497" s="93" t="s">
        <v>45</v>
      </c>
      <c r="G2497" s="188" t="s">
        <v>1432</v>
      </c>
      <c r="H2497" s="194">
        <v>58</v>
      </c>
      <c r="I2497" s="188" t="s">
        <v>1433</v>
      </c>
      <c r="J2497" s="220" t="s">
        <v>617</v>
      </c>
      <c r="K2497" s="173" t="s">
        <v>233</v>
      </c>
      <c r="L2497" s="173" t="s">
        <v>233</v>
      </c>
      <c r="M2497" s="194">
        <v>3516</v>
      </c>
      <c r="N2497" s="194">
        <v>5173</v>
      </c>
      <c r="O2497" s="194">
        <v>234</v>
      </c>
      <c r="P2497" s="194" t="s">
        <v>252</v>
      </c>
      <c r="Q2497" s="194">
        <v>385</v>
      </c>
      <c r="R2497" s="194" t="s">
        <v>252</v>
      </c>
      <c r="S2497" s="194">
        <v>140</v>
      </c>
      <c r="T2497" s="194" t="s">
        <v>252</v>
      </c>
      <c r="U2497" s="194">
        <v>244</v>
      </c>
      <c r="V2497" s="194" t="s">
        <v>252</v>
      </c>
      <c r="W2497" s="194">
        <v>188</v>
      </c>
      <c r="X2497" s="194" t="s">
        <v>252</v>
      </c>
      <c r="Y2497" s="194">
        <v>180</v>
      </c>
      <c r="Z2497" s="194" t="s">
        <v>252</v>
      </c>
      <c r="AA2497" s="194">
        <v>170</v>
      </c>
      <c r="AB2497" s="194" t="s">
        <v>252</v>
      </c>
      <c r="AC2497" s="194">
        <v>173</v>
      </c>
      <c r="AD2497" s="194" t="s">
        <v>252</v>
      </c>
      <c r="AE2497" s="194">
        <v>185</v>
      </c>
      <c r="AF2497" s="194" t="s">
        <v>252</v>
      </c>
      <c r="AG2497" s="194">
        <v>461</v>
      </c>
      <c r="AH2497" s="194" t="s">
        <v>252</v>
      </c>
      <c r="AI2497" s="194">
        <v>441</v>
      </c>
      <c r="AJ2497" s="194" t="s">
        <v>252</v>
      </c>
      <c r="AK2497" s="194">
        <v>464</v>
      </c>
      <c r="AL2497" s="194" t="s">
        <v>252</v>
      </c>
      <c r="AM2497" s="194">
        <f t="shared" si="22"/>
        <v>3265</v>
      </c>
    </row>
    <row r="2498" spans="2:39" s="3" customFormat="1" ht="15.75" outlineLevel="1">
      <c r="B2498" s="178" t="s">
        <v>927</v>
      </c>
      <c r="C2498" s="218" t="s">
        <v>1489</v>
      </c>
      <c r="D2498" s="219" t="s">
        <v>1403</v>
      </c>
      <c r="E2498" s="23" t="s">
        <v>44</v>
      </c>
      <c r="F2498" s="93" t="s">
        <v>45</v>
      </c>
      <c r="G2498" s="188" t="s">
        <v>1432</v>
      </c>
      <c r="H2498" s="194">
        <v>29</v>
      </c>
      <c r="I2498" s="188" t="s">
        <v>1433</v>
      </c>
      <c r="J2498" s="220" t="s">
        <v>1460</v>
      </c>
      <c r="K2498" s="173" t="s">
        <v>233</v>
      </c>
      <c r="L2498" s="173" t="s">
        <v>233</v>
      </c>
      <c r="M2498" s="194">
        <v>2645</v>
      </c>
      <c r="N2498" s="194">
        <v>2947</v>
      </c>
      <c r="O2498" s="194">
        <v>265</v>
      </c>
      <c r="P2498" s="194" t="s">
        <v>252</v>
      </c>
      <c r="Q2498" s="194">
        <v>288</v>
      </c>
      <c r="R2498" s="194" t="s">
        <v>252</v>
      </c>
      <c r="S2498" s="194">
        <v>183</v>
      </c>
      <c r="T2498" s="194" t="s">
        <v>252</v>
      </c>
      <c r="U2498" s="194">
        <v>158</v>
      </c>
      <c r="V2498" s="194" t="s">
        <v>252</v>
      </c>
      <c r="W2498" s="194">
        <v>146</v>
      </c>
      <c r="X2498" s="194" t="s">
        <v>252</v>
      </c>
      <c r="Y2498" s="194">
        <v>118</v>
      </c>
      <c r="Z2498" s="194" t="s">
        <v>252</v>
      </c>
      <c r="AA2498" s="194">
        <v>100</v>
      </c>
      <c r="AB2498" s="194" t="s">
        <v>252</v>
      </c>
      <c r="AC2498" s="194">
        <v>103</v>
      </c>
      <c r="AD2498" s="194" t="s">
        <v>252</v>
      </c>
      <c r="AE2498" s="194">
        <v>182</v>
      </c>
      <c r="AF2498" s="194" t="s">
        <v>252</v>
      </c>
      <c r="AG2498" s="194">
        <v>205</v>
      </c>
      <c r="AH2498" s="194" t="s">
        <v>252</v>
      </c>
      <c r="AI2498" s="194">
        <v>306</v>
      </c>
      <c r="AJ2498" s="194" t="s">
        <v>252</v>
      </c>
      <c r="AK2498" s="194">
        <v>310</v>
      </c>
      <c r="AL2498" s="194" t="s">
        <v>252</v>
      </c>
      <c r="AM2498" s="194">
        <f t="shared" si="22"/>
        <v>2364</v>
      </c>
    </row>
    <row r="2499" spans="2:39" s="3" customFormat="1" ht="15.75" outlineLevel="1">
      <c r="B2499" s="178" t="s">
        <v>928</v>
      </c>
      <c r="C2499" s="218" t="s">
        <v>1489</v>
      </c>
      <c r="D2499" s="219" t="s">
        <v>1403</v>
      </c>
      <c r="E2499" s="23" t="s">
        <v>44</v>
      </c>
      <c r="F2499" s="93" t="s">
        <v>45</v>
      </c>
      <c r="G2499" s="188" t="s">
        <v>1432</v>
      </c>
      <c r="H2499" s="194">
        <v>32</v>
      </c>
      <c r="I2499" s="188" t="s">
        <v>1433</v>
      </c>
      <c r="J2499" s="220" t="s">
        <v>617</v>
      </c>
      <c r="K2499" s="173" t="s">
        <v>233</v>
      </c>
      <c r="L2499" s="173" t="s">
        <v>233</v>
      </c>
      <c r="M2499" s="194">
        <v>7609</v>
      </c>
      <c r="N2499" s="194">
        <v>8043</v>
      </c>
      <c r="O2499" s="194">
        <v>605</v>
      </c>
      <c r="P2499" s="194" t="s">
        <v>252</v>
      </c>
      <c r="Q2499" s="194">
        <v>633</v>
      </c>
      <c r="R2499" s="194" t="s">
        <v>252</v>
      </c>
      <c r="S2499" s="194">
        <v>432</v>
      </c>
      <c r="T2499" s="194" t="s">
        <v>252</v>
      </c>
      <c r="U2499" s="194">
        <v>522</v>
      </c>
      <c r="V2499" s="194" t="s">
        <v>252</v>
      </c>
      <c r="W2499" s="194">
        <v>401</v>
      </c>
      <c r="X2499" s="194" t="s">
        <v>252</v>
      </c>
      <c r="Y2499" s="194">
        <v>339</v>
      </c>
      <c r="Z2499" s="194" t="s">
        <v>252</v>
      </c>
      <c r="AA2499" s="194">
        <v>322</v>
      </c>
      <c r="AB2499" s="194" t="s">
        <v>252</v>
      </c>
      <c r="AC2499" s="194">
        <v>371</v>
      </c>
      <c r="AD2499" s="194" t="s">
        <v>252</v>
      </c>
      <c r="AE2499" s="194">
        <v>440</v>
      </c>
      <c r="AF2499" s="194" t="s">
        <v>252</v>
      </c>
      <c r="AG2499" s="194">
        <v>425</v>
      </c>
      <c r="AH2499" s="194" t="s">
        <v>252</v>
      </c>
      <c r="AI2499" s="194">
        <v>588</v>
      </c>
      <c r="AJ2499" s="194" t="s">
        <v>252</v>
      </c>
      <c r="AK2499" s="194">
        <v>626</v>
      </c>
      <c r="AL2499" s="194" t="s">
        <v>252</v>
      </c>
      <c r="AM2499" s="194">
        <f t="shared" si="22"/>
        <v>5704</v>
      </c>
    </row>
    <row r="2500" spans="2:39" s="3" customFormat="1" ht="15.75" outlineLevel="1">
      <c r="B2500" s="178" t="s">
        <v>930</v>
      </c>
      <c r="C2500" s="218" t="s">
        <v>1489</v>
      </c>
      <c r="D2500" s="219" t="s">
        <v>1403</v>
      </c>
      <c r="E2500" s="23" t="s">
        <v>44</v>
      </c>
      <c r="F2500" s="93" t="s">
        <v>45</v>
      </c>
      <c r="G2500" s="188" t="s">
        <v>1432</v>
      </c>
      <c r="H2500" s="194">
        <v>48</v>
      </c>
      <c r="I2500" s="188" t="s">
        <v>1433</v>
      </c>
      <c r="J2500" s="220" t="s">
        <v>1462</v>
      </c>
      <c r="K2500" s="173" t="s">
        <v>233</v>
      </c>
      <c r="L2500" s="173" t="s">
        <v>233</v>
      </c>
      <c r="M2500" s="194">
        <v>15484</v>
      </c>
      <c r="N2500" s="194">
        <v>15088</v>
      </c>
      <c r="O2500" s="194">
        <v>1275</v>
      </c>
      <c r="P2500" s="194" t="s">
        <v>252</v>
      </c>
      <c r="Q2500" s="194">
        <v>1310</v>
      </c>
      <c r="R2500" s="194" t="s">
        <v>252</v>
      </c>
      <c r="S2500" s="194">
        <v>800</v>
      </c>
      <c r="T2500" s="194" t="s">
        <v>252</v>
      </c>
      <c r="U2500" s="194">
        <v>873</v>
      </c>
      <c r="V2500" s="194" t="s">
        <v>252</v>
      </c>
      <c r="W2500" s="194">
        <v>686</v>
      </c>
      <c r="X2500" s="194" t="s">
        <v>252</v>
      </c>
      <c r="Y2500" s="194">
        <v>625</v>
      </c>
      <c r="Z2500" s="194" t="s">
        <v>252</v>
      </c>
      <c r="AA2500" s="194">
        <v>447</v>
      </c>
      <c r="AB2500" s="194" t="s">
        <v>252</v>
      </c>
      <c r="AC2500" s="194">
        <v>529</v>
      </c>
      <c r="AD2500" s="194" t="s">
        <v>252</v>
      </c>
      <c r="AE2500" s="194">
        <v>781</v>
      </c>
      <c r="AF2500" s="194" t="s">
        <v>252</v>
      </c>
      <c r="AG2500" s="194">
        <v>552</v>
      </c>
      <c r="AH2500" s="194" t="s">
        <v>252</v>
      </c>
      <c r="AI2500" s="194">
        <v>1385</v>
      </c>
      <c r="AJ2500" s="194" t="s">
        <v>252</v>
      </c>
      <c r="AK2500" s="194">
        <v>950</v>
      </c>
      <c r="AL2500" s="194" t="s">
        <v>252</v>
      </c>
      <c r="AM2500" s="194">
        <f t="shared" si="22"/>
        <v>10213</v>
      </c>
    </row>
    <row r="2501" spans="2:39" s="3" customFormat="1" ht="15.75" outlineLevel="1">
      <c r="B2501" s="178" t="s">
        <v>931</v>
      </c>
      <c r="C2501" s="218" t="s">
        <v>1489</v>
      </c>
      <c r="D2501" s="219" t="s">
        <v>1403</v>
      </c>
      <c r="E2501" s="23" t="s">
        <v>44</v>
      </c>
      <c r="F2501" s="93" t="s">
        <v>45</v>
      </c>
      <c r="G2501" s="188" t="s">
        <v>1432</v>
      </c>
      <c r="H2501" s="194">
        <v>112</v>
      </c>
      <c r="I2501" s="188" t="s">
        <v>1433</v>
      </c>
      <c r="J2501" s="220" t="s">
        <v>1456</v>
      </c>
      <c r="K2501" s="173" t="s">
        <v>233</v>
      </c>
      <c r="L2501" s="173" t="s">
        <v>233</v>
      </c>
      <c r="M2501" s="194">
        <v>12261</v>
      </c>
      <c r="N2501" s="194">
        <v>13499</v>
      </c>
      <c r="O2501" s="194">
        <v>1211</v>
      </c>
      <c r="P2501" s="194" t="s">
        <v>252</v>
      </c>
      <c r="Q2501" s="194">
        <v>1369</v>
      </c>
      <c r="R2501" s="194" t="s">
        <v>252</v>
      </c>
      <c r="S2501" s="194">
        <v>936</v>
      </c>
      <c r="T2501" s="194" t="s">
        <v>252</v>
      </c>
      <c r="U2501" s="194">
        <v>1110</v>
      </c>
      <c r="V2501" s="194" t="s">
        <v>252</v>
      </c>
      <c r="W2501" s="194">
        <v>1028</v>
      </c>
      <c r="X2501" s="194" t="s">
        <v>252</v>
      </c>
      <c r="Y2501" s="194">
        <v>983</v>
      </c>
      <c r="Z2501" s="194" t="s">
        <v>252</v>
      </c>
      <c r="AA2501" s="194">
        <v>743</v>
      </c>
      <c r="AB2501" s="194" t="s">
        <v>252</v>
      </c>
      <c r="AC2501" s="194">
        <v>825</v>
      </c>
      <c r="AD2501" s="194" t="s">
        <v>252</v>
      </c>
      <c r="AE2501" s="194">
        <v>1158</v>
      </c>
      <c r="AF2501" s="194" t="s">
        <v>252</v>
      </c>
      <c r="AG2501" s="194">
        <v>906</v>
      </c>
      <c r="AH2501" s="194" t="s">
        <v>252</v>
      </c>
      <c r="AI2501" s="194">
        <v>1796</v>
      </c>
      <c r="AJ2501" s="194" t="s">
        <v>252</v>
      </c>
      <c r="AK2501" s="194">
        <v>1580</v>
      </c>
      <c r="AL2501" s="194" t="s">
        <v>252</v>
      </c>
      <c r="AM2501" s="194">
        <f t="shared" si="22"/>
        <v>13645</v>
      </c>
    </row>
    <row r="2502" spans="2:39" s="3" customFormat="1" ht="15.75" outlineLevel="1">
      <c r="B2502" s="178" t="s">
        <v>933</v>
      </c>
      <c r="C2502" s="218" t="s">
        <v>1489</v>
      </c>
      <c r="D2502" s="219" t="s">
        <v>1403</v>
      </c>
      <c r="E2502" s="23" t="s">
        <v>44</v>
      </c>
      <c r="F2502" s="93" t="s">
        <v>45</v>
      </c>
      <c r="G2502" s="188" t="s">
        <v>1432</v>
      </c>
      <c r="H2502" s="194">
        <v>44</v>
      </c>
      <c r="I2502" s="188" t="s">
        <v>1433</v>
      </c>
      <c r="J2502" s="220" t="s">
        <v>1440</v>
      </c>
      <c r="K2502" s="173" t="s">
        <v>233</v>
      </c>
      <c r="L2502" s="173" t="s">
        <v>233</v>
      </c>
      <c r="M2502" s="194">
        <v>7918</v>
      </c>
      <c r="N2502" s="194">
        <v>5199</v>
      </c>
      <c r="O2502" s="194">
        <v>401</v>
      </c>
      <c r="P2502" s="194" t="s">
        <v>252</v>
      </c>
      <c r="Q2502" s="194">
        <v>488</v>
      </c>
      <c r="R2502" s="194" t="s">
        <v>252</v>
      </c>
      <c r="S2502" s="194">
        <v>522</v>
      </c>
      <c r="T2502" s="194" t="s">
        <v>252</v>
      </c>
      <c r="U2502" s="194">
        <v>567</v>
      </c>
      <c r="V2502" s="194" t="s">
        <v>252</v>
      </c>
      <c r="W2502" s="194">
        <v>449</v>
      </c>
      <c r="X2502" s="194" t="s">
        <v>252</v>
      </c>
      <c r="Y2502" s="194">
        <v>340</v>
      </c>
      <c r="Z2502" s="194" t="s">
        <v>252</v>
      </c>
      <c r="AA2502" s="194">
        <v>209</v>
      </c>
      <c r="AB2502" s="194" t="s">
        <v>252</v>
      </c>
      <c r="AC2502" s="194">
        <v>457</v>
      </c>
      <c r="AD2502" s="194" t="s">
        <v>252</v>
      </c>
      <c r="AE2502" s="194">
        <v>279</v>
      </c>
      <c r="AF2502" s="194" t="s">
        <v>252</v>
      </c>
      <c r="AG2502" s="194">
        <v>282</v>
      </c>
      <c r="AH2502" s="194" t="s">
        <v>252</v>
      </c>
      <c r="AI2502" s="194">
        <v>463</v>
      </c>
      <c r="AJ2502" s="194" t="s">
        <v>252</v>
      </c>
      <c r="AK2502" s="194">
        <v>464</v>
      </c>
      <c r="AL2502" s="194" t="s">
        <v>252</v>
      </c>
      <c r="AM2502" s="194">
        <f t="shared" si="22"/>
        <v>4921</v>
      </c>
    </row>
    <row r="2503" spans="2:39" s="3" customFormat="1" ht="15.75" outlineLevel="1">
      <c r="B2503" s="178" t="s">
        <v>936</v>
      </c>
      <c r="C2503" s="218" t="s">
        <v>1489</v>
      </c>
      <c r="D2503" s="219" t="s">
        <v>1403</v>
      </c>
      <c r="E2503" s="23" t="s">
        <v>44</v>
      </c>
      <c r="F2503" s="222" t="s">
        <v>45</v>
      </c>
      <c r="G2503" s="188" t="s">
        <v>1432</v>
      </c>
      <c r="H2503" s="194">
        <v>32</v>
      </c>
      <c r="I2503" s="188" t="s">
        <v>1433</v>
      </c>
      <c r="J2503" s="220" t="s">
        <v>1015</v>
      </c>
      <c r="K2503" s="173" t="s">
        <v>233</v>
      </c>
      <c r="L2503" s="173" t="s">
        <v>233</v>
      </c>
      <c r="M2503" s="194">
        <v>8501</v>
      </c>
      <c r="N2503" s="194">
        <v>7516</v>
      </c>
      <c r="O2503" s="194">
        <v>565</v>
      </c>
      <c r="P2503" s="194" t="s">
        <v>252</v>
      </c>
      <c r="Q2503" s="194">
        <v>577</v>
      </c>
      <c r="R2503" s="194" t="s">
        <v>252</v>
      </c>
      <c r="S2503" s="194">
        <v>1100</v>
      </c>
      <c r="T2503" s="194" t="s">
        <v>252</v>
      </c>
      <c r="U2503" s="194">
        <v>1199</v>
      </c>
      <c r="V2503" s="194" t="s">
        <v>252</v>
      </c>
      <c r="W2503" s="194">
        <v>659</v>
      </c>
      <c r="X2503" s="194" t="s">
        <v>252</v>
      </c>
      <c r="Y2503" s="194">
        <v>637</v>
      </c>
      <c r="Z2503" s="194" t="s">
        <v>252</v>
      </c>
      <c r="AA2503" s="194">
        <v>496</v>
      </c>
      <c r="AB2503" s="194" t="s">
        <v>252</v>
      </c>
      <c r="AC2503" s="194">
        <v>571</v>
      </c>
      <c r="AD2503" s="194" t="s">
        <v>252</v>
      </c>
      <c r="AE2503" s="194">
        <v>698</v>
      </c>
      <c r="AF2503" s="194" t="s">
        <v>252</v>
      </c>
      <c r="AG2503" s="194">
        <v>528</v>
      </c>
      <c r="AH2503" s="194" t="s">
        <v>252</v>
      </c>
      <c r="AI2503" s="194">
        <v>1517</v>
      </c>
      <c r="AJ2503" s="194" t="s">
        <v>252</v>
      </c>
      <c r="AK2503" s="194">
        <v>1335</v>
      </c>
      <c r="AL2503" s="194" t="s">
        <v>252</v>
      </c>
      <c r="AM2503" s="194">
        <f t="shared" si="22"/>
        <v>9882</v>
      </c>
    </row>
    <row r="2504" spans="2:39" s="3" customFormat="1" ht="15.75" outlineLevel="1">
      <c r="B2504" s="178" t="s">
        <v>938</v>
      </c>
      <c r="C2504" s="218" t="s">
        <v>1489</v>
      </c>
      <c r="D2504" s="219" t="s">
        <v>1403</v>
      </c>
      <c r="E2504" s="221" t="s">
        <v>138</v>
      </c>
      <c r="F2504" s="222" t="s">
        <v>45</v>
      </c>
      <c r="G2504" s="188" t="s">
        <v>1432</v>
      </c>
      <c r="H2504" s="376">
        <v>48</v>
      </c>
      <c r="I2504" s="188" t="s">
        <v>1433</v>
      </c>
      <c r="J2504" s="379" t="s">
        <v>196</v>
      </c>
      <c r="K2504" s="173" t="s">
        <v>233</v>
      </c>
      <c r="L2504" s="173" t="s">
        <v>233</v>
      </c>
      <c r="M2504" s="194">
        <v>9953</v>
      </c>
      <c r="N2504" s="194">
        <v>9901</v>
      </c>
      <c r="O2504" s="194">
        <v>1044</v>
      </c>
      <c r="P2504" s="194" t="s">
        <v>252</v>
      </c>
      <c r="Q2504" s="194">
        <v>1907</v>
      </c>
      <c r="R2504" s="194" t="s">
        <v>252</v>
      </c>
      <c r="S2504" s="194">
        <v>295</v>
      </c>
      <c r="T2504" s="194" t="s">
        <v>252</v>
      </c>
      <c r="U2504" s="194">
        <v>1328</v>
      </c>
      <c r="V2504" s="194" t="s">
        <v>252</v>
      </c>
      <c r="W2504" s="194">
        <v>1204</v>
      </c>
      <c r="X2504" s="194" t="s">
        <v>252</v>
      </c>
      <c r="Y2504" s="194">
        <v>617</v>
      </c>
      <c r="Z2504" s="194" t="s">
        <v>252</v>
      </c>
      <c r="AA2504" s="194">
        <v>1076</v>
      </c>
      <c r="AB2504" s="194" t="s">
        <v>252</v>
      </c>
      <c r="AC2504" s="194">
        <v>544</v>
      </c>
      <c r="AD2504" s="194" t="s">
        <v>252</v>
      </c>
      <c r="AE2504" s="194">
        <v>697</v>
      </c>
      <c r="AF2504" s="194" t="s">
        <v>252</v>
      </c>
      <c r="AG2504" s="194">
        <v>631</v>
      </c>
      <c r="AH2504" s="194" t="s">
        <v>252</v>
      </c>
      <c r="AI2504" s="194">
        <v>573</v>
      </c>
      <c r="AJ2504" s="194" t="s">
        <v>252</v>
      </c>
      <c r="AK2504" s="194">
        <v>580</v>
      </c>
      <c r="AL2504" s="194" t="s">
        <v>252</v>
      </c>
      <c r="AM2504" s="194">
        <f t="shared" si="22"/>
        <v>10496</v>
      </c>
    </row>
    <row r="2505" spans="2:39" s="3" customFormat="1" ht="15.75" outlineLevel="1">
      <c r="B2505" s="178" t="s">
        <v>938</v>
      </c>
      <c r="C2505" s="218" t="s">
        <v>1489</v>
      </c>
      <c r="D2505" s="219" t="s">
        <v>1403</v>
      </c>
      <c r="E2505" s="23" t="s">
        <v>44</v>
      </c>
      <c r="F2505" s="222"/>
      <c r="G2505" s="188" t="s">
        <v>1432</v>
      </c>
      <c r="H2505" s="378"/>
      <c r="I2505" s="188" t="s">
        <v>1433</v>
      </c>
      <c r="J2505" s="380"/>
      <c r="K2505" s="173" t="s">
        <v>233</v>
      </c>
      <c r="L2505" s="173" t="s">
        <v>233</v>
      </c>
      <c r="M2505" s="194">
        <v>18201</v>
      </c>
      <c r="N2505" s="194">
        <v>18307</v>
      </c>
      <c r="O2505" s="194">
        <v>1470</v>
      </c>
      <c r="P2505" s="194" t="s">
        <v>252</v>
      </c>
      <c r="Q2505" s="194">
        <v>681</v>
      </c>
      <c r="R2505" s="194" t="s">
        <v>252</v>
      </c>
      <c r="S2505" s="194">
        <v>1180</v>
      </c>
      <c r="T2505" s="194" t="s">
        <v>252</v>
      </c>
      <c r="U2505" s="194">
        <v>702</v>
      </c>
      <c r="V2505" s="194" t="s">
        <v>252</v>
      </c>
      <c r="W2505" s="194">
        <v>617</v>
      </c>
      <c r="X2505" s="194" t="s">
        <v>252</v>
      </c>
      <c r="Y2505" s="194">
        <v>1093</v>
      </c>
      <c r="Z2505" s="194" t="s">
        <v>252</v>
      </c>
      <c r="AA2505" s="194">
        <v>628</v>
      </c>
      <c r="AB2505" s="194" t="s">
        <v>252</v>
      </c>
      <c r="AC2505" s="194">
        <v>1135</v>
      </c>
      <c r="AD2505" s="194" t="s">
        <v>252</v>
      </c>
      <c r="AE2505" s="194">
        <v>1139</v>
      </c>
      <c r="AF2505" s="194" t="s">
        <v>252</v>
      </c>
      <c r="AG2505" s="194">
        <v>1206</v>
      </c>
      <c r="AH2505" s="194" t="s">
        <v>252</v>
      </c>
      <c r="AI2505" s="194">
        <v>1302</v>
      </c>
      <c r="AJ2505" s="194" t="s">
        <v>252</v>
      </c>
      <c r="AK2505" s="194">
        <v>1287</v>
      </c>
      <c r="AL2505" s="194" t="s">
        <v>252</v>
      </c>
      <c r="AM2505" s="194">
        <f t="shared" si="22"/>
        <v>12440</v>
      </c>
    </row>
    <row r="2506" spans="2:39" s="3" customFormat="1" ht="15.75" outlineLevel="1">
      <c r="B2506" s="178" t="s">
        <v>939</v>
      </c>
      <c r="C2506" s="218" t="s">
        <v>1489</v>
      </c>
      <c r="D2506" s="219" t="s">
        <v>1403</v>
      </c>
      <c r="E2506" s="23" t="s">
        <v>44</v>
      </c>
      <c r="F2506" s="93" t="s">
        <v>45</v>
      </c>
      <c r="G2506" s="188" t="s">
        <v>1432</v>
      </c>
      <c r="H2506" s="194">
        <v>25</v>
      </c>
      <c r="I2506" s="188" t="s">
        <v>1433</v>
      </c>
      <c r="J2506" s="220" t="s">
        <v>1442</v>
      </c>
      <c r="K2506" s="173" t="s">
        <v>233</v>
      </c>
      <c r="L2506" s="173" t="s">
        <v>233</v>
      </c>
      <c r="M2506" s="194">
        <v>8147</v>
      </c>
      <c r="N2506" s="194">
        <v>6610</v>
      </c>
      <c r="O2506" s="194">
        <v>461</v>
      </c>
      <c r="P2506" s="194" t="s">
        <v>252</v>
      </c>
      <c r="Q2506" s="194">
        <v>482</v>
      </c>
      <c r="R2506" s="194" t="s">
        <v>252</v>
      </c>
      <c r="S2506" s="194">
        <v>373</v>
      </c>
      <c r="T2506" s="194" t="s">
        <v>252</v>
      </c>
      <c r="U2506" s="194">
        <v>395</v>
      </c>
      <c r="V2506" s="194" t="s">
        <v>252</v>
      </c>
      <c r="W2506" s="194">
        <v>408</v>
      </c>
      <c r="X2506" s="194" t="s">
        <v>252</v>
      </c>
      <c r="Y2506" s="194">
        <v>343</v>
      </c>
      <c r="Z2506" s="194" t="s">
        <v>252</v>
      </c>
      <c r="AA2506" s="194">
        <v>174</v>
      </c>
      <c r="AB2506" s="194" t="s">
        <v>252</v>
      </c>
      <c r="AC2506" s="194">
        <v>344</v>
      </c>
      <c r="AD2506" s="194" t="s">
        <v>252</v>
      </c>
      <c r="AE2506" s="194">
        <v>376</v>
      </c>
      <c r="AF2506" s="194" t="s">
        <v>252</v>
      </c>
      <c r="AG2506" s="194">
        <v>209</v>
      </c>
      <c r="AH2506" s="194" t="s">
        <v>252</v>
      </c>
      <c r="AI2506" s="194">
        <v>252</v>
      </c>
      <c r="AJ2506" s="194" t="s">
        <v>252</v>
      </c>
      <c r="AK2506" s="194">
        <v>404</v>
      </c>
      <c r="AL2506" s="194" t="s">
        <v>252</v>
      </c>
      <c r="AM2506" s="194">
        <f t="shared" si="22"/>
        <v>4221</v>
      </c>
    </row>
    <row r="2507" spans="2:39" s="3" customFormat="1" ht="15.75" outlineLevel="1">
      <c r="B2507" s="178" t="s">
        <v>940</v>
      </c>
      <c r="C2507" s="218" t="s">
        <v>1489</v>
      </c>
      <c r="D2507" s="219" t="s">
        <v>1403</v>
      </c>
      <c r="E2507" s="23" t="s">
        <v>44</v>
      </c>
      <c r="F2507" s="93" t="s">
        <v>45</v>
      </c>
      <c r="G2507" s="188" t="s">
        <v>1432</v>
      </c>
      <c r="H2507" s="194">
        <v>42</v>
      </c>
      <c r="I2507" s="188" t="s">
        <v>1433</v>
      </c>
      <c r="J2507" s="220" t="s">
        <v>617</v>
      </c>
      <c r="K2507" s="173" t="s">
        <v>233</v>
      </c>
      <c r="L2507" s="173" t="s">
        <v>233</v>
      </c>
      <c r="M2507" s="194">
        <v>3789</v>
      </c>
      <c r="N2507" s="194">
        <v>4724</v>
      </c>
      <c r="O2507" s="194">
        <v>416</v>
      </c>
      <c r="P2507" s="194" t="s">
        <v>252</v>
      </c>
      <c r="Q2507" s="194">
        <v>423</v>
      </c>
      <c r="R2507" s="194" t="s">
        <v>252</v>
      </c>
      <c r="S2507" s="194">
        <v>486</v>
      </c>
      <c r="T2507" s="194" t="s">
        <v>252</v>
      </c>
      <c r="U2507" s="194">
        <v>508</v>
      </c>
      <c r="V2507" s="194" t="s">
        <v>252</v>
      </c>
      <c r="W2507" s="194">
        <v>450</v>
      </c>
      <c r="X2507" s="194" t="s">
        <v>252</v>
      </c>
      <c r="Y2507" s="194">
        <v>398</v>
      </c>
      <c r="Z2507" s="194" t="s">
        <v>252</v>
      </c>
      <c r="AA2507" s="194">
        <v>331</v>
      </c>
      <c r="AB2507" s="194" t="s">
        <v>252</v>
      </c>
      <c r="AC2507" s="194">
        <v>303</v>
      </c>
      <c r="AD2507" s="194" t="s">
        <v>252</v>
      </c>
      <c r="AE2507" s="194">
        <v>416</v>
      </c>
      <c r="AF2507" s="194" t="s">
        <v>252</v>
      </c>
      <c r="AG2507" s="194">
        <v>387</v>
      </c>
      <c r="AH2507" s="194" t="s">
        <v>252</v>
      </c>
      <c r="AI2507" s="194">
        <v>438</v>
      </c>
      <c r="AJ2507" s="194" t="s">
        <v>252</v>
      </c>
      <c r="AK2507" s="194">
        <v>454</v>
      </c>
      <c r="AL2507" s="194" t="s">
        <v>252</v>
      </c>
      <c r="AM2507" s="194">
        <f t="shared" si="22"/>
        <v>5010</v>
      </c>
    </row>
    <row r="2508" spans="2:39" s="3" customFormat="1" ht="15.75" outlineLevel="1">
      <c r="B2508" s="178" t="s">
        <v>943</v>
      </c>
      <c r="C2508" s="218" t="s">
        <v>1489</v>
      </c>
      <c r="D2508" s="219" t="s">
        <v>1403</v>
      </c>
      <c r="E2508" s="23" t="s">
        <v>44</v>
      </c>
      <c r="F2508" s="93" t="s">
        <v>45</v>
      </c>
      <c r="G2508" s="188" t="s">
        <v>1432</v>
      </c>
      <c r="H2508" s="194">
        <v>32</v>
      </c>
      <c r="I2508" s="188" t="s">
        <v>1433</v>
      </c>
      <c r="J2508" s="220" t="s">
        <v>530</v>
      </c>
      <c r="K2508" s="173" t="s">
        <v>233</v>
      </c>
      <c r="L2508" s="173" t="s">
        <v>233</v>
      </c>
      <c r="M2508" s="194">
        <v>5735</v>
      </c>
      <c r="N2508" s="194">
        <v>5577</v>
      </c>
      <c r="O2508" s="194">
        <v>690</v>
      </c>
      <c r="P2508" s="194" t="s">
        <v>252</v>
      </c>
      <c r="Q2508" s="194">
        <v>669</v>
      </c>
      <c r="R2508" s="194" t="s">
        <v>252</v>
      </c>
      <c r="S2508" s="194">
        <v>442</v>
      </c>
      <c r="T2508" s="194" t="s">
        <v>252</v>
      </c>
      <c r="U2508" s="194">
        <v>464</v>
      </c>
      <c r="V2508" s="194" t="s">
        <v>252</v>
      </c>
      <c r="W2508" s="194">
        <v>445</v>
      </c>
      <c r="X2508" s="194" t="s">
        <v>252</v>
      </c>
      <c r="Y2508" s="194">
        <v>487</v>
      </c>
      <c r="Z2508" s="194" t="s">
        <v>252</v>
      </c>
      <c r="AA2508" s="194">
        <v>535</v>
      </c>
      <c r="AB2508" s="194" t="s">
        <v>252</v>
      </c>
      <c r="AC2508" s="194">
        <v>892</v>
      </c>
      <c r="AD2508" s="194" t="s">
        <v>252</v>
      </c>
      <c r="AE2508" s="194">
        <v>366</v>
      </c>
      <c r="AF2508" s="194" t="s">
        <v>252</v>
      </c>
      <c r="AG2508" s="194">
        <v>254</v>
      </c>
      <c r="AH2508" s="194" t="s">
        <v>252</v>
      </c>
      <c r="AI2508" s="194">
        <v>487</v>
      </c>
      <c r="AJ2508" s="194" t="s">
        <v>252</v>
      </c>
      <c r="AK2508" s="194">
        <v>423</v>
      </c>
      <c r="AL2508" s="194" t="s">
        <v>252</v>
      </c>
      <c r="AM2508" s="194">
        <f t="shared" si="22"/>
        <v>6154</v>
      </c>
    </row>
    <row r="2509" spans="2:39" s="3" customFormat="1" ht="15.75" outlineLevel="1">
      <c r="B2509" s="178" t="s">
        <v>944</v>
      </c>
      <c r="C2509" s="218" t="s">
        <v>1489</v>
      </c>
      <c r="D2509" s="219" t="s">
        <v>1403</v>
      </c>
      <c r="E2509" s="23" t="s">
        <v>44</v>
      </c>
      <c r="F2509" s="93" t="s">
        <v>45</v>
      </c>
      <c r="G2509" s="188" t="s">
        <v>1432</v>
      </c>
      <c r="H2509" s="194">
        <v>41</v>
      </c>
      <c r="I2509" s="188" t="s">
        <v>1433</v>
      </c>
      <c r="J2509" s="220" t="s">
        <v>210</v>
      </c>
      <c r="K2509" s="173" t="s">
        <v>233</v>
      </c>
      <c r="L2509" s="173" t="s">
        <v>233</v>
      </c>
      <c r="M2509" s="194">
        <v>7408</v>
      </c>
      <c r="N2509" s="194">
        <v>7008</v>
      </c>
      <c r="O2509" s="194">
        <v>574</v>
      </c>
      <c r="P2509" s="194" t="s">
        <v>252</v>
      </c>
      <c r="Q2509" s="194">
        <v>532</v>
      </c>
      <c r="R2509" s="194" t="s">
        <v>252</v>
      </c>
      <c r="S2509" s="194">
        <v>478</v>
      </c>
      <c r="T2509" s="194" t="s">
        <v>252</v>
      </c>
      <c r="U2509" s="194">
        <v>486</v>
      </c>
      <c r="V2509" s="194" t="s">
        <v>252</v>
      </c>
      <c r="W2509" s="194">
        <v>499</v>
      </c>
      <c r="X2509" s="194" t="s">
        <v>252</v>
      </c>
      <c r="Y2509" s="194">
        <v>364</v>
      </c>
      <c r="Z2509" s="194" t="s">
        <v>252</v>
      </c>
      <c r="AA2509" s="194">
        <v>377</v>
      </c>
      <c r="AB2509" s="194" t="s">
        <v>252</v>
      </c>
      <c r="AC2509" s="194">
        <v>444</v>
      </c>
      <c r="AD2509" s="194" t="s">
        <v>252</v>
      </c>
      <c r="AE2509" s="194">
        <v>528</v>
      </c>
      <c r="AF2509" s="194" t="s">
        <v>252</v>
      </c>
      <c r="AG2509" s="194">
        <v>613</v>
      </c>
      <c r="AH2509" s="194" t="s">
        <v>252</v>
      </c>
      <c r="AI2509" s="194">
        <v>527</v>
      </c>
      <c r="AJ2509" s="194" t="s">
        <v>252</v>
      </c>
      <c r="AK2509" s="194">
        <v>606</v>
      </c>
      <c r="AL2509" s="194" t="s">
        <v>252</v>
      </c>
      <c r="AM2509" s="194">
        <f t="shared" si="22"/>
        <v>6028</v>
      </c>
    </row>
    <row r="2510" spans="2:39" s="3" customFormat="1" ht="15.75" outlineLevel="1">
      <c r="B2510" s="178" t="s">
        <v>945</v>
      </c>
      <c r="C2510" s="218" t="s">
        <v>1489</v>
      </c>
      <c r="D2510" s="219" t="s">
        <v>1403</v>
      </c>
      <c r="E2510" s="23" t="s">
        <v>44</v>
      </c>
      <c r="F2510" s="93" t="s">
        <v>45</v>
      </c>
      <c r="G2510" s="188" t="s">
        <v>1432</v>
      </c>
      <c r="H2510" s="194">
        <v>39</v>
      </c>
      <c r="I2510" s="188" t="s">
        <v>1433</v>
      </c>
      <c r="J2510" s="220" t="s">
        <v>617</v>
      </c>
      <c r="K2510" s="173" t="s">
        <v>233</v>
      </c>
      <c r="L2510" s="173" t="s">
        <v>233</v>
      </c>
      <c r="M2510" s="194">
        <v>3977</v>
      </c>
      <c r="N2510" s="194">
        <v>4859</v>
      </c>
      <c r="O2510" s="194">
        <v>478</v>
      </c>
      <c r="P2510" s="194" t="s">
        <v>252</v>
      </c>
      <c r="Q2510" s="194">
        <v>309</v>
      </c>
      <c r="R2510" s="194" t="s">
        <v>252</v>
      </c>
      <c r="S2510" s="194">
        <v>204</v>
      </c>
      <c r="T2510" s="194" t="s">
        <v>252</v>
      </c>
      <c r="U2510" s="194">
        <v>339</v>
      </c>
      <c r="V2510" s="194" t="s">
        <v>252</v>
      </c>
      <c r="W2510" s="194">
        <v>229</v>
      </c>
      <c r="X2510" s="194" t="s">
        <v>252</v>
      </c>
      <c r="Y2510" s="194">
        <v>381</v>
      </c>
      <c r="Z2510" s="194" t="s">
        <v>252</v>
      </c>
      <c r="AA2510" s="194">
        <v>195</v>
      </c>
      <c r="AB2510" s="194" t="s">
        <v>252</v>
      </c>
      <c r="AC2510" s="194">
        <v>258</v>
      </c>
      <c r="AD2510" s="194" t="s">
        <v>252</v>
      </c>
      <c r="AE2510" s="194">
        <v>279</v>
      </c>
      <c r="AF2510" s="194" t="s">
        <v>252</v>
      </c>
      <c r="AG2510" s="194">
        <v>208</v>
      </c>
      <c r="AH2510" s="194" t="s">
        <v>252</v>
      </c>
      <c r="AI2510" s="194">
        <v>495</v>
      </c>
      <c r="AJ2510" s="194" t="s">
        <v>252</v>
      </c>
      <c r="AK2510" s="194">
        <v>344</v>
      </c>
      <c r="AL2510" s="194" t="s">
        <v>252</v>
      </c>
      <c r="AM2510" s="194">
        <f t="shared" si="22"/>
        <v>3719</v>
      </c>
    </row>
    <row r="2511" spans="2:39" s="3" customFormat="1" ht="15.75" outlineLevel="1">
      <c r="B2511" s="178" t="s">
        <v>946</v>
      </c>
      <c r="C2511" s="218" t="s">
        <v>1489</v>
      </c>
      <c r="D2511" s="219" t="s">
        <v>1403</v>
      </c>
      <c r="E2511" s="23" t="s">
        <v>44</v>
      </c>
      <c r="F2511" s="222" t="s">
        <v>45</v>
      </c>
      <c r="G2511" s="188" t="s">
        <v>1432</v>
      </c>
      <c r="H2511" s="376">
        <v>29</v>
      </c>
      <c r="I2511" s="188" t="s">
        <v>1433</v>
      </c>
      <c r="J2511" s="379" t="s">
        <v>1460</v>
      </c>
      <c r="K2511" s="173" t="s">
        <v>233</v>
      </c>
      <c r="L2511" s="173" t="s">
        <v>233</v>
      </c>
      <c r="M2511" s="376">
        <v>12776</v>
      </c>
      <c r="N2511" s="376">
        <v>13954</v>
      </c>
      <c r="O2511" s="376">
        <v>1485</v>
      </c>
      <c r="P2511" s="376" t="s">
        <v>252</v>
      </c>
      <c r="Q2511" s="376">
        <v>1578</v>
      </c>
      <c r="R2511" s="376" t="s">
        <v>252</v>
      </c>
      <c r="S2511" s="376">
        <v>1321</v>
      </c>
      <c r="T2511" s="376" t="s">
        <v>252</v>
      </c>
      <c r="U2511" s="376">
        <v>1563</v>
      </c>
      <c r="V2511" s="376" t="s">
        <v>252</v>
      </c>
      <c r="W2511" s="376">
        <v>1269</v>
      </c>
      <c r="X2511" s="376" t="s">
        <v>252</v>
      </c>
      <c r="Y2511" s="376">
        <v>636</v>
      </c>
      <c r="Z2511" s="376" t="s">
        <v>252</v>
      </c>
      <c r="AA2511" s="376">
        <v>1121</v>
      </c>
      <c r="AB2511" s="376" t="s">
        <v>252</v>
      </c>
      <c r="AC2511" s="376">
        <v>985</v>
      </c>
      <c r="AD2511" s="376" t="s">
        <v>252</v>
      </c>
      <c r="AE2511" s="376">
        <v>1319</v>
      </c>
      <c r="AF2511" s="376" t="s">
        <v>252</v>
      </c>
      <c r="AG2511" s="376">
        <v>1329</v>
      </c>
      <c r="AH2511" s="376" t="s">
        <v>252</v>
      </c>
      <c r="AI2511" s="376">
        <v>1322</v>
      </c>
      <c r="AJ2511" s="376" t="s">
        <v>252</v>
      </c>
      <c r="AK2511" s="376">
        <v>1332</v>
      </c>
      <c r="AL2511" s="376" t="s">
        <v>252</v>
      </c>
      <c r="AM2511" s="376">
        <f t="shared" si="22"/>
        <v>15260</v>
      </c>
    </row>
    <row r="2512" spans="2:39" s="3" customFormat="1" ht="15.75" outlineLevel="1">
      <c r="B2512" s="178" t="s">
        <v>947</v>
      </c>
      <c r="C2512" s="218" t="s">
        <v>1489</v>
      </c>
      <c r="D2512" s="219" t="s">
        <v>1403</v>
      </c>
      <c r="E2512" s="23" t="s">
        <v>44</v>
      </c>
      <c r="F2512" s="222" t="s">
        <v>45</v>
      </c>
      <c r="G2512" s="188" t="s">
        <v>1432</v>
      </c>
      <c r="H2512" s="377"/>
      <c r="I2512" s="188" t="s">
        <v>1433</v>
      </c>
      <c r="J2512" s="381"/>
      <c r="K2512" s="173" t="s">
        <v>233</v>
      </c>
      <c r="L2512" s="173" t="s">
        <v>233</v>
      </c>
      <c r="M2512" s="377"/>
      <c r="N2512" s="377"/>
      <c r="O2512" s="377"/>
      <c r="P2512" s="377"/>
      <c r="Q2512" s="377"/>
      <c r="R2512" s="377"/>
      <c r="S2512" s="377"/>
      <c r="T2512" s="377"/>
      <c r="U2512" s="377"/>
      <c r="V2512" s="377"/>
      <c r="W2512" s="377"/>
      <c r="X2512" s="377"/>
      <c r="Y2512" s="377"/>
      <c r="Z2512" s="377"/>
      <c r="AA2512" s="377"/>
      <c r="AB2512" s="377"/>
      <c r="AC2512" s="377"/>
      <c r="AD2512" s="377"/>
      <c r="AE2512" s="377"/>
      <c r="AF2512" s="377"/>
      <c r="AG2512" s="377"/>
      <c r="AH2512" s="377"/>
      <c r="AI2512" s="377"/>
      <c r="AJ2512" s="377"/>
      <c r="AK2512" s="377"/>
      <c r="AL2512" s="377"/>
      <c r="AM2512" s="377"/>
    </row>
    <row r="2513" spans="2:39" s="3" customFormat="1" ht="15.75" outlineLevel="1">
      <c r="B2513" s="178" t="s">
        <v>948</v>
      </c>
      <c r="C2513" s="218" t="s">
        <v>1489</v>
      </c>
      <c r="D2513" s="219" t="s">
        <v>1403</v>
      </c>
      <c r="E2513" s="23" t="s">
        <v>44</v>
      </c>
      <c r="F2513" s="93" t="s">
        <v>45</v>
      </c>
      <c r="G2513" s="188" t="s">
        <v>1432</v>
      </c>
      <c r="H2513" s="378"/>
      <c r="I2513" s="188" t="s">
        <v>1433</v>
      </c>
      <c r="J2513" s="380"/>
      <c r="K2513" s="173" t="s">
        <v>233</v>
      </c>
      <c r="L2513" s="173" t="s">
        <v>233</v>
      </c>
      <c r="M2513" s="378"/>
      <c r="N2513" s="378"/>
      <c r="O2513" s="378"/>
      <c r="P2513" s="378"/>
      <c r="Q2513" s="378"/>
      <c r="R2513" s="378"/>
      <c r="S2513" s="378"/>
      <c r="T2513" s="378"/>
      <c r="U2513" s="378"/>
      <c r="V2513" s="378"/>
      <c r="W2513" s="378"/>
      <c r="X2513" s="378"/>
      <c r="Y2513" s="378"/>
      <c r="Z2513" s="378"/>
      <c r="AA2513" s="378"/>
      <c r="AB2513" s="378"/>
      <c r="AC2513" s="378"/>
      <c r="AD2513" s="378"/>
      <c r="AE2513" s="378"/>
      <c r="AF2513" s="378"/>
      <c r="AG2513" s="378"/>
      <c r="AH2513" s="378"/>
      <c r="AI2513" s="378"/>
      <c r="AJ2513" s="378"/>
      <c r="AK2513" s="378"/>
      <c r="AL2513" s="378"/>
      <c r="AM2513" s="378"/>
    </row>
    <row r="2514" spans="2:39" s="3" customFormat="1" ht="15.75" outlineLevel="1">
      <c r="B2514" s="178" t="s">
        <v>949</v>
      </c>
      <c r="C2514" s="218" t="s">
        <v>1489</v>
      </c>
      <c r="D2514" s="219" t="s">
        <v>1403</v>
      </c>
      <c r="E2514" s="23" t="s">
        <v>44</v>
      </c>
      <c r="F2514" s="93" t="s">
        <v>45</v>
      </c>
      <c r="G2514" s="188" t="s">
        <v>1432</v>
      </c>
      <c r="H2514" s="194">
        <v>26</v>
      </c>
      <c r="I2514" s="188" t="s">
        <v>1433</v>
      </c>
      <c r="J2514" s="220" t="s">
        <v>1460</v>
      </c>
      <c r="K2514" s="173" t="s">
        <v>233</v>
      </c>
      <c r="L2514" s="173" t="s">
        <v>233</v>
      </c>
      <c r="M2514" s="194">
        <v>7678</v>
      </c>
      <c r="N2514" s="194">
        <v>6218</v>
      </c>
      <c r="O2514" s="194">
        <v>911</v>
      </c>
      <c r="P2514" s="194" t="s">
        <v>252</v>
      </c>
      <c r="Q2514" s="194">
        <v>286</v>
      </c>
      <c r="R2514" s="194" t="s">
        <v>252</v>
      </c>
      <c r="S2514" s="194">
        <v>263</v>
      </c>
      <c r="T2514" s="194" t="s">
        <v>252</v>
      </c>
      <c r="U2514" s="194">
        <v>210</v>
      </c>
      <c r="V2514" s="194" t="s">
        <v>252</v>
      </c>
      <c r="W2514" s="194">
        <v>169</v>
      </c>
      <c r="X2514" s="194" t="s">
        <v>252</v>
      </c>
      <c r="Y2514" s="194">
        <v>146</v>
      </c>
      <c r="Z2514" s="194" t="s">
        <v>252</v>
      </c>
      <c r="AA2514" s="194">
        <v>494</v>
      </c>
      <c r="AB2514" s="194" t="s">
        <v>252</v>
      </c>
      <c r="AC2514" s="194">
        <v>78</v>
      </c>
      <c r="AD2514" s="194" t="s">
        <v>252</v>
      </c>
      <c r="AE2514" s="194">
        <v>97</v>
      </c>
      <c r="AF2514" s="194" t="s">
        <v>252</v>
      </c>
      <c r="AG2514" s="194">
        <v>79</v>
      </c>
      <c r="AH2514" s="194" t="s">
        <v>252</v>
      </c>
      <c r="AI2514" s="194">
        <v>143</v>
      </c>
      <c r="AJ2514" s="194" t="s">
        <v>252</v>
      </c>
      <c r="AK2514" s="194">
        <v>199</v>
      </c>
      <c r="AL2514" s="194" t="s">
        <v>252</v>
      </c>
      <c r="AM2514" s="194">
        <f t="shared" si="22"/>
        <v>3075</v>
      </c>
    </row>
    <row r="2515" spans="2:39" s="3" customFormat="1" ht="15.75" outlineLevel="1">
      <c r="B2515" s="178" t="s">
        <v>950</v>
      </c>
      <c r="C2515" s="218" t="s">
        <v>1489</v>
      </c>
      <c r="D2515" s="219" t="s">
        <v>1403</v>
      </c>
      <c r="E2515" s="23" t="s">
        <v>44</v>
      </c>
      <c r="F2515" s="93" t="s">
        <v>45</v>
      </c>
      <c r="G2515" s="188" t="s">
        <v>1432</v>
      </c>
      <c r="H2515" s="194">
        <v>32</v>
      </c>
      <c r="I2515" s="188" t="s">
        <v>1433</v>
      </c>
      <c r="J2515" s="220" t="s">
        <v>1442</v>
      </c>
      <c r="K2515" s="173" t="s">
        <v>233</v>
      </c>
      <c r="L2515" s="173" t="s">
        <v>233</v>
      </c>
      <c r="M2515" s="194">
        <v>11153</v>
      </c>
      <c r="N2515" s="194">
        <v>10583</v>
      </c>
      <c r="O2515" s="194">
        <v>1005</v>
      </c>
      <c r="P2515" s="194" t="s">
        <v>252</v>
      </c>
      <c r="Q2515" s="194">
        <v>670</v>
      </c>
      <c r="R2515" s="194" t="s">
        <v>252</v>
      </c>
      <c r="S2515" s="194">
        <v>574</v>
      </c>
      <c r="T2515" s="194" t="s">
        <v>252</v>
      </c>
      <c r="U2515" s="194">
        <v>692</v>
      </c>
      <c r="V2515" s="194" t="s">
        <v>252</v>
      </c>
      <c r="W2515" s="194">
        <v>536</v>
      </c>
      <c r="X2515" s="194" t="s">
        <v>252</v>
      </c>
      <c r="Y2515" s="194">
        <v>527</v>
      </c>
      <c r="Z2515" s="194" t="s">
        <v>252</v>
      </c>
      <c r="AA2515" s="194">
        <v>584</v>
      </c>
      <c r="AB2515" s="194" t="s">
        <v>252</v>
      </c>
      <c r="AC2515" s="194">
        <v>633</v>
      </c>
      <c r="AD2515" s="194" t="s">
        <v>252</v>
      </c>
      <c r="AE2515" s="194">
        <v>691</v>
      </c>
      <c r="AF2515" s="194" t="s">
        <v>252</v>
      </c>
      <c r="AG2515" s="194">
        <v>708</v>
      </c>
      <c r="AH2515" s="194" t="s">
        <v>252</v>
      </c>
      <c r="AI2515" s="194">
        <v>768</v>
      </c>
      <c r="AJ2515" s="194" t="s">
        <v>252</v>
      </c>
      <c r="AK2515" s="194">
        <v>698</v>
      </c>
      <c r="AL2515" s="194" t="s">
        <v>252</v>
      </c>
      <c r="AM2515" s="194">
        <f t="shared" si="22"/>
        <v>8086</v>
      </c>
    </row>
    <row r="2516" spans="2:39" s="3" customFormat="1" ht="15.75" outlineLevel="1">
      <c r="B2516" s="178" t="s">
        <v>951</v>
      </c>
      <c r="C2516" s="218" t="s">
        <v>1489</v>
      </c>
      <c r="D2516" s="219" t="s">
        <v>1403</v>
      </c>
      <c r="E2516" s="23" t="s">
        <v>44</v>
      </c>
      <c r="F2516" s="93" t="s">
        <v>45</v>
      </c>
      <c r="G2516" s="188" t="s">
        <v>1432</v>
      </c>
      <c r="H2516" s="194">
        <v>34</v>
      </c>
      <c r="I2516" s="188" t="s">
        <v>1433</v>
      </c>
      <c r="J2516" s="220" t="s">
        <v>1457</v>
      </c>
      <c r="K2516" s="173" t="s">
        <v>233</v>
      </c>
      <c r="L2516" s="173" t="s">
        <v>233</v>
      </c>
      <c r="M2516" s="194">
        <v>9160</v>
      </c>
      <c r="N2516" s="194">
        <v>6862</v>
      </c>
      <c r="O2516" s="194">
        <v>537</v>
      </c>
      <c r="P2516" s="194" t="s">
        <v>252</v>
      </c>
      <c r="Q2516" s="194">
        <v>551</v>
      </c>
      <c r="R2516" s="194" t="s">
        <v>252</v>
      </c>
      <c r="S2516" s="194">
        <v>482</v>
      </c>
      <c r="T2516" s="194" t="s">
        <v>252</v>
      </c>
      <c r="U2516" s="194">
        <v>510</v>
      </c>
      <c r="V2516" s="194" t="s">
        <v>252</v>
      </c>
      <c r="W2516" s="194">
        <v>473</v>
      </c>
      <c r="X2516" s="194" t="s">
        <v>252</v>
      </c>
      <c r="Y2516" s="194">
        <v>550</v>
      </c>
      <c r="Z2516" s="194" t="s">
        <v>252</v>
      </c>
      <c r="AA2516" s="194">
        <v>466</v>
      </c>
      <c r="AB2516" s="194" t="s">
        <v>252</v>
      </c>
      <c r="AC2516" s="194">
        <v>485</v>
      </c>
      <c r="AD2516" s="194" t="s">
        <v>252</v>
      </c>
      <c r="AE2516" s="194">
        <v>594</v>
      </c>
      <c r="AF2516" s="194" t="s">
        <v>252</v>
      </c>
      <c r="AG2516" s="194">
        <v>437</v>
      </c>
      <c r="AH2516" s="194" t="s">
        <v>252</v>
      </c>
      <c r="AI2516" s="194">
        <v>793</v>
      </c>
      <c r="AJ2516" s="194" t="s">
        <v>252</v>
      </c>
      <c r="AK2516" s="194">
        <v>607</v>
      </c>
      <c r="AL2516" s="194" t="s">
        <v>252</v>
      </c>
      <c r="AM2516" s="194">
        <f t="shared" si="22"/>
        <v>6485</v>
      </c>
    </row>
    <row r="2517" spans="2:39" s="3" customFormat="1" ht="15.75" outlineLevel="1">
      <c r="B2517" s="178" t="s">
        <v>952</v>
      </c>
      <c r="C2517" s="218" t="s">
        <v>1489</v>
      </c>
      <c r="D2517" s="219" t="s">
        <v>1403</v>
      </c>
      <c r="E2517" s="23" t="s">
        <v>44</v>
      </c>
      <c r="F2517" s="93" t="s">
        <v>45</v>
      </c>
      <c r="G2517" s="188" t="s">
        <v>1432</v>
      </c>
      <c r="H2517" s="194">
        <v>39</v>
      </c>
      <c r="I2517" s="188" t="s">
        <v>1433</v>
      </c>
      <c r="J2517" s="220" t="s">
        <v>617</v>
      </c>
      <c r="K2517" s="173" t="s">
        <v>233</v>
      </c>
      <c r="L2517" s="173" t="s">
        <v>233</v>
      </c>
      <c r="M2517" s="194">
        <v>13047</v>
      </c>
      <c r="N2517" s="194">
        <v>14555</v>
      </c>
      <c r="O2517" s="194">
        <v>921</v>
      </c>
      <c r="P2517" s="194" t="s">
        <v>252</v>
      </c>
      <c r="Q2517" s="194">
        <v>1081</v>
      </c>
      <c r="R2517" s="194" t="s">
        <v>252</v>
      </c>
      <c r="S2517" s="194">
        <v>1204</v>
      </c>
      <c r="T2517" s="194" t="s">
        <v>252</v>
      </c>
      <c r="U2517" s="194">
        <v>1376</v>
      </c>
      <c r="V2517" s="194" t="s">
        <v>252</v>
      </c>
      <c r="W2517" s="194">
        <v>916</v>
      </c>
      <c r="X2517" s="194" t="s">
        <v>252</v>
      </c>
      <c r="Y2517" s="194">
        <v>505</v>
      </c>
      <c r="Z2517" s="194" t="s">
        <v>252</v>
      </c>
      <c r="AA2517" s="194">
        <v>47</v>
      </c>
      <c r="AB2517" s="194" t="s">
        <v>252</v>
      </c>
      <c r="AC2517" s="194">
        <v>444</v>
      </c>
      <c r="AD2517" s="194" t="s">
        <v>252</v>
      </c>
      <c r="AE2517" s="194">
        <v>592</v>
      </c>
      <c r="AF2517" s="194" t="s">
        <v>252</v>
      </c>
      <c r="AG2517" s="194">
        <v>715</v>
      </c>
      <c r="AH2517" s="194" t="s">
        <v>252</v>
      </c>
      <c r="AI2517" s="194">
        <v>944</v>
      </c>
      <c r="AJ2517" s="194" t="s">
        <v>252</v>
      </c>
      <c r="AK2517" s="194">
        <v>989</v>
      </c>
      <c r="AL2517" s="194" t="s">
        <v>252</v>
      </c>
      <c r="AM2517" s="194">
        <f t="shared" si="22"/>
        <v>9734</v>
      </c>
    </row>
    <row r="2518" spans="2:39" s="3" customFormat="1" ht="15.75" outlineLevel="1">
      <c r="B2518" s="178" t="s">
        <v>953</v>
      </c>
      <c r="C2518" s="218" t="s">
        <v>1489</v>
      </c>
      <c r="D2518" s="219" t="s">
        <v>1403</v>
      </c>
      <c r="E2518" s="23" t="s">
        <v>44</v>
      </c>
      <c r="F2518" s="93" t="s">
        <v>45</v>
      </c>
      <c r="G2518" s="188" t="s">
        <v>1432</v>
      </c>
      <c r="H2518" s="194">
        <v>20</v>
      </c>
      <c r="I2518" s="188" t="s">
        <v>1433</v>
      </c>
      <c r="J2518" s="220" t="s">
        <v>1442</v>
      </c>
      <c r="K2518" s="173" t="s">
        <v>233</v>
      </c>
      <c r="L2518" s="173" t="s">
        <v>233</v>
      </c>
      <c r="M2518" s="194">
        <v>1507</v>
      </c>
      <c r="N2518" s="194">
        <v>1987</v>
      </c>
      <c r="O2518" s="194">
        <v>249</v>
      </c>
      <c r="P2518" s="194" t="s">
        <v>252</v>
      </c>
      <c r="Q2518" s="194">
        <v>129</v>
      </c>
      <c r="R2518" s="194" t="s">
        <v>252</v>
      </c>
      <c r="S2518" s="194">
        <v>110</v>
      </c>
      <c r="T2518" s="194" t="s">
        <v>252</v>
      </c>
      <c r="U2518" s="194">
        <v>116</v>
      </c>
      <c r="V2518" s="194" t="s">
        <v>252</v>
      </c>
      <c r="W2518" s="194">
        <v>108</v>
      </c>
      <c r="X2518" s="194" t="s">
        <v>252</v>
      </c>
      <c r="Y2518" s="194">
        <v>82</v>
      </c>
      <c r="Z2518" s="194" t="s">
        <v>252</v>
      </c>
      <c r="AA2518" s="194">
        <v>72</v>
      </c>
      <c r="AB2518" s="194" t="s">
        <v>252</v>
      </c>
      <c r="AC2518" s="194">
        <v>103</v>
      </c>
      <c r="AD2518" s="194" t="s">
        <v>252</v>
      </c>
      <c r="AE2518" s="194">
        <v>211</v>
      </c>
      <c r="AF2518" s="194" t="s">
        <v>252</v>
      </c>
      <c r="AG2518" s="194">
        <v>153</v>
      </c>
      <c r="AH2518" s="194" t="s">
        <v>252</v>
      </c>
      <c r="AI2518" s="194">
        <v>185</v>
      </c>
      <c r="AJ2518" s="194" t="s">
        <v>252</v>
      </c>
      <c r="AK2518" s="194">
        <v>192</v>
      </c>
      <c r="AL2518" s="194" t="s">
        <v>252</v>
      </c>
      <c r="AM2518" s="194">
        <f t="shared" si="22"/>
        <v>1710</v>
      </c>
    </row>
    <row r="2519" spans="2:39" s="3" customFormat="1" ht="15.75" outlineLevel="1">
      <c r="B2519" s="178" t="s">
        <v>955</v>
      </c>
      <c r="C2519" s="218" t="s">
        <v>1489</v>
      </c>
      <c r="D2519" s="219" t="s">
        <v>1403</v>
      </c>
      <c r="E2519" s="23" t="s">
        <v>44</v>
      </c>
      <c r="F2519" s="93" t="s">
        <v>45</v>
      </c>
      <c r="G2519" s="188" t="s">
        <v>1432</v>
      </c>
      <c r="H2519" s="194">
        <v>32</v>
      </c>
      <c r="I2519" s="188" t="s">
        <v>1433</v>
      </c>
      <c r="J2519" s="220" t="s">
        <v>1460</v>
      </c>
      <c r="K2519" s="173" t="s">
        <v>233</v>
      </c>
      <c r="L2519" s="173" t="s">
        <v>233</v>
      </c>
      <c r="M2519" s="194">
        <v>3664</v>
      </c>
      <c r="N2519" s="194">
        <v>3690</v>
      </c>
      <c r="O2519" s="194">
        <v>393</v>
      </c>
      <c r="P2519" s="194" t="s">
        <v>252</v>
      </c>
      <c r="Q2519" s="194">
        <v>378</v>
      </c>
      <c r="R2519" s="194" t="s">
        <v>252</v>
      </c>
      <c r="S2519" s="194">
        <v>306</v>
      </c>
      <c r="T2519" s="194" t="s">
        <v>252</v>
      </c>
      <c r="U2519" s="194">
        <v>315</v>
      </c>
      <c r="V2519" s="194" t="s">
        <v>252</v>
      </c>
      <c r="W2519" s="194">
        <v>194</v>
      </c>
      <c r="X2519" s="194" t="s">
        <v>252</v>
      </c>
      <c r="Y2519" s="194">
        <v>142</v>
      </c>
      <c r="Z2519" s="194" t="s">
        <v>252</v>
      </c>
      <c r="AA2519" s="194">
        <v>183</v>
      </c>
      <c r="AB2519" s="194" t="s">
        <v>252</v>
      </c>
      <c r="AC2519" s="194">
        <v>188</v>
      </c>
      <c r="AD2519" s="194" t="s">
        <v>252</v>
      </c>
      <c r="AE2519" s="194">
        <v>208</v>
      </c>
      <c r="AF2519" s="194" t="s">
        <v>252</v>
      </c>
      <c r="AG2519" s="194">
        <v>192</v>
      </c>
      <c r="AH2519" s="194" t="s">
        <v>252</v>
      </c>
      <c r="AI2519" s="194">
        <v>282</v>
      </c>
      <c r="AJ2519" s="194" t="s">
        <v>252</v>
      </c>
      <c r="AK2519" s="194">
        <v>203</v>
      </c>
      <c r="AL2519" s="194" t="s">
        <v>252</v>
      </c>
      <c r="AM2519" s="194">
        <f t="shared" si="22"/>
        <v>2984</v>
      </c>
    </row>
    <row r="2520" spans="2:39" s="3" customFormat="1" ht="15.75" outlineLevel="1">
      <c r="B2520" s="178" t="s">
        <v>958</v>
      </c>
      <c r="C2520" s="218" t="s">
        <v>1489</v>
      </c>
      <c r="D2520" s="219" t="s">
        <v>1403</v>
      </c>
      <c r="E2520" s="23" t="s">
        <v>44</v>
      </c>
      <c r="F2520" s="93" t="s">
        <v>45</v>
      </c>
      <c r="G2520" s="188" t="s">
        <v>1432</v>
      </c>
      <c r="H2520" s="194">
        <v>25</v>
      </c>
      <c r="I2520" s="188" t="s">
        <v>1433</v>
      </c>
      <c r="J2520" s="220" t="s">
        <v>1442</v>
      </c>
      <c r="K2520" s="173" t="s">
        <v>233</v>
      </c>
      <c r="L2520" s="173" t="s">
        <v>233</v>
      </c>
      <c r="M2520" s="194">
        <v>2594</v>
      </c>
      <c r="N2520" s="194">
        <v>1691</v>
      </c>
      <c r="O2520" s="194">
        <v>263</v>
      </c>
      <c r="P2520" s="194" t="s">
        <v>252</v>
      </c>
      <c r="Q2520" s="194">
        <v>250</v>
      </c>
      <c r="R2520" s="194" t="s">
        <v>252</v>
      </c>
      <c r="S2520" s="194">
        <v>171</v>
      </c>
      <c r="T2520" s="194" t="s">
        <v>252</v>
      </c>
      <c r="U2520" s="194">
        <v>172</v>
      </c>
      <c r="V2520" s="194" t="s">
        <v>252</v>
      </c>
      <c r="W2520" s="194">
        <v>131</v>
      </c>
      <c r="X2520" s="194" t="s">
        <v>252</v>
      </c>
      <c r="Y2520" s="194">
        <v>121</v>
      </c>
      <c r="Z2520" s="194" t="s">
        <v>252</v>
      </c>
      <c r="AA2520" s="194">
        <v>83</v>
      </c>
      <c r="AB2520" s="194" t="s">
        <v>252</v>
      </c>
      <c r="AC2520" s="194">
        <v>156</v>
      </c>
      <c r="AD2520" s="194" t="s">
        <v>252</v>
      </c>
      <c r="AE2520" s="194">
        <v>94</v>
      </c>
      <c r="AF2520" s="194" t="s">
        <v>252</v>
      </c>
      <c r="AG2520" s="194">
        <v>143</v>
      </c>
      <c r="AH2520" s="194" t="s">
        <v>252</v>
      </c>
      <c r="AI2520" s="194">
        <v>284</v>
      </c>
      <c r="AJ2520" s="194" t="s">
        <v>252</v>
      </c>
      <c r="AK2520" s="194">
        <v>232</v>
      </c>
      <c r="AL2520" s="194" t="s">
        <v>252</v>
      </c>
      <c r="AM2520" s="194">
        <f t="shared" si="22"/>
        <v>2100</v>
      </c>
    </row>
    <row r="2521" spans="2:39" s="3" customFormat="1" ht="15.75" outlineLevel="1">
      <c r="B2521" s="178" t="s">
        <v>961</v>
      </c>
      <c r="C2521" s="218" t="s">
        <v>1489</v>
      </c>
      <c r="D2521" s="219" t="s">
        <v>1403</v>
      </c>
      <c r="E2521" s="23" t="s">
        <v>44</v>
      </c>
      <c r="F2521" s="93" t="s">
        <v>45</v>
      </c>
      <c r="G2521" s="188" t="s">
        <v>1432</v>
      </c>
      <c r="H2521" s="194">
        <v>32</v>
      </c>
      <c r="I2521" s="188" t="s">
        <v>1433</v>
      </c>
      <c r="J2521" s="220" t="s">
        <v>617</v>
      </c>
      <c r="K2521" s="173" t="s">
        <v>233</v>
      </c>
      <c r="L2521" s="173" t="s">
        <v>233</v>
      </c>
      <c r="M2521" s="194">
        <v>6879</v>
      </c>
      <c r="N2521" s="194">
        <v>8185</v>
      </c>
      <c r="O2521" s="194">
        <v>653</v>
      </c>
      <c r="P2521" s="194" t="s">
        <v>252</v>
      </c>
      <c r="Q2521" s="194">
        <v>736</v>
      </c>
      <c r="R2521" s="194" t="s">
        <v>252</v>
      </c>
      <c r="S2521" s="194">
        <v>568</v>
      </c>
      <c r="T2521" s="194" t="s">
        <v>252</v>
      </c>
      <c r="U2521" s="194">
        <v>608</v>
      </c>
      <c r="V2521" s="194" t="s">
        <v>252</v>
      </c>
      <c r="W2521" s="194">
        <v>537</v>
      </c>
      <c r="X2521" s="194" t="s">
        <v>252</v>
      </c>
      <c r="Y2521" s="194">
        <v>576</v>
      </c>
      <c r="Z2521" s="194" t="s">
        <v>252</v>
      </c>
      <c r="AA2521" s="194">
        <v>508</v>
      </c>
      <c r="AB2521" s="194" t="s">
        <v>252</v>
      </c>
      <c r="AC2521" s="194">
        <v>576</v>
      </c>
      <c r="AD2521" s="194" t="s">
        <v>252</v>
      </c>
      <c r="AE2521" s="194">
        <v>666</v>
      </c>
      <c r="AF2521" s="194" t="s">
        <v>252</v>
      </c>
      <c r="AG2521" s="194">
        <v>456</v>
      </c>
      <c r="AH2521" s="194" t="s">
        <v>252</v>
      </c>
      <c r="AI2521" s="194">
        <v>957</v>
      </c>
      <c r="AJ2521" s="194" t="s">
        <v>252</v>
      </c>
      <c r="AK2521" s="194">
        <v>799</v>
      </c>
      <c r="AL2521" s="194" t="s">
        <v>252</v>
      </c>
      <c r="AM2521" s="194">
        <f t="shared" si="22"/>
        <v>7640</v>
      </c>
    </row>
    <row r="2522" spans="2:39" s="3" customFormat="1" ht="15.75" outlineLevel="1">
      <c r="B2522" s="178" t="s">
        <v>963</v>
      </c>
      <c r="C2522" s="218" t="s">
        <v>1489</v>
      </c>
      <c r="D2522" s="219"/>
      <c r="E2522" s="23" t="s">
        <v>44</v>
      </c>
      <c r="F2522" s="222" t="s">
        <v>45</v>
      </c>
      <c r="G2522" s="188" t="s">
        <v>1432</v>
      </c>
      <c r="H2522" s="376">
        <v>24</v>
      </c>
      <c r="I2522" s="188" t="s">
        <v>1433</v>
      </c>
      <c r="J2522" s="379" t="s">
        <v>617</v>
      </c>
      <c r="K2522" s="173" t="s">
        <v>233</v>
      </c>
      <c r="L2522" s="173" t="s">
        <v>233</v>
      </c>
      <c r="M2522" s="376">
        <v>10585</v>
      </c>
      <c r="N2522" s="376">
        <v>11797</v>
      </c>
      <c r="O2522" s="376">
        <v>1084</v>
      </c>
      <c r="P2522" s="376" t="s">
        <v>252</v>
      </c>
      <c r="Q2522" s="376">
        <v>905</v>
      </c>
      <c r="R2522" s="376" t="s">
        <v>252</v>
      </c>
      <c r="S2522" s="376">
        <v>644</v>
      </c>
      <c r="T2522" s="376" t="s">
        <v>252</v>
      </c>
      <c r="U2522" s="376">
        <v>1115</v>
      </c>
      <c r="V2522" s="194" t="s">
        <v>252</v>
      </c>
      <c r="W2522" s="376">
        <v>838</v>
      </c>
      <c r="X2522" s="376" t="s">
        <v>252</v>
      </c>
      <c r="Y2522" s="376">
        <v>951</v>
      </c>
      <c r="Z2522" s="376" t="s">
        <v>252</v>
      </c>
      <c r="AA2522" s="376">
        <v>886</v>
      </c>
      <c r="AB2522" s="376" t="s">
        <v>252</v>
      </c>
      <c r="AC2522" s="376">
        <v>973</v>
      </c>
      <c r="AD2522" s="376" t="s">
        <v>252</v>
      </c>
      <c r="AE2522" s="376">
        <v>984</v>
      </c>
      <c r="AF2522" s="376" t="s">
        <v>252</v>
      </c>
      <c r="AG2522" s="376">
        <v>1048</v>
      </c>
      <c r="AH2522" s="376" t="s">
        <v>252</v>
      </c>
      <c r="AI2522" s="376">
        <v>945</v>
      </c>
      <c r="AJ2522" s="376" t="s">
        <v>252</v>
      </c>
      <c r="AK2522" s="376">
        <v>1045</v>
      </c>
      <c r="AL2522" s="376" t="s">
        <v>252</v>
      </c>
      <c r="AM2522" s="376">
        <f t="shared" si="22"/>
        <v>11418</v>
      </c>
    </row>
    <row r="2523" spans="2:39" s="3" customFormat="1" ht="15.75" outlineLevel="1">
      <c r="B2523" s="178" t="s">
        <v>964</v>
      </c>
      <c r="C2523" s="218" t="s">
        <v>1489</v>
      </c>
      <c r="D2523" s="219" t="s">
        <v>1403</v>
      </c>
      <c r="E2523" s="23" t="s">
        <v>44</v>
      </c>
      <c r="F2523" s="222" t="s">
        <v>45</v>
      </c>
      <c r="G2523" s="188" t="s">
        <v>1432</v>
      </c>
      <c r="H2523" s="378"/>
      <c r="I2523" s="188" t="s">
        <v>1433</v>
      </c>
      <c r="J2523" s="380"/>
      <c r="K2523" s="173" t="s">
        <v>233</v>
      </c>
      <c r="L2523" s="173" t="s">
        <v>233</v>
      </c>
      <c r="M2523" s="378"/>
      <c r="N2523" s="378"/>
      <c r="O2523" s="378"/>
      <c r="P2523" s="378"/>
      <c r="Q2523" s="378"/>
      <c r="R2523" s="378"/>
      <c r="S2523" s="378"/>
      <c r="T2523" s="378"/>
      <c r="U2523" s="378"/>
      <c r="V2523" s="194" t="s">
        <v>252</v>
      </c>
      <c r="W2523" s="378"/>
      <c r="X2523" s="378"/>
      <c r="Y2523" s="378"/>
      <c r="Z2523" s="378"/>
      <c r="AA2523" s="378"/>
      <c r="AB2523" s="378"/>
      <c r="AC2523" s="378"/>
      <c r="AD2523" s="378"/>
      <c r="AE2523" s="378"/>
      <c r="AF2523" s="378"/>
      <c r="AG2523" s="378"/>
      <c r="AH2523" s="378"/>
      <c r="AI2523" s="378"/>
      <c r="AJ2523" s="378"/>
      <c r="AK2523" s="378"/>
      <c r="AL2523" s="378"/>
      <c r="AM2523" s="378"/>
    </row>
    <row r="2524" spans="2:39" s="3" customFormat="1" ht="15.75" outlineLevel="1">
      <c r="B2524" s="178" t="s">
        <v>965</v>
      </c>
      <c r="C2524" s="218" t="s">
        <v>1489</v>
      </c>
      <c r="D2524" s="219" t="s">
        <v>1403</v>
      </c>
      <c r="E2524" s="23" t="s">
        <v>44</v>
      </c>
      <c r="F2524" s="222" t="s">
        <v>45</v>
      </c>
      <c r="G2524" s="188" t="s">
        <v>1432</v>
      </c>
      <c r="H2524" s="194">
        <v>29</v>
      </c>
      <c r="I2524" s="188" t="s">
        <v>1433</v>
      </c>
      <c r="J2524" s="220" t="s">
        <v>1470</v>
      </c>
      <c r="K2524" s="173" t="s">
        <v>233</v>
      </c>
      <c r="L2524" s="173" t="s">
        <v>233</v>
      </c>
      <c r="M2524" s="194">
        <v>2912</v>
      </c>
      <c r="N2524" s="194">
        <v>3206</v>
      </c>
      <c r="O2524" s="194">
        <v>200</v>
      </c>
      <c r="P2524" s="194" t="s">
        <v>252</v>
      </c>
      <c r="Q2524" s="194">
        <v>211</v>
      </c>
      <c r="R2524" s="194" t="s">
        <v>252</v>
      </c>
      <c r="S2524" s="194">
        <v>214</v>
      </c>
      <c r="T2524" s="194" t="s">
        <v>252</v>
      </c>
      <c r="U2524" s="194">
        <v>262</v>
      </c>
      <c r="V2524" s="194" t="s">
        <v>252</v>
      </c>
      <c r="W2524" s="194">
        <v>233</v>
      </c>
      <c r="X2524" s="194" t="s">
        <v>252</v>
      </c>
      <c r="Y2524" s="194">
        <v>94</v>
      </c>
      <c r="Z2524" s="194" t="s">
        <v>252</v>
      </c>
      <c r="AA2524" s="194">
        <v>113</v>
      </c>
      <c r="AB2524" s="194" t="s">
        <v>252</v>
      </c>
      <c r="AC2524" s="194">
        <v>127</v>
      </c>
      <c r="AD2524" s="194" t="s">
        <v>252</v>
      </c>
      <c r="AE2524" s="194">
        <v>138</v>
      </c>
      <c r="AF2524" s="194" t="s">
        <v>252</v>
      </c>
      <c r="AG2524" s="194">
        <v>131</v>
      </c>
      <c r="AH2524" s="194" t="s">
        <v>252</v>
      </c>
      <c r="AI2524" s="194">
        <v>237</v>
      </c>
      <c r="AJ2524" s="194" t="s">
        <v>252</v>
      </c>
      <c r="AK2524" s="194">
        <v>168</v>
      </c>
      <c r="AL2524" s="194" t="s">
        <v>252</v>
      </c>
      <c r="AM2524" s="194">
        <f t="shared" ref="AM2524:AM2554" si="23">O2524+Q2524+S2524+U2524+W2524+Y2524+AA2524+AC2524+AE2524+AG2524+AI2524+AK2524</f>
        <v>2128</v>
      </c>
    </row>
    <row r="2525" spans="2:39" s="3" customFormat="1" ht="15.75" outlineLevel="1">
      <c r="B2525" s="178" t="s">
        <v>966</v>
      </c>
      <c r="C2525" s="218" t="s">
        <v>1489</v>
      </c>
      <c r="D2525" s="219" t="s">
        <v>1403</v>
      </c>
      <c r="E2525" s="221" t="s">
        <v>138</v>
      </c>
      <c r="F2525" s="222" t="s">
        <v>45</v>
      </c>
      <c r="G2525" s="188" t="s">
        <v>1432</v>
      </c>
      <c r="H2525" s="376">
        <v>27</v>
      </c>
      <c r="I2525" s="188" t="s">
        <v>1433</v>
      </c>
      <c r="J2525" s="379" t="s">
        <v>617</v>
      </c>
      <c r="K2525" s="173" t="s">
        <v>233</v>
      </c>
      <c r="L2525" s="173" t="s">
        <v>233</v>
      </c>
      <c r="M2525" s="194">
        <v>1807</v>
      </c>
      <c r="N2525" s="194">
        <v>1201</v>
      </c>
      <c r="O2525" s="194">
        <v>62</v>
      </c>
      <c r="P2525" s="194" t="s">
        <v>252</v>
      </c>
      <c r="Q2525" s="194">
        <v>106</v>
      </c>
      <c r="R2525" s="194" t="s">
        <v>252</v>
      </c>
      <c r="S2525" s="194">
        <v>86</v>
      </c>
      <c r="T2525" s="194" t="s">
        <v>252</v>
      </c>
      <c r="U2525" s="194">
        <v>85</v>
      </c>
      <c r="V2525" s="194" t="s">
        <v>252</v>
      </c>
      <c r="W2525" s="194">
        <v>83</v>
      </c>
      <c r="X2525" s="194" t="s">
        <v>252</v>
      </c>
      <c r="Y2525" s="194">
        <v>220</v>
      </c>
      <c r="Z2525" s="194" t="s">
        <v>252</v>
      </c>
      <c r="AA2525" s="194">
        <v>309</v>
      </c>
      <c r="AB2525" s="194" t="s">
        <v>252</v>
      </c>
      <c r="AC2525" s="194">
        <v>61</v>
      </c>
      <c r="AD2525" s="194" t="s">
        <v>252</v>
      </c>
      <c r="AE2525" s="194">
        <v>85</v>
      </c>
      <c r="AF2525" s="194" t="s">
        <v>252</v>
      </c>
      <c r="AG2525" s="194">
        <v>55</v>
      </c>
      <c r="AH2525" s="194" t="s">
        <v>252</v>
      </c>
      <c r="AI2525" s="194">
        <v>121</v>
      </c>
      <c r="AJ2525" s="194" t="s">
        <v>252</v>
      </c>
      <c r="AK2525" s="194">
        <v>97</v>
      </c>
      <c r="AL2525" s="194" t="s">
        <v>252</v>
      </c>
      <c r="AM2525" s="194">
        <f t="shared" si="23"/>
        <v>1370</v>
      </c>
    </row>
    <row r="2526" spans="2:39" s="3" customFormat="1" ht="15.75" outlineLevel="1">
      <c r="B2526" s="178" t="s">
        <v>966</v>
      </c>
      <c r="C2526" s="218" t="s">
        <v>1489</v>
      </c>
      <c r="D2526" s="219" t="s">
        <v>1403</v>
      </c>
      <c r="E2526" s="23" t="s">
        <v>44</v>
      </c>
      <c r="F2526" s="93" t="s">
        <v>45</v>
      </c>
      <c r="G2526" s="188" t="s">
        <v>1432</v>
      </c>
      <c r="H2526" s="378"/>
      <c r="I2526" s="188" t="s">
        <v>1433</v>
      </c>
      <c r="J2526" s="380"/>
      <c r="K2526" s="173" t="s">
        <v>233</v>
      </c>
      <c r="L2526" s="173" t="s">
        <v>233</v>
      </c>
      <c r="M2526" s="194">
        <v>7236</v>
      </c>
      <c r="N2526" s="194">
        <v>5748</v>
      </c>
      <c r="O2526" s="194">
        <v>440</v>
      </c>
      <c r="P2526" s="194" t="s">
        <v>252</v>
      </c>
      <c r="Q2526" s="194">
        <v>472</v>
      </c>
      <c r="R2526" s="194" t="s">
        <v>252</v>
      </c>
      <c r="S2526" s="194">
        <v>358</v>
      </c>
      <c r="T2526" s="194" t="s">
        <v>252</v>
      </c>
      <c r="U2526" s="194">
        <v>407</v>
      </c>
      <c r="V2526" s="194" t="s">
        <v>252</v>
      </c>
      <c r="W2526" s="194">
        <v>348</v>
      </c>
      <c r="X2526" s="194" t="s">
        <v>252</v>
      </c>
      <c r="Y2526" s="194">
        <v>334</v>
      </c>
      <c r="Z2526" s="194" t="s">
        <v>252</v>
      </c>
      <c r="AA2526" s="194">
        <v>90</v>
      </c>
      <c r="AB2526" s="194" t="s">
        <v>252</v>
      </c>
      <c r="AC2526" s="194">
        <v>396</v>
      </c>
      <c r="AD2526" s="194" t="s">
        <v>252</v>
      </c>
      <c r="AE2526" s="194">
        <v>504</v>
      </c>
      <c r="AF2526" s="194" t="s">
        <v>252</v>
      </c>
      <c r="AG2526" s="194">
        <v>314</v>
      </c>
      <c r="AH2526" s="194" t="s">
        <v>252</v>
      </c>
      <c r="AI2526" s="194">
        <v>662</v>
      </c>
      <c r="AJ2526" s="194" t="s">
        <v>252</v>
      </c>
      <c r="AK2526" s="194">
        <v>504</v>
      </c>
      <c r="AL2526" s="194" t="s">
        <v>252</v>
      </c>
      <c r="AM2526" s="194">
        <f t="shared" si="23"/>
        <v>4829</v>
      </c>
    </row>
    <row r="2527" spans="2:39" s="3" customFormat="1" ht="15.75" outlineLevel="1">
      <c r="B2527" s="178" t="s">
        <v>969</v>
      </c>
      <c r="C2527" s="218" t="s">
        <v>1489</v>
      </c>
      <c r="D2527" s="219" t="s">
        <v>1403</v>
      </c>
      <c r="E2527" s="23" t="s">
        <v>44</v>
      </c>
      <c r="F2527" s="93" t="s">
        <v>45</v>
      </c>
      <c r="G2527" s="188" t="s">
        <v>1432</v>
      </c>
      <c r="H2527" s="194">
        <v>39</v>
      </c>
      <c r="I2527" s="188" t="s">
        <v>1433</v>
      </c>
      <c r="J2527" s="220" t="s">
        <v>1442</v>
      </c>
      <c r="K2527" s="173" t="s">
        <v>233</v>
      </c>
      <c r="L2527" s="173" t="s">
        <v>233</v>
      </c>
      <c r="M2527" s="194">
        <v>5012</v>
      </c>
      <c r="N2527" s="194">
        <v>4111</v>
      </c>
      <c r="O2527" s="194">
        <v>382</v>
      </c>
      <c r="P2527" s="194" t="s">
        <v>252</v>
      </c>
      <c r="Q2527" s="194">
        <v>330</v>
      </c>
      <c r="R2527" s="194" t="s">
        <v>252</v>
      </c>
      <c r="S2527" s="194">
        <v>230</v>
      </c>
      <c r="T2527" s="194" t="s">
        <v>252</v>
      </c>
      <c r="U2527" s="194">
        <v>317</v>
      </c>
      <c r="V2527" s="194" t="s">
        <v>252</v>
      </c>
      <c r="W2527" s="194">
        <v>340</v>
      </c>
      <c r="X2527" s="194" t="s">
        <v>252</v>
      </c>
      <c r="Y2527" s="194">
        <v>300</v>
      </c>
      <c r="Z2527" s="194" t="s">
        <v>252</v>
      </c>
      <c r="AA2527" s="194">
        <v>300</v>
      </c>
      <c r="AB2527" s="194" t="s">
        <v>252</v>
      </c>
      <c r="AC2527" s="194">
        <v>290</v>
      </c>
      <c r="AD2527" s="194" t="s">
        <v>252</v>
      </c>
      <c r="AE2527" s="194">
        <v>290</v>
      </c>
      <c r="AF2527" s="194" t="s">
        <v>252</v>
      </c>
      <c r="AG2527" s="194">
        <v>216</v>
      </c>
      <c r="AH2527" s="194" t="s">
        <v>252</v>
      </c>
      <c r="AI2527" s="194">
        <v>435</v>
      </c>
      <c r="AJ2527" s="194" t="s">
        <v>252</v>
      </c>
      <c r="AK2527" s="194">
        <v>483</v>
      </c>
      <c r="AL2527" s="194" t="s">
        <v>252</v>
      </c>
      <c r="AM2527" s="194">
        <f t="shared" si="23"/>
        <v>3913</v>
      </c>
    </row>
    <row r="2528" spans="2:39" s="3" customFormat="1" ht="15.75" outlineLevel="1">
      <c r="B2528" s="178" t="s">
        <v>971</v>
      </c>
      <c r="C2528" s="218" t="s">
        <v>1489</v>
      </c>
      <c r="D2528" s="219" t="s">
        <v>1403</v>
      </c>
      <c r="E2528" s="221" t="s">
        <v>138</v>
      </c>
      <c r="F2528" s="93" t="s">
        <v>45</v>
      </c>
      <c r="G2528" s="188" t="s">
        <v>1432</v>
      </c>
      <c r="H2528" s="376">
        <v>27</v>
      </c>
      <c r="I2528" s="188" t="s">
        <v>1433</v>
      </c>
      <c r="J2528" s="379" t="s">
        <v>1460</v>
      </c>
      <c r="K2528" s="173" t="s">
        <v>233</v>
      </c>
      <c r="L2528" s="173" t="s">
        <v>233</v>
      </c>
      <c r="M2528" s="194">
        <v>2477</v>
      </c>
      <c r="N2528" s="194">
        <v>2708</v>
      </c>
      <c r="O2528" s="194">
        <v>117</v>
      </c>
      <c r="P2528" s="194" t="s">
        <v>252</v>
      </c>
      <c r="Q2528" s="194">
        <v>170</v>
      </c>
      <c r="R2528" s="194" t="s">
        <v>252</v>
      </c>
      <c r="S2528" s="194">
        <v>139</v>
      </c>
      <c r="T2528" s="194" t="s">
        <v>252</v>
      </c>
      <c r="U2528" s="194">
        <v>138</v>
      </c>
      <c r="V2528" s="194" t="s">
        <v>252</v>
      </c>
      <c r="W2528" s="194">
        <v>138</v>
      </c>
      <c r="X2528" s="194" t="s">
        <v>252</v>
      </c>
      <c r="Y2528" s="194">
        <v>156</v>
      </c>
      <c r="Z2528" s="194" t="s">
        <v>252</v>
      </c>
      <c r="AA2528" s="194">
        <v>117</v>
      </c>
      <c r="AB2528" s="194" t="s">
        <v>252</v>
      </c>
      <c r="AC2528" s="194">
        <v>116</v>
      </c>
      <c r="AD2528" s="194" t="s">
        <v>252</v>
      </c>
      <c r="AE2528" s="194">
        <v>391</v>
      </c>
      <c r="AF2528" s="194" t="s">
        <v>252</v>
      </c>
      <c r="AG2528" s="194">
        <v>81</v>
      </c>
      <c r="AH2528" s="194" t="s">
        <v>252</v>
      </c>
      <c r="AI2528" s="194">
        <v>160</v>
      </c>
      <c r="AJ2528" s="194" t="s">
        <v>252</v>
      </c>
      <c r="AK2528" s="194">
        <v>425</v>
      </c>
      <c r="AL2528" s="194" t="s">
        <v>252</v>
      </c>
      <c r="AM2528" s="194">
        <f t="shared" si="23"/>
        <v>2148</v>
      </c>
    </row>
    <row r="2529" spans="2:39" s="3" customFormat="1" ht="15.75" outlineLevel="1">
      <c r="B2529" s="178" t="s">
        <v>971</v>
      </c>
      <c r="C2529" s="218" t="s">
        <v>1489</v>
      </c>
      <c r="D2529" s="219" t="s">
        <v>1403</v>
      </c>
      <c r="E2529" s="23" t="s">
        <v>44</v>
      </c>
      <c r="F2529" s="93" t="s">
        <v>45</v>
      </c>
      <c r="G2529" s="188" t="s">
        <v>1432</v>
      </c>
      <c r="H2529" s="378"/>
      <c r="I2529" s="188" t="s">
        <v>1433</v>
      </c>
      <c r="J2529" s="380"/>
      <c r="K2529" s="173" t="s">
        <v>233</v>
      </c>
      <c r="L2529" s="173" t="s">
        <v>233</v>
      </c>
      <c r="M2529" s="194">
        <v>5584</v>
      </c>
      <c r="N2529" s="194">
        <v>5879</v>
      </c>
      <c r="O2529" s="194">
        <v>813</v>
      </c>
      <c r="P2529" s="194" t="s">
        <v>252</v>
      </c>
      <c r="Q2529" s="194">
        <v>518</v>
      </c>
      <c r="R2529" s="194" t="s">
        <v>252</v>
      </c>
      <c r="S2529" s="194">
        <v>319</v>
      </c>
      <c r="T2529" s="194" t="s">
        <v>252</v>
      </c>
      <c r="U2529" s="194">
        <v>416</v>
      </c>
      <c r="V2529" s="194" t="s">
        <v>252</v>
      </c>
      <c r="W2529" s="194">
        <v>313</v>
      </c>
      <c r="X2529" s="194" t="s">
        <v>252</v>
      </c>
      <c r="Y2529" s="194">
        <v>215</v>
      </c>
      <c r="Z2529" s="194" t="s">
        <v>252</v>
      </c>
      <c r="AA2529" s="194">
        <v>238</v>
      </c>
      <c r="AB2529" s="194" t="s">
        <v>252</v>
      </c>
      <c r="AC2529" s="194">
        <v>238</v>
      </c>
      <c r="AD2529" s="194" t="s">
        <v>252</v>
      </c>
      <c r="AE2529" s="194">
        <v>135</v>
      </c>
      <c r="AF2529" s="194" t="s">
        <v>252</v>
      </c>
      <c r="AG2529" s="194">
        <v>256</v>
      </c>
      <c r="AH2529" s="194" t="s">
        <v>252</v>
      </c>
      <c r="AI2529" s="194">
        <v>542</v>
      </c>
      <c r="AJ2529" s="194" t="s">
        <v>252</v>
      </c>
      <c r="AK2529" s="194">
        <v>126</v>
      </c>
      <c r="AL2529" s="194" t="s">
        <v>252</v>
      </c>
      <c r="AM2529" s="194">
        <f t="shared" si="23"/>
        <v>4129</v>
      </c>
    </row>
    <row r="2530" spans="2:39" s="3" customFormat="1" ht="15.75" outlineLevel="1">
      <c r="B2530" s="178" t="s">
        <v>974</v>
      </c>
      <c r="C2530" s="218" t="s">
        <v>1489</v>
      </c>
      <c r="D2530" s="219" t="s">
        <v>1403</v>
      </c>
      <c r="E2530" s="221" t="s">
        <v>138</v>
      </c>
      <c r="F2530" s="93" t="s">
        <v>45</v>
      </c>
      <c r="G2530" s="188" t="s">
        <v>1432</v>
      </c>
      <c r="H2530" s="376">
        <v>32</v>
      </c>
      <c r="I2530" s="188" t="s">
        <v>1433</v>
      </c>
      <c r="J2530" s="379" t="s">
        <v>1437</v>
      </c>
      <c r="K2530" s="173" t="s">
        <v>233</v>
      </c>
      <c r="L2530" s="173" t="s">
        <v>233</v>
      </c>
      <c r="M2530" s="194">
        <v>2362</v>
      </c>
      <c r="N2530" s="194">
        <v>2504</v>
      </c>
      <c r="O2530" s="194">
        <v>86</v>
      </c>
      <c r="P2530" s="194" t="s">
        <v>252</v>
      </c>
      <c r="Q2530" s="194">
        <v>138</v>
      </c>
      <c r="R2530" s="194" t="s">
        <v>252</v>
      </c>
      <c r="S2530" s="194">
        <v>94</v>
      </c>
      <c r="T2530" s="194" t="s">
        <v>252</v>
      </c>
      <c r="U2530" s="194">
        <v>120</v>
      </c>
      <c r="V2530" s="194" t="s">
        <v>252</v>
      </c>
      <c r="W2530" s="194">
        <v>95</v>
      </c>
      <c r="X2530" s="194" t="s">
        <v>252</v>
      </c>
      <c r="Y2530" s="194">
        <v>118</v>
      </c>
      <c r="Z2530" s="194" t="s">
        <v>252</v>
      </c>
      <c r="AA2530" s="194">
        <v>125</v>
      </c>
      <c r="AB2530" s="194" t="s">
        <v>252</v>
      </c>
      <c r="AC2530" s="194">
        <v>116</v>
      </c>
      <c r="AD2530" s="194" t="s">
        <v>252</v>
      </c>
      <c r="AE2530" s="194">
        <v>131</v>
      </c>
      <c r="AF2530" s="194" t="s">
        <v>252</v>
      </c>
      <c r="AG2530" s="194">
        <v>119</v>
      </c>
      <c r="AH2530" s="194" t="s">
        <v>252</v>
      </c>
      <c r="AI2530" s="194">
        <v>104</v>
      </c>
      <c r="AJ2530" s="194" t="s">
        <v>252</v>
      </c>
      <c r="AK2530" s="194">
        <v>104</v>
      </c>
      <c r="AL2530" s="194" t="s">
        <v>252</v>
      </c>
      <c r="AM2530" s="194">
        <f t="shared" si="23"/>
        <v>1350</v>
      </c>
    </row>
    <row r="2531" spans="2:39" s="3" customFormat="1" ht="15.75" outlineLevel="1">
      <c r="B2531" s="178" t="s">
        <v>974</v>
      </c>
      <c r="C2531" s="218" t="s">
        <v>1489</v>
      </c>
      <c r="D2531" s="219" t="s">
        <v>1403</v>
      </c>
      <c r="E2531" s="23" t="s">
        <v>44</v>
      </c>
      <c r="F2531" s="93" t="s">
        <v>45</v>
      </c>
      <c r="G2531" s="188" t="s">
        <v>1432</v>
      </c>
      <c r="H2531" s="378"/>
      <c r="I2531" s="188" t="s">
        <v>1433</v>
      </c>
      <c r="J2531" s="380"/>
      <c r="K2531" s="173" t="s">
        <v>233</v>
      </c>
      <c r="L2531" s="173" t="s">
        <v>233</v>
      </c>
      <c r="M2531" s="194">
        <v>17061</v>
      </c>
      <c r="N2531" s="194">
        <v>18460</v>
      </c>
      <c r="O2531" s="194">
        <v>2443</v>
      </c>
      <c r="P2531" s="194" t="s">
        <v>252</v>
      </c>
      <c r="Q2531" s="194">
        <v>2316</v>
      </c>
      <c r="R2531" s="194" t="s">
        <v>252</v>
      </c>
      <c r="S2531" s="194">
        <v>1458</v>
      </c>
      <c r="T2531" s="194" t="s">
        <v>252</v>
      </c>
      <c r="U2531" s="194">
        <v>1884</v>
      </c>
      <c r="V2531" s="194" t="s">
        <v>252</v>
      </c>
      <c r="W2531" s="194">
        <v>1600</v>
      </c>
      <c r="X2531" s="194" t="s">
        <v>252</v>
      </c>
      <c r="Y2531" s="194">
        <v>1597</v>
      </c>
      <c r="Z2531" s="194" t="s">
        <v>252</v>
      </c>
      <c r="AA2531" s="194">
        <v>1511</v>
      </c>
      <c r="AB2531" s="194" t="s">
        <v>252</v>
      </c>
      <c r="AC2531" s="194">
        <v>1620</v>
      </c>
      <c r="AD2531" s="194" t="s">
        <v>252</v>
      </c>
      <c r="AE2531" s="194">
        <v>1901</v>
      </c>
      <c r="AF2531" s="194" t="s">
        <v>252</v>
      </c>
      <c r="AG2531" s="194">
        <v>1889</v>
      </c>
      <c r="AH2531" s="194" t="s">
        <v>252</v>
      </c>
      <c r="AI2531" s="194">
        <v>1974</v>
      </c>
      <c r="AJ2531" s="194" t="s">
        <v>252</v>
      </c>
      <c r="AK2531" s="194">
        <v>1899</v>
      </c>
      <c r="AL2531" s="194" t="s">
        <v>252</v>
      </c>
      <c r="AM2531" s="194">
        <f t="shared" si="23"/>
        <v>22092</v>
      </c>
    </row>
    <row r="2532" spans="2:39" s="3" customFormat="1" ht="15.75" outlineLevel="1">
      <c r="B2532" s="178" t="s">
        <v>977</v>
      </c>
      <c r="C2532" s="218" t="s">
        <v>1489</v>
      </c>
      <c r="D2532" s="219" t="s">
        <v>1403</v>
      </c>
      <c r="E2532" s="23" t="s">
        <v>44</v>
      </c>
      <c r="F2532" s="93" t="s">
        <v>45</v>
      </c>
      <c r="G2532" s="188" t="s">
        <v>1432</v>
      </c>
      <c r="H2532" s="194">
        <v>24</v>
      </c>
      <c r="I2532" s="188" t="s">
        <v>1433</v>
      </c>
      <c r="J2532" s="220" t="s">
        <v>617</v>
      </c>
      <c r="K2532" s="173" t="s">
        <v>233</v>
      </c>
      <c r="L2532" s="173" t="s">
        <v>233</v>
      </c>
      <c r="M2532" s="194">
        <v>6471</v>
      </c>
      <c r="N2532" s="194">
        <v>5915</v>
      </c>
      <c r="O2532" s="194">
        <v>416</v>
      </c>
      <c r="P2532" s="194" t="s">
        <v>252</v>
      </c>
      <c r="Q2532" s="194">
        <v>531</v>
      </c>
      <c r="R2532" s="194" t="s">
        <v>252</v>
      </c>
      <c r="S2532" s="194">
        <v>383</v>
      </c>
      <c r="T2532" s="194" t="s">
        <v>252</v>
      </c>
      <c r="U2532" s="194">
        <v>437</v>
      </c>
      <c r="V2532" s="194" t="s">
        <v>252</v>
      </c>
      <c r="W2532" s="194">
        <v>370</v>
      </c>
      <c r="X2532" s="194" t="s">
        <v>252</v>
      </c>
      <c r="Y2532" s="194">
        <v>471</v>
      </c>
      <c r="Z2532" s="194" t="s">
        <v>252</v>
      </c>
      <c r="AA2532" s="194">
        <v>323</v>
      </c>
      <c r="AB2532" s="194" t="s">
        <v>252</v>
      </c>
      <c r="AC2532" s="194">
        <v>359</v>
      </c>
      <c r="AD2532" s="194" t="s">
        <v>252</v>
      </c>
      <c r="AE2532" s="194">
        <v>427</v>
      </c>
      <c r="AF2532" s="194" t="s">
        <v>252</v>
      </c>
      <c r="AG2532" s="194">
        <v>357</v>
      </c>
      <c r="AH2532" s="194" t="s">
        <v>252</v>
      </c>
      <c r="AI2532" s="194">
        <v>639</v>
      </c>
      <c r="AJ2532" s="194" t="s">
        <v>252</v>
      </c>
      <c r="AK2532" s="194">
        <v>481</v>
      </c>
      <c r="AL2532" s="194" t="s">
        <v>252</v>
      </c>
      <c r="AM2532" s="194">
        <f t="shared" si="23"/>
        <v>5194</v>
      </c>
    </row>
    <row r="2533" spans="2:39" s="3" customFormat="1" ht="15.75" outlineLevel="1">
      <c r="B2533" s="178" t="s">
        <v>979</v>
      </c>
      <c r="C2533" s="218" t="s">
        <v>1489</v>
      </c>
      <c r="D2533" s="219" t="s">
        <v>1403</v>
      </c>
      <c r="E2533" s="23" t="s">
        <v>44</v>
      </c>
      <c r="F2533" s="93" t="s">
        <v>45</v>
      </c>
      <c r="G2533" s="188" t="s">
        <v>1432</v>
      </c>
      <c r="H2533" s="194">
        <v>29</v>
      </c>
      <c r="I2533" s="188" t="s">
        <v>1433</v>
      </c>
      <c r="J2533" s="220" t="s">
        <v>617</v>
      </c>
      <c r="K2533" s="173" t="s">
        <v>233</v>
      </c>
      <c r="L2533" s="173" t="s">
        <v>233</v>
      </c>
      <c r="M2533" s="194">
        <v>8055</v>
      </c>
      <c r="N2533" s="194">
        <v>5094</v>
      </c>
      <c r="O2533" s="194">
        <v>349</v>
      </c>
      <c r="P2533" s="194" t="s">
        <v>252</v>
      </c>
      <c r="Q2533" s="194">
        <v>378</v>
      </c>
      <c r="R2533" s="194" t="s">
        <v>252</v>
      </c>
      <c r="S2533" s="194">
        <v>252</v>
      </c>
      <c r="T2533" s="194" t="s">
        <v>252</v>
      </c>
      <c r="U2533" s="194">
        <v>322</v>
      </c>
      <c r="V2533" s="194" t="s">
        <v>252</v>
      </c>
      <c r="W2533" s="194">
        <v>461</v>
      </c>
      <c r="X2533" s="194" t="s">
        <v>252</v>
      </c>
      <c r="Y2533" s="194">
        <v>495</v>
      </c>
      <c r="Z2533" s="194" t="s">
        <v>252</v>
      </c>
      <c r="AA2533" s="194">
        <v>147</v>
      </c>
      <c r="AB2533" s="194" t="s">
        <v>252</v>
      </c>
      <c r="AC2533" s="194">
        <v>131</v>
      </c>
      <c r="AD2533" s="194" t="s">
        <v>252</v>
      </c>
      <c r="AE2533" s="194">
        <v>149</v>
      </c>
      <c r="AF2533" s="194" t="s">
        <v>252</v>
      </c>
      <c r="AG2533" s="194">
        <v>152</v>
      </c>
      <c r="AH2533" s="194" t="s">
        <v>252</v>
      </c>
      <c r="AI2533" s="194">
        <v>229</v>
      </c>
      <c r="AJ2533" s="194" t="s">
        <v>252</v>
      </c>
      <c r="AK2533" s="194">
        <v>325</v>
      </c>
      <c r="AL2533" s="194" t="s">
        <v>252</v>
      </c>
      <c r="AM2533" s="194">
        <f t="shared" si="23"/>
        <v>3390</v>
      </c>
    </row>
    <row r="2534" spans="2:39" s="3" customFormat="1" ht="15.75" outlineLevel="1">
      <c r="B2534" s="178" t="s">
        <v>981</v>
      </c>
      <c r="C2534" s="218" t="s">
        <v>1489</v>
      </c>
      <c r="D2534" s="219" t="s">
        <v>1403</v>
      </c>
      <c r="E2534" s="23" t="s">
        <v>44</v>
      </c>
      <c r="F2534" s="93" t="s">
        <v>45</v>
      </c>
      <c r="G2534" s="188" t="s">
        <v>1432</v>
      </c>
      <c r="H2534" s="376">
        <v>48</v>
      </c>
      <c r="I2534" s="188" t="s">
        <v>1433</v>
      </c>
      <c r="J2534" s="379" t="s">
        <v>1440</v>
      </c>
      <c r="K2534" s="173" t="s">
        <v>233</v>
      </c>
      <c r="L2534" s="173" t="s">
        <v>233</v>
      </c>
      <c r="M2534" s="376">
        <v>5177</v>
      </c>
      <c r="N2534" s="376">
        <v>6205</v>
      </c>
      <c r="O2534" s="376">
        <v>464</v>
      </c>
      <c r="P2534" s="376" t="s">
        <v>252</v>
      </c>
      <c r="Q2534" s="376">
        <v>622</v>
      </c>
      <c r="R2534" s="376" t="s">
        <v>252</v>
      </c>
      <c r="S2534" s="376">
        <v>451</v>
      </c>
      <c r="T2534" s="376" t="s">
        <v>252</v>
      </c>
      <c r="U2534" s="376">
        <v>411</v>
      </c>
      <c r="V2534" s="376" t="s">
        <v>252</v>
      </c>
      <c r="W2534" s="376">
        <v>301</v>
      </c>
      <c r="X2534" s="376" t="s">
        <v>252</v>
      </c>
      <c r="Y2534" s="376">
        <v>367</v>
      </c>
      <c r="Z2534" s="376" t="s">
        <v>252</v>
      </c>
      <c r="AA2534" s="376">
        <v>303</v>
      </c>
      <c r="AB2534" s="376" t="s">
        <v>252</v>
      </c>
      <c r="AC2534" s="376">
        <v>250</v>
      </c>
      <c r="AD2534" s="376" t="s">
        <v>252</v>
      </c>
      <c r="AE2534" s="376">
        <v>250</v>
      </c>
      <c r="AF2534" s="376" t="s">
        <v>252</v>
      </c>
      <c r="AG2534" s="376">
        <v>250</v>
      </c>
      <c r="AH2534" s="376" t="s">
        <v>252</v>
      </c>
      <c r="AI2534" s="376">
        <v>250</v>
      </c>
      <c r="AJ2534" s="376" t="s">
        <v>252</v>
      </c>
      <c r="AK2534" s="376">
        <v>250</v>
      </c>
      <c r="AL2534" s="376" t="s">
        <v>252</v>
      </c>
      <c r="AM2534" s="376">
        <f t="shared" si="23"/>
        <v>4169</v>
      </c>
    </row>
    <row r="2535" spans="2:39" s="3" customFormat="1" ht="15.75" outlineLevel="1">
      <c r="B2535" s="178" t="s">
        <v>982</v>
      </c>
      <c r="C2535" s="218" t="s">
        <v>1489</v>
      </c>
      <c r="D2535" s="219" t="s">
        <v>1403</v>
      </c>
      <c r="E2535" s="23" t="s">
        <v>44</v>
      </c>
      <c r="F2535" s="93" t="s">
        <v>45</v>
      </c>
      <c r="G2535" s="188" t="s">
        <v>1432</v>
      </c>
      <c r="H2535" s="377"/>
      <c r="I2535" s="188" t="s">
        <v>1433</v>
      </c>
      <c r="J2535" s="381"/>
      <c r="K2535" s="173" t="s">
        <v>233</v>
      </c>
      <c r="L2535" s="173" t="s">
        <v>233</v>
      </c>
      <c r="M2535" s="377"/>
      <c r="N2535" s="377"/>
      <c r="O2535" s="377"/>
      <c r="P2535" s="377"/>
      <c r="Q2535" s="377"/>
      <c r="R2535" s="377"/>
      <c r="S2535" s="377"/>
      <c r="T2535" s="377"/>
      <c r="U2535" s="377"/>
      <c r="V2535" s="377"/>
      <c r="W2535" s="377"/>
      <c r="X2535" s="377"/>
      <c r="Y2535" s="377"/>
      <c r="Z2535" s="377"/>
      <c r="AA2535" s="377"/>
      <c r="AB2535" s="377"/>
      <c r="AC2535" s="377"/>
      <c r="AD2535" s="377"/>
      <c r="AE2535" s="377"/>
      <c r="AF2535" s="377"/>
      <c r="AG2535" s="377"/>
      <c r="AH2535" s="377"/>
      <c r="AI2535" s="377"/>
      <c r="AJ2535" s="377"/>
      <c r="AK2535" s="377"/>
      <c r="AL2535" s="377"/>
      <c r="AM2535" s="377"/>
    </row>
    <row r="2536" spans="2:39" s="3" customFormat="1" ht="15.75" outlineLevel="1">
      <c r="B2536" s="178" t="s">
        <v>983</v>
      </c>
      <c r="C2536" s="218" t="s">
        <v>1489</v>
      </c>
      <c r="D2536" s="219" t="s">
        <v>1403</v>
      </c>
      <c r="E2536" s="23" t="s">
        <v>44</v>
      </c>
      <c r="F2536" s="93" t="s">
        <v>45</v>
      </c>
      <c r="G2536" s="188" t="s">
        <v>1432</v>
      </c>
      <c r="H2536" s="378"/>
      <c r="I2536" s="188" t="s">
        <v>1433</v>
      </c>
      <c r="J2536" s="380"/>
      <c r="K2536" s="173" t="s">
        <v>233</v>
      </c>
      <c r="L2536" s="173" t="s">
        <v>233</v>
      </c>
      <c r="M2536" s="378"/>
      <c r="N2536" s="378"/>
      <c r="O2536" s="378"/>
      <c r="P2536" s="378"/>
      <c r="Q2536" s="378"/>
      <c r="R2536" s="378"/>
      <c r="S2536" s="378"/>
      <c r="T2536" s="378"/>
      <c r="U2536" s="378"/>
      <c r="V2536" s="378"/>
      <c r="W2536" s="378"/>
      <c r="X2536" s="378"/>
      <c r="Y2536" s="378"/>
      <c r="Z2536" s="378"/>
      <c r="AA2536" s="378"/>
      <c r="AB2536" s="378"/>
      <c r="AC2536" s="378"/>
      <c r="AD2536" s="378"/>
      <c r="AE2536" s="378"/>
      <c r="AF2536" s="378"/>
      <c r="AG2536" s="378"/>
      <c r="AH2536" s="378"/>
      <c r="AI2536" s="378"/>
      <c r="AJ2536" s="378"/>
      <c r="AK2536" s="378"/>
      <c r="AL2536" s="378"/>
      <c r="AM2536" s="378"/>
    </row>
    <row r="2537" spans="2:39" s="3" customFormat="1" ht="15.75" outlineLevel="1">
      <c r="B2537" s="178" t="s">
        <v>986</v>
      </c>
      <c r="C2537" s="218" t="s">
        <v>1489</v>
      </c>
      <c r="D2537" s="219" t="s">
        <v>1403</v>
      </c>
      <c r="E2537" s="23" t="s">
        <v>44</v>
      </c>
      <c r="F2537" s="93" t="s">
        <v>45</v>
      </c>
      <c r="G2537" s="188" t="s">
        <v>1432</v>
      </c>
      <c r="H2537" s="194">
        <v>12</v>
      </c>
      <c r="I2537" s="188" t="s">
        <v>1433</v>
      </c>
      <c r="J2537" s="220" t="s">
        <v>1468</v>
      </c>
      <c r="K2537" s="173" t="s">
        <v>233</v>
      </c>
      <c r="L2537" s="173" t="s">
        <v>233</v>
      </c>
      <c r="M2537" s="194">
        <v>1796</v>
      </c>
      <c r="N2537" s="194">
        <v>1831</v>
      </c>
      <c r="O2537" s="194">
        <v>144</v>
      </c>
      <c r="P2537" s="194" t="s">
        <v>259</v>
      </c>
      <c r="Q2537" s="194">
        <v>175</v>
      </c>
      <c r="R2537" s="194" t="s">
        <v>259</v>
      </c>
      <c r="S2537" s="194">
        <v>132</v>
      </c>
      <c r="T2537" s="194" t="s">
        <v>259</v>
      </c>
      <c r="U2537" s="194">
        <v>136</v>
      </c>
      <c r="V2537" s="194" t="s">
        <v>259</v>
      </c>
      <c r="W2537" s="194">
        <v>107</v>
      </c>
      <c r="X2537" s="194" t="s">
        <v>259</v>
      </c>
      <c r="Y2537" s="194">
        <v>101</v>
      </c>
      <c r="Z2537" s="194" t="s">
        <v>259</v>
      </c>
      <c r="AA2537" s="194">
        <v>64</v>
      </c>
      <c r="AB2537" s="194" t="s">
        <v>259</v>
      </c>
      <c r="AC2537" s="194">
        <v>126</v>
      </c>
      <c r="AD2537" s="194" t="s">
        <v>259</v>
      </c>
      <c r="AE2537" s="194">
        <v>50</v>
      </c>
      <c r="AF2537" s="194" t="s">
        <v>259</v>
      </c>
      <c r="AG2537" s="194">
        <v>167</v>
      </c>
      <c r="AH2537" s="194" t="s">
        <v>259</v>
      </c>
      <c r="AI2537" s="194">
        <v>174</v>
      </c>
      <c r="AJ2537" s="194" t="s">
        <v>259</v>
      </c>
      <c r="AK2537" s="194">
        <v>187</v>
      </c>
      <c r="AL2537" s="194" t="s">
        <v>259</v>
      </c>
      <c r="AM2537" s="194">
        <f t="shared" si="23"/>
        <v>1563</v>
      </c>
    </row>
    <row r="2538" spans="2:39" s="3" customFormat="1" ht="15.75" outlineLevel="1">
      <c r="B2538" s="178" t="s">
        <v>990</v>
      </c>
      <c r="C2538" s="218" t="s">
        <v>1489</v>
      </c>
      <c r="D2538" s="219" t="s">
        <v>1403</v>
      </c>
      <c r="E2538" s="23" t="s">
        <v>44</v>
      </c>
      <c r="F2538" s="93" t="s">
        <v>45</v>
      </c>
      <c r="G2538" s="188" t="s">
        <v>1432</v>
      </c>
      <c r="H2538" s="194">
        <v>18</v>
      </c>
      <c r="I2538" s="188" t="s">
        <v>1433</v>
      </c>
      <c r="J2538" s="220" t="s">
        <v>1442</v>
      </c>
      <c r="K2538" s="173" t="s">
        <v>233</v>
      </c>
      <c r="L2538" s="173" t="s">
        <v>233</v>
      </c>
      <c r="M2538" s="194">
        <v>9563</v>
      </c>
      <c r="N2538" s="194">
        <v>6550</v>
      </c>
      <c r="O2538" s="194">
        <v>615</v>
      </c>
      <c r="P2538" s="194" t="s">
        <v>252</v>
      </c>
      <c r="Q2538" s="194">
        <v>569</v>
      </c>
      <c r="R2538" s="194" t="s">
        <v>252</v>
      </c>
      <c r="S2538" s="194">
        <v>421</v>
      </c>
      <c r="T2538" s="194" t="s">
        <v>252</v>
      </c>
      <c r="U2538" s="194">
        <v>535</v>
      </c>
      <c r="V2538" s="194" t="s">
        <v>252</v>
      </c>
      <c r="W2538" s="194">
        <v>341</v>
      </c>
      <c r="X2538" s="194" t="s">
        <v>252</v>
      </c>
      <c r="Y2538" s="194">
        <v>256</v>
      </c>
      <c r="Z2538" s="194" t="s">
        <v>252</v>
      </c>
      <c r="AA2538" s="194">
        <v>198</v>
      </c>
      <c r="AB2538" s="194" t="s">
        <v>252</v>
      </c>
      <c r="AC2538" s="194">
        <v>193</v>
      </c>
      <c r="AD2538" s="194" t="s">
        <v>252</v>
      </c>
      <c r="AE2538" s="194">
        <v>314</v>
      </c>
      <c r="AF2538" s="194" t="s">
        <v>252</v>
      </c>
      <c r="AG2538" s="194">
        <v>425</v>
      </c>
      <c r="AH2538" s="194" t="s">
        <v>252</v>
      </c>
      <c r="AI2538" s="194">
        <v>704</v>
      </c>
      <c r="AJ2538" s="194" t="s">
        <v>252</v>
      </c>
      <c r="AK2538" s="194">
        <v>833</v>
      </c>
      <c r="AL2538" s="194" t="s">
        <v>252</v>
      </c>
      <c r="AM2538" s="194">
        <f t="shared" si="23"/>
        <v>5404</v>
      </c>
    </row>
    <row r="2539" spans="2:39" s="3" customFormat="1" ht="15.75" outlineLevel="1">
      <c r="B2539" s="178" t="s">
        <v>993</v>
      </c>
      <c r="C2539" s="218" t="s">
        <v>1489</v>
      </c>
      <c r="D2539" s="219" t="s">
        <v>1413</v>
      </c>
      <c r="E2539" s="23" t="s">
        <v>44</v>
      </c>
      <c r="F2539" s="93" t="s">
        <v>45</v>
      </c>
      <c r="G2539" s="188" t="s">
        <v>1432</v>
      </c>
      <c r="H2539" s="194">
        <v>22</v>
      </c>
      <c r="I2539" s="188" t="s">
        <v>1433</v>
      </c>
      <c r="J2539" s="220" t="s">
        <v>617</v>
      </c>
      <c r="K2539" s="173" t="s">
        <v>233</v>
      </c>
      <c r="L2539" s="173" t="s">
        <v>233</v>
      </c>
      <c r="M2539" s="224">
        <v>15882</v>
      </c>
      <c r="N2539" s="224">
        <v>14801</v>
      </c>
      <c r="O2539" s="224">
        <v>1723</v>
      </c>
      <c r="P2539" s="194" t="s">
        <v>252</v>
      </c>
      <c r="Q2539" s="224">
        <v>1213</v>
      </c>
      <c r="R2539" s="194" t="s">
        <v>252</v>
      </c>
      <c r="S2539" s="224">
        <v>1190</v>
      </c>
      <c r="T2539" s="194" t="s">
        <v>252</v>
      </c>
      <c r="U2539" s="224">
        <v>1615</v>
      </c>
      <c r="V2539" s="194" t="s">
        <v>252</v>
      </c>
      <c r="W2539" s="224">
        <v>1251</v>
      </c>
      <c r="X2539" s="194" t="s">
        <v>252</v>
      </c>
      <c r="Y2539" s="224">
        <v>1295</v>
      </c>
      <c r="Z2539" s="194" t="s">
        <v>252</v>
      </c>
      <c r="AA2539" s="224">
        <v>1291</v>
      </c>
      <c r="AB2539" s="194" t="s">
        <v>252</v>
      </c>
      <c r="AC2539" s="224">
        <v>912</v>
      </c>
      <c r="AD2539" s="194" t="s">
        <v>252</v>
      </c>
      <c r="AE2539" s="224">
        <v>396</v>
      </c>
      <c r="AF2539" s="194" t="s">
        <v>252</v>
      </c>
      <c r="AG2539" s="224">
        <v>482</v>
      </c>
      <c r="AH2539" s="194" t="s">
        <v>252</v>
      </c>
      <c r="AI2539" s="224">
        <v>527</v>
      </c>
      <c r="AJ2539" s="194" t="s">
        <v>252</v>
      </c>
      <c r="AK2539" s="224">
        <v>515</v>
      </c>
      <c r="AL2539" s="194" t="s">
        <v>252</v>
      </c>
      <c r="AM2539" s="194">
        <f t="shared" si="23"/>
        <v>12410</v>
      </c>
    </row>
    <row r="2540" spans="2:39" s="3" customFormat="1" ht="15.75" outlineLevel="1">
      <c r="B2540" s="178" t="s">
        <v>996</v>
      </c>
      <c r="C2540" s="218" t="s">
        <v>1489</v>
      </c>
      <c r="D2540" s="219" t="s">
        <v>1403</v>
      </c>
      <c r="E2540" s="23" t="s">
        <v>44</v>
      </c>
      <c r="F2540" s="222" t="s">
        <v>45</v>
      </c>
      <c r="G2540" s="188" t="s">
        <v>1432</v>
      </c>
      <c r="H2540" s="194">
        <v>42</v>
      </c>
      <c r="I2540" s="188" t="s">
        <v>1433</v>
      </c>
      <c r="J2540" s="220" t="s">
        <v>1472</v>
      </c>
      <c r="K2540" s="173" t="s">
        <v>233</v>
      </c>
      <c r="L2540" s="173" t="s">
        <v>233</v>
      </c>
      <c r="M2540" s="224">
        <v>57250</v>
      </c>
      <c r="N2540" s="224">
        <v>56800</v>
      </c>
      <c r="O2540" s="224">
        <f>1458+2926+242</f>
        <v>4626</v>
      </c>
      <c r="P2540" s="194" t="s">
        <v>252</v>
      </c>
      <c r="Q2540" s="224">
        <f>242+2926+1320</f>
        <v>4488</v>
      </c>
      <c r="R2540" s="194" t="s">
        <v>252</v>
      </c>
      <c r="S2540" s="224">
        <f>1458+2926+242</f>
        <v>4626</v>
      </c>
      <c r="T2540" s="194" t="s">
        <v>252</v>
      </c>
      <c r="U2540" s="224">
        <f>2926+242+1411</f>
        <v>4579</v>
      </c>
      <c r="V2540" s="194" t="s">
        <v>252</v>
      </c>
      <c r="W2540" s="224">
        <v>4626</v>
      </c>
      <c r="X2540" s="194" t="s">
        <v>252</v>
      </c>
      <c r="Y2540" s="224">
        <v>4579</v>
      </c>
      <c r="Z2540" s="194" t="s">
        <v>252</v>
      </c>
      <c r="AA2540" s="224">
        <f>1458+2926+242</f>
        <v>4626</v>
      </c>
      <c r="AB2540" s="194" t="s">
        <v>252</v>
      </c>
      <c r="AC2540" s="224">
        <f>1458+2926+242</f>
        <v>4626</v>
      </c>
      <c r="AD2540" s="194" t="s">
        <v>252</v>
      </c>
      <c r="AE2540" s="224">
        <f>2926+242+1411</f>
        <v>4579</v>
      </c>
      <c r="AF2540" s="194" t="s">
        <v>252</v>
      </c>
      <c r="AG2540" s="224">
        <f>242+2926+1458</f>
        <v>4626</v>
      </c>
      <c r="AH2540" s="194" t="s">
        <v>252</v>
      </c>
      <c r="AI2540" s="224">
        <v>4615</v>
      </c>
      <c r="AJ2540" s="194" t="s">
        <v>252</v>
      </c>
      <c r="AK2540" s="224">
        <v>5151</v>
      </c>
      <c r="AL2540" s="194" t="s">
        <v>252</v>
      </c>
      <c r="AM2540" s="194">
        <f t="shared" si="23"/>
        <v>55747</v>
      </c>
    </row>
    <row r="2541" spans="2:39" s="3" customFormat="1" ht="15.75" outlineLevel="1">
      <c r="B2541" s="178" t="s">
        <v>999</v>
      </c>
      <c r="C2541" s="218" t="s">
        <v>1489</v>
      </c>
      <c r="D2541" s="219" t="s">
        <v>1403</v>
      </c>
      <c r="E2541" s="23" t="s">
        <v>44</v>
      </c>
      <c r="F2541" s="222" t="s">
        <v>45</v>
      </c>
      <c r="G2541" s="188" t="s">
        <v>1432</v>
      </c>
      <c r="H2541" s="194">
        <v>28</v>
      </c>
      <c r="I2541" s="188" t="s">
        <v>1433</v>
      </c>
      <c r="J2541" s="220" t="s">
        <v>1467</v>
      </c>
      <c r="K2541" s="173" t="s">
        <v>233</v>
      </c>
      <c r="L2541" s="173" t="s">
        <v>233</v>
      </c>
      <c r="M2541" s="194">
        <v>16794</v>
      </c>
      <c r="N2541" s="194">
        <v>17825</v>
      </c>
      <c r="O2541" s="194">
        <v>1691</v>
      </c>
      <c r="P2541" s="194" t="s">
        <v>252</v>
      </c>
      <c r="Q2541" s="194">
        <v>1541</v>
      </c>
      <c r="R2541" s="194" t="s">
        <v>252</v>
      </c>
      <c r="S2541" s="194">
        <v>1134</v>
      </c>
      <c r="T2541" s="194" t="s">
        <v>252</v>
      </c>
      <c r="U2541" s="194">
        <v>1282</v>
      </c>
      <c r="V2541" s="194" t="s">
        <v>252</v>
      </c>
      <c r="W2541" s="194">
        <v>896</v>
      </c>
      <c r="X2541" s="194" t="s">
        <v>252</v>
      </c>
      <c r="Y2541" s="194">
        <v>863</v>
      </c>
      <c r="Z2541" s="194" t="s">
        <v>252</v>
      </c>
      <c r="AA2541" s="194">
        <v>526</v>
      </c>
      <c r="AB2541" s="194" t="s">
        <v>252</v>
      </c>
      <c r="AC2541" s="194">
        <v>661</v>
      </c>
      <c r="AD2541" s="194" t="s">
        <v>252</v>
      </c>
      <c r="AE2541" s="194">
        <v>1005</v>
      </c>
      <c r="AF2541" s="194" t="s">
        <v>252</v>
      </c>
      <c r="AG2541" s="194">
        <v>1359</v>
      </c>
      <c r="AH2541" s="194" t="s">
        <v>252</v>
      </c>
      <c r="AI2541" s="194">
        <v>1232</v>
      </c>
      <c r="AJ2541" s="194" t="s">
        <v>252</v>
      </c>
      <c r="AK2541" s="194">
        <v>1433</v>
      </c>
      <c r="AL2541" s="194" t="s">
        <v>252</v>
      </c>
      <c r="AM2541" s="194">
        <f t="shared" si="23"/>
        <v>13623</v>
      </c>
    </row>
    <row r="2542" spans="2:39" s="3" customFormat="1" ht="15.75" outlineLevel="1">
      <c r="B2542" s="178" t="s">
        <v>1002</v>
      </c>
      <c r="C2542" s="218" t="s">
        <v>1489</v>
      </c>
      <c r="D2542" s="219" t="s">
        <v>1403</v>
      </c>
      <c r="E2542" s="23" t="s">
        <v>44</v>
      </c>
      <c r="F2542" s="93" t="s">
        <v>45</v>
      </c>
      <c r="G2542" s="188" t="s">
        <v>1432</v>
      </c>
      <c r="H2542" s="194">
        <v>32</v>
      </c>
      <c r="I2542" s="188" t="s">
        <v>1433</v>
      </c>
      <c r="J2542" s="220" t="s">
        <v>1460</v>
      </c>
      <c r="K2542" s="173" t="s">
        <v>233</v>
      </c>
      <c r="L2542" s="173" t="s">
        <v>233</v>
      </c>
      <c r="M2542" s="194">
        <v>11354</v>
      </c>
      <c r="N2542" s="194">
        <v>9450</v>
      </c>
      <c r="O2542" s="194">
        <v>905</v>
      </c>
      <c r="P2542" s="194" t="s">
        <v>252</v>
      </c>
      <c r="Q2542" s="194">
        <v>918</v>
      </c>
      <c r="R2542" s="194" t="s">
        <v>252</v>
      </c>
      <c r="S2542" s="194">
        <v>721</v>
      </c>
      <c r="T2542" s="194" t="s">
        <v>252</v>
      </c>
      <c r="U2542" s="194">
        <v>812</v>
      </c>
      <c r="V2542" s="194" t="s">
        <v>252</v>
      </c>
      <c r="W2542" s="194">
        <v>758</v>
      </c>
      <c r="X2542" s="194" t="s">
        <v>252</v>
      </c>
      <c r="Y2542" s="194">
        <v>594</v>
      </c>
      <c r="Z2542" s="194" t="s">
        <v>252</v>
      </c>
      <c r="AA2542" s="194">
        <v>411</v>
      </c>
      <c r="AB2542" s="194" t="s">
        <v>252</v>
      </c>
      <c r="AC2542" s="194">
        <v>578</v>
      </c>
      <c r="AD2542" s="194" t="s">
        <v>252</v>
      </c>
      <c r="AE2542" s="194">
        <v>546</v>
      </c>
      <c r="AF2542" s="194" t="s">
        <v>252</v>
      </c>
      <c r="AG2542" s="194">
        <v>683</v>
      </c>
      <c r="AH2542" s="194" t="s">
        <v>252</v>
      </c>
      <c r="AI2542" s="194">
        <v>426</v>
      </c>
      <c r="AJ2542" s="194" t="s">
        <v>252</v>
      </c>
      <c r="AK2542" s="194">
        <v>722</v>
      </c>
      <c r="AL2542" s="194" t="s">
        <v>252</v>
      </c>
      <c r="AM2542" s="194">
        <f t="shared" si="23"/>
        <v>8074</v>
      </c>
    </row>
    <row r="2543" spans="2:39" s="3" customFormat="1" ht="15.75" outlineLevel="1">
      <c r="B2543" s="178" t="s">
        <v>1005</v>
      </c>
      <c r="C2543" s="218" t="s">
        <v>1489</v>
      </c>
      <c r="D2543" s="219" t="s">
        <v>1403</v>
      </c>
      <c r="E2543" s="23" t="s">
        <v>44</v>
      </c>
      <c r="F2543" s="93" t="s">
        <v>45</v>
      </c>
      <c r="G2543" s="188" t="s">
        <v>1432</v>
      </c>
      <c r="H2543" s="194">
        <v>48</v>
      </c>
      <c r="I2543" s="188" t="s">
        <v>1433</v>
      </c>
      <c r="J2543" s="220" t="s">
        <v>1440</v>
      </c>
      <c r="K2543" s="173" t="s">
        <v>233</v>
      </c>
      <c r="L2543" s="173" t="s">
        <v>233</v>
      </c>
      <c r="M2543" s="194">
        <v>19795</v>
      </c>
      <c r="N2543" s="194">
        <v>22649</v>
      </c>
      <c r="O2543" s="194">
        <v>2343</v>
      </c>
      <c r="P2543" s="194" t="s">
        <v>252</v>
      </c>
      <c r="Q2543" s="194">
        <v>2344</v>
      </c>
      <c r="R2543" s="194" t="s">
        <v>252</v>
      </c>
      <c r="S2543" s="194">
        <v>1705</v>
      </c>
      <c r="T2543" s="194" t="s">
        <v>252</v>
      </c>
      <c r="U2543" s="194">
        <v>2081</v>
      </c>
      <c r="V2543" s="194" t="s">
        <v>252</v>
      </c>
      <c r="W2543" s="194">
        <v>1562</v>
      </c>
      <c r="X2543" s="194" t="s">
        <v>252</v>
      </c>
      <c r="Y2543" s="194">
        <v>1208</v>
      </c>
      <c r="Z2543" s="194" t="s">
        <v>252</v>
      </c>
      <c r="AA2543" s="194">
        <v>987</v>
      </c>
      <c r="AB2543" s="194" t="s">
        <v>252</v>
      </c>
      <c r="AC2543" s="194">
        <v>948</v>
      </c>
      <c r="AD2543" s="194" t="s">
        <v>252</v>
      </c>
      <c r="AE2543" s="194">
        <v>1323</v>
      </c>
      <c r="AF2543" s="194" t="s">
        <v>252</v>
      </c>
      <c r="AG2543" s="194">
        <v>1522</v>
      </c>
      <c r="AH2543" s="194" t="s">
        <v>252</v>
      </c>
      <c r="AI2543" s="194">
        <v>1701</v>
      </c>
      <c r="AJ2543" s="194" t="s">
        <v>252</v>
      </c>
      <c r="AK2543" s="194">
        <v>1882</v>
      </c>
      <c r="AL2543" s="194" t="s">
        <v>252</v>
      </c>
      <c r="AM2543" s="194">
        <f t="shared" si="23"/>
        <v>19606</v>
      </c>
    </row>
    <row r="2544" spans="2:39" s="3" customFormat="1" ht="15.75" outlineLevel="1">
      <c r="B2544" s="178" t="s">
        <v>1007</v>
      </c>
      <c r="C2544" s="218" t="s">
        <v>1489</v>
      </c>
      <c r="D2544" s="219" t="s">
        <v>1403</v>
      </c>
      <c r="E2544" s="23" t="s">
        <v>44</v>
      </c>
      <c r="F2544" s="93" t="s">
        <v>45</v>
      </c>
      <c r="G2544" s="188" t="s">
        <v>1432</v>
      </c>
      <c r="H2544" s="194">
        <v>35</v>
      </c>
      <c r="I2544" s="188" t="s">
        <v>1433</v>
      </c>
      <c r="J2544" s="220" t="s">
        <v>1467</v>
      </c>
      <c r="K2544" s="173" t="s">
        <v>233</v>
      </c>
      <c r="L2544" s="173" t="s">
        <v>233</v>
      </c>
      <c r="M2544" s="194">
        <v>14723</v>
      </c>
      <c r="N2544" s="194">
        <v>13707</v>
      </c>
      <c r="O2544" s="194">
        <v>1287</v>
      </c>
      <c r="P2544" s="194" t="s">
        <v>252</v>
      </c>
      <c r="Q2544" s="194">
        <v>1398</v>
      </c>
      <c r="R2544" s="194" t="s">
        <v>252</v>
      </c>
      <c r="S2544" s="194">
        <v>917</v>
      </c>
      <c r="T2544" s="194" t="s">
        <v>252</v>
      </c>
      <c r="U2544" s="194">
        <v>1197</v>
      </c>
      <c r="V2544" s="194" t="s">
        <v>252</v>
      </c>
      <c r="W2544" s="194">
        <v>847</v>
      </c>
      <c r="X2544" s="194" t="s">
        <v>252</v>
      </c>
      <c r="Y2544" s="194">
        <v>1006</v>
      </c>
      <c r="Z2544" s="194" t="s">
        <v>252</v>
      </c>
      <c r="AA2544" s="194">
        <v>799</v>
      </c>
      <c r="AB2544" s="194" t="s">
        <v>252</v>
      </c>
      <c r="AC2544" s="194">
        <v>651</v>
      </c>
      <c r="AD2544" s="194" t="s">
        <v>252</v>
      </c>
      <c r="AE2544" s="194">
        <v>1003</v>
      </c>
      <c r="AF2544" s="194" t="s">
        <v>252</v>
      </c>
      <c r="AG2544" s="194">
        <v>1076</v>
      </c>
      <c r="AH2544" s="194" t="s">
        <v>252</v>
      </c>
      <c r="AI2544" s="194">
        <v>1205</v>
      </c>
      <c r="AJ2544" s="194" t="s">
        <v>252</v>
      </c>
      <c r="AK2544" s="194">
        <v>1388</v>
      </c>
      <c r="AL2544" s="194" t="s">
        <v>252</v>
      </c>
      <c r="AM2544" s="194">
        <f t="shared" si="23"/>
        <v>12774</v>
      </c>
    </row>
    <row r="2545" spans="2:39" s="3" customFormat="1" ht="15.75" outlineLevel="1">
      <c r="B2545" s="178" t="s">
        <v>1009</v>
      </c>
      <c r="C2545" s="218" t="s">
        <v>1489</v>
      </c>
      <c r="D2545" s="219" t="s">
        <v>1403</v>
      </c>
      <c r="E2545" s="23" t="s">
        <v>44</v>
      </c>
      <c r="F2545" s="93" t="s">
        <v>45</v>
      </c>
      <c r="G2545" s="188" t="s">
        <v>1432</v>
      </c>
      <c r="H2545" s="376">
        <v>32</v>
      </c>
      <c r="I2545" s="188" t="s">
        <v>1433</v>
      </c>
      <c r="J2545" s="379" t="s">
        <v>210</v>
      </c>
      <c r="K2545" s="173" t="s">
        <v>233</v>
      </c>
      <c r="L2545" s="173" t="s">
        <v>233</v>
      </c>
      <c r="M2545" s="376">
        <v>5854</v>
      </c>
      <c r="N2545" s="376">
        <v>5253</v>
      </c>
      <c r="O2545" s="376">
        <v>615</v>
      </c>
      <c r="P2545" s="376" t="s">
        <v>252</v>
      </c>
      <c r="Q2545" s="376">
        <v>592</v>
      </c>
      <c r="R2545" s="376" t="s">
        <v>252</v>
      </c>
      <c r="S2545" s="376">
        <v>346</v>
      </c>
      <c r="T2545" s="376" t="s">
        <v>252</v>
      </c>
      <c r="U2545" s="376">
        <v>478</v>
      </c>
      <c r="V2545" s="376" t="s">
        <v>252</v>
      </c>
      <c r="W2545" s="376">
        <v>384</v>
      </c>
      <c r="X2545" s="376" t="s">
        <v>252</v>
      </c>
      <c r="Y2545" s="376">
        <v>366</v>
      </c>
      <c r="Z2545" s="376" t="s">
        <v>252</v>
      </c>
      <c r="AA2545" s="376">
        <v>308</v>
      </c>
      <c r="AB2545" s="376" t="s">
        <v>252</v>
      </c>
      <c r="AC2545" s="376">
        <v>337</v>
      </c>
      <c r="AD2545" s="376" t="s">
        <v>252</v>
      </c>
      <c r="AE2545" s="376">
        <v>413</v>
      </c>
      <c r="AF2545" s="376" t="s">
        <v>252</v>
      </c>
      <c r="AG2545" s="376">
        <v>481</v>
      </c>
      <c r="AH2545" s="376" t="s">
        <v>252</v>
      </c>
      <c r="AI2545" s="376">
        <v>577</v>
      </c>
      <c r="AJ2545" s="376" t="s">
        <v>252</v>
      </c>
      <c r="AK2545" s="376">
        <v>688</v>
      </c>
      <c r="AL2545" s="376" t="s">
        <v>252</v>
      </c>
      <c r="AM2545" s="376">
        <f t="shared" si="23"/>
        <v>5585</v>
      </c>
    </row>
    <row r="2546" spans="2:39" s="3" customFormat="1" ht="15.75" outlineLevel="1">
      <c r="B2546" s="178" t="s">
        <v>1010</v>
      </c>
      <c r="C2546" s="218" t="s">
        <v>1489</v>
      </c>
      <c r="D2546" s="219" t="s">
        <v>1403</v>
      </c>
      <c r="E2546" s="23" t="s">
        <v>44</v>
      </c>
      <c r="F2546" s="93" t="s">
        <v>45</v>
      </c>
      <c r="G2546" s="188" t="s">
        <v>1432</v>
      </c>
      <c r="H2546" s="377"/>
      <c r="I2546" s="188" t="s">
        <v>1433</v>
      </c>
      <c r="J2546" s="381"/>
      <c r="K2546" s="173" t="s">
        <v>233</v>
      </c>
      <c r="L2546" s="173" t="s">
        <v>233</v>
      </c>
      <c r="M2546" s="377"/>
      <c r="N2546" s="377"/>
      <c r="O2546" s="377"/>
      <c r="P2546" s="377"/>
      <c r="Q2546" s="377"/>
      <c r="R2546" s="377"/>
      <c r="S2546" s="377"/>
      <c r="T2546" s="377"/>
      <c r="U2546" s="377"/>
      <c r="V2546" s="377"/>
      <c r="W2546" s="377"/>
      <c r="X2546" s="377"/>
      <c r="Y2546" s="377"/>
      <c r="Z2546" s="377"/>
      <c r="AA2546" s="377"/>
      <c r="AB2546" s="377"/>
      <c r="AC2546" s="377"/>
      <c r="AD2546" s="377"/>
      <c r="AE2546" s="377"/>
      <c r="AF2546" s="377"/>
      <c r="AG2546" s="377"/>
      <c r="AH2546" s="377"/>
      <c r="AI2546" s="377"/>
      <c r="AJ2546" s="377"/>
      <c r="AK2546" s="377"/>
      <c r="AL2546" s="377"/>
      <c r="AM2546" s="377"/>
    </row>
    <row r="2547" spans="2:39" s="3" customFormat="1" ht="15.75" outlineLevel="1">
      <c r="B2547" s="178" t="s">
        <v>1011</v>
      </c>
      <c r="C2547" s="218" t="s">
        <v>1489</v>
      </c>
      <c r="D2547" s="219" t="s">
        <v>1403</v>
      </c>
      <c r="E2547" s="23" t="s">
        <v>44</v>
      </c>
      <c r="F2547" s="93" t="s">
        <v>45</v>
      </c>
      <c r="G2547" s="188" t="s">
        <v>1432</v>
      </c>
      <c r="H2547" s="378"/>
      <c r="I2547" s="188" t="s">
        <v>1433</v>
      </c>
      <c r="J2547" s="380"/>
      <c r="K2547" s="173" t="s">
        <v>233</v>
      </c>
      <c r="L2547" s="173" t="s">
        <v>233</v>
      </c>
      <c r="M2547" s="378"/>
      <c r="N2547" s="378"/>
      <c r="O2547" s="378"/>
      <c r="P2547" s="378"/>
      <c r="Q2547" s="378"/>
      <c r="R2547" s="378"/>
      <c r="S2547" s="378"/>
      <c r="T2547" s="378"/>
      <c r="U2547" s="378"/>
      <c r="V2547" s="378"/>
      <c r="W2547" s="378"/>
      <c r="X2547" s="378"/>
      <c r="Y2547" s="378"/>
      <c r="Z2547" s="378"/>
      <c r="AA2547" s="378"/>
      <c r="AB2547" s="378"/>
      <c r="AC2547" s="378"/>
      <c r="AD2547" s="378"/>
      <c r="AE2547" s="378"/>
      <c r="AF2547" s="378"/>
      <c r="AG2547" s="378"/>
      <c r="AH2547" s="378"/>
      <c r="AI2547" s="378"/>
      <c r="AJ2547" s="378"/>
      <c r="AK2547" s="378"/>
      <c r="AL2547" s="378"/>
      <c r="AM2547" s="378"/>
    </row>
    <row r="2548" spans="2:39" s="3" customFormat="1" ht="15.75" outlineLevel="1">
      <c r="B2548" s="178" t="s">
        <v>1014</v>
      </c>
      <c r="C2548" s="218" t="s">
        <v>1489</v>
      </c>
      <c r="D2548" s="219" t="s">
        <v>1403</v>
      </c>
      <c r="E2548" s="221" t="s">
        <v>138</v>
      </c>
      <c r="F2548" s="93" t="s">
        <v>45</v>
      </c>
      <c r="G2548" s="188" t="s">
        <v>1432</v>
      </c>
      <c r="H2548" s="376">
        <v>85</v>
      </c>
      <c r="I2548" s="188" t="s">
        <v>1433</v>
      </c>
      <c r="J2548" s="379" t="s">
        <v>1451</v>
      </c>
      <c r="K2548" s="173" t="s">
        <v>233</v>
      </c>
      <c r="L2548" s="173" t="s">
        <v>233</v>
      </c>
      <c r="M2548" s="194">
        <v>12836</v>
      </c>
      <c r="N2548" s="194">
        <v>14251</v>
      </c>
      <c r="O2548" s="194">
        <v>1930</v>
      </c>
      <c r="P2548" s="194" t="s">
        <v>252</v>
      </c>
      <c r="Q2548" s="194">
        <v>1781</v>
      </c>
      <c r="R2548" s="194" t="s">
        <v>252</v>
      </c>
      <c r="S2548" s="194">
        <v>1684</v>
      </c>
      <c r="T2548" s="194" t="s">
        <v>252</v>
      </c>
      <c r="U2548" s="194">
        <v>1924</v>
      </c>
      <c r="V2548" s="194" t="s">
        <v>252</v>
      </c>
      <c r="W2548" s="194">
        <v>2029</v>
      </c>
      <c r="X2548" s="194" t="s">
        <v>252</v>
      </c>
      <c r="Y2548" s="194">
        <v>2283</v>
      </c>
      <c r="Z2548" s="194" t="s">
        <v>252</v>
      </c>
      <c r="AA2548" s="194">
        <v>2421</v>
      </c>
      <c r="AB2548" s="194" t="s">
        <v>252</v>
      </c>
      <c r="AC2548" s="194">
        <v>943</v>
      </c>
      <c r="AD2548" s="194" t="s">
        <v>252</v>
      </c>
      <c r="AE2548" s="194">
        <v>1780</v>
      </c>
      <c r="AF2548" s="194" t="s">
        <v>252</v>
      </c>
      <c r="AG2548" s="194">
        <v>1680</v>
      </c>
      <c r="AH2548" s="194" t="s">
        <v>252</v>
      </c>
      <c r="AI2548" s="194">
        <v>2200</v>
      </c>
      <c r="AJ2548" s="194" t="s">
        <v>252</v>
      </c>
      <c r="AK2548" s="194">
        <v>1926</v>
      </c>
      <c r="AL2548" s="194" t="s">
        <v>252</v>
      </c>
      <c r="AM2548" s="194">
        <f t="shared" si="23"/>
        <v>22581</v>
      </c>
    </row>
    <row r="2549" spans="2:39" s="3" customFormat="1" ht="15.75" outlineLevel="1">
      <c r="B2549" s="178" t="s">
        <v>1014</v>
      </c>
      <c r="C2549" s="218" t="s">
        <v>1489</v>
      </c>
      <c r="D2549" s="219" t="s">
        <v>1403</v>
      </c>
      <c r="E2549" s="23" t="s">
        <v>44</v>
      </c>
      <c r="F2549" s="93" t="s">
        <v>45</v>
      </c>
      <c r="G2549" s="188" t="s">
        <v>1432</v>
      </c>
      <c r="H2549" s="378"/>
      <c r="I2549" s="188" t="s">
        <v>1433</v>
      </c>
      <c r="J2549" s="380"/>
      <c r="K2549" s="173" t="s">
        <v>233</v>
      </c>
      <c r="L2549" s="173" t="s">
        <v>233</v>
      </c>
      <c r="M2549" s="194">
        <v>17951</v>
      </c>
      <c r="N2549" s="194">
        <v>19661</v>
      </c>
      <c r="O2549" s="194">
        <v>556</v>
      </c>
      <c r="P2549" s="194" t="s">
        <v>252</v>
      </c>
      <c r="Q2549" s="194">
        <v>459</v>
      </c>
      <c r="R2549" s="194" t="s">
        <v>252</v>
      </c>
      <c r="S2549" s="194">
        <v>333</v>
      </c>
      <c r="T2549" s="194" t="s">
        <v>252</v>
      </c>
      <c r="U2549" s="194">
        <v>604</v>
      </c>
      <c r="V2549" s="194" t="s">
        <v>252</v>
      </c>
      <c r="W2549" s="194">
        <v>547</v>
      </c>
      <c r="X2549" s="194" t="s">
        <v>252</v>
      </c>
      <c r="Y2549" s="194">
        <v>366</v>
      </c>
      <c r="Z2549" s="194" t="s">
        <v>252</v>
      </c>
      <c r="AA2549" s="194">
        <v>289</v>
      </c>
      <c r="AB2549" s="194" t="s">
        <v>252</v>
      </c>
      <c r="AC2549" s="194">
        <v>1556</v>
      </c>
      <c r="AD2549" s="194" t="s">
        <v>252</v>
      </c>
      <c r="AE2549" s="194">
        <v>314</v>
      </c>
      <c r="AF2549" s="194" t="s">
        <v>252</v>
      </c>
      <c r="AG2549" s="194">
        <v>317</v>
      </c>
      <c r="AH2549" s="194" t="s">
        <v>252</v>
      </c>
      <c r="AI2549" s="194">
        <v>432</v>
      </c>
      <c r="AJ2549" s="194" t="s">
        <v>252</v>
      </c>
      <c r="AK2549" s="194">
        <v>430</v>
      </c>
      <c r="AL2549" s="194" t="s">
        <v>252</v>
      </c>
      <c r="AM2549" s="194">
        <f t="shared" si="23"/>
        <v>6203</v>
      </c>
    </row>
    <row r="2550" spans="2:39" s="3" customFormat="1" ht="15.75" outlineLevel="1">
      <c r="B2550" s="178" t="s">
        <v>1238</v>
      </c>
      <c r="C2550" s="218" t="s">
        <v>1489</v>
      </c>
      <c r="D2550" s="219" t="s">
        <v>1403</v>
      </c>
      <c r="E2550" s="221" t="s">
        <v>138</v>
      </c>
      <c r="F2550" s="93" t="s">
        <v>45</v>
      </c>
      <c r="G2550" s="188" t="s">
        <v>1432</v>
      </c>
      <c r="H2550" s="376">
        <v>34</v>
      </c>
      <c r="I2550" s="188" t="s">
        <v>1433</v>
      </c>
      <c r="J2550" s="379" t="s">
        <v>1467</v>
      </c>
      <c r="K2550" s="173" t="s">
        <v>233</v>
      </c>
      <c r="L2550" s="173" t="s">
        <v>233</v>
      </c>
      <c r="M2550" s="194">
        <v>6804</v>
      </c>
      <c r="N2550" s="194">
        <v>5405</v>
      </c>
      <c r="O2550" s="194">
        <v>190</v>
      </c>
      <c r="P2550" s="194" t="s">
        <v>252</v>
      </c>
      <c r="Q2550" s="194">
        <v>202</v>
      </c>
      <c r="R2550" s="194" t="s">
        <v>252</v>
      </c>
      <c r="S2550" s="194">
        <v>184</v>
      </c>
      <c r="T2550" s="194" t="s">
        <v>252</v>
      </c>
      <c r="U2550" s="194">
        <v>234</v>
      </c>
      <c r="V2550" s="194" t="s">
        <v>252</v>
      </c>
      <c r="W2550" s="194">
        <v>206</v>
      </c>
      <c r="X2550" s="194" t="s">
        <v>252</v>
      </c>
      <c r="Y2550" s="194">
        <v>223</v>
      </c>
      <c r="Z2550" s="194" t="s">
        <v>252</v>
      </c>
      <c r="AA2550" s="194">
        <v>221</v>
      </c>
      <c r="AB2550" s="194" t="s">
        <v>252</v>
      </c>
      <c r="AC2550" s="194">
        <v>355</v>
      </c>
      <c r="AD2550" s="194" t="s">
        <v>252</v>
      </c>
      <c r="AE2550" s="194">
        <v>236</v>
      </c>
      <c r="AF2550" s="194" t="s">
        <v>252</v>
      </c>
      <c r="AG2550" s="194">
        <v>392</v>
      </c>
      <c r="AH2550" s="194" t="s">
        <v>252</v>
      </c>
      <c r="AI2550" s="194">
        <v>713</v>
      </c>
      <c r="AJ2550" s="194" t="s">
        <v>252</v>
      </c>
      <c r="AK2550" s="194">
        <v>643</v>
      </c>
      <c r="AL2550" s="194" t="s">
        <v>252</v>
      </c>
      <c r="AM2550" s="194">
        <f t="shared" si="23"/>
        <v>3799</v>
      </c>
    </row>
    <row r="2551" spans="2:39" s="3" customFormat="1" ht="15.75" outlineLevel="1">
      <c r="B2551" s="178" t="s">
        <v>1238</v>
      </c>
      <c r="C2551" s="218" t="s">
        <v>1489</v>
      </c>
      <c r="D2551" s="219" t="s">
        <v>1403</v>
      </c>
      <c r="E2551" s="23" t="s">
        <v>44</v>
      </c>
      <c r="F2551" s="222" t="s">
        <v>45</v>
      </c>
      <c r="G2551" s="188" t="s">
        <v>1432</v>
      </c>
      <c r="H2551" s="378"/>
      <c r="I2551" s="188" t="s">
        <v>1433</v>
      </c>
      <c r="J2551" s="380"/>
      <c r="K2551" s="173" t="s">
        <v>233</v>
      </c>
      <c r="L2551" s="173" t="s">
        <v>233</v>
      </c>
      <c r="M2551" s="194">
        <v>8431</v>
      </c>
      <c r="N2551" s="194">
        <v>7145</v>
      </c>
      <c r="O2551" s="194">
        <v>1356</v>
      </c>
      <c r="P2551" s="194" t="s">
        <v>252</v>
      </c>
      <c r="Q2551" s="194">
        <v>652</v>
      </c>
      <c r="R2551" s="194" t="s">
        <v>252</v>
      </c>
      <c r="S2551" s="194">
        <v>578</v>
      </c>
      <c r="T2551" s="194" t="s">
        <v>252</v>
      </c>
      <c r="U2551" s="194">
        <v>931</v>
      </c>
      <c r="V2551" s="194" t="s">
        <v>252</v>
      </c>
      <c r="W2551" s="194">
        <v>793</v>
      </c>
      <c r="X2551" s="194" t="s">
        <v>252</v>
      </c>
      <c r="Y2551" s="194">
        <v>704</v>
      </c>
      <c r="Z2551" s="194" t="s">
        <v>252</v>
      </c>
      <c r="AA2551" s="194">
        <v>756</v>
      </c>
      <c r="AB2551" s="194" t="s">
        <v>252</v>
      </c>
      <c r="AC2551" s="194">
        <v>516</v>
      </c>
      <c r="AD2551" s="194" t="s">
        <v>252</v>
      </c>
      <c r="AE2551" s="194">
        <v>942</v>
      </c>
      <c r="AF2551" s="194" t="s">
        <v>252</v>
      </c>
      <c r="AG2551" s="194">
        <v>841</v>
      </c>
      <c r="AH2551" s="194" t="s">
        <v>252</v>
      </c>
      <c r="AI2551" s="194">
        <v>1103</v>
      </c>
      <c r="AJ2551" s="194" t="s">
        <v>252</v>
      </c>
      <c r="AK2551" s="194">
        <v>1141</v>
      </c>
      <c r="AL2551" s="194" t="s">
        <v>252</v>
      </c>
      <c r="AM2551" s="194">
        <f t="shared" si="23"/>
        <v>10313</v>
      </c>
    </row>
    <row r="2552" spans="2:39" s="3" customFormat="1" ht="15.75" outlineLevel="1">
      <c r="B2552" s="178" t="s">
        <v>1239</v>
      </c>
      <c r="C2552" s="218" t="s">
        <v>1489</v>
      </c>
      <c r="D2552" s="219" t="s">
        <v>1403</v>
      </c>
      <c r="E2552" s="221" t="s">
        <v>138</v>
      </c>
      <c r="F2552" s="222" t="s">
        <v>45</v>
      </c>
      <c r="G2552" s="188" t="s">
        <v>1432</v>
      </c>
      <c r="H2552" s="376">
        <v>22</v>
      </c>
      <c r="I2552" s="188" t="s">
        <v>1433</v>
      </c>
      <c r="J2552" s="379" t="s">
        <v>1464</v>
      </c>
      <c r="K2552" s="173" t="s">
        <v>233</v>
      </c>
      <c r="L2552" s="173" t="s">
        <v>233</v>
      </c>
      <c r="M2552" s="224">
        <v>11950</v>
      </c>
      <c r="N2552" s="224">
        <v>10100</v>
      </c>
      <c r="O2552" s="224">
        <v>847</v>
      </c>
      <c r="P2552" s="194" t="s">
        <v>252</v>
      </c>
      <c r="Q2552" s="224">
        <v>901</v>
      </c>
      <c r="R2552" s="194" t="s">
        <v>252</v>
      </c>
      <c r="S2552" s="224">
        <v>760</v>
      </c>
      <c r="T2552" s="194" t="s">
        <v>252</v>
      </c>
      <c r="U2552" s="224">
        <v>933</v>
      </c>
      <c r="V2552" s="194" t="s">
        <v>252</v>
      </c>
      <c r="W2552" s="224">
        <v>782</v>
      </c>
      <c r="X2552" s="194" t="s">
        <v>252</v>
      </c>
      <c r="Y2552" s="224">
        <v>903</v>
      </c>
      <c r="Z2552" s="194" t="s">
        <v>252</v>
      </c>
      <c r="AA2552" s="224">
        <v>906</v>
      </c>
      <c r="AB2552" s="194" t="s">
        <v>252</v>
      </c>
      <c r="AC2552" s="224">
        <v>644</v>
      </c>
      <c r="AD2552" s="194" t="s">
        <v>252</v>
      </c>
      <c r="AE2552" s="224">
        <v>830</v>
      </c>
      <c r="AF2552" s="194" t="s">
        <v>252</v>
      </c>
      <c r="AG2552" s="224">
        <v>745</v>
      </c>
      <c r="AH2552" s="194" t="s">
        <v>252</v>
      </c>
      <c r="AI2552" s="224">
        <v>860</v>
      </c>
      <c r="AJ2552" s="194" t="s">
        <v>252</v>
      </c>
      <c r="AK2552" s="224">
        <v>776</v>
      </c>
      <c r="AL2552" s="194" t="s">
        <v>252</v>
      </c>
      <c r="AM2552" s="194">
        <f t="shared" si="23"/>
        <v>9887</v>
      </c>
    </row>
    <row r="2553" spans="2:39" s="3" customFormat="1" ht="15.75" outlineLevel="1">
      <c r="B2553" s="178" t="s">
        <v>1239</v>
      </c>
      <c r="C2553" s="218" t="s">
        <v>1489</v>
      </c>
      <c r="D2553" s="219" t="s">
        <v>1403</v>
      </c>
      <c r="E2553" s="23" t="s">
        <v>44</v>
      </c>
      <c r="F2553" s="222" t="s">
        <v>45</v>
      </c>
      <c r="G2553" s="188" t="s">
        <v>1432</v>
      </c>
      <c r="H2553" s="378"/>
      <c r="I2553" s="188" t="s">
        <v>1433</v>
      </c>
      <c r="J2553" s="380"/>
      <c r="K2553" s="173" t="s">
        <v>233</v>
      </c>
      <c r="L2553" s="173" t="s">
        <v>233</v>
      </c>
      <c r="M2553" s="237">
        <v>9150</v>
      </c>
      <c r="N2553" s="237">
        <v>8600</v>
      </c>
      <c r="O2553" s="237">
        <v>831</v>
      </c>
      <c r="P2553" s="194" t="s">
        <v>252</v>
      </c>
      <c r="Q2553" s="237">
        <v>621</v>
      </c>
      <c r="R2553" s="194" t="s">
        <v>252</v>
      </c>
      <c r="S2553" s="237">
        <v>567</v>
      </c>
      <c r="T2553" s="194" t="s">
        <v>252</v>
      </c>
      <c r="U2553" s="237">
        <v>835</v>
      </c>
      <c r="V2553" s="194" t="s">
        <v>252</v>
      </c>
      <c r="W2553" s="237">
        <v>608</v>
      </c>
      <c r="X2553" s="194" t="s">
        <v>252</v>
      </c>
      <c r="Y2553" s="237">
        <v>623</v>
      </c>
      <c r="Z2553" s="194" t="s">
        <v>252</v>
      </c>
      <c r="AA2553" s="237">
        <v>828</v>
      </c>
      <c r="AB2553" s="194" t="s">
        <v>252</v>
      </c>
      <c r="AC2553" s="237">
        <v>844</v>
      </c>
      <c r="AD2553" s="194" t="s">
        <v>252</v>
      </c>
      <c r="AE2553" s="237">
        <v>629</v>
      </c>
      <c r="AF2553" s="194" t="s">
        <v>252</v>
      </c>
      <c r="AG2553" s="237">
        <v>614</v>
      </c>
      <c r="AH2553" s="194" t="s">
        <v>252</v>
      </c>
      <c r="AI2553" s="237">
        <v>803</v>
      </c>
      <c r="AJ2553" s="194" t="s">
        <v>252</v>
      </c>
      <c r="AK2553" s="237">
        <v>730</v>
      </c>
      <c r="AL2553" s="194" t="s">
        <v>252</v>
      </c>
      <c r="AM2553" s="194">
        <f t="shared" si="23"/>
        <v>8533</v>
      </c>
    </row>
    <row r="2554" spans="2:39" s="3" customFormat="1" ht="15.75" outlineLevel="1">
      <c r="B2554" s="178" t="s">
        <v>1240</v>
      </c>
      <c r="C2554" s="218" t="s">
        <v>1489</v>
      </c>
      <c r="D2554" s="219" t="s">
        <v>1403</v>
      </c>
      <c r="E2554" s="23" t="s">
        <v>44</v>
      </c>
      <c r="F2554" s="222" t="s">
        <v>45</v>
      </c>
      <c r="G2554" s="188" t="s">
        <v>1432</v>
      </c>
      <c r="H2554" s="376">
        <v>28</v>
      </c>
      <c r="I2554" s="188" t="s">
        <v>1433</v>
      </c>
      <c r="J2554" s="379" t="s">
        <v>617</v>
      </c>
      <c r="K2554" s="173" t="s">
        <v>233</v>
      </c>
      <c r="L2554" s="173" t="s">
        <v>233</v>
      </c>
      <c r="M2554" s="386">
        <v>4810</v>
      </c>
      <c r="N2554" s="386">
        <v>4345</v>
      </c>
      <c r="O2554" s="386">
        <v>491</v>
      </c>
      <c r="P2554" s="386" t="s">
        <v>252</v>
      </c>
      <c r="Q2554" s="386">
        <v>366</v>
      </c>
      <c r="R2554" s="386" t="s">
        <v>252</v>
      </c>
      <c r="S2554" s="386">
        <v>227</v>
      </c>
      <c r="T2554" s="386" t="s">
        <v>252</v>
      </c>
      <c r="U2554" s="386">
        <v>259</v>
      </c>
      <c r="V2554" s="386" t="s">
        <v>252</v>
      </c>
      <c r="W2554" s="386">
        <v>204</v>
      </c>
      <c r="X2554" s="386" t="s">
        <v>252</v>
      </c>
      <c r="Y2554" s="386">
        <v>243</v>
      </c>
      <c r="Z2554" s="386" t="s">
        <v>252</v>
      </c>
      <c r="AA2554" s="386">
        <v>172</v>
      </c>
      <c r="AB2554" s="386" t="s">
        <v>252</v>
      </c>
      <c r="AC2554" s="386">
        <v>279</v>
      </c>
      <c r="AD2554" s="386" t="s">
        <v>252</v>
      </c>
      <c r="AE2554" s="386">
        <v>256</v>
      </c>
      <c r="AF2554" s="386" t="s">
        <v>252</v>
      </c>
      <c r="AG2554" s="386">
        <v>249</v>
      </c>
      <c r="AH2554" s="386" t="s">
        <v>252</v>
      </c>
      <c r="AI2554" s="386">
        <v>367</v>
      </c>
      <c r="AJ2554" s="386" t="s">
        <v>252</v>
      </c>
      <c r="AK2554" s="386">
        <v>346</v>
      </c>
      <c r="AL2554" s="386" t="s">
        <v>252</v>
      </c>
      <c r="AM2554" s="336">
        <f t="shared" si="23"/>
        <v>3459</v>
      </c>
    </row>
    <row r="2555" spans="2:39" s="3" customFormat="1" ht="15.75" outlineLevel="1">
      <c r="B2555" s="178" t="s">
        <v>1241</v>
      </c>
      <c r="C2555" s="218" t="s">
        <v>1489</v>
      </c>
      <c r="D2555" s="219" t="s">
        <v>1403</v>
      </c>
      <c r="E2555" s="23" t="s">
        <v>44</v>
      </c>
      <c r="F2555" s="222" t="s">
        <v>45</v>
      </c>
      <c r="G2555" s="188" t="s">
        <v>1432</v>
      </c>
      <c r="H2555" s="378"/>
      <c r="I2555" s="188" t="s">
        <v>1433</v>
      </c>
      <c r="J2555" s="380"/>
      <c r="K2555" s="173" t="s">
        <v>233</v>
      </c>
      <c r="L2555" s="173" t="s">
        <v>233</v>
      </c>
      <c r="M2555" s="387"/>
      <c r="N2555" s="387"/>
      <c r="O2555" s="387"/>
      <c r="P2555" s="387"/>
      <c r="Q2555" s="387"/>
      <c r="R2555" s="387"/>
      <c r="S2555" s="387"/>
      <c r="T2555" s="387"/>
      <c r="U2555" s="387"/>
      <c r="V2555" s="387"/>
      <c r="W2555" s="387"/>
      <c r="X2555" s="387"/>
      <c r="Y2555" s="387"/>
      <c r="Z2555" s="387"/>
      <c r="AA2555" s="387"/>
      <c r="AB2555" s="387"/>
      <c r="AC2555" s="387"/>
      <c r="AD2555" s="387"/>
      <c r="AE2555" s="387"/>
      <c r="AF2555" s="387"/>
      <c r="AG2555" s="387"/>
      <c r="AH2555" s="387"/>
      <c r="AI2555" s="387"/>
      <c r="AJ2555" s="387"/>
      <c r="AK2555" s="387"/>
      <c r="AL2555" s="387"/>
      <c r="AM2555" s="337"/>
    </row>
    <row r="2556" spans="2:39" s="3" customFormat="1" ht="15.75" outlineLevel="1">
      <c r="B2556" s="178" t="s">
        <v>1242</v>
      </c>
      <c r="C2556" s="218" t="s">
        <v>1489</v>
      </c>
      <c r="D2556" s="219" t="s">
        <v>1403</v>
      </c>
      <c r="E2556" s="382" t="s">
        <v>138</v>
      </c>
      <c r="F2556" s="384" t="s">
        <v>45</v>
      </c>
      <c r="G2556" s="188" t="s">
        <v>1432</v>
      </c>
      <c r="H2556" s="376">
        <v>84</v>
      </c>
      <c r="I2556" s="188" t="s">
        <v>1433</v>
      </c>
      <c r="J2556" s="379" t="s">
        <v>1473</v>
      </c>
      <c r="K2556" s="173" t="s">
        <v>233</v>
      </c>
      <c r="L2556" s="173" t="s">
        <v>233</v>
      </c>
      <c r="M2556" s="376">
        <v>28697</v>
      </c>
      <c r="N2556" s="376">
        <v>27804</v>
      </c>
      <c r="O2556" s="376">
        <v>1233</v>
      </c>
      <c r="P2556" s="376" t="s">
        <v>252</v>
      </c>
      <c r="Q2556" s="376">
        <v>1219</v>
      </c>
      <c r="R2556" s="376" t="s">
        <v>252</v>
      </c>
      <c r="S2556" s="376">
        <v>1152</v>
      </c>
      <c r="T2556" s="376" t="s">
        <v>252</v>
      </c>
      <c r="U2556" s="376">
        <v>1359</v>
      </c>
      <c r="V2556" s="376" t="s">
        <v>252</v>
      </c>
      <c r="W2556" s="376">
        <v>1161</v>
      </c>
      <c r="X2556" s="376" t="s">
        <v>252</v>
      </c>
      <c r="Y2556" s="376">
        <v>1244</v>
      </c>
      <c r="Z2556" s="376" t="s">
        <v>252</v>
      </c>
      <c r="AA2556" s="376">
        <v>1249</v>
      </c>
      <c r="AB2556" s="376" t="s">
        <v>252</v>
      </c>
      <c r="AC2556" s="376">
        <v>1025</v>
      </c>
      <c r="AD2556" s="376" t="s">
        <v>252</v>
      </c>
      <c r="AE2556" s="376">
        <v>1335</v>
      </c>
      <c r="AF2556" s="376" t="s">
        <v>252</v>
      </c>
      <c r="AG2556" s="376">
        <v>1116</v>
      </c>
      <c r="AH2556" s="376" t="s">
        <v>252</v>
      </c>
      <c r="AI2556" s="376">
        <v>1236</v>
      </c>
      <c r="AJ2556" s="376" t="s">
        <v>252</v>
      </c>
      <c r="AK2556" s="376">
        <v>1103</v>
      </c>
      <c r="AL2556" s="376" t="s">
        <v>252</v>
      </c>
      <c r="AM2556" s="376">
        <f>O2556+Q2556+S2556+U2556+W2556+Y2556+AA2556+AC2556+AE2556+AG2556+AI2556+AK2556</f>
        <v>14432</v>
      </c>
    </row>
    <row r="2557" spans="2:39" s="3" customFormat="1" ht="15.75" outlineLevel="1">
      <c r="B2557" s="178" t="s">
        <v>1243</v>
      </c>
      <c r="C2557" s="218" t="s">
        <v>1489</v>
      </c>
      <c r="D2557" s="219" t="s">
        <v>1403</v>
      </c>
      <c r="E2557" s="389"/>
      <c r="F2557" s="390"/>
      <c r="G2557" s="188" t="s">
        <v>1432</v>
      </c>
      <c r="H2557" s="377"/>
      <c r="I2557" s="188" t="s">
        <v>1433</v>
      </c>
      <c r="J2557" s="381"/>
      <c r="K2557" s="173" t="s">
        <v>233</v>
      </c>
      <c r="L2557" s="173" t="s">
        <v>233</v>
      </c>
      <c r="M2557" s="377"/>
      <c r="N2557" s="377"/>
      <c r="O2557" s="377"/>
      <c r="P2557" s="377"/>
      <c r="Q2557" s="377"/>
      <c r="R2557" s="377"/>
      <c r="S2557" s="377"/>
      <c r="T2557" s="377"/>
      <c r="U2557" s="377"/>
      <c r="V2557" s="377"/>
      <c r="W2557" s="377"/>
      <c r="X2557" s="377"/>
      <c r="Y2557" s="377"/>
      <c r="Z2557" s="377"/>
      <c r="AA2557" s="377"/>
      <c r="AB2557" s="377"/>
      <c r="AC2557" s="377"/>
      <c r="AD2557" s="377"/>
      <c r="AE2557" s="377"/>
      <c r="AF2557" s="377"/>
      <c r="AG2557" s="377"/>
      <c r="AH2557" s="377"/>
      <c r="AI2557" s="377"/>
      <c r="AJ2557" s="377"/>
      <c r="AK2557" s="377"/>
      <c r="AL2557" s="377"/>
      <c r="AM2557" s="377"/>
    </row>
    <row r="2558" spans="2:39" s="3" customFormat="1" ht="15.75" outlineLevel="1">
      <c r="B2558" s="178" t="s">
        <v>1244</v>
      </c>
      <c r="C2558" s="218" t="s">
        <v>1489</v>
      </c>
      <c r="D2558" s="219" t="s">
        <v>1403</v>
      </c>
      <c r="E2558" s="383"/>
      <c r="F2558" s="385"/>
      <c r="G2558" s="188" t="s">
        <v>1432</v>
      </c>
      <c r="H2558" s="377"/>
      <c r="I2558" s="188" t="s">
        <v>1433</v>
      </c>
      <c r="J2558" s="381"/>
      <c r="K2558" s="173" t="s">
        <v>233</v>
      </c>
      <c r="L2558" s="173" t="s">
        <v>233</v>
      </c>
      <c r="M2558" s="378"/>
      <c r="N2558" s="378"/>
      <c r="O2558" s="378"/>
      <c r="P2558" s="378"/>
      <c r="Q2558" s="378"/>
      <c r="R2558" s="378"/>
      <c r="S2558" s="378"/>
      <c r="T2558" s="378"/>
      <c r="U2558" s="378"/>
      <c r="V2558" s="378"/>
      <c r="W2558" s="378"/>
      <c r="X2558" s="378"/>
      <c r="Y2558" s="378"/>
      <c r="Z2558" s="378"/>
      <c r="AA2558" s="378"/>
      <c r="AB2558" s="378"/>
      <c r="AC2558" s="378"/>
      <c r="AD2558" s="378"/>
      <c r="AE2558" s="378"/>
      <c r="AF2558" s="378"/>
      <c r="AG2558" s="378"/>
      <c r="AH2558" s="378"/>
      <c r="AI2558" s="378"/>
      <c r="AJ2558" s="378"/>
      <c r="AK2558" s="378"/>
      <c r="AL2558" s="378"/>
      <c r="AM2558" s="378"/>
    </row>
    <row r="2559" spans="2:39" s="3" customFormat="1" ht="15.75" outlineLevel="1">
      <c r="B2559" s="178" t="s">
        <v>1242</v>
      </c>
      <c r="C2559" s="218" t="s">
        <v>1489</v>
      </c>
      <c r="D2559" s="219" t="s">
        <v>1403</v>
      </c>
      <c r="E2559" s="382" t="s">
        <v>44</v>
      </c>
      <c r="F2559" s="384" t="s">
        <v>45</v>
      </c>
      <c r="G2559" s="188" t="s">
        <v>1432</v>
      </c>
      <c r="H2559" s="377"/>
      <c r="I2559" s="188" t="s">
        <v>1433</v>
      </c>
      <c r="J2559" s="381"/>
      <c r="K2559" s="173" t="s">
        <v>233</v>
      </c>
      <c r="L2559" s="173" t="s">
        <v>233</v>
      </c>
      <c r="M2559" s="376">
        <v>23461</v>
      </c>
      <c r="N2559" s="376">
        <v>23416</v>
      </c>
      <c r="O2559" s="376">
        <v>3193</v>
      </c>
      <c r="P2559" s="376" t="s">
        <v>252</v>
      </c>
      <c r="Q2559" s="376">
        <v>2139</v>
      </c>
      <c r="R2559" s="376" t="s">
        <v>252</v>
      </c>
      <c r="S2559" s="376">
        <v>1460</v>
      </c>
      <c r="T2559" s="376" t="s">
        <v>252</v>
      </c>
      <c r="U2559" s="376">
        <v>1917</v>
      </c>
      <c r="V2559" s="376" t="s">
        <v>252</v>
      </c>
      <c r="W2559" s="376">
        <v>1508</v>
      </c>
      <c r="X2559" s="376" t="s">
        <v>252</v>
      </c>
      <c r="Y2559" s="376">
        <v>1327</v>
      </c>
      <c r="Z2559" s="376" t="s">
        <v>252</v>
      </c>
      <c r="AA2559" s="376">
        <v>1248</v>
      </c>
      <c r="AB2559" s="376" t="s">
        <v>252</v>
      </c>
      <c r="AC2559" s="376">
        <v>1384</v>
      </c>
      <c r="AD2559" s="376" t="s">
        <v>252</v>
      </c>
      <c r="AE2559" s="376">
        <v>1692</v>
      </c>
      <c r="AF2559" s="376" t="s">
        <v>252</v>
      </c>
      <c r="AG2559" s="376">
        <v>1589</v>
      </c>
      <c r="AH2559" s="376" t="s">
        <v>252</v>
      </c>
      <c r="AI2559" s="376">
        <v>2012</v>
      </c>
      <c r="AJ2559" s="376" t="s">
        <v>252</v>
      </c>
      <c r="AK2559" s="376">
        <v>1966</v>
      </c>
      <c r="AL2559" s="376" t="s">
        <v>252</v>
      </c>
      <c r="AM2559" s="376">
        <f>O2559+Q2559+S2559+U2559+W2559+Y2559+AA2559+AC2559+AE2559+AG2559+AI2559+AK2559</f>
        <v>21435</v>
      </c>
    </row>
    <row r="2560" spans="2:39" s="3" customFormat="1" ht="15.75" outlineLevel="1">
      <c r="B2560" s="178" t="s">
        <v>1243</v>
      </c>
      <c r="C2560" s="218" t="s">
        <v>1489</v>
      </c>
      <c r="D2560" s="219" t="s">
        <v>1403</v>
      </c>
      <c r="E2560" s="389"/>
      <c r="F2560" s="390"/>
      <c r="G2560" s="188" t="s">
        <v>1432</v>
      </c>
      <c r="H2560" s="377"/>
      <c r="I2560" s="188" t="s">
        <v>1433</v>
      </c>
      <c r="J2560" s="381"/>
      <c r="K2560" s="173" t="s">
        <v>233</v>
      </c>
      <c r="L2560" s="173" t="s">
        <v>233</v>
      </c>
      <c r="M2560" s="377"/>
      <c r="N2560" s="377"/>
      <c r="O2560" s="377"/>
      <c r="P2560" s="377"/>
      <c r="Q2560" s="377"/>
      <c r="R2560" s="377"/>
      <c r="S2560" s="377"/>
      <c r="T2560" s="377"/>
      <c r="U2560" s="377"/>
      <c r="V2560" s="377"/>
      <c r="W2560" s="377"/>
      <c r="X2560" s="377"/>
      <c r="Y2560" s="391"/>
      <c r="Z2560" s="377"/>
      <c r="AA2560" s="377"/>
      <c r="AB2560" s="377"/>
      <c r="AC2560" s="377"/>
      <c r="AD2560" s="377"/>
      <c r="AE2560" s="377"/>
      <c r="AF2560" s="377"/>
      <c r="AG2560" s="377"/>
      <c r="AH2560" s="377"/>
      <c r="AI2560" s="377"/>
      <c r="AJ2560" s="377"/>
      <c r="AK2560" s="377"/>
      <c r="AL2560" s="377"/>
      <c r="AM2560" s="377"/>
    </row>
    <row r="2561" spans="2:39" s="3" customFormat="1" ht="15.75" outlineLevel="1">
      <c r="B2561" s="178" t="s">
        <v>1244</v>
      </c>
      <c r="C2561" s="194" t="s">
        <v>1021</v>
      </c>
      <c r="D2561" s="219" t="s">
        <v>1403</v>
      </c>
      <c r="E2561" s="383"/>
      <c r="F2561" s="385"/>
      <c r="G2561" s="188" t="s">
        <v>1432</v>
      </c>
      <c r="H2561" s="378"/>
      <c r="I2561" s="188" t="s">
        <v>1433</v>
      </c>
      <c r="J2561" s="380"/>
      <c r="K2561" s="173" t="s">
        <v>233</v>
      </c>
      <c r="L2561" s="173" t="s">
        <v>233</v>
      </c>
      <c r="M2561" s="378"/>
      <c r="N2561" s="378"/>
      <c r="O2561" s="378"/>
      <c r="P2561" s="378"/>
      <c r="Q2561" s="378"/>
      <c r="R2561" s="378"/>
      <c r="S2561" s="378"/>
      <c r="T2561" s="378"/>
      <c r="U2561" s="378"/>
      <c r="V2561" s="378"/>
      <c r="W2561" s="378"/>
      <c r="X2561" s="378"/>
      <c r="Y2561" s="392"/>
      <c r="Z2561" s="378"/>
      <c r="AA2561" s="378"/>
      <c r="AB2561" s="378"/>
      <c r="AC2561" s="378"/>
      <c r="AD2561" s="378"/>
      <c r="AE2561" s="378"/>
      <c r="AF2561" s="378"/>
      <c r="AG2561" s="378"/>
      <c r="AH2561" s="378"/>
      <c r="AI2561" s="378"/>
      <c r="AJ2561" s="378"/>
      <c r="AK2561" s="378"/>
      <c r="AL2561" s="378"/>
      <c r="AM2561" s="378"/>
    </row>
    <row r="2562" spans="2:39" s="3" customFormat="1" ht="15.75" outlineLevel="1">
      <c r="B2562" s="178" t="s">
        <v>1245</v>
      </c>
      <c r="C2562" s="218" t="s">
        <v>1489</v>
      </c>
      <c r="D2562" s="219" t="s">
        <v>1403</v>
      </c>
      <c r="E2562" s="23" t="s">
        <v>44</v>
      </c>
      <c r="F2562" s="93" t="s">
        <v>45</v>
      </c>
      <c r="G2562" s="188" t="s">
        <v>1432</v>
      </c>
      <c r="H2562" s="194">
        <v>21</v>
      </c>
      <c r="I2562" s="188" t="s">
        <v>1433</v>
      </c>
      <c r="J2562" s="220" t="s">
        <v>1474</v>
      </c>
      <c r="K2562" s="173" t="s">
        <v>233</v>
      </c>
      <c r="L2562" s="173" t="s">
        <v>233</v>
      </c>
      <c r="M2562" s="376">
        <v>2815</v>
      </c>
      <c r="N2562" s="376">
        <v>3009</v>
      </c>
      <c r="O2562" s="376">
        <v>271</v>
      </c>
      <c r="P2562" s="376" t="s">
        <v>252</v>
      </c>
      <c r="Q2562" s="376">
        <v>285</v>
      </c>
      <c r="R2562" s="376" t="s">
        <v>252</v>
      </c>
      <c r="S2562" s="376">
        <v>156</v>
      </c>
      <c r="T2562" s="376" t="s">
        <v>252</v>
      </c>
      <c r="U2562" s="376">
        <v>243</v>
      </c>
      <c r="V2562" s="376" t="s">
        <v>252</v>
      </c>
      <c r="W2562" s="376">
        <v>222</v>
      </c>
      <c r="X2562" s="376" t="s">
        <v>252</v>
      </c>
      <c r="Y2562" s="376">
        <v>105</v>
      </c>
      <c r="Z2562" s="376" t="s">
        <v>252</v>
      </c>
      <c r="AA2562" s="376">
        <v>62</v>
      </c>
      <c r="AB2562" s="376" t="s">
        <v>252</v>
      </c>
      <c r="AC2562" s="376">
        <v>194</v>
      </c>
      <c r="AD2562" s="376" t="s">
        <v>252</v>
      </c>
      <c r="AE2562" s="376">
        <v>188</v>
      </c>
      <c r="AF2562" s="376" t="s">
        <v>252</v>
      </c>
      <c r="AG2562" s="376">
        <v>324</v>
      </c>
      <c r="AH2562" s="376" t="s">
        <v>252</v>
      </c>
      <c r="AI2562" s="376">
        <v>413</v>
      </c>
      <c r="AJ2562" s="376" t="s">
        <v>252</v>
      </c>
      <c r="AK2562" s="376">
        <v>356</v>
      </c>
      <c r="AL2562" s="376" t="s">
        <v>252</v>
      </c>
      <c r="AM2562" s="336">
        <f t="shared" ref="AM2562:AM2580" si="24">O2562+Q2562+S2562+U2562+W2562+Y2562+AA2562+AC2562+AE2562+AG2562+AI2562+AK2562</f>
        <v>2819</v>
      </c>
    </row>
    <row r="2563" spans="2:39" s="3" customFormat="1" ht="15.75" outlineLevel="1">
      <c r="B2563" s="178" t="s">
        <v>1246</v>
      </c>
      <c r="C2563" s="218" t="s">
        <v>1489</v>
      </c>
      <c r="D2563" s="219" t="s">
        <v>1403</v>
      </c>
      <c r="E2563" s="23" t="s">
        <v>44</v>
      </c>
      <c r="F2563" s="93" t="s">
        <v>45</v>
      </c>
      <c r="G2563" s="188" t="s">
        <v>1432</v>
      </c>
      <c r="H2563" s="194">
        <v>16</v>
      </c>
      <c r="I2563" s="188" t="s">
        <v>1433</v>
      </c>
      <c r="J2563" s="220" t="s">
        <v>1442</v>
      </c>
      <c r="K2563" s="173" t="s">
        <v>233</v>
      </c>
      <c r="L2563" s="173" t="s">
        <v>233</v>
      </c>
      <c r="M2563" s="378"/>
      <c r="N2563" s="378"/>
      <c r="O2563" s="378"/>
      <c r="P2563" s="378"/>
      <c r="Q2563" s="378"/>
      <c r="R2563" s="378"/>
      <c r="S2563" s="378"/>
      <c r="T2563" s="378"/>
      <c r="U2563" s="378"/>
      <c r="V2563" s="378"/>
      <c r="W2563" s="378"/>
      <c r="X2563" s="378"/>
      <c r="Y2563" s="378"/>
      <c r="Z2563" s="378"/>
      <c r="AA2563" s="378"/>
      <c r="AB2563" s="378"/>
      <c r="AC2563" s="378"/>
      <c r="AD2563" s="378"/>
      <c r="AE2563" s="378"/>
      <c r="AF2563" s="378"/>
      <c r="AG2563" s="378"/>
      <c r="AH2563" s="378"/>
      <c r="AI2563" s="378"/>
      <c r="AJ2563" s="378"/>
      <c r="AK2563" s="378"/>
      <c r="AL2563" s="378"/>
      <c r="AM2563" s="337"/>
    </row>
    <row r="2564" spans="2:39" s="3" customFormat="1" ht="15.75" outlineLevel="1">
      <c r="B2564" s="178" t="s">
        <v>1247</v>
      </c>
      <c r="C2564" s="218" t="s">
        <v>1489</v>
      </c>
      <c r="D2564" s="219" t="s">
        <v>1403</v>
      </c>
      <c r="E2564" s="23" t="s">
        <v>44</v>
      </c>
      <c r="F2564" s="93" t="s">
        <v>45</v>
      </c>
      <c r="G2564" s="188" t="s">
        <v>1432</v>
      </c>
      <c r="H2564" s="194">
        <v>21</v>
      </c>
      <c r="I2564" s="188" t="s">
        <v>1433</v>
      </c>
      <c r="J2564" s="220" t="s">
        <v>1442</v>
      </c>
      <c r="K2564" s="173" t="s">
        <v>233</v>
      </c>
      <c r="L2564" s="173" t="s">
        <v>233</v>
      </c>
      <c r="M2564" s="194">
        <v>6400</v>
      </c>
      <c r="N2564" s="194">
        <v>7427</v>
      </c>
      <c r="O2564" s="194">
        <v>430</v>
      </c>
      <c r="P2564" s="194" t="s">
        <v>259</v>
      </c>
      <c r="Q2564" s="194">
        <v>471</v>
      </c>
      <c r="R2564" s="194" t="s">
        <v>259</v>
      </c>
      <c r="S2564" s="194">
        <v>352</v>
      </c>
      <c r="T2564" s="194" t="s">
        <v>259</v>
      </c>
      <c r="U2564" s="194">
        <v>408</v>
      </c>
      <c r="V2564" s="194" t="s">
        <v>259</v>
      </c>
      <c r="W2564" s="194">
        <v>322</v>
      </c>
      <c r="X2564" s="194" t="s">
        <v>259</v>
      </c>
      <c r="Y2564" s="194">
        <v>304</v>
      </c>
      <c r="Z2564" s="194" t="s">
        <v>259</v>
      </c>
      <c r="AA2564" s="194">
        <v>192</v>
      </c>
      <c r="AB2564" s="194" t="s">
        <v>259</v>
      </c>
      <c r="AC2564" s="194">
        <v>406</v>
      </c>
      <c r="AD2564" s="194" t="s">
        <v>259</v>
      </c>
      <c r="AE2564" s="194">
        <v>170</v>
      </c>
      <c r="AF2564" s="194" t="s">
        <v>259</v>
      </c>
      <c r="AG2564" s="194">
        <v>560</v>
      </c>
      <c r="AH2564" s="194" t="s">
        <v>259</v>
      </c>
      <c r="AI2564" s="194">
        <v>582</v>
      </c>
      <c r="AJ2564" s="194" t="s">
        <v>259</v>
      </c>
      <c r="AK2564" s="194">
        <v>627</v>
      </c>
      <c r="AL2564" s="194" t="s">
        <v>259</v>
      </c>
      <c r="AM2564" s="179">
        <f t="shared" si="24"/>
        <v>4824</v>
      </c>
    </row>
    <row r="2565" spans="2:39" s="3" customFormat="1" ht="15.75" outlineLevel="1">
      <c r="B2565" s="178" t="s">
        <v>1248</v>
      </c>
      <c r="C2565" s="218" t="s">
        <v>1489</v>
      </c>
      <c r="D2565" s="219" t="s">
        <v>1403</v>
      </c>
      <c r="E2565" s="23" t="s">
        <v>44</v>
      </c>
      <c r="F2565" s="93" t="s">
        <v>45</v>
      </c>
      <c r="G2565" s="188" t="s">
        <v>1432</v>
      </c>
      <c r="H2565" s="194">
        <v>38</v>
      </c>
      <c r="I2565" s="188" t="s">
        <v>1433</v>
      </c>
      <c r="J2565" s="220" t="s">
        <v>1464</v>
      </c>
      <c r="K2565" s="173" t="s">
        <v>233</v>
      </c>
      <c r="L2565" s="173" t="s">
        <v>233</v>
      </c>
      <c r="M2565" s="194">
        <v>7831</v>
      </c>
      <c r="N2565" s="194">
        <v>8260</v>
      </c>
      <c r="O2565" s="194">
        <v>566</v>
      </c>
      <c r="P2565" s="194" t="s">
        <v>252</v>
      </c>
      <c r="Q2565" s="194">
        <v>477</v>
      </c>
      <c r="R2565" s="194" t="s">
        <v>252</v>
      </c>
      <c r="S2565" s="194">
        <v>264</v>
      </c>
      <c r="T2565" s="194" t="s">
        <v>252</v>
      </c>
      <c r="U2565" s="194">
        <v>447</v>
      </c>
      <c r="V2565" s="194" t="s">
        <v>252</v>
      </c>
      <c r="W2565" s="194">
        <v>342</v>
      </c>
      <c r="X2565" s="194" t="s">
        <v>252</v>
      </c>
      <c r="Y2565" s="194">
        <v>327</v>
      </c>
      <c r="Z2565" s="194" t="s">
        <v>252</v>
      </c>
      <c r="AA2565" s="194">
        <v>428</v>
      </c>
      <c r="AB2565" s="194" t="s">
        <v>252</v>
      </c>
      <c r="AC2565" s="194">
        <v>496</v>
      </c>
      <c r="AD2565" s="194" t="s">
        <v>252</v>
      </c>
      <c r="AE2565" s="194">
        <v>638</v>
      </c>
      <c r="AF2565" s="194" t="s">
        <v>252</v>
      </c>
      <c r="AG2565" s="194">
        <v>601</v>
      </c>
      <c r="AH2565" s="194" t="s">
        <v>252</v>
      </c>
      <c r="AI2565" s="194">
        <v>510</v>
      </c>
      <c r="AJ2565" s="194" t="s">
        <v>252</v>
      </c>
      <c r="AK2565" s="194">
        <v>568</v>
      </c>
      <c r="AL2565" s="194" t="s">
        <v>252</v>
      </c>
      <c r="AM2565" s="179">
        <f t="shared" si="24"/>
        <v>5664</v>
      </c>
    </row>
    <row r="2566" spans="2:39" s="3" customFormat="1" ht="15.75" outlineLevel="1">
      <c r="B2566" s="178" t="s">
        <v>1249</v>
      </c>
      <c r="C2566" s="218" t="s">
        <v>1489</v>
      </c>
      <c r="D2566" s="219" t="s">
        <v>1403</v>
      </c>
      <c r="E2566" s="23" t="s">
        <v>44</v>
      </c>
      <c r="F2566" s="93" t="s">
        <v>45</v>
      </c>
      <c r="G2566" s="188" t="s">
        <v>1432</v>
      </c>
      <c r="H2566" s="194">
        <v>26</v>
      </c>
      <c r="I2566" s="188" t="s">
        <v>1433</v>
      </c>
      <c r="J2566" s="220" t="s">
        <v>1460</v>
      </c>
      <c r="K2566" s="173" t="s">
        <v>233</v>
      </c>
      <c r="L2566" s="173" t="s">
        <v>233</v>
      </c>
      <c r="M2566" s="194">
        <v>3856</v>
      </c>
      <c r="N2566" s="194">
        <v>2612</v>
      </c>
      <c r="O2566" s="194">
        <v>255</v>
      </c>
      <c r="P2566" s="194" t="s">
        <v>252</v>
      </c>
      <c r="Q2566" s="194">
        <v>246</v>
      </c>
      <c r="R2566" s="194" t="s">
        <v>252</v>
      </c>
      <c r="S2566" s="194">
        <v>118</v>
      </c>
      <c r="T2566" s="194" t="s">
        <v>252</v>
      </c>
      <c r="U2566" s="194">
        <v>198</v>
      </c>
      <c r="V2566" s="194" t="s">
        <v>252</v>
      </c>
      <c r="W2566" s="194">
        <v>189</v>
      </c>
      <c r="X2566" s="194" t="s">
        <v>252</v>
      </c>
      <c r="Y2566" s="194">
        <v>179</v>
      </c>
      <c r="Z2566" s="194" t="s">
        <v>252</v>
      </c>
      <c r="AA2566" s="194">
        <v>191</v>
      </c>
      <c r="AB2566" s="194" t="s">
        <v>252</v>
      </c>
      <c r="AC2566" s="194">
        <v>180</v>
      </c>
      <c r="AD2566" s="194" t="s">
        <v>252</v>
      </c>
      <c r="AE2566" s="194">
        <v>236</v>
      </c>
      <c r="AF2566" s="194" t="s">
        <v>252</v>
      </c>
      <c r="AG2566" s="194">
        <v>230</v>
      </c>
      <c r="AH2566" s="194" t="s">
        <v>252</v>
      </c>
      <c r="AI2566" s="194">
        <v>215</v>
      </c>
      <c r="AJ2566" s="194" t="s">
        <v>252</v>
      </c>
      <c r="AK2566" s="194">
        <v>254</v>
      </c>
      <c r="AL2566" s="194" t="s">
        <v>252</v>
      </c>
      <c r="AM2566" s="179">
        <f t="shared" si="24"/>
        <v>2491</v>
      </c>
    </row>
    <row r="2567" spans="2:39" s="3" customFormat="1" ht="15.75" outlineLevel="1">
      <c r="B2567" s="178" t="s">
        <v>1250</v>
      </c>
      <c r="C2567" s="218" t="s">
        <v>1489</v>
      </c>
      <c r="D2567" s="219" t="s">
        <v>1403</v>
      </c>
      <c r="E2567" s="23" t="s">
        <v>44</v>
      </c>
      <c r="F2567" s="93" t="s">
        <v>45</v>
      </c>
      <c r="G2567" s="188" t="s">
        <v>1432</v>
      </c>
      <c r="H2567" s="194">
        <v>31</v>
      </c>
      <c r="I2567" s="188" t="s">
        <v>1433</v>
      </c>
      <c r="J2567" s="220" t="s">
        <v>1464</v>
      </c>
      <c r="K2567" s="173" t="s">
        <v>233</v>
      </c>
      <c r="L2567" s="173" t="s">
        <v>233</v>
      </c>
      <c r="M2567" s="194">
        <v>4475</v>
      </c>
      <c r="N2567" s="194">
        <v>4034</v>
      </c>
      <c r="O2567" s="194">
        <v>260</v>
      </c>
      <c r="P2567" s="194" t="s">
        <v>252</v>
      </c>
      <c r="Q2567" s="194">
        <v>282</v>
      </c>
      <c r="R2567" s="194" t="s">
        <v>252</v>
      </c>
      <c r="S2567" s="194">
        <v>134</v>
      </c>
      <c r="T2567" s="194" t="s">
        <v>252</v>
      </c>
      <c r="U2567" s="194">
        <v>242</v>
      </c>
      <c r="V2567" s="194" t="s">
        <v>252</v>
      </c>
      <c r="W2567" s="194">
        <v>246</v>
      </c>
      <c r="X2567" s="194" t="s">
        <v>252</v>
      </c>
      <c r="Y2567" s="194">
        <v>318</v>
      </c>
      <c r="Z2567" s="194" t="s">
        <v>252</v>
      </c>
      <c r="AA2567" s="194">
        <v>286</v>
      </c>
      <c r="AB2567" s="194" t="s">
        <v>252</v>
      </c>
      <c r="AC2567" s="194">
        <v>246</v>
      </c>
      <c r="AD2567" s="194" t="s">
        <v>252</v>
      </c>
      <c r="AE2567" s="194">
        <v>305</v>
      </c>
      <c r="AF2567" s="194" t="s">
        <v>252</v>
      </c>
      <c r="AG2567" s="194">
        <v>264</v>
      </c>
      <c r="AH2567" s="194" t="s">
        <v>252</v>
      </c>
      <c r="AI2567" s="194">
        <v>327</v>
      </c>
      <c r="AJ2567" s="194" t="s">
        <v>252</v>
      </c>
      <c r="AK2567" s="194">
        <v>346</v>
      </c>
      <c r="AL2567" s="194" t="s">
        <v>252</v>
      </c>
      <c r="AM2567" s="179">
        <f t="shared" si="24"/>
        <v>3256</v>
      </c>
    </row>
    <row r="2568" spans="2:39" s="3" customFormat="1" ht="15.75" outlineLevel="1">
      <c r="B2568" s="178" t="s">
        <v>1251</v>
      </c>
      <c r="C2568" s="218" t="s">
        <v>1489</v>
      </c>
      <c r="D2568" s="219" t="s">
        <v>1403</v>
      </c>
      <c r="E2568" s="23" t="s">
        <v>44</v>
      </c>
      <c r="F2568" s="222" t="s">
        <v>45</v>
      </c>
      <c r="G2568" s="188" t="s">
        <v>1432</v>
      </c>
      <c r="H2568" s="194">
        <v>21</v>
      </c>
      <c r="I2568" s="188" t="s">
        <v>1433</v>
      </c>
      <c r="J2568" s="220" t="s">
        <v>1442</v>
      </c>
      <c r="K2568" s="173" t="s">
        <v>233</v>
      </c>
      <c r="L2568" s="173" t="s">
        <v>233</v>
      </c>
      <c r="M2568" s="194">
        <v>4724</v>
      </c>
      <c r="N2568" s="194">
        <v>4741</v>
      </c>
      <c r="O2568" s="194">
        <v>727</v>
      </c>
      <c r="P2568" s="194" t="s">
        <v>252</v>
      </c>
      <c r="Q2568" s="194">
        <v>437</v>
      </c>
      <c r="R2568" s="194" t="s">
        <v>252</v>
      </c>
      <c r="S2568" s="194">
        <v>219</v>
      </c>
      <c r="T2568" s="194" t="s">
        <v>252</v>
      </c>
      <c r="U2568" s="194">
        <v>475</v>
      </c>
      <c r="V2568" s="194" t="s">
        <v>252</v>
      </c>
      <c r="W2568" s="194">
        <v>280</v>
      </c>
      <c r="X2568" s="194" t="s">
        <v>252</v>
      </c>
      <c r="Y2568" s="194">
        <v>334</v>
      </c>
      <c r="Z2568" s="194" t="s">
        <v>252</v>
      </c>
      <c r="AA2568" s="194">
        <v>309</v>
      </c>
      <c r="AB2568" s="194" t="s">
        <v>252</v>
      </c>
      <c r="AC2568" s="194">
        <v>333</v>
      </c>
      <c r="AD2568" s="194" t="s">
        <v>252</v>
      </c>
      <c r="AE2568" s="194">
        <v>603</v>
      </c>
      <c r="AF2568" s="194" t="s">
        <v>252</v>
      </c>
      <c r="AG2568" s="194">
        <v>416</v>
      </c>
      <c r="AH2568" s="194" t="s">
        <v>252</v>
      </c>
      <c r="AI2568" s="194">
        <v>381</v>
      </c>
      <c r="AJ2568" s="194" t="s">
        <v>252</v>
      </c>
      <c r="AK2568" s="194">
        <v>452</v>
      </c>
      <c r="AL2568" s="194" t="s">
        <v>252</v>
      </c>
      <c r="AM2568" s="179">
        <f t="shared" si="24"/>
        <v>4966</v>
      </c>
    </row>
    <row r="2569" spans="2:39" s="3" customFormat="1" ht="15.75" outlineLevel="1">
      <c r="B2569" s="178" t="s">
        <v>1252</v>
      </c>
      <c r="C2569" s="218" t="s">
        <v>1489</v>
      </c>
      <c r="D2569" s="219" t="s">
        <v>1403</v>
      </c>
      <c r="E2569" s="23" t="s">
        <v>44</v>
      </c>
      <c r="F2569" s="222" t="s">
        <v>45</v>
      </c>
      <c r="G2569" s="188" t="s">
        <v>1432</v>
      </c>
      <c r="H2569" s="194">
        <v>28</v>
      </c>
      <c r="I2569" s="188" t="s">
        <v>1433</v>
      </c>
      <c r="J2569" s="220" t="s">
        <v>1460</v>
      </c>
      <c r="K2569" s="173" t="s">
        <v>233</v>
      </c>
      <c r="L2569" s="173" t="s">
        <v>233</v>
      </c>
      <c r="M2569" s="194">
        <v>3719</v>
      </c>
      <c r="N2569" s="194">
        <v>3738</v>
      </c>
      <c r="O2569" s="194">
        <v>393</v>
      </c>
      <c r="P2569" s="194" t="s">
        <v>252</v>
      </c>
      <c r="Q2569" s="194">
        <v>407</v>
      </c>
      <c r="R2569" s="194" t="s">
        <v>252</v>
      </c>
      <c r="S2569" s="194">
        <v>237</v>
      </c>
      <c r="T2569" s="194" t="s">
        <v>252</v>
      </c>
      <c r="U2569" s="194">
        <v>301</v>
      </c>
      <c r="V2569" s="194" t="s">
        <v>252</v>
      </c>
      <c r="W2569" s="194">
        <v>206</v>
      </c>
      <c r="X2569" s="194" t="s">
        <v>252</v>
      </c>
      <c r="Y2569" s="194">
        <v>150</v>
      </c>
      <c r="Z2569" s="194" t="s">
        <v>252</v>
      </c>
      <c r="AA2569" s="194">
        <v>142</v>
      </c>
      <c r="AB2569" s="194" t="s">
        <v>252</v>
      </c>
      <c r="AC2569" s="194">
        <v>175</v>
      </c>
      <c r="AD2569" s="194" t="s">
        <v>252</v>
      </c>
      <c r="AE2569" s="194">
        <v>251</v>
      </c>
      <c r="AF2569" s="194" t="s">
        <v>252</v>
      </c>
      <c r="AG2569" s="194">
        <v>303</v>
      </c>
      <c r="AH2569" s="194" t="s">
        <v>252</v>
      </c>
      <c r="AI2569" s="194">
        <v>296</v>
      </c>
      <c r="AJ2569" s="194" t="s">
        <v>252</v>
      </c>
      <c r="AK2569" s="194">
        <v>366</v>
      </c>
      <c r="AL2569" s="194" t="s">
        <v>252</v>
      </c>
      <c r="AM2569" s="179">
        <f t="shared" si="24"/>
        <v>3227</v>
      </c>
    </row>
    <row r="2570" spans="2:39" s="3" customFormat="1" ht="15.75" outlineLevel="1">
      <c r="B2570" s="178" t="s">
        <v>1253</v>
      </c>
      <c r="C2570" s="218" t="s">
        <v>1489</v>
      </c>
      <c r="D2570" s="219" t="s">
        <v>1403</v>
      </c>
      <c r="E2570" s="23" t="s">
        <v>44</v>
      </c>
      <c r="F2570" s="93" t="s">
        <v>45</v>
      </c>
      <c r="G2570" s="188" t="s">
        <v>1432</v>
      </c>
      <c r="H2570" s="194">
        <v>22</v>
      </c>
      <c r="I2570" s="188" t="s">
        <v>1433</v>
      </c>
      <c r="J2570" s="220" t="s">
        <v>1442</v>
      </c>
      <c r="K2570" s="173" t="s">
        <v>233</v>
      </c>
      <c r="L2570" s="173" t="s">
        <v>233</v>
      </c>
      <c r="M2570" s="194">
        <v>3605</v>
      </c>
      <c r="N2570" s="194">
        <v>3403</v>
      </c>
      <c r="O2570" s="194">
        <v>268</v>
      </c>
      <c r="P2570" s="194" t="s">
        <v>252</v>
      </c>
      <c r="Q2570" s="194">
        <v>206</v>
      </c>
      <c r="R2570" s="194" t="s">
        <v>252</v>
      </c>
      <c r="S2570" s="194">
        <v>129</v>
      </c>
      <c r="T2570" s="194" t="s">
        <v>252</v>
      </c>
      <c r="U2570" s="194">
        <v>354</v>
      </c>
      <c r="V2570" s="194" t="s">
        <v>252</v>
      </c>
      <c r="W2570" s="194">
        <v>249</v>
      </c>
      <c r="X2570" s="194" t="s">
        <v>252</v>
      </c>
      <c r="Y2570" s="194">
        <v>211</v>
      </c>
      <c r="Z2570" s="194" t="s">
        <v>252</v>
      </c>
      <c r="AA2570" s="194">
        <v>213</v>
      </c>
      <c r="AB2570" s="194" t="s">
        <v>252</v>
      </c>
      <c r="AC2570" s="194">
        <v>196</v>
      </c>
      <c r="AD2570" s="194" t="s">
        <v>252</v>
      </c>
      <c r="AE2570" s="194">
        <v>232</v>
      </c>
      <c r="AF2570" s="194" t="s">
        <v>252</v>
      </c>
      <c r="AG2570" s="194">
        <v>219</v>
      </c>
      <c r="AH2570" s="194" t="s">
        <v>252</v>
      </c>
      <c r="AI2570" s="194">
        <v>226</v>
      </c>
      <c r="AJ2570" s="194" t="s">
        <v>252</v>
      </c>
      <c r="AK2570" s="194">
        <v>207</v>
      </c>
      <c r="AL2570" s="194" t="s">
        <v>252</v>
      </c>
      <c r="AM2570" s="179">
        <f t="shared" si="24"/>
        <v>2710</v>
      </c>
    </row>
    <row r="2571" spans="2:39" s="3" customFormat="1" ht="15.75" outlineLevel="1">
      <c r="B2571" s="178" t="s">
        <v>1254</v>
      </c>
      <c r="C2571" s="218" t="s">
        <v>1489</v>
      </c>
      <c r="D2571" s="219" t="s">
        <v>1403</v>
      </c>
      <c r="E2571" s="23" t="s">
        <v>44</v>
      </c>
      <c r="F2571" s="93" t="s">
        <v>45</v>
      </c>
      <c r="G2571" s="188" t="s">
        <v>1432</v>
      </c>
      <c r="H2571" s="194">
        <v>29</v>
      </c>
      <c r="I2571" s="188" t="s">
        <v>1433</v>
      </c>
      <c r="J2571" s="220" t="s">
        <v>617</v>
      </c>
      <c r="K2571" s="173" t="s">
        <v>233</v>
      </c>
      <c r="L2571" s="173" t="s">
        <v>233</v>
      </c>
      <c r="M2571" s="194">
        <v>2612</v>
      </c>
      <c r="N2571" s="194">
        <v>2496</v>
      </c>
      <c r="O2571" s="194">
        <v>269</v>
      </c>
      <c r="P2571" s="194" t="s">
        <v>252</v>
      </c>
      <c r="Q2571" s="194">
        <v>261</v>
      </c>
      <c r="R2571" s="194" t="s">
        <v>252</v>
      </c>
      <c r="S2571" s="194">
        <v>142</v>
      </c>
      <c r="T2571" s="194" t="s">
        <v>252</v>
      </c>
      <c r="U2571" s="194">
        <v>255</v>
      </c>
      <c r="V2571" s="194" t="s">
        <v>252</v>
      </c>
      <c r="W2571" s="194">
        <v>195</v>
      </c>
      <c r="X2571" s="194" t="s">
        <v>252</v>
      </c>
      <c r="Y2571" s="194">
        <v>185</v>
      </c>
      <c r="Z2571" s="194" t="s">
        <v>252</v>
      </c>
      <c r="AA2571" s="194">
        <v>167</v>
      </c>
      <c r="AB2571" s="194" t="s">
        <v>252</v>
      </c>
      <c r="AC2571" s="194">
        <v>173</v>
      </c>
      <c r="AD2571" s="194" t="s">
        <v>252</v>
      </c>
      <c r="AE2571" s="194">
        <v>201</v>
      </c>
      <c r="AF2571" s="194" t="s">
        <v>252</v>
      </c>
      <c r="AG2571" s="194">
        <v>225</v>
      </c>
      <c r="AH2571" s="194" t="s">
        <v>252</v>
      </c>
      <c r="AI2571" s="194">
        <v>215</v>
      </c>
      <c r="AJ2571" s="194" t="s">
        <v>252</v>
      </c>
      <c r="AK2571" s="194">
        <v>241</v>
      </c>
      <c r="AL2571" s="194" t="s">
        <v>252</v>
      </c>
      <c r="AM2571" s="179">
        <f t="shared" si="24"/>
        <v>2529</v>
      </c>
    </row>
    <row r="2572" spans="2:39" s="3" customFormat="1" ht="15.75" outlineLevel="1">
      <c r="B2572" s="178" t="s">
        <v>1255</v>
      </c>
      <c r="C2572" s="218" t="s">
        <v>1489</v>
      </c>
      <c r="D2572" s="219" t="s">
        <v>1403</v>
      </c>
      <c r="E2572" s="23" t="s">
        <v>44</v>
      </c>
      <c r="F2572" s="93" t="s">
        <v>45</v>
      </c>
      <c r="G2572" s="188" t="s">
        <v>1432</v>
      </c>
      <c r="H2572" s="376">
        <v>76</v>
      </c>
      <c r="I2572" s="188" t="s">
        <v>1433</v>
      </c>
      <c r="J2572" s="379" t="s">
        <v>1475</v>
      </c>
      <c r="K2572" s="173" t="s">
        <v>233</v>
      </c>
      <c r="L2572" s="173" t="s">
        <v>233</v>
      </c>
      <c r="M2572" s="376">
        <v>6369</v>
      </c>
      <c r="N2572" s="376">
        <v>4354</v>
      </c>
      <c r="O2572" s="376">
        <v>292</v>
      </c>
      <c r="P2572" s="376" t="s">
        <v>252</v>
      </c>
      <c r="Q2572" s="376">
        <v>437</v>
      </c>
      <c r="R2572" s="376" t="s">
        <v>252</v>
      </c>
      <c r="S2572" s="376">
        <v>277</v>
      </c>
      <c r="T2572" s="376" t="s">
        <v>252</v>
      </c>
      <c r="U2572" s="376">
        <v>464</v>
      </c>
      <c r="V2572" s="376" t="s">
        <v>252</v>
      </c>
      <c r="W2572" s="376">
        <v>359</v>
      </c>
      <c r="X2572" s="376" t="s">
        <v>252</v>
      </c>
      <c r="Y2572" s="376">
        <v>408</v>
      </c>
      <c r="Z2572" s="376" t="s">
        <v>252</v>
      </c>
      <c r="AA2572" s="376">
        <v>364</v>
      </c>
      <c r="AB2572" s="376" t="s">
        <v>252</v>
      </c>
      <c r="AC2572" s="376">
        <v>326</v>
      </c>
      <c r="AD2572" s="376" t="s">
        <v>252</v>
      </c>
      <c r="AE2572" s="376">
        <v>427</v>
      </c>
      <c r="AF2572" s="376" t="s">
        <v>252</v>
      </c>
      <c r="AG2572" s="376">
        <v>438</v>
      </c>
      <c r="AH2572" s="376" t="s">
        <v>252</v>
      </c>
      <c r="AI2572" s="376">
        <v>516</v>
      </c>
      <c r="AJ2572" s="376" t="s">
        <v>252</v>
      </c>
      <c r="AK2572" s="376">
        <v>619</v>
      </c>
      <c r="AL2572" s="376" t="s">
        <v>252</v>
      </c>
      <c r="AM2572" s="336">
        <f t="shared" si="24"/>
        <v>4927</v>
      </c>
    </row>
    <row r="2573" spans="2:39" s="3" customFormat="1" ht="15.75" outlineLevel="1">
      <c r="B2573" s="178" t="s">
        <v>1256</v>
      </c>
      <c r="C2573" s="218" t="s">
        <v>1489</v>
      </c>
      <c r="D2573" s="219" t="s">
        <v>1403</v>
      </c>
      <c r="E2573" s="23" t="s">
        <v>44</v>
      </c>
      <c r="F2573" s="93" t="s">
        <v>45</v>
      </c>
      <c r="G2573" s="188" t="s">
        <v>1432</v>
      </c>
      <c r="H2573" s="377"/>
      <c r="I2573" s="188" t="s">
        <v>1433</v>
      </c>
      <c r="J2573" s="381"/>
      <c r="K2573" s="173" t="s">
        <v>233</v>
      </c>
      <c r="L2573" s="173" t="s">
        <v>233</v>
      </c>
      <c r="M2573" s="377"/>
      <c r="N2573" s="377"/>
      <c r="O2573" s="377"/>
      <c r="P2573" s="377"/>
      <c r="Q2573" s="377"/>
      <c r="R2573" s="377"/>
      <c r="S2573" s="377"/>
      <c r="T2573" s="377"/>
      <c r="U2573" s="377"/>
      <c r="V2573" s="377"/>
      <c r="W2573" s="377"/>
      <c r="X2573" s="377"/>
      <c r="Y2573" s="377"/>
      <c r="Z2573" s="377"/>
      <c r="AA2573" s="377"/>
      <c r="AB2573" s="377"/>
      <c r="AC2573" s="377"/>
      <c r="AD2573" s="377"/>
      <c r="AE2573" s="377"/>
      <c r="AF2573" s="377"/>
      <c r="AG2573" s="377"/>
      <c r="AH2573" s="377"/>
      <c r="AI2573" s="377"/>
      <c r="AJ2573" s="377"/>
      <c r="AK2573" s="377"/>
      <c r="AL2573" s="377"/>
      <c r="AM2573" s="388"/>
    </row>
    <row r="2574" spans="2:39" s="3" customFormat="1" ht="15.75" outlineLevel="1">
      <c r="B2574" s="178" t="s">
        <v>1257</v>
      </c>
      <c r="C2574" s="218" t="s">
        <v>1489</v>
      </c>
      <c r="D2574" s="219" t="s">
        <v>1403</v>
      </c>
      <c r="E2574" s="23" t="s">
        <v>44</v>
      </c>
      <c r="F2574" s="93" t="s">
        <v>45</v>
      </c>
      <c r="G2574" s="188" t="s">
        <v>1432</v>
      </c>
      <c r="H2574" s="377"/>
      <c r="I2574" s="188" t="s">
        <v>1433</v>
      </c>
      <c r="J2574" s="381"/>
      <c r="K2574" s="173" t="s">
        <v>233</v>
      </c>
      <c r="L2574" s="173" t="s">
        <v>233</v>
      </c>
      <c r="M2574" s="377"/>
      <c r="N2574" s="377"/>
      <c r="O2574" s="377"/>
      <c r="P2574" s="377"/>
      <c r="Q2574" s="377"/>
      <c r="R2574" s="377"/>
      <c r="S2574" s="377"/>
      <c r="T2574" s="377"/>
      <c r="U2574" s="377"/>
      <c r="V2574" s="377"/>
      <c r="W2574" s="377"/>
      <c r="X2574" s="377"/>
      <c r="Y2574" s="377"/>
      <c r="Z2574" s="377"/>
      <c r="AA2574" s="377"/>
      <c r="AB2574" s="377"/>
      <c r="AC2574" s="377"/>
      <c r="AD2574" s="377"/>
      <c r="AE2574" s="377"/>
      <c r="AF2574" s="377"/>
      <c r="AG2574" s="377"/>
      <c r="AH2574" s="377"/>
      <c r="AI2574" s="377"/>
      <c r="AJ2574" s="377"/>
      <c r="AK2574" s="377"/>
      <c r="AL2574" s="377"/>
      <c r="AM2574" s="388"/>
    </row>
    <row r="2575" spans="2:39" s="3" customFormat="1" ht="15.75" outlineLevel="1">
      <c r="B2575" s="178" t="s">
        <v>1258</v>
      </c>
      <c r="C2575" s="218" t="s">
        <v>1489</v>
      </c>
      <c r="D2575" s="219" t="s">
        <v>1403</v>
      </c>
      <c r="E2575" s="23" t="s">
        <v>44</v>
      </c>
      <c r="F2575" s="93" t="s">
        <v>45</v>
      </c>
      <c r="G2575" s="188" t="s">
        <v>1432</v>
      </c>
      <c r="H2575" s="378"/>
      <c r="I2575" s="188" t="s">
        <v>1433</v>
      </c>
      <c r="J2575" s="380"/>
      <c r="K2575" s="173" t="s">
        <v>233</v>
      </c>
      <c r="L2575" s="173" t="s">
        <v>233</v>
      </c>
      <c r="M2575" s="378"/>
      <c r="N2575" s="378"/>
      <c r="O2575" s="378"/>
      <c r="P2575" s="378"/>
      <c r="Q2575" s="378"/>
      <c r="R2575" s="378"/>
      <c r="S2575" s="378"/>
      <c r="T2575" s="378"/>
      <c r="U2575" s="378"/>
      <c r="V2575" s="378"/>
      <c r="W2575" s="378"/>
      <c r="X2575" s="378"/>
      <c r="Y2575" s="378"/>
      <c r="Z2575" s="378"/>
      <c r="AA2575" s="378"/>
      <c r="AB2575" s="378"/>
      <c r="AC2575" s="378"/>
      <c r="AD2575" s="378"/>
      <c r="AE2575" s="378"/>
      <c r="AF2575" s="378"/>
      <c r="AG2575" s="378"/>
      <c r="AH2575" s="378"/>
      <c r="AI2575" s="378"/>
      <c r="AJ2575" s="378"/>
      <c r="AK2575" s="378"/>
      <c r="AL2575" s="378"/>
      <c r="AM2575" s="337"/>
    </row>
    <row r="2576" spans="2:39" s="3" customFormat="1" ht="15.75" outlineLevel="1">
      <c r="B2576" s="178" t="s">
        <v>1259</v>
      </c>
      <c r="C2576" s="187" t="s">
        <v>1416</v>
      </c>
      <c r="D2576" s="219" t="s">
        <v>1476</v>
      </c>
      <c r="E2576" s="23" t="s">
        <v>44</v>
      </c>
      <c r="F2576" s="222" t="s">
        <v>45</v>
      </c>
      <c r="G2576" s="188" t="s">
        <v>240</v>
      </c>
      <c r="H2576" s="194" t="s">
        <v>240</v>
      </c>
      <c r="I2576" s="188" t="s">
        <v>240</v>
      </c>
      <c r="J2576" s="188" t="s">
        <v>240</v>
      </c>
      <c r="K2576" s="188" t="s">
        <v>240</v>
      </c>
      <c r="L2576" s="188" t="s">
        <v>240</v>
      </c>
      <c r="M2576" s="194" t="s">
        <v>240</v>
      </c>
      <c r="N2576" s="194" t="s">
        <v>240</v>
      </c>
      <c r="O2576" s="194" t="s">
        <v>240</v>
      </c>
      <c r="P2576" s="194" t="s">
        <v>240</v>
      </c>
      <c r="Q2576" s="194" t="s">
        <v>240</v>
      </c>
      <c r="R2576" s="194" t="s">
        <v>240</v>
      </c>
      <c r="S2576" s="194" t="s">
        <v>240</v>
      </c>
      <c r="T2576" s="194" t="s">
        <v>240</v>
      </c>
      <c r="U2576" s="194" t="s">
        <v>240</v>
      </c>
      <c r="V2576" s="194" t="s">
        <v>240</v>
      </c>
      <c r="W2576" s="194" t="s">
        <v>240</v>
      </c>
      <c r="X2576" s="194" t="s">
        <v>240</v>
      </c>
      <c r="Y2576" s="194" t="s">
        <v>240</v>
      </c>
      <c r="Z2576" s="194" t="s">
        <v>240</v>
      </c>
      <c r="AA2576" s="194" t="s">
        <v>240</v>
      </c>
      <c r="AB2576" s="194" t="s">
        <v>240</v>
      </c>
      <c r="AC2576" s="194" t="s">
        <v>240</v>
      </c>
      <c r="AD2576" s="194" t="s">
        <v>240</v>
      </c>
      <c r="AE2576" s="194" t="s">
        <v>240</v>
      </c>
      <c r="AF2576" s="194" t="s">
        <v>240</v>
      </c>
      <c r="AG2576" s="194" t="s">
        <v>240</v>
      </c>
      <c r="AH2576" s="194" t="s">
        <v>240</v>
      </c>
      <c r="AI2576" s="194" t="s">
        <v>240</v>
      </c>
      <c r="AJ2576" s="194" t="s">
        <v>240</v>
      </c>
      <c r="AK2576" s="194" t="s">
        <v>240</v>
      </c>
      <c r="AL2576" s="194" t="s">
        <v>240</v>
      </c>
      <c r="AM2576" s="194" t="s">
        <v>240</v>
      </c>
    </row>
    <row r="2577" spans="2:39" s="3" customFormat="1" ht="15.75" outlineLevel="1">
      <c r="B2577" s="178" t="s">
        <v>1260</v>
      </c>
      <c r="C2577" s="218" t="s">
        <v>1489</v>
      </c>
      <c r="D2577" s="219" t="s">
        <v>1403</v>
      </c>
      <c r="E2577" s="23" t="s">
        <v>44</v>
      </c>
      <c r="F2577" s="222" t="s">
        <v>45</v>
      </c>
      <c r="G2577" s="188" t="s">
        <v>1432</v>
      </c>
      <c r="H2577" s="194">
        <v>28</v>
      </c>
      <c r="I2577" s="188" t="s">
        <v>1433</v>
      </c>
      <c r="J2577" s="220" t="s">
        <v>617</v>
      </c>
      <c r="K2577" s="173" t="s">
        <v>233</v>
      </c>
      <c r="L2577" s="173" t="s">
        <v>233</v>
      </c>
      <c r="M2577" s="194">
        <v>1357</v>
      </c>
      <c r="N2577" s="194">
        <v>2521</v>
      </c>
      <c r="O2577" s="194">
        <v>204</v>
      </c>
      <c r="P2577" s="194" t="s">
        <v>252</v>
      </c>
      <c r="Q2577" s="194">
        <v>259</v>
      </c>
      <c r="R2577" s="194" t="s">
        <v>252</v>
      </c>
      <c r="S2577" s="194">
        <v>143</v>
      </c>
      <c r="T2577" s="194" t="s">
        <v>252</v>
      </c>
      <c r="U2577" s="194">
        <v>174</v>
      </c>
      <c r="V2577" s="194" t="s">
        <v>252</v>
      </c>
      <c r="W2577" s="194">
        <v>130</v>
      </c>
      <c r="X2577" s="194" t="s">
        <v>252</v>
      </c>
      <c r="Y2577" s="194">
        <v>124</v>
      </c>
      <c r="Z2577" s="194" t="s">
        <v>252</v>
      </c>
      <c r="AA2577" s="194">
        <v>79</v>
      </c>
      <c r="AB2577" s="194" t="s">
        <v>252</v>
      </c>
      <c r="AC2577" s="194">
        <v>93</v>
      </c>
      <c r="AD2577" s="194" t="s">
        <v>252</v>
      </c>
      <c r="AE2577" s="194">
        <v>175</v>
      </c>
      <c r="AF2577" s="194" t="s">
        <v>252</v>
      </c>
      <c r="AG2577" s="194">
        <v>219</v>
      </c>
      <c r="AH2577" s="194" t="s">
        <v>252</v>
      </c>
      <c r="AI2577" s="194">
        <v>170</v>
      </c>
      <c r="AJ2577" s="194" t="s">
        <v>252</v>
      </c>
      <c r="AK2577" s="194">
        <v>194</v>
      </c>
      <c r="AL2577" s="194" t="s">
        <v>252</v>
      </c>
      <c r="AM2577" s="179">
        <f t="shared" si="24"/>
        <v>1964</v>
      </c>
    </row>
    <row r="2578" spans="2:39" s="3" customFormat="1" ht="15.75" outlineLevel="1">
      <c r="B2578" s="178" t="s">
        <v>1261</v>
      </c>
      <c r="C2578" s="218" t="s">
        <v>1489</v>
      </c>
      <c r="D2578" s="219" t="s">
        <v>1403</v>
      </c>
      <c r="E2578" s="23" t="s">
        <v>44</v>
      </c>
      <c r="F2578" s="93" t="s">
        <v>45</v>
      </c>
      <c r="G2578" s="188" t="s">
        <v>1432</v>
      </c>
      <c r="H2578" s="194">
        <v>32</v>
      </c>
      <c r="I2578" s="188" t="s">
        <v>1433</v>
      </c>
      <c r="J2578" s="220" t="s">
        <v>1457</v>
      </c>
      <c r="K2578" s="173" t="s">
        <v>233</v>
      </c>
      <c r="L2578" s="173" t="s">
        <v>233</v>
      </c>
      <c r="M2578" s="194">
        <v>1706</v>
      </c>
      <c r="N2578" s="194">
        <v>1201</v>
      </c>
      <c r="O2578" s="194">
        <v>15</v>
      </c>
      <c r="P2578" s="194" t="s">
        <v>252</v>
      </c>
      <c r="Q2578" s="194">
        <v>15</v>
      </c>
      <c r="R2578" s="194" t="s">
        <v>252</v>
      </c>
      <c r="S2578" s="194">
        <v>355</v>
      </c>
      <c r="T2578" s="194" t="s">
        <v>252</v>
      </c>
      <c r="U2578" s="194">
        <v>430</v>
      </c>
      <c r="V2578" s="194" t="s">
        <v>252</v>
      </c>
      <c r="W2578" s="194">
        <v>322</v>
      </c>
      <c r="X2578" s="194" t="s">
        <v>252</v>
      </c>
      <c r="Y2578" s="194">
        <v>189</v>
      </c>
      <c r="Z2578" s="194" t="s">
        <v>252</v>
      </c>
      <c r="AA2578" s="194">
        <v>276</v>
      </c>
      <c r="AB2578" s="194" t="s">
        <v>252</v>
      </c>
      <c r="AC2578" s="194">
        <v>190</v>
      </c>
      <c r="AD2578" s="194" t="s">
        <v>252</v>
      </c>
      <c r="AE2578" s="194">
        <v>483</v>
      </c>
      <c r="AF2578" s="194" t="s">
        <v>252</v>
      </c>
      <c r="AG2578" s="194">
        <v>445</v>
      </c>
      <c r="AH2578" s="194" t="s">
        <v>252</v>
      </c>
      <c r="AI2578" s="194">
        <v>377</v>
      </c>
      <c r="AJ2578" s="194" t="s">
        <v>252</v>
      </c>
      <c r="AK2578" s="194">
        <v>525</v>
      </c>
      <c r="AL2578" s="194" t="s">
        <v>252</v>
      </c>
      <c r="AM2578" s="179">
        <f t="shared" si="24"/>
        <v>3622</v>
      </c>
    </row>
    <row r="2579" spans="2:39" s="3" customFormat="1" ht="15.75" outlineLevel="1">
      <c r="B2579" s="178" t="s">
        <v>1262</v>
      </c>
      <c r="C2579" s="218" t="s">
        <v>1489</v>
      </c>
      <c r="D2579" s="219" t="s">
        <v>1403</v>
      </c>
      <c r="E2579" s="23" t="s">
        <v>44</v>
      </c>
      <c r="F2579" s="93" t="s">
        <v>45</v>
      </c>
      <c r="G2579" s="188" t="s">
        <v>1432</v>
      </c>
      <c r="H2579" s="194">
        <v>32</v>
      </c>
      <c r="I2579" s="188" t="s">
        <v>1433</v>
      </c>
      <c r="J2579" s="220" t="s">
        <v>1440</v>
      </c>
      <c r="K2579" s="173" t="s">
        <v>233</v>
      </c>
      <c r="L2579" s="173" t="s">
        <v>233</v>
      </c>
      <c r="M2579" s="194">
        <v>9876</v>
      </c>
      <c r="N2579" s="194">
        <v>9935</v>
      </c>
      <c r="O2579" s="194">
        <v>867</v>
      </c>
      <c r="P2579" s="194" t="s">
        <v>252</v>
      </c>
      <c r="Q2579" s="194">
        <v>846</v>
      </c>
      <c r="R2579" s="194" t="s">
        <v>252</v>
      </c>
      <c r="S2579" s="194">
        <v>617</v>
      </c>
      <c r="T2579" s="194" t="s">
        <v>252</v>
      </c>
      <c r="U2579" s="194">
        <v>815</v>
      </c>
      <c r="V2579" s="194" t="s">
        <v>252</v>
      </c>
      <c r="W2579" s="194">
        <v>644</v>
      </c>
      <c r="X2579" s="194" t="s">
        <v>252</v>
      </c>
      <c r="Y2579" s="194">
        <v>384</v>
      </c>
      <c r="Z2579" s="194" t="s">
        <v>252</v>
      </c>
      <c r="AA2579" s="194">
        <v>482</v>
      </c>
      <c r="AB2579" s="194" t="s">
        <v>252</v>
      </c>
      <c r="AC2579" s="194">
        <v>588</v>
      </c>
      <c r="AD2579" s="194" t="s">
        <v>252</v>
      </c>
      <c r="AE2579" s="194">
        <v>921</v>
      </c>
      <c r="AF2579" s="194" t="s">
        <v>252</v>
      </c>
      <c r="AG2579" s="194">
        <v>799</v>
      </c>
      <c r="AH2579" s="194" t="s">
        <v>252</v>
      </c>
      <c r="AI2579" s="194">
        <v>659</v>
      </c>
      <c r="AJ2579" s="194" t="s">
        <v>252</v>
      </c>
      <c r="AK2579" s="194">
        <v>862</v>
      </c>
      <c r="AL2579" s="194" t="s">
        <v>252</v>
      </c>
      <c r="AM2579" s="179">
        <f t="shared" si="24"/>
        <v>8484</v>
      </c>
    </row>
    <row r="2580" spans="2:39" s="3" customFormat="1" ht="15.75" outlineLevel="1">
      <c r="B2580" s="178" t="s">
        <v>1263</v>
      </c>
      <c r="C2580" s="218" t="s">
        <v>1489</v>
      </c>
      <c r="D2580" s="219" t="s">
        <v>1403</v>
      </c>
      <c r="E2580" s="23" t="s">
        <v>44</v>
      </c>
      <c r="F2580" s="93" t="s">
        <v>45</v>
      </c>
      <c r="G2580" s="188" t="s">
        <v>1432</v>
      </c>
      <c r="H2580" s="194">
        <v>29</v>
      </c>
      <c r="I2580" s="188" t="s">
        <v>1433</v>
      </c>
      <c r="J2580" s="220" t="s">
        <v>1464</v>
      </c>
      <c r="K2580" s="173" t="s">
        <v>233</v>
      </c>
      <c r="L2580" s="173" t="s">
        <v>233</v>
      </c>
      <c r="M2580" s="194">
        <v>10430</v>
      </c>
      <c r="N2580" s="194">
        <v>9862</v>
      </c>
      <c r="O2580" s="194">
        <v>889</v>
      </c>
      <c r="P2580" s="194" t="s">
        <v>252</v>
      </c>
      <c r="Q2580" s="194">
        <v>794</v>
      </c>
      <c r="R2580" s="194" t="s">
        <v>252</v>
      </c>
      <c r="S2580" s="194">
        <v>452</v>
      </c>
      <c r="T2580" s="194" t="s">
        <v>252</v>
      </c>
      <c r="U2580" s="194">
        <v>691</v>
      </c>
      <c r="V2580" s="194" t="s">
        <v>252</v>
      </c>
      <c r="W2580" s="194">
        <v>562</v>
      </c>
      <c r="X2580" s="194" t="s">
        <v>252</v>
      </c>
      <c r="Y2580" s="194">
        <v>490</v>
      </c>
      <c r="Z2580" s="194" t="s">
        <v>252</v>
      </c>
      <c r="AA2580" s="194">
        <v>440</v>
      </c>
      <c r="AB2580" s="194" t="s">
        <v>252</v>
      </c>
      <c r="AC2580" s="194">
        <v>446</v>
      </c>
      <c r="AD2580" s="194" t="s">
        <v>252</v>
      </c>
      <c r="AE2580" s="194">
        <v>549</v>
      </c>
      <c r="AF2580" s="194" t="s">
        <v>252</v>
      </c>
      <c r="AG2580" s="194">
        <v>560</v>
      </c>
      <c r="AH2580" s="194" t="s">
        <v>252</v>
      </c>
      <c r="AI2580" s="194">
        <v>708</v>
      </c>
      <c r="AJ2580" s="194" t="s">
        <v>252</v>
      </c>
      <c r="AK2580" s="194">
        <v>790</v>
      </c>
      <c r="AL2580" s="194" t="s">
        <v>252</v>
      </c>
      <c r="AM2580" s="179">
        <f t="shared" si="24"/>
        <v>7371</v>
      </c>
    </row>
    <row r="2581" spans="2:39" s="3" customFormat="1" ht="15.75" outlineLevel="1">
      <c r="B2581" s="178" t="s">
        <v>1264</v>
      </c>
      <c r="C2581" s="218" t="s">
        <v>1489</v>
      </c>
      <c r="D2581" s="219" t="s">
        <v>1403</v>
      </c>
      <c r="E2581" s="382" t="s">
        <v>138</v>
      </c>
      <c r="F2581" s="384" t="s">
        <v>45</v>
      </c>
      <c r="G2581" s="188" t="s">
        <v>1432</v>
      </c>
      <c r="H2581" s="376">
        <v>32</v>
      </c>
      <c r="I2581" s="188" t="s">
        <v>1433</v>
      </c>
      <c r="J2581" s="379" t="s">
        <v>1460</v>
      </c>
      <c r="K2581" s="173" t="s">
        <v>233</v>
      </c>
      <c r="L2581" s="173" t="s">
        <v>233</v>
      </c>
      <c r="M2581" s="376">
        <v>2673</v>
      </c>
      <c r="N2581" s="376">
        <v>3121</v>
      </c>
      <c r="O2581" s="376">
        <v>438</v>
      </c>
      <c r="P2581" s="376" t="s">
        <v>252</v>
      </c>
      <c r="Q2581" s="376">
        <v>475</v>
      </c>
      <c r="R2581" s="376" t="s">
        <v>252</v>
      </c>
      <c r="S2581" s="376">
        <v>417</v>
      </c>
      <c r="T2581" s="376" t="s">
        <v>252</v>
      </c>
      <c r="U2581" s="376">
        <v>461</v>
      </c>
      <c r="V2581" s="376" t="s">
        <v>252</v>
      </c>
      <c r="W2581" s="376">
        <v>385</v>
      </c>
      <c r="X2581" s="376" t="s">
        <v>252</v>
      </c>
      <c r="Y2581" s="376">
        <v>462</v>
      </c>
      <c r="Z2581" s="376" t="s">
        <v>252</v>
      </c>
      <c r="AA2581" s="376">
        <v>397</v>
      </c>
      <c r="AB2581" s="376" t="s">
        <v>252</v>
      </c>
      <c r="AC2581" s="376">
        <v>414</v>
      </c>
      <c r="AD2581" s="376" t="s">
        <v>252</v>
      </c>
      <c r="AE2581" s="376">
        <v>495</v>
      </c>
      <c r="AF2581" s="376" t="s">
        <v>252</v>
      </c>
      <c r="AG2581" s="376">
        <v>445</v>
      </c>
      <c r="AH2581" s="376" t="s">
        <v>252</v>
      </c>
      <c r="AI2581" s="376">
        <v>427</v>
      </c>
      <c r="AJ2581" s="376" t="s">
        <v>252</v>
      </c>
      <c r="AK2581" s="376">
        <v>457</v>
      </c>
      <c r="AL2581" s="376" t="s">
        <v>252</v>
      </c>
      <c r="AM2581" s="336">
        <f>O2581+Q2581+S2581+U2581+W2581+Y2581+AA2581+AC2581+AE2581+AG2581+AI2581+AK2581</f>
        <v>5273</v>
      </c>
    </row>
    <row r="2582" spans="2:39" s="3" customFormat="1" ht="15.75" outlineLevel="1">
      <c r="B2582" s="178" t="s">
        <v>1265</v>
      </c>
      <c r="C2582" s="218" t="s">
        <v>1489</v>
      </c>
      <c r="D2582" s="219" t="s">
        <v>1403</v>
      </c>
      <c r="E2582" s="383"/>
      <c r="F2582" s="385"/>
      <c r="G2582" s="188" t="s">
        <v>1432</v>
      </c>
      <c r="H2582" s="377"/>
      <c r="I2582" s="188" t="s">
        <v>1433</v>
      </c>
      <c r="J2582" s="381"/>
      <c r="K2582" s="173" t="s">
        <v>233</v>
      </c>
      <c r="L2582" s="173" t="s">
        <v>233</v>
      </c>
      <c r="M2582" s="378"/>
      <c r="N2582" s="378"/>
      <c r="O2582" s="378"/>
      <c r="P2582" s="378"/>
      <c r="Q2582" s="378"/>
      <c r="R2582" s="378"/>
      <c r="S2582" s="378"/>
      <c r="T2582" s="378"/>
      <c r="U2582" s="378"/>
      <c r="V2582" s="378"/>
      <c r="W2582" s="378"/>
      <c r="X2582" s="378"/>
      <c r="Y2582" s="378"/>
      <c r="Z2582" s="378"/>
      <c r="AA2582" s="378"/>
      <c r="AB2582" s="378"/>
      <c r="AC2582" s="378"/>
      <c r="AD2582" s="378"/>
      <c r="AE2582" s="378"/>
      <c r="AF2582" s="378"/>
      <c r="AG2582" s="378"/>
      <c r="AH2582" s="378"/>
      <c r="AI2582" s="378"/>
      <c r="AJ2582" s="378"/>
      <c r="AK2582" s="378"/>
      <c r="AL2582" s="378"/>
      <c r="AM2582" s="337"/>
    </row>
    <row r="2583" spans="2:39" s="3" customFormat="1" ht="15.75" outlineLevel="1">
      <c r="B2583" s="178" t="s">
        <v>1264</v>
      </c>
      <c r="C2583" s="218" t="s">
        <v>1489</v>
      </c>
      <c r="D2583" s="219" t="s">
        <v>1403</v>
      </c>
      <c r="E2583" s="382" t="s">
        <v>44</v>
      </c>
      <c r="F2583" s="384" t="s">
        <v>45</v>
      </c>
      <c r="G2583" s="188" t="s">
        <v>1432</v>
      </c>
      <c r="H2583" s="377"/>
      <c r="I2583" s="188" t="s">
        <v>1433</v>
      </c>
      <c r="J2583" s="381"/>
      <c r="K2583" s="173" t="s">
        <v>233</v>
      </c>
      <c r="L2583" s="173" t="s">
        <v>233</v>
      </c>
      <c r="M2583" s="376">
        <v>4987</v>
      </c>
      <c r="N2583" s="376">
        <v>5241</v>
      </c>
      <c r="O2583" s="376">
        <v>250</v>
      </c>
      <c r="P2583" s="376" t="s">
        <v>252</v>
      </c>
      <c r="Q2583" s="376">
        <v>487</v>
      </c>
      <c r="R2583" s="376" t="s">
        <v>252</v>
      </c>
      <c r="S2583" s="376">
        <v>78</v>
      </c>
      <c r="T2583" s="376" t="s">
        <v>252</v>
      </c>
      <c r="U2583" s="376">
        <v>135</v>
      </c>
      <c r="V2583" s="376" t="s">
        <v>252</v>
      </c>
      <c r="W2583" s="376">
        <v>293</v>
      </c>
      <c r="X2583" s="376" t="s">
        <v>252</v>
      </c>
      <c r="Y2583" s="376">
        <v>349</v>
      </c>
      <c r="Z2583" s="376" t="s">
        <v>252</v>
      </c>
      <c r="AA2583" s="376">
        <v>216</v>
      </c>
      <c r="AB2583" s="376" t="s">
        <v>252</v>
      </c>
      <c r="AC2583" s="376">
        <v>231</v>
      </c>
      <c r="AD2583" s="376" t="s">
        <v>252</v>
      </c>
      <c r="AE2583" s="376">
        <v>333</v>
      </c>
      <c r="AF2583" s="376" t="s">
        <v>252</v>
      </c>
      <c r="AG2583" s="376">
        <v>310</v>
      </c>
      <c r="AH2583" s="376" t="s">
        <v>252</v>
      </c>
      <c r="AI2583" s="376">
        <v>250</v>
      </c>
      <c r="AJ2583" s="376" t="s">
        <v>252</v>
      </c>
      <c r="AK2583" s="376">
        <v>339</v>
      </c>
      <c r="AL2583" s="376" t="s">
        <v>252</v>
      </c>
      <c r="AM2583" s="336">
        <f>O2583+Q2583+S2583+U2583+W2583+Y2583+AA2583+AC2583+AE2583+AG2583+AI2583+AK2583</f>
        <v>3271</v>
      </c>
    </row>
    <row r="2584" spans="2:39" s="3" customFormat="1" ht="15.75" outlineLevel="1">
      <c r="B2584" s="178" t="s">
        <v>1265</v>
      </c>
      <c r="C2584" s="218" t="s">
        <v>1489</v>
      </c>
      <c r="D2584" s="219" t="s">
        <v>1403</v>
      </c>
      <c r="E2584" s="383"/>
      <c r="F2584" s="385"/>
      <c r="G2584" s="188" t="s">
        <v>1432</v>
      </c>
      <c r="H2584" s="378"/>
      <c r="I2584" s="188" t="s">
        <v>1433</v>
      </c>
      <c r="J2584" s="380"/>
      <c r="K2584" s="173" t="s">
        <v>233</v>
      </c>
      <c r="L2584" s="173" t="s">
        <v>233</v>
      </c>
      <c r="M2584" s="378"/>
      <c r="N2584" s="378"/>
      <c r="O2584" s="378"/>
      <c r="P2584" s="378"/>
      <c r="Q2584" s="378"/>
      <c r="R2584" s="378"/>
      <c r="S2584" s="378"/>
      <c r="T2584" s="378"/>
      <c r="U2584" s="378"/>
      <c r="V2584" s="378"/>
      <c r="W2584" s="378"/>
      <c r="X2584" s="378"/>
      <c r="Y2584" s="378"/>
      <c r="Z2584" s="378"/>
      <c r="AA2584" s="378"/>
      <c r="AB2584" s="378"/>
      <c r="AC2584" s="378"/>
      <c r="AD2584" s="378"/>
      <c r="AE2584" s="378"/>
      <c r="AF2584" s="378"/>
      <c r="AG2584" s="378"/>
      <c r="AH2584" s="378"/>
      <c r="AI2584" s="378"/>
      <c r="AJ2584" s="378"/>
      <c r="AK2584" s="378"/>
      <c r="AL2584" s="378"/>
      <c r="AM2584" s="337"/>
    </row>
    <row r="2585" spans="2:39" s="3" customFormat="1" ht="15.75" outlineLevel="1">
      <c r="B2585" s="178" t="s">
        <v>1266</v>
      </c>
      <c r="C2585" s="218" t="s">
        <v>1489</v>
      </c>
      <c r="D2585" s="219" t="s">
        <v>1403</v>
      </c>
      <c r="E2585" s="23" t="s">
        <v>44</v>
      </c>
      <c r="F2585" s="93" t="s">
        <v>45</v>
      </c>
      <c r="G2585" s="188" t="s">
        <v>1432</v>
      </c>
      <c r="H2585" s="376">
        <v>28</v>
      </c>
      <c r="I2585" s="188" t="s">
        <v>1433</v>
      </c>
      <c r="J2585" s="379" t="s">
        <v>1453</v>
      </c>
      <c r="K2585" s="173" t="s">
        <v>233</v>
      </c>
      <c r="L2585" s="173" t="s">
        <v>233</v>
      </c>
      <c r="M2585" s="376">
        <v>2359</v>
      </c>
      <c r="N2585" s="376">
        <v>2798</v>
      </c>
      <c r="O2585" s="376">
        <v>256</v>
      </c>
      <c r="P2585" s="376" t="s">
        <v>252</v>
      </c>
      <c r="Q2585" s="376">
        <v>260</v>
      </c>
      <c r="R2585" s="376" t="s">
        <v>252</v>
      </c>
      <c r="S2585" s="376">
        <v>181</v>
      </c>
      <c r="T2585" s="376" t="s">
        <v>252</v>
      </c>
      <c r="U2585" s="376">
        <v>213</v>
      </c>
      <c r="V2585" s="376" t="s">
        <v>252</v>
      </c>
      <c r="W2585" s="376">
        <v>158</v>
      </c>
      <c r="X2585" s="376" t="s">
        <v>252</v>
      </c>
      <c r="Y2585" s="376">
        <v>169</v>
      </c>
      <c r="Z2585" s="376" t="s">
        <v>252</v>
      </c>
      <c r="AA2585" s="376">
        <v>136</v>
      </c>
      <c r="AB2585" s="376" t="s">
        <v>252</v>
      </c>
      <c r="AC2585" s="376">
        <v>161</v>
      </c>
      <c r="AD2585" s="376" t="s">
        <v>252</v>
      </c>
      <c r="AE2585" s="376">
        <v>209</v>
      </c>
      <c r="AF2585" s="376" t="s">
        <v>252</v>
      </c>
      <c r="AG2585" s="376">
        <v>196</v>
      </c>
      <c r="AH2585" s="376" t="s">
        <v>252</v>
      </c>
      <c r="AI2585" s="376">
        <v>214</v>
      </c>
      <c r="AJ2585" s="376" t="s">
        <v>252</v>
      </c>
      <c r="AK2585" s="376">
        <v>273</v>
      </c>
      <c r="AL2585" s="376" t="s">
        <v>252</v>
      </c>
      <c r="AM2585" s="336">
        <f t="shared" ref="AM2585:AM2594" si="25">O2585+Q2585+S2585+U2585+W2585+Y2585+AA2585+AC2585+AE2585+AG2585+AI2585+AK2585</f>
        <v>2426</v>
      </c>
    </row>
    <row r="2586" spans="2:39" s="3" customFormat="1" ht="15.75" outlineLevel="1">
      <c r="B2586" s="178" t="s">
        <v>1267</v>
      </c>
      <c r="C2586" s="218" t="s">
        <v>1489</v>
      </c>
      <c r="D2586" s="219" t="s">
        <v>1403</v>
      </c>
      <c r="E2586" s="23" t="s">
        <v>44</v>
      </c>
      <c r="F2586" s="93" t="s">
        <v>45</v>
      </c>
      <c r="G2586" s="188" t="s">
        <v>1432</v>
      </c>
      <c r="H2586" s="378"/>
      <c r="I2586" s="188" t="s">
        <v>1433</v>
      </c>
      <c r="J2586" s="380"/>
      <c r="K2586" s="173" t="s">
        <v>233</v>
      </c>
      <c r="L2586" s="173" t="s">
        <v>233</v>
      </c>
      <c r="M2586" s="378"/>
      <c r="N2586" s="378"/>
      <c r="O2586" s="378"/>
      <c r="P2586" s="378"/>
      <c r="Q2586" s="378"/>
      <c r="R2586" s="378"/>
      <c r="S2586" s="378"/>
      <c r="T2586" s="378"/>
      <c r="U2586" s="378"/>
      <c r="V2586" s="378"/>
      <c r="W2586" s="392"/>
      <c r="X2586" s="378"/>
      <c r="Y2586" s="378"/>
      <c r="Z2586" s="378"/>
      <c r="AA2586" s="378"/>
      <c r="AB2586" s="378"/>
      <c r="AC2586" s="378"/>
      <c r="AD2586" s="378"/>
      <c r="AE2586" s="378"/>
      <c r="AF2586" s="378"/>
      <c r="AG2586" s="378"/>
      <c r="AH2586" s="378"/>
      <c r="AI2586" s="378"/>
      <c r="AJ2586" s="378"/>
      <c r="AK2586" s="378"/>
      <c r="AL2586" s="378"/>
      <c r="AM2586" s="337"/>
    </row>
    <row r="2587" spans="2:39" s="3" customFormat="1" ht="15.75" outlineLevel="1">
      <c r="B2587" s="178" t="s">
        <v>1268</v>
      </c>
      <c r="C2587" s="218" t="s">
        <v>1489</v>
      </c>
      <c r="D2587" s="219" t="s">
        <v>1403</v>
      </c>
      <c r="E2587" s="23" t="s">
        <v>44</v>
      </c>
      <c r="F2587" s="222" t="s">
        <v>45</v>
      </c>
      <c r="G2587" s="188" t="s">
        <v>1432</v>
      </c>
      <c r="H2587" s="194">
        <v>26</v>
      </c>
      <c r="I2587" s="188" t="s">
        <v>1433</v>
      </c>
      <c r="J2587" s="220" t="s">
        <v>1440</v>
      </c>
      <c r="K2587" s="173" t="s">
        <v>233</v>
      </c>
      <c r="L2587" s="173" t="s">
        <v>233</v>
      </c>
      <c r="M2587" s="194">
        <v>3146</v>
      </c>
      <c r="N2587" s="194">
        <v>2957</v>
      </c>
      <c r="O2587" s="194">
        <v>443</v>
      </c>
      <c r="P2587" s="194" t="s">
        <v>252</v>
      </c>
      <c r="Q2587" s="194">
        <v>423</v>
      </c>
      <c r="R2587" s="194" t="s">
        <v>252</v>
      </c>
      <c r="S2587" s="194">
        <v>231</v>
      </c>
      <c r="T2587" s="194" t="s">
        <v>252</v>
      </c>
      <c r="U2587" s="194">
        <v>551</v>
      </c>
      <c r="V2587" s="194" t="s">
        <v>252</v>
      </c>
      <c r="W2587" s="194">
        <v>305</v>
      </c>
      <c r="X2587" s="194" t="s">
        <v>252</v>
      </c>
      <c r="Y2587" s="194">
        <v>499</v>
      </c>
      <c r="Z2587" s="194" t="s">
        <v>252</v>
      </c>
      <c r="AA2587" s="194">
        <v>322</v>
      </c>
      <c r="AB2587" s="194" t="s">
        <v>252</v>
      </c>
      <c r="AC2587" s="194">
        <v>279</v>
      </c>
      <c r="AD2587" s="194" t="s">
        <v>252</v>
      </c>
      <c r="AE2587" s="194">
        <v>327</v>
      </c>
      <c r="AF2587" s="194" t="s">
        <v>252</v>
      </c>
      <c r="AG2587" s="194">
        <v>286</v>
      </c>
      <c r="AH2587" s="194" t="s">
        <v>252</v>
      </c>
      <c r="AI2587" s="194">
        <v>274</v>
      </c>
      <c r="AJ2587" s="194" t="s">
        <v>252</v>
      </c>
      <c r="AK2587" s="194">
        <v>393</v>
      </c>
      <c r="AL2587" s="194" t="s">
        <v>252</v>
      </c>
      <c r="AM2587" s="179">
        <f t="shared" si="25"/>
        <v>4333</v>
      </c>
    </row>
    <row r="2588" spans="2:39" s="3" customFormat="1" ht="15.75" outlineLevel="1">
      <c r="B2588" s="178" t="s">
        <v>1269</v>
      </c>
      <c r="C2588" s="218" t="s">
        <v>1489</v>
      </c>
      <c r="D2588" s="219" t="s">
        <v>1403</v>
      </c>
      <c r="E2588" s="23" t="s">
        <v>44</v>
      </c>
      <c r="F2588" s="222" t="s">
        <v>45</v>
      </c>
      <c r="G2588" s="188" t="s">
        <v>1432</v>
      </c>
      <c r="H2588" s="376">
        <v>34</v>
      </c>
      <c r="I2588" s="188" t="s">
        <v>1433</v>
      </c>
      <c r="J2588" s="379" t="s">
        <v>1477</v>
      </c>
      <c r="K2588" s="173" t="s">
        <v>233</v>
      </c>
      <c r="L2588" s="173" t="s">
        <v>233</v>
      </c>
      <c r="M2588" s="376">
        <v>3235</v>
      </c>
      <c r="N2588" s="376">
        <v>2716</v>
      </c>
      <c r="O2588" s="376">
        <v>314</v>
      </c>
      <c r="P2588" s="376" t="s">
        <v>252</v>
      </c>
      <c r="Q2588" s="376">
        <v>279</v>
      </c>
      <c r="R2588" s="376" t="s">
        <v>252</v>
      </c>
      <c r="S2588" s="376">
        <v>219</v>
      </c>
      <c r="T2588" s="376" t="s">
        <v>252</v>
      </c>
      <c r="U2588" s="376">
        <v>236</v>
      </c>
      <c r="V2588" s="376" t="s">
        <v>252</v>
      </c>
      <c r="W2588" s="376">
        <v>172</v>
      </c>
      <c r="X2588" s="376" t="s">
        <v>252</v>
      </c>
      <c r="Y2588" s="376">
        <v>169</v>
      </c>
      <c r="Z2588" s="376" t="s">
        <v>252</v>
      </c>
      <c r="AA2588" s="376">
        <v>132</v>
      </c>
      <c r="AB2588" s="376" t="s">
        <v>252</v>
      </c>
      <c r="AC2588" s="376">
        <v>174</v>
      </c>
      <c r="AD2588" s="376" t="s">
        <v>252</v>
      </c>
      <c r="AE2588" s="376">
        <v>237</v>
      </c>
      <c r="AF2588" s="376" t="s">
        <v>252</v>
      </c>
      <c r="AG2588" s="376">
        <v>277</v>
      </c>
      <c r="AH2588" s="376" t="s">
        <v>252</v>
      </c>
      <c r="AI2588" s="376">
        <v>294</v>
      </c>
      <c r="AJ2588" s="376" t="s">
        <v>252</v>
      </c>
      <c r="AK2588" s="376">
        <v>348</v>
      </c>
      <c r="AL2588" s="376" t="s">
        <v>252</v>
      </c>
      <c r="AM2588" s="336">
        <f t="shared" si="25"/>
        <v>2851</v>
      </c>
    </row>
    <row r="2589" spans="2:39" s="3" customFormat="1" ht="15.75" outlineLevel="1">
      <c r="B2589" s="178" t="s">
        <v>1270</v>
      </c>
      <c r="C2589" s="218" t="s">
        <v>1489</v>
      </c>
      <c r="D2589" s="219" t="s">
        <v>1403</v>
      </c>
      <c r="E2589" s="23" t="s">
        <v>44</v>
      </c>
      <c r="F2589" s="93" t="s">
        <v>45</v>
      </c>
      <c r="G2589" s="188" t="s">
        <v>1432</v>
      </c>
      <c r="H2589" s="378"/>
      <c r="I2589" s="188" t="s">
        <v>1433</v>
      </c>
      <c r="J2589" s="380"/>
      <c r="K2589" s="173" t="s">
        <v>233</v>
      </c>
      <c r="L2589" s="173" t="s">
        <v>233</v>
      </c>
      <c r="M2589" s="378"/>
      <c r="N2589" s="378"/>
      <c r="O2589" s="378"/>
      <c r="P2589" s="378"/>
      <c r="Q2589" s="378"/>
      <c r="R2589" s="378"/>
      <c r="S2589" s="378"/>
      <c r="T2589" s="378"/>
      <c r="U2589" s="378"/>
      <c r="V2589" s="378"/>
      <c r="W2589" s="378"/>
      <c r="X2589" s="378"/>
      <c r="Y2589" s="378"/>
      <c r="Z2589" s="378"/>
      <c r="AA2589" s="378"/>
      <c r="AB2589" s="378"/>
      <c r="AC2589" s="378"/>
      <c r="AD2589" s="378"/>
      <c r="AE2589" s="378"/>
      <c r="AF2589" s="378"/>
      <c r="AG2589" s="378"/>
      <c r="AH2589" s="378"/>
      <c r="AI2589" s="378"/>
      <c r="AJ2589" s="378"/>
      <c r="AK2589" s="378"/>
      <c r="AL2589" s="378"/>
      <c r="AM2589" s="337"/>
    </row>
    <row r="2590" spans="2:39" s="3" customFormat="1" ht="15.75" outlineLevel="1">
      <c r="B2590" s="178" t="s">
        <v>1271</v>
      </c>
      <c r="C2590" s="218" t="s">
        <v>1489</v>
      </c>
      <c r="D2590" s="219" t="s">
        <v>1403</v>
      </c>
      <c r="E2590" s="23" t="s">
        <v>44</v>
      </c>
      <c r="F2590" s="93" t="s">
        <v>45</v>
      </c>
      <c r="G2590" s="188" t="s">
        <v>1432</v>
      </c>
      <c r="H2590" s="376">
        <v>36</v>
      </c>
      <c r="I2590" s="188" t="s">
        <v>1433</v>
      </c>
      <c r="J2590" s="379" t="s">
        <v>1464</v>
      </c>
      <c r="K2590" s="173" t="s">
        <v>233</v>
      </c>
      <c r="L2590" s="173" t="s">
        <v>233</v>
      </c>
      <c r="M2590" s="376">
        <v>984</v>
      </c>
      <c r="N2590" s="376">
        <v>975</v>
      </c>
      <c r="O2590" s="376">
        <v>206</v>
      </c>
      <c r="P2590" s="376" t="s">
        <v>252</v>
      </c>
      <c r="Q2590" s="376">
        <v>156</v>
      </c>
      <c r="R2590" s="376" t="s">
        <v>252</v>
      </c>
      <c r="S2590" s="376">
        <v>123</v>
      </c>
      <c r="T2590" s="376" t="s">
        <v>252</v>
      </c>
      <c r="U2590" s="376">
        <v>198</v>
      </c>
      <c r="V2590" s="376" t="s">
        <v>252</v>
      </c>
      <c r="W2590" s="376">
        <v>119</v>
      </c>
      <c r="X2590" s="376" t="s">
        <v>252</v>
      </c>
      <c r="Y2590" s="376">
        <v>165</v>
      </c>
      <c r="Z2590" s="376" t="s">
        <v>252</v>
      </c>
      <c r="AA2590" s="376">
        <v>129</v>
      </c>
      <c r="AB2590" s="376" t="s">
        <v>252</v>
      </c>
      <c r="AC2590" s="376">
        <v>106</v>
      </c>
      <c r="AD2590" s="376" t="s">
        <v>252</v>
      </c>
      <c r="AE2590" s="376">
        <v>102</v>
      </c>
      <c r="AF2590" s="376" t="s">
        <v>252</v>
      </c>
      <c r="AG2590" s="376">
        <v>183</v>
      </c>
      <c r="AH2590" s="376" t="s">
        <v>252</v>
      </c>
      <c r="AI2590" s="376">
        <v>181</v>
      </c>
      <c r="AJ2590" s="376" t="s">
        <v>252</v>
      </c>
      <c r="AK2590" s="376">
        <v>85</v>
      </c>
      <c r="AL2590" s="376" t="s">
        <v>252</v>
      </c>
      <c r="AM2590" s="336">
        <f t="shared" si="25"/>
        <v>1753</v>
      </c>
    </row>
    <row r="2591" spans="2:39" s="3" customFormat="1" ht="15.75" outlineLevel="1">
      <c r="B2591" s="178" t="s">
        <v>1272</v>
      </c>
      <c r="C2591" s="218" t="s">
        <v>1489</v>
      </c>
      <c r="D2591" s="219" t="s">
        <v>1403</v>
      </c>
      <c r="E2591" s="23" t="s">
        <v>44</v>
      </c>
      <c r="F2591" s="93" t="s">
        <v>45</v>
      </c>
      <c r="G2591" s="188" t="s">
        <v>1432</v>
      </c>
      <c r="H2591" s="378"/>
      <c r="I2591" s="188" t="s">
        <v>1433</v>
      </c>
      <c r="J2591" s="380"/>
      <c r="K2591" s="173" t="s">
        <v>233</v>
      </c>
      <c r="L2591" s="173" t="s">
        <v>233</v>
      </c>
      <c r="M2591" s="378"/>
      <c r="N2591" s="378"/>
      <c r="O2591" s="378"/>
      <c r="P2591" s="378"/>
      <c r="Q2591" s="378"/>
      <c r="R2591" s="378"/>
      <c r="S2591" s="378"/>
      <c r="T2591" s="378"/>
      <c r="U2591" s="378"/>
      <c r="V2591" s="378"/>
      <c r="W2591" s="378"/>
      <c r="X2591" s="378"/>
      <c r="Y2591" s="378"/>
      <c r="Z2591" s="378"/>
      <c r="AA2591" s="378"/>
      <c r="AB2591" s="378"/>
      <c r="AC2591" s="378"/>
      <c r="AD2591" s="378"/>
      <c r="AE2591" s="378"/>
      <c r="AF2591" s="378"/>
      <c r="AG2591" s="378"/>
      <c r="AH2591" s="378"/>
      <c r="AI2591" s="378"/>
      <c r="AJ2591" s="378"/>
      <c r="AK2591" s="378"/>
      <c r="AL2591" s="378"/>
      <c r="AM2591" s="337"/>
    </row>
    <row r="2592" spans="2:39" s="3" customFormat="1" ht="15.75" outlineLevel="1">
      <c r="B2592" s="178" t="s">
        <v>1273</v>
      </c>
      <c r="C2592" s="218" t="s">
        <v>1489</v>
      </c>
      <c r="D2592" s="219" t="s">
        <v>1403</v>
      </c>
      <c r="E2592" s="23" t="s">
        <v>44</v>
      </c>
      <c r="F2592" s="93" t="s">
        <v>45</v>
      </c>
      <c r="G2592" s="188" t="s">
        <v>1432</v>
      </c>
      <c r="H2592" s="194">
        <v>29</v>
      </c>
      <c r="I2592" s="188" t="s">
        <v>1433</v>
      </c>
      <c r="J2592" s="220" t="s">
        <v>1457</v>
      </c>
      <c r="K2592" s="173" t="s">
        <v>233</v>
      </c>
      <c r="L2592" s="173" t="s">
        <v>233</v>
      </c>
      <c r="M2592" s="194">
        <v>2930</v>
      </c>
      <c r="N2592" s="194">
        <v>1634</v>
      </c>
      <c r="O2592" s="194">
        <v>188</v>
      </c>
      <c r="P2592" s="194" t="s">
        <v>252</v>
      </c>
      <c r="Q2592" s="194">
        <v>118</v>
      </c>
      <c r="R2592" s="194" t="s">
        <v>252</v>
      </c>
      <c r="S2592" s="194">
        <v>60</v>
      </c>
      <c r="T2592" s="194" t="s">
        <v>252</v>
      </c>
      <c r="U2592" s="194">
        <v>107</v>
      </c>
      <c r="V2592" s="194" t="s">
        <v>252</v>
      </c>
      <c r="W2592" s="194">
        <v>78</v>
      </c>
      <c r="X2592" s="194" t="s">
        <v>252</v>
      </c>
      <c r="Y2592" s="194">
        <v>94</v>
      </c>
      <c r="Z2592" s="194" t="s">
        <v>252</v>
      </c>
      <c r="AA2592" s="194">
        <v>62</v>
      </c>
      <c r="AB2592" s="194" t="s">
        <v>252</v>
      </c>
      <c r="AC2592" s="194">
        <v>146</v>
      </c>
      <c r="AD2592" s="194" t="s">
        <v>252</v>
      </c>
      <c r="AE2592" s="194">
        <v>129</v>
      </c>
      <c r="AF2592" s="194" t="s">
        <v>252</v>
      </c>
      <c r="AG2592" s="194">
        <v>104</v>
      </c>
      <c r="AH2592" s="194" t="s">
        <v>252</v>
      </c>
      <c r="AI2592" s="194">
        <v>139</v>
      </c>
      <c r="AJ2592" s="194" t="s">
        <v>252</v>
      </c>
      <c r="AK2592" s="194">
        <v>165</v>
      </c>
      <c r="AL2592" s="194" t="s">
        <v>252</v>
      </c>
      <c r="AM2592" s="179">
        <f t="shared" si="25"/>
        <v>1390</v>
      </c>
    </row>
    <row r="2593" spans="2:39" s="3" customFormat="1" ht="15.75" outlineLevel="1">
      <c r="B2593" s="178" t="s">
        <v>1274</v>
      </c>
      <c r="C2593" s="218" t="s">
        <v>1489</v>
      </c>
      <c r="D2593" s="219" t="s">
        <v>1403</v>
      </c>
      <c r="E2593" s="23" t="s">
        <v>44</v>
      </c>
      <c r="F2593" s="93" t="s">
        <v>45</v>
      </c>
      <c r="G2593" s="188" t="s">
        <v>1432</v>
      </c>
      <c r="H2593" s="194">
        <v>32</v>
      </c>
      <c r="I2593" s="188" t="s">
        <v>1433</v>
      </c>
      <c r="J2593" s="220" t="s">
        <v>617</v>
      </c>
      <c r="K2593" s="173" t="s">
        <v>233</v>
      </c>
      <c r="L2593" s="173" t="s">
        <v>233</v>
      </c>
      <c r="M2593" s="194">
        <v>3100</v>
      </c>
      <c r="N2593" s="194">
        <v>2950</v>
      </c>
      <c r="O2593" s="194">
        <v>263</v>
      </c>
      <c r="P2593" s="194" t="s">
        <v>252</v>
      </c>
      <c r="Q2593" s="194">
        <v>256</v>
      </c>
      <c r="R2593" s="194" t="s">
        <v>252</v>
      </c>
      <c r="S2593" s="194">
        <v>198</v>
      </c>
      <c r="T2593" s="194" t="s">
        <v>252</v>
      </c>
      <c r="U2593" s="194">
        <v>170</v>
      </c>
      <c r="V2593" s="194" t="s">
        <v>252</v>
      </c>
      <c r="W2593" s="194">
        <v>172</v>
      </c>
      <c r="X2593" s="194" t="s">
        <v>252</v>
      </c>
      <c r="Y2593" s="194">
        <v>196</v>
      </c>
      <c r="Z2593" s="194" t="s">
        <v>252</v>
      </c>
      <c r="AA2593" s="194">
        <v>162</v>
      </c>
      <c r="AB2593" s="194" t="s">
        <v>252</v>
      </c>
      <c r="AC2593" s="194">
        <v>180</v>
      </c>
      <c r="AD2593" s="194" t="s">
        <v>252</v>
      </c>
      <c r="AE2593" s="194">
        <v>281</v>
      </c>
      <c r="AF2593" s="194" t="s">
        <v>252</v>
      </c>
      <c r="AG2593" s="194">
        <v>293</v>
      </c>
      <c r="AH2593" s="194" t="s">
        <v>252</v>
      </c>
      <c r="AI2593" s="194">
        <v>350</v>
      </c>
      <c r="AJ2593" s="194" t="s">
        <v>252</v>
      </c>
      <c r="AK2593" s="194">
        <v>300</v>
      </c>
      <c r="AL2593" s="194" t="s">
        <v>252</v>
      </c>
      <c r="AM2593" s="179">
        <f t="shared" si="25"/>
        <v>2821</v>
      </c>
    </row>
    <row r="2594" spans="2:39" s="3" customFormat="1" ht="15.75" outlineLevel="1">
      <c r="B2594" s="178" t="s">
        <v>1275</v>
      </c>
      <c r="C2594" s="218" t="s">
        <v>1489</v>
      </c>
      <c r="D2594" s="219" t="s">
        <v>1403</v>
      </c>
      <c r="E2594" s="23" t="s">
        <v>44</v>
      </c>
      <c r="F2594" s="93" t="s">
        <v>45</v>
      </c>
      <c r="G2594" s="188" t="s">
        <v>1432</v>
      </c>
      <c r="H2594" s="194">
        <v>27</v>
      </c>
      <c r="I2594" s="188" t="s">
        <v>1433</v>
      </c>
      <c r="J2594" s="220" t="s">
        <v>1474</v>
      </c>
      <c r="K2594" s="173" t="s">
        <v>233</v>
      </c>
      <c r="L2594" s="173" t="s">
        <v>233</v>
      </c>
      <c r="M2594" s="194">
        <v>2308</v>
      </c>
      <c r="N2594" s="194">
        <v>2244</v>
      </c>
      <c r="O2594" s="194">
        <v>222</v>
      </c>
      <c r="P2594" s="194" t="s">
        <v>252</v>
      </c>
      <c r="Q2594" s="194">
        <v>206</v>
      </c>
      <c r="R2594" s="194" t="s">
        <v>252</v>
      </c>
      <c r="S2594" s="194">
        <v>93</v>
      </c>
      <c r="T2594" s="194" t="s">
        <v>252</v>
      </c>
      <c r="U2594" s="194">
        <v>200</v>
      </c>
      <c r="V2594" s="194" t="s">
        <v>252</v>
      </c>
      <c r="W2594" s="194">
        <v>141</v>
      </c>
      <c r="X2594" s="194" t="s">
        <v>252</v>
      </c>
      <c r="Y2594" s="194">
        <v>51</v>
      </c>
      <c r="Z2594" s="194" t="s">
        <v>252</v>
      </c>
      <c r="AA2594" s="194">
        <v>42</v>
      </c>
      <c r="AB2594" s="194" t="s">
        <v>252</v>
      </c>
      <c r="AC2594" s="194">
        <v>358</v>
      </c>
      <c r="AD2594" s="194" t="s">
        <v>252</v>
      </c>
      <c r="AE2594" s="194">
        <v>200</v>
      </c>
      <c r="AF2594" s="194" t="s">
        <v>252</v>
      </c>
      <c r="AG2594" s="194">
        <v>226</v>
      </c>
      <c r="AH2594" s="194" t="s">
        <v>252</v>
      </c>
      <c r="AI2594" s="194">
        <v>206</v>
      </c>
      <c r="AJ2594" s="194" t="s">
        <v>252</v>
      </c>
      <c r="AK2594" s="194">
        <v>251</v>
      </c>
      <c r="AL2594" s="194" t="s">
        <v>252</v>
      </c>
      <c r="AM2594" s="179">
        <f t="shared" si="25"/>
        <v>2196</v>
      </c>
    </row>
    <row r="2595" spans="2:39" s="3" customFormat="1" ht="15.75" outlineLevel="1">
      <c r="B2595" s="178" t="s">
        <v>1276</v>
      </c>
      <c r="C2595" s="218" t="s">
        <v>1489</v>
      </c>
      <c r="D2595" s="219" t="s">
        <v>1403</v>
      </c>
      <c r="E2595" s="382" t="s">
        <v>138</v>
      </c>
      <c r="F2595" s="384" t="s">
        <v>45</v>
      </c>
      <c r="G2595" s="188" t="s">
        <v>1432</v>
      </c>
      <c r="H2595" s="376">
        <v>81</v>
      </c>
      <c r="I2595" s="188" t="s">
        <v>1433</v>
      </c>
      <c r="J2595" s="379" t="s">
        <v>1456</v>
      </c>
      <c r="K2595" s="173" t="s">
        <v>233</v>
      </c>
      <c r="L2595" s="173" t="s">
        <v>233</v>
      </c>
      <c r="M2595" s="376">
        <v>7126</v>
      </c>
      <c r="N2595" s="376">
        <v>6532</v>
      </c>
      <c r="O2595" s="376">
        <v>317</v>
      </c>
      <c r="P2595" s="376" t="s">
        <v>252</v>
      </c>
      <c r="Q2595" s="376">
        <v>386</v>
      </c>
      <c r="R2595" s="376" t="s">
        <v>252</v>
      </c>
      <c r="S2595" s="376">
        <v>315</v>
      </c>
      <c r="T2595" s="376" t="s">
        <v>252</v>
      </c>
      <c r="U2595" s="376">
        <v>420</v>
      </c>
      <c r="V2595" s="376" t="s">
        <v>252</v>
      </c>
      <c r="W2595" s="376">
        <v>384</v>
      </c>
      <c r="X2595" s="376" t="s">
        <v>252</v>
      </c>
      <c r="Y2595" s="376">
        <v>446</v>
      </c>
      <c r="Z2595" s="376" t="s">
        <v>252</v>
      </c>
      <c r="AA2595" s="376">
        <v>370</v>
      </c>
      <c r="AB2595" s="376" t="s">
        <v>252</v>
      </c>
      <c r="AC2595" s="376">
        <v>358</v>
      </c>
      <c r="AD2595" s="376" t="s">
        <v>252</v>
      </c>
      <c r="AE2595" s="376">
        <v>417</v>
      </c>
      <c r="AF2595" s="376" t="s">
        <v>252</v>
      </c>
      <c r="AG2595" s="376">
        <v>398</v>
      </c>
      <c r="AH2595" s="376" t="s">
        <v>252</v>
      </c>
      <c r="AI2595" s="376">
        <v>378</v>
      </c>
      <c r="AJ2595" s="376" t="s">
        <v>252</v>
      </c>
      <c r="AK2595" s="376">
        <v>412</v>
      </c>
      <c r="AL2595" s="376" t="s">
        <v>252</v>
      </c>
      <c r="AM2595" s="336">
        <f>O2595+Q2595+S2595+U2595+W2595+Y2595+AA2595+AC2595+AE2595+AG2595+AI2595+AK2595</f>
        <v>4601</v>
      </c>
    </row>
    <row r="2596" spans="2:39" s="3" customFormat="1" ht="15.75" outlineLevel="1">
      <c r="B2596" s="178" t="s">
        <v>1277</v>
      </c>
      <c r="C2596" s="218" t="s">
        <v>1489</v>
      </c>
      <c r="D2596" s="219" t="s">
        <v>1403</v>
      </c>
      <c r="E2596" s="383"/>
      <c r="F2596" s="385"/>
      <c r="G2596" s="188" t="s">
        <v>1432</v>
      </c>
      <c r="H2596" s="377"/>
      <c r="I2596" s="188" t="s">
        <v>1433</v>
      </c>
      <c r="J2596" s="381"/>
      <c r="K2596" s="173" t="s">
        <v>233</v>
      </c>
      <c r="L2596" s="173" t="s">
        <v>233</v>
      </c>
      <c r="M2596" s="378"/>
      <c r="N2596" s="378"/>
      <c r="O2596" s="378"/>
      <c r="P2596" s="378"/>
      <c r="Q2596" s="378"/>
      <c r="R2596" s="378"/>
      <c r="S2596" s="378"/>
      <c r="T2596" s="378"/>
      <c r="U2596" s="378"/>
      <c r="V2596" s="378"/>
      <c r="W2596" s="378"/>
      <c r="X2596" s="378"/>
      <c r="Y2596" s="378"/>
      <c r="Z2596" s="378"/>
      <c r="AA2596" s="378"/>
      <c r="AB2596" s="378"/>
      <c r="AC2596" s="378"/>
      <c r="AD2596" s="378"/>
      <c r="AE2596" s="378"/>
      <c r="AF2596" s="378"/>
      <c r="AG2596" s="378"/>
      <c r="AH2596" s="378"/>
      <c r="AI2596" s="378"/>
      <c r="AJ2596" s="378"/>
      <c r="AK2596" s="378"/>
      <c r="AL2596" s="378"/>
      <c r="AM2596" s="337"/>
    </row>
    <row r="2597" spans="2:39" s="3" customFormat="1" ht="15.75" outlineLevel="1">
      <c r="B2597" s="178" t="s">
        <v>1276</v>
      </c>
      <c r="C2597" s="218" t="s">
        <v>1489</v>
      </c>
      <c r="D2597" s="219" t="s">
        <v>1403</v>
      </c>
      <c r="E2597" s="382" t="s">
        <v>44</v>
      </c>
      <c r="F2597" s="384" t="s">
        <v>45</v>
      </c>
      <c r="G2597" s="188" t="s">
        <v>1432</v>
      </c>
      <c r="H2597" s="377"/>
      <c r="I2597" s="188" t="s">
        <v>1433</v>
      </c>
      <c r="J2597" s="381"/>
      <c r="K2597" s="173" t="s">
        <v>233</v>
      </c>
      <c r="L2597" s="173" t="s">
        <v>233</v>
      </c>
      <c r="M2597" s="376">
        <v>6002</v>
      </c>
      <c r="N2597" s="376">
        <v>5619</v>
      </c>
      <c r="O2597" s="376">
        <v>658</v>
      </c>
      <c r="P2597" s="376" t="s">
        <v>252</v>
      </c>
      <c r="Q2597" s="376">
        <v>637</v>
      </c>
      <c r="R2597" s="376" t="s">
        <v>252</v>
      </c>
      <c r="S2597" s="376">
        <v>513</v>
      </c>
      <c r="T2597" s="376" t="s">
        <v>252</v>
      </c>
      <c r="U2597" s="376">
        <v>720</v>
      </c>
      <c r="V2597" s="376" t="s">
        <v>252</v>
      </c>
      <c r="W2597" s="376">
        <v>547</v>
      </c>
      <c r="X2597" s="376" t="s">
        <v>252</v>
      </c>
      <c r="Y2597" s="376">
        <v>439</v>
      </c>
      <c r="Z2597" s="376" t="s">
        <v>252</v>
      </c>
      <c r="AA2597" s="376">
        <v>329</v>
      </c>
      <c r="AB2597" s="376" t="s">
        <v>252</v>
      </c>
      <c r="AC2597" s="376">
        <v>440</v>
      </c>
      <c r="AD2597" s="376" t="s">
        <v>252</v>
      </c>
      <c r="AE2597" s="376">
        <v>618</v>
      </c>
      <c r="AF2597" s="376" t="s">
        <v>252</v>
      </c>
      <c r="AG2597" s="376">
        <v>732</v>
      </c>
      <c r="AH2597" s="376" t="s">
        <v>252</v>
      </c>
      <c r="AI2597" s="376">
        <v>687</v>
      </c>
      <c r="AJ2597" s="376" t="s">
        <v>252</v>
      </c>
      <c r="AK2597" s="376">
        <v>726</v>
      </c>
      <c r="AL2597" s="376" t="s">
        <v>252</v>
      </c>
      <c r="AM2597" s="336">
        <f>O2597+Q2597+S2597+U2597+W2597+Y2597+AA2597+AC2597+AE2597+AG2597+AI2597+AK2597</f>
        <v>7046</v>
      </c>
    </row>
    <row r="2598" spans="2:39" s="3" customFormat="1" ht="15.75" outlineLevel="1">
      <c r="B2598" s="178" t="s">
        <v>1277</v>
      </c>
      <c r="C2598" s="218" t="s">
        <v>1489</v>
      </c>
      <c r="D2598" s="219" t="s">
        <v>1403</v>
      </c>
      <c r="E2598" s="383"/>
      <c r="F2598" s="385"/>
      <c r="G2598" s="188" t="s">
        <v>1432</v>
      </c>
      <c r="H2598" s="378"/>
      <c r="I2598" s="188" t="s">
        <v>1433</v>
      </c>
      <c r="J2598" s="380"/>
      <c r="K2598" s="173" t="s">
        <v>233</v>
      </c>
      <c r="L2598" s="173" t="s">
        <v>233</v>
      </c>
      <c r="M2598" s="378"/>
      <c r="N2598" s="378"/>
      <c r="O2598" s="378"/>
      <c r="P2598" s="378"/>
      <c r="Q2598" s="378"/>
      <c r="R2598" s="378"/>
      <c r="S2598" s="378"/>
      <c r="T2598" s="378"/>
      <c r="U2598" s="378"/>
      <c r="V2598" s="378"/>
      <c r="W2598" s="378"/>
      <c r="X2598" s="378"/>
      <c r="Y2598" s="378"/>
      <c r="Z2598" s="378"/>
      <c r="AA2598" s="378"/>
      <c r="AB2598" s="378"/>
      <c r="AC2598" s="378"/>
      <c r="AD2598" s="378"/>
      <c r="AE2598" s="378"/>
      <c r="AF2598" s="378"/>
      <c r="AG2598" s="378"/>
      <c r="AH2598" s="378"/>
      <c r="AI2598" s="378"/>
      <c r="AJ2598" s="378"/>
      <c r="AK2598" s="378"/>
      <c r="AL2598" s="378"/>
      <c r="AM2598" s="337"/>
    </row>
    <row r="2599" spans="2:39" s="3" customFormat="1" ht="15.75" outlineLevel="1">
      <c r="B2599" s="178" t="s">
        <v>1278</v>
      </c>
      <c r="C2599" s="218" t="s">
        <v>1489</v>
      </c>
      <c r="D2599" s="219" t="s">
        <v>1403</v>
      </c>
      <c r="E2599" s="23" t="s">
        <v>44</v>
      </c>
      <c r="F2599" s="93" t="s">
        <v>45</v>
      </c>
      <c r="G2599" s="188" t="s">
        <v>1432</v>
      </c>
      <c r="H2599" s="194">
        <v>31</v>
      </c>
      <c r="I2599" s="188" t="s">
        <v>1433</v>
      </c>
      <c r="J2599" s="220" t="s">
        <v>617</v>
      </c>
      <c r="K2599" s="173" t="s">
        <v>233</v>
      </c>
      <c r="L2599" s="173" t="s">
        <v>233</v>
      </c>
      <c r="M2599" s="194">
        <v>2615</v>
      </c>
      <c r="N2599" s="194">
        <v>2872</v>
      </c>
      <c r="O2599" s="194">
        <v>317</v>
      </c>
      <c r="P2599" s="194" t="s">
        <v>252</v>
      </c>
      <c r="Q2599" s="194">
        <v>356</v>
      </c>
      <c r="R2599" s="194" t="s">
        <v>252</v>
      </c>
      <c r="S2599" s="194">
        <v>165</v>
      </c>
      <c r="T2599" s="194" t="s">
        <v>252</v>
      </c>
      <c r="U2599" s="194">
        <v>265</v>
      </c>
      <c r="V2599" s="194" t="s">
        <v>252</v>
      </c>
      <c r="W2599" s="194">
        <v>204</v>
      </c>
      <c r="X2599" s="194" t="s">
        <v>252</v>
      </c>
      <c r="Y2599" s="194">
        <v>182</v>
      </c>
      <c r="Z2599" s="194" t="s">
        <v>252</v>
      </c>
      <c r="AA2599" s="194">
        <v>107</v>
      </c>
      <c r="AB2599" s="194" t="s">
        <v>252</v>
      </c>
      <c r="AC2599" s="194">
        <v>158</v>
      </c>
      <c r="AD2599" s="194" t="s">
        <v>252</v>
      </c>
      <c r="AE2599" s="194">
        <v>306</v>
      </c>
      <c r="AF2599" s="194" t="s">
        <v>252</v>
      </c>
      <c r="AG2599" s="194">
        <v>315</v>
      </c>
      <c r="AH2599" s="194" t="s">
        <v>252</v>
      </c>
      <c r="AI2599" s="194">
        <v>327</v>
      </c>
      <c r="AJ2599" s="194" t="s">
        <v>252</v>
      </c>
      <c r="AK2599" s="194">
        <v>428</v>
      </c>
      <c r="AL2599" s="194" t="s">
        <v>252</v>
      </c>
      <c r="AM2599" s="179">
        <f t="shared" ref="AM2599:AM2627" si="26">O2599+Q2599+S2599+U2599+W2599+Y2599+AA2599+AC2599+AE2599+AG2599+AI2599+AK2599</f>
        <v>3130</v>
      </c>
    </row>
    <row r="2600" spans="2:39" s="3" customFormat="1" ht="15.75" outlineLevel="1">
      <c r="B2600" s="178" t="s">
        <v>1279</v>
      </c>
      <c r="C2600" s="218" t="s">
        <v>1489</v>
      </c>
      <c r="D2600" s="219" t="s">
        <v>1403</v>
      </c>
      <c r="E2600" s="23" t="s">
        <v>44</v>
      </c>
      <c r="F2600" s="93" t="s">
        <v>45</v>
      </c>
      <c r="G2600" s="188" t="s">
        <v>1432</v>
      </c>
      <c r="H2600" s="194">
        <v>24</v>
      </c>
      <c r="I2600" s="188" t="s">
        <v>1433</v>
      </c>
      <c r="J2600" s="220" t="s">
        <v>1176</v>
      </c>
      <c r="K2600" s="173" t="s">
        <v>233</v>
      </c>
      <c r="L2600" s="173" t="s">
        <v>233</v>
      </c>
      <c r="M2600" s="194">
        <v>494</v>
      </c>
      <c r="N2600" s="194">
        <v>717</v>
      </c>
      <c r="O2600" s="194">
        <v>68</v>
      </c>
      <c r="P2600" s="194" t="s">
        <v>252</v>
      </c>
      <c r="Q2600" s="194">
        <v>75</v>
      </c>
      <c r="R2600" s="194" t="s">
        <v>252</v>
      </c>
      <c r="S2600" s="194">
        <v>27</v>
      </c>
      <c r="T2600" s="194" t="s">
        <v>252</v>
      </c>
      <c r="U2600" s="194">
        <v>113</v>
      </c>
      <c r="V2600" s="194" t="s">
        <v>252</v>
      </c>
      <c r="W2600" s="194">
        <v>53</v>
      </c>
      <c r="X2600" s="194" t="s">
        <v>252</v>
      </c>
      <c r="Y2600" s="194">
        <v>61</v>
      </c>
      <c r="Z2600" s="194" t="s">
        <v>252</v>
      </c>
      <c r="AA2600" s="194">
        <v>51</v>
      </c>
      <c r="AB2600" s="194" t="s">
        <v>252</v>
      </c>
      <c r="AC2600" s="194">
        <v>52</v>
      </c>
      <c r="AD2600" s="194" t="s">
        <v>252</v>
      </c>
      <c r="AE2600" s="194">
        <v>57</v>
      </c>
      <c r="AF2600" s="194" t="s">
        <v>252</v>
      </c>
      <c r="AG2600" s="194">
        <v>54</v>
      </c>
      <c r="AH2600" s="194" t="s">
        <v>252</v>
      </c>
      <c r="AI2600" s="194">
        <v>60</v>
      </c>
      <c r="AJ2600" s="194" t="s">
        <v>252</v>
      </c>
      <c r="AK2600" s="194">
        <v>82</v>
      </c>
      <c r="AL2600" s="194" t="s">
        <v>252</v>
      </c>
      <c r="AM2600" s="179">
        <f t="shared" si="26"/>
        <v>753</v>
      </c>
    </row>
    <row r="2601" spans="2:39" s="3" customFormat="1" ht="15.75" outlineLevel="1">
      <c r="B2601" s="178" t="s">
        <v>1280</v>
      </c>
      <c r="C2601" s="218" t="s">
        <v>1489</v>
      </c>
      <c r="D2601" s="219" t="s">
        <v>1403</v>
      </c>
      <c r="E2601" s="23" t="s">
        <v>44</v>
      </c>
      <c r="F2601" s="93" t="s">
        <v>45</v>
      </c>
      <c r="G2601" s="188" t="s">
        <v>1432</v>
      </c>
      <c r="H2601" s="194">
        <v>32</v>
      </c>
      <c r="I2601" s="188" t="s">
        <v>1433</v>
      </c>
      <c r="J2601" s="220" t="s">
        <v>617</v>
      </c>
      <c r="K2601" s="173" t="s">
        <v>233</v>
      </c>
      <c r="L2601" s="173" t="s">
        <v>233</v>
      </c>
      <c r="M2601" s="194">
        <v>3020</v>
      </c>
      <c r="N2601" s="194">
        <v>2347</v>
      </c>
      <c r="O2601" s="194">
        <v>223</v>
      </c>
      <c r="P2601" s="194" t="s">
        <v>252</v>
      </c>
      <c r="Q2601" s="194">
        <v>131</v>
      </c>
      <c r="R2601" s="194" t="s">
        <v>252</v>
      </c>
      <c r="S2601" s="194">
        <v>107</v>
      </c>
      <c r="T2601" s="194" t="s">
        <v>252</v>
      </c>
      <c r="U2601" s="194">
        <v>153</v>
      </c>
      <c r="V2601" s="194" t="s">
        <v>252</v>
      </c>
      <c r="W2601" s="194">
        <v>121</v>
      </c>
      <c r="X2601" s="194" t="s">
        <v>252</v>
      </c>
      <c r="Y2601" s="194">
        <v>114</v>
      </c>
      <c r="Z2601" s="194" t="s">
        <v>252</v>
      </c>
      <c r="AA2601" s="194">
        <v>73</v>
      </c>
      <c r="AB2601" s="194" t="s">
        <v>252</v>
      </c>
      <c r="AC2601" s="194">
        <v>77</v>
      </c>
      <c r="AD2601" s="194" t="s">
        <v>252</v>
      </c>
      <c r="AE2601" s="194">
        <v>109</v>
      </c>
      <c r="AF2601" s="194" t="s">
        <v>252</v>
      </c>
      <c r="AG2601" s="194">
        <v>130</v>
      </c>
      <c r="AH2601" s="194" t="s">
        <v>252</v>
      </c>
      <c r="AI2601" s="194">
        <v>173</v>
      </c>
      <c r="AJ2601" s="194" t="s">
        <v>252</v>
      </c>
      <c r="AK2601" s="194">
        <v>248</v>
      </c>
      <c r="AL2601" s="194" t="s">
        <v>252</v>
      </c>
      <c r="AM2601" s="179">
        <f t="shared" si="26"/>
        <v>1659</v>
      </c>
    </row>
    <row r="2602" spans="2:39" s="3" customFormat="1" ht="15.75" outlineLevel="1">
      <c r="B2602" s="178" t="s">
        <v>1281</v>
      </c>
      <c r="C2602" s="218" t="s">
        <v>1489</v>
      </c>
      <c r="D2602" s="219" t="s">
        <v>1403</v>
      </c>
      <c r="E2602" s="23" t="s">
        <v>44</v>
      </c>
      <c r="F2602" s="93" t="s">
        <v>45</v>
      </c>
      <c r="G2602" s="188" t="s">
        <v>1432</v>
      </c>
      <c r="H2602" s="194">
        <v>29</v>
      </c>
      <c r="I2602" s="188" t="s">
        <v>1433</v>
      </c>
      <c r="J2602" s="220" t="s">
        <v>216</v>
      </c>
      <c r="K2602" s="173" t="s">
        <v>233</v>
      </c>
      <c r="L2602" s="173" t="s">
        <v>233</v>
      </c>
      <c r="M2602" s="194">
        <v>7851</v>
      </c>
      <c r="N2602" s="194">
        <v>7933</v>
      </c>
      <c r="O2602" s="194">
        <v>615</v>
      </c>
      <c r="P2602" s="194" t="s">
        <v>252</v>
      </c>
      <c r="Q2602" s="194">
        <v>600</v>
      </c>
      <c r="R2602" s="194" t="s">
        <v>252</v>
      </c>
      <c r="S2602" s="194">
        <v>600</v>
      </c>
      <c r="T2602" s="194" t="s">
        <v>252</v>
      </c>
      <c r="U2602" s="194">
        <v>550</v>
      </c>
      <c r="V2602" s="194" t="s">
        <v>252</v>
      </c>
      <c r="W2602" s="194">
        <v>450</v>
      </c>
      <c r="X2602" s="194" t="s">
        <v>252</v>
      </c>
      <c r="Y2602" s="194">
        <v>450</v>
      </c>
      <c r="Z2602" s="194" t="s">
        <v>252</v>
      </c>
      <c r="AA2602" s="194">
        <v>500</v>
      </c>
      <c r="AB2602" s="194" t="s">
        <v>252</v>
      </c>
      <c r="AC2602" s="194">
        <v>600</v>
      </c>
      <c r="AD2602" s="194" t="s">
        <v>252</v>
      </c>
      <c r="AE2602" s="194">
        <v>600</v>
      </c>
      <c r="AF2602" s="194" t="s">
        <v>252</v>
      </c>
      <c r="AG2602" s="194">
        <v>600</v>
      </c>
      <c r="AH2602" s="194" t="s">
        <v>252</v>
      </c>
      <c r="AI2602" s="194">
        <v>443</v>
      </c>
      <c r="AJ2602" s="194" t="s">
        <v>252</v>
      </c>
      <c r="AK2602" s="194">
        <v>600</v>
      </c>
      <c r="AL2602" s="194" t="s">
        <v>252</v>
      </c>
      <c r="AM2602" s="179">
        <f t="shared" si="26"/>
        <v>6608</v>
      </c>
    </row>
    <row r="2603" spans="2:39" s="3" customFormat="1" ht="15.75" outlineLevel="1">
      <c r="B2603" s="178" t="s">
        <v>1282</v>
      </c>
      <c r="C2603" s="218" t="s">
        <v>1489</v>
      </c>
      <c r="D2603" s="219" t="s">
        <v>1403</v>
      </c>
      <c r="E2603" s="23" t="s">
        <v>44</v>
      </c>
      <c r="F2603" s="93" t="s">
        <v>45</v>
      </c>
      <c r="G2603" s="188" t="s">
        <v>1432</v>
      </c>
      <c r="H2603" s="194">
        <v>38</v>
      </c>
      <c r="I2603" s="188" t="s">
        <v>1433</v>
      </c>
      <c r="J2603" s="220" t="s">
        <v>1440</v>
      </c>
      <c r="K2603" s="173" t="s">
        <v>233</v>
      </c>
      <c r="L2603" s="173" t="s">
        <v>233</v>
      </c>
      <c r="M2603" s="194">
        <v>6032</v>
      </c>
      <c r="N2603" s="194">
        <v>4749</v>
      </c>
      <c r="O2603" s="194">
        <v>450</v>
      </c>
      <c r="P2603" s="194" t="s">
        <v>252</v>
      </c>
      <c r="Q2603" s="194">
        <v>500</v>
      </c>
      <c r="R2603" s="194" t="s">
        <v>252</v>
      </c>
      <c r="S2603" s="194">
        <v>396</v>
      </c>
      <c r="T2603" s="194" t="s">
        <v>252</v>
      </c>
      <c r="U2603" s="194">
        <v>487</v>
      </c>
      <c r="V2603" s="194" t="s">
        <v>252</v>
      </c>
      <c r="W2603" s="194">
        <v>357</v>
      </c>
      <c r="X2603" s="194" t="s">
        <v>252</v>
      </c>
      <c r="Y2603" s="194">
        <v>377</v>
      </c>
      <c r="Z2603" s="194" t="s">
        <v>252</v>
      </c>
      <c r="AA2603" s="194">
        <v>333</v>
      </c>
      <c r="AB2603" s="194" t="s">
        <v>252</v>
      </c>
      <c r="AC2603" s="194">
        <v>351</v>
      </c>
      <c r="AD2603" s="194" t="s">
        <v>252</v>
      </c>
      <c r="AE2603" s="194">
        <v>391</v>
      </c>
      <c r="AF2603" s="194" t="s">
        <v>252</v>
      </c>
      <c r="AG2603" s="194">
        <v>445</v>
      </c>
      <c r="AH2603" s="194" t="s">
        <v>252</v>
      </c>
      <c r="AI2603" s="194">
        <v>443</v>
      </c>
      <c r="AJ2603" s="194" t="s">
        <v>252</v>
      </c>
      <c r="AK2603" s="194">
        <v>456</v>
      </c>
      <c r="AL2603" s="194" t="s">
        <v>252</v>
      </c>
      <c r="AM2603" s="179">
        <f t="shared" si="26"/>
        <v>4986</v>
      </c>
    </row>
    <row r="2604" spans="2:39" s="3" customFormat="1" ht="15.75" outlineLevel="1">
      <c r="B2604" s="178" t="s">
        <v>1283</v>
      </c>
      <c r="C2604" s="218" t="s">
        <v>1489</v>
      </c>
      <c r="D2604" s="219" t="s">
        <v>1403</v>
      </c>
      <c r="E2604" s="23" t="s">
        <v>44</v>
      </c>
      <c r="F2604" s="93" t="s">
        <v>45</v>
      </c>
      <c r="G2604" s="188" t="s">
        <v>1432</v>
      </c>
      <c r="H2604" s="194">
        <v>36</v>
      </c>
      <c r="I2604" s="188" t="s">
        <v>1433</v>
      </c>
      <c r="J2604" s="220" t="s">
        <v>1464</v>
      </c>
      <c r="K2604" s="173" t="s">
        <v>233</v>
      </c>
      <c r="L2604" s="173" t="s">
        <v>233</v>
      </c>
      <c r="M2604" s="194">
        <v>5464</v>
      </c>
      <c r="N2604" s="194">
        <v>3393</v>
      </c>
      <c r="O2604" s="194">
        <v>276</v>
      </c>
      <c r="P2604" s="194" t="s">
        <v>252</v>
      </c>
      <c r="Q2604" s="194">
        <v>347</v>
      </c>
      <c r="R2604" s="194" t="s">
        <v>252</v>
      </c>
      <c r="S2604" s="194">
        <v>194</v>
      </c>
      <c r="T2604" s="194" t="s">
        <v>252</v>
      </c>
      <c r="U2604" s="194">
        <v>156</v>
      </c>
      <c r="V2604" s="194" t="s">
        <v>252</v>
      </c>
      <c r="W2604" s="194">
        <v>130</v>
      </c>
      <c r="X2604" s="194" t="s">
        <v>252</v>
      </c>
      <c r="Y2604" s="194">
        <v>183</v>
      </c>
      <c r="Z2604" s="194" t="s">
        <v>252</v>
      </c>
      <c r="AA2604" s="194">
        <v>161</v>
      </c>
      <c r="AB2604" s="194" t="s">
        <v>252</v>
      </c>
      <c r="AC2604" s="194">
        <v>214</v>
      </c>
      <c r="AD2604" s="194" t="s">
        <v>252</v>
      </c>
      <c r="AE2604" s="194">
        <v>235</v>
      </c>
      <c r="AF2604" s="194" t="s">
        <v>252</v>
      </c>
      <c r="AG2604" s="194">
        <v>294</v>
      </c>
      <c r="AH2604" s="194" t="s">
        <v>252</v>
      </c>
      <c r="AI2604" s="194">
        <v>210</v>
      </c>
      <c r="AJ2604" s="194" t="s">
        <v>252</v>
      </c>
      <c r="AK2604" s="194">
        <v>270</v>
      </c>
      <c r="AL2604" s="194" t="s">
        <v>252</v>
      </c>
      <c r="AM2604" s="179">
        <f t="shared" si="26"/>
        <v>2670</v>
      </c>
    </row>
    <row r="2605" spans="2:39" s="3" customFormat="1" ht="15.75" outlineLevel="1">
      <c r="B2605" s="178" t="s">
        <v>1284</v>
      </c>
      <c r="C2605" s="218" t="s">
        <v>1489</v>
      </c>
      <c r="D2605" s="219" t="s">
        <v>1403</v>
      </c>
      <c r="E2605" s="23" t="s">
        <v>44</v>
      </c>
      <c r="F2605" s="222" t="s">
        <v>45</v>
      </c>
      <c r="G2605" s="188" t="s">
        <v>1432</v>
      </c>
      <c r="H2605" s="376">
        <v>27</v>
      </c>
      <c r="I2605" s="188" t="s">
        <v>1433</v>
      </c>
      <c r="J2605" s="379" t="s">
        <v>617</v>
      </c>
      <c r="K2605" s="173" t="s">
        <v>233</v>
      </c>
      <c r="L2605" s="173" t="s">
        <v>233</v>
      </c>
      <c r="M2605" s="376">
        <v>1151</v>
      </c>
      <c r="N2605" s="376">
        <v>1878</v>
      </c>
      <c r="O2605" s="376">
        <v>257</v>
      </c>
      <c r="P2605" s="376" t="s">
        <v>252</v>
      </c>
      <c r="Q2605" s="376">
        <v>183</v>
      </c>
      <c r="R2605" s="376" t="s">
        <v>252</v>
      </c>
      <c r="S2605" s="376">
        <v>117</v>
      </c>
      <c r="T2605" s="376" t="s">
        <v>252</v>
      </c>
      <c r="U2605" s="376">
        <v>110</v>
      </c>
      <c r="V2605" s="376" t="s">
        <v>252</v>
      </c>
      <c r="W2605" s="376">
        <v>69</v>
      </c>
      <c r="X2605" s="376" t="s">
        <v>252</v>
      </c>
      <c r="Y2605" s="376">
        <v>62</v>
      </c>
      <c r="Z2605" s="376" t="s">
        <v>252</v>
      </c>
      <c r="AA2605" s="376">
        <v>36</v>
      </c>
      <c r="AB2605" s="376" t="s">
        <v>252</v>
      </c>
      <c r="AC2605" s="376">
        <v>54</v>
      </c>
      <c r="AD2605" s="376" t="s">
        <v>252</v>
      </c>
      <c r="AE2605" s="376">
        <v>92</v>
      </c>
      <c r="AF2605" s="376" t="s">
        <v>252</v>
      </c>
      <c r="AG2605" s="376">
        <v>139</v>
      </c>
      <c r="AH2605" s="376" t="s">
        <v>252</v>
      </c>
      <c r="AI2605" s="376">
        <v>196</v>
      </c>
      <c r="AJ2605" s="376" t="s">
        <v>252</v>
      </c>
      <c r="AK2605" s="376">
        <v>249</v>
      </c>
      <c r="AL2605" s="376" t="s">
        <v>252</v>
      </c>
      <c r="AM2605" s="336">
        <f t="shared" si="26"/>
        <v>1564</v>
      </c>
    </row>
    <row r="2606" spans="2:39" s="3" customFormat="1" ht="15.75" outlineLevel="1">
      <c r="B2606" s="178" t="s">
        <v>1285</v>
      </c>
      <c r="C2606" s="218" t="s">
        <v>1489</v>
      </c>
      <c r="D2606" s="219" t="s">
        <v>1403</v>
      </c>
      <c r="E2606" s="23" t="s">
        <v>44</v>
      </c>
      <c r="F2606" s="222" t="s">
        <v>45</v>
      </c>
      <c r="G2606" s="188" t="s">
        <v>1432</v>
      </c>
      <c r="H2606" s="378"/>
      <c r="I2606" s="188" t="s">
        <v>1433</v>
      </c>
      <c r="J2606" s="380"/>
      <c r="K2606" s="173" t="s">
        <v>233</v>
      </c>
      <c r="L2606" s="173" t="s">
        <v>233</v>
      </c>
      <c r="M2606" s="378"/>
      <c r="N2606" s="378"/>
      <c r="O2606" s="378"/>
      <c r="P2606" s="378"/>
      <c r="Q2606" s="378"/>
      <c r="R2606" s="378"/>
      <c r="S2606" s="378"/>
      <c r="T2606" s="378"/>
      <c r="U2606" s="378"/>
      <c r="V2606" s="378"/>
      <c r="W2606" s="378"/>
      <c r="X2606" s="378"/>
      <c r="Y2606" s="378"/>
      <c r="Z2606" s="378"/>
      <c r="AA2606" s="378"/>
      <c r="AB2606" s="378"/>
      <c r="AC2606" s="378"/>
      <c r="AD2606" s="378"/>
      <c r="AE2606" s="378"/>
      <c r="AF2606" s="378"/>
      <c r="AG2606" s="378"/>
      <c r="AH2606" s="378"/>
      <c r="AI2606" s="378"/>
      <c r="AJ2606" s="378"/>
      <c r="AK2606" s="378"/>
      <c r="AL2606" s="378"/>
      <c r="AM2606" s="337"/>
    </row>
    <row r="2607" spans="2:39" s="3" customFormat="1" ht="15.75" outlineLevel="1">
      <c r="B2607" s="178" t="s">
        <v>1286</v>
      </c>
      <c r="C2607" s="218" t="s">
        <v>1489</v>
      </c>
      <c r="D2607" s="219" t="s">
        <v>1403</v>
      </c>
      <c r="E2607" s="23" t="s">
        <v>44</v>
      </c>
      <c r="F2607" s="93" t="s">
        <v>45</v>
      </c>
      <c r="G2607" s="188" t="s">
        <v>1432</v>
      </c>
      <c r="H2607" s="194">
        <v>26</v>
      </c>
      <c r="I2607" s="188" t="s">
        <v>1433</v>
      </c>
      <c r="J2607" s="220" t="s">
        <v>1470</v>
      </c>
      <c r="K2607" s="173" t="s">
        <v>233</v>
      </c>
      <c r="L2607" s="173" t="s">
        <v>233</v>
      </c>
      <c r="M2607" s="194">
        <v>1848</v>
      </c>
      <c r="N2607" s="194">
        <v>2113</v>
      </c>
      <c r="O2607" s="194">
        <v>217</v>
      </c>
      <c r="P2607" s="194" t="s">
        <v>252</v>
      </c>
      <c r="Q2607" s="194">
        <v>198</v>
      </c>
      <c r="R2607" s="194" t="s">
        <v>252</v>
      </c>
      <c r="S2607" s="194">
        <v>126</v>
      </c>
      <c r="T2607" s="194" t="s">
        <v>252</v>
      </c>
      <c r="U2607" s="194">
        <v>207</v>
      </c>
      <c r="V2607" s="194" t="s">
        <v>252</v>
      </c>
      <c r="W2607" s="194">
        <v>157</v>
      </c>
      <c r="X2607" s="194" t="s">
        <v>252</v>
      </c>
      <c r="Y2607" s="194">
        <v>231</v>
      </c>
      <c r="Z2607" s="194" t="s">
        <v>252</v>
      </c>
      <c r="AA2607" s="194">
        <v>39</v>
      </c>
      <c r="AB2607" s="194" t="s">
        <v>252</v>
      </c>
      <c r="AC2607" s="194">
        <v>76</v>
      </c>
      <c r="AD2607" s="194" t="s">
        <v>252</v>
      </c>
      <c r="AE2607" s="194">
        <v>183</v>
      </c>
      <c r="AF2607" s="194" t="s">
        <v>252</v>
      </c>
      <c r="AG2607" s="194">
        <v>203</v>
      </c>
      <c r="AH2607" s="194" t="s">
        <v>252</v>
      </c>
      <c r="AI2607" s="194">
        <v>179</v>
      </c>
      <c r="AJ2607" s="194" t="s">
        <v>252</v>
      </c>
      <c r="AK2607" s="194">
        <v>143</v>
      </c>
      <c r="AL2607" s="194" t="s">
        <v>252</v>
      </c>
      <c r="AM2607" s="179">
        <f t="shared" si="26"/>
        <v>1959</v>
      </c>
    </row>
    <row r="2608" spans="2:39" s="3" customFormat="1" ht="15.75" outlineLevel="1">
      <c r="B2608" s="178" t="s">
        <v>1287</v>
      </c>
      <c r="C2608" s="218" t="s">
        <v>1489</v>
      </c>
      <c r="D2608" s="219" t="s">
        <v>1403</v>
      </c>
      <c r="E2608" s="23" t="s">
        <v>44</v>
      </c>
      <c r="F2608" s="93" t="s">
        <v>45</v>
      </c>
      <c r="G2608" s="188" t="s">
        <v>1432</v>
      </c>
      <c r="H2608" s="376">
        <v>24</v>
      </c>
      <c r="I2608" s="188" t="s">
        <v>1433</v>
      </c>
      <c r="J2608" s="379" t="s">
        <v>617</v>
      </c>
      <c r="K2608" s="173" t="s">
        <v>233</v>
      </c>
      <c r="L2608" s="173" t="s">
        <v>233</v>
      </c>
      <c r="M2608" s="376">
        <v>897</v>
      </c>
      <c r="N2608" s="376">
        <v>902</v>
      </c>
      <c r="O2608" s="376">
        <v>50</v>
      </c>
      <c r="P2608" s="376" t="s">
        <v>259</v>
      </c>
      <c r="Q2608" s="376">
        <v>41</v>
      </c>
      <c r="R2608" s="376" t="s">
        <v>259</v>
      </c>
      <c r="S2608" s="376">
        <v>23</v>
      </c>
      <c r="T2608" s="376" t="s">
        <v>259</v>
      </c>
      <c r="U2608" s="376">
        <v>53</v>
      </c>
      <c r="V2608" s="376" t="s">
        <v>259</v>
      </c>
      <c r="W2608" s="376">
        <v>46</v>
      </c>
      <c r="X2608" s="376" t="s">
        <v>259</v>
      </c>
      <c r="Y2608" s="376">
        <v>40</v>
      </c>
      <c r="Z2608" s="376" t="s">
        <v>259</v>
      </c>
      <c r="AA2608" s="376">
        <v>32</v>
      </c>
      <c r="AB2608" s="376" t="s">
        <v>259</v>
      </c>
      <c r="AC2608" s="376">
        <v>50</v>
      </c>
      <c r="AD2608" s="376" t="s">
        <v>259</v>
      </c>
      <c r="AE2608" s="376">
        <v>75</v>
      </c>
      <c r="AF2608" s="376" t="s">
        <v>259</v>
      </c>
      <c r="AG2608" s="376">
        <v>79</v>
      </c>
      <c r="AH2608" s="376" t="s">
        <v>259</v>
      </c>
      <c r="AI2608" s="376">
        <v>80</v>
      </c>
      <c r="AJ2608" s="376" t="s">
        <v>259</v>
      </c>
      <c r="AK2608" s="376">
        <v>84</v>
      </c>
      <c r="AL2608" s="376" t="s">
        <v>259</v>
      </c>
      <c r="AM2608" s="336">
        <f t="shared" si="26"/>
        <v>653</v>
      </c>
    </row>
    <row r="2609" spans="2:39" s="3" customFormat="1" ht="15.75" outlineLevel="1">
      <c r="B2609" s="178" t="s">
        <v>1288</v>
      </c>
      <c r="C2609" s="218" t="s">
        <v>1489</v>
      </c>
      <c r="D2609" s="219" t="s">
        <v>1403</v>
      </c>
      <c r="E2609" s="23" t="s">
        <v>44</v>
      </c>
      <c r="F2609" s="93" t="s">
        <v>45</v>
      </c>
      <c r="G2609" s="188" t="s">
        <v>1432</v>
      </c>
      <c r="H2609" s="378"/>
      <c r="I2609" s="188" t="s">
        <v>1433</v>
      </c>
      <c r="J2609" s="380"/>
      <c r="K2609" s="173" t="s">
        <v>233</v>
      </c>
      <c r="L2609" s="173" t="s">
        <v>233</v>
      </c>
      <c r="M2609" s="378"/>
      <c r="N2609" s="378"/>
      <c r="O2609" s="378"/>
      <c r="P2609" s="378"/>
      <c r="Q2609" s="378"/>
      <c r="R2609" s="378"/>
      <c r="S2609" s="378"/>
      <c r="T2609" s="378"/>
      <c r="U2609" s="378"/>
      <c r="V2609" s="378"/>
      <c r="W2609" s="378"/>
      <c r="X2609" s="378"/>
      <c r="Y2609" s="378"/>
      <c r="Z2609" s="378"/>
      <c r="AA2609" s="378"/>
      <c r="AB2609" s="378"/>
      <c r="AC2609" s="378"/>
      <c r="AD2609" s="378"/>
      <c r="AE2609" s="378"/>
      <c r="AF2609" s="378"/>
      <c r="AG2609" s="378"/>
      <c r="AH2609" s="378"/>
      <c r="AI2609" s="378"/>
      <c r="AJ2609" s="378"/>
      <c r="AK2609" s="378"/>
      <c r="AL2609" s="378"/>
      <c r="AM2609" s="337"/>
    </row>
    <row r="2610" spans="2:39" s="3" customFormat="1" ht="15.75" outlineLevel="1">
      <c r="B2610" s="178" t="s">
        <v>1289</v>
      </c>
      <c r="C2610" s="218" t="s">
        <v>1489</v>
      </c>
      <c r="D2610" s="219" t="s">
        <v>1403</v>
      </c>
      <c r="E2610" s="23" t="s">
        <v>44</v>
      </c>
      <c r="F2610" s="93" t="s">
        <v>45</v>
      </c>
      <c r="G2610" s="188" t="s">
        <v>1432</v>
      </c>
      <c r="H2610" s="376">
        <v>29</v>
      </c>
      <c r="I2610" s="188" t="s">
        <v>1433</v>
      </c>
      <c r="J2610" s="379" t="s">
        <v>1457</v>
      </c>
      <c r="K2610" s="173" t="s">
        <v>233</v>
      </c>
      <c r="L2610" s="173" t="s">
        <v>233</v>
      </c>
      <c r="M2610" s="376">
        <v>1595</v>
      </c>
      <c r="N2610" s="376"/>
      <c r="O2610" s="376">
        <v>250</v>
      </c>
      <c r="P2610" s="376" t="s">
        <v>252</v>
      </c>
      <c r="Q2610" s="376">
        <v>223</v>
      </c>
      <c r="R2610" s="376" t="s">
        <v>252</v>
      </c>
      <c r="S2610" s="376">
        <v>233</v>
      </c>
      <c r="T2610" s="376" t="s">
        <v>252</v>
      </c>
      <c r="U2610" s="376">
        <v>178</v>
      </c>
      <c r="V2610" s="376" t="s">
        <v>252</v>
      </c>
      <c r="W2610" s="376">
        <v>250</v>
      </c>
      <c r="X2610" s="376" t="s">
        <v>252</v>
      </c>
      <c r="Y2610" s="376">
        <v>111</v>
      </c>
      <c r="Z2610" s="376" t="s">
        <v>252</v>
      </c>
      <c r="AA2610" s="376">
        <v>86</v>
      </c>
      <c r="AB2610" s="376" t="s">
        <v>252</v>
      </c>
      <c r="AC2610" s="376">
        <v>90</v>
      </c>
      <c r="AD2610" s="376" t="s">
        <v>252</v>
      </c>
      <c r="AE2610" s="376">
        <v>98</v>
      </c>
      <c r="AF2610" s="376" t="s">
        <v>252</v>
      </c>
      <c r="AG2610" s="376">
        <v>116</v>
      </c>
      <c r="AH2610" s="376" t="s">
        <v>252</v>
      </c>
      <c r="AI2610" s="376">
        <v>114</v>
      </c>
      <c r="AJ2610" s="376" t="s">
        <v>252</v>
      </c>
      <c r="AK2610" s="376">
        <v>110</v>
      </c>
      <c r="AL2610" s="376" t="s">
        <v>252</v>
      </c>
      <c r="AM2610" s="336">
        <f t="shared" si="26"/>
        <v>1859</v>
      </c>
    </row>
    <row r="2611" spans="2:39" s="3" customFormat="1" ht="15.75" outlineLevel="1">
      <c r="B2611" s="178" t="s">
        <v>1290</v>
      </c>
      <c r="C2611" s="218" t="s">
        <v>1489</v>
      </c>
      <c r="D2611" s="219" t="s">
        <v>1403</v>
      </c>
      <c r="E2611" s="23" t="s">
        <v>44</v>
      </c>
      <c r="F2611" s="93" t="s">
        <v>45</v>
      </c>
      <c r="G2611" s="188" t="s">
        <v>1432</v>
      </c>
      <c r="H2611" s="378"/>
      <c r="I2611" s="188" t="s">
        <v>1433</v>
      </c>
      <c r="J2611" s="380"/>
      <c r="K2611" s="173" t="s">
        <v>233</v>
      </c>
      <c r="L2611" s="173" t="s">
        <v>233</v>
      </c>
      <c r="M2611" s="378"/>
      <c r="N2611" s="378"/>
      <c r="O2611" s="378"/>
      <c r="P2611" s="378"/>
      <c r="Q2611" s="378"/>
      <c r="R2611" s="378"/>
      <c r="S2611" s="378"/>
      <c r="T2611" s="378"/>
      <c r="U2611" s="378"/>
      <c r="V2611" s="378"/>
      <c r="W2611" s="378"/>
      <c r="X2611" s="378"/>
      <c r="Y2611" s="378"/>
      <c r="Z2611" s="378"/>
      <c r="AA2611" s="378"/>
      <c r="AB2611" s="378"/>
      <c r="AC2611" s="378"/>
      <c r="AD2611" s="378"/>
      <c r="AE2611" s="378"/>
      <c r="AF2611" s="378"/>
      <c r="AG2611" s="378"/>
      <c r="AH2611" s="378"/>
      <c r="AI2611" s="378"/>
      <c r="AJ2611" s="378"/>
      <c r="AK2611" s="378"/>
      <c r="AL2611" s="378"/>
      <c r="AM2611" s="337"/>
    </row>
    <row r="2612" spans="2:39" s="3" customFormat="1" ht="15.75" outlineLevel="1">
      <c r="B2612" s="178" t="s">
        <v>1291</v>
      </c>
      <c r="C2612" s="218" t="s">
        <v>1489</v>
      </c>
      <c r="D2612" s="219" t="s">
        <v>1403</v>
      </c>
      <c r="E2612" s="23" t="s">
        <v>44</v>
      </c>
      <c r="F2612" s="93" t="s">
        <v>45</v>
      </c>
      <c r="G2612" s="188" t="s">
        <v>1432</v>
      </c>
      <c r="H2612" s="194">
        <v>31</v>
      </c>
      <c r="I2612" s="188" t="s">
        <v>1433</v>
      </c>
      <c r="J2612" s="220" t="s">
        <v>617</v>
      </c>
      <c r="K2612" s="173" t="s">
        <v>233</v>
      </c>
      <c r="L2612" s="173" t="s">
        <v>233</v>
      </c>
      <c r="M2612" s="194">
        <v>5536</v>
      </c>
      <c r="N2612" s="194">
        <v>5538</v>
      </c>
      <c r="O2612" s="194">
        <v>571</v>
      </c>
      <c r="P2612" s="194" t="s">
        <v>259</v>
      </c>
      <c r="Q2612" s="194">
        <v>666</v>
      </c>
      <c r="R2612" s="194" t="s">
        <v>259</v>
      </c>
      <c r="S2612" s="194">
        <v>372</v>
      </c>
      <c r="T2612" s="194" t="s">
        <v>259</v>
      </c>
      <c r="U2612" s="194">
        <v>611</v>
      </c>
      <c r="V2612" s="194" t="s">
        <v>259</v>
      </c>
      <c r="W2612" s="194">
        <v>529</v>
      </c>
      <c r="X2612" s="194" t="s">
        <v>259</v>
      </c>
      <c r="Y2612" s="194">
        <v>465</v>
      </c>
      <c r="Z2612" s="194" t="s">
        <v>259</v>
      </c>
      <c r="AA2612" s="194">
        <v>373</v>
      </c>
      <c r="AB2612" s="194" t="s">
        <v>259</v>
      </c>
      <c r="AC2612" s="194">
        <v>397</v>
      </c>
      <c r="AD2612" s="194" t="s">
        <v>259</v>
      </c>
      <c r="AE2612" s="194">
        <v>611</v>
      </c>
      <c r="AF2612" s="194" t="s">
        <v>259</v>
      </c>
      <c r="AG2612" s="194">
        <v>634</v>
      </c>
      <c r="AH2612" s="194" t="s">
        <v>259</v>
      </c>
      <c r="AI2612" s="194">
        <v>645</v>
      </c>
      <c r="AJ2612" s="194" t="s">
        <v>259</v>
      </c>
      <c r="AK2612" s="194">
        <v>677</v>
      </c>
      <c r="AL2612" s="194" t="s">
        <v>259</v>
      </c>
      <c r="AM2612" s="179">
        <f t="shared" si="26"/>
        <v>6551</v>
      </c>
    </row>
    <row r="2613" spans="2:39" s="3" customFormat="1" ht="15.75" outlineLevel="1">
      <c r="B2613" s="178" t="s">
        <v>1292</v>
      </c>
      <c r="C2613" s="218" t="s">
        <v>1489</v>
      </c>
      <c r="D2613" s="219" t="s">
        <v>1403</v>
      </c>
      <c r="E2613" s="23" t="s">
        <v>44</v>
      </c>
      <c r="F2613" s="93" t="s">
        <v>45</v>
      </c>
      <c r="G2613" s="188" t="s">
        <v>1432</v>
      </c>
      <c r="H2613" s="194">
        <v>42</v>
      </c>
      <c r="I2613" s="188" t="s">
        <v>1433</v>
      </c>
      <c r="J2613" s="220" t="s">
        <v>1464</v>
      </c>
      <c r="K2613" s="173" t="s">
        <v>233</v>
      </c>
      <c r="L2613" s="173" t="s">
        <v>233</v>
      </c>
      <c r="M2613" s="194">
        <v>2259</v>
      </c>
      <c r="N2613" s="194">
        <v>2063</v>
      </c>
      <c r="O2613" s="194">
        <v>158</v>
      </c>
      <c r="P2613" s="194" t="s">
        <v>252</v>
      </c>
      <c r="Q2613" s="194">
        <v>217</v>
      </c>
      <c r="R2613" s="194" t="s">
        <v>252</v>
      </c>
      <c r="S2613" s="194">
        <v>110</v>
      </c>
      <c r="T2613" s="194" t="s">
        <v>252</v>
      </c>
      <c r="U2613" s="194">
        <v>146</v>
      </c>
      <c r="V2613" s="194" t="s">
        <v>252</v>
      </c>
      <c r="W2613" s="194">
        <v>121</v>
      </c>
      <c r="X2613" s="194" t="s">
        <v>252</v>
      </c>
      <c r="Y2613" s="194">
        <v>136</v>
      </c>
      <c r="Z2613" s="194" t="s">
        <v>252</v>
      </c>
      <c r="AA2613" s="194">
        <v>101</v>
      </c>
      <c r="AB2613" s="194" t="s">
        <v>252</v>
      </c>
      <c r="AC2613" s="194">
        <v>98</v>
      </c>
      <c r="AD2613" s="194" t="s">
        <v>252</v>
      </c>
      <c r="AE2613" s="194">
        <v>130</v>
      </c>
      <c r="AF2613" s="194" t="s">
        <v>252</v>
      </c>
      <c r="AG2613" s="194">
        <v>290</v>
      </c>
      <c r="AH2613" s="194" t="s">
        <v>252</v>
      </c>
      <c r="AI2613" s="194">
        <v>194</v>
      </c>
      <c r="AJ2613" s="194" t="s">
        <v>252</v>
      </c>
      <c r="AK2613" s="194">
        <v>361</v>
      </c>
      <c r="AL2613" s="194" t="s">
        <v>252</v>
      </c>
      <c r="AM2613" s="179">
        <f t="shared" si="26"/>
        <v>2062</v>
      </c>
    </row>
    <row r="2614" spans="2:39" s="3" customFormat="1" ht="15.75" outlineLevel="1">
      <c r="B2614" s="178" t="s">
        <v>1293</v>
      </c>
      <c r="C2614" s="218" t="s">
        <v>1489</v>
      </c>
      <c r="D2614" s="219" t="s">
        <v>1403</v>
      </c>
      <c r="E2614" s="23" t="s">
        <v>44</v>
      </c>
      <c r="F2614" s="93" t="s">
        <v>45</v>
      </c>
      <c r="G2614" s="188" t="s">
        <v>1432</v>
      </c>
      <c r="H2614" s="194">
        <v>32</v>
      </c>
      <c r="I2614" s="188" t="s">
        <v>1433</v>
      </c>
      <c r="J2614" s="220" t="s">
        <v>1436</v>
      </c>
      <c r="K2614" s="173" t="s">
        <v>233</v>
      </c>
      <c r="L2614" s="173" t="s">
        <v>233</v>
      </c>
      <c r="M2614" s="194">
        <v>2339</v>
      </c>
      <c r="N2614" s="194">
        <v>679</v>
      </c>
      <c r="O2614" s="194">
        <v>250</v>
      </c>
      <c r="P2614" s="194" t="s">
        <v>252</v>
      </c>
      <c r="Q2614" s="194">
        <v>125</v>
      </c>
      <c r="R2614" s="194" t="s">
        <v>252</v>
      </c>
      <c r="S2614" s="194">
        <v>73</v>
      </c>
      <c r="T2614" s="194" t="s">
        <v>252</v>
      </c>
      <c r="U2614" s="194">
        <v>110</v>
      </c>
      <c r="V2614" s="194" t="s">
        <v>252</v>
      </c>
      <c r="W2614" s="194">
        <v>121</v>
      </c>
      <c r="X2614" s="194" t="s">
        <v>252</v>
      </c>
      <c r="Y2614" s="194">
        <v>139</v>
      </c>
      <c r="Z2614" s="194" t="s">
        <v>252</v>
      </c>
      <c r="AA2614" s="194">
        <v>397</v>
      </c>
      <c r="AB2614" s="194" t="s">
        <v>252</v>
      </c>
      <c r="AC2614" s="194">
        <v>73</v>
      </c>
      <c r="AD2614" s="194" t="s">
        <v>252</v>
      </c>
      <c r="AE2614" s="194">
        <v>495</v>
      </c>
      <c r="AF2614" s="194" t="s">
        <v>252</v>
      </c>
      <c r="AG2614" s="194">
        <v>72</v>
      </c>
      <c r="AH2614" s="194" t="s">
        <v>252</v>
      </c>
      <c r="AI2614" s="194">
        <v>123</v>
      </c>
      <c r="AJ2614" s="194" t="s">
        <v>252</v>
      </c>
      <c r="AK2614" s="194">
        <v>134</v>
      </c>
      <c r="AL2614" s="194" t="s">
        <v>252</v>
      </c>
      <c r="AM2614" s="179">
        <f t="shared" si="26"/>
        <v>2112</v>
      </c>
    </row>
    <row r="2615" spans="2:39" s="3" customFormat="1" ht="15.75" outlineLevel="1">
      <c r="B2615" s="178" t="s">
        <v>1294</v>
      </c>
      <c r="C2615" s="218" t="s">
        <v>1489</v>
      </c>
      <c r="D2615" s="219" t="s">
        <v>1403</v>
      </c>
      <c r="E2615" s="23" t="s">
        <v>44</v>
      </c>
      <c r="F2615" s="222" t="s">
        <v>45</v>
      </c>
      <c r="G2615" s="188" t="s">
        <v>1432</v>
      </c>
      <c r="H2615" s="194">
        <v>21</v>
      </c>
      <c r="I2615" s="188" t="s">
        <v>1433</v>
      </c>
      <c r="J2615" s="220" t="s">
        <v>1470</v>
      </c>
      <c r="K2615" s="173" t="s">
        <v>233</v>
      </c>
      <c r="L2615" s="173" t="s">
        <v>233</v>
      </c>
      <c r="M2615" s="194">
        <v>6063</v>
      </c>
      <c r="N2615" s="194">
        <v>7710</v>
      </c>
      <c r="O2615" s="224">
        <v>857</v>
      </c>
      <c r="P2615" s="194" t="s">
        <v>252</v>
      </c>
      <c r="Q2615" s="194">
        <v>990</v>
      </c>
      <c r="R2615" s="194" t="s">
        <v>252</v>
      </c>
      <c r="S2615" s="194">
        <v>653</v>
      </c>
      <c r="T2615" s="194" t="s">
        <v>252</v>
      </c>
      <c r="U2615" s="194">
        <v>738</v>
      </c>
      <c r="V2615" s="194" t="s">
        <v>252</v>
      </c>
      <c r="W2615" s="194">
        <v>413</v>
      </c>
      <c r="X2615" s="194" t="s">
        <v>252</v>
      </c>
      <c r="Y2615" s="194">
        <v>394</v>
      </c>
      <c r="Z2615" s="194" t="s">
        <v>252</v>
      </c>
      <c r="AA2615" s="194">
        <v>216</v>
      </c>
      <c r="AB2615" s="194" t="s">
        <v>252</v>
      </c>
      <c r="AC2615" s="194">
        <v>539</v>
      </c>
      <c r="AD2615" s="194" t="s">
        <v>252</v>
      </c>
      <c r="AE2615" s="194">
        <v>472</v>
      </c>
      <c r="AF2615" s="194" t="s">
        <v>252</v>
      </c>
      <c r="AG2615" s="194">
        <v>541</v>
      </c>
      <c r="AH2615" s="194" t="s">
        <v>252</v>
      </c>
      <c r="AI2615" s="194">
        <v>844</v>
      </c>
      <c r="AJ2615" s="194" t="s">
        <v>252</v>
      </c>
      <c r="AK2615" s="194">
        <v>723</v>
      </c>
      <c r="AL2615" s="194" t="s">
        <v>252</v>
      </c>
      <c r="AM2615" s="179">
        <f t="shared" si="26"/>
        <v>7380</v>
      </c>
    </row>
    <row r="2616" spans="2:39" s="3" customFormat="1" ht="15.75" outlineLevel="1">
      <c r="B2616" s="178" t="s">
        <v>1295</v>
      </c>
      <c r="C2616" s="218" t="s">
        <v>1489</v>
      </c>
      <c r="D2616" s="219" t="s">
        <v>1403</v>
      </c>
      <c r="E2616" s="221" t="s">
        <v>138</v>
      </c>
      <c r="F2616" s="222" t="s">
        <v>45</v>
      </c>
      <c r="G2616" s="188" t="s">
        <v>1432</v>
      </c>
      <c r="H2616" s="376">
        <v>22</v>
      </c>
      <c r="I2616" s="188" t="s">
        <v>1433</v>
      </c>
      <c r="J2616" s="379" t="s">
        <v>1470</v>
      </c>
      <c r="K2616" s="173" t="s">
        <v>233</v>
      </c>
      <c r="L2616" s="173" t="s">
        <v>233</v>
      </c>
      <c r="M2616" s="194">
        <v>13482</v>
      </c>
      <c r="N2616" s="194">
        <v>12862</v>
      </c>
      <c r="O2616" s="194">
        <v>931</v>
      </c>
      <c r="P2616" s="194" t="s">
        <v>252</v>
      </c>
      <c r="Q2616" s="194">
        <v>1424</v>
      </c>
      <c r="R2616" s="194" t="s">
        <v>252</v>
      </c>
      <c r="S2616" s="194">
        <v>873</v>
      </c>
      <c r="T2616" s="194" t="s">
        <v>252</v>
      </c>
      <c r="U2616" s="194">
        <v>1411</v>
      </c>
      <c r="V2616" s="194" t="s">
        <v>252</v>
      </c>
      <c r="W2616" s="194">
        <v>929</v>
      </c>
      <c r="X2616" s="194" t="s">
        <v>252</v>
      </c>
      <c r="Y2616" s="194">
        <v>1174</v>
      </c>
      <c r="Z2616" s="194" t="s">
        <v>252</v>
      </c>
      <c r="AA2616" s="194">
        <v>969</v>
      </c>
      <c r="AB2616" s="194" t="s">
        <v>252</v>
      </c>
      <c r="AC2616" s="194">
        <v>773</v>
      </c>
      <c r="AD2616" s="194" t="s">
        <v>252</v>
      </c>
      <c r="AE2616" s="194">
        <v>1057</v>
      </c>
      <c r="AF2616" s="194" t="s">
        <v>252</v>
      </c>
      <c r="AG2616" s="194">
        <v>797</v>
      </c>
      <c r="AH2616" s="194" t="s">
        <v>252</v>
      </c>
      <c r="AI2616" s="194">
        <v>1471</v>
      </c>
      <c r="AJ2616" s="194" t="s">
        <v>252</v>
      </c>
      <c r="AK2616" s="194">
        <v>1386</v>
      </c>
      <c r="AL2616" s="194" t="s">
        <v>252</v>
      </c>
      <c r="AM2616" s="179">
        <f t="shared" si="26"/>
        <v>13195</v>
      </c>
    </row>
    <row r="2617" spans="2:39" s="3" customFormat="1" ht="15.75" outlineLevel="1">
      <c r="B2617" s="178" t="s">
        <v>1295</v>
      </c>
      <c r="C2617" s="218" t="s">
        <v>1489</v>
      </c>
      <c r="D2617" s="219" t="s">
        <v>1403</v>
      </c>
      <c r="E2617" s="23" t="s">
        <v>44</v>
      </c>
      <c r="F2617" s="93" t="s">
        <v>45</v>
      </c>
      <c r="G2617" s="188" t="s">
        <v>1432</v>
      </c>
      <c r="H2617" s="378"/>
      <c r="I2617" s="188" t="s">
        <v>1433</v>
      </c>
      <c r="J2617" s="380"/>
      <c r="K2617" s="173" t="s">
        <v>233</v>
      </c>
      <c r="L2617" s="173" t="s">
        <v>233</v>
      </c>
      <c r="M2617" s="194">
        <v>12751</v>
      </c>
      <c r="N2617" s="194">
        <v>11372</v>
      </c>
      <c r="O2617" s="194">
        <v>1196</v>
      </c>
      <c r="P2617" s="194" t="s">
        <v>252</v>
      </c>
      <c r="Q2617" s="194">
        <v>1072</v>
      </c>
      <c r="R2617" s="194" t="s">
        <v>252</v>
      </c>
      <c r="S2617" s="194">
        <v>600</v>
      </c>
      <c r="T2617" s="194" t="s">
        <v>252</v>
      </c>
      <c r="U2617" s="194">
        <v>846</v>
      </c>
      <c r="V2617" s="194" t="s">
        <v>252</v>
      </c>
      <c r="W2617" s="194">
        <v>618</v>
      </c>
      <c r="X2617" s="194" t="s">
        <v>252</v>
      </c>
      <c r="Y2617" s="194">
        <v>743</v>
      </c>
      <c r="Z2617" s="194" t="s">
        <v>252</v>
      </c>
      <c r="AA2617" s="194">
        <v>622</v>
      </c>
      <c r="AB2617" s="194" t="s">
        <v>252</v>
      </c>
      <c r="AC2617" s="194">
        <v>533</v>
      </c>
      <c r="AD2617" s="194" t="s">
        <v>252</v>
      </c>
      <c r="AE2617" s="194">
        <v>743</v>
      </c>
      <c r="AF2617" s="194" t="s">
        <v>252</v>
      </c>
      <c r="AG2617" s="194">
        <v>547</v>
      </c>
      <c r="AH2617" s="194" t="s">
        <v>252</v>
      </c>
      <c r="AI2617" s="194">
        <v>998</v>
      </c>
      <c r="AJ2617" s="194" t="s">
        <v>252</v>
      </c>
      <c r="AK2617" s="194">
        <v>997</v>
      </c>
      <c r="AL2617" s="194" t="s">
        <v>252</v>
      </c>
      <c r="AM2617" s="179">
        <f t="shared" si="26"/>
        <v>9515</v>
      </c>
    </row>
    <row r="2618" spans="2:39" s="3" customFormat="1" ht="15.75" outlineLevel="1">
      <c r="B2618" s="178" t="s">
        <v>1296</v>
      </c>
      <c r="C2618" s="218" t="s">
        <v>1489</v>
      </c>
      <c r="D2618" s="219" t="s">
        <v>1403</v>
      </c>
      <c r="E2618" s="221" t="s">
        <v>138</v>
      </c>
      <c r="F2618" s="93" t="s">
        <v>45</v>
      </c>
      <c r="G2618" s="188" t="s">
        <v>1432</v>
      </c>
      <c r="H2618" s="376">
        <v>28</v>
      </c>
      <c r="I2618" s="188" t="s">
        <v>1433</v>
      </c>
      <c r="J2618" s="379" t="s">
        <v>216</v>
      </c>
      <c r="K2618" s="173" t="s">
        <v>233</v>
      </c>
      <c r="L2618" s="173" t="s">
        <v>233</v>
      </c>
      <c r="M2618" s="194">
        <v>4972</v>
      </c>
      <c r="N2618" s="194">
        <v>4981</v>
      </c>
      <c r="O2618" s="194">
        <v>237</v>
      </c>
      <c r="P2618" s="194" t="s">
        <v>259</v>
      </c>
      <c r="Q2618" s="194">
        <v>307</v>
      </c>
      <c r="R2618" s="194" t="s">
        <v>259</v>
      </c>
      <c r="S2618" s="194">
        <v>183</v>
      </c>
      <c r="T2618" s="194" t="s">
        <v>259</v>
      </c>
      <c r="U2618" s="194">
        <v>294</v>
      </c>
      <c r="V2618" s="194" t="s">
        <v>259</v>
      </c>
      <c r="W2618" s="194">
        <v>225</v>
      </c>
      <c r="X2618" s="194" t="s">
        <v>259</v>
      </c>
      <c r="Y2618" s="194">
        <v>280</v>
      </c>
      <c r="Z2618" s="194" t="s">
        <v>259</v>
      </c>
      <c r="AA2618" s="194">
        <v>236</v>
      </c>
      <c r="AB2618" s="194" t="s">
        <v>259</v>
      </c>
      <c r="AC2618" s="194">
        <v>232</v>
      </c>
      <c r="AD2618" s="194" t="s">
        <v>259</v>
      </c>
      <c r="AE2618" s="194">
        <v>276</v>
      </c>
      <c r="AF2618" s="194" t="s">
        <v>259</v>
      </c>
      <c r="AG2618" s="194">
        <v>165</v>
      </c>
      <c r="AH2618" s="194" t="s">
        <v>259</v>
      </c>
      <c r="AI2618" s="194">
        <v>321</v>
      </c>
      <c r="AJ2618" s="194" t="s">
        <v>259</v>
      </c>
      <c r="AK2618" s="194">
        <v>277</v>
      </c>
      <c r="AL2618" s="194" t="s">
        <v>259</v>
      </c>
      <c r="AM2618" s="179">
        <f t="shared" si="26"/>
        <v>3033</v>
      </c>
    </row>
    <row r="2619" spans="2:39" s="3" customFormat="1" ht="15.75" outlineLevel="1">
      <c r="B2619" s="178" t="s">
        <v>1296</v>
      </c>
      <c r="C2619" s="218" t="s">
        <v>1489</v>
      </c>
      <c r="D2619" s="219" t="s">
        <v>1403</v>
      </c>
      <c r="E2619" s="23" t="s">
        <v>44</v>
      </c>
      <c r="F2619" s="93" t="s">
        <v>45</v>
      </c>
      <c r="G2619" s="188" t="s">
        <v>1432</v>
      </c>
      <c r="H2619" s="378"/>
      <c r="I2619" s="188" t="s">
        <v>1433</v>
      </c>
      <c r="J2619" s="380"/>
      <c r="K2619" s="173" t="s">
        <v>233</v>
      </c>
      <c r="L2619" s="173" t="s">
        <v>233</v>
      </c>
      <c r="M2619" s="194">
        <v>3079</v>
      </c>
      <c r="N2619" s="194">
        <v>3123</v>
      </c>
      <c r="O2619" s="194">
        <v>524</v>
      </c>
      <c r="P2619" s="194" t="s">
        <v>259</v>
      </c>
      <c r="Q2619" s="194">
        <v>681</v>
      </c>
      <c r="R2619" s="194" t="s">
        <v>259</v>
      </c>
      <c r="S2619" s="194">
        <v>361</v>
      </c>
      <c r="T2619" s="194" t="s">
        <v>259</v>
      </c>
      <c r="U2619" s="194">
        <v>497</v>
      </c>
      <c r="V2619" s="194" t="s">
        <v>259</v>
      </c>
      <c r="W2619" s="194">
        <v>365</v>
      </c>
      <c r="X2619" s="194" t="s">
        <v>259</v>
      </c>
      <c r="Y2619" s="194">
        <v>372</v>
      </c>
      <c r="Z2619" s="194" t="s">
        <v>259</v>
      </c>
      <c r="AA2619" s="194">
        <v>305</v>
      </c>
      <c r="AB2619" s="194" t="s">
        <v>259</v>
      </c>
      <c r="AC2619" s="194">
        <v>250</v>
      </c>
      <c r="AD2619" s="194" t="s">
        <v>259</v>
      </c>
      <c r="AE2619" s="194">
        <v>325</v>
      </c>
      <c r="AF2619" s="194" t="s">
        <v>259</v>
      </c>
      <c r="AG2619" s="194">
        <v>210</v>
      </c>
      <c r="AH2619" s="194" t="s">
        <v>259</v>
      </c>
      <c r="AI2619" s="194">
        <v>544</v>
      </c>
      <c r="AJ2619" s="194" t="s">
        <v>259</v>
      </c>
      <c r="AK2619" s="194">
        <v>394</v>
      </c>
      <c r="AL2619" s="194" t="s">
        <v>259</v>
      </c>
      <c r="AM2619" s="179">
        <f t="shared" si="26"/>
        <v>4828</v>
      </c>
    </row>
    <row r="2620" spans="2:39" s="3" customFormat="1" ht="15.75" outlineLevel="1">
      <c r="B2620" s="178" t="s">
        <v>1297</v>
      </c>
      <c r="C2620" s="218" t="s">
        <v>1489</v>
      </c>
      <c r="D2620" s="219" t="s">
        <v>1403</v>
      </c>
      <c r="E2620" s="23" t="s">
        <v>44</v>
      </c>
      <c r="F2620" s="93" t="s">
        <v>45</v>
      </c>
      <c r="G2620" s="188" t="s">
        <v>1432</v>
      </c>
      <c r="H2620" s="376">
        <v>21</v>
      </c>
      <c r="I2620" s="188" t="s">
        <v>1433</v>
      </c>
      <c r="J2620" s="379" t="s">
        <v>1457</v>
      </c>
      <c r="K2620" s="173" t="s">
        <v>233</v>
      </c>
      <c r="L2620" s="173" t="s">
        <v>233</v>
      </c>
      <c r="M2620" s="376">
        <v>5197</v>
      </c>
      <c r="N2620" s="376">
        <v>5416</v>
      </c>
      <c r="O2620" s="376">
        <v>445</v>
      </c>
      <c r="P2620" s="376" t="s">
        <v>259</v>
      </c>
      <c r="Q2620" s="376">
        <v>534</v>
      </c>
      <c r="R2620" s="376" t="s">
        <v>259</v>
      </c>
      <c r="S2620" s="376">
        <v>282</v>
      </c>
      <c r="T2620" s="376" t="s">
        <v>259</v>
      </c>
      <c r="U2620" s="376">
        <v>465</v>
      </c>
      <c r="V2620" s="376" t="s">
        <v>259</v>
      </c>
      <c r="W2620" s="376">
        <v>310</v>
      </c>
      <c r="X2620" s="376" t="s">
        <v>259</v>
      </c>
      <c r="Y2620" s="376">
        <v>317</v>
      </c>
      <c r="Z2620" s="376" t="s">
        <v>259</v>
      </c>
      <c r="AA2620" s="376">
        <v>261</v>
      </c>
      <c r="AB2620" s="376" t="s">
        <v>259</v>
      </c>
      <c r="AC2620" s="376">
        <v>211</v>
      </c>
      <c r="AD2620" s="376" t="s">
        <v>259</v>
      </c>
      <c r="AE2620" s="376">
        <v>300</v>
      </c>
      <c r="AF2620" s="376" t="s">
        <v>259</v>
      </c>
      <c r="AG2620" s="376">
        <v>193</v>
      </c>
      <c r="AH2620" s="376" t="s">
        <v>259</v>
      </c>
      <c r="AI2620" s="376">
        <v>502</v>
      </c>
      <c r="AJ2620" s="376" t="s">
        <v>259</v>
      </c>
      <c r="AK2620" s="376">
        <v>590</v>
      </c>
      <c r="AL2620" s="376" t="s">
        <v>259</v>
      </c>
      <c r="AM2620" s="336">
        <f t="shared" si="26"/>
        <v>4410</v>
      </c>
    </row>
    <row r="2621" spans="2:39" s="3" customFormat="1" ht="15.75" outlineLevel="1">
      <c r="B2621" s="178" t="s">
        <v>1298</v>
      </c>
      <c r="C2621" s="218" t="s">
        <v>1489</v>
      </c>
      <c r="D2621" s="219" t="s">
        <v>1403</v>
      </c>
      <c r="E2621" s="23" t="s">
        <v>44</v>
      </c>
      <c r="F2621" s="93" t="s">
        <v>45</v>
      </c>
      <c r="G2621" s="188" t="s">
        <v>1432</v>
      </c>
      <c r="H2621" s="378"/>
      <c r="I2621" s="188" t="s">
        <v>1433</v>
      </c>
      <c r="J2621" s="380"/>
      <c r="K2621" s="173" t="s">
        <v>233</v>
      </c>
      <c r="L2621" s="173" t="s">
        <v>233</v>
      </c>
      <c r="M2621" s="378"/>
      <c r="N2621" s="378"/>
      <c r="O2621" s="378"/>
      <c r="P2621" s="378"/>
      <c r="Q2621" s="378"/>
      <c r="R2621" s="378"/>
      <c r="S2621" s="378"/>
      <c r="T2621" s="378"/>
      <c r="U2621" s="378"/>
      <c r="V2621" s="378"/>
      <c r="W2621" s="378"/>
      <c r="X2621" s="378"/>
      <c r="Y2621" s="378"/>
      <c r="Z2621" s="378"/>
      <c r="AA2621" s="378"/>
      <c r="AB2621" s="378"/>
      <c r="AC2621" s="378"/>
      <c r="AD2621" s="378"/>
      <c r="AE2621" s="378"/>
      <c r="AF2621" s="378"/>
      <c r="AG2621" s="378"/>
      <c r="AH2621" s="378"/>
      <c r="AI2621" s="378"/>
      <c r="AJ2621" s="378"/>
      <c r="AK2621" s="378"/>
      <c r="AL2621" s="378"/>
      <c r="AM2621" s="337"/>
    </row>
    <row r="2622" spans="2:39" s="3" customFormat="1" ht="15.75" outlineLevel="1">
      <c r="B2622" s="178" t="s">
        <v>1299</v>
      </c>
      <c r="C2622" s="218" t="s">
        <v>1489</v>
      </c>
      <c r="D2622" s="219" t="s">
        <v>1403</v>
      </c>
      <c r="E2622" s="23" t="s">
        <v>44</v>
      </c>
      <c r="F2622" s="93" t="s">
        <v>45</v>
      </c>
      <c r="G2622" s="188" t="s">
        <v>1432</v>
      </c>
      <c r="H2622" s="194">
        <v>32</v>
      </c>
      <c r="I2622" s="188" t="s">
        <v>1433</v>
      </c>
      <c r="J2622" s="220" t="s">
        <v>1460</v>
      </c>
      <c r="K2622" s="173" t="s">
        <v>233</v>
      </c>
      <c r="L2622" s="173" t="s">
        <v>233</v>
      </c>
      <c r="M2622" s="194">
        <v>4145</v>
      </c>
      <c r="N2622" s="194">
        <v>4138</v>
      </c>
      <c r="O2622" s="194">
        <v>244</v>
      </c>
      <c r="P2622" s="194" t="s">
        <v>252</v>
      </c>
      <c r="Q2622" s="194">
        <v>399</v>
      </c>
      <c r="R2622" s="194" t="s">
        <v>252</v>
      </c>
      <c r="S2622" s="194">
        <v>511</v>
      </c>
      <c r="T2622" s="194" t="s">
        <v>252</v>
      </c>
      <c r="U2622" s="194">
        <v>485</v>
      </c>
      <c r="V2622" s="194" t="s">
        <v>252</v>
      </c>
      <c r="W2622" s="194">
        <v>95</v>
      </c>
      <c r="X2622" s="194" t="s">
        <v>252</v>
      </c>
      <c r="Y2622" s="194">
        <v>418</v>
      </c>
      <c r="Z2622" s="194" t="s">
        <v>252</v>
      </c>
      <c r="AA2622" s="194">
        <v>192</v>
      </c>
      <c r="AB2622" s="194" t="s">
        <v>252</v>
      </c>
      <c r="AC2622" s="194">
        <v>116</v>
      </c>
      <c r="AD2622" s="194" t="s">
        <v>252</v>
      </c>
      <c r="AE2622" s="194">
        <v>275</v>
      </c>
      <c r="AF2622" s="194" t="s">
        <v>252</v>
      </c>
      <c r="AG2622" s="194">
        <v>263</v>
      </c>
      <c r="AH2622" s="194" t="s">
        <v>252</v>
      </c>
      <c r="AI2622" s="194">
        <v>291</v>
      </c>
      <c r="AJ2622" s="194" t="s">
        <v>252</v>
      </c>
      <c r="AK2622" s="194">
        <v>260</v>
      </c>
      <c r="AL2622" s="194" t="s">
        <v>252</v>
      </c>
      <c r="AM2622" s="179">
        <f t="shared" si="26"/>
        <v>3549</v>
      </c>
    </row>
    <row r="2623" spans="2:39" s="3" customFormat="1" ht="15.75" outlineLevel="1">
      <c r="B2623" s="178" t="s">
        <v>1300</v>
      </c>
      <c r="C2623" s="218" t="s">
        <v>1489</v>
      </c>
      <c r="D2623" s="219" t="s">
        <v>1403</v>
      </c>
      <c r="E2623" s="23" t="s">
        <v>44</v>
      </c>
      <c r="F2623" s="222" t="s">
        <v>45</v>
      </c>
      <c r="G2623" s="188" t="s">
        <v>1432</v>
      </c>
      <c r="H2623" s="194">
        <v>22</v>
      </c>
      <c r="I2623" s="188" t="s">
        <v>1433</v>
      </c>
      <c r="J2623" s="220" t="s">
        <v>1442</v>
      </c>
      <c r="K2623" s="173" t="s">
        <v>233</v>
      </c>
      <c r="L2623" s="173" t="s">
        <v>233</v>
      </c>
      <c r="M2623" s="194">
        <v>2090</v>
      </c>
      <c r="N2623" s="194">
        <v>2256</v>
      </c>
      <c r="O2623" s="194">
        <v>261</v>
      </c>
      <c r="P2623" s="194" t="s">
        <v>252</v>
      </c>
      <c r="Q2623" s="194">
        <v>166</v>
      </c>
      <c r="R2623" s="194" t="s">
        <v>252</v>
      </c>
      <c r="S2623" s="194">
        <v>91</v>
      </c>
      <c r="T2623" s="194" t="s">
        <v>252</v>
      </c>
      <c r="U2623" s="194">
        <v>233</v>
      </c>
      <c r="V2623" s="194" t="s">
        <v>252</v>
      </c>
      <c r="W2623" s="194">
        <v>122</v>
      </c>
      <c r="X2623" s="194" t="s">
        <v>252</v>
      </c>
      <c r="Y2623" s="194">
        <v>95</v>
      </c>
      <c r="Z2623" s="194" t="s">
        <v>252</v>
      </c>
      <c r="AA2623" s="194">
        <v>91</v>
      </c>
      <c r="AB2623" s="194" t="s">
        <v>252</v>
      </c>
      <c r="AC2623" s="194">
        <v>279</v>
      </c>
      <c r="AD2623" s="194" t="s">
        <v>252</v>
      </c>
      <c r="AE2623" s="194">
        <v>154</v>
      </c>
      <c r="AF2623" s="194" t="s">
        <v>252</v>
      </c>
      <c r="AG2623" s="194">
        <v>189</v>
      </c>
      <c r="AH2623" s="194" t="s">
        <v>252</v>
      </c>
      <c r="AI2623" s="194">
        <v>302</v>
      </c>
      <c r="AJ2623" s="194" t="s">
        <v>252</v>
      </c>
      <c r="AK2623" s="194">
        <v>292</v>
      </c>
      <c r="AL2623" s="194" t="s">
        <v>252</v>
      </c>
      <c r="AM2623" s="179">
        <f t="shared" si="26"/>
        <v>2275</v>
      </c>
    </row>
    <row r="2624" spans="2:39" s="3" customFormat="1" ht="15.75" outlineLevel="1">
      <c r="B2624" s="178" t="s">
        <v>1301</v>
      </c>
      <c r="C2624" s="218" t="s">
        <v>1489</v>
      </c>
      <c r="D2624" s="219" t="s">
        <v>1403</v>
      </c>
      <c r="E2624" s="23" t="s">
        <v>44</v>
      </c>
      <c r="F2624" s="222" t="s">
        <v>45</v>
      </c>
      <c r="G2624" s="188" t="s">
        <v>1432</v>
      </c>
      <c r="H2624" s="194">
        <v>28</v>
      </c>
      <c r="I2624" s="188" t="s">
        <v>1433</v>
      </c>
      <c r="J2624" s="220" t="s">
        <v>1460</v>
      </c>
      <c r="K2624" s="173" t="s">
        <v>233</v>
      </c>
      <c r="L2624" s="173" t="s">
        <v>233</v>
      </c>
      <c r="M2624" s="194">
        <v>3482</v>
      </c>
      <c r="N2624" s="194">
        <v>3249</v>
      </c>
      <c r="O2624" s="194">
        <v>237</v>
      </c>
      <c r="P2624" s="194" t="s">
        <v>252</v>
      </c>
      <c r="Q2624" s="194">
        <v>242</v>
      </c>
      <c r="R2624" s="194" t="s">
        <v>252</v>
      </c>
      <c r="S2624" s="194">
        <v>160</v>
      </c>
      <c r="T2624" s="194" t="s">
        <v>252</v>
      </c>
      <c r="U2624" s="194">
        <v>225</v>
      </c>
      <c r="V2624" s="194" t="s">
        <v>252</v>
      </c>
      <c r="W2624" s="194">
        <v>200</v>
      </c>
      <c r="X2624" s="194" t="s">
        <v>252</v>
      </c>
      <c r="Y2624" s="194">
        <v>150</v>
      </c>
      <c r="Z2624" s="194" t="s">
        <v>252</v>
      </c>
      <c r="AA2624" s="194">
        <v>175</v>
      </c>
      <c r="AB2624" s="194" t="s">
        <v>252</v>
      </c>
      <c r="AC2624" s="194">
        <v>200</v>
      </c>
      <c r="AD2624" s="194" t="s">
        <v>252</v>
      </c>
      <c r="AE2624" s="194">
        <v>179</v>
      </c>
      <c r="AF2624" s="194" t="s">
        <v>252</v>
      </c>
      <c r="AG2624" s="194">
        <v>105</v>
      </c>
      <c r="AH2624" s="194" t="s">
        <v>252</v>
      </c>
      <c r="AI2624" s="194">
        <v>216</v>
      </c>
      <c r="AJ2624" s="194" t="s">
        <v>252</v>
      </c>
      <c r="AK2624" s="194">
        <v>254</v>
      </c>
      <c r="AL2624" s="194" t="s">
        <v>252</v>
      </c>
      <c r="AM2624" s="179">
        <f t="shared" si="26"/>
        <v>2343</v>
      </c>
    </row>
    <row r="2625" spans="2:39" s="3" customFormat="1" ht="15.75" outlineLevel="1">
      <c r="B2625" s="178" t="s">
        <v>1302</v>
      </c>
      <c r="C2625" s="218" t="s">
        <v>1489</v>
      </c>
      <c r="D2625" s="219" t="s">
        <v>1403</v>
      </c>
      <c r="E2625" s="23" t="s">
        <v>44</v>
      </c>
      <c r="F2625" s="93" t="s">
        <v>45</v>
      </c>
      <c r="G2625" s="188" t="s">
        <v>1432</v>
      </c>
      <c r="H2625" s="194">
        <v>32</v>
      </c>
      <c r="I2625" s="188" t="s">
        <v>1433</v>
      </c>
      <c r="J2625" s="220" t="s">
        <v>1457</v>
      </c>
      <c r="K2625" s="173" t="s">
        <v>233</v>
      </c>
      <c r="L2625" s="173" t="s">
        <v>233</v>
      </c>
      <c r="M2625" s="194">
        <v>6513</v>
      </c>
      <c r="N2625" s="194">
        <v>10495</v>
      </c>
      <c r="O2625" s="194">
        <v>1059</v>
      </c>
      <c r="P2625" s="194" t="s">
        <v>252</v>
      </c>
      <c r="Q2625" s="194">
        <v>645</v>
      </c>
      <c r="R2625" s="194" t="s">
        <v>252</v>
      </c>
      <c r="S2625" s="194">
        <v>305</v>
      </c>
      <c r="T2625" s="194" t="s">
        <v>252</v>
      </c>
      <c r="U2625" s="194">
        <v>196</v>
      </c>
      <c r="V2625" s="194" t="s">
        <v>252</v>
      </c>
      <c r="W2625" s="194">
        <v>321</v>
      </c>
      <c r="X2625" s="194" t="s">
        <v>252</v>
      </c>
      <c r="Y2625" s="194">
        <v>460</v>
      </c>
      <c r="Z2625" s="194" t="s">
        <v>252</v>
      </c>
      <c r="AA2625" s="194">
        <v>259</v>
      </c>
      <c r="AB2625" s="194" t="s">
        <v>252</v>
      </c>
      <c r="AC2625" s="194">
        <v>331</v>
      </c>
      <c r="AD2625" s="194" t="s">
        <v>252</v>
      </c>
      <c r="AE2625" s="194">
        <v>272</v>
      </c>
      <c r="AF2625" s="194" t="s">
        <v>252</v>
      </c>
      <c r="AG2625" s="194">
        <v>268</v>
      </c>
      <c r="AH2625" s="194" t="s">
        <v>252</v>
      </c>
      <c r="AI2625" s="194">
        <v>1034</v>
      </c>
      <c r="AJ2625" s="194" t="s">
        <v>252</v>
      </c>
      <c r="AK2625" s="194">
        <v>707</v>
      </c>
      <c r="AL2625" s="194" t="s">
        <v>252</v>
      </c>
      <c r="AM2625" s="179">
        <f t="shared" si="26"/>
        <v>5857</v>
      </c>
    </row>
    <row r="2626" spans="2:39" s="3" customFormat="1" ht="15.75" outlineLevel="1">
      <c r="B2626" s="178" t="s">
        <v>1303</v>
      </c>
      <c r="C2626" s="218" t="s">
        <v>1489</v>
      </c>
      <c r="D2626" s="219" t="s">
        <v>1403</v>
      </c>
      <c r="E2626" s="23" t="s">
        <v>44</v>
      </c>
      <c r="F2626" s="93" t="s">
        <v>45</v>
      </c>
      <c r="G2626" s="188" t="s">
        <v>1432</v>
      </c>
      <c r="H2626" s="194">
        <v>22</v>
      </c>
      <c r="I2626" s="188" t="s">
        <v>1433</v>
      </c>
      <c r="J2626" s="220" t="s">
        <v>617</v>
      </c>
      <c r="K2626" s="173" t="s">
        <v>233</v>
      </c>
      <c r="L2626" s="173" t="s">
        <v>233</v>
      </c>
      <c r="M2626" s="194">
        <v>2275</v>
      </c>
      <c r="N2626" s="194">
        <v>2173</v>
      </c>
      <c r="O2626" s="194">
        <v>248</v>
      </c>
      <c r="P2626" s="194" t="s">
        <v>252</v>
      </c>
      <c r="Q2626" s="194">
        <v>251</v>
      </c>
      <c r="R2626" s="194" t="s">
        <v>252</v>
      </c>
      <c r="S2626" s="194">
        <v>241</v>
      </c>
      <c r="T2626" s="194" t="s">
        <v>252</v>
      </c>
      <c r="U2626" s="194">
        <v>985</v>
      </c>
      <c r="V2626" s="194" t="s">
        <v>252</v>
      </c>
      <c r="W2626" s="194">
        <v>615</v>
      </c>
      <c r="X2626" s="194" t="s">
        <v>252</v>
      </c>
      <c r="Y2626" s="194">
        <v>713</v>
      </c>
      <c r="Z2626" s="194" t="s">
        <v>252</v>
      </c>
      <c r="AA2626" s="194">
        <v>115</v>
      </c>
      <c r="AB2626" s="194" t="s">
        <v>252</v>
      </c>
      <c r="AC2626" s="194">
        <v>111</v>
      </c>
      <c r="AD2626" s="194" t="s">
        <v>252</v>
      </c>
      <c r="AE2626" s="194">
        <v>202</v>
      </c>
      <c r="AF2626" s="194" t="s">
        <v>252</v>
      </c>
      <c r="AG2626" s="194">
        <v>181</v>
      </c>
      <c r="AH2626" s="194" t="s">
        <v>252</v>
      </c>
      <c r="AI2626" s="194">
        <v>189</v>
      </c>
      <c r="AJ2626" s="194" t="s">
        <v>252</v>
      </c>
      <c r="AK2626" s="194">
        <v>180</v>
      </c>
      <c r="AL2626" s="194" t="s">
        <v>252</v>
      </c>
      <c r="AM2626" s="179">
        <f t="shared" si="26"/>
        <v>4031</v>
      </c>
    </row>
    <row r="2627" spans="2:39" s="3" customFormat="1" ht="15.75" outlineLevel="1">
      <c r="B2627" s="178" t="s">
        <v>1304</v>
      </c>
      <c r="C2627" s="218" t="s">
        <v>1489</v>
      </c>
      <c r="D2627" s="219" t="s">
        <v>1403</v>
      </c>
      <c r="E2627" s="23" t="s">
        <v>44</v>
      </c>
      <c r="F2627" s="93" t="s">
        <v>45</v>
      </c>
      <c r="G2627" s="188" t="s">
        <v>1432</v>
      </c>
      <c r="H2627" s="194">
        <v>26</v>
      </c>
      <c r="I2627" s="188" t="s">
        <v>1433</v>
      </c>
      <c r="J2627" s="220" t="s">
        <v>216</v>
      </c>
      <c r="K2627" s="173" t="s">
        <v>233</v>
      </c>
      <c r="L2627" s="173" t="s">
        <v>233</v>
      </c>
      <c r="M2627" s="194">
        <v>3443</v>
      </c>
      <c r="N2627" s="194">
        <v>3909</v>
      </c>
      <c r="O2627" s="194">
        <v>357</v>
      </c>
      <c r="P2627" s="194" t="s">
        <v>252</v>
      </c>
      <c r="Q2627" s="194">
        <v>591</v>
      </c>
      <c r="R2627" s="194" t="s">
        <v>252</v>
      </c>
      <c r="S2627" s="194">
        <v>319</v>
      </c>
      <c r="T2627" s="194" t="s">
        <v>252</v>
      </c>
      <c r="U2627" s="194">
        <v>409</v>
      </c>
      <c r="V2627" s="194" t="s">
        <v>252</v>
      </c>
      <c r="W2627" s="194">
        <v>330</v>
      </c>
      <c r="X2627" s="194" t="s">
        <v>252</v>
      </c>
      <c r="Y2627" s="194">
        <v>512</v>
      </c>
      <c r="Z2627" s="194" t="s">
        <v>252</v>
      </c>
      <c r="AA2627" s="194">
        <v>268</v>
      </c>
      <c r="AB2627" s="194" t="s">
        <v>252</v>
      </c>
      <c r="AC2627" s="194">
        <v>229</v>
      </c>
      <c r="AD2627" s="194" t="s">
        <v>252</v>
      </c>
      <c r="AE2627" s="194">
        <v>366</v>
      </c>
      <c r="AF2627" s="194" t="s">
        <v>252</v>
      </c>
      <c r="AG2627" s="194">
        <v>254</v>
      </c>
      <c r="AH2627" s="194" t="s">
        <v>252</v>
      </c>
      <c r="AI2627" s="194">
        <v>536</v>
      </c>
      <c r="AJ2627" s="194" t="s">
        <v>252</v>
      </c>
      <c r="AK2627" s="194">
        <v>507</v>
      </c>
      <c r="AL2627" s="194" t="s">
        <v>252</v>
      </c>
      <c r="AM2627" s="179">
        <f t="shared" si="26"/>
        <v>4678</v>
      </c>
    </row>
    <row r="2628" spans="2:39" s="3" customFormat="1" ht="15.75" outlineLevel="1">
      <c r="B2628" s="178" t="s">
        <v>1305</v>
      </c>
      <c r="C2628" s="218" t="s">
        <v>1489</v>
      </c>
      <c r="D2628" s="219" t="s">
        <v>1403</v>
      </c>
      <c r="E2628" s="221" t="s">
        <v>138</v>
      </c>
      <c r="F2628" s="93" t="s">
        <v>45</v>
      </c>
      <c r="G2628" s="188" t="s">
        <v>1432</v>
      </c>
      <c r="H2628" s="376">
        <v>32</v>
      </c>
      <c r="I2628" s="188" t="s">
        <v>1433</v>
      </c>
      <c r="J2628" s="379" t="s">
        <v>1440</v>
      </c>
      <c r="K2628" s="173" t="s">
        <v>233</v>
      </c>
      <c r="L2628" s="173" t="s">
        <v>233</v>
      </c>
      <c r="M2628" s="224">
        <v>3050</v>
      </c>
      <c r="N2628" s="224">
        <v>2900</v>
      </c>
      <c r="O2628" s="194">
        <v>206</v>
      </c>
      <c r="P2628" s="194" t="s">
        <v>252</v>
      </c>
      <c r="Q2628" s="194">
        <v>232</v>
      </c>
      <c r="R2628" s="194" t="s">
        <v>252</v>
      </c>
      <c r="S2628" s="194">
        <v>158</v>
      </c>
      <c r="T2628" s="194" t="s">
        <v>252</v>
      </c>
      <c r="U2628" s="194">
        <v>216</v>
      </c>
      <c r="V2628" s="194" t="s">
        <v>252</v>
      </c>
      <c r="W2628" s="194">
        <v>171</v>
      </c>
      <c r="X2628" s="194" t="s">
        <v>252</v>
      </c>
      <c r="Y2628" s="194">
        <v>272</v>
      </c>
      <c r="Z2628" s="194" t="s">
        <v>252</v>
      </c>
      <c r="AA2628" s="194">
        <v>193</v>
      </c>
      <c r="AB2628" s="194" t="s">
        <v>252</v>
      </c>
      <c r="AC2628" s="194">
        <v>224</v>
      </c>
      <c r="AD2628" s="194" t="s">
        <v>252</v>
      </c>
      <c r="AE2628" s="194">
        <v>197</v>
      </c>
      <c r="AF2628" s="194" t="s">
        <v>252</v>
      </c>
      <c r="AG2628" s="194">
        <v>142</v>
      </c>
      <c r="AH2628" s="194" t="s">
        <v>252</v>
      </c>
      <c r="AI2628" s="194">
        <v>234</v>
      </c>
      <c r="AJ2628" s="194" t="s">
        <v>252</v>
      </c>
      <c r="AK2628" s="194">
        <v>240</v>
      </c>
      <c r="AL2628" s="194" t="s">
        <v>252</v>
      </c>
      <c r="AM2628" s="194">
        <f>O2628+Q2628+S2628+U2628+W2628+Y2628+AA2628+AC2628+AE2628+AG2628+AI2628+AK2628</f>
        <v>2485</v>
      </c>
    </row>
    <row r="2629" spans="2:39" s="3" customFormat="1" ht="15.75" outlineLevel="1">
      <c r="B2629" s="178" t="s">
        <v>1305</v>
      </c>
      <c r="C2629" s="218" t="s">
        <v>1489</v>
      </c>
      <c r="D2629" s="219" t="s">
        <v>1403</v>
      </c>
      <c r="E2629" s="23" t="s">
        <v>44</v>
      </c>
      <c r="F2629" s="93" t="s">
        <v>45</v>
      </c>
      <c r="G2629" s="188" t="s">
        <v>1432</v>
      </c>
      <c r="H2629" s="378"/>
      <c r="I2629" s="188" t="s">
        <v>1433</v>
      </c>
      <c r="J2629" s="380"/>
      <c r="K2629" s="173" t="s">
        <v>233</v>
      </c>
      <c r="L2629" s="173" t="s">
        <v>233</v>
      </c>
      <c r="M2629" s="224">
        <v>15971</v>
      </c>
      <c r="N2629" s="224">
        <v>15605</v>
      </c>
      <c r="O2629" s="194">
        <v>1315</v>
      </c>
      <c r="P2629" s="194" t="s">
        <v>252</v>
      </c>
      <c r="Q2629" s="194">
        <v>1472</v>
      </c>
      <c r="R2629" s="194" t="s">
        <v>252</v>
      </c>
      <c r="S2629" s="194">
        <v>914</v>
      </c>
      <c r="T2629" s="194" t="s">
        <v>252</v>
      </c>
      <c r="U2629" s="194">
        <v>1319</v>
      </c>
      <c r="V2629" s="194" t="s">
        <v>252</v>
      </c>
      <c r="W2629" s="194">
        <v>785</v>
      </c>
      <c r="X2629" s="194" t="s">
        <v>252</v>
      </c>
      <c r="Y2629" s="194">
        <v>974</v>
      </c>
      <c r="Z2629" s="194" t="s">
        <v>252</v>
      </c>
      <c r="AA2629" s="194">
        <v>672</v>
      </c>
      <c r="AB2629" s="194" t="s">
        <v>252</v>
      </c>
      <c r="AC2629" s="194">
        <v>881</v>
      </c>
      <c r="AD2629" s="194" t="s">
        <v>252</v>
      </c>
      <c r="AE2629" s="194">
        <v>993</v>
      </c>
      <c r="AF2629" s="194" t="s">
        <v>252</v>
      </c>
      <c r="AG2629" s="194">
        <v>842</v>
      </c>
      <c r="AH2629" s="194" t="s">
        <v>252</v>
      </c>
      <c r="AI2629" s="194">
        <v>1484</v>
      </c>
      <c r="AJ2629" s="194" t="s">
        <v>252</v>
      </c>
      <c r="AK2629" s="194">
        <v>1682</v>
      </c>
      <c r="AL2629" s="194" t="s">
        <v>252</v>
      </c>
      <c r="AM2629" s="194">
        <f>O2629+Q2629+S2629+U2629+W2629+Y2629+AA2629+AC2629+AE2629+AG2629+AI2629+AK2629</f>
        <v>13333</v>
      </c>
    </row>
    <row r="2630" spans="2:39" s="3" customFormat="1" ht="15.75" outlineLevel="1">
      <c r="B2630" s="178" t="s">
        <v>1306</v>
      </c>
      <c r="C2630" s="218" t="s">
        <v>1489</v>
      </c>
      <c r="D2630" s="219" t="s">
        <v>1403</v>
      </c>
      <c r="E2630" s="23" t="s">
        <v>44</v>
      </c>
      <c r="F2630" s="93" t="s">
        <v>45</v>
      </c>
      <c r="G2630" s="188" t="s">
        <v>1432</v>
      </c>
      <c r="H2630" s="376">
        <v>34</v>
      </c>
      <c r="I2630" s="188" t="s">
        <v>1433</v>
      </c>
      <c r="J2630" s="379" t="s">
        <v>1460</v>
      </c>
      <c r="K2630" s="173" t="s">
        <v>233</v>
      </c>
      <c r="L2630" s="173" t="s">
        <v>233</v>
      </c>
      <c r="M2630" s="376">
        <v>4521</v>
      </c>
      <c r="N2630" s="376">
        <v>4623</v>
      </c>
      <c r="O2630" s="376">
        <v>1170</v>
      </c>
      <c r="P2630" s="376" t="s">
        <v>252</v>
      </c>
      <c r="Q2630" s="376">
        <v>964</v>
      </c>
      <c r="R2630" s="376" t="s">
        <v>252</v>
      </c>
      <c r="S2630" s="376">
        <v>475</v>
      </c>
      <c r="T2630" s="376" t="s">
        <v>252</v>
      </c>
      <c r="U2630" s="386">
        <v>501</v>
      </c>
      <c r="V2630" s="376" t="s">
        <v>252</v>
      </c>
      <c r="W2630" s="376">
        <v>562</v>
      </c>
      <c r="X2630" s="376" t="s">
        <v>252</v>
      </c>
      <c r="Y2630" s="376">
        <v>687</v>
      </c>
      <c r="Z2630" s="376" t="s">
        <v>252</v>
      </c>
      <c r="AA2630" s="376">
        <v>589</v>
      </c>
      <c r="AB2630" s="376" t="s">
        <v>252</v>
      </c>
      <c r="AC2630" s="376">
        <v>744</v>
      </c>
      <c r="AD2630" s="376" t="s">
        <v>252</v>
      </c>
      <c r="AE2630" s="376">
        <v>718</v>
      </c>
      <c r="AF2630" s="376" t="s">
        <v>252</v>
      </c>
      <c r="AG2630" s="376">
        <v>516</v>
      </c>
      <c r="AH2630" s="376" t="s">
        <v>252</v>
      </c>
      <c r="AI2630" s="376">
        <v>1007</v>
      </c>
      <c r="AJ2630" s="376" t="s">
        <v>252</v>
      </c>
      <c r="AK2630" s="376">
        <v>895</v>
      </c>
      <c r="AL2630" s="376" t="s">
        <v>252</v>
      </c>
      <c r="AM2630" s="376">
        <f>O2630+Q2630+S2630+U2630+W2630+Y2630+AA2630+AC2630+AE2630+AG2630+AI2630+AK2630</f>
        <v>8828</v>
      </c>
    </row>
    <row r="2631" spans="2:39" s="3" customFormat="1" ht="15.75" outlineLevel="1">
      <c r="B2631" s="178" t="s">
        <v>1307</v>
      </c>
      <c r="C2631" s="218" t="s">
        <v>1489</v>
      </c>
      <c r="D2631" s="219" t="s">
        <v>1403</v>
      </c>
      <c r="E2631" s="23" t="s">
        <v>44</v>
      </c>
      <c r="F2631" s="93" t="s">
        <v>45</v>
      </c>
      <c r="G2631" s="188" t="s">
        <v>1432</v>
      </c>
      <c r="H2631" s="378"/>
      <c r="I2631" s="188" t="s">
        <v>1433</v>
      </c>
      <c r="J2631" s="380"/>
      <c r="K2631" s="173" t="s">
        <v>233</v>
      </c>
      <c r="L2631" s="173" t="s">
        <v>233</v>
      </c>
      <c r="M2631" s="378"/>
      <c r="N2631" s="378"/>
      <c r="O2631" s="378"/>
      <c r="P2631" s="378"/>
      <c r="Q2631" s="378"/>
      <c r="R2631" s="378"/>
      <c r="S2631" s="378"/>
      <c r="T2631" s="378"/>
      <c r="U2631" s="387"/>
      <c r="V2631" s="378"/>
      <c r="W2631" s="378"/>
      <c r="X2631" s="378"/>
      <c r="Y2631" s="378"/>
      <c r="Z2631" s="378"/>
      <c r="AA2631" s="378"/>
      <c r="AB2631" s="378"/>
      <c r="AC2631" s="378"/>
      <c r="AD2631" s="378"/>
      <c r="AE2631" s="378"/>
      <c r="AF2631" s="378"/>
      <c r="AG2631" s="378"/>
      <c r="AH2631" s="378"/>
      <c r="AI2631" s="378"/>
      <c r="AJ2631" s="378"/>
      <c r="AK2631" s="378"/>
      <c r="AL2631" s="378"/>
      <c r="AM2631" s="378"/>
    </row>
    <row r="2632" spans="2:39" s="3" customFormat="1" ht="15.75" outlineLevel="1">
      <c r="B2632" s="178" t="s">
        <v>1308</v>
      </c>
      <c r="C2632" s="218" t="s">
        <v>1489</v>
      </c>
      <c r="D2632" s="219" t="s">
        <v>1403</v>
      </c>
      <c r="E2632" s="23" t="s">
        <v>44</v>
      </c>
      <c r="F2632" s="93" t="s">
        <v>45</v>
      </c>
      <c r="G2632" s="188" t="s">
        <v>1432</v>
      </c>
      <c r="H2632" s="194">
        <v>28</v>
      </c>
      <c r="I2632" s="188" t="s">
        <v>1433</v>
      </c>
      <c r="J2632" s="220" t="s">
        <v>1442</v>
      </c>
      <c r="K2632" s="173" t="s">
        <v>233</v>
      </c>
      <c r="L2632" s="173" t="s">
        <v>233</v>
      </c>
      <c r="M2632" s="194">
        <v>3068</v>
      </c>
      <c r="N2632" s="194">
        <v>4157</v>
      </c>
      <c r="O2632" s="194">
        <v>501</v>
      </c>
      <c r="P2632" s="194" t="s">
        <v>252</v>
      </c>
      <c r="Q2632" s="194">
        <v>525</v>
      </c>
      <c r="R2632" s="194" t="s">
        <v>252</v>
      </c>
      <c r="S2632" s="194">
        <v>430</v>
      </c>
      <c r="T2632" s="194" t="s">
        <v>252</v>
      </c>
      <c r="U2632" s="194">
        <v>572</v>
      </c>
      <c r="V2632" s="194" t="s">
        <v>252</v>
      </c>
      <c r="W2632" s="194">
        <v>358</v>
      </c>
      <c r="X2632" s="194" t="s">
        <v>252</v>
      </c>
      <c r="Y2632" s="194">
        <v>482</v>
      </c>
      <c r="Z2632" s="194" t="s">
        <v>252</v>
      </c>
      <c r="AA2632" s="194">
        <v>291</v>
      </c>
      <c r="AB2632" s="194" t="s">
        <v>252</v>
      </c>
      <c r="AC2632" s="194">
        <v>268</v>
      </c>
      <c r="AD2632" s="194" t="s">
        <v>252</v>
      </c>
      <c r="AE2632" s="194">
        <v>258</v>
      </c>
      <c r="AF2632" s="194" t="s">
        <v>252</v>
      </c>
      <c r="AG2632" s="194">
        <v>308</v>
      </c>
      <c r="AH2632" s="194" t="s">
        <v>252</v>
      </c>
      <c r="AI2632" s="194">
        <v>620</v>
      </c>
      <c r="AJ2632" s="194" t="s">
        <v>252</v>
      </c>
      <c r="AK2632" s="194">
        <v>604</v>
      </c>
      <c r="AL2632" s="194" t="s">
        <v>252</v>
      </c>
      <c r="AM2632" s="194">
        <f t="shared" ref="AM2632:AM2639" si="27">O2632+Q2632+S2632+U2632+W2632+Y2632+AA2632+AC2632+AE2632+AG2632+AI2632+AK2632</f>
        <v>5217</v>
      </c>
    </row>
    <row r="2633" spans="2:39" s="3" customFormat="1" ht="15.75" outlineLevel="1">
      <c r="B2633" s="178" t="s">
        <v>1309</v>
      </c>
      <c r="C2633" s="218" t="s">
        <v>1489</v>
      </c>
      <c r="D2633" s="219" t="s">
        <v>1403</v>
      </c>
      <c r="E2633" s="221" t="s">
        <v>138</v>
      </c>
      <c r="F2633" s="93" t="s">
        <v>45</v>
      </c>
      <c r="G2633" s="188" t="s">
        <v>1432</v>
      </c>
      <c r="H2633" s="376">
        <v>32</v>
      </c>
      <c r="I2633" s="188" t="s">
        <v>1433</v>
      </c>
      <c r="J2633" s="379" t="s">
        <v>210</v>
      </c>
      <c r="K2633" s="173" t="s">
        <v>233</v>
      </c>
      <c r="L2633" s="173" t="s">
        <v>233</v>
      </c>
      <c r="M2633" s="194">
        <v>2100</v>
      </c>
      <c r="N2633" s="194">
        <v>2400</v>
      </c>
      <c r="O2633" s="194">
        <v>149</v>
      </c>
      <c r="P2633" s="194" t="s">
        <v>252</v>
      </c>
      <c r="Q2633" s="194">
        <v>208</v>
      </c>
      <c r="R2633" s="194" t="s">
        <v>252</v>
      </c>
      <c r="S2633" s="194">
        <v>128</v>
      </c>
      <c r="T2633" s="194" t="s">
        <v>252</v>
      </c>
      <c r="U2633" s="194">
        <v>202</v>
      </c>
      <c r="V2633" s="194" t="s">
        <v>252</v>
      </c>
      <c r="W2633" s="194">
        <v>154</v>
      </c>
      <c r="X2633" s="194" t="s">
        <v>252</v>
      </c>
      <c r="Y2633" s="194">
        <v>193</v>
      </c>
      <c r="Z2633" s="194" t="s">
        <v>252</v>
      </c>
      <c r="AA2633" s="194">
        <v>155</v>
      </c>
      <c r="AB2633" s="194" t="s">
        <v>252</v>
      </c>
      <c r="AC2633" s="194">
        <v>162</v>
      </c>
      <c r="AD2633" s="194" t="s">
        <v>252</v>
      </c>
      <c r="AE2633" s="194">
        <v>157</v>
      </c>
      <c r="AF2633" s="194" t="s">
        <v>252</v>
      </c>
      <c r="AG2633" s="194">
        <v>104</v>
      </c>
      <c r="AH2633" s="194" t="s">
        <v>252</v>
      </c>
      <c r="AI2633" s="194">
        <v>227</v>
      </c>
      <c r="AJ2633" s="194" t="s">
        <v>252</v>
      </c>
      <c r="AK2633" s="194">
        <v>199</v>
      </c>
      <c r="AL2633" s="194" t="s">
        <v>252</v>
      </c>
      <c r="AM2633" s="194">
        <f t="shared" si="27"/>
        <v>2038</v>
      </c>
    </row>
    <row r="2634" spans="2:39" s="3" customFormat="1" ht="15.75" outlineLevel="1">
      <c r="B2634" s="178" t="s">
        <v>1309</v>
      </c>
      <c r="C2634" s="218" t="s">
        <v>1489</v>
      </c>
      <c r="D2634" s="219" t="s">
        <v>1403</v>
      </c>
      <c r="E2634" s="23" t="s">
        <v>44</v>
      </c>
      <c r="F2634" s="93" t="s">
        <v>45</v>
      </c>
      <c r="G2634" s="188" t="s">
        <v>1432</v>
      </c>
      <c r="H2634" s="378"/>
      <c r="I2634" s="188" t="s">
        <v>1433</v>
      </c>
      <c r="J2634" s="380"/>
      <c r="K2634" s="173" t="s">
        <v>233</v>
      </c>
      <c r="L2634" s="173" t="s">
        <v>233</v>
      </c>
      <c r="M2634" s="194">
        <v>4398</v>
      </c>
      <c r="N2634" s="194">
        <v>5328</v>
      </c>
      <c r="O2634" s="194">
        <v>255</v>
      </c>
      <c r="P2634" s="194" t="s">
        <v>252</v>
      </c>
      <c r="Q2634" s="194">
        <v>552</v>
      </c>
      <c r="R2634" s="194" t="s">
        <v>252</v>
      </c>
      <c r="S2634" s="194">
        <v>197</v>
      </c>
      <c r="T2634" s="194" t="s">
        <v>252</v>
      </c>
      <c r="U2634" s="194">
        <v>434</v>
      </c>
      <c r="V2634" s="194" t="s">
        <v>252</v>
      </c>
      <c r="W2634" s="194">
        <v>274</v>
      </c>
      <c r="X2634" s="194" t="s">
        <v>252</v>
      </c>
      <c r="Y2634" s="194">
        <v>363</v>
      </c>
      <c r="Z2634" s="194" t="s">
        <v>252</v>
      </c>
      <c r="AA2634" s="194">
        <v>192</v>
      </c>
      <c r="AB2634" s="194" t="s">
        <v>252</v>
      </c>
      <c r="AC2634" s="194">
        <v>224</v>
      </c>
      <c r="AD2634" s="194" t="s">
        <v>252</v>
      </c>
      <c r="AE2634" s="194">
        <v>292</v>
      </c>
      <c r="AF2634" s="194" t="s">
        <v>252</v>
      </c>
      <c r="AG2634" s="194">
        <v>271</v>
      </c>
      <c r="AH2634" s="194" t="s">
        <v>252</v>
      </c>
      <c r="AI2634" s="194">
        <v>622</v>
      </c>
      <c r="AJ2634" s="194" t="s">
        <v>252</v>
      </c>
      <c r="AK2634" s="194">
        <v>623</v>
      </c>
      <c r="AL2634" s="194" t="s">
        <v>252</v>
      </c>
      <c r="AM2634" s="194">
        <f t="shared" si="27"/>
        <v>4299</v>
      </c>
    </row>
    <row r="2635" spans="2:39" s="3" customFormat="1" ht="15.75" outlineLevel="1">
      <c r="B2635" s="178" t="s">
        <v>1310</v>
      </c>
      <c r="C2635" s="218" t="s">
        <v>1489</v>
      </c>
      <c r="D2635" s="219" t="s">
        <v>1403</v>
      </c>
      <c r="E2635" s="23" t="s">
        <v>44</v>
      </c>
      <c r="F2635" s="222" t="s">
        <v>45</v>
      </c>
      <c r="G2635" s="188" t="s">
        <v>1432</v>
      </c>
      <c r="H2635" s="194">
        <v>29</v>
      </c>
      <c r="I2635" s="188" t="s">
        <v>1433</v>
      </c>
      <c r="J2635" s="220" t="s">
        <v>1460</v>
      </c>
      <c r="K2635" s="173" t="s">
        <v>233</v>
      </c>
      <c r="L2635" s="173" t="s">
        <v>233</v>
      </c>
      <c r="M2635" s="194">
        <v>2261</v>
      </c>
      <c r="N2635" s="194">
        <v>2317</v>
      </c>
      <c r="O2635" s="194">
        <v>175</v>
      </c>
      <c r="P2635" s="194" t="s">
        <v>252</v>
      </c>
      <c r="Q2635" s="194">
        <v>221</v>
      </c>
      <c r="R2635" s="194" t="s">
        <v>252</v>
      </c>
      <c r="S2635" s="194">
        <v>150</v>
      </c>
      <c r="T2635" s="194" t="s">
        <v>252</v>
      </c>
      <c r="U2635" s="194">
        <v>229</v>
      </c>
      <c r="V2635" s="194" t="s">
        <v>252</v>
      </c>
      <c r="W2635" s="194">
        <v>151</v>
      </c>
      <c r="X2635" s="194" t="s">
        <v>252</v>
      </c>
      <c r="Y2635" s="194">
        <v>202</v>
      </c>
      <c r="Z2635" s="194" t="s">
        <v>252</v>
      </c>
      <c r="AA2635" s="194">
        <v>136</v>
      </c>
      <c r="AB2635" s="194" t="s">
        <v>252</v>
      </c>
      <c r="AC2635" s="194">
        <v>279</v>
      </c>
      <c r="AD2635" s="194" t="s">
        <v>252</v>
      </c>
      <c r="AE2635" s="194">
        <v>157</v>
      </c>
      <c r="AF2635" s="194" t="s">
        <v>252</v>
      </c>
      <c r="AG2635" s="194">
        <v>138</v>
      </c>
      <c r="AH2635" s="194" t="s">
        <v>252</v>
      </c>
      <c r="AI2635" s="194">
        <v>169</v>
      </c>
      <c r="AJ2635" s="194" t="s">
        <v>252</v>
      </c>
      <c r="AK2635" s="194">
        <v>238</v>
      </c>
      <c r="AL2635" s="194" t="s">
        <v>252</v>
      </c>
      <c r="AM2635" s="194">
        <f t="shared" si="27"/>
        <v>2245</v>
      </c>
    </row>
    <row r="2636" spans="2:39" s="3" customFormat="1" ht="15.75" outlineLevel="1">
      <c r="B2636" s="178" t="s">
        <v>1311</v>
      </c>
      <c r="C2636" s="218" t="s">
        <v>1489</v>
      </c>
      <c r="D2636" s="219" t="s">
        <v>1403</v>
      </c>
      <c r="E2636" s="23" t="s">
        <v>44</v>
      </c>
      <c r="F2636" s="222" t="s">
        <v>45</v>
      </c>
      <c r="G2636" s="188" t="s">
        <v>1432</v>
      </c>
      <c r="H2636" s="376">
        <v>44</v>
      </c>
      <c r="I2636" s="188" t="s">
        <v>1433</v>
      </c>
      <c r="J2636" s="379" t="s">
        <v>1441</v>
      </c>
      <c r="K2636" s="173" t="s">
        <v>233</v>
      </c>
      <c r="L2636" s="173" t="s">
        <v>233</v>
      </c>
      <c r="M2636" s="376">
        <v>6912</v>
      </c>
      <c r="N2636" s="376">
        <v>5741</v>
      </c>
      <c r="O2636" s="376">
        <v>498</v>
      </c>
      <c r="P2636" s="376" t="s">
        <v>252</v>
      </c>
      <c r="Q2636" s="376">
        <v>568</v>
      </c>
      <c r="R2636" s="376" t="s">
        <v>252</v>
      </c>
      <c r="S2636" s="376">
        <v>371</v>
      </c>
      <c r="T2636" s="376" t="s">
        <v>252</v>
      </c>
      <c r="U2636" s="376">
        <v>517</v>
      </c>
      <c r="V2636" s="376" t="s">
        <v>252</v>
      </c>
      <c r="W2636" s="376">
        <v>358</v>
      </c>
      <c r="X2636" s="376" t="s">
        <v>252</v>
      </c>
      <c r="Y2636" s="376">
        <v>453</v>
      </c>
      <c r="Z2636" s="376" t="s">
        <v>252</v>
      </c>
      <c r="AA2636" s="376">
        <v>329</v>
      </c>
      <c r="AB2636" s="376" t="s">
        <v>252</v>
      </c>
      <c r="AC2636" s="376">
        <v>553</v>
      </c>
      <c r="AD2636" s="376" t="s">
        <v>252</v>
      </c>
      <c r="AE2636" s="376">
        <v>358</v>
      </c>
      <c r="AF2636" s="376" t="s">
        <v>252</v>
      </c>
      <c r="AG2636" s="376">
        <v>240</v>
      </c>
      <c r="AH2636" s="376" t="s">
        <v>252</v>
      </c>
      <c r="AI2636" s="376">
        <v>495</v>
      </c>
      <c r="AJ2636" s="376" t="s">
        <v>252</v>
      </c>
      <c r="AK2636" s="376">
        <v>572</v>
      </c>
      <c r="AL2636" s="376" t="s">
        <v>252</v>
      </c>
      <c r="AM2636" s="376">
        <f t="shared" si="27"/>
        <v>5312</v>
      </c>
    </row>
    <row r="2637" spans="2:39" s="3" customFormat="1" ht="15.75" outlineLevel="1">
      <c r="B2637" s="178" t="s">
        <v>1312</v>
      </c>
      <c r="C2637" s="218" t="s">
        <v>1489</v>
      </c>
      <c r="D2637" s="219" t="s">
        <v>1403</v>
      </c>
      <c r="E2637" s="23" t="s">
        <v>44</v>
      </c>
      <c r="F2637" s="93" t="s">
        <v>45</v>
      </c>
      <c r="G2637" s="188" t="s">
        <v>1432</v>
      </c>
      <c r="H2637" s="378"/>
      <c r="I2637" s="188" t="s">
        <v>1433</v>
      </c>
      <c r="J2637" s="380"/>
      <c r="K2637" s="173" t="s">
        <v>233</v>
      </c>
      <c r="L2637" s="173" t="s">
        <v>233</v>
      </c>
      <c r="M2637" s="378"/>
      <c r="N2637" s="378"/>
      <c r="O2637" s="378"/>
      <c r="P2637" s="378"/>
      <c r="Q2637" s="378"/>
      <c r="R2637" s="378"/>
      <c r="S2637" s="378"/>
      <c r="T2637" s="378"/>
      <c r="U2637" s="378"/>
      <c r="V2637" s="378"/>
      <c r="W2637" s="378"/>
      <c r="X2637" s="378"/>
      <c r="Y2637" s="378"/>
      <c r="Z2637" s="378"/>
      <c r="AA2637" s="378"/>
      <c r="AB2637" s="378"/>
      <c r="AC2637" s="378"/>
      <c r="AD2637" s="378"/>
      <c r="AE2637" s="378"/>
      <c r="AF2637" s="378"/>
      <c r="AG2637" s="378"/>
      <c r="AH2637" s="378"/>
      <c r="AI2637" s="378"/>
      <c r="AJ2637" s="378"/>
      <c r="AK2637" s="378"/>
      <c r="AL2637" s="378"/>
      <c r="AM2637" s="378"/>
    </row>
    <row r="2638" spans="2:39" s="3" customFormat="1" ht="15.75" outlineLevel="1">
      <c r="B2638" s="178" t="s">
        <v>1313</v>
      </c>
      <c r="C2638" s="218" t="s">
        <v>1489</v>
      </c>
      <c r="D2638" s="219" t="s">
        <v>1403</v>
      </c>
      <c r="E2638" s="23" t="s">
        <v>44</v>
      </c>
      <c r="F2638" s="93" t="s">
        <v>45</v>
      </c>
      <c r="G2638" s="188" t="s">
        <v>1432</v>
      </c>
      <c r="H2638" s="194">
        <v>39</v>
      </c>
      <c r="I2638" s="188" t="s">
        <v>1433</v>
      </c>
      <c r="J2638" s="220" t="s">
        <v>1436</v>
      </c>
      <c r="K2638" s="173" t="s">
        <v>233</v>
      </c>
      <c r="L2638" s="173" t="s">
        <v>233</v>
      </c>
      <c r="M2638" s="194">
        <v>4881</v>
      </c>
      <c r="N2638" s="194">
        <v>5164</v>
      </c>
      <c r="O2638" s="194">
        <v>526</v>
      </c>
      <c r="P2638" s="194" t="s">
        <v>252</v>
      </c>
      <c r="Q2638" s="194">
        <v>634</v>
      </c>
      <c r="R2638" s="194" t="s">
        <v>252</v>
      </c>
      <c r="S2638" s="194">
        <v>382</v>
      </c>
      <c r="T2638" s="194" t="s">
        <v>252</v>
      </c>
      <c r="U2638" s="194">
        <v>577</v>
      </c>
      <c r="V2638" s="194" t="s">
        <v>252</v>
      </c>
      <c r="W2638" s="194">
        <v>457</v>
      </c>
      <c r="X2638" s="194" t="s">
        <v>252</v>
      </c>
      <c r="Y2638" s="194">
        <v>551</v>
      </c>
      <c r="Z2638" s="194" t="s">
        <v>252</v>
      </c>
      <c r="AA2638" s="194">
        <v>351</v>
      </c>
      <c r="AB2638" s="194" t="s">
        <v>252</v>
      </c>
      <c r="AC2638" s="194">
        <v>257</v>
      </c>
      <c r="AD2638" s="194" t="s">
        <v>252</v>
      </c>
      <c r="AE2638" s="194">
        <v>399</v>
      </c>
      <c r="AF2638" s="194" t="s">
        <v>252</v>
      </c>
      <c r="AG2638" s="194">
        <v>332</v>
      </c>
      <c r="AH2638" s="194" t="s">
        <v>252</v>
      </c>
      <c r="AI2638" s="194">
        <v>749</v>
      </c>
      <c r="AJ2638" s="194" t="s">
        <v>252</v>
      </c>
      <c r="AK2638" s="194">
        <v>672</v>
      </c>
      <c r="AL2638" s="194" t="s">
        <v>252</v>
      </c>
      <c r="AM2638" s="194">
        <f t="shared" si="27"/>
        <v>5887</v>
      </c>
    </row>
    <row r="2639" spans="2:39" s="3" customFormat="1" ht="15.75" outlineLevel="1">
      <c r="B2639" s="178" t="s">
        <v>1315</v>
      </c>
      <c r="C2639" s="218" t="s">
        <v>1489</v>
      </c>
      <c r="D2639" s="219" t="s">
        <v>1403</v>
      </c>
      <c r="E2639" s="23" t="s">
        <v>44</v>
      </c>
      <c r="F2639" s="93" t="s">
        <v>45</v>
      </c>
      <c r="G2639" s="188" t="s">
        <v>1432</v>
      </c>
      <c r="H2639" s="376">
        <v>24</v>
      </c>
      <c r="I2639" s="188" t="s">
        <v>1433</v>
      </c>
      <c r="J2639" s="379" t="s">
        <v>1460</v>
      </c>
      <c r="K2639" s="173" t="s">
        <v>233</v>
      </c>
      <c r="L2639" s="173" t="s">
        <v>233</v>
      </c>
      <c r="M2639" s="376">
        <v>6745</v>
      </c>
      <c r="N2639" s="376">
        <v>6544</v>
      </c>
      <c r="O2639" s="376">
        <v>883</v>
      </c>
      <c r="P2639" s="376" t="s">
        <v>252</v>
      </c>
      <c r="Q2639" s="376">
        <v>561</v>
      </c>
      <c r="R2639" s="376" t="s">
        <v>252</v>
      </c>
      <c r="S2639" s="376">
        <v>360</v>
      </c>
      <c r="T2639" s="376" t="s">
        <v>252</v>
      </c>
      <c r="U2639" s="376">
        <v>498</v>
      </c>
      <c r="V2639" s="376" t="s">
        <v>252</v>
      </c>
      <c r="W2639" s="376">
        <v>426</v>
      </c>
      <c r="X2639" s="376" t="s">
        <v>252</v>
      </c>
      <c r="Y2639" s="376">
        <v>258</v>
      </c>
      <c r="Z2639" s="376" t="s">
        <v>252</v>
      </c>
      <c r="AA2639" s="376">
        <v>257</v>
      </c>
      <c r="AB2639" s="376" t="s">
        <v>252</v>
      </c>
      <c r="AC2639" s="376">
        <v>295</v>
      </c>
      <c r="AD2639" s="376" t="s">
        <v>252</v>
      </c>
      <c r="AE2639" s="376">
        <v>489</v>
      </c>
      <c r="AF2639" s="376" t="s">
        <v>252</v>
      </c>
      <c r="AG2639" s="376">
        <v>575</v>
      </c>
      <c r="AH2639" s="376" t="s">
        <v>252</v>
      </c>
      <c r="AI2639" s="376">
        <v>592</v>
      </c>
      <c r="AJ2639" s="376" t="s">
        <v>252</v>
      </c>
      <c r="AK2639" s="376">
        <v>688</v>
      </c>
      <c r="AL2639" s="376" t="s">
        <v>252</v>
      </c>
      <c r="AM2639" s="376">
        <f t="shared" si="27"/>
        <v>5882</v>
      </c>
    </row>
    <row r="2640" spans="2:39" s="3" customFormat="1" ht="15.75" outlineLevel="1">
      <c r="B2640" s="178" t="s">
        <v>1316</v>
      </c>
      <c r="C2640" s="218" t="s">
        <v>1489</v>
      </c>
      <c r="D2640" s="219" t="s">
        <v>1403</v>
      </c>
      <c r="E2640" s="23" t="s">
        <v>44</v>
      </c>
      <c r="F2640" s="93" t="s">
        <v>45</v>
      </c>
      <c r="G2640" s="188" t="s">
        <v>1432</v>
      </c>
      <c r="H2640" s="378"/>
      <c r="I2640" s="188" t="s">
        <v>1433</v>
      </c>
      <c r="J2640" s="380"/>
      <c r="K2640" s="173" t="s">
        <v>233</v>
      </c>
      <c r="L2640" s="173" t="s">
        <v>233</v>
      </c>
      <c r="M2640" s="378"/>
      <c r="N2640" s="378"/>
      <c r="O2640" s="378"/>
      <c r="P2640" s="378"/>
      <c r="Q2640" s="378"/>
      <c r="R2640" s="378"/>
      <c r="S2640" s="378"/>
      <c r="T2640" s="378"/>
      <c r="U2640" s="378"/>
      <c r="V2640" s="378"/>
      <c r="W2640" s="378"/>
      <c r="X2640" s="378"/>
      <c r="Y2640" s="378"/>
      <c r="Z2640" s="378"/>
      <c r="AA2640" s="378"/>
      <c r="AB2640" s="378"/>
      <c r="AC2640" s="378"/>
      <c r="AD2640" s="378"/>
      <c r="AE2640" s="378"/>
      <c r="AF2640" s="378"/>
      <c r="AG2640" s="378"/>
      <c r="AH2640" s="378"/>
      <c r="AI2640" s="378"/>
      <c r="AJ2640" s="378"/>
      <c r="AK2640" s="378"/>
      <c r="AL2640" s="378"/>
      <c r="AM2640" s="378"/>
    </row>
    <row r="2641" spans="2:39" s="3" customFormat="1" ht="15.75" outlineLevel="1">
      <c r="B2641" s="178" t="s">
        <v>1317</v>
      </c>
      <c r="C2641" s="218" t="s">
        <v>1489</v>
      </c>
      <c r="D2641" s="219" t="s">
        <v>1417</v>
      </c>
      <c r="E2641" s="382" t="s">
        <v>138</v>
      </c>
      <c r="F2641" s="384" t="s">
        <v>45</v>
      </c>
      <c r="G2641" s="188" t="s">
        <v>1432</v>
      </c>
      <c r="H2641" s="376">
        <v>54</v>
      </c>
      <c r="I2641" s="188" t="s">
        <v>1433</v>
      </c>
      <c r="J2641" s="379" t="s">
        <v>1478</v>
      </c>
      <c r="K2641" s="173" t="s">
        <v>233</v>
      </c>
      <c r="L2641" s="173" t="s">
        <v>233</v>
      </c>
      <c r="M2641" s="386">
        <v>2816</v>
      </c>
      <c r="N2641" s="386">
        <v>2357</v>
      </c>
      <c r="O2641" s="376">
        <v>185</v>
      </c>
      <c r="P2641" s="376" t="s">
        <v>252</v>
      </c>
      <c r="Q2641" s="376">
        <v>167</v>
      </c>
      <c r="R2641" s="376" t="s">
        <v>252</v>
      </c>
      <c r="S2641" s="376">
        <v>151</v>
      </c>
      <c r="T2641" s="376" t="s">
        <v>252</v>
      </c>
      <c r="U2641" s="376">
        <v>191</v>
      </c>
      <c r="V2641" s="376" t="s">
        <v>252</v>
      </c>
      <c r="W2641" s="376">
        <v>164</v>
      </c>
      <c r="X2641" s="376" t="s">
        <v>252</v>
      </c>
      <c r="Y2641" s="376">
        <v>176</v>
      </c>
      <c r="Z2641" s="376" t="s">
        <v>252</v>
      </c>
      <c r="AA2641" s="376">
        <v>170</v>
      </c>
      <c r="AB2641" s="376" t="s">
        <v>252</v>
      </c>
      <c r="AC2641" s="376">
        <v>184</v>
      </c>
      <c r="AD2641" s="376" t="s">
        <v>252</v>
      </c>
      <c r="AE2641" s="376">
        <v>215</v>
      </c>
      <c r="AF2641" s="376" t="s">
        <v>252</v>
      </c>
      <c r="AG2641" s="376">
        <v>199</v>
      </c>
      <c r="AH2641" s="376" t="s">
        <v>252</v>
      </c>
      <c r="AI2641" s="376">
        <v>226</v>
      </c>
      <c r="AJ2641" s="376" t="s">
        <v>252</v>
      </c>
      <c r="AK2641" s="376">
        <v>183</v>
      </c>
      <c r="AL2641" s="376" t="s">
        <v>252</v>
      </c>
      <c r="AM2641" s="376">
        <f>O2641+Q2641+S2641++U2641+W2641+Y2641+AA2641+AC2641+AE2641+AG2641+AI2641+AK2641</f>
        <v>2211</v>
      </c>
    </row>
    <row r="2642" spans="2:39" s="3" customFormat="1" ht="15.75" outlineLevel="1">
      <c r="B2642" s="178" t="s">
        <v>1318</v>
      </c>
      <c r="C2642" s="218" t="s">
        <v>1489</v>
      </c>
      <c r="D2642" s="219" t="s">
        <v>1417</v>
      </c>
      <c r="E2642" s="383"/>
      <c r="F2642" s="385"/>
      <c r="G2642" s="188" t="s">
        <v>1432</v>
      </c>
      <c r="H2642" s="377"/>
      <c r="I2642" s="188" t="s">
        <v>1433</v>
      </c>
      <c r="J2642" s="381"/>
      <c r="K2642" s="173" t="s">
        <v>233</v>
      </c>
      <c r="L2642" s="173" t="s">
        <v>233</v>
      </c>
      <c r="M2642" s="387"/>
      <c r="N2642" s="387"/>
      <c r="O2642" s="378"/>
      <c r="P2642" s="378"/>
      <c r="Q2642" s="378"/>
      <c r="R2642" s="378"/>
      <c r="S2642" s="378"/>
      <c r="T2642" s="378"/>
      <c r="U2642" s="378"/>
      <c r="V2642" s="378"/>
      <c r="W2642" s="378"/>
      <c r="X2642" s="378"/>
      <c r="Y2642" s="378"/>
      <c r="Z2642" s="378"/>
      <c r="AA2642" s="378"/>
      <c r="AB2642" s="378"/>
      <c r="AC2642" s="378"/>
      <c r="AD2642" s="378"/>
      <c r="AE2642" s="378"/>
      <c r="AF2642" s="378"/>
      <c r="AG2642" s="378"/>
      <c r="AH2642" s="378"/>
      <c r="AI2642" s="378"/>
      <c r="AJ2642" s="378"/>
      <c r="AK2642" s="378"/>
      <c r="AL2642" s="378"/>
      <c r="AM2642" s="378"/>
    </row>
    <row r="2643" spans="2:39" s="3" customFormat="1" ht="15.75" outlineLevel="1">
      <c r="B2643" s="178" t="s">
        <v>1317</v>
      </c>
      <c r="C2643" s="218" t="s">
        <v>1489</v>
      </c>
      <c r="D2643" s="219" t="s">
        <v>1417</v>
      </c>
      <c r="E2643" s="382" t="s">
        <v>44</v>
      </c>
      <c r="F2643" s="384" t="s">
        <v>45</v>
      </c>
      <c r="G2643" s="188" t="s">
        <v>1432</v>
      </c>
      <c r="H2643" s="377"/>
      <c r="I2643" s="188" t="s">
        <v>1433</v>
      </c>
      <c r="J2643" s="381"/>
      <c r="K2643" s="173" t="s">
        <v>233</v>
      </c>
      <c r="L2643" s="173" t="s">
        <v>233</v>
      </c>
      <c r="M2643" s="386">
        <v>6197</v>
      </c>
      <c r="N2643" s="386">
        <v>5960</v>
      </c>
      <c r="O2643" s="376">
        <v>645</v>
      </c>
      <c r="P2643" s="376" t="s">
        <v>252</v>
      </c>
      <c r="Q2643" s="376">
        <v>533</v>
      </c>
      <c r="R2643" s="376" t="s">
        <v>252</v>
      </c>
      <c r="S2643" s="376">
        <v>421</v>
      </c>
      <c r="T2643" s="376" t="s">
        <v>252</v>
      </c>
      <c r="U2643" s="376">
        <v>543</v>
      </c>
      <c r="V2643" s="376" t="s">
        <v>252</v>
      </c>
      <c r="W2643" s="376">
        <v>434</v>
      </c>
      <c r="X2643" s="376" t="s">
        <v>252</v>
      </c>
      <c r="Y2643" s="376">
        <v>380</v>
      </c>
      <c r="Z2643" s="376" t="s">
        <v>252</v>
      </c>
      <c r="AA2643" s="376">
        <v>413</v>
      </c>
      <c r="AB2643" s="376" t="s">
        <v>252</v>
      </c>
      <c r="AC2643" s="376">
        <v>464</v>
      </c>
      <c r="AD2643" s="376" t="s">
        <v>252</v>
      </c>
      <c r="AE2643" s="376">
        <v>518</v>
      </c>
      <c r="AF2643" s="376" t="s">
        <v>252</v>
      </c>
      <c r="AG2643" s="376">
        <v>450</v>
      </c>
      <c r="AH2643" s="376" t="s">
        <v>252</v>
      </c>
      <c r="AI2643" s="376">
        <v>555</v>
      </c>
      <c r="AJ2643" s="376" t="s">
        <v>252</v>
      </c>
      <c r="AK2643" s="376">
        <v>473</v>
      </c>
      <c r="AL2643" s="376" t="s">
        <v>252</v>
      </c>
      <c r="AM2643" s="376">
        <f>O2643+Q2643+S2643++U2643+W2643+Y2643+AA2643+AC2643+AE2643+AG2643+AI2643+AK2643</f>
        <v>5829</v>
      </c>
    </row>
    <row r="2644" spans="2:39" s="3" customFormat="1" ht="15.75" outlineLevel="1">
      <c r="B2644" s="178" t="s">
        <v>1318</v>
      </c>
      <c r="C2644" s="218" t="s">
        <v>1489</v>
      </c>
      <c r="D2644" s="219" t="s">
        <v>1417</v>
      </c>
      <c r="E2644" s="383"/>
      <c r="F2644" s="385"/>
      <c r="G2644" s="188" t="s">
        <v>1432</v>
      </c>
      <c r="H2644" s="378"/>
      <c r="I2644" s="188" t="s">
        <v>1433</v>
      </c>
      <c r="J2644" s="380"/>
      <c r="K2644" s="173" t="s">
        <v>233</v>
      </c>
      <c r="L2644" s="173" t="s">
        <v>233</v>
      </c>
      <c r="M2644" s="387"/>
      <c r="N2644" s="387"/>
      <c r="O2644" s="378"/>
      <c r="P2644" s="378"/>
      <c r="Q2644" s="378"/>
      <c r="R2644" s="378"/>
      <c r="S2644" s="378"/>
      <c r="T2644" s="378"/>
      <c r="U2644" s="378"/>
      <c r="V2644" s="378"/>
      <c r="W2644" s="378"/>
      <c r="X2644" s="378"/>
      <c r="Y2644" s="378"/>
      <c r="Z2644" s="378"/>
      <c r="AA2644" s="378"/>
      <c r="AB2644" s="378"/>
      <c r="AC2644" s="378"/>
      <c r="AD2644" s="378"/>
      <c r="AE2644" s="378"/>
      <c r="AF2644" s="378"/>
      <c r="AG2644" s="378"/>
      <c r="AH2644" s="378"/>
      <c r="AI2644" s="378"/>
      <c r="AJ2644" s="378"/>
      <c r="AK2644" s="378"/>
      <c r="AL2644" s="378"/>
      <c r="AM2644" s="378"/>
    </row>
    <row r="2645" spans="2:39" s="3" customFormat="1" ht="15.75" outlineLevel="1">
      <c r="B2645" s="178" t="s">
        <v>1319</v>
      </c>
      <c r="C2645" s="218" t="s">
        <v>1489</v>
      </c>
      <c r="D2645" s="219" t="s">
        <v>1403</v>
      </c>
      <c r="E2645" s="23" t="s">
        <v>44</v>
      </c>
      <c r="F2645" s="93" t="s">
        <v>45</v>
      </c>
      <c r="G2645" s="188" t="s">
        <v>1432</v>
      </c>
      <c r="H2645" s="194">
        <v>29</v>
      </c>
      <c r="I2645" s="188" t="s">
        <v>1433</v>
      </c>
      <c r="J2645" s="220" t="s">
        <v>530</v>
      </c>
      <c r="K2645" s="173" t="s">
        <v>233</v>
      </c>
      <c r="L2645" s="173" t="s">
        <v>233</v>
      </c>
      <c r="M2645" s="194">
        <v>4037</v>
      </c>
      <c r="N2645" s="194">
        <v>4255</v>
      </c>
      <c r="O2645" s="194">
        <v>427</v>
      </c>
      <c r="P2645" s="194" t="s">
        <v>252</v>
      </c>
      <c r="Q2645" s="194">
        <v>487</v>
      </c>
      <c r="R2645" s="194" t="s">
        <v>252</v>
      </c>
      <c r="S2645" s="194">
        <v>405</v>
      </c>
      <c r="T2645" s="194" t="s">
        <v>252</v>
      </c>
      <c r="U2645" s="194">
        <v>440</v>
      </c>
      <c r="V2645" s="194" t="s">
        <v>252</v>
      </c>
      <c r="W2645" s="194">
        <v>288</v>
      </c>
      <c r="X2645" s="194" t="s">
        <v>252</v>
      </c>
      <c r="Y2645" s="194">
        <v>343</v>
      </c>
      <c r="Z2645" s="194" t="s">
        <v>252</v>
      </c>
      <c r="AA2645" s="194">
        <v>294</v>
      </c>
      <c r="AB2645" s="194" t="s">
        <v>252</v>
      </c>
      <c r="AC2645" s="194">
        <v>299</v>
      </c>
      <c r="AD2645" s="194" t="s">
        <v>252</v>
      </c>
      <c r="AE2645" s="194">
        <v>324</v>
      </c>
      <c r="AF2645" s="194" t="s">
        <v>252</v>
      </c>
      <c r="AG2645" s="194">
        <v>297</v>
      </c>
      <c r="AH2645" s="194" t="s">
        <v>252</v>
      </c>
      <c r="AI2645" s="194">
        <v>643</v>
      </c>
      <c r="AJ2645" s="194" t="s">
        <v>252</v>
      </c>
      <c r="AK2645" s="194">
        <v>606</v>
      </c>
      <c r="AL2645" s="194" t="s">
        <v>252</v>
      </c>
      <c r="AM2645" s="194">
        <f t="shared" ref="AM2645:AM2674" si="28">O2645+Q2645+S2645+U2645+W2645+Y2645+AA2645+AC2645+AE2645+AG2645+AI2645+AK2645</f>
        <v>4853</v>
      </c>
    </row>
    <row r="2646" spans="2:39" s="3" customFormat="1" ht="15.75" outlineLevel="1">
      <c r="B2646" s="178" t="s">
        <v>1320</v>
      </c>
      <c r="C2646" s="218" t="s">
        <v>1489</v>
      </c>
      <c r="D2646" s="219" t="s">
        <v>1403</v>
      </c>
      <c r="E2646" s="23" t="s">
        <v>44</v>
      </c>
      <c r="F2646" s="93" t="s">
        <v>45</v>
      </c>
      <c r="G2646" s="188" t="s">
        <v>1432</v>
      </c>
      <c r="H2646" s="194">
        <v>32</v>
      </c>
      <c r="I2646" s="188" t="s">
        <v>1433</v>
      </c>
      <c r="J2646" s="220" t="s">
        <v>1436</v>
      </c>
      <c r="K2646" s="173" t="s">
        <v>233</v>
      </c>
      <c r="L2646" s="173" t="s">
        <v>233</v>
      </c>
      <c r="M2646" s="194">
        <v>3539</v>
      </c>
      <c r="N2646" s="194">
        <v>2502</v>
      </c>
      <c r="O2646" s="194">
        <v>245</v>
      </c>
      <c r="P2646" s="194" t="s">
        <v>252</v>
      </c>
      <c r="Q2646" s="194">
        <v>234</v>
      </c>
      <c r="R2646" s="194" t="s">
        <v>252</v>
      </c>
      <c r="S2646" s="194">
        <v>169</v>
      </c>
      <c r="T2646" s="194" t="s">
        <v>252</v>
      </c>
      <c r="U2646" s="194">
        <v>230</v>
      </c>
      <c r="V2646" s="194" t="s">
        <v>252</v>
      </c>
      <c r="W2646" s="194">
        <v>164</v>
      </c>
      <c r="X2646" s="194" t="s">
        <v>252</v>
      </c>
      <c r="Y2646" s="194">
        <v>117</v>
      </c>
      <c r="Z2646" s="194" t="s">
        <v>252</v>
      </c>
      <c r="AA2646" s="194">
        <v>86</v>
      </c>
      <c r="AB2646" s="194" t="s">
        <v>252</v>
      </c>
      <c r="AC2646" s="194">
        <v>127</v>
      </c>
      <c r="AD2646" s="194" t="s">
        <v>252</v>
      </c>
      <c r="AE2646" s="194">
        <v>211</v>
      </c>
      <c r="AF2646" s="194" t="s">
        <v>252</v>
      </c>
      <c r="AG2646" s="194">
        <v>186</v>
      </c>
      <c r="AH2646" s="194" t="s">
        <v>252</v>
      </c>
      <c r="AI2646" s="194">
        <v>327</v>
      </c>
      <c r="AJ2646" s="194" t="s">
        <v>252</v>
      </c>
      <c r="AK2646" s="194">
        <v>315</v>
      </c>
      <c r="AL2646" s="194" t="s">
        <v>252</v>
      </c>
      <c r="AM2646" s="194">
        <f t="shared" si="28"/>
        <v>2411</v>
      </c>
    </row>
    <row r="2647" spans="2:39" s="3" customFormat="1" ht="15.75" outlineLevel="1">
      <c r="B2647" s="178" t="s">
        <v>1321</v>
      </c>
      <c r="C2647" s="218" t="s">
        <v>1489</v>
      </c>
      <c r="D2647" s="219" t="s">
        <v>1403</v>
      </c>
      <c r="E2647" s="23" t="s">
        <v>44</v>
      </c>
      <c r="F2647" s="93" t="s">
        <v>45</v>
      </c>
      <c r="G2647" s="188" t="s">
        <v>1432</v>
      </c>
      <c r="H2647" s="194">
        <v>28</v>
      </c>
      <c r="I2647" s="188" t="s">
        <v>1433</v>
      </c>
      <c r="J2647" s="220" t="s">
        <v>1458</v>
      </c>
      <c r="K2647" s="173" t="s">
        <v>233</v>
      </c>
      <c r="L2647" s="173" t="s">
        <v>233</v>
      </c>
      <c r="M2647" s="194">
        <v>5143</v>
      </c>
      <c r="N2647" s="194">
        <v>3282</v>
      </c>
      <c r="O2647" s="194">
        <v>353</v>
      </c>
      <c r="P2647" s="194" t="s">
        <v>252</v>
      </c>
      <c r="Q2647" s="194">
        <v>211</v>
      </c>
      <c r="R2647" s="194" t="s">
        <v>252</v>
      </c>
      <c r="S2647" s="194">
        <v>131</v>
      </c>
      <c r="T2647" s="194" t="s">
        <v>252</v>
      </c>
      <c r="U2647" s="194">
        <v>243</v>
      </c>
      <c r="V2647" s="194" t="s">
        <v>252</v>
      </c>
      <c r="W2647" s="194">
        <v>196</v>
      </c>
      <c r="X2647" s="194" t="s">
        <v>252</v>
      </c>
      <c r="Y2647" s="194">
        <v>209</v>
      </c>
      <c r="Z2647" s="194" t="s">
        <v>252</v>
      </c>
      <c r="AA2647" s="194">
        <v>124</v>
      </c>
      <c r="AB2647" s="194" t="s">
        <v>252</v>
      </c>
      <c r="AC2647" s="194">
        <v>109</v>
      </c>
      <c r="AD2647" s="194" t="s">
        <v>252</v>
      </c>
      <c r="AE2647" s="194">
        <v>132</v>
      </c>
      <c r="AF2647" s="194" t="s">
        <v>252</v>
      </c>
      <c r="AG2647" s="194">
        <v>175</v>
      </c>
      <c r="AH2647" s="194" t="s">
        <v>252</v>
      </c>
      <c r="AI2647" s="194">
        <v>262</v>
      </c>
      <c r="AJ2647" s="194" t="s">
        <v>252</v>
      </c>
      <c r="AK2647" s="194">
        <v>214</v>
      </c>
      <c r="AL2647" s="194" t="s">
        <v>252</v>
      </c>
      <c r="AM2647" s="194">
        <f t="shared" si="28"/>
        <v>2359</v>
      </c>
    </row>
    <row r="2648" spans="2:39" s="3" customFormat="1" ht="15.75" outlineLevel="1">
      <c r="B2648" s="178" t="s">
        <v>1322</v>
      </c>
      <c r="C2648" s="218" t="s">
        <v>1489</v>
      </c>
      <c r="D2648" s="219" t="s">
        <v>1403</v>
      </c>
      <c r="E2648" s="221" t="s">
        <v>138</v>
      </c>
      <c r="F2648" s="93" t="s">
        <v>45</v>
      </c>
      <c r="G2648" s="188" t="s">
        <v>1432</v>
      </c>
      <c r="H2648" s="376">
        <v>32</v>
      </c>
      <c r="I2648" s="188" t="s">
        <v>1433</v>
      </c>
      <c r="J2648" s="379" t="s">
        <v>210</v>
      </c>
      <c r="K2648" s="173" t="s">
        <v>233</v>
      </c>
      <c r="L2648" s="173" t="s">
        <v>233</v>
      </c>
      <c r="M2648" s="194">
        <v>7154</v>
      </c>
      <c r="N2648" s="194">
        <v>8872</v>
      </c>
      <c r="O2648" s="194">
        <v>462</v>
      </c>
      <c r="P2648" s="194" t="s">
        <v>252</v>
      </c>
      <c r="Q2648" s="194">
        <v>543</v>
      </c>
      <c r="R2648" s="194" t="s">
        <v>252</v>
      </c>
      <c r="S2648" s="194">
        <v>429</v>
      </c>
      <c r="T2648" s="194" t="s">
        <v>252</v>
      </c>
      <c r="U2648" s="194">
        <v>482</v>
      </c>
      <c r="V2648" s="194" t="s">
        <v>252</v>
      </c>
      <c r="W2648" s="194">
        <v>341</v>
      </c>
      <c r="X2648" s="194" t="s">
        <v>252</v>
      </c>
      <c r="Y2648" s="194">
        <v>290</v>
      </c>
      <c r="Z2648" s="194" t="s">
        <v>252</v>
      </c>
      <c r="AA2648" s="194">
        <v>284</v>
      </c>
      <c r="AB2648" s="194" t="s">
        <v>252</v>
      </c>
      <c r="AC2648" s="194">
        <v>301</v>
      </c>
      <c r="AD2648" s="194" t="s">
        <v>252</v>
      </c>
      <c r="AE2648" s="194">
        <v>334</v>
      </c>
      <c r="AF2648" s="194" t="s">
        <v>252</v>
      </c>
      <c r="AG2648" s="194">
        <v>281</v>
      </c>
      <c r="AH2648" s="194" t="s">
        <v>252</v>
      </c>
      <c r="AI2648" s="194">
        <v>352</v>
      </c>
      <c r="AJ2648" s="194" t="s">
        <v>252</v>
      </c>
      <c r="AK2648" s="194">
        <v>277</v>
      </c>
      <c r="AL2648" s="194" t="s">
        <v>252</v>
      </c>
      <c r="AM2648" s="194">
        <f t="shared" si="28"/>
        <v>4376</v>
      </c>
    </row>
    <row r="2649" spans="2:39" s="3" customFormat="1" ht="15.75" outlineLevel="1">
      <c r="B2649" s="178" t="s">
        <v>1322</v>
      </c>
      <c r="C2649" s="218" t="s">
        <v>1489</v>
      </c>
      <c r="D2649" s="219" t="s">
        <v>1403</v>
      </c>
      <c r="E2649" s="23" t="s">
        <v>44</v>
      </c>
      <c r="F2649" s="222" t="s">
        <v>45</v>
      </c>
      <c r="G2649" s="188" t="s">
        <v>1432</v>
      </c>
      <c r="H2649" s="378"/>
      <c r="I2649" s="188" t="s">
        <v>1433</v>
      </c>
      <c r="J2649" s="380"/>
      <c r="K2649" s="173" t="s">
        <v>233</v>
      </c>
      <c r="L2649" s="173" t="s">
        <v>233</v>
      </c>
      <c r="M2649" s="194">
        <v>8281</v>
      </c>
      <c r="N2649" s="194">
        <v>9416</v>
      </c>
      <c r="O2649" s="194">
        <v>955</v>
      </c>
      <c r="P2649" s="194" t="s">
        <v>252</v>
      </c>
      <c r="Q2649" s="194">
        <v>770</v>
      </c>
      <c r="R2649" s="194" t="s">
        <v>252</v>
      </c>
      <c r="S2649" s="194">
        <v>596</v>
      </c>
      <c r="T2649" s="194" t="s">
        <v>252</v>
      </c>
      <c r="U2649" s="194">
        <v>582</v>
      </c>
      <c r="V2649" s="194" t="s">
        <v>252</v>
      </c>
      <c r="W2649" s="194">
        <v>296</v>
      </c>
      <c r="X2649" s="194" t="s">
        <v>252</v>
      </c>
      <c r="Y2649" s="194">
        <v>305</v>
      </c>
      <c r="Z2649" s="194" t="s">
        <v>252</v>
      </c>
      <c r="AA2649" s="194">
        <v>492</v>
      </c>
      <c r="AB2649" s="194" t="s">
        <v>252</v>
      </c>
      <c r="AC2649" s="194">
        <v>268</v>
      </c>
      <c r="AD2649" s="194" t="s">
        <v>252</v>
      </c>
      <c r="AE2649" s="194">
        <v>825</v>
      </c>
      <c r="AF2649" s="194" t="s">
        <v>252</v>
      </c>
      <c r="AG2649" s="194">
        <v>758</v>
      </c>
      <c r="AH2649" s="194" t="s">
        <v>252</v>
      </c>
      <c r="AI2649" s="194">
        <v>803</v>
      </c>
      <c r="AJ2649" s="194" t="s">
        <v>252</v>
      </c>
      <c r="AK2649" s="194">
        <v>573</v>
      </c>
      <c r="AL2649" s="194" t="s">
        <v>252</v>
      </c>
      <c r="AM2649" s="194">
        <f t="shared" si="28"/>
        <v>7223</v>
      </c>
    </row>
    <row r="2650" spans="2:39" s="3" customFormat="1" ht="15.75" outlineLevel="1">
      <c r="B2650" s="178" t="s">
        <v>1323</v>
      </c>
      <c r="C2650" s="218" t="s">
        <v>1489</v>
      </c>
      <c r="D2650" s="219" t="s">
        <v>1403</v>
      </c>
      <c r="E2650" s="23" t="s">
        <v>44</v>
      </c>
      <c r="F2650" s="222" t="s">
        <v>45</v>
      </c>
      <c r="G2650" s="188" t="s">
        <v>1432</v>
      </c>
      <c r="H2650" s="194">
        <v>34</v>
      </c>
      <c r="I2650" s="188" t="s">
        <v>1433</v>
      </c>
      <c r="J2650" s="220" t="s">
        <v>1462</v>
      </c>
      <c r="K2650" s="173" t="s">
        <v>233</v>
      </c>
      <c r="L2650" s="173" t="s">
        <v>233</v>
      </c>
      <c r="M2650" s="194">
        <v>6285</v>
      </c>
      <c r="N2650" s="194">
        <v>6715</v>
      </c>
      <c r="O2650" s="194">
        <v>778</v>
      </c>
      <c r="P2650" s="194" t="s">
        <v>252</v>
      </c>
      <c r="Q2650" s="194">
        <v>772</v>
      </c>
      <c r="R2650" s="194" t="s">
        <v>252</v>
      </c>
      <c r="S2650" s="194">
        <v>538</v>
      </c>
      <c r="T2650" s="194" t="s">
        <v>252</v>
      </c>
      <c r="U2650" s="194">
        <v>836</v>
      </c>
      <c r="V2650" s="194" t="s">
        <v>252</v>
      </c>
      <c r="W2650" s="194">
        <v>538</v>
      </c>
      <c r="X2650" s="194" t="s">
        <v>252</v>
      </c>
      <c r="Y2650" s="194">
        <v>570</v>
      </c>
      <c r="Z2650" s="194" t="s">
        <v>252</v>
      </c>
      <c r="AA2650" s="194">
        <v>371</v>
      </c>
      <c r="AB2650" s="194" t="s">
        <v>252</v>
      </c>
      <c r="AC2650" s="194">
        <v>412</v>
      </c>
      <c r="AD2650" s="194" t="s">
        <v>252</v>
      </c>
      <c r="AE2650" s="194">
        <v>394</v>
      </c>
      <c r="AF2650" s="194" t="s">
        <v>252</v>
      </c>
      <c r="AG2650" s="194">
        <v>441</v>
      </c>
      <c r="AH2650" s="194" t="s">
        <v>252</v>
      </c>
      <c r="AI2650" s="194">
        <v>672</v>
      </c>
      <c r="AJ2650" s="194" t="s">
        <v>252</v>
      </c>
      <c r="AK2650" s="194">
        <v>652</v>
      </c>
      <c r="AL2650" s="194" t="s">
        <v>252</v>
      </c>
      <c r="AM2650" s="194">
        <f t="shared" si="28"/>
        <v>6974</v>
      </c>
    </row>
    <row r="2651" spans="2:39" s="3" customFormat="1" ht="15.75" outlineLevel="1">
      <c r="B2651" s="178" t="s">
        <v>1324</v>
      </c>
      <c r="C2651" s="218" t="s">
        <v>1489</v>
      </c>
      <c r="D2651" s="219" t="s">
        <v>1403</v>
      </c>
      <c r="E2651" s="23" t="s">
        <v>44</v>
      </c>
      <c r="F2651" s="93" t="s">
        <v>45</v>
      </c>
      <c r="G2651" s="188" t="s">
        <v>1432</v>
      </c>
      <c r="H2651" s="194">
        <v>44</v>
      </c>
      <c r="I2651" s="188" t="s">
        <v>1433</v>
      </c>
      <c r="J2651" s="220" t="s">
        <v>1460</v>
      </c>
      <c r="K2651" s="173" t="s">
        <v>233</v>
      </c>
      <c r="L2651" s="173" t="s">
        <v>233</v>
      </c>
      <c r="M2651" s="194">
        <v>2783</v>
      </c>
      <c r="N2651" s="194">
        <v>3078</v>
      </c>
      <c r="O2651" s="194">
        <v>394</v>
      </c>
      <c r="P2651" s="194" t="s">
        <v>252</v>
      </c>
      <c r="Q2651" s="194">
        <v>536</v>
      </c>
      <c r="R2651" s="194" t="s">
        <v>252</v>
      </c>
      <c r="S2651" s="194">
        <v>245</v>
      </c>
      <c r="T2651" s="194" t="s">
        <v>252</v>
      </c>
      <c r="U2651" s="194">
        <v>356</v>
      </c>
      <c r="V2651" s="194" t="s">
        <v>252</v>
      </c>
      <c r="W2651" s="194">
        <v>318</v>
      </c>
      <c r="X2651" s="194" t="s">
        <v>252</v>
      </c>
      <c r="Y2651" s="194">
        <v>359</v>
      </c>
      <c r="Z2651" s="194" t="s">
        <v>252</v>
      </c>
      <c r="AA2651" s="194">
        <v>380</v>
      </c>
      <c r="AB2651" s="194" t="s">
        <v>252</v>
      </c>
      <c r="AC2651" s="194">
        <v>325</v>
      </c>
      <c r="AD2651" s="194" t="s">
        <v>252</v>
      </c>
      <c r="AE2651" s="194">
        <v>254</v>
      </c>
      <c r="AF2651" s="194" t="s">
        <v>252</v>
      </c>
      <c r="AG2651" s="194">
        <v>352</v>
      </c>
      <c r="AH2651" s="194" t="s">
        <v>252</v>
      </c>
      <c r="AI2651" s="194">
        <v>490</v>
      </c>
      <c r="AJ2651" s="194" t="s">
        <v>252</v>
      </c>
      <c r="AK2651" s="194">
        <v>476</v>
      </c>
      <c r="AL2651" s="194" t="s">
        <v>252</v>
      </c>
      <c r="AM2651" s="194">
        <f t="shared" si="28"/>
        <v>4485</v>
      </c>
    </row>
    <row r="2652" spans="2:39" s="3" customFormat="1" ht="15.75" outlineLevel="1">
      <c r="B2652" s="178" t="s">
        <v>1325</v>
      </c>
      <c r="C2652" s="218" t="s">
        <v>1489</v>
      </c>
      <c r="D2652" s="219" t="s">
        <v>1403</v>
      </c>
      <c r="E2652" s="23" t="s">
        <v>44</v>
      </c>
      <c r="F2652" s="93" t="s">
        <v>45</v>
      </c>
      <c r="G2652" s="188" t="s">
        <v>1432</v>
      </c>
      <c r="H2652" s="194">
        <v>24</v>
      </c>
      <c r="I2652" s="188" t="s">
        <v>1433</v>
      </c>
      <c r="J2652" s="220" t="s">
        <v>1457</v>
      </c>
      <c r="K2652" s="173" t="s">
        <v>233</v>
      </c>
      <c r="L2652" s="173" t="s">
        <v>233</v>
      </c>
      <c r="M2652" s="194">
        <v>5113</v>
      </c>
      <c r="N2652" s="194">
        <v>4453</v>
      </c>
      <c r="O2652" s="194">
        <v>396</v>
      </c>
      <c r="P2652" s="194" t="s">
        <v>252</v>
      </c>
      <c r="Q2652" s="194">
        <v>219</v>
      </c>
      <c r="R2652" s="194" t="s">
        <v>252</v>
      </c>
      <c r="S2652" s="194">
        <v>277</v>
      </c>
      <c r="T2652" s="194" t="s">
        <v>252</v>
      </c>
      <c r="U2652" s="194">
        <v>275</v>
      </c>
      <c r="V2652" s="194" t="s">
        <v>252</v>
      </c>
      <c r="W2652" s="194">
        <v>201</v>
      </c>
      <c r="X2652" s="194" t="s">
        <v>252</v>
      </c>
      <c r="Y2652" s="194">
        <v>196</v>
      </c>
      <c r="Z2652" s="194" t="s">
        <v>252</v>
      </c>
      <c r="AA2652" s="194">
        <v>162</v>
      </c>
      <c r="AB2652" s="194" t="s">
        <v>252</v>
      </c>
      <c r="AC2652" s="194">
        <v>312</v>
      </c>
      <c r="AD2652" s="194" t="s">
        <v>252</v>
      </c>
      <c r="AE2652" s="194">
        <v>471</v>
      </c>
      <c r="AF2652" s="194" t="s">
        <v>252</v>
      </c>
      <c r="AG2652" s="194">
        <v>320</v>
      </c>
      <c r="AH2652" s="194" t="s">
        <v>252</v>
      </c>
      <c r="AI2652" s="194">
        <v>456</v>
      </c>
      <c r="AJ2652" s="194" t="s">
        <v>252</v>
      </c>
      <c r="AK2652" s="194">
        <v>411</v>
      </c>
      <c r="AL2652" s="194" t="s">
        <v>252</v>
      </c>
      <c r="AM2652" s="194">
        <f t="shared" si="28"/>
        <v>3696</v>
      </c>
    </row>
    <row r="2653" spans="2:39" s="3" customFormat="1" ht="15.75" outlineLevel="1">
      <c r="B2653" s="178" t="s">
        <v>1326</v>
      </c>
      <c r="C2653" s="218" t="s">
        <v>1489</v>
      </c>
      <c r="D2653" s="219" t="s">
        <v>1403</v>
      </c>
      <c r="E2653" s="23" t="s">
        <v>44</v>
      </c>
      <c r="F2653" s="93" t="s">
        <v>45</v>
      </c>
      <c r="G2653" s="188" t="s">
        <v>1432</v>
      </c>
      <c r="H2653" s="194">
        <v>48</v>
      </c>
      <c r="I2653" s="188" t="s">
        <v>1433</v>
      </c>
      <c r="J2653" s="220" t="s">
        <v>221</v>
      </c>
      <c r="K2653" s="173" t="s">
        <v>233</v>
      </c>
      <c r="L2653" s="173" t="s">
        <v>233</v>
      </c>
      <c r="M2653" s="194">
        <v>25713</v>
      </c>
      <c r="N2653" s="194">
        <v>24694</v>
      </c>
      <c r="O2653" s="194">
        <v>2300</v>
      </c>
      <c r="P2653" s="194" t="s">
        <v>252</v>
      </c>
      <c r="Q2653" s="194">
        <v>1946</v>
      </c>
      <c r="R2653" s="194" t="s">
        <v>252</v>
      </c>
      <c r="S2653" s="194">
        <v>1625</v>
      </c>
      <c r="T2653" s="194" t="s">
        <v>252</v>
      </c>
      <c r="U2653" s="194">
        <v>2387</v>
      </c>
      <c r="V2653" s="194" t="s">
        <v>252</v>
      </c>
      <c r="W2653" s="194">
        <v>1322</v>
      </c>
      <c r="X2653" s="194" t="s">
        <v>252</v>
      </c>
      <c r="Y2653" s="194">
        <v>1034</v>
      </c>
      <c r="Z2653" s="194" t="s">
        <v>252</v>
      </c>
      <c r="AA2653" s="194">
        <v>787</v>
      </c>
      <c r="AB2653" s="194" t="s">
        <v>252</v>
      </c>
      <c r="AC2653" s="194">
        <v>903</v>
      </c>
      <c r="AD2653" s="194" t="s">
        <v>252</v>
      </c>
      <c r="AE2653" s="194">
        <v>1337</v>
      </c>
      <c r="AF2653" s="194" t="s">
        <v>252</v>
      </c>
      <c r="AG2653" s="194">
        <v>1338</v>
      </c>
      <c r="AH2653" s="194" t="s">
        <v>252</v>
      </c>
      <c r="AI2653" s="194">
        <v>2375</v>
      </c>
      <c r="AJ2653" s="194" t="s">
        <v>252</v>
      </c>
      <c r="AK2653" s="194">
        <v>2414</v>
      </c>
      <c r="AL2653" s="194" t="s">
        <v>252</v>
      </c>
      <c r="AM2653" s="194">
        <f t="shared" si="28"/>
        <v>19768</v>
      </c>
    </row>
    <row r="2654" spans="2:39" s="3" customFormat="1" ht="15.75" outlineLevel="1">
      <c r="B2654" s="178" t="s">
        <v>1328</v>
      </c>
      <c r="C2654" s="218" t="s">
        <v>1489</v>
      </c>
      <c r="D2654" s="219" t="s">
        <v>1403</v>
      </c>
      <c r="E2654" s="23" t="s">
        <v>44</v>
      </c>
      <c r="F2654" s="93" t="s">
        <v>45</v>
      </c>
      <c r="G2654" s="188" t="s">
        <v>1432</v>
      </c>
      <c r="H2654" s="194">
        <v>38</v>
      </c>
      <c r="I2654" s="188" t="s">
        <v>1433</v>
      </c>
      <c r="J2654" s="220" t="s">
        <v>210</v>
      </c>
      <c r="K2654" s="173" t="s">
        <v>233</v>
      </c>
      <c r="L2654" s="173" t="s">
        <v>233</v>
      </c>
      <c r="M2654" s="194">
        <v>5274</v>
      </c>
      <c r="N2654" s="194">
        <v>4846</v>
      </c>
      <c r="O2654" s="194">
        <v>649</v>
      </c>
      <c r="P2654" s="194" t="s">
        <v>252</v>
      </c>
      <c r="Q2654" s="194">
        <v>421</v>
      </c>
      <c r="R2654" s="194" t="s">
        <v>252</v>
      </c>
      <c r="S2654" s="194">
        <v>338</v>
      </c>
      <c r="T2654" s="194" t="s">
        <v>252</v>
      </c>
      <c r="U2654" s="194">
        <v>505</v>
      </c>
      <c r="V2654" s="194" t="s">
        <v>252</v>
      </c>
      <c r="W2654" s="194">
        <v>382</v>
      </c>
      <c r="X2654" s="194" t="s">
        <v>252</v>
      </c>
      <c r="Y2654" s="194">
        <v>345</v>
      </c>
      <c r="Z2654" s="194" t="s">
        <v>252</v>
      </c>
      <c r="AA2654" s="194">
        <v>330</v>
      </c>
      <c r="AB2654" s="194" t="s">
        <v>252</v>
      </c>
      <c r="AC2654" s="194">
        <v>294</v>
      </c>
      <c r="AD2654" s="194" t="s">
        <v>252</v>
      </c>
      <c r="AE2654" s="194">
        <v>420</v>
      </c>
      <c r="AF2654" s="194" t="s">
        <v>252</v>
      </c>
      <c r="AG2654" s="194">
        <v>439</v>
      </c>
      <c r="AH2654" s="194" t="s">
        <v>252</v>
      </c>
      <c r="AI2654" s="194">
        <v>567</v>
      </c>
      <c r="AJ2654" s="194" t="s">
        <v>252</v>
      </c>
      <c r="AK2654" s="194">
        <v>542</v>
      </c>
      <c r="AL2654" s="194" t="s">
        <v>252</v>
      </c>
      <c r="AM2654" s="194">
        <f t="shared" si="28"/>
        <v>5232</v>
      </c>
    </row>
    <row r="2655" spans="2:39" s="3" customFormat="1" ht="15.75" outlineLevel="1">
      <c r="B2655" s="178" t="s">
        <v>1329</v>
      </c>
      <c r="C2655" s="218" t="s">
        <v>1489</v>
      </c>
      <c r="D2655" s="219" t="s">
        <v>1403</v>
      </c>
      <c r="E2655" s="23" t="s">
        <v>44</v>
      </c>
      <c r="F2655" s="93" t="s">
        <v>45</v>
      </c>
      <c r="G2655" s="188" t="s">
        <v>1432</v>
      </c>
      <c r="H2655" s="194">
        <v>38</v>
      </c>
      <c r="I2655" s="188" t="s">
        <v>1433</v>
      </c>
      <c r="J2655" s="220" t="s">
        <v>210</v>
      </c>
      <c r="K2655" s="173" t="s">
        <v>233</v>
      </c>
      <c r="L2655" s="173" t="s">
        <v>233</v>
      </c>
      <c r="M2655" s="194">
        <v>3603</v>
      </c>
      <c r="N2655" s="194">
        <v>3634</v>
      </c>
      <c r="O2655" s="194">
        <v>367</v>
      </c>
      <c r="P2655" s="194" t="s">
        <v>252</v>
      </c>
      <c r="Q2655" s="194">
        <v>297</v>
      </c>
      <c r="R2655" s="194" t="s">
        <v>252</v>
      </c>
      <c r="S2655" s="194">
        <v>232</v>
      </c>
      <c r="T2655" s="194" t="s">
        <v>252</v>
      </c>
      <c r="U2655" s="194">
        <v>320</v>
      </c>
      <c r="V2655" s="194" t="s">
        <v>252</v>
      </c>
      <c r="W2655" s="194">
        <v>234</v>
      </c>
      <c r="X2655" s="194" t="s">
        <v>252</v>
      </c>
      <c r="Y2655" s="194">
        <v>222</v>
      </c>
      <c r="Z2655" s="194" t="s">
        <v>252</v>
      </c>
      <c r="AA2655" s="194">
        <v>154</v>
      </c>
      <c r="AB2655" s="194" t="s">
        <v>252</v>
      </c>
      <c r="AC2655" s="194">
        <v>262</v>
      </c>
      <c r="AD2655" s="194" t="s">
        <v>252</v>
      </c>
      <c r="AE2655" s="194">
        <v>251</v>
      </c>
      <c r="AF2655" s="194" t="s">
        <v>252</v>
      </c>
      <c r="AG2655" s="194">
        <v>282</v>
      </c>
      <c r="AH2655" s="194" t="s">
        <v>252</v>
      </c>
      <c r="AI2655" s="194">
        <v>387</v>
      </c>
      <c r="AJ2655" s="194" t="s">
        <v>252</v>
      </c>
      <c r="AK2655" s="194">
        <v>345</v>
      </c>
      <c r="AL2655" s="194" t="s">
        <v>252</v>
      </c>
      <c r="AM2655" s="194">
        <f t="shared" si="28"/>
        <v>3353</v>
      </c>
    </row>
    <row r="2656" spans="2:39" s="3" customFormat="1" ht="15.75" outlineLevel="1">
      <c r="B2656" s="178" t="s">
        <v>1330</v>
      </c>
      <c r="C2656" s="218" t="s">
        <v>1489</v>
      </c>
      <c r="D2656" s="219" t="s">
        <v>1403</v>
      </c>
      <c r="E2656" s="23" t="s">
        <v>44</v>
      </c>
      <c r="F2656" s="93" t="s">
        <v>45</v>
      </c>
      <c r="G2656" s="188" t="s">
        <v>1432</v>
      </c>
      <c r="H2656" s="194">
        <v>27</v>
      </c>
      <c r="I2656" s="188" t="s">
        <v>1433</v>
      </c>
      <c r="J2656" s="220" t="s">
        <v>1470</v>
      </c>
      <c r="K2656" s="173" t="s">
        <v>233</v>
      </c>
      <c r="L2656" s="173" t="s">
        <v>233</v>
      </c>
      <c r="M2656" s="194">
        <v>4101</v>
      </c>
      <c r="N2656" s="194">
        <v>3331</v>
      </c>
      <c r="O2656" s="194">
        <v>480</v>
      </c>
      <c r="P2656" s="194" t="s">
        <v>252</v>
      </c>
      <c r="Q2656" s="194">
        <v>298</v>
      </c>
      <c r="R2656" s="194" t="s">
        <v>252</v>
      </c>
      <c r="S2656" s="194">
        <v>185</v>
      </c>
      <c r="T2656" s="194" t="s">
        <v>252</v>
      </c>
      <c r="U2656" s="194">
        <v>227</v>
      </c>
      <c r="V2656" s="194" t="s">
        <v>252</v>
      </c>
      <c r="W2656" s="194">
        <v>128</v>
      </c>
      <c r="X2656" s="194" t="s">
        <v>252</v>
      </c>
      <c r="Y2656" s="194">
        <v>109</v>
      </c>
      <c r="Z2656" s="194" t="s">
        <v>252</v>
      </c>
      <c r="AA2656" s="194">
        <v>120</v>
      </c>
      <c r="AB2656" s="194" t="s">
        <v>252</v>
      </c>
      <c r="AC2656" s="194">
        <v>59</v>
      </c>
      <c r="AD2656" s="194" t="s">
        <v>252</v>
      </c>
      <c r="AE2656" s="194">
        <v>192</v>
      </c>
      <c r="AF2656" s="194" t="s">
        <v>252</v>
      </c>
      <c r="AG2656" s="194">
        <v>240</v>
      </c>
      <c r="AH2656" s="194" t="s">
        <v>252</v>
      </c>
      <c r="AI2656" s="194">
        <v>315</v>
      </c>
      <c r="AJ2656" s="194" t="s">
        <v>252</v>
      </c>
      <c r="AK2656" s="194">
        <v>323</v>
      </c>
      <c r="AL2656" s="194" t="s">
        <v>252</v>
      </c>
      <c r="AM2656" s="194">
        <f t="shared" si="28"/>
        <v>2676</v>
      </c>
    </row>
    <row r="2657" spans="2:39" s="3" customFormat="1" ht="15.75" outlineLevel="1">
      <c r="B2657" s="178" t="s">
        <v>1331</v>
      </c>
      <c r="C2657" s="218" t="s">
        <v>1489</v>
      </c>
      <c r="D2657" s="219" t="s">
        <v>1403</v>
      </c>
      <c r="E2657" s="23" t="s">
        <v>44</v>
      </c>
      <c r="F2657" s="93" t="s">
        <v>45</v>
      </c>
      <c r="G2657" s="188" t="s">
        <v>1432</v>
      </c>
      <c r="H2657" s="194">
        <v>38</v>
      </c>
      <c r="I2657" s="188" t="s">
        <v>1433</v>
      </c>
      <c r="J2657" s="220" t="s">
        <v>1436</v>
      </c>
      <c r="K2657" s="173" t="s">
        <v>233</v>
      </c>
      <c r="L2657" s="173" t="s">
        <v>233</v>
      </c>
      <c r="M2657" s="194">
        <v>12887</v>
      </c>
      <c r="N2657" s="194">
        <v>9068</v>
      </c>
      <c r="O2657" s="194">
        <v>763</v>
      </c>
      <c r="P2657" s="194" t="s">
        <v>252</v>
      </c>
      <c r="Q2657" s="194">
        <v>698</v>
      </c>
      <c r="R2657" s="194" t="s">
        <v>252</v>
      </c>
      <c r="S2657" s="194">
        <v>559</v>
      </c>
      <c r="T2657" s="194" t="s">
        <v>252</v>
      </c>
      <c r="U2657" s="194">
        <v>823</v>
      </c>
      <c r="V2657" s="194" t="s">
        <v>252</v>
      </c>
      <c r="W2657" s="194">
        <v>571</v>
      </c>
      <c r="X2657" s="194" t="s">
        <v>252</v>
      </c>
      <c r="Y2657" s="194">
        <v>566</v>
      </c>
      <c r="Z2657" s="194" t="s">
        <v>252</v>
      </c>
      <c r="AA2657" s="194">
        <v>567</v>
      </c>
      <c r="AB2657" s="194" t="s">
        <v>252</v>
      </c>
      <c r="AC2657" s="194">
        <v>499</v>
      </c>
      <c r="AD2657" s="194" t="s">
        <v>252</v>
      </c>
      <c r="AE2657" s="194">
        <v>561</v>
      </c>
      <c r="AF2657" s="194" t="s">
        <v>252</v>
      </c>
      <c r="AG2657" s="194">
        <v>617</v>
      </c>
      <c r="AH2657" s="194" t="s">
        <v>252</v>
      </c>
      <c r="AI2657" s="194">
        <v>780</v>
      </c>
      <c r="AJ2657" s="194" t="s">
        <v>252</v>
      </c>
      <c r="AK2657" s="194">
        <v>726</v>
      </c>
      <c r="AL2657" s="194" t="s">
        <v>252</v>
      </c>
      <c r="AM2657" s="194">
        <f t="shared" si="28"/>
        <v>7730</v>
      </c>
    </row>
    <row r="2658" spans="2:39" s="3" customFormat="1" ht="15.75" outlineLevel="1">
      <c r="B2658" s="178" t="s">
        <v>1332</v>
      </c>
      <c r="C2658" s="218" t="s">
        <v>1489</v>
      </c>
      <c r="D2658" s="219" t="s">
        <v>1403</v>
      </c>
      <c r="E2658" s="23" t="s">
        <v>44</v>
      </c>
      <c r="F2658" s="93" t="s">
        <v>45</v>
      </c>
      <c r="G2658" s="188" t="s">
        <v>1432</v>
      </c>
      <c r="H2658" s="194">
        <v>29</v>
      </c>
      <c r="I2658" s="188" t="s">
        <v>1433</v>
      </c>
      <c r="J2658" s="220" t="s">
        <v>1441</v>
      </c>
      <c r="K2658" s="173" t="s">
        <v>233</v>
      </c>
      <c r="L2658" s="173" t="s">
        <v>233</v>
      </c>
      <c r="M2658" s="194">
        <v>9556</v>
      </c>
      <c r="N2658" s="194">
        <v>6684</v>
      </c>
      <c r="O2658" s="194">
        <v>865</v>
      </c>
      <c r="P2658" s="194" t="s">
        <v>252</v>
      </c>
      <c r="Q2658" s="194">
        <v>600</v>
      </c>
      <c r="R2658" s="194" t="s">
        <v>252</v>
      </c>
      <c r="S2658" s="194">
        <v>463</v>
      </c>
      <c r="T2658" s="194" t="s">
        <v>252</v>
      </c>
      <c r="U2658" s="194">
        <v>813</v>
      </c>
      <c r="V2658" s="194" t="s">
        <v>252</v>
      </c>
      <c r="W2658" s="194">
        <v>581</v>
      </c>
      <c r="X2658" s="194" t="s">
        <v>252</v>
      </c>
      <c r="Y2658" s="194">
        <v>649</v>
      </c>
      <c r="Z2658" s="194" t="s">
        <v>252</v>
      </c>
      <c r="AA2658" s="194">
        <v>418</v>
      </c>
      <c r="AB2658" s="194" t="s">
        <v>252</v>
      </c>
      <c r="AC2658" s="194">
        <v>703</v>
      </c>
      <c r="AD2658" s="194" t="s">
        <v>252</v>
      </c>
      <c r="AE2658" s="194">
        <v>705</v>
      </c>
      <c r="AF2658" s="194" t="s">
        <v>252</v>
      </c>
      <c r="AG2658" s="194">
        <v>678</v>
      </c>
      <c r="AH2658" s="194" t="s">
        <v>252</v>
      </c>
      <c r="AI2658" s="194">
        <v>629</v>
      </c>
      <c r="AJ2658" s="194" t="s">
        <v>252</v>
      </c>
      <c r="AK2658" s="194">
        <v>1282</v>
      </c>
      <c r="AL2658" s="194" t="s">
        <v>252</v>
      </c>
      <c r="AM2658" s="194">
        <f t="shared" si="28"/>
        <v>8386</v>
      </c>
    </row>
    <row r="2659" spans="2:39" s="3" customFormat="1" ht="15.75" outlineLevel="1">
      <c r="B2659" s="178" t="s">
        <v>1333</v>
      </c>
      <c r="C2659" s="218" t="s">
        <v>1489</v>
      </c>
      <c r="D2659" s="219" t="s">
        <v>1403</v>
      </c>
      <c r="E2659" s="23" t="s">
        <v>44</v>
      </c>
      <c r="F2659" s="93" t="s">
        <v>45</v>
      </c>
      <c r="G2659" s="188" t="s">
        <v>1432</v>
      </c>
      <c r="H2659" s="194">
        <v>42</v>
      </c>
      <c r="I2659" s="188" t="s">
        <v>1433</v>
      </c>
      <c r="J2659" s="220" t="s">
        <v>1441</v>
      </c>
      <c r="K2659" s="173" t="s">
        <v>233</v>
      </c>
      <c r="L2659" s="173" t="s">
        <v>233</v>
      </c>
      <c r="M2659" s="194">
        <v>6017</v>
      </c>
      <c r="N2659" s="194">
        <v>4658</v>
      </c>
      <c r="O2659" s="194">
        <v>755</v>
      </c>
      <c r="P2659" s="194" t="s">
        <v>252</v>
      </c>
      <c r="Q2659" s="194">
        <v>363</v>
      </c>
      <c r="R2659" s="194" t="s">
        <v>252</v>
      </c>
      <c r="S2659" s="194">
        <v>229</v>
      </c>
      <c r="T2659" s="194" t="s">
        <v>252</v>
      </c>
      <c r="U2659" s="194">
        <v>299</v>
      </c>
      <c r="V2659" s="194" t="s">
        <v>252</v>
      </c>
      <c r="W2659" s="194">
        <v>216</v>
      </c>
      <c r="X2659" s="194" t="s">
        <v>252</v>
      </c>
      <c r="Y2659" s="194">
        <v>220</v>
      </c>
      <c r="Z2659" s="194" t="s">
        <v>252</v>
      </c>
      <c r="AA2659" s="194">
        <v>192</v>
      </c>
      <c r="AB2659" s="194" t="s">
        <v>252</v>
      </c>
      <c r="AC2659" s="194">
        <v>183</v>
      </c>
      <c r="AD2659" s="194" t="s">
        <v>252</v>
      </c>
      <c r="AE2659" s="194">
        <v>244</v>
      </c>
      <c r="AF2659" s="194" t="s">
        <v>252</v>
      </c>
      <c r="AG2659" s="194">
        <v>276</v>
      </c>
      <c r="AH2659" s="194" t="s">
        <v>252</v>
      </c>
      <c r="AI2659" s="194">
        <v>381</v>
      </c>
      <c r="AJ2659" s="194" t="s">
        <v>252</v>
      </c>
      <c r="AK2659" s="194">
        <v>433</v>
      </c>
      <c r="AL2659" s="194" t="s">
        <v>252</v>
      </c>
      <c r="AM2659" s="194">
        <f t="shared" si="28"/>
        <v>3791</v>
      </c>
    </row>
    <row r="2660" spans="2:39" s="3" customFormat="1" ht="15.75" outlineLevel="1">
      <c r="B2660" s="178" t="s">
        <v>1334</v>
      </c>
      <c r="C2660" s="218" t="s">
        <v>1489</v>
      </c>
      <c r="D2660" s="219" t="s">
        <v>1403</v>
      </c>
      <c r="E2660" s="23" t="s">
        <v>44</v>
      </c>
      <c r="F2660" s="93" t="s">
        <v>45</v>
      </c>
      <c r="G2660" s="188" t="s">
        <v>1432</v>
      </c>
      <c r="H2660" s="194">
        <v>68</v>
      </c>
      <c r="I2660" s="188" t="s">
        <v>1433</v>
      </c>
      <c r="J2660" s="220" t="s">
        <v>1445</v>
      </c>
      <c r="K2660" s="173" t="s">
        <v>233</v>
      </c>
      <c r="L2660" s="173" t="s">
        <v>233</v>
      </c>
      <c r="M2660" s="194">
        <v>8403</v>
      </c>
      <c r="N2660" s="194">
        <v>8191</v>
      </c>
      <c r="O2660" s="194">
        <v>974</v>
      </c>
      <c r="P2660" s="194" t="s">
        <v>252</v>
      </c>
      <c r="Q2660" s="194">
        <v>776</v>
      </c>
      <c r="R2660" s="194" t="s">
        <v>252</v>
      </c>
      <c r="S2660" s="194">
        <v>537</v>
      </c>
      <c r="T2660" s="194" t="s">
        <v>252</v>
      </c>
      <c r="U2660" s="194">
        <v>746</v>
      </c>
      <c r="V2660" s="194" t="s">
        <v>252</v>
      </c>
      <c r="W2660" s="194">
        <v>636</v>
      </c>
      <c r="X2660" s="194" t="s">
        <v>252</v>
      </c>
      <c r="Y2660" s="194">
        <v>574</v>
      </c>
      <c r="Z2660" s="194" t="s">
        <v>252</v>
      </c>
      <c r="AA2660" s="194">
        <v>500</v>
      </c>
      <c r="AB2660" s="194" t="s">
        <v>252</v>
      </c>
      <c r="AC2660" s="194">
        <v>646</v>
      </c>
      <c r="AD2660" s="194" t="s">
        <v>252</v>
      </c>
      <c r="AE2660" s="194">
        <v>667</v>
      </c>
      <c r="AF2660" s="194" t="s">
        <v>252</v>
      </c>
      <c r="AG2660" s="194">
        <v>655</v>
      </c>
      <c r="AH2660" s="194" t="s">
        <v>252</v>
      </c>
      <c r="AI2660" s="194">
        <v>755</v>
      </c>
      <c r="AJ2660" s="194" t="s">
        <v>252</v>
      </c>
      <c r="AK2660" s="194">
        <v>663</v>
      </c>
      <c r="AL2660" s="194" t="s">
        <v>252</v>
      </c>
      <c r="AM2660" s="194">
        <f t="shared" si="28"/>
        <v>8129</v>
      </c>
    </row>
    <row r="2661" spans="2:39" s="3" customFormat="1" ht="15.75" outlineLevel="1">
      <c r="B2661" s="178" t="s">
        <v>1335</v>
      </c>
      <c r="C2661" s="218" t="s">
        <v>1489</v>
      </c>
      <c r="D2661" s="219" t="s">
        <v>1403</v>
      </c>
      <c r="E2661" s="23" t="s">
        <v>44</v>
      </c>
      <c r="F2661" s="93" t="s">
        <v>45</v>
      </c>
      <c r="G2661" s="188" t="s">
        <v>1432</v>
      </c>
      <c r="H2661" s="194">
        <v>42</v>
      </c>
      <c r="I2661" s="188" t="s">
        <v>1433</v>
      </c>
      <c r="J2661" s="220" t="s">
        <v>617</v>
      </c>
      <c r="K2661" s="173" t="s">
        <v>233</v>
      </c>
      <c r="L2661" s="173" t="s">
        <v>233</v>
      </c>
      <c r="M2661" s="194">
        <v>2995</v>
      </c>
      <c r="N2661" s="194">
        <v>1652</v>
      </c>
      <c r="O2661" s="194">
        <v>182</v>
      </c>
      <c r="P2661" s="194" t="s">
        <v>252</v>
      </c>
      <c r="Q2661" s="194">
        <v>53</v>
      </c>
      <c r="R2661" s="194" t="s">
        <v>252</v>
      </c>
      <c r="S2661" s="194">
        <v>34</v>
      </c>
      <c r="T2661" s="194" t="s">
        <v>252</v>
      </c>
      <c r="U2661" s="194">
        <v>110</v>
      </c>
      <c r="V2661" s="194" t="s">
        <v>252</v>
      </c>
      <c r="W2661" s="194">
        <v>55</v>
      </c>
      <c r="X2661" s="194" t="s">
        <v>252</v>
      </c>
      <c r="Y2661" s="194">
        <v>49</v>
      </c>
      <c r="Z2661" s="194" t="s">
        <v>252</v>
      </c>
      <c r="AA2661" s="194">
        <v>51</v>
      </c>
      <c r="AB2661" s="194" t="s">
        <v>252</v>
      </c>
      <c r="AC2661" s="194">
        <v>67</v>
      </c>
      <c r="AD2661" s="194" t="s">
        <v>252</v>
      </c>
      <c r="AE2661" s="194">
        <v>78</v>
      </c>
      <c r="AF2661" s="194" t="s">
        <v>252</v>
      </c>
      <c r="AG2661" s="194">
        <v>119</v>
      </c>
      <c r="AH2661" s="194" t="s">
        <v>252</v>
      </c>
      <c r="AI2661" s="194">
        <v>177</v>
      </c>
      <c r="AJ2661" s="194" t="s">
        <v>252</v>
      </c>
      <c r="AK2661" s="194">
        <v>186</v>
      </c>
      <c r="AL2661" s="194" t="s">
        <v>252</v>
      </c>
      <c r="AM2661" s="194">
        <f t="shared" si="28"/>
        <v>1161</v>
      </c>
    </row>
    <row r="2662" spans="2:39" s="3" customFormat="1" ht="15.75" outlineLevel="1">
      <c r="B2662" s="178" t="s">
        <v>1336</v>
      </c>
      <c r="C2662" s="218" t="s">
        <v>1489</v>
      </c>
      <c r="D2662" s="219" t="s">
        <v>1403</v>
      </c>
      <c r="E2662" s="221" t="s">
        <v>138</v>
      </c>
      <c r="F2662" s="93" t="s">
        <v>45</v>
      </c>
      <c r="G2662" s="188" t="s">
        <v>1432</v>
      </c>
      <c r="H2662" s="376">
        <v>28</v>
      </c>
      <c r="I2662" s="188" t="s">
        <v>1433</v>
      </c>
      <c r="J2662" s="379" t="s">
        <v>1461</v>
      </c>
      <c r="K2662" s="173" t="s">
        <v>233</v>
      </c>
      <c r="L2662" s="173" t="s">
        <v>233</v>
      </c>
      <c r="M2662" s="194">
        <v>4236</v>
      </c>
      <c r="N2662" s="194">
        <v>4699</v>
      </c>
      <c r="O2662" s="194">
        <v>330</v>
      </c>
      <c r="P2662" s="194" t="s">
        <v>252</v>
      </c>
      <c r="Q2662" s="194">
        <v>370</v>
      </c>
      <c r="R2662" s="194" t="s">
        <v>252</v>
      </c>
      <c r="S2662" s="194">
        <v>316</v>
      </c>
      <c r="T2662" s="194" t="s">
        <v>252</v>
      </c>
      <c r="U2662" s="194">
        <v>415</v>
      </c>
      <c r="V2662" s="194" t="s">
        <v>252</v>
      </c>
      <c r="W2662" s="194">
        <v>358</v>
      </c>
      <c r="X2662" s="194" t="s">
        <v>252</v>
      </c>
      <c r="Y2662" s="194">
        <v>377</v>
      </c>
      <c r="Z2662" s="194" t="s">
        <v>252</v>
      </c>
      <c r="AA2662" s="194">
        <v>322</v>
      </c>
      <c r="AB2662" s="194" t="s">
        <v>252</v>
      </c>
      <c r="AC2662" s="194">
        <v>314</v>
      </c>
      <c r="AD2662" s="194" t="s">
        <v>252</v>
      </c>
      <c r="AE2662" s="194">
        <v>359</v>
      </c>
      <c r="AF2662" s="194" t="s">
        <v>252</v>
      </c>
      <c r="AG2662" s="194">
        <v>359</v>
      </c>
      <c r="AH2662" s="194" t="s">
        <v>252</v>
      </c>
      <c r="AI2662" s="194">
        <v>316</v>
      </c>
      <c r="AJ2662" s="194" t="s">
        <v>252</v>
      </c>
      <c r="AK2662" s="194">
        <v>372</v>
      </c>
      <c r="AL2662" s="194" t="s">
        <v>252</v>
      </c>
      <c r="AM2662" s="194">
        <f t="shared" si="28"/>
        <v>4208</v>
      </c>
    </row>
    <row r="2663" spans="2:39" s="3" customFormat="1" ht="15.75" outlineLevel="1">
      <c r="B2663" s="178" t="s">
        <v>1336</v>
      </c>
      <c r="C2663" s="218" t="s">
        <v>1489</v>
      </c>
      <c r="D2663" s="219" t="s">
        <v>1403</v>
      </c>
      <c r="E2663" s="23" t="s">
        <v>44</v>
      </c>
      <c r="F2663" s="222" t="s">
        <v>45</v>
      </c>
      <c r="G2663" s="188" t="s">
        <v>1432</v>
      </c>
      <c r="H2663" s="378"/>
      <c r="I2663" s="188" t="s">
        <v>1433</v>
      </c>
      <c r="J2663" s="380"/>
      <c r="K2663" s="173" t="s">
        <v>233</v>
      </c>
      <c r="L2663" s="173" t="s">
        <v>233</v>
      </c>
      <c r="M2663" s="194">
        <v>7546</v>
      </c>
      <c r="N2663" s="194">
        <v>7734</v>
      </c>
      <c r="O2663" s="194">
        <v>718</v>
      </c>
      <c r="P2663" s="194" t="s">
        <v>252</v>
      </c>
      <c r="Q2663" s="194">
        <v>723</v>
      </c>
      <c r="R2663" s="194" t="s">
        <v>252</v>
      </c>
      <c r="S2663" s="194">
        <v>609</v>
      </c>
      <c r="T2663" s="194" t="s">
        <v>252</v>
      </c>
      <c r="U2663" s="194">
        <v>840</v>
      </c>
      <c r="V2663" s="194" t="s">
        <v>252</v>
      </c>
      <c r="W2663" s="194">
        <v>934</v>
      </c>
      <c r="X2663" s="194" t="s">
        <v>252</v>
      </c>
      <c r="Y2663" s="194">
        <v>796</v>
      </c>
      <c r="Z2663" s="194" t="s">
        <v>252</v>
      </c>
      <c r="AA2663" s="194">
        <v>529</v>
      </c>
      <c r="AB2663" s="194" t="s">
        <v>252</v>
      </c>
      <c r="AC2663" s="194">
        <v>495</v>
      </c>
      <c r="AD2663" s="194" t="s">
        <v>252</v>
      </c>
      <c r="AE2663" s="194">
        <v>739</v>
      </c>
      <c r="AF2663" s="194" t="s">
        <v>252</v>
      </c>
      <c r="AG2663" s="194">
        <v>568</v>
      </c>
      <c r="AH2663" s="194" t="s">
        <v>252</v>
      </c>
      <c r="AI2663" s="194">
        <v>857</v>
      </c>
      <c r="AJ2663" s="194" t="s">
        <v>252</v>
      </c>
      <c r="AK2663" s="194">
        <v>1047</v>
      </c>
      <c r="AL2663" s="194" t="s">
        <v>252</v>
      </c>
      <c r="AM2663" s="194">
        <f t="shared" si="28"/>
        <v>8855</v>
      </c>
    </row>
    <row r="2664" spans="2:39" s="3" customFormat="1" ht="15.75" outlineLevel="1">
      <c r="B2664" s="178" t="s">
        <v>1337</v>
      </c>
      <c r="C2664" s="218" t="s">
        <v>1489</v>
      </c>
      <c r="D2664" s="219" t="s">
        <v>1403</v>
      </c>
      <c r="E2664" s="23" t="s">
        <v>44</v>
      </c>
      <c r="F2664" s="222" t="s">
        <v>45</v>
      </c>
      <c r="G2664" s="188" t="s">
        <v>1432</v>
      </c>
      <c r="H2664" s="376">
        <v>29</v>
      </c>
      <c r="I2664" s="188" t="s">
        <v>1433</v>
      </c>
      <c r="J2664" s="379" t="s">
        <v>1457</v>
      </c>
      <c r="K2664" s="173" t="s">
        <v>233</v>
      </c>
      <c r="L2664" s="173" t="s">
        <v>233</v>
      </c>
      <c r="M2664" s="376">
        <v>24188</v>
      </c>
      <c r="N2664" s="376">
        <v>24187</v>
      </c>
      <c r="O2664" s="376">
        <v>1937</v>
      </c>
      <c r="P2664" s="376" t="s">
        <v>252</v>
      </c>
      <c r="Q2664" s="376">
        <v>1559</v>
      </c>
      <c r="R2664" s="376" t="s">
        <v>252</v>
      </c>
      <c r="S2664" s="376">
        <v>1103</v>
      </c>
      <c r="T2664" s="376" t="s">
        <v>252</v>
      </c>
      <c r="U2664" s="376">
        <v>1425</v>
      </c>
      <c r="V2664" s="376" t="s">
        <v>252</v>
      </c>
      <c r="W2664" s="376">
        <v>1291</v>
      </c>
      <c r="X2664" s="376" t="s">
        <v>252</v>
      </c>
      <c r="Y2664" s="376">
        <v>1188</v>
      </c>
      <c r="Z2664" s="376" t="s">
        <v>252</v>
      </c>
      <c r="AA2664" s="376">
        <v>1201</v>
      </c>
      <c r="AB2664" s="376" t="s">
        <v>252</v>
      </c>
      <c r="AC2664" s="376">
        <v>1169</v>
      </c>
      <c r="AD2664" s="376" t="s">
        <v>252</v>
      </c>
      <c r="AE2664" s="376">
        <v>1697</v>
      </c>
      <c r="AF2664" s="376" t="s">
        <v>252</v>
      </c>
      <c r="AG2664" s="376">
        <v>1524</v>
      </c>
      <c r="AH2664" s="376" t="s">
        <v>252</v>
      </c>
      <c r="AI2664" s="376">
        <v>1827</v>
      </c>
      <c r="AJ2664" s="376" t="s">
        <v>252</v>
      </c>
      <c r="AK2664" s="376">
        <v>1891</v>
      </c>
      <c r="AL2664" s="376" t="s">
        <v>252</v>
      </c>
      <c r="AM2664" s="376">
        <f t="shared" si="28"/>
        <v>17812</v>
      </c>
    </row>
    <row r="2665" spans="2:39" s="3" customFormat="1" ht="15.75" outlineLevel="1">
      <c r="B2665" s="178" t="s">
        <v>1338</v>
      </c>
      <c r="C2665" s="218" t="s">
        <v>1489</v>
      </c>
      <c r="D2665" s="219" t="s">
        <v>1403</v>
      </c>
      <c r="E2665" s="23" t="s">
        <v>44</v>
      </c>
      <c r="F2665" s="93" t="s">
        <v>45</v>
      </c>
      <c r="G2665" s="188" t="s">
        <v>1432</v>
      </c>
      <c r="H2665" s="378"/>
      <c r="I2665" s="188" t="s">
        <v>1433</v>
      </c>
      <c r="J2665" s="380"/>
      <c r="K2665" s="173" t="s">
        <v>233</v>
      </c>
      <c r="L2665" s="173" t="s">
        <v>233</v>
      </c>
      <c r="M2665" s="378"/>
      <c r="N2665" s="378"/>
      <c r="O2665" s="378"/>
      <c r="P2665" s="378"/>
      <c r="Q2665" s="378"/>
      <c r="R2665" s="378"/>
      <c r="S2665" s="378"/>
      <c r="T2665" s="378"/>
      <c r="U2665" s="378"/>
      <c r="V2665" s="378"/>
      <c r="W2665" s="378"/>
      <c r="X2665" s="378"/>
      <c r="Y2665" s="378"/>
      <c r="Z2665" s="378"/>
      <c r="AA2665" s="378"/>
      <c r="AB2665" s="378"/>
      <c r="AC2665" s="378"/>
      <c r="AD2665" s="378"/>
      <c r="AE2665" s="378"/>
      <c r="AF2665" s="378"/>
      <c r="AG2665" s="378"/>
      <c r="AH2665" s="378"/>
      <c r="AI2665" s="378"/>
      <c r="AJ2665" s="378"/>
      <c r="AK2665" s="378"/>
      <c r="AL2665" s="378"/>
      <c r="AM2665" s="378"/>
    </row>
    <row r="2666" spans="2:39" s="3" customFormat="1" ht="15.75" outlineLevel="1">
      <c r="B2666" s="178" t="s">
        <v>1339</v>
      </c>
      <c r="C2666" s="218" t="s">
        <v>1489</v>
      </c>
      <c r="D2666" s="219" t="s">
        <v>1403</v>
      </c>
      <c r="E2666" s="23" t="s">
        <v>44</v>
      </c>
      <c r="F2666" s="93" t="s">
        <v>45</v>
      </c>
      <c r="G2666" s="188" t="s">
        <v>1432</v>
      </c>
      <c r="H2666" s="194">
        <v>32</v>
      </c>
      <c r="I2666" s="188" t="s">
        <v>1433</v>
      </c>
      <c r="J2666" s="220" t="s">
        <v>1445</v>
      </c>
      <c r="K2666" s="173" t="s">
        <v>233</v>
      </c>
      <c r="L2666" s="173" t="s">
        <v>233</v>
      </c>
      <c r="M2666" s="194">
        <v>15106</v>
      </c>
      <c r="N2666" s="194">
        <v>13163</v>
      </c>
      <c r="O2666" s="194">
        <v>1403</v>
      </c>
      <c r="P2666" s="194" t="s">
        <v>252</v>
      </c>
      <c r="Q2666" s="194">
        <v>1091</v>
      </c>
      <c r="R2666" s="194" t="s">
        <v>252</v>
      </c>
      <c r="S2666" s="194">
        <v>1000</v>
      </c>
      <c r="T2666" s="194" t="s">
        <v>252</v>
      </c>
      <c r="U2666" s="194">
        <v>876</v>
      </c>
      <c r="V2666" s="194" t="s">
        <v>252</v>
      </c>
      <c r="W2666" s="194">
        <v>747</v>
      </c>
      <c r="X2666" s="194" t="s">
        <v>252</v>
      </c>
      <c r="Y2666" s="194">
        <v>568</v>
      </c>
      <c r="Z2666" s="194" t="s">
        <v>252</v>
      </c>
      <c r="AA2666" s="194">
        <v>482</v>
      </c>
      <c r="AB2666" s="194" t="s">
        <v>252</v>
      </c>
      <c r="AC2666" s="194">
        <v>628</v>
      </c>
      <c r="AD2666" s="194" t="s">
        <v>252</v>
      </c>
      <c r="AE2666" s="194">
        <v>865</v>
      </c>
      <c r="AF2666" s="194" t="s">
        <v>252</v>
      </c>
      <c r="AG2666" s="194">
        <v>1183</v>
      </c>
      <c r="AH2666" s="194" t="s">
        <v>252</v>
      </c>
      <c r="AI2666" s="194">
        <v>1074</v>
      </c>
      <c r="AJ2666" s="194" t="s">
        <v>252</v>
      </c>
      <c r="AK2666" s="194">
        <v>1067</v>
      </c>
      <c r="AL2666" s="194" t="s">
        <v>252</v>
      </c>
      <c r="AM2666" s="194">
        <f t="shared" si="28"/>
        <v>10984</v>
      </c>
    </row>
    <row r="2667" spans="2:39" s="3" customFormat="1" ht="15.75" outlineLevel="1">
      <c r="B2667" s="178" t="s">
        <v>1340</v>
      </c>
      <c r="C2667" s="218" t="s">
        <v>1489</v>
      </c>
      <c r="D2667" s="219" t="s">
        <v>1403</v>
      </c>
      <c r="E2667" s="23" t="s">
        <v>44</v>
      </c>
      <c r="F2667" s="93" t="s">
        <v>45</v>
      </c>
      <c r="G2667" s="188" t="s">
        <v>1432</v>
      </c>
      <c r="H2667" s="194">
        <v>41</v>
      </c>
      <c r="I2667" s="188" t="s">
        <v>1433</v>
      </c>
      <c r="J2667" s="220" t="s">
        <v>1463</v>
      </c>
      <c r="K2667" s="173" t="s">
        <v>233</v>
      </c>
      <c r="L2667" s="173" t="s">
        <v>233</v>
      </c>
      <c r="M2667" s="194">
        <v>1536</v>
      </c>
      <c r="N2667" s="194">
        <v>1201</v>
      </c>
      <c r="O2667" s="194">
        <v>270</v>
      </c>
      <c r="P2667" s="194" t="s">
        <v>252</v>
      </c>
      <c r="Q2667" s="194">
        <v>215</v>
      </c>
      <c r="R2667" s="194" t="s">
        <v>252</v>
      </c>
      <c r="S2667" s="194">
        <v>157</v>
      </c>
      <c r="T2667" s="194" t="s">
        <v>252</v>
      </c>
      <c r="U2667" s="194">
        <v>162</v>
      </c>
      <c r="V2667" s="194" t="s">
        <v>252</v>
      </c>
      <c r="W2667" s="194">
        <v>117</v>
      </c>
      <c r="X2667" s="194" t="s">
        <v>252</v>
      </c>
      <c r="Y2667" s="194">
        <v>85</v>
      </c>
      <c r="Z2667" s="194" t="s">
        <v>252</v>
      </c>
      <c r="AA2667" s="194">
        <v>61</v>
      </c>
      <c r="AB2667" s="194" t="s">
        <v>252</v>
      </c>
      <c r="AC2667" s="194">
        <v>277</v>
      </c>
      <c r="AD2667" s="194" t="s">
        <v>252</v>
      </c>
      <c r="AE2667" s="194">
        <v>242</v>
      </c>
      <c r="AF2667" s="194" t="s">
        <v>252</v>
      </c>
      <c r="AG2667" s="194">
        <v>257</v>
      </c>
      <c r="AH2667" s="194" t="s">
        <v>252</v>
      </c>
      <c r="AI2667" s="194">
        <v>223</v>
      </c>
      <c r="AJ2667" s="194" t="s">
        <v>252</v>
      </c>
      <c r="AK2667" s="194">
        <v>191</v>
      </c>
      <c r="AL2667" s="194" t="s">
        <v>252</v>
      </c>
      <c r="AM2667" s="194">
        <f t="shared" si="28"/>
        <v>2257</v>
      </c>
    </row>
    <row r="2668" spans="2:39" s="3" customFormat="1" ht="15.75" outlineLevel="1">
      <c r="B2668" s="178" t="s">
        <v>1341</v>
      </c>
      <c r="C2668" s="218" t="s">
        <v>1489</v>
      </c>
      <c r="D2668" s="219" t="s">
        <v>1403</v>
      </c>
      <c r="E2668" s="221" t="s">
        <v>138</v>
      </c>
      <c r="F2668" s="93" t="s">
        <v>45</v>
      </c>
      <c r="G2668" s="188" t="s">
        <v>1432</v>
      </c>
      <c r="H2668" s="376">
        <v>68</v>
      </c>
      <c r="I2668" s="188" t="s">
        <v>1433</v>
      </c>
      <c r="J2668" s="379" t="s">
        <v>1464</v>
      </c>
      <c r="K2668" s="173" t="s">
        <v>233</v>
      </c>
      <c r="L2668" s="173" t="s">
        <v>233</v>
      </c>
      <c r="M2668" s="194">
        <v>10972</v>
      </c>
      <c r="N2668" s="194">
        <v>10451</v>
      </c>
      <c r="O2668" s="194">
        <v>1423</v>
      </c>
      <c r="P2668" s="194" t="s">
        <v>252</v>
      </c>
      <c r="Q2668" s="194">
        <v>1960</v>
      </c>
      <c r="R2668" s="194" t="s">
        <v>252</v>
      </c>
      <c r="S2668" s="194">
        <v>1611</v>
      </c>
      <c r="T2668" s="194" t="s">
        <v>252</v>
      </c>
      <c r="U2668" s="194">
        <v>1697</v>
      </c>
      <c r="V2668" s="194" t="s">
        <v>252</v>
      </c>
      <c r="W2668" s="194">
        <v>1681</v>
      </c>
      <c r="X2668" s="194" t="s">
        <v>252</v>
      </c>
      <c r="Y2668" s="194">
        <v>1975</v>
      </c>
      <c r="Z2668" s="194" t="s">
        <v>252</v>
      </c>
      <c r="AA2668" s="194">
        <v>327</v>
      </c>
      <c r="AB2668" s="194" t="s">
        <v>252</v>
      </c>
      <c r="AC2668" s="194">
        <v>719</v>
      </c>
      <c r="AD2668" s="194" t="s">
        <v>252</v>
      </c>
      <c r="AE2668" s="194">
        <v>1770</v>
      </c>
      <c r="AF2668" s="194" t="s">
        <v>252</v>
      </c>
      <c r="AG2668" s="194">
        <v>2032</v>
      </c>
      <c r="AH2668" s="194" t="s">
        <v>252</v>
      </c>
      <c r="AI2668" s="194">
        <v>235</v>
      </c>
      <c r="AJ2668" s="194" t="s">
        <v>252</v>
      </c>
      <c r="AK2668" s="194">
        <v>1675</v>
      </c>
      <c r="AL2668" s="194" t="s">
        <v>252</v>
      </c>
      <c r="AM2668" s="194">
        <f t="shared" si="28"/>
        <v>17105</v>
      </c>
    </row>
    <row r="2669" spans="2:39" s="3" customFormat="1" ht="15.75" outlineLevel="1">
      <c r="B2669" s="178" t="s">
        <v>1341</v>
      </c>
      <c r="C2669" s="218" t="s">
        <v>1489</v>
      </c>
      <c r="D2669" s="219" t="s">
        <v>1403</v>
      </c>
      <c r="E2669" s="23" t="s">
        <v>44</v>
      </c>
      <c r="F2669" s="93" t="s">
        <v>45</v>
      </c>
      <c r="G2669" s="188" t="s">
        <v>1432</v>
      </c>
      <c r="H2669" s="378"/>
      <c r="I2669" s="188" t="s">
        <v>1433</v>
      </c>
      <c r="J2669" s="380"/>
      <c r="K2669" s="173" t="s">
        <v>233</v>
      </c>
      <c r="L2669" s="173" t="s">
        <v>233</v>
      </c>
      <c r="M2669" s="194">
        <v>18265</v>
      </c>
      <c r="N2669" s="194">
        <v>17129</v>
      </c>
      <c r="O2669" s="194">
        <v>488</v>
      </c>
      <c r="P2669" s="194" t="s">
        <v>252</v>
      </c>
      <c r="Q2669" s="194">
        <v>494</v>
      </c>
      <c r="R2669" s="194" t="s">
        <v>252</v>
      </c>
      <c r="S2669" s="194">
        <v>519</v>
      </c>
      <c r="T2669" s="194" t="s">
        <v>252</v>
      </c>
      <c r="U2669" s="194">
        <v>307</v>
      </c>
      <c r="V2669" s="194" t="s">
        <v>252</v>
      </c>
      <c r="W2669" s="194">
        <v>446</v>
      </c>
      <c r="X2669" s="194" t="s">
        <v>252</v>
      </c>
      <c r="Y2669" s="194">
        <v>496</v>
      </c>
      <c r="Z2669" s="194" t="s">
        <v>252</v>
      </c>
      <c r="AA2669" s="194">
        <v>1478</v>
      </c>
      <c r="AB2669" s="194" t="s">
        <v>252</v>
      </c>
      <c r="AC2669" s="194">
        <v>292</v>
      </c>
      <c r="AD2669" s="194" t="s">
        <v>252</v>
      </c>
      <c r="AE2669" s="194">
        <v>595</v>
      </c>
      <c r="AF2669" s="194" t="s">
        <v>252</v>
      </c>
      <c r="AG2669" s="194">
        <v>324</v>
      </c>
      <c r="AH2669" s="194" t="s">
        <v>252</v>
      </c>
      <c r="AI2669" s="194">
        <v>1245</v>
      </c>
      <c r="AJ2669" s="194" t="s">
        <v>252</v>
      </c>
      <c r="AK2669" s="194">
        <v>552</v>
      </c>
      <c r="AL2669" s="194" t="s">
        <v>252</v>
      </c>
      <c r="AM2669" s="194">
        <f t="shared" si="28"/>
        <v>7236</v>
      </c>
    </row>
    <row r="2670" spans="2:39" s="3" customFormat="1" ht="15.75" outlineLevel="1">
      <c r="B2670" s="178" t="s">
        <v>1342</v>
      </c>
      <c r="C2670" s="218" t="s">
        <v>1489</v>
      </c>
      <c r="D2670" s="219" t="s">
        <v>1403</v>
      </c>
      <c r="E2670" s="23" t="s">
        <v>44</v>
      </c>
      <c r="F2670" s="93" t="s">
        <v>45</v>
      </c>
      <c r="G2670" s="188" t="s">
        <v>1432</v>
      </c>
      <c r="H2670" s="194">
        <v>26</v>
      </c>
      <c r="I2670" s="188" t="s">
        <v>1433</v>
      </c>
      <c r="J2670" s="220" t="s">
        <v>1460</v>
      </c>
      <c r="K2670" s="173" t="s">
        <v>233</v>
      </c>
      <c r="L2670" s="173" t="s">
        <v>233</v>
      </c>
      <c r="M2670" s="194">
        <v>14204</v>
      </c>
      <c r="N2670" s="194">
        <v>14197</v>
      </c>
      <c r="O2670" s="194">
        <v>310</v>
      </c>
      <c r="P2670" s="194" t="s">
        <v>252</v>
      </c>
      <c r="Q2670" s="194">
        <v>692</v>
      </c>
      <c r="R2670" s="194" t="s">
        <v>252</v>
      </c>
      <c r="S2670" s="194">
        <v>585</v>
      </c>
      <c r="T2670" s="194" t="s">
        <v>252</v>
      </c>
      <c r="U2670" s="194">
        <v>850</v>
      </c>
      <c r="V2670" s="194" t="s">
        <v>252</v>
      </c>
      <c r="W2670" s="194">
        <v>770</v>
      </c>
      <c r="X2670" s="194" t="s">
        <v>252</v>
      </c>
      <c r="Y2670" s="194">
        <v>622</v>
      </c>
      <c r="Z2670" s="194" t="s">
        <v>252</v>
      </c>
      <c r="AA2670" s="194">
        <v>394</v>
      </c>
      <c r="AB2670" s="194" t="s">
        <v>252</v>
      </c>
      <c r="AC2670" s="194">
        <v>281</v>
      </c>
      <c r="AD2670" s="194" t="s">
        <v>252</v>
      </c>
      <c r="AE2670" s="194">
        <v>612</v>
      </c>
      <c r="AF2670" s="194" t="s">
        <v>252</v>
      </c>
      <c r="AG2670" s="194">
        <v>947</v>
      </c>
      <c r="AH2670" s="194" t="s">
        <v>252</v>
      </c>
      <c r="AI2670" s="194">
        <v>610</v>
      </c>
      <c r="AJ2670" s="194" t="s">
        <v>252</v>
      </c>
      <c r="AK2670" s="194">
        <v>769</v>
      </c>
      <c r="AL2670" s="194" t="s">
        <v>252</v>
      </c>
      <c r="AM2670" s="194">
        <f t="shared" si="28"/>
        <v>7442</v>
      </c>
    </row>
    <row r="2671" spans="2:39" s="3" customFormat="1" ht="15.75" outlineLevel="1">
      <c r="B2671" s="178" t="s">
        <v>1343</v>
      </c>
      <c r="C2671" s="218" t="s">
        <v>1489</v>
      </c>
      <c r="D2671" s="219" t="s">
        <v>1403</v>
      </c>
      <c r="E2671" s="23" t="s">
        <v>44</v>
      </c>
      <c r="F2671" s="93" t="s">
        <v>45</v>
      </c>
      <c r="G2671" s="188" t="s">
        <v>1432</v>
      </c>
      <c r="H2671" s="194">
        <v>29</v>
      </c>
      <c r="I2671" s="188" t="s">
        <v>1433</v>
      </c>
      <c r="J2671" s="220" t="s">
        <v>1460</v>
      </c>
      <c r="K2671" s="173" t="s">
        <v>233</v>
      </c>
      <c r="L2671" s="173" t="s">
        <v>233</v>
      </c>
      <c r="M2671" s="194">
        <v>2546</v>
      </c>
      <c r="N2671" s="194">
        <v>2425</v>
      </c>
      <c r="O2671" s="194">
        <v>231</v>
      </c>
      <c r="P2671" s="194" t="s">
        <v>252</v>
      </c>
      <c r="Q2671" s="194">
        <v>109</v>
      </c>
      <c r="R2671" s="194" t="s">
        <v>252</v>
      </c>
      <c r="S2671" s="194">
        <v>90</v>
      </c>
      <c r="T2671" s="194" t="s">
        <v>252</v>
      </c>
      <c r="U2671" s="194">
        <v>367</v>
      </c>
      <c r="V2671" s="194" t="s">
        <v>252</v>
      </c>
      <c r="W2671" s="194">
        <v>172</v>
      </c>
      <c r="X2671" s="194" t="s">
        <v>252</v>
      </c>
      <c r="Y2671" s="194">
        <v>179</v>
      </c>
      <c r="Z2671" s="194" t="s">
        <v>252</v>
      </c>
      <c r="AA2671" s="194">
        <v>150</v>
      </c>
      <c r="AB2671" s="194" t="s">
        <v>252</v>
      </c>
      <c r="AC2671" s="194">
        <v>253</v>
      </c>
      <c r="AD2671" s="194" t="s">
        <v>252</v>
      </c>
      <c r="AE2671" s="194">
        <v>180</v>
      </c>
      <c r="AF2671" s="194" t="s">
        <v>252</v>
      </c>
      <c r="AG2671" s="194">
        <v>179</v>
      </c>
      <c r="AH2671" s="194" t="s">
        <v>252</v>
      </c>
      <c r="AI2671" s="194">
        <v>168</v>
      </c>
      <c r="AJ2671" s="194" t="s">
        <v>252</v>
      </c>
      <c r="AK2671" s="194">
        <v>158</v>
      </c>
      <c r="AL2671" s="194" t="s">
        <v>252</v>
      </c>
      <c r="AM2671" s="194">
        <f t="shared" si="28"/>
        <v>2236</v>
      </c>
    </row>
    <row r="2672" spans="2:39" s="3" customFormat="1" ht="15.75" outlineLevel="1">
      <c r="B2672" s="178" t="s">
        <v>1344</v>
      </c>
      <c r="C2672" s="218" t="s">
        <v>1489</v>
      </c>
      <c r="D2672" s="219" t="s">
        <v>1403</v>
      </c>
      <c r="E2672" s="221" t="s">
        <v>138</v>
      </c>
      <c r="F2672" s="222" t="s">
        <v>45</v>
      </c>
      <c r="G2672" s="188" t="s">
        <v>1432</v>
      </c>
      <c r="H2672" s="376">
        <v>36</v>
      </c>
      <c r="I2672" s="188" t="s">
        <v>1433</v>
      </c>
      <c r="J2672" s="379" t="s">
        <v>1436</v>
      </c>
      <c r="K2672" s="173" t="s">
        <v>233</v>
      </c>
      <c r="L2672" s="173" t="s">
        <v>233</v>
      </c>
      <c r="M2672" s="194">
        <v>4561</v>
      </c>
      <c r="N2672" s="194">
        <v>4602</v>
      </c>
      <c r="O2672" s="194">
        <v>513</v>
      </c>
      <c r="P2672" s="194" t="s">
        <v>252</v>
      </c>
      <c r="Q2672" s="194">
        <v>650</v>
      </c>
      <c r="R2672" s="194" t="s">
        <v>252</v>
      </c>
      <c r="S2672" s="194">
        <v>494</v>
      </c>
      <c r="T2672" s="194" t="s">
        <v>252</v>
      </c>
      <c r="U2672" s="194">
        <v>526</v>
      </c>
      <c r="V2672" s="194" t="s">
        <v>252</v>
      </c>
      <c r="W2672" s="194">
        <v>500</v>
      </c>
      <c r="X2672" s="194" t="s">
        <v>252</v>
      </c>
      <c r="Y2672" s="194">
        <v>639</v>
      </c>
      <c r="Z2672" s="194" t="s">
        <v>252</v>
      </c>
      <c r="AA2672" s="194">
        <v>481</v>
      </c>
      <c r="AB2672" s="194" t="s">
        <v>252</v>
      </c>
      <c r="AC2672" s="194">
        <v>402</v>
      </c>
      <c r="AD2672" s="194" t="s">
        <v>252</v>
      </c>
      <c r="AE2672" s="194">
        <v>554</v>
      </c>
      <c r="AF2672" s="194" t="s">
        <v>252</v>
      </c>
      <c r="AG2672" s="194">
        <v>617</v>
      </c>
      <c r="AH2672" s="194" t="s">
        <v>252</v>
      </c>
      <c r="AI2672" s="194">
        <v>561</v>
      </c>
      <c r="AJ2672" s="194" t="s">
        <v>252</v>
      </c>
      <c r="AK2672" s="194">
        <v>729</v>
      </c>
      <c r="AL2672" s="194" t="s">
        <v>252</v>
      </c>
      <c r="AM2672" s="194">
        <f t="shared" si="28"/>
        <v>6666</v>
      </c>
    </row>
    <row r="2673" spans="2:39" s="3" customFormat="1" ht="15.75" outlineLevel="1">
      <c r="B2673" s="178" t="s">
        <v>1344</v>
      </c>
      <c r="C2673" s="218" t="s">
        <v>1489</v>
      </c>
      <c r="D2673" s="219" t="s">
        <v>1403</v>
      </c>
      <c r="E2673" s="23" t="s">
        <v>44</v>
      </c>
      <c r="F2673" s="93" t="s">
        <v>45</v>
      </c>
      <c r="G2673" s="188" t="s">
        <v>1432</v>
      </c>
      <c r="H2673" s="378"/>
      <c r="I2673" s="188" t="s">
        <v>1433</v>
      </c>
      <c r="J2673" s="380"/>
      <c r="K2673" s="173" t="s">
        <v>233</v>
      </c>
      <c r="L2673" s="173" t="s">
        <v>233</v>
      </c>
      <c r="M2673" s="194">
        <v>5237</v>
      </c>
      <c r="N2673" s="194">
        <v>5979</v>
      </c>
      <c r="O2673" s="194">
        <v>236</v>
      </c>
      <c r="P2673" s="194" t="s">
        <v>252</v>
      </c>
      <c r="Q2673" s="194">
        <v>287</v>
      </c>
      <c r="R2673" s="194" t="s">
        <v>252</v>
      </c>
      <c r="S2673" s="194">
        <v>189</v>
      </c>
      <c r="T2673" s="194" t="s">
        <v>252</v>
      </c>
      <c r="U2673" s="194">
        <v>208</v>
      </c>
      <c r="V2673" s="194" t="s">
        <v>252</v>
      </c>
      <c r="W2673" s="194">
        <v>205</v>
      </c>
      <c r="X2673" s="194" t="s">
        <v>252</v>
      </c>
      <c r="Y2673" s="194">
        <v>251</v>
      </c>
      <c r="Z2673" s="194" t="s">
        <v>252</v>
      </c>
      <c r="AA2673" s="194">
        <v>260</v>
      </c>
      <c r="AB2673" s="194" t="s">
        <v>252</v>
      </c>
      <c r="AC2673" s="194">
        <v>462</v>
      </c>
      <c r="AD2673" s="194" t="s">
        <v>252</v>
      </c>
      <c r="AE2673" s="194">
        <v>228</v>
      </c>
      <c r="AF2673" s="194" t="s">
        <v>252</v>
      </c>
      <c r="AG2673" s="194">
        <v>245</v>
      </c>
      <c r="AH2673" s="194" t="s">
        <v>252</v>
      </c>
      <c r="AI2673" s="194">
        <v>221</v>
      </c>
      <c r="AJ2673" s="194" t="s">
        <v>252</v>
      </c>
      <c r="AK2673" s="194">
        <v>320</v>
      </c>
      <c r="AL2673" s="194" t="s">
        <v>252</v>
      </c>
      <c r="AM2673" s="194">
        <f t="shared" si="28"/>
        <v>3112</v>
      </c>
    </row>
    <row r="2674" spans="2:39" s="3" customFormat="1" ht="15.75" outlineLevel="1">
      <c r="B2674" s="178" t="s">
        <v>1345</v>
      </c>
      <c r="C2674" s="218" t="s">
        <v>1489</v>
      </c>
      <c r="D2674" s="219" t="s">
        <v>1403</v>
      </c>
      <c r="E2674" s="23" t="s">
        <v>44</v>
      </c>
      <c r="F2674" s="93" t="s">
        <v>45</v>
      </c>
      <c r="G2674" s="188" t="s">
        <v>1432</v>
      </c>
      <c r="H2674" s="194">
        <v>26</v>
      </c>
      <c r="I2674" s="188" t="s">
        <v>1433</v>
      </c>
      <c r="J2674" s="220" t="s">
        <v>1460</v>
      </c>
      <c r="K2674" s="173" t="s">
        <v>233</v>
      </c>
      <c r="L2674" s="173" t="s">
        <v>233</v>
      </c>
      <c r="M2674" s="194">
        <v>7033</v>
      </c>
      <c r="N2674" s="194">
        <v>6122</v>
      </c>
      <c r="O2674" s="194">
        <v>624</v>
      </c>
      <c r="P2674" s="194" t="s">
        <v>252</v>
      </c>
      <c r="Q2674" s="194">
        <v>484</v>
      </c>
      <c r="R2674" s="194" t="s">
        <v>252</v>
      </c>
      <c r="S2674" s="194">
        <v>342</v>
      </c>
      <c r="T2674" s="194" t="s">
        <v>252</v>
      </c>
      <c r="U2674" s="194">
        <v>436</v>
      </c>
      <c r="V2674" s="194" t="s">
        <v>252</v>
      </c>
      <c r="W2674" s="194">
        <v>445</v>
      </c>
      <c r="X2674" s="194" t="s">
        <v>252</v>
      </c>
      <c r="Y2674" s="194">
        <v>588</v>
      </c>
      <c r="Z2674" s="194" t="s">
        <v>252</v>
      </c>
      <c r="AA2674" s="194">
        <v>372</v>
      </c>
      <c r="AB2674" s="194" t="s">
        <v>252</v>
      </c>
      <c r="AC2674" s="194">
        <v>154</v>
      </c>
      <c r="AD2674" s="194" t="s">
        <v>252</v>
      </c>
      <c r="AE2674" s="194">
        <v>627</v>
      </c>
      <c r="AF2674" s="194" t="s">
        <v>252</v>
      </c>
      <c r="AG2674" s="194">
        <v>495</v>
      </c>
      <c r="AH2674" s="194" t="s">
        <v>252</v>
      </c>
      <c r="AI2674" s="194">
        <v>430</v>
      </c>
      <c r="AJ2674" s="194" t="s">
        <v>252</v>
      </c>
      <c r="AK2674" s="194">
        <v>678</v>
      </c>
      <c r="AL2674" s="194" t="s">
        <v>252</v>
      </c>
      <c r="AM2674" s="194">
        <f t="shared" si="28"/>
        <v>5675</v>
      </c>
    </row>
    <row r="2675" spans="2:39" s="3" customFormat="1" ht="15.75" outlineLevel="1">
      <c r="B2675" s="178" t="s">
        <v>1397</v>
      </c>
      <c r="C2675" s="218" t="s">
        <v>1489</v>
      </c>
      <c r="D2675" s="219" t="s">
        <v>1420</v>
      </c>
      <c r="E2675" s="23" t="s">
        <v>44</v>
      </c>
      <c r="F2675" s="93" t="s">
        <v>45</v>
      </c>
      <c r="G2675" s="188" t="s">
        <v>1432</v>
      </c>
      <c r="H2675" s="194">
        <v>29</v>
      </c>
      <c r="I2675" s="188" t="s">
        <v>1433</v>
      </c>
      <c r="J2675" s="220" t="s">
        <v>1457</v>
      </c>
      <c r="K2675" s="173" t="s">
        <v>233</v>
      </c>
      <c r="L2675" s="173" t="s">
        <v>233</v>
      </c>
      <c r="M2675" s="224">
        <v>1560</v>
      </c>
      <c r="N2675" s="224">
        <v>1395</v>
      </c>
      <c r="O2675" s="194">
        <v>180</v>
      </c>
      <c r="P2675" s="194" t="s">
        <v>252</v>
      </c>
      <c r="Q2675" s="194">
        <v>84</v>
      </c>
      <c r="R2675" s="194" t="s">
        <v>252</v>
      </c>
      <c r="S2675" s="194">
        <v>75</v>
      </c>
      <c r="T2675" s="194" t="s">
        <v>252</v>
      </c>
      <c r="U2675" s="194">
        <v>196</v>
      </c>
      <c r="V2675" s="194" t="s">
        <v>252</v>
      </c>
      <c r="W2675" s="194">
        <v>153</v>
      </c>
      <c r="X2675" s="194" t="s">
        <v>252</v>
      </c>
      <c r="Y2675" s="194">
        <v>68</v>
      </c>
      <c r="Z2675" s="194" t="s">
        <v>252</v>
      </c>
      <c r="AA2675" s="194">
        <v>44</v>
      </c>
      <c r="AB2675" s="194" t="s">
        <v>252</v>
      </c>
      <c r="AC2675" s="194">
        <v>116</v>
      </c>
      <c r="AD2675" s="194" t="s">
        <v>252</v>
      </c>
      <c r="AE2675" s="194">
        <v>45</v>
      </c>
      <c r="AF2675" s="194" t="s">
        <v>252</v>
      </c>
      <c r="AG2675" s="194">
        <v>74</v>
      </c>
      <c r="AH2675" s="194" t="s">
        <v>252</v>
      </c>
      <c r="AI2675" s="194">
        <v>104</v>
      </c>
      <c r="AJ2675" s="194" t="s">
        <v>252</v>
      </c>
      <c r="AK2675" s="194">
        <v>172</v>
      </c>
      <c r="AL2675" s="194" t="s">
        <v>252</v>
      </c>
      <c r="AM2675" s="194">
        <f>O2675+Q2675+S2675+U2675+W2675+Y2675+AA2675+AC2675+AE2675+AG2675+AI2675+AK2675</f>
        <v>1311</v>
      </c>
    </row>
    <row r="2676" spans="2:39" s="3" customFormat="1" ht="15.75" outlineLevel="1">
      <c r="B2676" s="178" t="s">
        <v>1346</v>
      </c>
      <c r="C2676" s="218" t="s">
        <v>1489</v>
      </c>
      <c r="D2676" s="219" t="s">
        <v>1403</v>
      </c>
      <c r="E2676" s="382" t="s">
        <v>138</v>
      </c>
      <c r="F2676" s="384" t="s">
        <v>45</v>
      </c>
      <c r="G2676" s="188" t="s">
        <v>1432</v>
      </c>
      <c r="H2676" s="376">
        <v>29</v>
      </c>
      <c r="I2676" s="188" t="s">
        <v>1433</v>
      </c>
      <c r="J2676" s="379" t="s">
        <v>1436</v>
      </c>
      <c r="K2676" s="173" t="s">
        <v>233</v>
      </c>
      <c r="L2676" s="173" t="s">
        <v>233</v>
      </c>
      <c r="M2676" s="376">
        <v>4978</v>
      </c>
      <c r="N2676" s="376">
        <v>3875</v>
      </c>
      <c r="O2676" s="376">
        <v>310</v>
      </c>
      <c r="P2676" s="376" t="s">
        <v>252</v>
      </c>
      <c r="Q2676" s="376">
        <v>378</v>
      </c>
      <c r="R2676" s="376" t="s">
        <v>252</v>
      </c>
      <c r="S2676" s="376">
        <v>278</v>
      </c>
      <c r="T2676" s="376" t="s">
        <v>252</v>
      </c>
      <c r="U2676" s="376">
        <v>282</v>
      </c>
      <c r="V2676" s="376" t="s">
        <v>252</v>
      </c>
      <c r="W2676" s="376">
        <v>263</v>
      </c>
      <c r="X2676" s="376" t="s">
        <v>252</v>
      </c>
      <c r="Y2676" s="376">
        <v>310</v>
      </c>
      <c r="Z2676" s="376" t="s">
        <v>252</v>
      </c>
      <c r="AA2676" s="376">
        <v>272</v>
      </c>
      <c r="AB2676" s="376" t="s">
        <v>252</v>
      </c>
      <c r="AC2676" s="376">
        <v>581</v>
      </c>
      <c r="AD2676" s="376" t="s">
        <v>252</v>
      </c>
      <c r="AE2676" s="376">
        <v>290</v>
      </c>
      <c r="AF2676" s="376" t="s">
        <v>252</v>
      </c>
      <c r="AG2676" s="376">
        <v>354</v>
      </c>
      <c r="AH2676" s="376" t="s">
        <v>252</v>
      </c>
      <c r="AI2676" s="376">
        <v>305</v>
      </c>
      <c r="AJ2676" s="376" t="s">
        <v>252</v>
      </c>
      <c r="AK2676" s="376">
        <v>432</v>
      </c>
      <c r="AL2676" s="376" t="s">
        <v>252</v>
      </c>
      <c r="AM2676" s="376">
        <f>O2676+Q2676+S2676++U2676+W2676+Y2676+AA2676+AC2676+AE2676+AG2676+AI2676+AK2676</f>
        <v>4055</v>
      </c>
    </row>
    <row r="2677" spans="2:39" s="3" customFormat="1" ht="15.75" outlineLevel="1">
      <c r="B2677" s="178" t="s">
        <v>1347</v>
      </c>
      <c r="C2677" s="218" t="s">
        <v>1489</v>
      </c>
      <c r="D2677" s="219" t="s">
        <v>1403</v>
      </c>
      <c r="E2677" s="383"/>
      <c r="F2677" s="385"/>
      <c r="G2677" s="188" t="s">
        <v>1432</v>
      </c>
      <c r="H2677" s="377"/>
      <c r="I2677" s="188" t="s">
        <v>1433</v>
      </c>
      <c r="J2677" s="381"/>
      <c r="K2677" s="173" t="s">
        <v>233</v>
      </c>
      <c r="L2677" s="173" t="s">
        <v>233</v>
      </c>
      <c r="M2677" s="378"/>
      <c r="N2677" s="378"/>
      <c r="O2677" s="378"/>
      <c r="P2677" s="378"/>
      <c r="Q2677" s="378"/>
      <c r="R2677" s="378"/>
      <c r="S2677" s="378"/>
      <c r="T2677" s="378"/>
      <c r="U2677" s="378"/>
      <c r="V2677" s="378"/>
      <c r="W2677" s="378"/>
      <c r="X2677" s="378"/>
      <c r="Y2677" s="378"/>
      <c r="Z2677" s="378"/>
      <c r="AA2677" s="378"/>
      <c r="AB2677" s="378"/>
      <c r="AC2677" s="378"/>
      <c r="AD2677" s="378"/>
      <c r="AE2677" s="378"/>
      <c r="AF2677" s="378"/>
      <c r="AG2677" s="378"/>
      <c r="AH2677" s="378"/>
      <c r="AI2677" s="378"/>
      <c r="AJ2677" s="378"/>
      <c r="AK2677" s="378"/>
      <c r="AL2677" s="378"/>
      <c r="AM2677" s="378"/>
    </row>
    <row r="2678" spans="2:39" s="3" customFormat="1" ht="15.75" outlineLevel="1">
      <c r="B2678" s="178" t="s">
        <v>1346</v>
      </c>
      <c r="C2678" s="218" t="s">
        <v>1489</v>
      </c>
      <c r="D2678" s="219" t="s">
        <v>1403</v>
      </c>
      <c r="E2678" s="382" t="s">
        <v>44</v>
      </c>
      <c r="F2678" s="384" t="s">
        <v>45</v>
      </c>
      <c r="G2678" s="188" t="s">
        <v>1432</v>
      </c>
      <c r="H2678" s="377"/>
      <c r="I2678" s="188" t="s">
        <v>1433</v>
      </c>
      <c r="J2678" s="381"/>
      <c r="K2678" s="173" t="s">
        <v>233</v>
      </c>
      <c r="L2678" s="173" t="s">
        <v>233</v>
      </c>
      <c r="M2678" s="376">
        <v>2851</v>
      </c>
      <c r="N2678" s="376">
        <v>2261</v>
      </c>
      <c r="O2678" s="376">
        <v>231</v>
      </c>
      <c r="P2678" s="376" t="s">
        <v>252</v>
      </c>
      <c r="Q2678" s="376">
        <v>194</v>
      </c>
      <c r="R2678" s="376" t="s">
        <v>252</v>
      </c>
      <c r="S2678" s="376">
        <v>86</v>
      </c>
      <c r="T2678" s="376" t="s">
        <v>252</v>
      </c>
      <c r="U2678" s="376">
        <v>96</v>
      </c>
      <c r="V2678" s="376" t="s">
        <v>252</v>
      </c>
      <c r="W2678" s="376">
        <v>96</v>
      </c>
      <c r="X2678" s="376" t="s">
        <v>252</v>
      </c>
      <c r="Y2678" s="376">
        <v>125</v>
      </c>
      <c r="Z2678" s="376" t="s">
        <v>252</v>
      </c>
      <c r="AA2678" s="376">
        <v>104</v>
      </c>
      <c r="AB2678" s="376" t="s">
        <v>252</v>
      </c>
      <c r="AC2678" s="376">
        <v>205</v>
      </c>
      <c r="AD2678" s="376" t="s">
        <v>252</v>
      </c>
      <c r="AE2678" s="376">
        <v>47</v>
      </c>
      <c r="AF2678" s="376" t="s">
        <v>252</v>
      </c>
      <c r="AG2678" s="376">
        <v>106</v>
      </c>
      <c r="AH2678" s="376" t="s">
        <v>252</v>
      </c>
      <c r="AI2678" s="376">
        <v>119</v>
      </c>
      <c r="AJ2678" s="376" t="s">
        <v>252</v>
      </c>
      <c r="AK2678" s="376">
        <v>115</v>
      </c>
      <c r="AL2678" s="376" t="s">
        <v>252</v>
      </c>
      <c r="AM2678" s="376">
        <f>O2678+Q2678+S2678++U2678+W2678+Y2678+AA2678+AC2678+AE2678+AG2678+AI2678+AK2678</f>
        <v>1524</v>
      </c>
    </row>
    <row r="2679" spans="2:39" s="3" customFormat="1" ht="15.75" outlineLevel="1">
      <c r="B2679" s="178" t="s">
        <v>1347</v>
      </c>
      <c r="C2679" s="218" t="s">
        <v>1489</v>
      </c>
      <c r="D2679" s="219" t="s">
        <v>1403</v>
      </c>
      <c r="E2679" s="383"/>
      <c r="F2679" s="385"/>
      <c r="G2679" s="188" t="s">
        <v>1432</v>
      </c>
      <c r="H2679" s="378"/>
      <c r="I2679" s="188" t="s">
        <v>1433</v>
      </c>
      <c r="J2679" s="380"/>
      <c r="K2679" s="173" t="s">
        <v>233</v>
      </c>
      <c r="L2679" s="173" t="s">
        <v>233</v>
      </c>
      <c r="M2679" s="378"/>
      <c r="N2679" s="378"/>
      <c r="O2679" s="378"/>
      <c r="P2679" s="378"/>
      <c r="Q2679" s="378"/>
      <c r="R2679" s="378"/>
      <c r="S2679" s="378"/>
      <c r="T2679" s="378"/>
      <c r="U2679" s="378"/>
      <c r="V2679" s="378"/>
      <c r="W2679" s="378"/>
      <c r="X2679" s="378"/>
      <c r="Y2679" s="378"/>
      <c r="Z2679" s="378"/>
      <c r="AA2679" s="378"/>
      <c r="AB2679" s="378"/>
      <c r="AC2679" s="378"/>
      <c r="AD2679" s="378"/>
      <c r="AE2679" s="378"/>
      <c r="AF2679" s="378"/>
      <c r="AG2679" s="378"/>
      <c r="AH2679" s="378"/>
      <c r="AI2679" s="378"/>
      <c r="AJ2679" s="378"/>
      <c r="AK2679" s="378"/>
      <c r="AL2679" s="378"/>
      <c r="AM2679" s="378"/>
    </row>
    <row r="2680" spans="2:39" s="3" customFormat="1" ht="15.75" outlineLevel="1">
      <c r="B2680" s="178" t="s">
        <v>1348</v>
      </c>
      <c r="C2680" s="218" t="s">
        <v>1489</v>
      </c>
      <c r="D2680" s="219" t="s">
        <v>1403</v>
      </c>
      <c r="E2680" s="23" t="s">
        <v>44</v>
      </c>
      <c r="F2680" s="93" t="s">
        <v>45</v>
      </c>
      <c r="G2680" s="188" t="s">
        <v>1432</v>
      </c>
      <c r="H2680" s="194">
        <v>27</v>
      </c>
      <c r="I2680" s="188" t="s">
        <v>1433</v>
      </c>
      <c r="J2680" s="220" t="s">
        <v>1457</v>
      </c>
      <c r="K2680" s="173" t="s">
        <v>233</v>
      </c>
      <c r="L2680" s="173" t="s">
        <v>233</v>
      </c>
      <c r="M2680" s="194">
        <v>12923</v>
      </c>
      <c r="N2680" s="194">
        <v>13748</v>
      </c>
      <c r="O2680" s="194">
        <v>1244</v>
      </c>
      <c r="P2680" s="194" t="s">
        <v>252</v>
      </c>
      <c r="Q2680" s="194">
        <v>1448</v>
      </c>
      <c r="R2680" s="194" t="s">
        <v>252</v>
      </c>
      <c r="S2680" s="194">
        <v>1177</v>
      </c>
      <c r="T2680" s="194" t="s">
        <v>252</v>
      </c>
      <c r="U2680" s="194">
        <v>1355</v>
      </c>
      <c r="V2680" s="194" t="s">
        <v>252</v>
      </c>
      <c r="W2680" s="194">
        <v>1054</v>
      </c>
      <c r="X2680" s="194" t="s">
        <v>252</v>
      </c>
      <c r="Y2680" s="194">
        <v>1088</v>
      </c>
      <c r="Z2680" s="194" t="s">
        <v>252</v>
      </c>
      <c r="AA2680" s="194">
        <v>752</v>
      </c>
      <c r="AB2680" s="194" t="s">
        <v>252</v>
      </c>
      <c r="AC2680" s="194">
        <v>363</v>
      </c>
      <c r="AD2680" s="194" t="s">
        <v>252</v>
      </c>
      <c r="AE2680" s="194">
        <v>1018</v>
      </c>
      <c r="AF2680" s="194" t="s">
        <v>252</v>
      </c>
      <c r="AG2680" s="194">
        <v>1386</v>
      </c>
      <c r="AH2680" s="194" t="s">
        <v>252</v>
      </c>
      <c r="AI2680" s="194">
        <v>835</v>
      </c>
      <c r="AJ2680" s="194" t="s">
        <v>252</v>
      </c>
      <c r="AK2680" s="194">
        <v>925</v>
      </c>
      <c r="AL2680" s="194" t="s">
        <v>252</v>
      </c>
      <c r="AM2680" s="194">
        <f>O2680+Q2680+S2680+U2680+W2680+Y2680+AA2680+AC2680+AE2680+AG2680+AI2680+AK2680</f>
        <v>12645</v>
      </c>
    </row>
    <row r="2681" spans="2:39" s="3" customFormat="1" ht="15.75" outlineLevel="1">
      <c r="B2681" s="178" t="s">
        <v>1349</v>
      </c>
      <c r="C2681" s="218" t="s">
        <v>1489</v>
      </c>
      <c r="D2681" s="219" t="s">
        <v>1403</v>
      </c>
      <c r="E2681" s="23" t="s">
        <v>44</v>
      </c>
      <c r="F2681" s="222" t="s">
        <v>45</v>
      </c>
      <c r="G2681" s="188" t="s">
        <v>1432</v>
      </c>
      <c r="H2681" s="194">
        <v>28</v>
      </c>
      <c r="I2681" s="188" t="s">
        <v>1433</v>
      </c>
      <c r="J2681" s="220" t="s">
        <v>617</v>
      </c>
      <c r="K2681" s="173" t="s">
        <v>233</v>
      </c>
      <c r="L2681" s="173" t="s">
        <v>233</v>
      </c>
      <c r="M2681" s="194">
        <v>2061</v>
      </c>
      <c r="N2681" s="194">
        <v>2432</v>
      </c>
      <c r="O2681" s="194">
        <v>168</v>
      </c>
      <c r="P2681" s="194" t="s">
        <v>252</v>
      </c>
      <c r="Q2681" s="194">
        <v>145</v>
      </c>
      <c r="R2681" s="194" t="s">
        <v>252</v>
      </c>
      <c r="S2681" s="194">
        <v>116</v>
      </c>
      <c r="T2681" s="194" t="s">
        <v>252</v>
      </c>
      <c r="U2681" s="194">
        <v>177</v>
      </c>
      <c r="V2681" s="194" t="s">
        <v>252</v>
      </c>
      <c r="W2681" s="194">
        <v>172</v>
      </c>
      <c r="X2681" s="194" t="s">
        <v>252</v>
      </c>
      <c r="Y2681" s="194">
        <v>181</v>
      </c>
      <c r="Z2681" s="194" t="s">
        <v>252</v>
      </c>
      <c r="AA2681" s="194">
        <v>141</v>
      </c>
      <c r="AB2681" s="194" t="s">
        <v>252</v>
      </c>
      <c r="AC2681" s="194">
        <v>104</v>
      </c>
      <c r="AD2681" s="194" t="s">
        <v>252</v>
      </c>
      <c r="AE2681" s="194">
        <v>173</v>
      </c>
      <c r="AF2681" s="194" t="s">
        <v>252</v>
      </c>
      <c r="AG2681" s="194">
        <v>113</v>
      </c>
      <c r="AH2681" s="194" t="s">
        <v>252</v>
      </c>
      <c r="AI2681" s="194">
        <v>213</v>
      </c>
      <c r="AJ2681" s="194" t="s">
        <v>252</v>
      </c>
      <c r="AK2681" s="194">
        <v>217</v>
      </c>
      <c r="AL2681" s="194" t="s">
        <v>252</v>
      </c>
      <c r="AM2681" s="194">
        <f t="shared" ref="AM2681:AM2713" si="29">O2681+Q2681+S2681+U2681+W2681+Y2681+AA2681+AC2681+AE2681+AG2681+AI2681+AK2681</f>
        <v>1920</v>
      </c>
    </row>
    <row r="2682" spans="2:39" s="3" customFormat="1" ht="15.75" outlineLevel="1">
      <c r="B2682" s="178" t="s">
        <v>1350</v>
      </c>
      <c r="C2682" s="218" t="s">
        <v>1489</v>
      </c>
      <c r="D2682" s="219" t="s">
        <v>1403</v>
      </c>
      <c r="E2682" s="23" t="s">
        <v>44</v>
      </c>
      <c r="F2682" s="222" t="s">
        <v>45</v>
      </c>
      <c r="G2682" s="188" t="s">
        <v>1432</v>
      </c>
      <c r="H2682" s="376">
        <v>52</v>
      </c>
      <c r="I2682" s="188" t="s">
        <v>1433</v>
      </c>
      <c r="J2682" s="379" t="s">
        <v>1456</v>
      </c>
      <c r="K2682" s="173" t="s">
        <v>233</v>
      </c>
      <c r="L2682" s="173" t="s">
        <v>233</v>
      </c>
      <c r="M2682" s="376">
        <v>17140</v>
      </c>
      <c r="N2682" s="376">
        <v>18932</v>
      </c>
      <c r="O2682" s="376">
        <v>2825</v>
      </c>
      <c r="P2682" s="376" t="s">
        <v>252</v>
      </c>
      <c r="Q2682" s="376">
        <v>2224</v>
      </c>
      <c r="R2682" s="376" t="s">
        <v>252</v>
      </c>
      <c r="S2682" s="376">
        <v>1922</v>
      </c>
      <c r="T2682" s="376" t="s">
        <v>252</v>
      </c>
      <c r="U2682" s="376">
        <v>1922</v>
      </c>
      <c r="V2682" s="376" t="s">
        <v>252</v>
      </c>
      <c r="W2682" s="376">
        <v>1039</v>
      </c>
      <c r="X2682" s="376" t="s">
        <v>252</v>
      </c>
      <c r="Y2682" s="376">
        <v>1162</v>
      </c>
      <c r="Z2682" s="376" t="s">
        <v>252</v>
      </c>
      <c r="AA2682" s="376">
        <v>928</v>
      </c>
      <c r="AB2682" s="376" t="s">
        <v>252</v>
      </c>
      <c r="AC2682" s="376">
        <v>664</v>
      </c>
      <c r="AD2682" s="376" t="s">
        <v>252</v>
      </c>
      <c r="AE2682" s="376">
        <v>1301</v>
      </c>
      <c r="AF2682" s="376" t="s">
        <v>252</v>
      </c>
      <c r="AG2682" s="376">
        <v>1193</v>
      </c>
      <c r="AH2682" s="376" t="s">
        <v>252</v>
      </c>
      <c r="AI2682" s="376">
        <v>2356</v>
      </c>
      <c r="AJ2682" s="376" t="s">
        <v>252</v>
      </c>
      <c r="AK2682" s="376">
        <v>2587</v>
      </c>
      <c r="AL2682" s="376" t="s">
        <v>252</v>
      </c>
      <c r="AM2682" s="376">
        <f t="shared" si="29"/>
        <v>20123</v>
      </c>
    </row>
    <row r="2683" spans="2:39" s="3" customFormat="1" ht="15.75" outlineLevel="1">
      <c r="B2683" s="178" t="s">
        <v>1351</v>
      </c>
      <c r="C2683" s="218" t="s">
        <v>1489</v>
      </c>
      <c r="D2683" s="219" t="s">
        <v>1403</v>
      </c>
      <c r="E2683" s="23" t="s">
        <v>44</v>
      </c>
      <c r="F2683" s="93" t="s">
        <v>45</v>
      </c>
      <c r="G2683" s="188" t="s">
        <v>1432</v>
      </c>
      <c r="H2683" s="378"/>
      <c r="I2683" s="188" t="s">
        <v>1433</v>
      </c>
      <c r="J2683" s="380"/>
      <c r="K2683" s="173" t="s">
        <v>233</v>
      </c>
      <c r="L2683" s="173" t="s">
        <v>233</v>
      </c>
      <c r="M2683" s="378"/>
      <c r="N2683" s="378"/>
      <c r="O2683" s="378"/>
      <c r="P2683" s="378"/>
      <c r="Q2683" s="378"/>
      <c r="R2683" s="378"/>
      <c r="S2683" s="378"/>
      <c r="T2683" s="378"/>
      <c r="U2683" s="378"/>
      <c r="V2683" s="378"/>
      <c r="W2683" s="378"/>
      <c r="X2683" s="378"/>
      <c r="Y2683" s="378"/>
      <c r="Z2683" s="378"/>
      <c r="AA2683" s="378"/>
      <c r="AB2683" s="378"/>
      <c r="AC2683" s="378"/>
      <c r="AD2683" s="378"/>
      <c r="AE2683" s="378"/>
      <c r="AF2683" s="378"/>
      <c r="AG2683" s="378"/>
      <c r="AH2683" s="378"/>
      <c r="AI2683" s="378"/>
      <c r="AJ2683" s="378"/>
      <c r="AK2683" s="378"/>
      <c r="AL2683" s="378"/>
      <c r="AM2683" s="378"/>
    </row>
    <row r="2684" spans="2:39" s="3" customFormat="1" ht="15.75" outlineLevel="1">
      <c r="B2684" s="178" t="s">
        <v>1352</v>
      </c>
      <c r="C2684" s="218" t="s">
        <v>1489</v>
      </c>
      <c r="D2684" s="219" t="s">
        <v>1403</v>
      </c>
      <c r="E2684" s="23" t="s">
        <v>44</v>
      </c>
      <c r="F2684" s="93" t="s">
        <v>45</v>
      </c>
      <c r="G2684" s="188" t="s">
        <v>1432</v>
      </c>
      <c r="H2684" s="194">
        <v>24</v>
      </c>
      <c r="I2684" s="188" t="s">
        <v>1433</v>
      </c>
      <c r="J2684" s="220" t="s">
        <v>1446</v>
      </c>
      <c r="K2684" s="173" t="s">
        <v>233</v>
      </c>
      <c r="L2684" s="173" t="s">
        <v>233</v>
      </c>
      <c r="M2684" s="194">
        <v>4052</v>
      </c>
      <c r="N2684" s="194">
        <v>3403</v>
      </c>
      <c r="O2684" s="194">
        <v>189</v>
      </c>
      <c r="P2684" s="194" t="s">
        <v>252</v>
      </c>
      <c r="Q2684" s="194">
        <v>218</v>
      </c>
      <c r="R2684" s="194" t="s">
        <v>252</v>
      </c>
      <c r="S2684" s="194">
        <v>165</v>
      </c>
      <c r="T2684" s="194" t="s">
        <v>252</v>
      </c>
      <c r="U2684" s="194">
        <v>218</v>
      </c>
      <c r="V2684" s="194" t="s">
        <v>252</v>
      </c>
      <c r="W2684" s="194">
        <v>151</v>
      </c>
      <c r="X2684" s="194" t="s">
        <v>252</v>
      </c>
      <c r="Y2684" s="194">
        <v>141</v>
      </c>
      <c r="Z2684" s="194" t="s">
        <v>252</v>
      </c>
      <c r="AA2684" s="194">
        <v>88</v>
      </c>
      <c r="AB2684" s="194" t="s">
        <v>252</v>
      </c>
      <c r="AC2684" s="194">
        <v>716</v>
      </c>
      <c r="AD2684" s="194" t="s">
        <v>252</v>
      </c>
      <c r="AE2684" s="194">
        <v>167</v>
      </c>
      <c r="AF2684" s="194" t="s">
        <v>252</v>
      </c>
      <c r="AG2684" s="194">
        <v>160</v>
      </c>
      <c r="AH2684" s="194" t="s">
        <v>252</v>
      </c>
      <c r="AI2684" s="194">
        <v>291</v>
      </c>
      <c r="AJ2684" s="194" t="s">
        <v>252</v>
      </c>
      <c r="AK2684" s="194">
        <v>312</v>
      </c>
      <c r="AL2684" s="194" t="s">
        <v>252</v>
      </c>
      <c r="AM2684" s="194">
        <f t="shared" si="29"/>
        <v>2816</v>
      </c>
    </row>
    <row r="2685" spans="2:39" s="3" customFormat="1" ht="15.75" outlineLevel="1">
      <c r="B2685" s="178" t="s">
        <v>1353</v>
      </c>
      <c r="C2685" s="218" t="s">
        <v>1489</v>
      </c>
      <c r="D2685" s="219" t="s">
        <v>1403</v>
      </c>
      <c r="E2685" s="23" t="s">
        <v>44</v>
      </c>
      <c r="F2685" s="93" t="s">
        <v>45</v>
      </c>
      <c r="G2685" s="188" t="s">
        <v>1432</v>
      </c>
      <c r="H2685" s="194">
        <v>48</v>
      </c>
      <c r="I2685" s="188" t="s">
        <v>1433</v>
      </c>
      <c r="J2685" s="220" t="s">
        <v>1441</v>
      </c>
      <c r="K2685" s="173" t="s">
        <v>233</v>
      </c>
      <c r="L2685" s="173" t="s">
        <v>233</v>
      </c>
      <c r="M2685" s="194">
        <v>14978</v>
      </c>
      <c r="N2685" s="194">
        <v>10423</v>
      </c>
      <c r="O2685" s="194">
        <v>760</v>
      </c>
      <c r="P2685" s="194" t="s">
        <v>252</v>
      </c>
      <c r="Q2685" s="194">
        <v>737</v>
      </c>
      <c r="R2685" s="194" t="s">
        <v>252</v>
      </c>
      <c r="S2685" s="194">
        <v>505</v>
      </c>
      <c r="T2685" s="194" t="s">
        <v>252</v>
      </c>
      <c r="U2685" s="194">
        <v>488</v>
      </c>
      <c r="V2685" s="194" t="s">
        <v>252</v>
      </c>
      <c r="W2685" s="194">
        <v>414</v>
      </c>
      <c r="X2685" s="194" t="s">
        <v>252</v>
      </c>
      <c r="Y2685" s="194">
        <v>419</v>
      </c>
      <c r="Z2685" s="194" t="s">
        <v>252</v>
      </c>
      <c r="AA2685" s="194">
        <v>326</v>
      </c>
      <c r="AB2685" s="194" t="s">
        <v>252</v>
      </c>
      <c r="AC2685" s="194">
        <v>310</v>
      </c>
      <c r="AD2685" s="194" t="s">
        <v>252</v>
      </c>
      <c r="AE2685" s="194">
        <v>421</v>
      </c>
      <c r="AF2685" s="194" t="s">
        <v>252</v>
      </c>
      <c r="AG2685" s="194">
        <v>314</v>
      </c>
      <c r="AH2685" s="194" t="s">
        <v>252</v>
      </c>
      <c r="AI2685" s="194">
        <v>803</v>
      </c>
      <c r="AJ2685" s="194" t="s">
        <v>252</v>
      </c>
      <c r="AK2685" s="194">
        <v>803</v>
      </c>
      <c r="AL2685" s="194" t="s">
        <v>252</v>
      </c>
      <c r="AM2685" s="194">
        <f t="shared" si="29"/>
        <v>6300</v>
      </c>
    </row>
    <row r="2686" spans="2:39" s="3" customFormat="1" ht="15.75" outlineLevel="1">
      <c r="B2686" s="178" t="s">
        <v>1354</v>
      </c>
      <c r="C2686" s="218" t="s">
        <v>1489</v>
      </c>
      <c r="D2686" s="219" t="s">
        <v>1403</v>
      </c>
      <c r="E2686" s="221" t="s">
        <v>138</v>
      </c>
      <c r="F2686" s="222" t="s">
        <v>45</v>
      </c>
      <c r="G2686" s="188" t="s">
        <v>1432</v>
      </c>
      <c r="H2686" s="376">
        <v>44</v>
      </c>
      <c r="I2686" s="188" t="s">
        <v>1433</v>
      </c>
      <c r="J2686" s="379" t="s">
        <v>1441</v>
      </c>
      <c r="K2686" s="173" t="s">
        <v>233</v>
      </c>
      <c r="L2686" s="173" t="s">
        <v>233</v>
      </c>
      <c r="M2686" s="194">
        <v>1297</v>
      </c>
      <c r="N2686" s="194">
        <v>945</v>
      </c>
      <c r="O2686" s="194">
        <v>80</v>
      </c>
      <c r="P2686" s="194" t="s">
        <v>252</v>
      </c>
      <c r="Q2686" s="194">
        <v>113</v>
      </c>
      <c r="R2686" s="194" t="s">
        <v>252</v>
      </c>
      <c r="S2686" s="194">
        <v>95</v>
      </c>
      <c r="T2686" s="194" t="s">
        <v>252</v>
      </c>
      <c r="U2686" s="194">
        <v>108</v>
      </c>
      <c r="V2686" s="194" t="s">
        <v>252</v>
      </c>
      <c r="W2686" s="194">
        <v>110</v>
      </c>
      <c r="X2686" s="194" t="s">
        <v>252</v>
      </c>
      <c r="Y2686" s="194">
        <v>124</v>
      </c>
      <c r="Z2686" s="194" t="s">
        <v>252</v>
      </c>
      <c r="AA2686" s="194">
        <v>99</v>
      </c>
      <c r="AB2686" s="194" t="s">
        <v>252</v>
      </c>
      <c r="AC2686" s="194">
        <v>44</v>
      </c>
      <c r="AD2686" s="194" t="s">
        <v>252</v>
      </c>
      <c r="AE2686" s="194">
        <v>118</v>
      </c>
      <c r="AF2686" s="194" t="s">
        <v>252</v>
      </c>
      <c r="AG2686" s="194">
        <v>115</v>
      </c>
      <c r="AH2686" s="194" t="s">
        <v>252</v>
      </c>
      <c r="AI2686" s="194">
        <v>93</v>
      </c>
      <c r="AJ2686" s="194" t="s">
        <v>252</v>
      </c>
      <c r="AK2686" s="194">
        <v>123</v>
      </c>
      <c r="AL2686" s="194" t="s">
        <v>252</v>
      </c>
      <c r="AM2686" s="194">
        <f t="shared" si="29"/>
        <v>1222</v>
      </c>
    </row>
    <row r="2687" spans="2:39" s="3" customFormat="1" ht="15.75" outlineLevel="1">
      <c r="B2687" s="178" t="s">
        <v>1354</v>
      </c>
      <c r="C2687" s="218" t="s">
        <v>1489</v>
      </c>
      <c r="D2687" s="219" t="s">
        <v>1403</v>
      </c>
      <c r="E2687" s="23" t="s">
        <v>44</v>
      </c>
      <c r="F2687" s="222" t="s">
        <v>45</v>
      </c>
      <c r="G2687" s="188" t="s">
        <v>1432</v>
      </c>
      <c r="H2687" s="378"/>
      <c r="I2687" s="188" t="s">
        <v>1433</v>
      </c>
      <c r="J2687" s="380"/>
      <c r="K2687" s="173" t="s">
        <v>233</v>
      </c>
      <c r="L2687" s="173" t="s">
        <v>233</v>
      </c>
      <c r="M2687" s="194">
        <v>6682</v>
      </c>
      <c r="N2687" s="194">
        <v>6301</v>
      </c>
      <c r="O2687" s="194">
        <v>559</v>
      </c>
      <c r="P2687" s="194" t="s">
        <v>252</v>
      </c>
      <c r="Q2687" s="194">
        <v>360</v>
      </c>
      <c r="R2687" s="194" t="s">
        <v>252</v>
      </c>
      <c r="S2687" s="194">
        <v>251</v>
      </c>
      <c r="T2687" s="194" t="s">
        <v>252</v>
      </c>
      <c r="U2687" s="194">
        <v>379</v>
      </c>
      <c r="V2687" s="194" t="s">
        <v>252</v>
      </c>
      <c r="W2687" s="194">
        <v>3339</v>
      </c>
      <c r="X2687" s="194" t="s">
        <v>252</v>
      </c>
      <c r="Y2687" s="194">
        <v>381</v>
      </c>
      <c r="Z2687" s="194" t="s">
        <v>252</v>
      </c>
      <c r="AA2687" s="194">
        <v>281</v>
      </c>
      <c r="AB2687" s="194" t="s">
        <v>252</v>
      </c>
      <c r="AC2687" s="194">
        <v>253</v>
      </c>
      <c r="AD2687" s="194" t="s">
        <v>252</v>
      </c>
      <c r="AE2687" s="194">
        <v>384</v>
      </c>
      <c r="AF2687" s="194" t="s">
        <v>252</v>
      </c>
      <c r="AG2687" s="194">
        <v>379</v>
      </c>
      <c r="AH2687" s="194" t="s">
        <v>252</v>
      </c>
      <c r="AI2687" s="194">
        <v>387</v>
      </c>
      <c r="AJ2687" s="194" t="s">
        <v>252</v>
      </c>
      <c r="AK2687" s="194">
        <v>576</v>
      </c>
      <c r="AL2687" s="194" t="s">
        <v>252</v>
      </c>
      <c r="AM2687" s="194">
        <f t="shared" si="29"/>
        <v>7529</v>
      </c>
    </row>
    <row r="2688" spans="2:39" s="3" customFormat="1" ht="15.75" outlineLevel="1">
      <c r="B2688" s="178" t="s">
        <v>1355</v>
      </c>
      <c r="C2688" s="218" t="s">
        <v>1489</v>
      </c>
      <c r="D2688" s="219" t="s">
        <v>1403</v>
      </c>
      <c r="E2688" s="221" t="s">
        <v>138</v>
      </c>
      <c r="F2688" s="93" t="s">
        <v>45</v>
      </c>
      <c r="G2688" s="188" t="s">
        <v>1432</v>
      </c>
      <c r="H2688" s="376">
        <v>39</v>
      </c>
      <c r="I2688" s="188" t="s">
        <v>1433</v>
      </c>
      <c r="J2688" s="379" t="s">
        <v>1441</v>
      </c>
      <c r="K2688" s="173" t="s">
        <v>233</v>
      </c>
      <c r="L2688" s="173" t="s">
        <v>233</v>
      </c>
      <c r="M2688" s="194">
        <v>6491</v>
      </c>
      <c r="N2688" s="194">
        <v>7622</v>
      </c>
      <c r="O2688" s="194">
        <v>477</v>
      </c>
      <c r="P2688" s="194" t="s">
        <v>252</v>
      </c>
      <c r="Q2688" s="194">
        <v>635</v>
      </c>
      <c r="R2688" s="194" t="s">
        <v>252</v>
      </c>
      <c r="S2688" s="194">
        <v>509</v>
      </c>
      <c r="T2688" s="194" t="s">
        <v>252</v>
      </c>
      <c r="U2688" s="194">
        <v>508</v>
      </c>
      <c r="V2688" s="194" t="s">
        <v>252</v>
      </c>
      <c r="W2688" s="194">
        <v>522</v>
      </c>
      <c r="X2688" s="194" t="s">
        <v>252</v>
      </c>
      <c r="Y2688" s="194">
        <v>630</v>
      </c>
      <c r="Z2688" s="194" t="s">
        <v>252</v>
      </c>
      <c r="AA2688" s="194">
        <v>548</v>
      </c>
      <c r="AB2688" s="194" t="s">
        <v>252</v>
      </c>
      <c r="AC2688" s="194">
        <v>548</v>
      </c>
      <c r="AD2688" s="194" t="s">
        <v>252</v>
      </c>
      <c r="AE2688" s="194">
        <v>579</v>
      </c>
      <c r="AF2688" s="194" t="s">
        <v>252</v>
      </c>
      <c r="AG2688" s="194">
        <v>306</v>
      </c>
      <c r="AH2688" s="194" t="s">
        <v>252</v>
      </c>
      <c r="AI2688" s="194">
        <v>543</v>
      </c>
      <c r="AJ2688" s="194" t="s">
        <v>252</v>
      </c>
      <c r="AK2688" s="194">
        <v>518</v>
      </c>
      <c r="AL2688" s="194" t="s">
        <v>252</v>
      </c>
      <c r="AM2688" s="194">
        <f t="shared" si="29"/>
        <v>6323</v>
      </c>
    </row>
    <row r="2689" spans="2:39" s="3" customFormat="1" ht="15.75" outlineLevel="1">
      <c r="B2689" s="178" t="s">
        <v>1355</v>
      </c>
      <c r="C2689" s="218" t="s">
        <v>1489</v>
      </c>
      <c r="D2689" s="219" t="s">
        <v>1403</v>
      </c>
      <c r="E2689" s="23" t="s">
        <v>44</v>
      </c>
      <c r="F2689" s="93" t="s">
        <v>45</v>
      </c>
      <c r="G2689" s="188" t="s">
        <v>1432</v>
      </c>
      <c r="H2689" s="378"/>
      <c r="I2689" s="188" t="s">
        <v>1433</v>
      </c>
      <c r="J2689" s="380"/>
      <c r="K2689" s="173" t="s">
        <v>233</v>
      </c>
      <c r="L2689" s="173" t="s">
        <v>233</v>
      </c>
      <c r="M2689" s="194">
        <v>3451</v>
      </c>
      <c r="N2689" s="194">
        <v>4101</v>
      </c>
      <c r="O2689" s="194">
        <v>584</v>
      </c>
      <c r="P2689" s="194" t="s">
        <v>252</v>
      </c>
      <c r="Q2689" s="194">
        <v>422</v>
      </c>
      <c r="R2689" s="194" t="s">
        <v>252</v>
      </c>
      <c r="S2689" s="194">
        <v>203</v>
      </c>
      <c r="T2689" s="194" t="s">
        <v>252</v>
      </c>
      <c r="U2689" s="194">
        <v>257</v>
      </c>
      <c r="V2689" s="194" t="s">
        <v>252</v>
      </c>
      <c r="W2689" s="194">
        <v>235</v>
      </c>
      <c r="X2689" s="194" t="s">
        <v>252</v>
      </c>
      <c r="Y2689" s="194">
        <v>240</v>
      </c>
      <c r="Z2689" s="194" t="s">
        <v>252</v>
      </c>
      <c r="AA2689" s="194">
        <v>205</v>
      </c>
      <c r="AB2689" s="194" t="s">
        <v>252</v>
      </c>
      <c r="AC2689" s="194">
        <v>248</v>
      </c>
      <c r="AD2689" s="194" t="s">
        <v>252</v>
      </c>
      <c r="AE2689" s="194">
        <v>279</v>
      </c>
      <c r="AF2689" s="194" t="s">
        <v>252</v>
      </c>
      <c r="AG2689" s="194">
        <v>163</v>
      </c>
      <c r="AH2689" s="194" t="s">
        <v>252</v>
      </c>
      <c r="AI2689" s="194">
        <v>406</v>
      </c>
      <c r="AJ2689" s="194" t="s">
        <v>252</v>
      </c>
      <c r="AK2689" s="194">
        <v>318</v>
      </c>
      <c r="AL2689" s="194" t="s">
        <v>252</v>
      </c>
      <c r="AM2689" s="194">
        <f t="shared" si="29"/>
        <v>3560</v>
      </c>
    </row>
    <row r="2690" spans="2:39" s="3" customFormat="1" ht="15.75" outlineLevel="1">
      <c r="B2690" s="178" t="s">
        <v>1356</v>
      </c>
      <c r="C2690" s="218" t="s">
        <v>1489</v>
      </c>
      <c r="D2690" s="219" t="s">
        <v>1403</v>
      </c>
      <c r="E2690" s="23" t="s">
        <v>44</v>
      </c>
      <c r="F2690" s="93" t="s">
        <v>45</v>
      </c>
      <c r="G2690" s="188" t="s">
        <v>1432</v>
      </c>
      <c r="H2690" s="194">
        <v>29</v>
      </c>
      <c r="I2690" s="188" t="s">
        <v>1433</v>
      </c>
      <c r="J2690" s="220" t="s">
        <v>617</v>
      </c>
      <c r="K2690" s="173" t="s">
        <v>233</v>
      </c>
      <c r="L2690" s="173" t="s">
        <v>233</v>
      </c>
      <c r="M2690" s="194">
        <v>3286</v>
      </c>
      <c r="N2690" s="194">
        <v>25556</v>
      </c>
      <c r="O2690" s="194">
        <v>248</v>
      </c>
      <c r="P2690" s="194" t="s">
        <v>252</v>
      </c>
      <c r="Q2690" s="194">
        <v>251</v>
      </c>
      <c r="R2690" s="194" t="s">
        <v>252</v>
      </c>
      <c r="S2690" s="194">
        <v>201</v>
      </c>
      <c r="T2690" s="194" t="s">
        <v>252</v>
      </c>
      <c r="U2690" s="194">
        <v>181</v>
      </c>
      <c r="V2690" s="194" t="s">
        <v>252</v>
      </c>
      <c r="W2690" s="194">
        <v>161</v>
      </c>
      <c r="X2690" s="194" t="s">
        <v>252</v>
      </c>
      <c r="Y2690" s="194">
        <v>112</v>
      </c>
      <c r="Z2690" s="194" t="s">
        <v>252</v>
      </c>
      <c r="AA2690" s="194">
        <v>86</v>
      </c>
      <c r="AB2690" s="194" t="s">
        <v>252</v>
      </c>
      <c r="AC2690" s="194">
        <v>112</v>
      </c>
      <c r="AD2690" s="194" t="s">
        <v>252</v>
      </c>
      <c r="AE2690" s="194">
        <v>134</v>
      </c>
      <c r="AF2690" s="194" t="s">
        <v>252</v>
      </c>
      <c r="AG2690" s="194">
        <v>200</v>
      </c>
      <c r="AH2690" s="194" t="s">
        <v>252</v>
      </c>
      <c r="AI2690" s="194">
        <v>274</v>
      </c>
      <c r="AJ2690" s="194" t="s">
        <v>252</v>
      </c>
      <c r="AK2690" s="194">
        <v>249</v>
      </c>
      <c r="AL2690" s="194" t="s">
        <v>252</v>
      </c>
      <c r="AM2690" s="194">
        <f t="shared" si="29"/>
        <v>2209</v>
      </c>
    </row>
    <row r="2691" spans="2:39" s="3" customFormat="1" ht="15.75" outlineLevel="1">
      <c r="B2691" s="178" t="s">
        <v>1357</v>
      </c>
      <c r="C2691" s="218" t="s">
        <v>1489</v>
      </c>
      <c r="D2691" s="219" t="s">
        <v>1403</v>
      </c>
      <c r="E2691" s="23" t="s">
        <v>44</v>
      </c>
      <c r="F2691" s="93" t="s">
        <v>45</v>
      </c>
      <c r="G2691" s="188" t="s">
        <v>1432</v>
      </c>
      <c r="H2691" s="194">
        <v>34</v>
      </c>
      <c r="I2691" s="188" t="s">
        <v>1433</v>
      </c>
      <c r="J2691" s="220" t="s">
        <v>1457</v>
      </c>
      <c r="K2691" s="173" t="s">
        <v>233</v>
      </c>
      <c r="L2691" s="173" t="s">
        <v>233</v>
      </c>
      <c r="M2691" s="194">
        <v>3504</v>
      </c>
      <c r="N2691" s="194">
        <v>3734</v>
      </c>
      <c r="O2691" s="194">
        <v>322</v>
      </c>
      <c r="P2691" s="194" t="s">
        <v>252</v>
      </c>
      <c r="Q2691" s="194">
        <v>310</v>
      </c>
      <c r="R2691" s="194" t="s">
        <v>252</v>
      </c>
      <c r="S2691" s="194">
        <v>170</v>
      </c>
      <c r="T2691" s="194" t="s">
        <v>252</v>
      </c>
      <c r="U2691" s="194">
        <v>223</v>
      </c>
      <c r="V2691" s="194" t="s">
        <v>252</v>
      </c>
      <c r="W2691" s="194">
        <v>172</v>
      </c>
      <c r="X2691" s="194" t="s">
        <v>252</v>
      </c>
      <c r="Y2691" s="194">
        <v>169</v>
      </c>
      <c r="Z2691" s="194" t="s">
        <v>252</v>
      </c>
      <c r="AA2691" s="194">
        <v>113</v>
      </c>
      <c r="AB2691" s="194" t="s">
        <v>252</v>
      </c>
      <c r="AC2691" s="194">
        <v>127</v>
      </c>
      <c r="AD2691" s="194" t="s">
        <v>252</v>
      </c>
      <c r="AE2691" s="194">
        <v>245</v>
      </c>
      <c r="AF2691" s="194" t="s">
        <v>252</v>
      </c>
      <c r="AG2691" s="194">
        <v>307</v>
      </c>
      <c r="AH2691" s="194" t="s">
        <v>252</v>
      </c>
      <c r="AI2691" s="194">
        <v>310</v>
      </c>
      <c r="AJ2691" s="194" t="s">
        <v>252</v>
      </c>
      <c r="AK2691" s="194">
        <v>203</v>
      </c>
      <c r="AL2691" s="194" t="s">
        <v>252</v>
      </c>
      <c r="AM2691" s="194">
        <f t="shared" si="29"/>
        <v>2671</v>
      </c>
    </row>
    <row r="2692" spans="2:39" s="3" customFormat="1" ht="15.75" outlineLevel="1">
      <c r="B2692" s="178" t="s">
        <v>1358</v>
      </c>
      <c r="C2692" s="218" t="s">
        <v>1489</v>
      </c>
      <c r="D2692" s="219" t="s">
        <v>1403</v>
      </c>
      <c r="E2692" s="221" t="s">
        <v>138</v>
      </c>
      <c r="F2692" s="93" t="s">
        <v>45</v>
      </c>
      <c r="G2692" s="188" t="s">
        <v>1432</v>
      </c>
      <c r="H2692" s="376">
        <v>44</v>
      </c>
      <c r="I2692" s="188" t="s">
        <v>1433</v>
      </c>
      <c r="J2692" s="379" t="s">
        <v>1446</v>
      </c>
      <c r="K2692" s="173" t="s">
        <v>233</v>
      </c>
      <c r="L2692" s="173" t="s">
        <v>233</v>
      </c>
      <c r="M2692" s="194">
        <v>5668</v>
      </c>
      <c r="N2692" s="194">
        <v>20619</v>
      </c>
      <c r="O2692" s="194">
        <v>370</v>
      </c>
      <c r="P2692" s="194" t="s">
        <v>252</v>
      </c>
      <c r="Q2692" s="194">
        <v>475</v>
      </c>
      <c r="R2692" s="194" t="s">
        <v>252</v>
      </c>
      <c r="S2692" s="194">
        <v>269</v>
      </c>
      <c r="T2692" s="194" t="s">
        <v>252</v>
      </c>
      <c r="U2692" s="194">
        <v>402</v>
      </c>
      <c r="V2692" s="194" t="s">
        <v>252</v>
      </c>
      <c r="W2692" s="194">
        <v>363</v>
      </c>
      <c r="X2692" s="194" t="s">
        <v>252</v>
      </c>
      <c r="Y2692" s="194">
        <v>393</v>
      </c>
      <c r="Z2692" s="194" t="s">
        <v>252</v>
      </c>
      <c r="AA2692" s="194">
        <v>337</v>
      </c>
      <c r="AB2692" s="194" t="s">
        <v>252</v>
      </c>
      <c r="AC2692" s="194">
        <v>387</v>
      </c>
      <c r="AD2692" s="194" t="s">
        <v>252</v>
      </c>
      <c r="AE2692" s="194">
        <v>369</v>
      </c>
      <c r="AF2692" s="194" t="s">
        <v>252</v>
      </c>
      <c r="AG2692" s="194">
        <v>254</v>
      </c>
      <c r="AH2692" s="194" t="s">
        <v>252</v>
      </c>
      <c r="AI2692" s="194">
        <v>440</v>
      </c>
      <c r="AJ2692" s="194" t="s">
        <v>252</v>
      </c>
      <c r="AK2692" s="194">
        <v>421</v>
      </c>
      <c r="AL2692" s="194" t="s">
        <v>252</v>
      </c>
      <c r="AM2692" s="194">
        <f t="shared" si="29"/>
        <v>4480</v>
      </c>
    </row>
    <row r="2693" spans="2:39" s="3" customFormat="1" ht="15.75" outlineLevel="1">
      <c r="B2693" s="178" t="s">
        <v>1358</v>
      </c>
      <c r="C2693" s="218" t="s">
        <v>1489</v>
      </c>
      <c r="D2693" s="219" t="s">
        <v>1403</v>
      </c>
      <c r="E2693" s="23" t="s">
        <v>44</v>
      </c>
      <c r="F2693" s="93" t="s">
        <v>45</v>
      </c>
      <c r="G2693" s="188" t="s">
        <v>1432</v>
      </c>
      <c r="H2693" s="378"/>
      <c r="I2693" s="188" t="s">
        <v>1433</v>
      </c>
      <c r="J2693" s="380"/>
      <c r="K2693" s="173" t="s">
        <v>233</v>
      </c>
      <c r="L2693" s="173" t="s">
        <v>233</v>
      </c>
      <c r="M2693" s="194">
        <v>19343</v>
      </c>
      <c r="N2693" s="194">
        <v>20619</v>
      </c>
      <c r="O2693" s="194">
        <v>981</v>
      </c>
      <c r="P2693" s="194" t="s">
        <v>252</v>
      </c>
      <c r="Q2693" s="194">
        <v>908</v>
      </c>
      <c r="R2693" s="194" t="s">
        <v>252</v>
      </c>
      <c r="S2693" s="194">
        <v>1402</v>
      </c>
      <c r="T2693" s="194" t="s">
        <v>252</v>
      </c>
      <c r="U2693" s="194">
        <v>1211</v>
      </c>
      <c r="V2693" s="194" t="s">
        <v>252</v>
      </c>
      <c r="W2693" s="194">
        <v>950</v>
      </c>
      <c r="X2693" s="194" t="s">
        <v>252</v>
      </c>
      <c r="Y2693" s="194">
        <v>1074</v>
      </c>
      <c r="Z2693" s="194" t="s">
        <v>252</v>
      </c>
      <c r="AA2693" s="194">
        <v>942</v>
      </c>
      <c r="AB2693" s="194" t="s">
        <v>252</v>
      </c>
      <c r="AC2693" s="194">
        <v>1144</v>
      </c>
      <c r="AD2693" s="194" t="s">
        <v>252</v>
      </c>
      <c r="AE2693" s="194">
        <v>973</v>
      </c>
      <c r="AF2693" s="194" t="s">
        <v>252</v>
      </c>
      <c r="AG2693" s="194">
        <v>855</v>
      </c>
      <c r="AH2693" s="194" t="s">
        <v>252</v>
      </c>
      <c r="AI2693" s="194">
        <v>1371</v>
      </c>
      <c r="AJ2693" s="194" t="s">
        <v>252</v>
      </c>
      <c r="AK2693" s="194">
        <v>1182</v>
      </c>
      <c r="AL2693" s="194" t="s">
        <v>252</v>
      </c>
      <c r="AM2693" s="194">
        <f t="shared" si="29"/>
        <v>12993</v>
      </c>
    </row>
    <row r="2694" spans="2:39" s="3" customFormat="1" ht="15.75" outlineLevel="1">
      <c r="B2694" s="178" t="s">
        <v>1359</v>
      </c>
      <c r="C2694" s="218" t="s">
        <v>1489</v>
      </c>
      <c r="D2694" s="219" t="s">
        <v>1403</v>
      </c>
      <c r="E2694" s="23" t="s">
        <v>44</v>
      </c>
      <c r="F2694" s="93" t="s">
        <v>45</v>
      </c>
      <c r="G2694" s="188" t="s">
        <v>1432</v>
      </c>
      <c r="H2694" s="194">
        <v>41</v>
      </c>
      <c r="I2694" s="188" t="s">
        <v>1433</v>
      </c>
      <c r="J2694" s="220" t="s">
        <v>1441</v>
      </c>
      <c r="K2694" s="173" t="s">
        <v>233</v>
      </c>
      <c r="L2694" s="173" t="s">
        <v>233</v>
      </c>
      <c r="M2694" s="194">
        <v>7393</v>
      </c>
      <c r="N2694" s="194">
        <v>8621</v>
      </c>
      <c r="O2694" s="194">
        <v>754</v>
      </c>
      <c r="P2694" s="194" t="s">
        <v>252</v>
      </c>
      <c r="Q2694" s="194">
        <v>773</v>
      </c>
      <c r="R2694" s="194" t="s">
        <v>252</v>
      </c>
      <c r="S2694" s="194">
        <v>411</v>
      </c>
      <c r="T2694" s="194" t="s">
        <v>252</v>
      </c>
      <c r="U2694" s="194">
        <v>745</v>
      </c>
      <c r="V2694" s="194" t="s">
        <v>252</v>
      </c>
      <c r="W2694" s="194">
        <v>646</v>
      </c>
      <c r="X2694" s="194" t="s">
        <v>252</v>
      </c>
      <c r="Y2694" s="194">
        <v>574</v>
      </c>
      <c r="Z2694" s="194" t="s">
        <v>252</v>
      </c>
      <c r="AA2694" s="194">
        <v>410</v>
      </c>
      <c r="AB2694" s="194" t="s">
        <v>252</v>
      </c>
      <c r="AC2694" s="194">
        <v>350</v>
      </c>
      <c r="AD2694" s="194" t="s">
        <v>252</v>
      </c>
      <c r="AE2694" s="194">
        <v>350</v>
      </c>
      <c r="AF2694" s="194" t="s">
        <v>252</v>
      </c>
      <c r="AG2694" s="194">
        <v>350</v>
      </c>
      <c r="AH2694" s="194" t="s">
        <v>252</v>
      </c>
      <c r="AI2694" s="194">
        <v>350</v>
      </c>
      <c r="AJ2694" s="194" t="s">
        <v>252</v>
      </c>
      <c r="AK2694" s="194">
        <v>350</v>
      </c>
      <c r="AL2694" s="194" t="s">
        <v>252</v>
      </c>
      <c r="AM2694" s="194">
        <f t="shared" si="29"/>
        <v>6063</v>
      </c>
    </row>
    <row r="2695" spans="2:39" s="3" customFormat="1" ht="15.75" outlineLevel="1">
      <c r="B2695" s="178" t="s">
        <v>1360</v>
      </c>
      <c r="C2695" s="218" t="s">
        <v>1489</v>
      </c>
      <c r="D2695" s="219" t="s">
        <v>1403</v>
      </c>
      <c r="E2695" s="23" t="s">
        <v>44</v>
      </c>
      <c r="F2695" s="93" t="s">
        <v>45</v>
      </c>
      <c r="G2695" s="188" t="s">
        <v>1432</v>
      </c>
      <c r="H2695" s="194">
        <v>46</v>
      </c>
      <c r="I2695" s="188" t="s">
        <v>1433</v>
      </c>
      <c r="J2695" s="220" t="s">
        <v>1464</v>
      </c>
      <c r="K2695" s="173" t="s">
        <v>233</v>
      </c>
      <c r="L2695" s="173" t="s">
        <v>233</v>
      </c>
      <c r="M2695" s="194">
        <v>6772</v>
      </c>
      <c r="N2695" s="194">
        <v>8887</v>
      </c>
      <c r="O2695" s="194">
        <v>695</v>
      </c>
      <c r="P2695" s="194" t="s">
        <v>252</v>
      </c>
      <c r="Q2695" s="194">
        <v>664</v>
      </c>
      <c r="R2695" s="194" t="s">
        <v>252</v>
      </c>
      <c r="S2695" s="194">
        <v>473</v>
      </c>
      <c r="T2695" s="194" t="s">
        <v>252</v>
      </c>
      <c r="U2695" s="194">
        <v>549</v>
      </c>
      <c r="V2695" s="194" t="s">
        <v>252</v>
      </c>
      <c r="W2695" s="194">
        <v>371</v>
      </c>
      <c r="X2695" s="194" t="s">
        <v>252</v>
      </c>
      <c r="Y2695" s="194">
        <v>351</v>
      </c>
      <c r="Z2695" s="194" t="s">
        <v>252</v>
      </c>
      <c r="AA2695" s="194">
        <v>420</v>
      </c>
      <c r="AB2695" s="194" t="s">
        <v>252</v>
      </c>
      <c r="AC2695" s="194">
        <v>429</v>
      </c>
      <c r="AD2695" s="194" t="s">
        <v>252</v>
      </c>
      <c r="AE2695" s="194">
        <v>508</v>
      </c>
      <c r="AF2695" s="194" t="s">
        <v>252</v>
      </c>
      <c r="AG2695" s="194">
        <v>526</v>
      </c>
      <c r="AH2695" s="194" t="s">
        <v>252</v>
      </c>
      <c r="AI2695" s="194">
        <v>661</v>
      </c>
      <c r="AJ2695" s="194" t="s">
        <v>252</v>
      </c>
      <c r="AK2695" s="194">
        <v>703</v>
      </c>
      <c r="AL2695" s="194" t="s">
        <v>252</v>
      </c>
      <c r="AM2695" s="194">
        <f t="shared" si="29"/>
        <v>6350</v>
      </c>
    </row>
    <row r="2696" spans="2:39" s="3" customFormat="1" ht="15.75" outlineLevel="1">
      <c r="B2696" s="178" t="s">
        <v>1361</v>
      </c>
      <c r="C2696" s="218" t="s">
        <v>1489</v>
      </c>
      <c r="D2696" s="219" t="s">
        <v>1403</v>
      </c>
      <c r="E2696" s="23" t="s">
        <v>44</v>
      </c>
      <c r="F2696" s="93" t="s">
        <v>45</v>
      </c>
      <c r="G2696" s="188" t="s">
        <v>1432</v>
      </c>
      <c r="H2696" s="194">
        <v>32</v>
      </c>
      <c r="I2696" s="188" t="s">
        <v>1433</v>
      </c>
      <c r="J2696" s="220" t="s">
        <v>1436</v>
      </c>
      <c r="K2696" s="173" t="s">
        <v>233</v>
      </c>
      <c r="L2696" s="173" t="s">
        <v>233</v>
      </c>
      <c r="M2696" s="194">
        <v>3562</v>
      </c>
      <c r="N2696" s="194">
        <v>3951</v>
      </c>
      <c r="O2696" s="194">
        <v>389</v>
      </c>
      <c r="P2696" s="194" t="s">
        <v>252</v>
      </c>
      <c r="Q2696" s="194">
        <v>664</v>
      </c>
      <c r="R2696" s="194" t="s">
        <v>252</v>
      </c>
      <c r="S2696" s="194">
        <v>232</v>
      </c>
      <c r="T2696" s="194" t="s">
        <v>252</v>
      </c>
      <c r="U2696" s="194">
        <v>291</v>
      </c>
      <c r="V2696" s="194" t="s">
        <v>252</v>
      </c>
      <c r="W2696" s="194">
        <v>200</v>
      </c>
      <c r="X2696" s="194" t="s">
        <v>252</v>
      </c>
      <c r="Y2696" s="194">
        <v>190</v>
      </c>
      <c r="Z2696" s="194" t="s">
        <v>252</v>
      </c>
      <c r="AA2696" s="194">
        <v>172</v>
      </c>
      <c r="AB2696" s="194" t="s">
        <v>252</v>
      </c>
      <c r="AC2696" s="194">
        <v>175</v>
      </c>
      <c r="AD2696" s="194" t="s">
        <v>252</v>
      </c>
      <c r="AE2696" s="194">
        <v>243</v>
      </c>
      <c r="AF2696" s="194" t="s">
        <v>252</v>
      </c>
      <c r="AG2696" s="194">
        <v>353</v>
      </c>
      <c r="AH2696" s="194" t="s">
        <v>252</v>
      </c>
      <c r="AI2696" s="194">
        <v>350</v>
      </c>
      <c r="AJ2696" s="194" t="s">
        <v>252</v>
      </c>
      <c r="AK2696" s="194">
        <v>324</v>
      </c>
      <c r="AL2696" s="194" t="s">
        <v>252</v>
      </c>
      <c r="AM2696" s="194">
        <f t="shared" si="29"/>
        <v>3583</v>
      </c>
    </row>
    <row r="2697" spans="2:39" s="3" customFormat="1" ht="15.75" outlineLevel="1">
      <c r="B2697" s="178" t="s">
        <v>1362</v>
      </c>
      <c r="C2697" s="218" t="s">
        <v>1489</v>
      </c>
      <c r="D2697" s="219" t="s">
        <v>1403</v>
      </c>
      <c r="E2697" s="221" t="s">
        <v>138</v>
      </c>
      <c r="F2697" s="222" t="s">
        <v>45</v>
      </c>
      <c r="G2697" s="188" t="s">
        <v>1432</v>
      </c>
      <c r="H2697" s="376">
        <v>32</v>
      </c>
      <c r="I2697" s="188" t="s">
        <v>1433</v>
      </c>
      <c r="J2697" s="379" t="s">
        <v>1460</v>
      </c>
      <c r="K2697" s="173" t="s">
        <v>233</v>
      </c>
      <c r="L2697" s="173" t="s">
        <v>233</v>
      </c>
      <c r="M2697" s="194">
        <v>6933</v>
      </c>
      <c r="N2697" s="194">
        <v>8362</v>
      </c>
      <c r="O2697" s="194">
        <v>320</v>
      </c>
      <c r="P2697" s="194" t="s">
        <v>252</v>
      </c>
      <c r="Q2697" s="194">
        <v>414</v>
      </c>
      <c r="R2697" s="194" t="s">
        <v>252</v>
      </c>
      <c r="S2697" s="194">
        <v>720</v>
      </c>
      <c r="T2697" s="194" t="s">
        <v>252</v>
      </c>
      <c r="U2697" s="194">
        <v>622</v>
      </c>
      <c r="V2697" s="194" t="s">
        <v>252</v>
      </c>
      <c r="W2697" s="194">
        <v>513</v>
      </c>
      <c r="X2697" s="194" t="s">
        <v>252</v>
      </c>
      <c r="Y2697" s="194">
        <v>611</v>
      </c>
      <c r="Z2697" s="194" t="s">
        <v>252</v>
      </c>
      <c r="AA2697" s="194">
        <v>563</v>
      </c>
      <c r="AB2697" s="194" t="s">
        <v>252</v>
      </c>
      <c r="AC2697" s="194">
        <v>545</v>
      </c>
      <c r="AD2697" s="194" t="s">
        <v>252</v>
      </c>
      <c r="AE2697" s="194">
        <v>639</v>
      </c>
      <c r="AF2697" s="194" t="s">
        <v>252</v>
      </c>
      <c r="AG2697" s="194">
        <v>589</v>
      </c>
      <c r="AH2697" s="194" t="s">
        <v>252</v>
      </c>
      <c r="AI2697" s="194">
        <v>529</v>
      </c>
      <c r="AJ2697" s="194" t="s">
        <v>252</v>
      </c>
      <c r="AK2697" s="194">
        <v>554</v>
      </c>
      <c r="AL2697" s="194" t="s">
        <v>252</v>
      </c>
      <c r="AM2697" s="194">
        <f t="shared" si="29"/>
        <v>6619</v>
      </c>
    </row>
    <row r="2698" spans="2:39" s="3" customFormat="1" ht="15.75" outlineLevel="1">
      <c r="B2698" s="178" t="s">
        <v>1362</v>
      </c>
      <c r="C2698" s="218" t="s">
        <v>1489</v>
      </c>
      <c r="D2698" s="219" t="s">
        <v>1403</v>
      </c>
      <c r="E2698" s="23" t="s">
        <v>44</v>
      </c>
      <c r="F2698" s="222" t="s">
        <v>45</v>
      </c>
      <c r="G2698" s="188" t="s">
        <v>1432</v>
      </c>
      <c r="H2698" s="378"/>
      <c r="I2698" s="188" t="s">
        <v>1433</v>
      </c>
      <c r="J2698" s="380"/>
      <c r="K2698" s="173" t="s">
        <v>233</v>
      </c>
      <c r="L2698" s="173" t="s">
        <v>233</v>
      </c>
      <c r="M2698" s="194">
        <v>7451</v>
      </c>
      <c r="N2698" s="194">
        <v>8961</v>
      </c>
      <c r="O2698" s="194">
        <v>1058</v>
      </c>
      <c r="P2698" s="194" t="s">
        <v>252</v>
      </c>
      <c r="Q2698" s="194">
        <v>589</v>
      </c>
      <c r="R2698" s="194" t="s">
        <v>252</v>
      </c>
      <c r="S2698" s="194">
        <v>203</v>
      </c>
      <c r="T2698" s="194" t="s">
        <v>252</v>
      </c>
      <c r="U2698" s="194">
        <v>831</v>
      </c>
      <c r="V2698" s="194" t="s">
        <v>252</v>
      </c>
      <c r="W2698" s="194">
        <v>586</v>
      </c>
      <c r="X2698" s="194" t="s">
        <v>252</v>
      </c>
      <c r="Y2698" s="194">
        <v>749</v>
      </c>
      <c r="Z2698" s="194" t="s">
        <v>252</v>
      </c>
      <c r="AA2698" s="194">
        <v>574</v>
      </c>
      <c r="AB2698" s="194" t="s">
        <v>252</v>
      </c>
      <c r="AC2698" s="194">
        <v>626</v>
      </c>
      <c r="AD2698" s="194" t="s">
        <v>252</v>
      </c>
      <c r="AE2698" s="194">
        <v>723</v>
      </c>
      <c r="AF2698" s="194" t="s">
        <v>252</v>
      </c>
      <c r="AG2698" s="194">
        <v>609</v>
      </c>
      <c r="AH2698" s="194" t="s">
        <v>252</v>
      </c>
      <c r="AI2698" s="194">
        <v>680</v>
      </c>
      <c r="AJ2698" s="194" t="s">
        <v>252</v>
      </c>
      <c r="AK2698" s="194">
        <v>690</v>
      </c>
      <c r="AL2698" s="194" t="s">
        <v>252</v>
      </c>
      <c r="AM2698" s="194">
        <f t="shared" si="29"/>
        <v>7918</v>
      </c>
    </row>
    <row r="2699" spans="2:39" s="3" customFormat="1" ht="15.75" outlineLevel="1">
      <c r="B2699" s="178" t="s">
        <v>1363</v>
      </c>
      <c r="C2699" s="218" t="s">
        <v>1489</v>
      </c>
      <c r="D2699" s="219" t="s">
        <v>1403</v>
      </c>
      <c r="E2699" s="23" t="s">
        <v>44</v>
      </c>
      <c r="F2699" s="93" t="s">
        <v>45</v>
      </c>
      <c r="G2699" s="188" t="s">
        <v>1432</v>
      </c>
      <c r="H2699" s="194">
        <v>44</v>
      </c>
      <c r="I2699" s="188" t="s">
        <v>1433</v>
      </c>
      <c r="J2699" s="220" t="s">
        <v>1463</v>
      </c>
      <c r="K2699" s="173" t="s">
        <v>233</v>
      </c>
      <c r="L2699" s="173" t="s">
        <v>233</v>
      </c>
      <c r="M2699" s="194">
        <v>5037</v>
      </c>
      <c r="N2699" s="194">
        <v>3771</v>
      </c>
      <c r="O2699" s="194">
        <v>321</v>
      </c>
      <c r="P2699" s="194" t="s">
        <v>252</v>
      </c>
      <c r="Q2699" s="194">
        <v>344</v>
      </c>
      <c r="R2699" s="194" t="s">
        <v>252</v>
      </c>
      <c r="S2699" s="194">
        <v>232</v>
      </c>
      <c r="T2699" s="194" t="s">
        <v>252</v>
      </c>
      <c r="U2699" s="194">
        <v>215</v>
      </c>
      <c r="V2699" s="194" t="s">
        <v>252</v>
      </c>
      <c r="W2699" s="194">
        <v>185</v>
      </c>
      <c r="X2699" s="194" t="s">
        <v>252</v>
      </c>
      <c r="Y2699" s="194">
        <v>171</v>
      </c>
      <c r="Z2699" s="194" t="s">
        <v>252</v>
      </c>
      <c r="AA2699" s="194">
        <v>124</v>
      </c>
      <c r="AB2699" s="194" t="s">
        <v>252</v>
      </c>
      <c r="AC2699" s="194">
        <v>165</v>
      </c>
      <c r="AD2699" s="194" t="s">
        <v>252</v>
      </c>
      <c r="AE2699" s="194">
        <v>214</v>
      </c>
      <c r="AF2699" s="194" t="s">
        <v>252</v>
      </c>
      <c r="AG2699" s="194">
        <v>249</v>
      </c>
      <c r="AH2699" s="194" t="s">
        <v>252</v>
      </c>
      <c r="AI2699" s="194">
        <v>273</v>
      </c>
      <c r="AJ2699" s="194" t="s">
        <v>252</v>
      </c>
      <c r="AK2699" s="194">
        <v>358</v>
      </c>
      <c r="AL2699" s="194" t="s">
        <v>252</v>
      </c>
      <c r="AM2699" s="194">
        <f t="shared" si="29"/>
        <v>2851</v>
      </c>
    </row>
    <row r="2700" spans="2:39" s="3" customFormat="1" ht="15.75" outlineLevel="1">
      <c r="B2700" s="178" t="s">
        <v>1364</v>
      </c>
      <c r="C2700" s="218" t="s">
        <v>1489</v>
      </c>
      <c r="D2700" s="219" t="s">
        <v>1403</v>
      </c>
      <c r="E2700" s="221" t="s">
        <v>138</v>
      </c>
      <c r="F2700" s="93" t="s">
        <v>45</v>
      </c>
      <c r="G2700" s="188" t="s">
        <v>1432</v>
      </c>
      <c r="H2700" s="376">
        <v>58</v>
      </c>
      <c r="I2700" s="188" t="s">
        <v>1433</v>
      </c>
      <c r="J2700" s="379" t="s">
        <v>1441</v>
      </c>
      <c r="K2700" s="173" t="s">
        <v>233</v>
      </c>
      <c r="L2700" s="173" t="s">
        <v>233</v>
      </c>
      <c r="M2700" s="194">
        <v>8302</v>
      </c>
      <c r="N2700" s="194">
        <v>9401</v>
      </c>
      <c r="O2700" s="194">
        <v>389</v>
      </c>
      <c r="P2700" s="194" t="s">
        <v>252</v>
      </c>
      <c r="Q2700" s="194">
        <v>483</v>
      </c>
      <c r="R2700" s="194" t="s">
        <v>252</v>
      </c>
      <c r="S2700" s="194">
        <v>400</v>
      </c>
      <c r="T2700" s="194" t="s">
        <v>252</v>
      </c>
      <c r="U2700" s="194">
        <v>420</v>
      </c>
      <c r="V2700" s="194" t="s">
        <v>252</v>
      </c>
      <c r="W2700" s="194">
        <v>366</v>
      </c>
      <c r="X2700" s="194" t="s">
        <v>252</v>
      </c>
      <c r="Y2700" s="194">
        <v>425</v>
      </c>
      <c r="Z2700" s="194" t="s">
        <v>252</v>
      </c>
      <c r="AA2700" s="194">
        <v>347</v>
      </c>
      <c r="AB2700" s="194" t="s">
        <v>252</v>
      </c>
      <c r="AC2700" s="194">
        <v>339</v>
      </c>
      <c r="AD2700" s="194" t="s">
        <v>252</v>
      </c>
      <c r="AE2700" s="194">
        <v>384</v>
      </c>
      <c r="AF2700" s="194" t="s">
        <v>252</v>
      </c>
      <c r="AG2700" s="194">
        <v>281</v>
      </c>
      <c r="AH2700" s="194" t="s">
        <v>252</v>
      </c>
      <c r="AI2700" s="194">
        <v>499</v>
      </c>
      <c r="AJ2700" s="194" t="s">
        <v>252</v>
      </c>
      <c r="AK2700" s="194">
        <v>921</v>
      </c>
      <c r="AL2700" s="194" t="s">
        <v>252</v>
      </c>
      <c r="AM2700" s="194">
        <f t="shared" si="29"/>
        <v>5254</v>
      </c>
    </row>
    <row r="2701" spans="2:39" s="3" customFormat="1" ht="15.75" outlineLevel="1">
      <c r="B2701" s="178" t="s">
        <v>1364</v>
      </c>
      <c r="C2701" s="218" t="s">
        <v>1489</v>
      </c>
      <c r="D2701" s="219" t="s">
        <v>1403</v>
      </c>
      <c r="E2701" s="23" t="s">
        <v>44</v>
      </c>
      <c r="F2701" s="93" t="s">
        <v>45</v>
      </c>
      <c r="G2701" s="188" t="s">
        <v>1432</v>
      </c>
      <c r="H2701" s="378"/>
      <c r="I2701" s="188" t="s">
        <v>1433</v>
      </c>
      <c r="J2701" s="380"/>
      <c r="K2701" s="173" t="s">
        <v>233</v>
      </c>
      <c r="L2701" s="173" t="s">
        <v>233</v>
      </c>
      <c r="M2701" s="194">
        <v>4708</v>
      </c>
      <c r="N2701" s="194">
        <v>6222</v>
      </c>
      <c r="O2701" s="194">
        <v>850</v>
      </c>
      <c r="P2701" s="194" t="s">
        <v>252</v>
      </c>
      <c r="Q2701" s="194">
        <v>999</v>
      </c>
      <c r="R2701" s="194" t="s">
        <v>252</v>
      </c>
      <c r="S2701" s="194">
        <v>828</v>
      </c>
      <c r="T2701" s="194" t="s">
        <v>252</v>
      </c>
      <c r="U2701" s="194">
        <v>807</v>
      </c>
      <c r="V2701" s="194" t="s">
        <v>252</v>
      </c>
      <c r="W2701" s="194">
        <v>696</v>
      </c>
      <c r="X2701" s="194" t="s">
        <v>252</v>
      </c>
      <c r="Y2701" s="194">
        <v>893</v>
      </c>
      <c r="Z2701" s="194" t="s">
        <v>252</v>
      </c>
      <c r="AA2701" s="194">
        <v>601</v>
      </c>
      <c r="AB2701" s="194" t="s">
        <v>252</v>
      </c>
      <c r="AC2701" s="194">
        <v>696</v>
      </c>
      <c r="AD2701" s="194" t="s">
        <v>252</v>
      </c>
      <c r="AE2701" s="194">
        <v>814</v>
      </c>
      <c r="AF2701" s="194" t="s">
        <v>252</v>
      </c>
      <c r="AG2701" s="194">
        <v>603</v>
      </c>
      <c r="AH2701" s="194" t="s">
        <v>252</v>
      </c>
      <c r="AI2701" s="194">
        <v>1390</v>
      </c>
      <c r="AJ2701" s="194" t="s">
        <v>252</v>
      </c>
      <c r="AK2701" s="194">
        <v>358</v>
      </c>
      <c r="AL2701" s="194" t="s">
        <v>252</v>
      </c>
      <c r="AM2701" s="194">
        <f t="shared" si="29"/>
        <v>9535</v>
      </c>
    </row>
    <row r="2702" spans="2:39" s="3" customFormat="1" ht="15.75" outlineLevel="1">
      <c r="B2702" s="178" t="s">
        <v>1365</v>
      </c>
      <c r="C2702" s="218" t="s">
        <v>1489</v>
      </c>
      <c r="D2702" s="219" t="s">
        <v>1403</v>
      </c>
      <c r="E2702" s="23" t="s">
        <v>44</v>
      </c>
      <c r="F2702" s="93" t="s">
        <v>45</v>
      </c>
      <c r="G2702" s="188" t="s">
        <v>1432</v>
      </c>
      <c r="H2702" s="194">
        <v>49</v>
      </c>
      <c r="I2702" s="188" t="s">
        <v>1433</v>
      </c>
      <c r="J2702" s="220" t="s">
        <v>1435</v>
      </c>
      <c r="K2702" s="173" t="s">
        <v>233</v>
      </c>
      <c r="L2702" s="173" t="s">
        <v>233</v>
      </c>
      <c r="M2702" s="194">
        <v>5285</v>
      </c>
      <c r="N2702" s="194">
        <v>4045</v>
      </c>
      <c r="O2702" s="194">
        <v>461</v>
      </c>
      <c r="P2702" s="194" t="s">
        <v>252</v>
      </c>
      <c r="Q2702" s="194">
        <v>456</v>
      </c>
      <c r="R2702" s="194" t="s">
        <v>252</v>
      </c>
      <c r="S2702" s="194">
        <v>295</v>
      </c>
      <c r="T2702" s="194" t="s">
        <v>252</v>
      </c>
      <c r="U2702" s="194">
        <v>195</v>
      </c>
      <c r="V2702" s="194" t="s">
        <v>252</v>
      </c>
      <c r="W2702" s="194">
        <v>152</v>
      </c>
      <c r="X2702" s="194" t="s">
        <v>252</v>
      </c>
      <c r="Y2702" s="194">
        <v>138</v>
      </c>
      <c r="Z2702" s="194" t="s">
        <v>252</v>
      </c>
      <c r="AA2702" s="194">
        <v>151</v>
      </c>
      <c r="AB2702" s="194" t="s">
        <v>252</v>
      </c>
      <c r="AC2702" s="194">
        <v>218</v>
      </c>
      <c r="AD2702" s="194" t="s">
        <v>252</v>
      </c>
      <c r="AE2702" s="194">
        <v>321</v>
      </c>
      <c r="AF2702" s="194" t="s">
        <v>252</v>
      </c>
      <c r="AG2702" s="194">
        <v>275</v>
      </c>
      <c r="AH2702" s="194" t="s">
        <v>252</v>
      </c>
      <c r="AI2702" s="194">
        <v>570</v>
      </c>
      <c r="AJ2702" s="194" t="s">
        <v>252</v>
      </c>
      <c r="AK2702" s="194">
        <v>388</v>
      </c>
      <c r="AL2702" s="194" t="s">
        <v>252</v>
      </c>
      <c r="AM2702" s="194">
        <f t="shared" si="29"/>
        <v>3620</v>
      </c>
    </row>
    <row r="2703" spans="2:39" s="3" customFormat="1" ht="15.75" outlineLevel="1">
      <c r="B2703" s="178" t="s">
        <v>1366</v>
      </c>
      <c r="C2703" s="218" t="s">
        <v>1489</v>
      </c>
      <c r="D2703" s="219" t="s">
        <v>1403</v>
      </c>
      <c r="E2703" s="221" t="s">
        <v>138</v>
      </c>
      <c r="F2703" s="93" t="s">
        <v>45</v>
      </c>
      <c r="G2703" s="188" t="s">
        <v>1432</v>
      </c>
      <c r="H2703" s="376">
        <v>45</v>
      </c>
      <c r="I2703" s="188" t="s">
        <v>1433</v>
      </c>
      <c r="J2703" s="379" t="s">
        <v>1441</v>
      </c>
      <c r="K2703" s="173" t="s">
        <v>233</v>
      </c>
      <c r="L2703" s="173" t="s">
        <v>233</v>
      </c>
      <c r="M2703" s="194">
        <v>3342</v>
      </c>
      <c r="N2703" s="194">
        <v>3396</v>
      </c>
      <c r="O2703" s="194">
        <v>353</v>
      </c>
      <c r="P2703" s="194" t="s">
        <v>252</v>
      </c>
      <c r="Q2703" s="194">
        <v>355</v>
      </c>
      <c r="R2703" s="194" t="s">
        <v>252</v>
      </c>
      <c r="S2703" s="194">
        <v>311</v>
      </c>
      <c r="T2703" s="194" t="s">
        <v>252</v>
      </c>
      <c r="U2703" s="194">
        <v>391</v>
      </c>
      <c r="V2703" s="194" t="s">
        <v>252</v>
      </c>
      <c r="W2703" s="194">
        <v>333</v>
      </c>
      <c r="X2703" s="194" t="s">
        <v>252</v>
      </c>
      <c r="Y2703" s="194">
        <v>351</v>
      </c>
      <c r="Z2703" s="194" t="s">
        <v>252</v>
      </c>
      <c r="AA2703" s="194">
        <v>358</v>
      </c>
      <c r="AB2703" s="194" t="s">
        <v>252</v>
      </c>
      <c r="AC2703" s="194">
        <v>321</v>
      </c>
      <c r="AD2703" s="194" t="s">
        <v>252</v>
      </c>
      <c r="AE2703" s="194">
        <v>371</v>
      </c>
      <c r="AF2703" s="194" t="s">
        <v>252</v>
      </c>
      <c r="AG2703" s="194">
        <v>319</v>
      </c>
      <c r="AH2703" s="194" t="s">
        <v>252</v>
      </c>
      <c r="AI2703" s="194">
        <v>362</v>
      </c>
      <c r="AJ2703" s="194" t="s">
        <v>252</v>
      </c>
      <c r="AK2703" s="194">
        <v>333</v>
      </c>
      <c r="AL2703" s="194" t="s">
        <v>252</v>
      </c>
      <c r="AM2703" s="194">
        <f t="shared" si="29"/>
        <v>4158</v>
      </c>
    </row>
    <row r="2704" spans="2:39" s="3" customFormat="1" ht="15.75" outlineLevel="1">
      <c r="B2704" s="178" t="s">
        <v>1366</v>
      </c>
      <c r="C2704" s="218" t="s">
        <v>1489</v>
      </c>
      <c r="D2704" s="219" t="s">
        <v>1403</v>
      </c>
      <c r="E2704" s="23" t="s">
        <v>44</v>
      </c>
      <c r="F2704" s="93" t="s">
        <v>45</v>
      </c>
      <c r="G2704" s="188" t="s">
        <v>1432</v>
      </c>
      <c r="H2704" s="378"/>
      <c r="I2704" s="188" t="s">
        <v>1433</v>
      </c>
      <c r="J2704" s="380"/>
      <c r="K2704" s="173" t="s">
        <v>233</v>
      </c>
      <c r="L2704" s="173" t="s">
        <v>233</v>
      </c>
      <c r="M2704" s="194">
        <v>5171</v>
      </c>
      <c r="N2704" s="194">
        <v>5201</v>
      </c>
      <c r="O2704" s="194">
        <v>369</v>
      </c>
      <c r="P2704" s="194" t="s">
        <v>252</v>
      </c>
      <c r="Q2704" s="194">
        <v>480</v>
      </c>
      <c r="R2704" s="194" t="s">
        <v>252</v>
      </c>
      <c r="S2704" s="194">
        <v>420</v>
      </c>
      <c r="T2704" s="194" t="s">
        <v>252</v>
      </c>
      <c r="U2704" s="194">
        <v>499</v>
      </c>
      <c r="V2704" s="194" t="s">
        <v>252</v>
      </c>
      <c r="W2704" s="194">
        <v>369</v>
      </c>
      <c r="X2704" s="194" t="s">
        <v>252</v>
      </c>
      <c r="Y2704" s="194">
        <v>157</v>
      </c>
      <c r="Z2704" s="194" t="s">
        <v>252</v>
      </c>
      <c r="AA2704" s="194">
        <v>382</v>
      </c>
      <c r="AB2704" s="194" t="s">
        <v>252</v>
      </c>
      <c r="AC2704" s="194">
        <v>547</v>
      </c>
      <c r="AD2704" s="194" t="s">
        <v>252</v>
      </c>
      <c r="AE2704" s="194">
        <v>456</v>
      </c>
      <c r="AF2704" s="194" t="s">
        <v>252</v>
      </c>
      <c r="AG2704" s="194">
        <v>395</v>
      </c>
      <c r="AH2704" s="194" t="s">
        <v>252</v>
      </c>
      <c r="AI2704" s="194">
        <v>484</v>
      </c>
      <c r="AJ2704" s="194" t="s">
        <v>252</v>
      </c>
      <c r="AK2704" s="194">
        <v>463</v>
      </c>
      <c r="AL2704" s="194" t="s">
        <v>252</v>
      </c>
      <c r="AM2704" s="194">
        <f t="shared" si="29"/>
        <v>5021</v>
      </c>
    </row>
    <row r="2705" spans="2:39" s="3" customFormat="1" ht="15.75" outlineLevel="1">
      <c r="B2705" s="178" t="s">
        <v>1367</v>
      </c>
      <c r="C2705" s="218" t="s">
        <v>1489</v>
      </c>
      <c r="D2705" s="219" t="s">
        <v>1403</v>
      </c>
      <c r="E2705" s="23" t="s">
        <v>44</v>
      </c>
      <c r="F2705" s="93" t="s">
        <v>45</v>
      </c>
      <c r="G2705" s="188" t="s">
        <v>1432</v>
      </c>
      <c r="H2705" s="194">
        <v>38</v>
      </c>
      <c r="I2705" s="188" t="s">
        <v>1433</v>
      </c>
      <c r="J2705" s="220" t="s">
        <v>1460</v>
      </c>
      <c r="K2705" s="173" t="s">
        <v>233</v>
      </c>
      <c r="L2705" s="173" t="s">
        <v>233</v>
      </c>
      <c r="M2705" s="194">
        <v>2265</v>
      </c>
      <c r="N2705" s="194">
        <v>1442</v>
      </c>
      <c r="O2705" s="194">
        <v>186</v>
      </c>
      <c r="P2705" s="194" t="s">
        <v>252</v>
      </c>
      <c r="Q2705" s="194">
        <v>135</v>
      </c>
      <c r="R2705" s="194" t="s">
        <v>252</v>
      </c>
      <c r="S2705" s="194">
        <v>97</v>
      </c>
      <c r="T2705" s="194" t="s">
        <v>252</v>
      </c>
      <c r="U2705" s="194">
        <v>118</v>
      </c>
      <c r="V2705" s="194" t="s">
        <v>252</v>
      </c>
      <c r="W2705" s="194">
        <v>69</v>
      </c>
      <c r="X2705" s="194" t="s">
        <v>252</v>
      </c>
      <c r="Y2705" s="194">
        <v>69</v>
      </c>
      <c r="Z2705" s="194" t="s">
        <v>252</v>
      </c>
      <c r="AA2705" s="194">
        <v>71</v>
      </c>
      <c r="AB2705" s="194" t="s">
        <v>252</v>
      </c>
      <c r="AC2705" s="194">
        <v>70</v>
      </c>
      <c r="AD2705" s="194" t="s">
        <v>252</v>
      </c>
      <c r="AE2705" s="194">
        <v>90</v>
      </c>
      <c r="AF2705" s="194" t="s">
        <v>252</v>
      </c>
      <c r="AG2705" s="194">
        <v>84</v>
      </c>
      <c r="AH2705" s="194" t="s">
        <v>252</v>
      </c>
      <c r="AI2705" s="194">
        <v>112</v>
      </c>
      <c r="AJ2705" s="194" t="s">
        <v>252</v>
      </c>
      <c r="AK2705" s="194">
        <v>99</v>
      </c>
      <c r="AL2705" s="194" t="s">
        <v>252</v>
      </c>
      <c r="AM2705" s="194">
        <f t="shared" si="29"/>
        <v>1200</v>
      </c>
    </row>
    <row r="2706" spans="2:39" s="3" customFormat="1" ht="15.75" outlineLevel="1">
      <c r="B2706" s="178" t="s">
        <v>1235</v>
      </c>
      <c r="C2706" s="218" t="s">
        <v>1489</v>
      </c>
      <c r="D2706" s="219" t="s">
        <v>1403</v>
      </c>
      <c r="E2706" s="23" t="s">
        <v>44</v>
      </c>
      <c r="F2706" s="227" t="s">
        <v>45</v>
      </c>
      <c r="G2706" s="188" t="s">
        <v>1432</v>
      </c>
      <c r="H2706" s="376">
        <v>34</v>
      </c>
      <c r="I2706" s="188" t="s">
        <v>1433</v>
      </c>
      <c r="J2706" s="379" t="s">
        <v>1440</v>
      </c>
      <c r="K2706" s="173" t="s">
        <v>233</v>
      </c>
      <c r="L2706" s="173" t="s">
        <v>233</v>
      </c>
      <c r="M2706" s="376">
        <v>6641</v>
      </c>
      <c r="N2706" s="376">
        <v>5760</v>
      </c>
      <c r="O2706" s="376">
        <v>770</v>
      </c>
      <c r="P2706" s="376" t="s">
        <v>252</v>
      </c>
      <c r="Q2706" s="376">
        <v>416</v>
      </c>
      <c r="R2706" s="376" t="s">
        <v>252</v>
      </c>
      <c r="S2706" s="376">
        <v>322</v>
      </c>
      <c r="T2706" s="376" t="s">
        <v>252</v>
      </c>
      <c r="U2706" s="376">
        <v>604</v>
      </c>
      <c r="V2706" s="376" t="s">
        <v>252</v>
      </c>
      <c r="W2706" s="376">
        <v>363</v>
      </c>
      <c r="X2706" s="376" t="s">
        <v>252</v>
      </c>
      <c r="Y2706" s="376">
        <v>316</v>
      </c>
      <c r="Z2706" s="376" t="s">
        <v>252</v>
      </c>
      <c r="AA2706" s="376">
        <v>254</v>
      </c>
      <c r="AB2706" s="376" t="s">
        <v>252</v>
      </c>
      <c r="AC2706" s="376">
        <v>326</v>
      </c>
      <c r="AD2706" s="376" t="s">
        <v>252</v>
      </c>
      <c r="AE2706" s="376">
        <v>410</v>
      </c>
      <c r="AF2706" s="376" t="s">
        <v>252</v>
      </c>
      <c r="AG2706" s="376">
        <v>484</v>
      </c>
      <c r="AH2706" s="376" t="s">
        <v>252</v>
      </c>
      <c r="AI2706" s="376">
        <v>532</v>
      </c>
      <c r="AJ2706" s="376" t="s">
        <v>252</v>
      </c>
      <c r="AK2706" s="376">
        <v>528</v>
      </c>
      <c r="AL2706" s="376" t="s">
        <v>252</v>
      </c>
      <c r="AM2706" s="376">
        <f t="shared" si="29"/>
        <v>5325</v>
      </c>
    </row>
    <row r="2707" spans="2:39" s="3" customFormat="1" ht="15.75" outlineLevel="1">
      <c r="B2707" s="178" t="s">
        <v>1236</v>
      </c>
      <c r="C2707" s="218" t="s">
        <v>1489</v>
      </c>
      <c r="D2707" s="219" t="s">
        <v>1403</v>
      </c>
      <c r="E2707" s="23" t="s">
        <v>44</v>
      </c>
      <c r="F2707" s="227" t="s">
        <v>45</v>
      </c>
      <c r="G2707" s="188" t="s">
        <v>1432</v>
      </c>
      <c r="H2707" s="378"/>
      <c r="I2707" s="188" t="s">
        <v>1433</v>
      </c>
      <c r="J2707" s="380"/>
      <c r="K2707" s="173" t="s">
        <v>233</v>
      </c>
      <c r="L2707" s="173" t="s">
        <v>233</v>
      </c>
      <c r="M2707" s="378"/>
      <c r="N2707" s="378"/>
      <c r="O2707" s="378"/>
      <c r="P2707" s="378"/>
      <c r="Q2707" s="378"/>
      <c r="R2707" s="378"/>
      <c r="S2707" s="378"/>
      <c r="T2707" s="378"/>
      <c r="U2707" s="378"/>
      <c r="V2707" s="378"/>
      <c r="W2707" s="378"/>
      <c r="X2707" s="378"/>
      <c r="Y2707" s="378"/>
      <c r="Z2707" s="378"/>
      <c r="AA2707" s="378"/>
      <c r="AB2707" s="378"/>
      <c r="AC2707" s="378"/>
      <c r="AD2707" s="378"/>
      <c r="AE2707" s="378"/>
      <c r="AF2707" s="378"/>
      <c r="AG2707" s="378"/>
      <c r="AH2707" s="378"/>
      <c r="AI2707" s="378"/>
      <c r="AJ2707" s="378"/>
      <c r="AK2707" s="378"/>
      <c r="AL2707" s="378"/>
      <c r="AM2707" s="378"/>
    </row>
    <row r="2708" spans="2:39" s="3" customFormat="1" ht="15.75" outlineLevel="1">
      <c r="B2708" s="178" t="s">
        <v>1368</v>
      </c>
      <c r="C2708" s="218" t="s">
        <v>1489</v>
      </c>
      <c r="D2708" s="219" t="s">
        <v>1403</v>
      </c>
      <c r="E2708" s="221" t="s">
        <v>138</v>
      </c>
      <c r="F2708" s="93" t="s">
        <v>45</v>
      </c>
      <c r="G2708" s="188" t="s">
        <v>1432</v>
      </c>
      <c r="H2708" s="376">
        <v>29</v>
      </c>
      <c r="I2708" s="188" t="s">
        <v>1433</v>
      </c>
      <c r="J2708" s="379" t="s">
        <v>1474</v>
      </c>
      <c r="K2708" s="173" t="s">
        <v>233</v>
      </c>
      <c r="L2708" s="173" t="s">
        <v>233</v>
      </c>
      <c r="M2708" s="194">
        <v>6787</v>
      </c>
      <c r="N2708" s="194">
        <v>12675</v>
      </c>
      <c r="O2708" s="194">
        <v>1156</v>
      </c>
      <c r="P2708" s="194" t="s">
        <v>252</v>
      </c>
      <c r="Q2708" s="194">
        <v>1201</v>
      </c>
      <c r="R2708" s="194" t="s">
        <v>252</v>
      </c>
      <c r="S2708" s="194">
        <v>989</v>
      </c>
      <c r="T2708" s="194" t="s">
        <v>252</v>
      </c>
      <c r="U2708" s="194">
        <v>1211</v>
      </c>
      <c r="V2708" s="194" t="s">
        <v>252</v>
      </c>
      <c r="W2708" s="194">
        <v>1016</v>
      </c>
      <c r="X2708" s="194" t="s">
        <v>252</v>
      </c>
      <c r="Y2708" s="194">
        <v>1102</v>
      </c>
      <c r="Z2708" s="194" t="s">
        <v>252</v>
      </c>
      <c r="AA2708" s="194">
        <v>1134</v>
      </c>
      <c r="AB2708" s="194" t="s">
        <v>252</v>
      </c>
      <c r="AC2708" s="194">
        <v>950</v>
      </c>
      <c r="AD2708" s="194" t="s">
        <v>252</v>
      </c>
      <c r="AE2708" s="194">
        <v>1161</v>
      </c>
      <c r="AF2708" s="194" t="s">
        <v>252</v>
      </c>
      <c r="AG2708" s="194">
        <v>1102</v>
      </c>
      <c r="AH2708" s="194" t="s">
        <v>252</v>
      </c>
      <c r="AI2708" s="194">
        <v>1306</v>
      </c>
      <c r="AJ2708" s="194" t="s">
        <v>252</v>
      </c>
      <c r="AK2708" s="194">
        <v>1076</v>
      </c>
      <c r="AL2708" s="194" t="s">
        <v>252</v>
      </c>
      <c r="AM2708" s="194">
        <f t="shared" si="29"/>
        <v>13404</v>
      </c>
    </row>
    <row r="2709" spans="2:39" s="3" customFormat="1" ht="15.75" outlineLevel="1">
      <c r="B2709" s="178" t="s">
        <v>1368</v>
      </c>
      <c r="C2709" s="218" t="s">
        <v>1489</v>
      </c>
      <c r="D2709" s="219" t="s">
        <v>1403</v>
      </c>
      <c r="E2709" s="23" t="s">
        <v>44</v>
      </c>
      <c r="F2709" s="93" t="s">
        <v>45</v>
      </c>
      <c r="G2709" s="188" t="s">
        <v>1432</v>
      </c>
      <c r="H2709" s="378"/>
      <c r="I2709" s="188" t="s">
        <v>1433</v>
      </c>
      <c r="J2709" s="380"/>
      <c r="K2709" s="173" t="s">
        <v>233</v>
      </c>
      <c r="L2709" s="173" t="s">
        <v>233</v>
      </c>
      <c r="M2709" s="194">
        <v>2307</v>
      </c>
      <c r="N2709" s="194">
        <v>7156</v>
      </c>
      <c r="O2709" s="194">
        <v>638</v>
      </c>
      <c r="P2709" s="194" t="s">
        <v>252</v>
      </c>
      <c r="Q2709" s="194">
        <v>497</v>
      </c>
      <c r="R2709" s="194" t="s">
        <v>252</v>
      </c>
      <c r="S2709" s="194">
        <v>400</v>
      </c>
      <c r="T2709" s="194" t="s">
        <v>252</v>
      </c>
      <c r="U2709" s="194">
        <v>547</v>
      </c>
      <c r="V2709" s="194" t="s">
        <v>252</v>
      </c>
      <c r="W2709" s="194">
        <v>435</v>
      </c>
      <c r="X2709" s="194" t="s">
        <v>252</v>
      </c>
      <c r="Y2709" s="194">
        <v>410</v>
      </c>
      <c r="Z2709" s="194" t="s">
        <v>252</v>
      </c>
      <c r="AA2709" s="194">
        <v>345</v>
      </c>
      <c r="AB2709" s="194" t="s">
        <v>252</v>
      </c>
      <c r="AC2709" s="194">
        <v>327</v>
      </c>
      <c r="AD2709" s="194" t="s">
        <v>252</v>
      </c>
      <c r="AE2709" s="194">
        <v>452</v>
      </c>
      <c r="AF2709" s="194" t="s">
        <v>252</v>
      </c>
      <c r="AG2709" s="194">
        <v>426</v>
      </c>
      <c r="AH2709" s="194" t="s">
        <v>252</v>
      </c>
      <c r="AI2709" s="194">
        <v>666</v>
      </c>
      <c r="AJ2709" s="194" t="s">
        <v>252</v>
      </c>
      <c r="AK2709" s="194">
        <v>814</v>
      </c>
      <c r="AL2709" s="194" t="s">
        <v>252</v>
      </c>
      <c r="AM2709" s="194">
        <f t="shared" si="29"/>
        <v>5957</v>
      </c>
    </row>
    <row r="2710" spans="2:39" s="3" customFormat="1" ht="15.75" outlineLevel="1">
      <c r="B2710" s="178" t="s">
        <v>1369</v>
      </c>
      <c r="C2710" s="218" t="s">
        <v>1489</v>
      </c>
      <c r="D2710" s="219" t="s">
        <v>1403</v>
      </c>
      <c r="E2710" s="221" t="s">
        <v>138</v>
      </c>
      <c r="F2710" s="93" t="s">
        <v>45</v>
      </c>
      <c r="G2710" s="188" t="s">
        <v>1432</v>
      </c>
      <c r="H2710" s="376">
        <v>38</v>
      </c>
      <c r="I2710" s="188" t="s">
        <v>1433</v>
      </c>
      <c r="J2710" s="379" t="s">
        <v>1460</v>
      </c>
      <c r="K2710" s="173" t="s">
        <v>233</v>
      </c>
      <c r="L2710" s="173" t="s">
        <v>233</v>
      </c>
      <c r="M2710" s="194">
        <v>14981</v>
      </c>
      <c r="N2710" s="194">
        <v>14852</v>
      </c>
      <c r="O2710" s="194">
        <v>1400</v>
      </c>
      <c r="P2710" s="194" t="s">
        <v>252</v>
      </c>
      <c r="Q2710" s="194">
        <v>949</v>
      </c>
      <c r="R2710" s="194" t="s">
        <v>252</v>
      </c>
      <c r="S2710" s="194">
        <v>775</v>
      </c>
      <c r="T2710" s="194" t="s">
        <v>252</v>
      </c>
      <c r="U2710" s="194">
        <v>1044</v>
      </c>
      <c r="V2710" s="194" t="s">
        <v>252</v>
      </c>
      <c r="W2710" s="194">
        <v>978</v>
      </c>
      <c r="X2710" s="194" t="s">
        <v>252</v>
      </c>
      <c r="Y2710" s="194">
        <v>1598</v>
      </c>
      <c r="Z2710" s="194" t="s">
        <v>252</v>
      </c>
      <c r="AA2710" s="194">
        <v>1232</v>
      </c>
      <c r="AB2710" s="194" t="s">
        <v>252</v>
      </c>
      <c r="AC2710" s="194">
        <v>861</v>
      </c>
      <c r="AD2710" s="194" t="s">
        <v>252</v>
      </c>
      <c r="AE2710" s="194">
        <v>1003</v>
      </c>
      <c r="AF2710" s="194" t="s">
        <v>252</v>
      </c>
      <c r="AG2710" s="194">
        <v>1158</v>
      </c>
      <c r="AH2710" s="194" t="s">
        <v>252</v>
      </c>
      <c r="AI2710" s="194">
        <v>906</v>
      </c>
      <c r="AJ2710" s="194" t="s">
        <v>252</v>
      </c>
      <c r="AK2710" s="194">
        <v>1080</v>
      </c>
      <c r="AL2710" s="194" t="s">
        <v>252</v>
      </c>
      <c r="AM2710" s="194">
        <f t="shared" si="29"/>
        <v>12984</v>
      </c>
    </row>
    <row r="2711" spans="2:39" s="3" customFormat="1" ht="15.75" outlineLevel="1">
      <c r="B2711" s="178" t="s">
        <v>1369</v>
      </c>
      <c r="C2711" s="218" t="s">
        <v>1489</v>
      </c>
      <c r="D2711" s="219" t="s">
        <v>1403</v>
      </c>
      <c r="E2711" s="23" t="s">
        <v>44</v>
      </c>
      <c r="F2711" s="93" t="s">
        <v>45</v>
      </c>
      <c r="G2711" s="188" t="s">
        <v>1432</v>
      </c>
      <c r="H2711" s="378"/>
      <c r="I2711" s="188" t="s">
        <v>1433</v>
      </c>
      <c r="J2711" s="380"/>
      <c r="K2711" s="173" t="s">
        <v>233</v>
      </c>
      <c r="L2711" s="173" t="s">
        <v>233</v>
      </c>
      <c r="M2711" s="194">
        <v>17375</v>
      </c>
      <c r="N2711" s="194">
        <v>17206</v>
      </c>
      <c r="O2711" s="194">
        <v>1800</v>
      </c>
      <c r="P2711" s="194" t="s">
        <v>252</v>
      </c>
      <c r="Q2711" s="194">
        <v>1355</v>
      </c>
      <c r="R2711" s="194" t="s">
        <v>252</v>
      </c>
      <c r="S2711" s="194">
        <v>1080</v>
      </c>
      <c r="T2711" s="194" t="s">
        <v>252</v>
      </c>
      <c r="U2711" s="194">
        <v>1343</v>
      </c>
      <c r="V2711" s="194" t="s">
        <v>252</v>
      </c>
      <c r="W2711" s="194">
        <v>1311</v>
      </c>
      <c r="X2711" s="194" t="s">
        <v>252</v>
      </c>
      <c r="Y2711" s="194">
        <v>1031</v>
      </c>
      <c r="Z2711" s="194" t="s">
        <v>252</v>
      </c>
      <c r="AA2711" s="194">
        <v>873</v>
      </c>
      <c r="AB2711" s="194" t="s">
        <v>252</v>
      </c>
      <c r="AC2711" s="194">
        <v>1144</v>
      </c>
      <c r="AD2711" s="194" t="s">
        <v>252</v>
      </c>
      <c r="AE2711" s="194">
        <v>1162</v>
      </c>
      <c r="AF2711" s="194" t="s">
        <v>252</v>
      </c>
      <c r="AG2711" s="194">
        <v>893</v>
      </c>
      <c r="AH2711" s="194" t="s">
        <v>252</v>
      </c>
      <c r="AI2711" s="194">
        <v>1205</v>
      </c>
      <c r="AJ2711" s="194" t="s">
        <v>252</v>
      </c>
      <c r="AK2711" s="194">
        <v>1404</v>
      </c>
      <c r="AL2711" s="194" t="s">
        <v>252</v>
      </c>
      <c r="AM2711" s="194">
        <f t="shared" si="29"/>
        <v>14601</v>
      </c>
    </row>
    <row r="2712" spans="2:39" s="3" customFormat="1" ht="15.75" outlineLevel="1">
      <c r="B2712" s="178" t="s">
        <v>1370</v>
      </c>
      <c r="C2712" s="218" t="s">
        <v>1489</v>
      </c>
      <c r="D2712" s="219" t="s">
        <v>1403</v>
      </c>
      <c r="E2712" s="221" t="s">
        <v>138</v>
      </c>
      <c r="F2712" s="93" t="s">
        <v>45</v>
      </c>
      <c r="G2712" s="188" t="s">
        <v>1432</v>
      </c>
      <c r="H2712" s="376">
        <v>36</v>
      </c>
      <c r="I2712" s="188" t="s">
        <v>1433</v>
      </c>
      <c r="J2712" s="379" t="s">
        <v>1440</v>
      </c>
      <c r="K2712" s="173" t="s">
        <v>233</v>
      </c>
      <c r="L2712" s="173" t="s">
        <v>233</v>
      </c>
      <c r="M2712" s="194">
        <v>3467</v>
      </c>
      <c r="N2712" s="194">
        <v>4501</v>
      </c>
      <c r="O2712" s="194">
        <v>240</v>
      </c>
      <c r="P2712" s="194" t="s">
        <v>252</v>
      </c>
      <c r="Q2712" s="194">
        <v>313</v>
      </c>
      <c r="R2712" s="194" t="s">
        <v>252</v>
      </c>
      <c r="S2712" s="194">
        <v>246</v>
      </c>
      <c r="T2712" s="194" t="s">
        <v>252</v>
      </c>
      <c r="U2712" s="194">
        <v>285</v>
      </c>
      <c r="V2712" s="194" t="s">
        <v>252</v>
      </c>
      <c r="W2712" s="194">
        <v>264</v>
      </c>
      <c r="X2712" s="194" t="s">
        <v>252</v>
      </c>
      <c r="Y2712" s="194">
        <v>274</v>
      </c>
      <c r="Z2712" s="194" t="s">
        <v>252</v>
      </c>
      <c r="AA2712" s="194">
        <v>272</v>
      </c>
      <c r="AB2712" s="194" t="s">
        <v>252</v>
      </c>
      <c r="AC2712" s="194">
        <v>282</v>
      </c>
      <c r="AD2712" s="194" t="s">
        <v>252</v>
      </c>
      <c r="AE2712" s="194">
        <v>309</v>
      </c>
      <c r="AF2712" s="194" t="s">
        <v>252</v>
      </c>
      <c r="AG2712" s="194">
        <v>269</v>
      </c>
      <c r="AH2712" s="194" t="s">
        <v>252</v>
      </c>
      <c r="AI2712" s="194">
        <v>257</v>
      </c>
      <c r="AJ2712" s="194" t="s">
        <v>252</v>
      </c>
      <c r="AK2712" s="194">
        <v>290</v>
      </c>
      <c r="AL2712" s="194" t="s">
        <v>252</v>
      </c>
      <c r="AM2712" s="194">
        <f t="shared" si="29"/>
        <v>3301</v>
      </c>
    </row>
    <row r="2713" spans="2:39" s="3" customFormat="1" ht="15.75" outlineLevel="1">
      <c r="B2713" s="178" t="s">
        <v>1370</v>
      </c>
      <c r="C2713" s="218" t="s">
        <v>1489</v>
      </c>
      <c r="D2713" s="219" t="s">
        <v>1403</v>
      </c>
      <c r="E2713" s="23" t="s">
        <v>44</v>
      </c>
      <c r="F2713" s="93" t="s">
        <v>45</v>
      </c>
      <c r="G2713" s="188" t="s">
        <v>1432</v>
      </c>
      <c r="H2713" s="378"/>
      <c r="I2713" s="188" t="s">
        <v>1433</v>
      </c>
      <c r="J2713" s="380"/>
      <c r="K2713" s="173" t="s">
        <v>233</v>
      </c>
      <c r="L2713" s="173" t="s">
        <v>233</v>
      </c>
      <c r="M2713" s="194">
        <v>5102</v>
      </c>
      <c r="N2713" s="194">
        <v>6509</v>
      </c>
      <c r="O2713" s="194">
        <v>939</v>
      </c>
      <c r="P2713" s="194" t="s">
        <v>252</v>
      </c>
      <c r="Q2713" s="194">
        <v>874</v>
      </c>
      <c r="R2713" s="194" t="s">
        <v>252</v>
      </c>
      <c r="S2713" s="194">
        <v>556</v>
      </c>
      <c r="T2713" s="194" t="s">
        <v>252</v>
      </c>
      <c r="U2713" s="194">
        <v>696</v>
      </c>
      <c r="V2713" s="194" t="s">
        <v>252</v>
      </c>
      <c r="W2713" s="194">
        <v>572</v>
      </c>
      <c r="X2713" s="194" t="s">
        <v>252</v>
      </c>
      <c r="Y2713" s="194">
        <v>475</v>
      </c>
      <c r="Z2713" s="194" t="s">
        <v>252</v>
      </c>
      <c r="AA2713" s="194">
        <v>336</v>
      </c>
      <c r="AB2713" s="194" t="s">
        <v>252</v>
      </c>
      <c r="AC2713" s="194">
        <v>463</v>
      </c>
      <c r="AD2713" s="194" t="s">
        <v>252</v>
      </c>
      <c r="AE2713" s="194">
        <v>652</v>
      </c>
      <c r="AF2713" s="194" t="s">
        <v>252</v>
      </c>
      <c r="AG2713" s="194">
        <v>606</v>
      </c>
      <c r="AH2713" s="194" t="s">
        <v>252</v>
      </c>
      <c r="AI2713" s="194">
        <v>664</v>
      </c>
      <c r="AJ2713" s="194" t="s">
        <v>252</v>
      </c>
      <c r="AK2713" s="194">
        <v>842</v>
      </c>
      <c r="AL2713" s="194" t="s">
        <v>252</v>
      </c>
      <c r="AM2713" s="194">
        <f t="shared" si="29"/>
        <v>7675</v>
      </c>
    </row>
    <row r="2714" spans="2:39" s="3" customFormat="1" ht="15.75" outlineLevel="1">
      <c r="B2714" s="178" t="s">
        <v>1371</v>
      </c>
      <c r="C2714" s="218" t="s">
        <v>1489</v>
      </c>
      <c r="D2714" s="219" t="s">
        <v>1421</v>
      </c>
      <c r="E2714" s="221" t="s">
        <v>138</v>
      </c>
      <c r="F2714" s="93" t="s">
        <v>45</v>
      </c>
      <c r="G2714" s="188" t="s">
        <v>1432</v>
      </c>
      <c r="H2714" s="376">
        <v>42</v>
      </c>
      <c r="I2714" s="188" t="s">
        <v>1433</v>
      </c>
      <c r="J2714" s="379" t="s">
        <v>1441</v>
      </c>
      <c r="K2714" s="173" t="s">
        <v>233</v>
      </c>
      <c r="L2714" s="173" t="s">
        <v>233</v>
      </c>
      <c r="M2714" s="194">
        <v>5350</v>
      </c>
      <c r="N2714" s="194">
        <v>5160</v>
      </c>
      <c r="O2714" s="194">
        <v>272</v>
      </c>
      <c r="P2714" s="194" t="s">
        <v>252</v>
      </c>
      <c r="Q2714" s="194">
        <v>512</v>
      </c>
      <c r="R2714" s="194" t="s">
        <v>252</v>
      </c>
      <c r="S2714" s="194">
        <v>383</v>
      </c>
      <c r="T2714" s="194" t="s">
        <v>252</v>
      </c>
      <c r="U2714" s="194">
        <v>427</v>
      </c>
      <c r="V2714" s="194" t="s">
        <v>252</v>
      </c>
      <c r="W2714" s="194">
        <v>699</v>
      </c>
      <c r="X2714" s="194" t="s">
        <v>252</v>
      </c>
      <c r="Y2714" s="194">
        <v>367</v>
      </c>
      <c r="Z2714" s="194" t="s">
        <v>252</v>
      </c>
      <c r="AA2714" s="194">
        <v>381</v>
      </c>
      <c r="AB2714" s="194" t="s">
        <v>252</v>
      </c>
      <c r="AC2714" s="194">
        <v>399</v>
      </c>
      <c r="AD2714" s="194" t="s">
        <v>252</v>
      </c>
      <c r="AE2714" s="194">
        <v>356</v>
      </c>
      <c r="AF2714" s="194" t="s">
        <v>252</v>
      </c>
      <c r="AG2714" s="194">
        <v>333</v>
      </c>
      <c r="AH2714" s="194" t="s">
        <v>252</v>
      </c>
      <c r="AI2714" s="194">
        <v>348</v>
      </c>
      <c r="AJ2714" s="194" t="s">
        <v>252</v>
      </c>
      <c r="AK2714" s="194">
        <v>457</v>
      </c>
      <c r="AL2714" s="194" t="s">
        <v>252</v>
      </c>
      <c r="AM2714" s="194">
        <f>O2714+Q2714+S2714+U2714+W2714+Y2714+AA2714+AC2714+AE2714+AG2714+AI2714+AK2714</f>
        <v>4934</v>
      </c>
    </row>
    <row r="2715" spans="2:39" s="3" customFormat="1" ht="15.75" outlineLevel="1">
      <c r="B2715" s="178" t="s">
        <v>1371</v>
      </c>
      <c r="C2715" s="218" t="s">
        <v>1489</v>
      </c>
      <c r="D2715" s="219" t="s">
        <v>1403</v>
      </c>
      <c r="E2715" s="23" t="s">
        <v>44</v>
      </c>
      <c r="F2715" s="93" t="s">
        <v>45</v>
      </c>
      <c r="G2715" s="188" t="s">
        <v>1432</v>
      </c>
      <c r="H2715" s="378"/>
      <c r="I2715" s="188" t="s">
        <v>1433</v>
      </c>
      <c r="J2715" s="380"/>
      <c r="K2715" s="173" t="s">
        <v>233</v>
      </c>
      <c r="L2715" s="173" t="s">
        <v>233</v>
      </c>
      <c r="M2715" s="194">
        <v>4700</v>
      </c>
      <c r="N2715" s="194">
        <v>4260</v>
      </c>
      <c r="O2715" s="194">
        <v>271</v>
      </c>
      <c r="P2715" s="194" t="s">
        <v>252</v>
      </c>
      <c r="Q2715" s="194">
        <v>541</v>
      </c>
      <c r="R2715" s="194" t="s">
        <v>252</v>
      </c>
      <c r="S2715" s="194">
        <v>312</v>
      </c>
      <c r="T2715" s="194" t="s">
        <v>252</v>
      </c>
      <c r="U2715" s="194">
        <v>324</v>
      </c>
      <c r="V2715" s="194" t="s">
        <v>252</v>
      </c>
      <c r="W2715" s="194">
        <v>287</v>
      </c>
      <c r="X2715" s="194" t="s">
        <v>252</v>
      </c>
      <c r="Y2715" s="194">
        <v>308</v>
      </c>
      <c r="Z2715" s="194" t="s">
        <v>252</v>
      </c>
      <c r="AA2715" s="194">
        <v>232</v>
      </c>
      <c r="AB2715" s="194" t="s">
        <v>252</v>
      </c>
      <c r="AC2715" s="194">
        <v>231</v>
      </c>
      <c r="AD2715" s="194" t="s">
        <v>252</v>
      </c>
      <c r="AE2715" s="194">
        <v>421</v>
      </c>
      <c r="AF2715" s="194" t="s">
        <v>252</v>
      </c>
      <c r="AG2715" s="194">
        <v>380</v>
      </c>
      <c r="AH2715" s="194" t="s">
        <v>252</v>
      </c>
      <c r="AI2715" s="194">
        <v>350</v>
      </c>
      <c r="AJ2715" s="194" t="s">
        <v>252</v>
      </c>
      <c r="AK2715" s="194">
        <v>421</v>
      </c>
      <c r="AL2715" s="194" t="s">
        <v>252</v>
      </c>
      <c r="AM2715" s="194">
        <f>O2715+Q2715+S2715+U2715+W2715+Y2715+AA2715+AC2715+AE2715+AG2715+AI2715+AK2715</f>
        <v>4078</v>
      </c>
    </row>
    <row r="2716" spans="2:39" s="3" customFormat="1" ht="15.75" outlineLevel="1">
      <c r="B2716" s="178" t="s">
        <v>1372</v>
      </c>
      <c r="C2716" s="218" t="s">
        <v>1489</v>
      </c>
      <c r="D2716" s="219" t="s">
        <v>1403</v>
      </c>
      <c r="E2716" s="23" t="s">
        <v>44</v>
      </c>
      <c r="F2716" s="222" t="s">
        <v>45</v>
      </c>
      <c r="G2716" s="188" t="s">
        <v>1432</v>
      </c>
      <c r="H2716" s="194">
        <v>32</v>
      </c>
      <c r="I2716" s="188" t="s">
        <v>1433</v>
      </c>
      <c r="J2716" s="220" t="s">
        <v>1464</v>
      </c>
      <c r="K2716" s="173" t="s">
        <v>233</v>
      </c>
      <c r="L2716" s="173" t="s">
        <v>233</v>
      </c>
      <c r="M2716" s="194">
        <v>12126</v>
      </c>
      <c r="N2716" s="194">
        <v>6631</v>
      </c>
      <c r="O2716" s="194">
        <v>557</v>
      </c>
      <c r="P2716" s="194" t="s">
        <v>252</v>
      </c>
      <c r="Q2716" s="194">
        <v>505</v>
      </c>
      <c r="R2716" s="194" t="s">
        <v>252</v>
      </c>
      <c r="S2716" s="194">
        <v>306</v>
      </c>
      <c r="T2716" s="194" t="s">
        <v>252</v>
      </c>
      <c r="U2716" s="194">
        <v>403</v>
      </c>
      <c r="V2716" s="194" t="s">
        <v>252</v>
      </c>
      <c r="W2716" s="194">
        <v>331</v>
      </c>
      <c r="X2716" s="194" t="s">
        <v>252</v>
      </c>
      <c r="Y2716" s="194">
        <v>266</v>
      </c>
      <c r="Z2716" s="194" t="s">
        <v>252</v>
      </c>
      <c r="AA2716" s="194">
        <v>258</v>
      </c>
      <c r="AB2716" s="194" t="s">
        <v>252</v>
      </c>
      <c r="AC2716" s="194">
        <v>341</v>
      </c>
      <c r="AD2716" s="194" t="s">
        <v>252</v>
      </c>
      <c r="AE2716" s="194">
        <v>297</v>
      </c>
      <c r="AF2716" s="194" t="s">
        <v>252</v>
      </c>
      <c r="AG2716" s="194">
        <v>313</v>
      </c>
      <c r="AH2716" s="194" t="s">
        <v>252</v>
      </c>
      <c r="AI2716" s="194">
        <v>435</v>
      </c>
      <c r="AJ2716" s="194" t="s">
        <v>252</v>
      </c>
      <c r="AK2716" s="194">
        <v>974</v>
      </c>
      <c r="AL2716" s="194" t="s">
        <v>252</v>
      </c>
      <c r="AM2716" s="194">
        <f>O2716+Q2716+S2716+U2716+W2716+Y2716+AA2716+AC2716+AE2716+AG2716+AI2716+AK2716</f>
        <v>4986</v>
      </c>
    </row>
    <row r="2717" spans="2:39" s="3" customFormat="1" ht="15.75" outlineLevel="1">
      <c r="B2717" s="178" t="s">
        <v>1373</v>
      </c>
      <c r="C2717" s="218" t="s">
        <v>1489</v>
      </c>
      <c r="D2717" s="219" t="s">
        <v>1403</v>
      </c>
      <c r="E2717" s="382" t="s">
        <v>138</v>
      </c>
      <c r="F2717" s="384" t="s">
        <v>45</v>
      </c>
      <c r="G2717" s="188" t="s">
        <v>1432</v>
      </c>
      <c r="H2717" s="376">
        <v>58</v>
      </c>
      <c r="I2717" s="188" t="s">
        <v>1433</v>
      </c>
      <c r="J2717" s="379" t="s">
        <v>1462</v>
      </c>
      <c r="K2717" s="173" t="s">
        <v>233</v>
      </c>
      <c r="L2717" s="173" t="s">
        <v>233</v>
      </c>
      <c r="M2717" s="376">
        <v>987</v>
      </c>
      <c r="N2717" s="376">
        <v>851</v>
      </c>
      <c r="O2717" s="376">
        <v>57</v>
      </c>
      <c r="P2717" s="376" t="s">
        <v>252</v>
      </c>
      <c r="Q2717" s="376">
        <v>129</v>
      </c>
      <c r="R2717" s="376" t="s">
        <v>252</v>
      </c>
      <c r="S2717" s="376">
        <v>94</v>
      </c>
      <c r="T2717" s="376" t="s">
        <v>252</v>
      </c>
      <c r="U2717" s="376">
        <v>104</v>
      </c>
      <c r="V2717" s="376" t="s">
        <v>252</v>
      </c>
      <c r="W2717" s="376">
        <v>92</v>
      </c>
      <c r="X2717" s="376" t="s">
        <v>252</v>
      </c>
      <c r="Y2717" s="376">
        <v>100</v>
      </c>
      <c r="Z2717" s="376" t="s">
        <v>252</v>
      </c>
      <c r="AA2717" s="376">
        <v>90</v>
      </c>
      <c r="AB2717" s="376" t="s">
        <v>252</v>
      </c>
      <c r="AC2717" s="376">
        <v>82</v>
      </c>
      <c r="AD2717" s="376" t="s">
        <v>252</v>
      </c>
      <c r="AE2717" s="376">
        <v>119</v>
      </c>
      <c r="AF2717" s="376" t="s">
        <v>252</v>
      </c>
      <c r="AG2717" s="376">
        <v>180</v>
      </c>
      <c r="AH2717" s="376" t="s">
        <v>252</v>
      </c>
      <c r="AI2717" s="376">
        <v>129</v>
      </c>
      <c r="AJ2717" s="376" t="s">
        <v>252</v>
      </c>
      <c r="AK2717" s="376">
        <v>137</v>
      </c>
      <c r="AL2717" s="376" t="s">
        <v>252</v>
      </c>
      <c r="AM2717" s="376">
        <f>O2717+Q2717+S2717++U2717+W2717+Y2717+AA2717+AC2717+AE2717+AG2717+AI2717+AK2717</f>
        <v>1313</v>
      </c>
    </row>
    <row r="2718" spans="2:39" s="3" customFormat="1" ht="15.75" outlineLevel="1">
      <c r="B2718" s="178" t="s">
        <v>1374</v>
      </c>
      <c r="C2718" s="218" t="s">
        <v>1489</v>
      </c>
      <c r="D2718" s="219" t="s">
        <v>1403</v>
      </c>
      <c r="E2718" s="383"/>
      <c r="F2718" s="385"/>
      <c r="G2718" s="188" t="s">
        <v>1432</v>
      </c>
      <c r="H2718" s="377"/>
      <c r="I2718" s="188" t="s">
        <v>1433</v>
      </c>
      <c r="J2718" s="381"/>
      <c r="K2718" s="173" t="s">
        <v>233</v>
      </c>
      <c r="L2718" s="173" t="s">
        <v>233</v>
      </c>
      <c r="M2718" s="378"/>
      <c r="N2718" s="378"/>
      <c r="O2718" s="378"/>
      <c r="P2718" s="378"/>
      <c r="Q2718" s="378"/>
      <c r="R2718" s="378"/>
      <c r="S2718" s="378"/>
      <c r="T2718" s="378"/>
      <c r="U2718" s="378"/>
      <c r="V2718" s="378"/>
      <c r="W2718" s="378"/>
      <c r="X2718" s="378"/>
      <c r="Y2718" s="378"/>
      <c r="Z2718" s="378"/>
      <c r="AA2718" s="378"/>
      <c r="AB2718" s="378"/>
      <c r="AC2718" s="378"/>
      <c r="AD2718" s="378"/>
      <c r="AE2718" s="378"/>
      <c r="AF2718" s="378"/>
      <c r="AG2718" s="378"/>
      <c r="AH2718" s="378"/>
      <c r="AI2718" s="378"/>
      <c r="AJ2718" s="378"/>
      <c r="AK2718" s="378"/>
      <c r="AL2718" s="378"/>
      <c r="AM2718" s="378"/>
    </row>
    <row r="2719" spans="2:39" s="3" customFormat="1" ht="15.75" outlineLevel="1">
      <c r="B2719" s="178" t="s">
        <v>1373</v>
      </c>
      <c r="C2719" s="218" t="s">
        <v>1489</v>
      </c>
      <c r="D2719" s="219" t="s">
        <v>1403</v>
      </c>
      <c r="E2719" s="382" t="s">
        <v>44</v>
      </c>
      <c r="F2719" s="384" t="s">
        <v>45</v>
      </c>
      <c r="G2719" s="188" t="s">
        <v>1432</v>
      </c>
      <c r="H2719" s="377"/>
      <c r="I2719" s="188" t="s">
        <v>1433</v>
      </c>
      <c r="J2719" s="381"/>
      <c r="K2719" s="173" t="s">
        <v>233</v>
      </c>
      <c r="L2719" s="173" t="s">
        <v>233</v>
      </c>
      <c r="M2719" s="376">
        <v>6567</v>
      </c>
      <c r="N2719" s="376">
        <v>5913</v>
      </c>
      <c r="O2719" s="376">
        <v>507</v>
      </c>
      <c r="P2719" s="376" t="s">
        <v>252</v>
      </c>
      <c r="Q2719" s="376">
        <v>626</v>
      </c>
      <c r="R2719" s="376" t="s">
        <v>252</v>
      </c>
      <c r="S2719" s="376">
        <v>468</v>
      </c>
      <c r="T2719" s="376" t="s">
        <v>252</v>
      </c>
      <c r="U2719" s="376">
        <v>443</v>
      </c>
      <c r="V2719" s="376" t="s">
        <v>252</v>
      </c>
      <c r="W2719" s="376">
        <v>376</v>
      </c>
      <c r="X2719" s="376" t="s">
        <v>252</v>
      </c>
      <c r="Y2719" s="376">
        <v>404</v>
      </c>
      <c r="Z2719" s="376" t="s">
        <v>252</v>
      </c>
      <c r="AA2719" s="376">
        <v>398</v>
      </c>
      <c r="AB2719" s="376" t="s">
        <v>252</v>
      </c>
      <c r="AC2719" s="376">
        <v>360</v>
      </c>
      <c r="AD2719" s="376" t="s">
        <v>252</v>
      </c>
      <c r="AE2719" s="376">
        <v>382</v>
      </c>
      <c r="AF2719" s="376" t="s">
        <v>252</v>
      </c>
      <c r="AG2719" s="376">
        <v>393</v>
      </c>
      <c r="AH2719" s="376" t="s">
        <v>252</v>
      </c>
      <c r="AI2719" s="376">
        <v>436</v>
      </c>
      <c r="AJ2719" s="376" t="s">
        <v>252</v>
      </c>
      <c r="AK2719" s="376">
        <v>520</v>
      </c>
      <c r="AL2719" s="376" t="s">
        <v>252</v>
      </c>
      <c r="AM2719" s="376">
        <f>O2719+Q2719+S2719++U2719+W2719+Y2719+AA2719+AC2719+AE2719+AG2719+AI2719+AK2719</f>
        <v>5313</v>
      </c>
    </row>
    <row r="2720" spans="2:39" s="3" customFormat="1" ht="15.75" outlineLevel="1">
      <c r="B2720" s="178" t="s">
        <v>1374</v>
      </c>
      <c r="C2720" s="218" t="s">
        <v>1489</v>
      </c>
      <c r="D2720" s="219" t="s">
        <v>1403</v>
      </c>
      <c r="E2720" s="383"/>
      <c r="F2720" s="385"/>
      <c r="G2720" s="188" t="s">
        <v>1432</v>
      </c>
      <c r="H2720" s="378"/>
      <c r="I2720" s="188" t="s">
        <v>1433</v>
      </c>
      <c r="J2720" s="380"/>
      <c r="K2720" s="173" t="s">
        <v>233</v>
      </c>
      <c r="L2720" s="173" t="s">
        <v>233</v>
      </c>
      <c r="M2720" s="378"/>
      <c r="N2720" s="378"/>
      <c r="O2720" s="378"/>
      <c r="P2720" s="378"/>
      <c r="Q2720" s="378"/>
      <c r="R2720" s="378"/>
      <c r="S2720" s="378"/>
      <c r="T2720" s="378"/>
      <c r="U2720" s="378"/>
      <c r="V2720" s="378"/>
      <c r="W2720" s="378"/>
      <c r="X2720" s="378"/>
      <c r="Y2720" s="378"/>
      <c r="Z2720" s="378"/>
      <c r="AA2720" s="378"/>
      <c r="AB2720" s="378"/>
      <c r="AC2720" s="378"/>
      <c r="AD2720" s="378"/>
      <c r="AE2720" s="378"/>
      <c r="AF2720" s="378"/>
      <c r="AG2720" s="378"/>
      <c r="AH2720" s="378"/>
      <c r="AI2720" s="378"/>
      <c r="AJ2720" s="378"/>
      <c r="AK2720" s="378"/>
      <c r="AL2720" s="378"/>
      <c r="AM2720" s="378"/>
    </row>
    <row r="2721" spans="2:39" s="3" customFormat="1" ht="15.75" outlineLevel="1">
      <c r="B2721" s="178" t="s">
        <v>1375</v>
      </c>
      <c r="C2721" s="218" t="s">
        <v>1489</v>
      </c>
      <c r="D2721" s="219" t="s">
        <v>1403</v>
      </c>
      <c r="E2721" s="23" t="s">
        <v>44</v>
      </c>
      <c r="F2721" s="93" t="s">
        <v>45</v>
      </c>
      <c r="G2721" s="188" t="s">
        <v>1432</v>
      </c>
      <c r="H2721" s="376">
        <v>84</v>
      </c>
      <c r="I2721" s="188" t="s">
        <v>1433</v>
      </c>
      <c r="J2721" s="379" t="s">
        <v>1479</v>
      </c>
      <c r="K2721" s="173" t="s">
        <v>233</v>
      </c>
      <c r="L2721" s="173" t="s">
        <v>233</v>
      </c>
      <c r="M2721" s="376">
        <v>6263</v>
      </c>
      <c r="N2721" s="376">
        <v>6031</v>
      </c>
      <c r="O2721" s="376">
        <v>1049</v>
      </c>
      <c r="P2721" s="376" t="s">
        <v>252</v>
      </c>
      <c r="Q2721" s="376">
        <v>1239</v>
      </c>
      <c r="R2721" s="376" t="s">
        <v>252</v>
      </c>
      <c r="S2721" s="376">
        <v>855</v>
      </c>
      <c r="T2721" s="376" t="s">
        <v>252</v>
      </c>
      <c r="U2721" s="376">
        <v>669</v>
      </c>
      <c r="V2721" s="376" t="s">
        <v>252</v>
      </c>
      <c r="W2721" s="376">
        <v>610</v>
      </c>
      <c r="X2721" s="376" t="s">
        <v>252</v>
      </c>
      <c r="Y2721" s="376">
        <v>585</v>
      </c>
      <c r="Z2721" s="376" t="s">
        <v>252</v>
      </c>
      <c r="AA2721" s="376">
        <v>37</v>
      </c>
      <c r="AB2721" s="376" t="s">
        <v>252</v>
      </c>
      <c r="AC2721" s="376">
        <v>548</v>
      </c>
      <c r="AD2721" s="376" t="s">
        <v>252</v>
      </c>
      <c r="AE2721" s="376">
        <v>1057</v>
      </c>
      <c r="AF2721" s="376" t="s">
        <v>252</v>
      </c>
      <c r="AG2721" s="376">
        <v>933</v>
      </c>
      <c r="AH2721" s="376" t="s">
        <v>252</v>
      </c>
      <c r="AI2721" s="376">
        <v>1007</v>
      </c>
      <c r="AJ2721" s="376" t="s">
        <v>252</v>
      </c>
      <c r="AK2721" s="376">
        <v>1174</v>
      </c>
      <c r="AL2721" s="376" t="s">
        <v>252</v>
      </c>
      <c r="AM2721" s="376">
        <f>O2721+Q2721+S2721+U2721+W2721+Y2721+AA2721+AC2721+AE2721+AG2721+AI2721+AK2721</f>
        <v>9763</v>
      </c>
    </row>
    <row r="2722" spans="2:39" s="3" customFormat="1" ht="15.75" outlineLevel="1">
      <c r="B2722" s="178" t="s">
        <v>1376</v>
      </c>
      <c r="C2722" s="218" t="s">
        <v>1489</v>
      </c>
      <c r="D2722" s="219" t="s">
        <v>1403</v>
      </c>
      <c r="E2722" s="23" t="s">
        <v>44</v>
      </c>
      <c r="F2722" s="93" t="s">
        <v>45</v>
      </c>
      <c r="G2722" s="188" t="s">
        <v>1432</v>
      </c>
      <c r="H2722" s="377"/>
      <c r="I2722" s="188" t="s">
        <v>1433</v>
      </c>
      <c r="J2722" s="381"/>
      <c r="K2722" s="173" t="s">
        <v>233</v>
      </c>
      <c r="L2722" s="173" t="s">
        <v>233</v>
      </c>
      <c r="M2722" s="377"/>
      <c r="N2722" s="377"/>
      <c r="O2722" s="377"/>
      <c r="P2722" s="377"/>
      <c r="Q2722" s="377"/>
      <c r="R2722" s="377"/>
      <c r="S2722" s="377"/>
      <c r="T2722" s="377"/>
      <c r="U2722" s="377"/>
      <c r="V2722" s="377"/>
      <c r="W2722" s="377"/>
      <c r="X2722" s="377"/>
      <c r="Y2722" s="377"/>
      <c r="Z2722" s="377"/>
      <c r="AA2722" s="377"/>
      <c r="AB2722" s="377"/>
      <c r="AC2722" s="377"/>
      <c r="AD2722" s="377"/>
      <c r="AE2722" s="377"/>
      <c r="AF2722" s="377"/>
      <c r="AG2722" s="377"/>
      <c r="AH2722" s="377"/>
      <c r="AI2722" s="377"/>
      <c r="AJ2722" s="377"/>
      <c r="AK2722" s="377"/>
      <c r="AL2722" s="377"/>
      <c r="AM2722" s="377"/>
    </row>
    <row r="2723" spans="2:39" s="3" customFormat="1" ht="15.75" outlineLevel="1">
      <c r="B2723" s="178" t="s">
        <v>1377</v>
      </c>
      <c r="C2723" s="218" t="s">
        <v>1489</v>
      </c>
      <c r="D2723" s="219" t="s">
        <v>1403</v>
      </c>
      <c r="E2723" s="23" t="s">
        <v>44</v>
      </c>
      <c r="F2723" s="93" t="s">
        <v>45</v>
      </c>
      <c r="G2723" s="188" t="s">
        <v>1432</v>
      </c>
      <c r="H2723" s="378"/>
      <c r="I2723" s="188" t="s">
        <v>1433</v>
      </c>
      <c r="J2723" s="380"/>
      <c r="K2723" s="173" t="s">
        <v>233</v>
      </c>
      <c r="L2723" s="173" t="s">
        <v>233</v>
      </c>
      <c r="M2723" s="378"/>
      <c r="N2723" s="378"/>
      <c r="O2723" s="378"/>
      <c r="P2723" s="378"/>
      <c r="Q2723" s="378"/>
      <c r="R2723" s="378"/>
      <c r="S2723" s="378"/>
      <c r="T2723" s="378"/>
      <c r="U2723" s="378"/>
      <c r="V2723" s="378"/>
      <c r="W2723" s="378"/>
      <c r="X2723" s="378"/>
      <c r="Y2723" s="378"/>
      <c r="Z2723" s="378"/>
      <c r="AA2723" s="378"/>
      <c r="AB2723" s="378"/>
      <c r="AC2723" s="378"/>
      <c r="AD2723" s="378"/>
      <c r="AE2723" s="378"/>
      <c r="AF2723" s="378"/>
      <c r="AG2723" s="378"/>
      <c r="AH2723" s="378"/>
      <c r="AI2723" s="378"/>
      <c r="AJ2723" s="378"/>
      <c r="AK2723" s="378"/>
      <c r="AL2723" s="378"/>
      <c r="AM2723" s="378"/>
    </row>
    <row r="2724" spans="2:39" s="3" customFormat="1" ht="15.75" outlineLevel="1">
      <c r="B2724" s="178" t="s">
        <v>1378</v>
      </c>
      <c r="C2724" s="218" t="s">
        <v>1489</v>
      </c>
      <c r="D2724" s="219" t="s">
        <v>1403</v>
      </c>
      <c r="E2724" s="23" t="s">
        <v>44</v>
      </c>
      <c r="F2724" s="93" t="s">
        <v>45</v>
      </c>
      <c r="G2724" s="188" t="s">
        <v>1432</v>
      </c>
      <c r="H2724" s="194">
        <v>62</v>
      </c>
      <c r="I2724" s="188" t="s">
        <v>1433</v>
      </c>
      <c r="J2724" s="220" t="s">
        <v>1441</v>
      </c>
      <c r="K2724" s="173" t="s">
        <v>233</v>
      </c>
      <c r="L2724" s="173" t="s">
        <v>233</v>
      </c>
      <c r="M2724" s="194">
        <v>2696</v>
      </c>
      <c r="N2724" s="194">
        <v>2501</v>
      </c>
      <c r="O2724" s="194">
        <v>530</v>
      </c>
      <c r="P2724" s="194" t="s">
        <v>252</v>
      </c>
      <c r="Q2724" s="194">
        <v>711</v>
      </c>
      <c r="R2724" s="194" t="s">
        <v>252</v>
      </c>
      <c r="S2724" s="194">
        <v>390</v>
      </c>
      <c r="T2724" s="194" t="s">
        <v>252</v>
      </c>
      <c r="U2724" s="194">
        <v>471</v>
      </c>
      <c r="V2724" s="194" t="s">
        <v>252</v>
      </c>
      <c r="W2724" s="194">
        <v>401</v>
      </c>
      <c r="X2724" s="194" t="s">
        <v>252</v>
      </c>
      <c r="Y2724" s="194">
        <v>377</v>
      </c>
      <c r="Z2724" s="194" t="s">
        <v>252</v>
      </c>
      <c r="AA2724" s="194">
        <v>394</v>
      </c>
      <c r="AB2724" s="194" t="s">
        <v>252</v>
      </c>
      <c r="AC2724" s="194">
        <v>402</v>
      </c>
      <c r="AD2724" s="194" t="s">
        <v>252</v>
      </c>
      <c r="AE2724" s="194">
        <v>840</v>
      </c>
      <c r="AF2724" s="194" t="s">
        <v>252</v>
      </c>
      <c r="AG2724" s="194">
        <v>575</v>
      </c>
      <c r="AH2724" s="194" t="s">
        <v>252</v>
      </c>
      <c r="AI2724" s="194">
        <v>569</v>
      </c>
      <c r="AJ2724" s="194" t="s">
        <v>252</v>
      </c>
      <c r="AK2724" s="194">
        <v>769</v>
      </c>
      <c r="AL2724" s="194" t="s">
        <v>252</v>
      </c>
      <c r="AM2724" s="194">
        <f t="shared" ref="AM2724:AM2734" si="30">O2724+Q2724+S2724+U2724+W2724+Y2724+AA2724+AC2724+AE2724+AG2724+AI2724+AK2724</f>
        <v>6429</v>
      </c>
    </row>
    <row r="2725" spans="2:39" s="3" customFormat="1" ht="15.75" outlineLevel="1">
      <c r="B2725" s="178" t="s">
        <v>1379</v>
      </c>
      <c r="C2725" s="218" t="s">
        <v>1489</v>
      </c>
      <c r="D2725" s="219" t="s">
        <v>1403</v>
      </c>
      <c r="E2725" s="23" t="s">
        <v>44</v>
      </c>
      <c r="F2725" s="93" t="s">
        <v>45</v>
      </c>
      <c r="G2725" s="188" t="s">
        <v>1432</v>
      </c>
      <c r="H2725" s="376">
        <v>95</v>
      </c>
      <c r="I2725" s="188" t="s">
        <v>1433</v>
      </c>
      <c r="J2725" s="379" t="s">
        <v>1451</v>
      </c>
      <c r="K2725" s="173" t="s">
        <v>233</v>
      </c>
      <c r="L2725" s="173" t="s">
        <v>233</v>
      </c>
      <c r="M2725" s="376">
        <v>3817</v>
      </c>
      <c r="N2725" s="376">
        <v>3192</v>
      </c>
      <c r="O2725" s="376">
        <v>409</v>
      </c>
      <c r="P2725" s="376" t="s">
        <v>252</v>
      </c>
      <c r="Q2725" s="376">
        <v>399</v>
      </c>
      <c r="R2725" s="376" t="s">
        <v>252</v>
      </c>
      <c r="S2725" s="376">
        <v>284</v>
      </c>
      <c r="T2725" s="376" t="s">
        <v>252</v>
      </c>
      <c r="U2725" s="376">
        <v>267</v>
      </c>
      <c r="V2725" s="376" t="s">
        <v>252</v>
      </c>
      <c r="W2725" s="376">
        <v>159</v>
      </c>
      <c r="X2725" s="376" t="s">
        <v>252</v>
      </c>
      <c r="Y2725" s="376">
        <v>180</v>
      </c>
      <c r="Z2725" s="376" t="s">
        <v>252</v>
      </c>
      <c r="AA2725" s="376">
        <v>117</v>
      </c>
      <c r="AB2725" s="376" t="s">
        <v>252</v>
      </c>
      <c r="AC2725" s="376">
        <v>160</v>
      </c>
      <c r="AD2725" s="376" t="s">
        <v>252</v>
      </c>
      <c r="AE2725" s="376">
        <v>283</v>
      </c>
      <c r="AF2725" s="376" t="s">
        <v>252</v>
      </c>
      <c r="AG2725" s="376">
        <v>359</v>
      </c>
      <c r="AH2725" s="376" t="s">
        <v>252</v>
      </c>
      <c r="AI2725" s="376">
        <v>476</v>
      </c>
      <c r="AJ2725" s="376" t="s">
        <v>252</v>
      </c>
      <c r="AK2725" s="376">
        <v>414</v>
      </c>
      <c r="AL2725" s="376" t="s">
        <v>252</v>
      </c>
      <c r="AM2725" s="376">
        <f t="shared" si="30"/>
        <v>3507</v>
      </c>
    </row>
    <row r="2726" spans="2:39" s="3" customFormat="1" ht="15.75" outlineLevel="1">
      <c r="B2726" s="178" t="s">
        <v>1380</v>
      </c>
      <c r="C2726" s="218" t="s">
        <v>1489</v>
      </c>
      <c r="D2726" s="219" t="s">
        <v>1403</v>
      </c>
      <c r="E2726" s="23" t="s">
        <v>44</v>
      </c>
      <c r="F2726" s="93" t="s">
        <v>45</v>
      </c>
      <c r="G2726" s="188" t="s">
        <v>1432</v>
      </c>
      <c r="H2726" s="377"/>
      <c r="I2726" s="188" t="s">
        <v>1433</v>
      </c>
      <c r="J2726" s="381"/>
      <c r="K2726" s="173" t="s">
        <v>233</v>
      </c>
      <c r="L2726" s="173" t="s">
        <v>233</v>
      </c>
      <c r="M2726" s="377"/>
      <c r="N2726" s="377"/>
      <c r="O2726" s="377"/>
      <c r="P2726" s="377"/>
      <c r="Q2726" s="377"/>
      <c r="R2726" s="377"/>
      <c r="S2726" s="377"/>
      <c r="T2726" s="377"/>
      <c r="U2726" s="377"/>
      <c r="V2726" s="377"/>
      <c r="W2726" s="377"/>
      <c r="X2726" s="377"/>
      <c r="Y2726" s="377"/>
      <c r="Z2726" s="377"/>
      <c r="AA2726" s="377"/>
      <c r="AB2726" s="377"/>
      <c r="AC2726" s="377"/>
      <c r="AD2726" s="377"/>
      <c r="AE2726" s="377"/>
      <c r="AF2726" s="377"/>
      <c r="AG2726" s="377"/>
      <c r="AH2726" s="377"/>
      <c r="AI2726" s="377"/>
      <c r="AJ2726" s="377"/>
      <c r="AK2726" s="377"/>
      <c r="AL2726" s="377"/>
      <c r="AM2726" s="377"/>
    </row>
    <row r="2727" spans="2:39" s="3" customFormat="1" ht="15.75" outlineLevel="1">
      <c r="B2727" s="178" t="s">
        <v>1381</v>
      </c>
      <c r="C2727" s="218" t="s">
        <v>1489</v>
      </c>
      <c r="D2727" s="219" t="s">
        <v>1403</v>
      </c>
      <c r="E2727" s="23" t="s">
        <v>44</v>
      </c>
      <c r="F2727" s="93" t="s">
        <v>45</v>
      </c>
      <c r="G2727" s="188" t="s">
        <v>1432</v>
      </c>
      <c r="H2727" s="377"/>
      <c r="I2727" s="188" t="s">
        <v>1433</v>
      </c>
      <c r="J2727" s="381"/>
      <c r="K2727" s="173" t="s">
        <v>233</v>
      </c>
      <c r="L2727" s="173" t="s">
        <v>233</v>
      </c>
      <c r="M2727" s="377"/>
      <c r="N2727" s="377"/>
      <c r="O2727" s="377"/>
      <c r="P2727" s="377"/>
      <c r="Q2727" s="377"/>
      <c r="R2727" s="377"/>
      <c r="S2727" s="377"/>
      <c r="T2727" s="377"/>
      <c r="U2727" s="377"/>
      <c r="V2727" s="377"/>
      <c r="W2727" s="377"/>
      <c r="X2727" s="377"/>
      <c r="Y2727" s="377"/>
      <c r="Z2727" s="377"/>
      <c r="AA2727" s="377"/>
      <c r="AB2727" s="377"/>
      <c r="AC2727" s="377"/>
      <c r="AD2727" s="377"/>
      <c r="AE2727" s="377"/>
      <c r="AF2727" s="377"/>
      <c r="AG2727" s="377"/>
      <c r="AH2727" s="377"/>
      <c r="AI2727" s="377"/>
      <c r="AJ2727" s="377"/>
      <c r="AK2727" s="377"/>
      <c r="AL2727" s="377"/>
      <c r="AM2727" s="377"/>
    </row>
    <row r="2728" spans="2:39" s="3" customFormat="1" ht="15.75" outlineLevel="1">
      <c r="B2728" s="178" t="s">
        <v>1382</v>
      </c>
      <c r="C2728" s="218" t="s">
        <v>1489</v>
      </c>
      <c r="D2728" s="219" t="s">
        <v>1403</v>
      </c>
      <c r="E2728" s="23" t="s">
        <v>44</v>
      </c>
      <c r="F2728" s="222" t="s">
        <v>45</v>
      </c>
      <c r="G2728" s="188" t="s">
        <v>1432</v>
      </c>
      <c r="H2728" s="378"/>
      <c r="I2728" s="188" t="s">
        <v>1433</v>
      </c>
      <c r="J2728" s="380"/>
      <c r="K2728" s="173" t="s">
        <v>233</v>
      </c>
      <c r="L2728" s="173" t="s">
        <v>233</v>
      </c>
      <c r="M2728" s="378"/>
      <c r="N2728" s="378"/>
      <c r="O2728" s="378"/>
      <c r="P2728" s="378"/>
      <c r="Q2728" s="378"/>
      <c r="R2728" s="378"/>
      <c r="S2728" s="378"/>
      <c r="T2728" s="378"/>
      <c r="U2728" s="378"/>
      <c r="V2728" s="378"/>
      <c r="W2728" s="378"/>
      <c r="X2728" s="378"/>
      <c r="Y2728" s="378"/>
      <c r="Z2728" s="378"/>
      <c r="AA2728" s="378"/>
      <c r="AB2728" s="378"/>
      <c r="AC2728" s="378"/>
      <c r="AD2728" s="378"/>
      <c r="AE2728" s="378"/>
      <c r="AF2728" s="378"/>
      <c r="AG2728" s="378"/>
      <c r="AH2728" s="378"/>
      <c r="AI2728" s="378"/>
      <c r="AJ2728" s="378"/>
      <c r="AK2728" s="378"/>
      <c r="AL2728" s="378"/>
      <c r="AM2728" s="378"/>
    </row>
    <row r="2729" spans="2:39" s="3" customFormat="1" ht="15.75" outlineLevel="1">
      <c r="B2729" s="178" t="s">
        <v>1383</v>
      </c>
      <c r="C2729" s="218" t="s">
        <v>1489</v>
      </c>
      <c r="D2729" s="219" t="s">
        <v>1403</v>
      </c>
      <c r="E2729" s="221" t="s">
        <v>138</v>
      </c>
      <c r="F2729" s="222" t="s">
        <v>45</v>
      </c>
      <c r="G2729" s="188" t="s">
        <v>1432</v>
      </c>
      <c r="H2729" s="376">
        <v>69</v>
      </c>
      <c r="I2729" s="188" t="s">
        <v>1433</v>
      </c>
      <c r="J2729" s="379" t="s">
        <v>1440</v>
      </c>
      <c r="K2729" s="173" t="s">
        <v>233</v>
      </c>
      <c r="L2729" s="173" t="s">
        <v>233</v>
      </c>
      <c r="M2729" s="194">
        <v>7523</v>
      </c>
      <c r="N2729" s="194">
        <v>7204</v>
      </c>
      <c r="O2729" s="194">
        <v>303</v>
      </c>
      <c r="P2729" s="194" t="s">
        <v>252</v>
      </c>
      <c r="Q2729" s="194">
        <v>388</v>
      </c>
      <c r="R2729" s="194" t="s">
        <v>252</v>
      </c>
      <c r="S2729" s="194">
        <v>266</v>
      </c>
      <c r="T2729" s="194" t="s">
        <v>252</v>
      </c>
      <c r="U2729" s="194">
        <v>319</v>
      </c>
      <c r="V2729" s="194" t="s">
        <v>252</v>
      </c>
      <c r="W2729" s="194">
        <v>306</v>
      </c>
      <c r="X2729" s="194" t="s">
        <v>252</v>
      </c>
      <c r="Y2729" s="194">
        <v>356</v>
      </c>
      <c r="Z2729" s="194" t="s">
        <v>252</v>
      </c>
      <c r="AA2729" s="194">
        <v>305</v>
      </c>
      <c r="AB2729" s="194" t="s">
        <v>252</v>
      </c>
      <c r="AC2729" s="194">
        <v>310</v>
      </c>
      <c r="AD2729" s="194" t="s">
        <v>252</v>
      </c>
      <c r="AE2729" s="194">
        <v>361</v>
      </c>
      <c r="AF2729" s="194" t="s">
        <v>252</v>
      </c>
      <c r="AG2729" s="194">
        <v>236</v>
      </c>
      <c r="AH2729" s="194" t="s">
        <v>252</v>
      </c>
      <c r="AI2729" s="194">
        <v>417</v>
      </c>
      <c r="AJ2729" s="194" t="s">
        <v>252</v>
      </c>
      <c r="AK2729" s="194">
        <v>363</v>
      </c>
      <c r="AL2729" s="194" t="s">
        <v>252</v>
      </c>
      <c r="AM2729" s="194">
        <f t="shared" si="30"/>
        <v>3930</v>
      </c>
    </row>
    <row r="2730" spans="2:39" s="3" customFormat="1" ht="15.75" outlineLevel="1">
      <c r="B2730" s="178" t="s">
        <v>1383</v>
      </c>
      <c r="C2730" s="218" t="s">
        <v>1489</v>
      </c>
      <c r="D2730" s="219" t="s">
        <v>1403</v>
      </c>
      <c r="E2730" s="23" t="s">
        <v>44</v>
      </c>
      <c r="F2730" s="93" t="s">
        <v>45</v>
      </c>
      <c r="G2730" s="188" t="s">
        <v>1432</v>
      </c>
      <c r="H2730" s="378"/>
      <c r="I2730" s="188" t="s">
        <v>1433</v>
      </c>
      <c r="J2730" s="380"/>
      <c r="K2730" s="173" t="s">
        <v>233</v>
      </c>
      <c r="L2730" s="173" t="s">
        <v>233</v>
      </c>
      <c r="M2730" s="194">
        <v>15901</v>
      </c>
      <c r="N2730" s="194">
        <v>15101</v>
      </c>
      <c r="O2730" s="194">
        <v>988</v>
      </c>
      <c r="P2730" s="194" t="s">
        <v>252</v>
      </c>
      <c r="Q2730" s="194">
        <v>1285</v>
      </c>
      <c r="R2730" s="194" t="s">
        <v>252</v>
      </c>
      <c r="S2730" s="194">
        <v>1023</v>
      </c>
      <c r="T2730" s="194" t="s">
        <v>252</v>
      </c>
      <c r="U2730" s="194">
        <v>990</v>
      </c>
      <c r="V2730" s="194" t="s">
        <v>252</v>
      </c>
      <c r="W2730" s="194">
        <v>799</v>
      </c>
      <c r="X2730" s="194" t="s">
        <v>252</v>
      </c>
      <c r="Y2730" s="194">
        <v>936</v>
      </c>
      <c r="Z2730" s="194" t="s">
        <v>252</v>
      </c>
      <c r="AA2730" s="194">
        <v>619</v>
      </c>
      <c r="AB2730" s="194" t="s">
        <v>252</v>
      </c>
      <c r="AC2730" s="194">
        <v>724</v>
      </c>
      <c r="AD2730" s="194" t="s">
        <v>252</v>
      </c>
      <c r="AE2730" s="194">
        <v>1057</v>
      </c>
      <c r="AF2730" s="194" t="s">
        <v>252</v>
      </c>
      <c r="AG2730" s="194">
        <v>834</v>
      </c>
      <c r="AH2730" s="194" t="s">
        <v>252</v>
      </c>
      <c r="AI2730" s="194">
        <v>1427</v>
      </c>
      <c r="AJ2730" s="194" t="s">
        <v>252</v>
      </c>
      <c r="AK2730" s="194">
        <v>1272</v>
      </c>
      <c r="AL2730" s="194" t="s">
        <v>252</v>
      </c>
      <c r="AM2730" s="194">
        <f t="shared" si="30"/>
        <v>11954</v>
      </c>
    </row>
    <row r="2731" spans="2:39" s="3" customFormat="1" ht="15.75" outlineLevel="1">
      <c r="B2731" s="178" t="s">
        <v>1384</v>
      </c>
      <c r="C2731" s="218" t="s">
        <v>1489</v>
      </c>
      <c r="D2731" s="219" t="s">
        <v>1403</v>
      </c>
      <c r="E2731" s="23" t="s">
        <v>44</v>
      </c>
      <c r="F2731" s="93" t="s">
        <v>45</v>
      </c>
      <c r="G2731" s="188" t="s">
        <v>1432</v>
      </c>
      <c r="H2731" s="194">
        <v>72</v>
      </c>
      <c r="I2731" s="188" t="s">
        <v>1433</v>
      </c>
      <c r="J2731" s="220" t="s">
        <v>1441</v>
      </c>
      <c r="K2731" s="173" t="s">
        <v>233</v>
      </c>
      <c r="L2731" s="173" t="s">
        <v>233</v>
      </c>
      <c r="M2731" s="194">
        <v>4532</v>
      </c>
      <c r="N2731" s="194">
        <v>5110</v>
      </c>
      <c r="O2731" s="194">
        <v>699</v>
      </c>
      <c r="P2731" s="194" t="s">
        <v>252</v>
      </c>
      <c r="Q2731" s="194">
        <v>469</v>
      </c>
      <c r="R2731" s="194" t="s">
        <v>252</v>
      </c>
      <c r="S2731" s="194">
        <v>320</v>
      </c>
      <c r="T2731" s="194" t="s">
        <v>252</v>
      </c>
      <c r="U2731" s="194">
        <v>293</v>
      </c>
      <c r="V2731" s="194" t="s">
        <v>252</v>
      </c>
      <c r="W2731" s="194">
        <v>231</v>
      </c>
      <c r="X2731" s="194" t="s">
        <v>252</v>
      </c>
      <c r="Y2731" s="194">
        <v>222</v>
      </c>
      <c r="Z2731" s="194" t="s">
        <v>252</v>
      </c>
      <c r="AA2731" s="194">
        <v>162</v>
      </c>
      <c r="AB2731" s="194" t="s">
        <v>252</v>
      </c>
      <c r="AC2731" s="194">
        <v>216</v>
      </c>
      <c r="AD2731" s="194" t="s">
        <v>252</v>
      </c>
      <c r="AE2731" s="194">
        <v>412</v>
      </c>
      <c r="AF2731" s="194" t="s">
        <v>252</v>
      </c>
      <c r="AG2731" s="194">
        <v>143</v>
      </c>
      <c r="AH2731" s="194" t="s">
        <v>252</v>
      </c>
      <c r="AI2731" s="194">
        <v>768</v>
      </c>
      <c r="AJ2731" s="194" t="s">
        <v>252</v>
      </c>
      <c r="AK2731" s="194">
        <v>994</v>
      </c>
      <c r="AL2731" s="194" t="s">
        <v>252</v>
      </c>
      <c r="AM2731" s="194">
        <f t="shared" si="30"/>
        <v>4929</v>
      </c>
    </row>
    <row r="2732" spans="2:39" s="3" customFormat="1" ht="15.75" outlineLevel="1">
      <c r="B2732" s="178" t="s">
        <v>1385</v>
      </c>
      <c r="C2732" s="218" t="s">
        <v>1489</v>
      </c>
      <c r="D2732" s="219" t="s">
        <v>1403</v>
      </c>
      <c r="E2732" s="23" t="s">
        <v>44</v>
      </c>
      <c r="F2732" s="93" t="s">
        <v>45</v>
      </c>
      <c r="G2732" s="188" t="s">
        <v>1432</v>
      </c>
      <c r="H2732" s="194">
        <v>58</v>
      </c>
      <c r="I2732" s="188" t="s">
        <v>1433</v>
      </c>
      <c r="J2732" s="220" t="s">
        <v>196</v>
      </c>
      <c r="K2732" s="173" t="s">
        <v>233</v>
      </c>
      <c r="L2732" s="173" t="s">
        <v>233</v>
      </c>
      <c r="M2732" s="194">
        <v>10380</v>
      </c>
      <c r="N2732" s="194">
        <v>8754</v>
      </c>
      <c r="O2732" s="194">
        <v>859</v>
      </c>
      <c r="P2732" s="194" t="s">
        <v>252</v>
      </c>
      <c r="Q2732" s="194">
        <v>876</v>
      </c>
      <c r="R2732" s="194" t="s">
        <v>252</v>
      </c>
      <c r="S2732" s="194">
        <v>663</v>
      </c>
      <c r="T2732" s="194" t="s">
        <v>252</v>
      </c>
      <c r="U2732" s="194">
        <v>696</v>
      </c>
      <c r="V2732" s="194" t="s">
        <v>252</v>
      </c>
      <c r="W2732" s="194">
        <v>660</v>
      </c>
      <c r="X2732" s="194" t="s">
        <v>252</v>
      </c>
      <c r="Y2732" s="194">
        <v>755</v>
      </c>
      <c r="Z2732" s="194" t="s">
        <v>252</v>
      </c>
      <c r="AA2732" s="194">
        <v>511</v>
      </c>
      <c r="AB2732" s="194" t="s">
        <v>252</v>
      </c>
      <c r="AC2732" s="194">
        <v>603</v>
      </c>
      <c r="AD2732" s="194" t="s">
        <v>252</v>
      </c>
      <c r="AE2732" s="194">
        <v>796</v>
      </c>
      <c r="AF2732" s="194" t="s">
        <v>252</v>
      </c>
      <c r="AG2732" s="194">
        <v>615</v>
      </c>
      <c r="AH2732" s="194" t="s">
        <v>252</v>
      </c>
      <c r="AI2732" s="194">
        <v>1107</v>
      </c>
      <c r="AJ2732" s="194" t="s">
        <v>252</v>
      </c>
      <c r="AK2732" s="194">
        <v>979</v>
      </c>
      <c r="AL2732" s="194" t="s">
        <v>252</v>
      </c>
      <c r="AM2732" s="194">
        <f t="shared" si="30"/>
        <v>9120</v>
      </c>
    </row>
    <row r="2733" spans="2:39" s="3" customFormat="1" ht="15.75" outlineLevel="1">
      <c r="B2733" s="178" t="s">
        <v>1386</v>
      </c>
      <c r="C2733" s="218" t="s">
        <v>1489</v>
      </c>
      <c r="D2733" s="219" t="s">
        <v>1403</v>
      </c>
      <c r="E2733" s="23" t="s">
        <v>44</v>
      </c>
      <c r="F2733" s="93" t="s">
        <v>45</v>
      </c>
      <c r="G2733" s="188" t="s">
        <v>1432</v>
      </c>
      <c r="H2733" s="194">
        <v>48</v>
      </c>
      <c r="I2733" s="188" t="s">
        <v>1433</v>
      </c>
      <c r="J2733" s="220" t="s">
        <v>1464</v>
      </c>
      <c r="K2733" s="173" t="s">
        <v>233</v>
      </c>
      <c r="L2733" s="173" t="s">
        <v>233</v>
      </c>
      <c r="M2733" s="194">
        <v>6480</v>
      </c>
      <c r="N2733" s="194">
        <v>2423</v>
      </c>
      <c r="O2733" s="194">
        <v>264</v>
      </c>
      <c r="P2733" s="194" t="s">
        <v>252</v>
      </c>
      <c r="Q2733" s="194">
        <v>218</v>
      </c>
      <c r="R2733" s="194" t="s">
        <v>252</v>
      </c>
      <c r="S2733" s="194">
        <v>156</v>
      </c>
      <c r="T2733" s="194" t="s">
        <v>252</v>
      </c>
      <c r="U2733" s="194">
        <v>181</v>
      </c>
      <c r="V2733" s="194" t="s">
        <v>252</v>
      </c>
      <c r="W2733" s="194">
        <v>139</v>
      </c>
      <c r="X2733" s="194" t="s">
        <v>252</v>
      </c>
      <c r="Y2733" s="194">
        <v>110</v>
      </c>
      <c r="Z2733" s="194" t="s">
        <v>252</v>
      </c>
      <c r="AA2733" s="194">
        <v>87</v>
      </c>
      <c r="AB2733" s="194" t="s">
        <v>252</v>
      </c>
      <c r="AC2733" s="194">
        <v>114</v>
      </c>
      <c r="AD2733" s="194" t="s">
        <v>252</v>
      </c>
      <c r="AE2733" s="194">
        <v>197</v>
      </c>
      <c r="AF2733" s="194" t="s">
        <v>252</v>
      </c>
      <c r="AG2733" s="194">
        <v>158</v>
      </c>
      <c r="AH2733" s="194" t="s">
        <v>252</v>
      </c>
      <c r="AI2733" s="194">
        <v>332</v>
      </c>
      <c r="AJ2733" s="194" t="s">
        <v>252</v>
      </c>
      <c r="AK2733" s="194">
        <v>239</v>
      </c>
      <c r="AL2733" s="194" t="s">
        <v>252</v>
      </c>
      <c r="AM2733" s="194">
        <f t="shared" si="30"/>
        <v>2195</v>
      </c>
    </row>
    <row r="2734" spans="2:39" s="3" customFormat="1" ht="15.75">
      <c r="B2734" s="178" t="s">
        <v>1387</v>
      </c>
      <c r="C2734" s="218" t="s">
        <v>1489</v>
      </c>
      <c r="D2734" s="219" t="s">
        <v>1403</v>
      </c>
      <c r="E2734" s="23" t="s">
        <v>44</v>
      </c>
      <c r="F2734" s="93" t="s">
        <v>45</v>
      </c>
      <c r="G2734" s="188" t="s">
        <v>1432</v>
      </c>
      <c r="H2734" s="376">
        <v>64</v>
      </c>
      <c r="I2734" s="188" t="s">
        <v>1433</v>
      </c>
      <c r="J2734" s="379" t="s">
        <v>1441</v>
      </c>
      <c r="K2734" s="173" t="s">
        <v>233</v>
      </c>
      <c r="L2734" s="173" t="s">
        <v>233</v>
      </c>
      <c r="M2734" s="376">
        <v>4246</v>
      </c>
      <c r="N2734" s="376">
        <v>4576</v>
      </c>
      <c r="O2734" s="376">
        <v>422</v>
      </c>
      <c r="P2734" s="376" t="s">
        <v>252</v>
      </c>
      <c r="Q2734" s="376">
        <v>478</v>
      </c>
      <c r="R2734" s="376" t="s">
        <v>252</v>
      </c>
      <c r="S2734" s="376">
        <v>382</v>
      </c>
      <c r="T2734" s="376" t="s">
        <v>252</v>
      </c>
      <c r="U2734" s="376">
        <v>439</v>
      </c>
      <c r="V2734" s="376" t="s">
        <v>252</v>
      </c>
      <c r="W2734" s="376">
        <v>412</v>
      </c>
      <c r="X2734" s="376" t="s">
        <v>252</v>
      </c>
      <c r="Y2734" s="376">
        <v>326</v>
      </c>
      <c r="Z2734" s="376" t="s">
        <v>252</v>
      </c>
      <c r="AA2734" s="376">
        <v>276</v>
      </c>
      <c r="AB2734" s="376" t="s">
        <v>252</v>
      </c>
      <c r="AC2734" s="376">
        <v>215</v>
      </c>
      <c r="AD2734" s="376" t="s">
        <v>252</v>
      </c>
      <c r="AE2734" s="376">
        <v>450</v>
      </c>
      <c r="AF2734" s="376" t="s">
        <v>252</v>
      </c>
      <c r="AG2734" s="376">
        <v>375</v>
      </c>
      <c r="AH2734" s="376" t="s">
        <v>252</v>
      </c>
      <c r="AI2734" s="376">
        <v>621</v>
      </c>
      <c r="AJ2734" s="376" t="s">
        <v>252</v>
      </c>
      <c r="AK2734" s="376">
        <v>550</v>
      </c>
      <c r="AL2734" s="376" t="s">
        <v>252</v>
      </c>
      <c r="AM2734" s="376">
        <f t="shared" si="30"/>
        <v>4946</v>
      </c>
    </row>
    <row r="2735" spans="2:39" s="3" customFormat="1" ht="15.75">
      <c r="B2735" s="178" t="s">
        <v>1388</v>
      </c>
      <c r="C2735" s="218" t="s">
        <v>1489</v>
      </c>
      <c r="D2735" s="219" t="s">
        <v>1403</v>
      </c>
      <c r="E2735" s="23" t="s">
        <v>44</v>
      </c>
      <c r="F2735" s="93" t="s">
        <v>45</v>
      </c>
      <c r="G2735" s="188" t="s">
        <v>1432</v>
      </c>
      <c r="H2735" s="377"/>
      <c r="I2735" s="188" t="s">
        <v>1433</v>
      </c>
      <c r="J2735" s="381"/>
      <c r="K2735" s="173" t="s">
        <v>233</v>
      </c>
      <c r="L2735" s="173" t="s">
        <v>233</v>
      </c>
      <c r="M2735" s="377"/>
      <c r="N2735" s="377"/>
      <c r="O2735" s="377"/>
      <c r="P2735" s="377"/>
      <c r="Q2735" s="377"/>
      <c r="R2735" s="377"/>
      <c r="S2735" s="377"/>
      <c r="T2735" s="377"/>
      <c r="U2735" s="377"/>
      <c r="V2735" s="377"/>
      <c r="W2735" s="377"/>
      <c r="X2735" s="377"/>
      <c r="Y2735" s="377"/>
      <c r="Z2735" s="377"/>
      <c r="AA2735" s="377"/>
      <c r="AB2735" s="377"/>
      <c r="AC2735" s="377"/>
      <c r="AD2735" s="377"/>
      <c r="AE2735" s="377"/>
      <c r="AF2735" s="377"/>
      <c r="AG2735" s="377"/>
      <c r="AH2735" s="377"/>
      <c r="AI2735" s="377"/>
      <c r="AJ2735" s="377"/>
      <c r="AK2735" s="377"/>
      <c r="AL2735" s="377"/>
      <c r="AM2735" s="377"/>
    </row>
    <row r="2736" spans="2:39" s="3" customFormat="1" ht="15.75">
      <c r="B2736" s="178" t="s">
        <v>1389</v>
      </c>
      <c r="C2736" s="218" t="s">
        <v>1489</v>
      </c>
      <c r="D2736" s="219" t="s">
        <v>1403</v>
      </c>
      <c r="E2736" s="23" t="s">
        <v>44</v>
      </c>
      <c r="F2736" s="227" t="s">
        <v>45</v>
      </c>
      <c r="G2736" s="188" t="s">
        <v>1432</v>
      </c>
      <c r="H2736" s="378"/>
      <c r="I2736" s="188" t="s">
        <v>1433</v>
      </c>
      <c r="J2736" s="380"/>
      <c r="K2736" s="173" t="s">
        <v>233</v>
      </c>
      <c r="L2736" s="173" t="s">
        <v>233</v>
      </c>
      <c r="M2736" s="378"/>
      <c r="N2736" s="378"/>
      <c r="O2736" s="378"/>
      <c r="P2736" s="378"/>
      <c r="Q2736" s="378"/>
      <c r="R2736" s="378"/>
      <c r="S2736" s="378"/>
      <c r="T2736" s="378"/>
      <c r="U2736" s="378"/>
      <c r="V2736" s="378"/>
      <c r="W2736" s="378"/>
      <c r="X2736" s="378"/>
      <c r="Y2736" s="378"/>
      <c r="Z2736" s="378"/>
      <c r="AA2736" s="378"/>
      <c r="AB2736" s="378"/>
      <c r="AC2736" s="378"/>
      <c r="AD2736" s="378"/>
      <c r="AE2736" s="378"/>
      <c r="AF2736" s="378"/>
      <c r="AG2736" s="378"/>
      <c r="AH2736" s="378"/>
      <c r="AI2736" s="378"/>
      <c r="AJ2736" s="378"/>
      <c r="AK2736" s="378"/>
      <c r="AL2736" s="378"/>
      <c r="AM2736" s="378"/>
    </row>
  </sheetData>
  <autoFilter ref="A10:AM2319">
    <filterColumn colId="3">
      <filters>
        <filter val="ЖКС №1"/>
      </filters>
    </filterColumn>
  </autoFilter>
  <mergeCells count="4066">
    <mergeCell ref="AL2317:AL2319"/>
    <mergeCell ref="AM2317:AM2319"/>
    <mergeCell ref="AC2317:AC2319"/>
    <mergeCell ref="AD2317:AD2319"/>
    <mergeCell ref="AE2317:AE2319"/>
    <mergeCell ref="AF2317:AF2319"/>
    <mergeCell ref="AG2317:AG2319"/>
    <mergeCell ref="AH2317:AH2319"/>
    <mergeCell ref="AI2317:AI2319"/>
    <mergeCell ref="AJ2317:AJ2319"/>
    <mergeCell ref="AK2317:AK2319"/>
    <mergeCell ref="AF2308:AF2311"/>
    <mergeCell ref="AG2308:AG2311"/>
    <mergeCell ref="AH2308:AH2311"/>
    <mergeCell ref="AI2308:AI2311"/>
    <mergeCell ref="AJ2308:AJ2311"/>
    <mergeCell ref="AK2308:AK2311"/>
    <mergeCell ref="AL2308:AL2311"/>
    <mergeCell ref="AM2308:AM2311"/>
    <mergeCell ref="M2317:M2319"/>
    <mergeCell ref="N2317:N2319"/>
    <mergeCell ref="O2317:O2319"/>
    <mergeCell ref="P2317:P2319"/>
    <mergeCell ref="Q2317:Q2319"/>
    <mergeCell ref="R2317:R2319"/>
    <mergeCell ref="S2317:S2319"/>
    <mergeCell ref="T2317:T2319"/>
    <mergeCell ref="U2317:U2319"/>
    <mergeCell ref="V2317:V2319"/>
    <mergeCell ref="W2317:W2319"/>
    <mergeCell ref="X2317:X2319"/>
    <mergeCell ref="Y2317:Y2319"/>
    <mergeCell ref="Z2317:Z2319"/>
    <mergeCell ref="AA2317:AA2319"/>
    <mergeCell ref="AB2317:AB2319"/>
    <mergeCell ref="AI2304:AI2306"/>
    <mergeCell ref="AJ2304:AJ2306"/>
    <mergeCell ref="AK2304:AK2306"/>
    <mergeCell ref="AL2304:AL2306"/>
    <mergeCell ref="AM2304:AM2306"/>
    <mergeCell ref="M2308:M2311"/>
    <mergeCell ref="N2308:N2311"/>
    <mergeCell ref="O2308:O2311"/>
    <mergeCell ref="P2308:P2311"/>
    <mergeCell ref="Q2308:Q2311"/>
    <mergeCell ref="R2308:R2311"/>
    <mergeCell ref="S2308:S2311"/>
    <mergeCell ref="T2308:T2311"/>
    <mergeCell ref="U2308:U2311"/>
    <mergeCell ref="V2308:V2311"/>
    <mergeCell ref="W2308:W2311"/>
    <mergeCell ref="X2308:X2311"/>
    <mergeCell ref="Y2308:Y2311"/>
    <mergeCell ref="Z2308:Z2311"/>
    <mergeCell ref="AA2308:AA2311"/>
    <mergeCell ref="AB2308:AB2311"/>
    <mergeCell ref="AC2308:AC2311"/>
    <mergeCell ref="AD2308:AD2311"/>
    <mergeCell ref="AE2308:AE2311"/>
    <mergeCell ref="AL2302:AL2303"/>
    <mergeCell ref="AM2302:AM2303"/>
    <mergeCell ref="M2304:M2306"/>
    <mergeCell ref="N2304:N2306"/>
    <mergeCell ref="O2304:O2306"/>
    <mergeCell ref="P2304:P2306"/>
    <mergeCell ref="Q2304:Q2306"/>
    <mergeCell ref="R2304:R2306"/>
    <mergeCell ref="S2304:S2306"/>
    <mergeCell ref="T2304:T2306"/>
    <mergeCell ref="U2304:U2306"/>
    <mergeCell ref="V2304:V2306"/>
    <mergeCell ref="W2304:W2306"/>
    <mergeCell ref="X2304:X2306"/>
    <mergeCell ref="Y2304:Y2306"/>
    <mergeCell ref="Z2304:Z2306"/>
    <mergeCell ref="AA2304:AA2306"/>
    <mergeCell ref="AB2304:AB2306"/>
    <mergeCell ref="AC2304:AC2306"/>
    <mergeCell ref="AD2304:AD2306"/>
    <mergeCell ref="AE2304:AE2306"/>
    <mergeCell ref="AF2304:AF2306"/>
    <mergeCell ref="AG2304:AG2306"/>
    <mergeCell ref="AH2304:AH2306"/>
    <mergeCell ref="AC2302:AC2303"/>
    <mergeCell ref="AD2302:AD2303"/>
    <mergeCell ref="AE2302:AE2303"/>
    <mergeCell ref="AF2302:AF2303"/>
    <mergeCell ref="AG2302:AG2303"/>
    <mergeCell ref="AH2302:AH2303"/>
    <mergeCell ref="AI2302:AI2303"/>
    <mergeCell ref="AJ2302:AJ2303"/>
    <mergeCell ref="AK2302:AK2303"/>
    <mergeCell ref="T2302:T2303"/>
    <mergeCell ref="U2302:U2303"/>
    <mergeCell ref="V2302:V2303"/>
    <mergeCell ref="W2302:W2303"/>
    <mergeCell ref="X2302:X2303"/>
    <mergeCell ref="Y2302:Y2303"/>
    <mergeCell ref="Z2302:Z2303"/>
    <mergeCell ref="AA2302:AA2303"/>
    <mergeCell ref="AB2302:AB2303"/>
    <mergeCell ref="E2302:E2303"/>
    <mergeCell ref="F2302:F2303"/>
    <mergeCell ref="M2302:M2303"/>
    <mergeCell ref="N2302:N2303"/>
    <mergeCell ref="O2302:O2303"/>
    <mergeCell ref="P2302:P2303"/>
    <mergeCell ref="Q2302:Q2303"/>
    <mergeCell ref="R2302:R2303"/>
    <mergeCell ref="S2302:S2303"/>
    <mergeCell ref="AE2300:AE2301"/>
    <mergeCell ref="AF2300:AF2301"/>
    <mergeCell ref="AG2300:AG2301"/>
    <mergeCell ref="AH2300:AH2301"/>
    <mergeCell ref="AI2300:AI2301"/>
    <mergeCell ref="AJ2300:AJ2301"/>
    <mergeCell ref="AK2300:AK2301"/>
    <mergeCell ref="AL2300:AL2301"/>
    <mergeCell ref="AM2300:AM2301"/>
    <mergeCell ref="AJ2289:AJ2290"/>
    <mergeCell ref="AK2289:AK2290"/>
    <mergeCell ref="AL2289:AL2290"/>
    <mergeCell ref="AM2289:AM2290"/>
    <mergeCell ref="E2300:E2301"/>
    <mergeCell ref="F2300:F2301"/>
    <mergeCell ref="M2300:M2301"/>
    <mergeCell ref="N2300:N2301"/>
    <mergeCell ref="O2300:O2301"/>
    <mergeCell ref="P2300:P2301"/>
    <mergeCell ref="Q2300:Q2301"/>
    <mergeCell ref="R2300:R2301"/>
    <mergeCell ref="S2300:S2301"/>
    <mergeCell ref="T2300:T2301"/>
    <mergeCell ref="U2300:U2301"/>
    <mergeCell ref="V2300:V2301"/>
    <mergeCell ref="W2300:W2301"/>
    <mergeCell ref="X2300:X2301"/>
    <mergeCell ref="Y2300:Y2301"/>
    <mergeCell ref="Z2300:Z2301"/>
    <mergeCell ref="AA2300:AA2301"/>
    <mergeCell ref="AB2300:AB2301"/>
    <mergeCell ref="AC2300:AC2301"/>
    <mergeCell ref="AD2300:AD2301"/>
    <mergeCell ref="AM2265:AM2266"/>
    <mergeCell ref="M2289:M2290"/>
    <mergeCell ref="N2289:N2290"/>
    <mergeCell ref="O2289:O2290"/>
    <mergeCell ref="P2289:P2290"/>
    <mergeCell ref="Q2289:Q2290"/>
    <mergeCell ref="R2289:R2290"/>
    <mergeCell ref="S2289:S2290"/>
    <mergeCell ref="T2289:T2290"/>
    <mergeCell ref="U2289:U2290"/>
    <mergeCell ref="V2289:V2290"/>
    <mergeCell ref="W2289:W2290"/>
    <mergeCell ref="X2289:X2290"/>
    <mergeCell ref="Y2289:Y2290"/>
    <mergeCell ref="Z2289:Z2290"/>
    <mergeCell ref="AA2289:AA2290"/>
    <mergeCell ref="AB2289:AB2290"/>
    <mergeCell ref="AC2289:AC2290"/>
    <mergeCell ref="AD2289:AD2290"/>
    <mergeCell ref="AE2289:AE2290"/>
    <mergeCell ref="AF2289:AF2290"/>
    <mergeCell ref="AG2289:AG2290"/>
    <mergeCell ref="AH2289:AH2290"/>
    <mergeCell ref="AI2289:AI2290"/>
    <mergeCell ref="AD2265:AD2266"/>
    <mergeCell ref="AE2265:AE2266"/>
    <mergeCell ref="AF2265:AF2266"/>
    <mergeCell ref="AG2265:AG2266"/>
    <mergeCell ref="AH2265:AH2266"/>
    <mergeCell ref="AI2265:AI2266"/>
    <mergeCell ref="AJ2265:AJ2266"/>
    <mergeCell ref="AM2261:AM2262"/>
    <mergeCell ref="M2265:M2266"/>
    <mergeCell ref="N2265:N2266"/>
    <mergeCell ref="O2265:O2266"/>
    <mergeCell ref="P2265:P2266"/>
    <mergeCell ref="Q2265:Q2266"/>
    <mergeCell ref="R2265:R2266"/>
    <mergeCell ref="S2265:S2266"/>
    <mergeCell ref="T2265:T2266"/>
    <mergeCell ref="U2265:U2266"/>
    <mergeCell ref="V2265:V2266"/>
    <mergeCell ref="W2265:W2266"/>
    <mergeCell ref="X2265:X2266"/>
    <mergeCell ref="Y2265:Y2266"/>
    <mergeCell ref="Z2265:Z2266"/>
    <mergeCell ref="AA2265:AA2266"/>
    <mergeCell ref="AB2265:AB2266"/>
    <mergeCell ref="AC2265:AC2266"/>
    <mergeCell ref="AB2261:AB2262"/>
    <mergeCell ref="AC2261:AC2262"/>
    <mergeCell ref="AD2261:AD2262"/>
    <mergeCell ref="AE2261:AE2262"/>
    <mergeCell ref="AF2261:AF2262"/>
    <mergeCell ref="AA2261:AA2262"/>
    <mergeCell ref="AK2265:AK2266"/>
    <mergeCell ref="AL2265:AL2266"/>
    <mergeCell ref="AG2261:AG2262"/>
    <mergeCell ref="AH2261:AH2262"/>
    <mergeCell ref="AI2261:AI2262"/>
    <mergeCell ref="AJ2261:AJ2262"/>
    <mergeCell ref="AK2261:AK2262"/>
    <mergeCell ref="AL2261:AL2262"/>
    <mergeCell ref="E2261:E2262"/>
    <mergeCell ref="F2261:F2262"/>
    <mergeCell ref="M2261:M2262"/>
    <mergeCell ref="N2261:N2262"/>
    <mergeCell ref="O2261:O2262"/>
    <mergeCell ref="P2261:P2262"/>
    <mergeCell ref="Q2261:Q2262"/>
    <mergeCell ref="R2261:R2262"/>
    <mergeCell ref="S2261:S2262"/>
    <mergeCell ref="T2261:T2262"/>
    <mergeCell ref="U2261:U2262"/>
    <mergeCell ref="V2261:V2262"/>
    <mergeCell ref="W2261:W2262"/>
    <mergeCell ref="X2261:X2262"/>
    <mergeCell ref="Y2261:Y2262"/>
    <mergeCell ref="Z2261:Z2262"/>
    <mergeCell ref="AL2243:AL2244"/>
    <mergeCell ref="AH2243:AH2244"/>
    <mergeCell ref="AI2243:AI2244"/>
    <mergeCell ref="AJ2243:AJ2244"/>
    <mergeCell ref="AK2243:AK2244"/>
    <mergeCell ref="M2243:M2244"/>
    <mergeCell ref="N2243:N2244"/>
    <mergeCell ref="O2243:O2244"/>
    <mergeCell ref="P2243:P2244"/>
    <mergeCell ref="Q2243:Q2244"/>
    <mergeCell ref="R2243:R2244"/>
    <mergeCell ref="S2243:S2244"/>
    <mergeCell ref="T2243:T2244"/>
    <mergeCell ref="U2243:U2244"/>
    <mergeCell ref="V2243:V2244"/>
    <mergeCell ref="W2243:W2244"/>
    <mergeCell ref="AM2243:AM2244"/>
    <mergeCell ref="E2259:E2260"/>
    <mergeCell ref="F2259:F2260"/>
    <mergeCell ref="M2259:M2260"/>
    <mergeCell ref="N2259:N2260"/>
    <mergeCell ref="O2259:O2260"/>
    <mergeCell ref="P2259:P2260"/>
    <mergeCell ref="Q2259:Q2260"/>
    <mergeCell ref="R2259:R2260"/>
    <mergeCell ref="S2259:S2260"/>
    <mergeCell ref="T2259:T2260"/>
    <mergeCell ref="U2259:U2260"/>
    <mergeCell ref="V2259:V2260"/>
    <mergeCell ref="W2259:W2260"/>
    <mergeCell ref="X2259:X2260"/>
    <mergeCell ref="Y2259:Y2260"/>
    <mergeCell ref="Z2259:Z2260"/>
    <mergeCell ref="AA2259:AA2260"/>
    <mergeCell ref="AB2259:AB2260"/>
    <mergeCell ref="AL2259:AL2260"/>
    <mergeCell ref="AM2259:AM2260"/>
    <mergeCell ref="AD2243:AD2244"/>
    <mergeCell ref="AE2243:AE2244"/>
    <mergeCell ref="AF2243:AF2244"/>
    <mergeCell ref="AG2243:AG2244"/>
    <mergeCell ref="AC2259:AC2260"/>
    <mergeCell ref="AD2259:AD2260"/>
    <mergeCell ref="AE2259:AE2260"/>
    <mergeCell ref="AF2259:AF2260"/>
    <mergeCell ref="AG2259:AG2260"/>
    <mergeCell ref="AH2259:AH2260"/>
    <mergeCell ref="AK2259:AK2260"/>
    <mergeCell ref="X2243:X2244"/>
    <mergeCell ref="Y2243:Y2244"/>
    <mergeCell ref="Z2243:Z2244"/>
    <mergeCell ref="AA2243:AA2244"/>
    <mergeCell ref="AB2243:AB2244"/>
    <mergeCell ref="AC2243:AC2244"/>
    <mergeCell ref="AI2259:AI2260"/>
    <mergeCell ref="AJ2259:AJ2260"/>
    <mergeCell ref="AK2214:AK2215"/>
    <mergeCell ref="AL2214:AL2215"/>
    <mergeCell ref="AM2214:AM2215"/>
    <mergeCell ref="E2216:E2217"/>
    <mergeCell ref="F2216:F2217"/>
    <mergeCell ref="M2216:M2217"/>
    <mergeCell ref="N2216:N2217"/>
    <mergeCell ref="O2216:O2217"/>
    <mergeCell ref="P2216:P2217"/>
    <mergeCell ref="Q2216:Q2217"/>
    <mergeCell ref="R2216:R2217"/>
    <mergeCell ref="S2216:S2217"/>
    <mergeCell ref="T2216:T2217"/>
    <mergeCell ref="U2216:U2217"/>
    <mergeCell ref="V2216:V2217"/>
    <mergeCell ref="W2216:W2217"/>
    <mergeCell ref="X2216:X2217"/>
    <mergeCell ref="Y2216:Y2217"/>
    <mergeCell ref="Z2216:Z2217"/>
    <mergeCell ref="AA2216:AA2217"/>
    <mergeCell ref="AK2216:AK2217"/>
    <mergeCell ref="AL2216:AL2217"/>
    <mergeCell ref="AM2216:AM2217"/>
    <mergeCell ref="AB2214:AB2215"/>
    <mergeCell ref="AC2214:AC2215"/>
    <mergeCell ref="AD2214:AD2215"/>
    <mergeCell ref="AE2214:AE2215"/>
    <mergeCell ref="AF2214:AF2215"/>
    <mergeCell ref="AB2216:AB2217"/>
    <mergeCell ref="AC2216:AC2217"/>
    <mergeCell ref="AD2216:AD2217"/>
    <mergeCell ref="AE2216:AE2217"/>
    <mergeCell ref="AH2212:AH2213"/>
    <mergeCell ref="AI2212:AI2213"/>
    <mergeCell ref="AJ2212:AJ2213"/>
    <mergeCell ref="AJ2216:AJ2217"/>
    <mergeCell ref="AG2214:AG2215"/>
    <mergeCell ref="AH2214:AH2215"/>
    <mergeCell ref="AI2214:AI2215"/>
    <mergeCell ref="AJ2214:AJ2215"/>
    <mergeCell ref="E2214:E2215"/>
    <mergeCell ref="F2214:F2215"/>
    <mergeCell ref="M2214:M2215"/>
    <mergeCell ref="N2214:N2215"/>
    <mergeCell ref="O2214:O2215"/>
    <mergeCell ref="P2214:P2215"/>
    <mergeCell ref="Q2214:Q2215"/>
    <mergeCell ref="R2214:R2215"/>
    <mergeCell ref="S2214:S2215"/>
    <mergeCell ref="T2214:T2215"/>
    <mergeCell ref="U2214:U2215"/>
    <mergeCell ref="V2214:V2215"/>
    <mergeCell ref="W2214:W2215"/>
    <mergeCell ref="X2214:X2215"/>
    <mergeCell ref="Y2214:Y2215"/>
    <mergeCell ref="Z2214:Z2215"/>
    <mergeCell ref="AA2214:AA2215"/>
    <mergeCell ref="AF2216:AF2217"/>
    <mergeCell ref="AG2216:AG2217"/>
    <mergeCell ref="AH2216:AH2217"/>
    <mergeCell ref="AI2216:AI2217"/>
    <mergeCell ref="AK2212:AK2213"/>
    <mergeCell ref="AF2208:AF2209"/>
    <mergeCell ref="AG2208:AG2209"/>
    <mergeCell ref="AH2208:AH2209"/>
    <mergeCell ref="AI2208:AI2209"/>
    <mergeCell ref="AJ2208:AJ2209"/>
    <mergeCell ref="AK2208:AK2209"/>
    <mergeCell ref="AL2208:AL2209"/>
    <mergeCell ref="AM2208:AM2209"/>
    <mergeCell ref="M2212:M2213"/>
    <mergeCell ref="N2212:N2213"/>
    <mergeCell ref="O2212:O2213"/>
    <mergeCell ref="P2212:P2213"/>
    <mergeCell ref="Q2212:Q2213"/>
    <mergeCell ref="R2212:R2213"/>
    <mergeCell ref="S2212:S2213"/>
    <mergeCell ref="T2212:T2213"/>
    <mergeCell ref="U2212:U2213"/>
    <mergeCell ref="V2212:V2213"/>
    <mergeCell ref="W2212:W2213"/>
    <mergeCell ref="X2212:X2213"/>
    <mergeCell ref="Y2212:Y2213"/>
    <mergeCell ref="Z2212:Z2213"/>
    <mergeCell ref="AA2212:AA2213"/>
    <mergeCell ref="AB2212:AB2213"/>
    <mergeCell ref="AL2212:AL2213"/>
    <mergeCell ref="AM2212:AM2213"/>
    <mergeCell ref="AC2212:AC2213"/>
    <mergeCell ref="AD2212:AD2213"/>
    <mergeCell ref="AE2212:AE2213"/>
    <mergeCell ref="AF2212:AF2213"/>
    <mergeCell ref="AG2212:AG2213"/>
    <mergeCell ref="AM2202:AM2203"/>
    <mergeCell ref="M2208:M2209"/>
    <mergeCell ref="N2208:N2209"/>
    <mergeCell ref="O2208:O2209"/>
    <mergeCell ref="P2208:P2209"/>
    <mergeCell ref="Q2208:Q2209"/>
    <mergeCell ref="R2208:R2209"/>
    <mergeCell ref="S2208:S2209"/>
    <mergeCell ref="T2208:T2209"/>
    <mergeCell ref="U2208:U2209"/>
    <mergeCell ref="V2208:V2209"/>
    <mergeCell ref="W2208:W2209"/>
    <mergeCell ref="X2208:X2209"/>
    <mergeCell ref="Y2208:Y2209"/>
    <mergeCell ref="Z2208:Z2209"/>
    <mergeCell ref="AA2208:AA2209"/>
    <mergeCell ref="AB2208:AB2209"/>
    <mergeCell ref="AC2208:AC2209"/>
    <mergeCell ref="AD2208:AD2209"/>
    <mergeCell ref="AE2208:AE2209"/>
    <mergeCell ref="AD2202:AD2203"/>
    <mergeCell ref="AE2202:AE2203"/>
    <mergeCell ref="AF2202:AF2203"/>
    <mergeCell ref="AG2202:AG2203"/>
    <mergeCell ref="AH2202:AH2203"/>
    <mergeCell ref="AI2202:AI2203"/>
    <mergeCell ref="AJ2202:AJ2203"/>
    <mergeCell ref="AK2202:AK2203"/>
    <mergeCell ref="AL2202:AL2203"/>
    <mergeCell ref="M2202:M2203"/>
    <mergeCell ref="N2202:N2203"/>
    <mergeCell ref="O2202:O2203"/>
    <mergeCell ref="P2202:P2203"/>
    <mergeCell ref="Q2202:Q2203"/>
    <mergeCell ref="R2202:R2203"/>
    <mergeCell ref="S2202:S2203"/>
    <mergeCell ref="T2202:T2203"/>
    <mergeCell ref="U2202:U2203"/>
    <mergeCell ref="V2202:V2203"/>
    <mergeCell ref="W2202:W2203"/>
    <mergeCell ref="X2202:X2203"/>
    <mergeCell ref="Y2202:Y2203"/>
    <mergeCell ref="Z2202:Z2203"/>
    <mergeCell ref="AA2202:AA2203"/>
    <mergeCell ref="AB2202:AB2203"/>
    <mergeCell ref="AC2202:AC2203"/>
    <mergeCell ref="AM2181:AM2182"/>
    <mergeCell ref="M2192:M2193"/>
    <mergeCell ref="N2192:N2193"/>
    <mergeCell ref="O2192:O2193"/>
    <mergeCell ref="P2192:P2193"/>
    <mergeCell ref="Q2192:Q2193"/>
    <mergeCell ref="R2192:R2193"/>
    <mergeCell ref="S2192:S2193"/>
    <mergeCell ref="T2192:T2193"/>
    <mergeCell ref="U2192:U2193"/>
    <mergeCell ref="V2192:V2193"/>
    <mergeCell ref="W2192:W2193"/>
    <mergeCell ref="X2192:X2193"/>
    <mergeCell ref="Y2192:Y2193"/>
    <mergeCell ref="Z2192:Z2193"/>
    <mergeCell ref="AA2192:AA2193"/>
    <mergeCell ref="AB2192:AB2193"/>
    <mergeCell ref="AL2192:AL2193"/>
    <mergeCell ref="AM2192:AM2193"/>
    <mergeCell ref="AC2192:AC2193"/>
    <mergeCell ref="AD2192:AD2193"/>
    <mergeCell ref="AE2192:AE2193"/>
    <mergeCell ref="AF2192:AF2193"/>
    <mergeCell ref="AG2192:AG2193"/>
    <mergeCell ref="AH2192:AH2193"/>
    <mergeCell ref="AI2192:AI2193"/>
    <mergeCell ref="AJ2192:AJ2193"/>
    <mergeCell ref="AK2192:AK2193"/>
    <mergeCell ref="AM2179:AM2180"/>
    <mergeCell ref="M2181:M2182"/>
    <mergeCell ref="N2181:N2182"/>
    <mergeCell ref="O2181:O2182"/>
    <mergeCell ref="P2181:P2182"/>
    <mergeCell ref="Q2181:Q2182"/>
    <mergeCell ref="R2181:R2182"/>
    <mergeCell ref="S2181:S2182"/>
    <mergeCell ref="T2181:T2182"/>
    <mergeCell ref="U2181:U2182"/>
    <mergeCell ref="V2181:V2182"/>
    <mergeCell ref="W2181:W2182"/>
    <mergeCell ref="X2181:X2182"/>
    <mergeCell ref="Y2181:Y2182"/>
    <mergeCell ref="Z2181:Z2182"/>
    <mergeCell ref="AA2181:AA2182"/>
    <mergeCell ref="AB2181:AB2182"/>
    <mergeCell ref="AC2181:AC2182"/>
    <mergeCell ref="AD2181:AD2182"/>
    <mergeCell ref="AE2181:AE2182"/>
    <mergeCell ref="AD2179:AD2180"/>
    <mergeCell ref="AE2179:AE2180"/>
    <mergeCell ref="AF2179:AF2180"/>
    <mergeCell ref="AG2179:AG2180"/>
    <mergeCell ref="AH2179:AH2180"/>
    <mergeCell ref="AF2181:AF2182"/>
    <mergeCell ref="AG2181:AG2182"/>
    <mergeCell ref="AH2181:AH2182"/>
    <mergeCell ref="AI2181:AI2182"/>
    <mergeCell ref="AJ2181:AJ2182"/>
    <mergeCell ref="AK2181:AK2182"/>
    <mergeCell ref="AL2181:AL2182"/>
    <mergeCell ref="AI2179:AI2180"/>
    <mergeCell ref="AJ2179:AJ2180"/>
    <mergeCell ref="AK2179:AK2180"/>
    <mergeCell ref="AL2179:AL2180"/>
    <mergeCell ref="M2179:M2180"/>
    <mergeCell ref="N2179:N2180"/>
    <mergeCell ref="O2179:O2180"/>
    <mergeCell ref="P2179:P2180"/>
    <mergeCell ref="Q2179:Q2180"/>
    <mergeCell ref="R2179:R2180"/>
    <mergeCell ref="S2179:S2180"/>
    <mergeCell ref="T2179:T2180"/>
    <mergeCell ref="U2179:U2180"/>
    <mergeCell ref="V2179:V2180"/>
    <mergeCell ref="W2179:W2180"/>
    <mergeCell ref="X2179:X2180"/>
    <mergeCell ref="Y2179:Y2180"/>
    <mergeCell ref="Z2179:Z2180"/>
    <mergeCell ref="AA2179:AA2180"/>
    <mergeCell ref="AB2179:AB2180"/>
    <mergeCell ref="AC2179:AC2180"/>
    <mergeCell ref="AL2168:AL2169"/>
    <mergeCell ref="AM2168:AM2169"/>
    <mergeCell ref="M2176:M2177"/>
    <mergeCell ref="N2176:N2177"/>
    <mergeCell ref="O2176:O2177"/>
    <mergeCell ref="P2176:P2177"/>
    <mergeCell ref="Q2176:Q2177"/>
    <mergeCell ref="R2176:R2177"/>
    <mergeCell ref="S2176:S2177"/>
    <mergeCell ref="T2176:T2177"/>
    <mergeCell ref="U2176:U2177"/>
    <mergeCell ref="V2176:V2177"/>
    <mergeCell ref="W2176:W2177"/>
    <mergeCell ref="X2176:X2177"/>
    <mergeCell ref="Y2176:Y2177"/>
    <mergeCell ref="Z2176:Z2177"/>
    <mergeCell ref="AA2176:AA2177"/>
    <mergeCell ref="AB2176:AB2177"/>
    <mergeCell ref="AL2176:AL2177"/>
    <mergeCell ref="AM2176:AM2177"/>
    <mergeCell ref="AB2168:AB2169"/>
    <mergeCell ref="AC2168:AC2169"/>
    <mergeCell ref="AD2168:AD2169"/>
    <mergeCell ref="AE2168:AE2169"/>
    <mergeCell ref="AC2176:AC2177"/>
    <mergeCell ref="AD2176:AD2177"/>
    <mergeCell ref="AE2176:AE2177"/>
    <mergeCell ref="AF2176:AF2177"/>
    <mergeCell ref="AG2176:AG2177"/>
    <mergeCell ref="AH2176:AH2177"/>
    <mergeCell ref="AI2176:AI2177"/>
    <mergeCell ref="AJ2176:AJ2177"/>
    <mergeCell ref="AK2176:AK2177"/>
    <mergeCell ref="AF2168:AF2169"/>
    <mergeCell ref="AG2168:AG2169"/>
    <mergeCell ref="AH2168:AH2169"/>
    <mergeCell ref="AI2168:AI2169"/>
    <mergeCell ref="AJ2168:AJ2169"/>
    <mergeCell ref="AK2168:AK2169"/>
    <mergeCell ref="E2168:E2169"/>
    <mergeCell ref="F2168:F2169"/>
    <mergeCell ref="M2168:M2169"/>
    <mergeCell ref="N2168:N2169"/>
    <mergeCell ref="O2168:O2169"/>
    <mergeCell ref="P2168:P2169"/>
    <mergeCell ref="Q2168:Q2169"/>
    <mergeCell ref="R2168:R2169"/>
    <mergeCell ref="S2168:S2169"/>
    <mergeCell ref="T2168:T2169"/>
    <mergeCell ref="U2168:U2169"/>
    <mergeCell ref="V2168:V2169"/>
    <mergeCell ref="W2168:W2169"/>
    <mergeCell ref="X2168:X2169"/>
    <mergeCell ref="Y2168:Y2169"/>
    <mergeCell ref="Z2168:Z2169"/>
    <mergeCell ref="AA2168:AA2169"/>
    <mergeCell ref="AL2161:AL2162"/>
    <mergeCell ref="AM2161:AM2162"/>
    <mergeCell ref="E2166:E2167"/>
    <mergeCell ref="F2166:F2167"/>
    <mergeCell ref="M2166:M2167"/>
    <mergeCell ref="N2166:N2167"/>
    <mergeCell ref="O2166:O2167"/>
    <mergeCell ref="P2166:P2167"/>
    <mergeCell ref="Q2166:Q2167"/>
    <mergeCell ref="R2166:R2167"/>
    <mergeCell ref="S2166:S2167"/>
    <mergeCell ref="T2166:T2167"/>
    <mergeCell ref="U2166:U2167"/>
    <mergeCell ref="V2166:V2167"/>
    <mergeCell ref="W2166:W2167"/>
    <mergeCell ref="X2166:X2167"/>
    <mergeCell ref="Y2166:Y2167"/>
    <mergeCell ref="Z2166:Z2167"/>
    <mergeCell ref="AA2166:AA2167"/>
    <mergeCell ref="AK2166:AK2167"/>
    <mergeCell ref="AL2166:AL2167"/>
    <mergeCell ref="AM2166:AM2167"/>
    <mergeCell ref="AB2166:AB2167"/>
    <mergeCell ref="AC2166:AC2167"/>
    <mergeCell ref="AD2166:AD2167"/>
    <mergeCell ref="AE2166:AE2167"/>
    <mergeCell ref="AF2166:AF2167"/>
    <mergeCell ref="AG2166:AG2167"/>
    <mergeCell ref="AH2166:AH2167"/>
    <mergeCell ref="AI2166:AI2167"/>
    <mergeCell ref="AJ2166:AJ2167"/>
    <mergeCell ref="AM2159:AM2160"/>
    <mergeCell ref="M2161:M2162"/>
    <mergeCell ref="N2161:N2162"/>
    <mergeCell ref="O2161:O2162"/>
    <mergeCell ref="P2161:P2162"/>
    <mergeCell ref="Q2161:Q2162"/>
    <mergeCell ref="R2161:R2162"/>
    <mergeCell ref="S2161:S2162"/>
    <mergeCell ref="T2161:T2162"/>
    <mergeCell ref="U2161:U2162"/>
    <mergeCell ref="V2161:V2162"/>
    <mergeCell ref="W2161:W2162"/>
    <mergeCell ref="X2161:X2162"/>
    <mergeCell ref="Y2161:Y2162"/>
    <mergeCell ref="Z2161:Z2162"/>
    <mergeCell ref="AA2161:AA2162"/>
    <mergeCell ref="AB2161:AB2162"/>
    <mergeCell ref="AC2161:AC2162"/>
    <mergeCell ref="AD2161:AD2162"/>
    <mergeCell ref="AE2161:AE2162"/>
    <mergeCell ref="AF2161:AF2162"/>
    <mergeCell ref="AD2159:AD2160"/>
    <mergeCell ref="AE2159:AE2160"/>
    <mergeCell ref="AF2159:AF2160"/>
    <mergeCell ref="AG2159:AG2160"/>
    <mergeCell ref="AH2159:AH2160"/>
    <mergeCell ref="AI2159:AI2160"/>
    <mergeCell ref="AG2161:AG2162"/>
    <mergeCell ref="AH2161:AH2162"/>
    <mergeCell ref="AI2161:AI2162"/>
    <mergeCell ref="AJ2161:AJ2162"/>
    <mergeCell ref="AK2161:AK2162"/>
    <mergeCell ref="AG2156:AG2157"/>
    <mergeCell ref="AH2156:AH2157"/>
    <mergeCell ref="AI2156:AI2157"/>
    <mergeCell ref="AJ2156:AJ2157"/>
    <mergeCell ref="AK2156:AK2157"/>
    <mergeCell ref="AJ2159:AJ2160"/>
    <mergeCell ref="AK2159:AK2160"/>
    <mergeCell ref="AL2159:AL2160"/>
    <mergeCell ref="M2159:M2160"/>
    <mergeCell ref="N2159:N2160"/>
    <mergeCell ref="O2159:O2160"/>
    <mergeCell ref="P2159:P2160"/>
    <mergeCell ref="Q2159:Q2160"/>
    <mergeCell ref="R2159:R2160"/>
    <mergeCell ref="S2159:S2160"/>
    <mergeCell ref="T2159:T2160"/>
    <mergeCell ref="U2159:U2160"/>
    <mergeCell ref="V2159:V2160"/>
    <mergeCell ref="W2159:W2160"/>
    <mergeCell ref="X2159:X2160"/>
    <mergeCell ref="Y2159:Y2160"/>
    <mergeCell ref="Z2159:Z2160"/>
    <mergeCell ref="AA2159:AA2160"/>
    <mergeCell ref="AB2159:AB2160"/>
    <mergeCell ref="AC2159:AC2160"/>
    <mergeCell ref="M2156:M2157"/>
    <mergeCell ref="N2156:N2157"/>
    <mergeCell ref="O2156:O2157"/>
    <mergeCell ref="P2156:P2157"/>
    <mergeCell ref="U2156:U2157"/>
    <mergeCell ref="V2156:V2157"/>
    <mergeCell ref="W2156:W2157"/>
    <mergeCell ref="X2156:X2157"/>
    <mergeCell ref="Y2156:Y2157"/>
    <mergeCell ref="Z2156:Z2157"/>
    <mergeCell ref="AA2156:AA2157"/>
    <mergeCell ref="AB2156:AB2157"/>
    <mergeCell ref="AC2156:AC2157"/>
    <mergeCell ref="AF2154:AF2155"/>
    <mergeCell ref="AC2152:AC2153"/>
    <mergeCell ref="AD2152:AD2153"/>
    <mergeCell ref="AE2152:AE2153"/>
    <mergeCell ref="AF2152:AF2153"/>
    <mergeCell ref="S2154:S2155"/>
    <mergeCell ref="T2154:T2155"/>
    <mergeCell ref="U2154:U2155"/>
    <mergeCell ref="V2154:V2155"/>
    <mergeCell ref="W2154:W2155"/>
    <mergeCell ref="X2154:X2155"/>
    <mergeCell ref="Y2154:Y2155"/>
    <mergeCell ref="Z2154:Z2155"/>
    <mergeCell ref="AA2154:AA2155"/>
    <mergeCell ref="AB2154:AB2155"/>
    <mergeCell ref="AC2154:AC2155"/>
    <mergeCell ref="AD2154:AD2155"/>
    <mergeCell ref="AE2154:AE2155"/>
    <mergeCell ref="AD2156:AD2157"/>
    <mergeCell ref="AE2156:AE2157"/>
    <mergeCell ref="AF2156:AF2157"/>
    <mergeCell ref="AL2156:AL2157"/>
    <mergeCell ref="AG2154:AG2155"/>
    <mergeCell ref="AH2154:AH2155"/>
    <mergeCell ref="AI2154:AI2155"/>
    <mergeCell ref="AJ2154:AJ2155"/>
    <mergeCell ref="AK2154:AK2155"/>
    <mergeCell ref="AL2154:AL2155"/>
    <mergeCell ref="AM2154:AM2155"/>
    <mergeCell ref="AM2156:AM2157"/>
    <mergeCell ref="E2152:E2153"/>
    <mergeCell ref="F2152:F2153"/>
    <mergeCell ref="M2152:M2153"/>
    <mergeCell ref="N2152:N2153"/>
    <mergeCell ref="O2152:O2153"/>
    <mergeCell ref="P2152:P2153"/>
    <mergeCell ref="Q2152:Q2153"/>
    <mergeCell ref="R2152:R2153"/>
    <mergeCell ref="S2152:S2153"/>
    <mergeCell ref="AL2152:AL2153"/>
    <mergeCell ref="AM2152:AM2153"/>
    <mergeCell ref="E2154:E2155"/>
    <mergeCell ref="F2154:F2155"/>
    <mergeCell ref="M2154:M2155"/>
    <mergeCell ref="N2154:N2155"/>
    <mergeCell ref="O2154:O2155"/>
    <mergeCell ref="P2154:P2155"/>
    <mergeCell ref="Q2154:Q2155"/>
    <mergeCell ref="R2154:R2155"/>
    <mergeCell ref="Q2156:Q2157"/>
    <mergeCell ref="R2156:R2157"/>
    <mergeCell ref="S2156:S2157"/>
    <mergeCell ref="T2156:T2157"/>
    <mergeCell ref="AM2143:AM2146"/>
    <mergeCell ref="V2143:V2146"/>
    <mergeCell ref="W2143:W2146"/>
    <mergeCell ref="X2143:X2146"/>
    <mergeCell ref="Y2143:Y2146"/>
    <mergeCell ref="Z2143:Z2146"/>
    <mergeCell ref="AA2143:AA2146"/>
    <mergeCell ref="AB2143:AB2146"/>
    <mergeCell ref="AC2143:AC2146"/>
    <mergeCell ref="AD2143:AD2146"/>
    <mergeCell ref="AK2152:AK2153"/>
    <mergeCell ref="T2152:T2153"/>
    <mergeCell ref="U2152:U2153"/>
    <mergeCell ref="V2152:V2153"/>
    <mergeCell ref="W2152:W2153"/>
    <mergeCell ref="X2152:X2153"/>
    <mergeCell ref="Y2152:Y2153"/>
    <mergeCell ref="Z2152:Z2153"/>
    <mergeCell ref="AA2152:AA2153"/>
    <mergeCell ref="AB2152:AB2153"/>
    <mergeCell ref="AG2152:AG2153"/>
    <mergeCell ref="AH2152:AH2153"/>
    <mergeCell ref="AI2152:AI2153"/>
    <mergeCell ref="AJ2152:AJ2153"/>
    <mergeCell ref="M2143:M2146"/>
    <mergeCell ref="N2143:N2146"/>
    <mergeCell ref="O2143:O2146"/>
    <mergeCell ref="P2143:P2146"/>
    <mergeCell ref="Q2143:Q2146"/>
    <mergeCell ref="R2143:R2146"/>
    <mergeCell ref="S2143:S2146"/>
    <mergeCell ref="T2143:T2146"/>
    <mergeCell ref="U2143:U2146"/>
    <mergeCell ref="AE2132:AE2133"/>
    <mergeCell ref="AF2132:AF2133"/>
    <mergeCell ref="AG2132:AG2133"/>
    <mergeCell ref="AH2132:AH2133"/>
    <mergeCell ref="AI2132:AI2133"/>
    <mergeCell ref="AJ2132:AJ2133"/>
    <mergeCell ref="AK2132:AK2133"/>
    <mergeCell ref="AL2132:AL2133"/>
    <mergeCell ref="AE2143:AE2146"/>
    <mergeCell ref="AF2143:AF2146"/>
    <mergeCell ref="AG2143:AG2146"/>
    <mergeCell ref="AH2143:AH2146"/>
    <mergeCell ref="AI2143:AI2146"/>
    <mergeCell ref="AJ2143:AJ2146"/>
    <mergeCell ref="AK2143:AK2146"/>
    <mergeCell ref="AL2143:AL2146"/>
    <mergeCell ref="AM2132:AM2133"/>
    <mergeCell ref="V2132:V2133"/>
    <mergeCell ref="W2132:W2133"/>
    <mergeCell ref="X2132:X2133"/>
    <mergeCell ref="Y2132:Y2133"/>
    <mergeCell ref="Z2132:Z2133"/>
    <mergeCell ref="AA2132:AA2133"/>
    <mergeCell ref="AB2132:AB2133"/>
    <mergeCell ref="AC2132:AC2133"/>
    <mergeCell ref="AD2132:AD2133"/>
    <mergeCell ref="M2132:M2133"/>
    <mergeCell ref="N2132:N2133"/>
    <mergeCell ref="O2132:O2133"/>
    <mergeCell ref="P2132:P2133"/>
    <mergeCell ref="Q2132:Q2133"/>
    <mergeCell ref="R2132:R2133"/>
    <mergeCell ref="S2132:S2133"/>
    <mergeCell ref="T2132:T2133"/>
    <mergeCell ref="U2132:U2133"/>
    <mergeCell ref="AM2129:AM2131"/>
    <mergeCell ref="AJ2126:AJ2128"/>
    <mergeCell ref="AK2126:AK2128"/>
    <mergeCell ref="AL2126:AL2128"/>
    <mergeCell ref="AM2126:AM2128"/>
    <mergeCell ref="E2129:E2131"/>
    <mergeCell ref="F2129:F2131"/>
    <mergeCell ref="M2129:M2131"/>
    <mergeCell ref="N2129:N2131"/>
    <mergeCell ref="O2129:O2131"/>
    <mergeCell ref="P2129:P2131"/>
    <mergeCell ref="Q2129:Q2131"/>
    <mergeCell ref="R2129:R2131"/>
    <mergeCell ref="S2129:S2131"/>
    <mergeCell ref="T2129:T2131"/>
    <mergeCell ref="U2129:U2131"/>
    <mergeCell ref="V2129:V2131"/>
    <mergeCell ref="W2129:W2131"/>
    <mergeCell ref="X2129:X2131"/>
    <mergeCell ref="Y2129:Y2131"/>
    <mergeCell ref="Z2129:Z2131"/>
    <mergeCell ref="AA2129:AA2131"/>
    <mergeCell ref="AB2129:AB2131"/>
    <mergeCell ref="AC2129:AC2131"/>
    <mergeCell ref="AE2126:AE2128"/>
    <mergeCell ref="AF2126:AF2128"/>
    <mergeCell ref="AG2126:AG2128"/>
    <mergeCell ref="AH2126:AH2128"/>
    <mergeCell ref="AI2126:AI2128"/>
    <mergeCell ref="AA2126:AA2128"/>
    <mergeCell ref="AB2126:AB2128"/>
    <mergeCell ref="AC2126:AC2128"/>
    <mergeCell ref="AE2129:AE2131"/>
    <mergeCell ref="AF2129:AF2131"/>
    <mergeCell ref="AG2129:AG2131"/>
    <mergeCell ref="AH2129:AH2131"/>
    <mergeCell ref="AI2129:AI2131"/>
    <mergeCell ref="AJ2129:AJ2131"/>
    <mergeCell ref="AK2129:AK2131"/>
    <mergeCell ref="AL2129:AL2131"/>
    <mergeCell ref="E2126:E2128"/>
    <mergeCell ref="F2126:F2128"/>
    <mergeCell ref="M2126:M2128"/>
    <mergeCell ref="N2126:N2128"/>
    <mergeCell ref="O2126:O2128"/>
    <mergeCell ref="P2126:P2128"/>
    <mergeCell ref="Q2126:Q2128"/>
    <mergeCell ref="R2126:R2128"/>
    <mergeCell ref="S2126:S2128"/>
    <mergeCell ref="T2126:T2128"/>
    <mergeCell ref="U2126:U2128"/>
    <mergeCell ref="V2126:V2128"/>
    <mergeCell ref="W2126:W2128"/>
    <mergeCell ref="X2126:X2128"/>
    <mergeCell ref="Y2126:Y2128"/>
    <mergeCell ref="Z2126:Z2128"/>
    <mergeCell ref="AD2129:AD2131"/>
    <mergeCell ref="AD2126:AD2128"/>
    <mergeCell ref="AI2115:AI2117"/>
    <mergeCell ref="AJ2115:AJ2117"/>
    <mergeCell ref="AK2115:AK2117"/>
    <mergeCell ref="AL2115:AL2117"/>
    <mergeCell ref="AM2115:AM2117"/>
    <mergeCell ref="M2124:M2125"/>
    <mergeCell ref="N2124:N2125"/>
    <mergeCell ref="O2124:O2125"/>
    <mergeCell ref="P2124:P2125"/>
    <mergeCell ref="Q2124:Q2125"/>
    <mergeCell ref="R2124:R2125"/>
    <mergeCell ref="S2124:S2125"/>
    <mergeCell ref="T2124:T2125"/>
    <mergeCell ref="U2124:U2125"/>
    <mergeCell ref="V2124:V2125"/>
    <mergeCell ref="W2124:W2125"/>
    <mergeCell ref="X2124:X2125"/>
    <mergeCell ref="Y2124:Y2125"/>
    <mergeCell ref="Z2124:Z2125"/>
    <mergeCell ref="AA2124:AA2125"/>
    <mergeCell ref="AB2124:AB2125"/>
    <mergeCell ref="AC2124:AC2125"/>
    <mergeCell ref="AD2124:AD2125"/>
    <mergeCell ref="AE2124:AE2125"/>
    <mergeCell ref="AM2124:AM2125"/>
    <mergeCell ref="AF2124:AF2125"/>
    <mergeCell ref="AG2124:AG2125"/>
    <mergeCell ref="AH2124:AH2125"/>
    <mergeCell ref="AI2124:AI2125"/>
    <mergeCell ref="AJ2124:AJ2125"/>
    <mergeCell ref="AK2124:AK2125"/>
    <mergeCell ref="AL2124:AL2125"/>
    <mergeCell ref="AL2102:AL2104"/>
    <mergeCell ref="AM2102:AM2104"/>
    <mergeCell ref="M2115:M2117"/>
    <mergeCell ref="N2115:N2117"/>
    <mergeCell ref="O2115:O2117"/>
    <mergeCell ref="P2115:P2117"/>
    <mergeCell ref="Q2115:Q2117"/>
    <mergeCell ref="R2115:R2117"/>
    <mergeCell ref="S2115:S2117"/>
    <mergeCell ref="T2115:T2117"/>
    <mergeCell ref="U2115:U2117"/>
    <mergeCell ref="V2115:V2117"/>
    <mergeCell ref="W2115:W2117"/>
    <mergeCell ref="X2115:X2117"/>
    <mergeCell ref="Y2115:Y2117"/>
    <mergeCell ref="Z2115:Z2117"/>
    <mergeCell ref="AA2115:AA2117"/>
    <mergeCell ref="AB2115:AB2117"/>
    <mergeCell ref="AC2115:AC2117"/>
    <mergeCell ref="AD2115:AD2117"/>
    <mergeCell ref="AE2115:AE2117"/>
    <mergeCell ref="AF2115:AF2117"/>
    <mergeCell ref="AG2115:AG2117"/>
    <mergeCell ref="AH2115:AH2117"/>
    <mergeCell ref="AC2102:AC2104"/>
    <mergeCell ref="AD2102:AD2104"/>
    <mergeCell ref="AE2102:AE2104"/>
    <mergeCell ref="AF2102:AF2104"/>
    <mergeCell ref="AG2102:AG2104"/>
    <mergeCell ref="AH2102:AH2104"/>
    <mergeCell ref="AI2102:AI2104"/>
    <mergeCell ref="AJ2102:AJ2104"/>
    <mergeCell ref="AK2102:AK2104"/>
    <mergeCell ref="AF2090:AF2091"/>
    <mergeCell ref="AG2090:AG2091"/>
    <mergeCell ref="AH2090:AH2091"/>
    <mergeCell ref="AI2090:AI2091"/>
    <mergeCell ref="AJ2090:AJ2091"/>
    <mergeCell ref="AK2090:AK2091"/>
    <mergeCell ref="AL2090:AL2091"/>
    <mergeCell ref="AM2090:AM2091"/>
    <mergeCell ref="M2102:M2104"/>
    <mergeCell ref="N2102:N2104"/>
    <mergeCell ref="O2102:O2104"/>
    <mergeCell ref="P2102:P2104"/>
    <mergeCell ref="Q2102:Q2104"/>
    <mergeCell ref="R2102:R2104"/>
    <mergeCell ref="S2102:S2104"/>
    <mergeCell ref="T2102:T2104"/>
    <mergeCell ref="U2102:U2104"/>
    <mergeCell ref="V2102:V2104"/>
    <mergeCell ref="W2102:W2104"/>
    <mergeCell ref="X2102:X2104"/>
    <mergeCell ref="Y2102:Y2104"/>
    <mergeCell ref="Z2102:Z2104"/>
    <mergeCell ref="AA2102:AA2104"/>
    <mergeCell ref="AB2102:AB2104"/>
    <mergeCell ref="W2090:W2091"/>
    <mergeCell ref="X2090:X2091"/>
    <mergeCell ref="Y2090:Y2091"/>
    <mergeCell ref="Z2090:Z2091"/>
    <mergeCell ref="AA2090:AA2091"/>
    <mergeCell ref="AB2090:AB2091"/>
    <mergeCell ref="AC2090:AC2091"/>
    <mergeCell ref="AD2090:AD2091"/>
    <mergeCell ref="AE2090:AE2091"/>
    <mergeCell ref="M2090:M2091"/>
    <mergeCell ref="N2090:N2091"/>
    <mergeCell ref="O2090:O2091"/>
    <mergeCell ref="P2090:P2091"/>
    <mergeCell ref="Q2090:Q2091"/>
    <mergeCell ref="R2090:R2091"/>
    <mergeCell ref="S2090:S2091"/>
    <mergeCell ref="T2090:T2091"/>
    <mergeCell ref="U2090:U2091"/>
    <mergeCell ref="AE2079:AE2081"/>
    <mergeCell ref="AF2079:AF2081"/>
    <mergeCell ref="AG2079:AG2081"/>
    <mergeCell ref="AH2079:AH2081"/>
    <mergeCell ref="AI2079:AI2081"/>
    <mergeCell ref="AJ2079:AJ2081"/>
    <mergeCell ref="AK2079:AK2081"/>
    <mergeCell ref="AL2079:AL2081"/>
    <mergeCell ref="AM2079:AM2081"/>
    <mergeCell ref="V2079:V2081"/>
    <mergeCell ref="W2079:W2081"/>
    <mergeCell ref="X2079:X2081"/>
    <mergeCell ref="Y2079:Y2081"/>
    <mergeCell ref="Z2079:Z2081"/>
    <mergeCell ref="AA2079:AA2081"/>
    <mergeCell ref="AB2079:AB2081"/>
    <mergeCell ref="AC2079:AC2081"/>
    <mergeCell ref="AD2079:AD2081"/>
    <mergeCell ref="M2079:M2081"/>
    <mergeCell ref="N2079:N2081"/>
    <mergeCell ref="O2079:O2081"/>
    <mergeCell ref="P2079:P2081"/>
    <mergeCell ref="Q2079:Q2081"/>
    <mergeCell ref="R2079:R2081"/>
    <mergeCell ref="S2079:S2081"/>
    <mergeCell ref="T2079:T2081"/>
    <mergeCell ref="U2079:U2081"/>
    <mergeCell ref="AM2050:AM2051"/>
    <mergeCell ref="AJ2048:AJ2049"/>
    <mergeCell ref="AK2048:AK2049"/>
    <mergeCell ref="AL2048:AL2049"/>
    <mergeCell ref="AM2048:AM2049"/>
    <mergeCell ref="E2050:E2051"/>
    <mergeCell ref="F2050:F2051"/>
    <mergeCell ref="M2050:M2051"/>
    <mergeCell ref="N2050:N2051"/>
    <mergeCell ref="O2050:O2051"/>
    <mergeCell ref="P2050:P2051"/>
    <mergeCell ref="Q2050:Q2051"/>
    <mergeCell ref="R2050:R2051"/>
    <mergeCell ref="S2050:S2051"/>
    <mergeCell ref="T2050:T2051"/>
    <mergeCell ref="U2050:U2051"/>
    <mergeCell ref="V2050:V2051"/>
    <mergeCell ref="W2050:W2051"/>
    <mergeCell ref="X2050:X2051"/>
    <mergeCell ref="Y2050:Y2051"/>
    <mergeCell ref="Z2050:Z2051"/>
    <mergeCell ref="AA2050:AA2051"/>
    <mergeCell ref="AB2050:AB2051"/>
    <mergeCell ref="AC2050:AC2051"/>
    <mergeCell ref="AD2050:AD2051"/>
    <mergeCell ref="AA2048:AA2049"/>
    <mergeCell ref="AB2048:AB2049"/>
    <mergeCell ref="AC2048:AC2049"/>
    <mergeCell ref="AD2048:AD2049"/>
    <mergeCell ref="AE2048:AE2049"/>
    <mergeCell ref="AF2048:AF2049"/>
    <mergeCell ref="AG2048:AG2049"/>
    <mergeCell ref="AH2048:AH2049"/>
    <mergeCell ref="AI2048:AI2049"/>
    <mergeCell ref="AF2031:AF2032"/>
    <mergeCell ref="AG2031:AG2032"/>
    <mergeCell ref="AH2031:AH2032"/>
    <mergeCell ref="AI2031:AI2032"/>
    <mergeCell ref="AJ2031:AJ2032"/>
    <mergeCell ref="AK2031:AK2032"/>
    <mergeCell ref="AL2031:AL2032"/>
    <mergeCell ref="AE2050:AE2051"/>
    <mergeCell ref="AF2050:AF2051"/>
    <mergeCell ref="AG2050:AG2051"/>
    <mergeCell ref="AH2050:AH2051"/>
    <mergeCell ref="AI2050:AI2051"/>
    <mergeCell ref="AJ2050:AJ2051"/>
    <mergeCell ref="AK2050:AK2051"/>
    <mergeCell ref="AL2050:AL2051"/>
    <mergeCell ref="E2048:E2049"/>
    <mergeCell ref="F2048:F2049"/>
    <mergeCell ref="M2048:M2049"/>
    <mergeCell ref="N2048:N2049"/>
    <mergeCell ref="O2048:O2049"/>
    <mergeCell ref="P2048:P2049"/>
    <mergeCell ref="Q2048:Q2049"/>
    <mergeCell ref="R2048:R2049"/>
    <mergeCell ref="S2048:S2049"/>
    <mergeCell ref="T2048:T2049"/>
    <mergeCell ref="U2048:U2049"/>
    <mergeCell ref="V2048:V2049"/>
    <mergeCell ref="W2048:W2049"/>
    <mergeCell ref="X2048:X2049"/>
    <mergeCell ref="Y2048:Y2049"/>
    <mergeCell ref="Z2048:Z2049"/>
    <mergeCell ref="E2031:E2032"/>
    <mergeCell ref="F2031:F2032"/>
    <mergeCell ref="M2031:M2032"/>
    <mergeCell ref="AK2004:AK2006"/>
    <mergeCell ref="AL2004:AL2006"/>
    <mergeCell ref="AM2004:AM2006"/>
    <mergeCell ref="AK2029:AK2030"/>
    <mergeCell ref="AL2029:AL2030"/>
    <mergeCell ref="AM2029:AM2030"/>
    <mergeCell ref="AB2004:AB2006"/>
    <mergeCell ref="AC2004:AC2006"/>
    <mergeCell ref="AD2004:AD2006"/>
    <mergeCell ref="AE2004:AE2006"/>
    <mergeCell ref="AF2004:AF2006"/>
    <mergeCell ref="AB2031:AB2032"/>
    <mergeCell ref="AC2031:AC2032"/>
    <mergeCell ref="AD2031:AD2032"/>
    <mergeCell ref="AE2031:AE2032"/>
    <mergeCell ref="AB2029:AB2030"/>
    <mergeCell ref="AC2029:AC2030"/>
    <mergeCell ref="AD2029:AD2030"/>
    <mergeCell ref="AE2029:AE2030"/>
    <mergeCell ref="AF2029:AF2030"/>
    <mergeCell ref="AG2029:AG2030"/>
    <mergeCell ref="AH2029:AH2030"/>
    <mergeCell ref="AI2029:AI2030"/>
    <mergeCell ref="AM2031:AM2032"/>
    <mergeCell ref="AJ2029:AJ2030"/>
    <mergeCell ref="AG2004:AG2006"/>
    <mergeCell ref="AH2004:AH2006"/>
    <mergeCell ref="AI2004:AI2006"/>
    <mergeCell ref="AJ2004:AJ2006"/>
    <mergeCell ref="U2029:U2030"/>
    <mergeCell ref="V2029:V2030"/>
    <mergeCell ref="W2029:W2030"/>
    <mergeCell ref="X2029:X2030"/>
    <mergeCell ref="Y2029:Y2030"/>
    <mergeCell ref="Z2029:Z2030"/>
    <mergeCell ref="AA2029:AA2030"/>
    <mergeCell ref="N2031:N2032"/>
    <mergeCell ref="O2031:O2032"/>
    <mergeCell ref="P2031:P2032"/>
    <mergeCell ref="Q2031:Q2032"/>
    <mergeCell ref="R2031:R2032"/>
    <mergeCell ref="S2031:S2032"/>
    <mergeCell ref="T2031:T2032"/>
    <mergeCell ref="U2031:U2032"/>
    <mergeCell ref="V2031:V2032"/>
    <mergeCell ref="W2031:W2032"/>
    <mergeCell ref="X2031:X2032"/>
    <mergeCell ref="Y2031:Y2032"/>
    <mergeCell ref="Z2031:Z2032"/>
    <mergeCell ref="AA2031:AA2032"/>
    <mergeCell ref="E2004:E2006"/>
    <mergeCell ref="F2004:F2006"/>
    <mergeCell ref="M2004:M2006"/>
    <mergeCell ref="N2004:N2006"/>
    <mergeCell ref="O2004:O2006"/>
    <mergeCell ref="P2004:P2006"/>
    <mergeCell ref="Q2004:Q2006"/>
    <mergeCell ref="R2004:R2006"/>
    <mergeCell ref="S2004:S2006"/>
    <mergeCell ref="T2004:T2006"/>
    <mergeCell ref="U2004:U2006"/>
    <mergeCell ref="V2004:V2006"/>
    <mergeCell ref="W2004:W2006"/>
    <mergeCell ref="X2004:X2006"/>
    <mergeCell ref="Y2004:Y2006"/>
    <mergeCell ref="Z2004:Z2006"/>
    <mergeCell ref="AA2004:AA2006"/>
    <mergeCell ref="E2029:E2030"/>
    <mergeCell ref="F2029:F2030"/>
    <mergeCell ref="M2029:M2030"/>
    <mergeCell ref="N2029:N2030"/>
    <mergeCell ref="O2029:O2030"/>
    <mergeCell ref="P2029:P2030"/>
    <mergeCell ref="Q2029:Q2030"/>
    <mergeCell ref="R2029:R2030"/>
    <mergeCell ref="S2029:S2030"/>
    <mergeCell ref="T2029:T2030"/>
    <mergeCell ref="AL1982:AL1983"/>
    <mergeCell ref="AM1982:AM1983"/>
    <mergeCell ref="E2001:E2003"/>
    <mergeCell ref="F2001:F2003"/>
    <mergeCell ref="M2001:M2003"/>
    <mergeCell ref="N2001:N2003"/>
    <mergeCell ref="O2001:O2003"/>
    <mergeCell ref="P2001:P2003"/>
    <mergeCell ref="Q2001:Q2003"/>
    <mergeCell ref="R2001:R2003"/>
    <mergeCell ref="S2001:S2003"/>
    <mergeCell ref="T2001:T2003"/>
    <mergeCell ref="U2001:U2003"/>
    <mergeCell ref="V2001:V2003"/>
    <mergeCell ref="W2001:W2003"/>
    <mergeCell ref="X2001:X2003"/>
    <mergeCell ref="Y2001:Y2003"/>
    <mergeCell ref="Z2001:Z2003"/>
    <mergeCell ref="AA2001:AA2003"/>
    <mergeCell ref="AB2001:AB2003"/>
    <mergeCell ref="AL2001:AL2003"/>
    <mergeCell ref="AM2001:AM2003"/>
    <mergeCell ref="AB1982:AB1983"/>
    <mergeCell ref="AC1982:AC1983"/>
    <mergeCell ref="AD1982:AD1983"/>
    <mergeCell ref="AE1982:AE1983"/>
    <mergeCell ref="AF1982:AF1983"/>
    <mergeCell ref="AG1982:AG1983"/>
    <mergeCell ref="AC2001:AC2003"/>
    <mergeCell ref="AD2001:AD2003"/>
    <mergeCell ref="AE2001:AE2003"/>
    <mergeCell ref="AF2001:AF2003"/>
    <mergeCell ref="AK2001:AK2003"/>
    <mergeCell ref="AH1982:AH1983"/>
    <mergeCell ref="AI1982:AI1983"/>
    <mergeCell ref="AJ1982:AJ1983"/>
    <mergeCell ref="AK1982:AK1983"/>
    <mergeCell ref="E1982:E1983"/>
    <mergeCell ref="F1982:F1983"/>
    <mergeCell ref="M1982:M1983"/>
    <mergeCell ref="N1982:N1983"/>
    <mergeCell ref="O1982:O1983"/>
    <mergeCell ref="P1982:P1983"/>
    <mergeCell ref="Q1982:Q1983"/>
    <mergeCell ref="R1982:R1983"/>
    <mergeCell ref="S1982:S1983"/>
    <mergeCell ref="T1982:T1983"/>
    <mergeCell ref="U1982:U1983"/>
    <mergeCell ref="V1982:V1983"/>
    <mergeCell ref="W1982:W1983"/>
    <mergeCell ref="X1982:X1983"/>
    <mergeCell ref="Y1982:Y1983"/>
    <mergeCell ref="Z1982:Z1983"/>
    <mergeCell ref="AA1982:AA1983"/>
    <mergeCell ref="AG2001:AG2003"/>
    <mergeCell ref="AH2001:AH2003"/>
    <mergeCell ref="AI2001:AI2003"/>
    <mergeCell ref="AJ2001:AJ2003"/>
    <mergeCell ref="AM1945:AM1947"/>
    <mergeCell ref="E1980:E1981"/>
    <mergeCell ref="F1980:F1981"/>
    <mergeCell ref="M1980:M1981"/>
    <mergeCell ref="N1980:N1981"/>
    <mergeCell ref="O1980:O1981"/>
    <mergeCell ref="P1980:P1981"/>
    <mergeCell ref="Q1980:Q1981"/>
    <mergeCell ref="R1980:R1981"/>
    <mergeCell ref="S1980:S1981"/>
    <mergeCell ref="T1980:T1981"/>
    <mergeCell ref="U1980:U1981"/>
    <mergeCell ref="V1980:V1981"/>
    <mergeCell ref="W1980:W1981"/>
    <mergeCell ref="X1980:X1981"/>
    <mergeCell ref="Y1980:Y1981"/>
    <mergeCell ref="Z1980:Z1981"/>
    <mergeCell ref="AA1980:AA1981"/>
    <mergeCell ref="AB1980:AB1981"/>
    <mergeCell ref="AC1980:AC1981"/>
    <mergeCell ref="AM1980:AM1981"/>
    <mergeCell ref="AD1945:AD1947"/>
    <mergeCell ref="AE1945:AE1947"/>
    <mergeCell ref="AF1945:AF1947"/>
    <mergeCell ref="AG1945:AG1947"/>
    <mergeCell ref="AH1945:AH1947"/>
    <mergeCell ref="AD1980:AD1981"/>
    <mergeCell ref="AE1980:AE1981"/>
    <mergeCell ref="AF1980:AF1981"/>
    <mergeCell ref="AG1980:AG1981"/>
    <mergeCell ref="AH1980:AH1981"/>
    <mergeCell ref="AI1980:AI1981"/>
    <mergeCell ref="AI1930:AI1931"/>
    <mergeCell ref="AJ1930:AJ1931"/>
    <mergeCell ref="AL1980:AL1981"/>
    <mergeCell ref="AI1945:AI1947"/>
    <mergeCell ref="AJ1945:AJ1947"/>
    <mergeCell ref="AK1945:AK1947"/>
    <mergeCell ref="AL1945:AL1947"/>
    <mergeCell ref="M1945:M1947"/>
    <mergeCell ref="N1945:N1947"/>
    <mergeCell ref="O1945:O1947"/>
    <mergeCell ref="P1945:P1947"/>
    <mergeCell ref="Q1945:Q1947"/>
    <mergeCell ref="R1945:R1947"/>
    <mergeCell ref="S1945:S1947"/>
    <mergeCell ref="T1945:T1947"/>
    <mergeCell ref="U1945:U1947"/>
    <mergeCell ref="V1945:V1947"/>
    <mergeCell ref="W1945:W1947"/>
    <mergeCell ref="X1945:X1947"/>
    <mergeCell ref="Y1945:Y1947"/>
    <mergeCell ref="Z1945:Z1947"/>
    <mergeCell ref="AA1945:AA1947"/>
    <mergeCell ref="AB1945:AB1947"/>
    <mergeCell ref="AC1945:AC1947"/>
    <mergeCell ref="AK1930:AK1931"/>
    <mergeCell ref="AJ1980:AJ1981"/>
    <mergeCell ref="AK1980:AK1981"/>
    <mergeCell ref="AF1924:AF1928"/>
    <mergeCell ref="AG1924:AG1928"/>
    <mergeCell ref="AH1924:AH1928"/>
    <mergeCell ref="AI1924:AI1928"/>
    <mergeCell ref="AJ1924:AJ1928"/>
    <mergeCell ref="AK1924:AK1928"/>
    <mergeCell ref="AL1924:AL1928"/>
    <mergeCell ref="AM1924:AM1928"/>
    <mergeCell ref="M1930:M1931"/>
    <mergeCell ref="N1930:N1931"/>
    <mergeCell ref="O1930:O1931"/>
    <mergeCell ref="P1930:P1931"/>
    <mergeCell ref="Q1930:Q1931"/>
    <mergeCell ref="R1930:R1931"/>
    <mergeCell ref="S1930:S1931"/>
    <mergeCell ref="T1930:T1931"/>
    <mergeCell ref="U1930:U1931"/>
    <mergeCell ref="V1930:V1931"/>
    <mergeCell ref="W1930:W1931"/>
    <mergeCell ref="X1930:X1931"/>
    <mergeCell ref="Y1930:Y1931"/>
    <mergeCell ref="Z1930:Z1931"/>
    <mergeCell ref="AA1930:AA1931"/>
    <mergeCell ref="AB1930:AB1931"/>
    <mergeCell ref="AL1930:AL1931"/>
    <mergeCell ref="AM1930:AM1931"/>
    <mergeCell ref="AC1930:AC1931"/>
    <mergeCell ref="AD1930:AD1931"/>
    <mergeCell ref="AE1930:AE1931"/>
    <mergeCell ref="AF1930:AF1931"/>
    <mergeCell ref="AG1930:AG1931"/>
    <mergeCell ref="AH1930:AH1931"/>
    <mergeCell ref="AI1903:AI1904"/>
    <mergeCell ref="AJ1903:AJ1904"/>
    <mergeCell ref="AK1903:AK1904"/>
    <mergeCell ref="AL1903:AL1904"/>
    <mergeCell ref="AM1903:AM1904"/>
    <mergeCell ref="M1924:M1928"/>
    <mergeCell ref="N1924:N1928"/>
    <mergeCell ref="O1924:O1928"/>
    <mergeCell ref="P1924:P1928"/>
    <mergeCell ref="Q1924:Q1928"/>
    <mergeCell ref="R1924:R1928"/>
    <mergeCell ref="S1924:S1928"/>
    <mergeCell ref="T1924:T1928"/>
    <mergeCell ref="U1924:U1928"/>
    <mergeCell ref="V1924:V1928"/>
    <mergeCell ref="W1924:W1928"/>
    <mergeCell ref="X1924:X1928"/>
    <mergeCell ref="Y1924:Y1928"/>
    <mergeCell ref="Z1924:Z1928"/>
    <mergeCell ref="AA1924:AA1928"/>
    <mergeCell ref="AB1924:AB1928"/>
    <mergeCell ref="AC1924:AC1928"/>
    <mergeCell ref="AD1924:AD1928"/>
    <mergeCell ref="AE1924:AE1928"/>
    <mergeCell ref="Z1903:Z1904"/>
    <mergeCell ref="AA1903:AA1904"/>
    <mergeCell ref="AB1903:AB1904"/>
    <mergeCell ref="AC1903:AC1904"/>
    <mergeCell ref="AD1903:AD1904"/>
    <mergeCell ref="AE1903:AE1904"/>
    <mergeCell ref="AF1903:AF1904"/>
    <mergeCell ref="AG1903:AG1904"/>
    <mergeCell ref="AH1903:AH1904"/>
    <mergeCell ref="AI1901:AI1902"/>
    <mergeCell ref="AJ1901:AJ1902"/>
    <mergeCell ref="AK1901:AK1902"/>
    <mergeCell ref="AL1901:AL1902"/>
    <mergeCell ref="AM1901:AM1902"/>
    <mergeCell ref="G1903:G1904"/>
    <mergeCell ref="H1903:H1904"/>
    <mergeCell ref="I1903:I1904"/>
    <mergeCell ref="J1903:J1904"/>
    <mergeCell ref="K1903:K1904"/>
    <mergeCell ref="L1903:L1904"/>
    <mergeCell ref="M1903:M1904"/>
    <mergeCell ref="N1903:N1904"/>
    <mergeCell ref="O1903:O1904"/>
    <mergeCell ref="P1903:P1904"/>
    <mergeCell ref="Q1903:Q1904"/>
    <mergeCell ref="R1903:R1904"/>
    <mergeCell ref="S1903:S1904"/>
    <mergeCell ref="T1903:T1904"/>
    <mergeCell ref="U1903:U1904"/>
    <mergeCell ref="V1903:V1904"/>
    <mergeCell ref="W1903:W1904"/>
    <mergeCell ref="X1903:X1904"/>
    <mergeCell ref="Y1903:Y1904"/>
    <mergeCell ref="Z1901:Z1902"/>
    <mergeCell ref="AA1901:AA1902"/>
    <mergeCell ref="AB1901:AB1902"/>
    <mergeCell ref="AC1901:AC1902"/>
    <mergeCell ref="AD1901:AD1902"/>
    <mergeCell ref="AE1901:AE1902"/>
    <mergeCell ref="AF1901:AF1902"/>
    <mergeCell ref="AG1901:AG1902"/>
    <mergeCell ref="AH1901:AH1902"/>
    <mergeCell ref="AI1890:AI1891"/>
    <mergeCell ref="AJ1890:AJ1891"/>
    <mergeCell ref="AK1890:AK1891"/>
    <mergeCell ref="AL1890:AL1891"/>
    <mergeCell ref="AM1890:AM1891"/>
    <mergeCell ref="G1901:G1902"/>
    <mergeCell ref="H1901:H1902"/>
    <mergeCell ref="I1901:I1902"/>
    <mergeCell ref="J1901:J1902"/>
    <mergeCell ref="K1901:K1902"/>
    <mergeCell ref="L1901:L1902"/>
    <mergeCell ref="M1901:M1902"/>
    <mergeCell ref="N1901:N1902"/>
    <mergeCell ref="O1901:O1902"/>
    <mergeCell ref="P1901:P1902"/>
    <mergeCell ref="Q1901:Q1902"/>
    <mergeCell ref="R1901:R1902"/>
    <mergeCell ref="S1901:S1902"/>
    <mergeCell ref="T1901:T1902"/>
    <mergeCell ref="U1901:U1902"/>
    <mergeCell ref="V1901:V1902"/>
    <mergeCell ref="W1901:W1902"/>
    <mergeCell ref="X1901:X1902"/>
    <mergeCell ref="Y1901:Y1902"/>
    <mergeCell ref="Z1890:Z1891"/>
    <mergeCell ref="AA1890:AA1891"/>
    <mergeCell ref="AB1890:AB1891"/>
    <mergeCell ref="AC1890:AC1891"/>
    <mergeCell ref="AD1890:AD1891"/>
    <mergeCell ref="AE1890:AE1891"/>
    <mergeCell ref="AF1890:AF1891"/>
    <mergeCell ref="AG1890:AG1891"/>
    <mergeCell ref="AH1890:AH1891"/>
    <mergeCell ref="AK1888:AK1889"/>
    <mergeCell ref="AL1888:AL1889"/>
    <mergeCell ref="AM1888:AM1889"/>
    <mergeCell ref="E1890:E1891"/>
    <mergeCell ref="F1890:F1891"/>
    <mergeCell ref="G1890:G1891"/>
    <mergeCell ref="H1890:H1891"/>
    <mergeCell ref="I1890:I1891"/>
    <mergeCell ref="J1890:J1891"/>
    <mergeCell ref="K1890:K1891"/>
    <mergeCell ref="L1890:L1891"/>
    <mergeCell ref="M1890:M1891"/>
    <mergeCell ref="N1890:N1891"/>
    <mergeCell ref="O1890:O1891"/>
    <mergeCell ref="P1890:P1891"/>
    <mergeCell ref="Q1890:Q1891"/>
    <mergeCell ref="R1890:R1891"/>
    <mergeCell ref="S1890:S1891"/>
    <mergeCell ref="T1890:T1891"/>
    <mergeCell ref="U1890:U1891"/>
    <mergeCell ref="V1890:V1891"/>
    <mergeCell ref="W1890:W1891"/>
    <mergeCell ref="X1890:X1891"/>
    <mergeCell ref="Y1890:Y1891"/>
    <mergeCell ref="AB1888:AB1889"/>
    <mergeCell ref="AC1888:AC1889"/>
    <mergeCell ref="AD1888:AD1889"/>
    <mergeCell ref="AE1888:AE1889"/>
    <mergeCell ref="AF1888:AF1889"/>
    <mergeCell ref="AG1888:AG1889"/>
    <mergeCell ref="AH1888:AH1889"/>
    <mergeCell ref="AI1888:AI1889"/>
    <mergeCell ref="AJ1888:AJ1889"/>
    <mergeCell ref="AM1883:AM1884"/>
    <mergeCell ref="E1888:E1889"/>
    <mergeCell ref="F1888:F1889"/>
    <mergeCell ref="G1888:G1889"/>
    <mergeCell ref="H1888:H1889"/>
    <mergeCell ref="I1888:I1889"/>
    <mergeCell ref="J1888:J1889"/>
    <mergeCell ref="K1888:K1889"/>
    <mergeCell ref="L1888:L1889"/>
    <mergeCell ref="M1888:M1889"/>
    <mergeCell ref="N1888:N1889"/>
    <mergeCell ref="O1888:O1889"/>
    <mergeCell ref="P1888:P1889"/>
    <mergeCell ref="Q1888:Q1889"/>
    <mergeCell ref="R1888:R1889"/>
    <mergeCell ref="S1888:S1889"/>
    <mergeCell ref="T1888:T1889"/>
    <mergeCell ref="U1888:U1889"/>
    <mergeCell ref="V1888:V1889"/>
    <mergeCell ref="W1888:W1889"/>
    <mergeCell ref="X1888:X1889"/>
    <mergeCell ref="Y1888:Y1889"/>
    <mergeCell ref="Z1888:Z1889"/>
    <mergeCell ref="AA1888:AA1889"/>
    <mergeCell ref="AD1883:AD1884"/>
    <mergeCell ref="AE1883:AE1884"/>
    <mergeCell ref="AF1883:AF1884"/>
    <mergeCell ref="AG1883:AG1884"/>
    <mergeCell ref="AH1883:AH1884"/>
    <mergeCell ref="AI1883:AI1884"/>
    <mergeCell ref="AJ1883:AJ1884"/>
    <mergeCell ref="AK1883:AK1884"/>
    <mergeCell ref="AL1883:AL1884"/>
    <mergeCell ref="U1883:U1884"/>
    <mergeCell ref="V1883:V1884"/>
    <mergeCell ref="W1883:W1884"/>
    <mergeCell ref="X1883:X1884"/>
    <mergeCell ref="Y1883:Y1884"/>
    <mergeCell ref="Z1883:Z1884"/>
    <mergeCell ref="AA1883:AA1884"/>
    <mergeCell ref="AB1883:AB1884"/>
    <mergeCell ref="AC1883:AC1884"/>
    <mergeCell ref="AF1881:AF1882"/>
    <mergeCell ref="AG1881:AG1882"/>
    <mergeCell ref="AH1881:AH1882"/>
    <mergeCell ref="AI1881:AI1882"/>
    <mergeCell ref="AJ1881:AJ1882"/>
    <mergeCell ref="AK1881:AK1882"/>
    <mergeCell ref="AL1881:AL1882"/>
    <mergeCell ref="V1881:V1882"/>
    <mergeCell ref="AM1881:AM1882"/>
    <mergeCell ref="E1883:E1884"/>
    <mergeCell ref="F1883:F1884"/>
    <mergeCell ref="G1883:G1884"/>
    <mergeCell ref="H1883:H1884"/>
    <mergeCell ref="I1883:I1884"/>
    <mergeCell ref="J1883:J1884"/>
    <mergeCell ref="K1883:K1884"/>
    <mergeCell ref="L1883:L1884"/>
    <mergeCell ref="M1883:M1884"/>
    <mergeCell ref="N1883:N1884"/>
    <mergeCell ref="O1883:O1884"/>
    <mergeCell ref="P1883:P1884"/>
    <mergeCell ref="Q1883:Q1884"/>
    <mergeCell ref="R1883:R1884"/>
    <mergeCell ref="S1883:S1884"/>
    <mergeCell ref="T1883:T1884"/>
    <mergeCell ref="W1881:W1882"/>
    <mergeCell ref="X1881:X1882"/>
    <mergeCell ref="Y1881:Y1882"/>
    <mergeCell ref="Z1881:Z1882"/>
    <mergeCell ref="AA1881:AA1882"/>
    <mergeCell ref="AB1881:AB1882"/>
    <mergeCell ref="AC1881:AC1882"/>
    <mergeCell ref="AD1881:AD1882"/>
    <mergeCell ref="AE1881:AE1882"/>
    <mergeCell ref="N1881:N1882"/>
    <mergeCell ref="O1881:O1882"/>
    <mergeCell ref="P1881:P1882"/>
    <mergeCell ref="Q1881:Q1882"/>
    <mergeCell ref="R1881:R1882"/>
    <mergeCell ref="S1881:S1882"/>
    <mergeCell ref="E1881:E1882"/>
    <mergeCell ref="F1881:F1882"/>
    <mergeCell ref="G1881:G1882"/>
    <mergeCell ref="H1881:H1882"/>
    <mergeCell ref="I1881:I1882"/>
    <mergeCell ref="J1881:J1882"/>
    <mergeCell ref="K1881:K1882"/>
    <mergeCell ref="L1881:L1882"/>
    <mergeCell ref="M1881:M1882"/>
    <mergeCell ref="A1595:A1596"/>
    <mergeCell ref="A1597:A1598"/>
    <mergeCell ref="A1577:A1578"/>
    <mergeCell ref="A1579:A1580"/>
    <mergeCell ref="A1581:A1582"/>
    <mergeCell ref="A1583:A1584"/>
    <mergeCell ref="A1585:A1586"/>
    <mergeCell ref="A1587:A1588"/>
    <mergeCell ref="A1589:A1590"/>
    <mergeCell ref="A1591:A1592"/>
    <mergeCell ref="A1593:A1594"/>
    <mergeCell ref="A1559:A1560"/>
    <mergeCell ref="A1561:A1562"/>
    <mergeCell ref="A1563:A1564"/>
    <mergeCell ref="A1565:A1566"/>
    <mergeCell ref="A1567:A1568"/>
    <mergeCell ref="A1569:A1570"/>
    <mergeCell ref="A1571:A1572"/>
    <mergeCell ref="A1573:A1574"/>
    <mergeCell ref="A1575:A1576"/>
    <mergeCell ref="A1541:A1542"/>
    <mergeCell ref="A1543:A1544"/>
    <mergeCell ref="A1545:A1546"/>
    <mergeCell ref="A1547:A1548"/>
    <mergeCell ref="A1549:A1550"/>
    <mergeCell ref="A1551:A1552"/>
    <mergeCell ref="A1553:A1554"/>
    <mergeCell ref="A1555:A1556"/>
    <mergeCell ref="A1557:A1558"/>
    <mergeCell ref="A1523:A1524"/>
    <mergeCell ref="A1525:A1526"/>
    <mergeCell ref="A1527:A1528"/>
    <mergeCell ref="A1529:A1530"/>
    <mergeCell ref="A1531:A1532"/>
    <mergeCell ref="A1533:A1534"/>
    <mergeCell ref="A1535:A1536"/>
    <mergeCell ref="A1537:A1538"/>
    <mergeCell ref="A1539:A1540"/>
    <mergeCell ref="A1505:A1506"/>
    <mergeCell ref="A1507:A1508"/>
    <mergeCell ref="A1509:A1510"/>
    <mergeCell ref="A1511:A1512"/>
    <mergeCell ref="A1513:A1514"/>
    <mergeCell ref="A1515:A1516"/>
    <mergeCell ref="A1517:A1518"/>
    <mergeCell ref="A1519:A1520"/>
    <mergeCell ref="A1521:A1522"/>
    <mergeCell ref="A1487:A1488"/>
    <mergeCell ref="A1489:A1490"/>
    <mergeCell ref="A1491:A1492"/>
    <mergeCell ref="A1493:A1494"/>
    <mergeCell ref="A1495:A1496"/>
    <mergeCell ref="A1497:A1498"/>
    <mergeCell ref="A1499:A1500"/>
    <mergeCell ref="A1501:A1502"/>
    <mergeCell ref="A1503:A1504"/>
    <mergeCell ref="A1469:A1470"/>
    <mergeCell ref="A1471:A1472"/>
    <mergeCell ref="A1473:A1474"/>
    <mergeCell ref="A1475:A1476"/>
    <mergeCell ref="A1477:A1478"/>
    <mergeCell ref="A1479:A1480"/>
    <mergeCell ref="A1481:A1482"/>
    <mergeCell ref="A1483:A1484"/>
    <mergeCell ref="A1485:A1486"/>
    <mergeCell ref="A1451:A1452"/>
    <mergeCell ref="A1453:A1454"/>
    <mergeCell ref="A1455:A1456"/>
    <mergeCell ref="A1457:A1458"/>
    <mergeCell ref="A1459:A1460"/>
    <mergeCell ref="A1461:A1462"/>
    <mergeCell ref="A1463:A1464"/>
    <mergeCell ref="A1465:A1466"/>
    <mergeCell ref="A1467:A1468"/>
    <mergeCell ref="A1433:A1434"/>
    <mergeCell ref="A1435:A1436"/>
    <mergeCell ref="A1437:A1438"/>
    <mergeCell ref="A1439:A1440"/>
    <mergeCell ref="A1441:A1442"/>
    <mergeCell ref="A1443:A1444"/>
    <mergeCell ref="A1445:A1446"/>
    <mergeCell ref="A1447:A1448"/>
    <mergeCell ref="A1449:A1450"/>
    <mergeCell ref="A1415:A1416"/>
    <mergeCell ref="A1417:A1418"/>
    <mergeCell ref="A1419:A1420"/>
    <mergeCell ref="A1421:A1422"/>
    <mergeCell ref="A1423:A1424"/>
    <mergeCell ref="A1425:A1426"/>
    <mergeCell ref="A1427:A1428"/>
    <mergeCell ref="A1429:A1430"/>
    <mergeCell ref="A1431:A1432"/>
    <mergeCell ref="A1397:A1398"/>
    <mergeCell ref="A1399:A1400"/>
    <mergeCell ref="A1401:A1402"/>
    <mergeCell ref="A1403:A1404"/>
    <mergeCell ref="A1405:A1406"/>
    <mergeCell ref="A1407:A1408"/>
    <mergeCell ref="A1409:A1410"/>
    <mergeCell ref="A1411:A1412"/>
    <mergeCell ref="A1413:A1414"/>
    <mergeCell ref="A1379:A1380"/>
    <mergeCell ref="A1381:A1382"/>
    <mergeCell ref="A1383:A1384"/>
    <mergeCell ref="A1385:A1386"/>
    <mergeCell ref="A1387:A1388"/>
    <mergeCell ref="A1389:A1390"/>
    <mergeCell ref="A1391:A1392"/>
    <mergeCell ref="A1393:A1394"/>
    <mergeCell ref="A1395:A1396"/>
    <mergeCell ref="A1361:A1362"/>
    <mergeCell ref="A1363:A1364"/>
    <mergeCell ref="A1365:A1366"/>
    <mergeCell ref="A1367:A1368"/>
    <mergeCell ref="A1369:A1370"/>
    <mergeCell ref="A1371:A1372"/>
    <mergeCell ref="A1373:A1374"/>
    <mergeCell ref="A1375:A1376"/>
    <mergeCell ref="A1377:A1378"/>
    <mergeCell ref="A1343:A1344"/>
    <mergeCell ref="A1345:A1346"/>
    <mergeCell ref="A1347:A1348"/>
    <mergeCell ref="A1349:A1350"/>
    <mergeCell ref="A1351:A1352"/>
    <mergeCell ref="A1353:A1354"/>
    <mergeCell ref="A1355:A1356"/>
    <mergeCell ref="A1357:A1358"/>
    <mergeCell ref="A1359:A1360"/>
    <mergeCell ref="A1325:A1326"/>
    <mergeCell ref="A1327:A1328"/>
    <mergeCell ref="A1329:A1330"/>
    <mergeCell ref="A1331:A1332"/>
    <mergeCell ref="A1333:A1334"/>
    <mergeCell ref="A1335:A1336"/>
    <mergeCell ref="A1337:A1338"/>
    <mergeCell ref="A1339:A1340"/>
    <mergeCell ref="A1341:A1342"/>
    <mergeCell ref="A1307:A1308"/>
    <mergeCell ref="A1309:A1310"/>
    <mergeCell ref="A1311:A1312"/>
    <mergeCell ref="A1313:A1314"/>
    <mergeCell ref="A1315:A1316"/>
    <mergeCell ref="A1317:A1318"/>
    <mergeCell ref="A1319:A1320"/>
    <mergeCell ref="A1321:A1322"/>
    <mergeCell ref="A1323:A1324"/>
    <mergeCell ref="A1289:A1290"/>
    <mergeCell ref="A1291:A1292"/>
    <mergeCell ref="A1293:A1294"/>
    <mergeCell ref="A1295:A1296"/>
    <mergeCell ref="A1297:A1298"/>
    <mergeCell ref="A1299:A1300"/>
    <mergeCell ref="A1301:A1302"/>
    <mergeCell ref="A1303:A1304"/>
    <mergeCell ref="A1305:A1306"/>
    <mergeCell ref="A1271:A1272"/>
    <mergeCell ref="A1273:A1274"/>
    <mergeCell ref="A1275:A1276"/>
    <mergeCell ref="A1277:A1278"/>
    <mergeCell ref="A1279:A1280"/>
    <mergeCell ref="A1281:A1282"/>
    <mergeCell ref="A1283:A1284"/>
    <mergeCell ref="A1285:A1286"/>
    <mergeCell ref="A1287:A1288"/>
    <mergeCell ref="A1253:A1254"/>
    <mergeCell ref="A1255:A1256"/>
    <mergeCell ref="A1257:A1258"/>
    <mergeCell ref="A1259:A1260"/>
    <mergeCell ref="A1261:A1262"/>
    <mergeCell ref="A1263:A1264"/>
    <mergeCell ref="A1265:A1266"/>
    <mergeCell ref="A1267:A1268"/>
    <mergeCell ref="A1269:A1270"/>
    <mergeCell ref="A1235:A1236"/>
    <mergeCell ref="A1237:A1238"/>
    <mergeCell ref="A1239:A1240"/>
    <mergeCell ref="A1241:A1242"/>
    <mergeCell ref="A1243:A1244"/>
    <mergeCell ref="A1245:A1246"/>
    <mergeCell ref="A1247:A1248"/>
    <mergeCell ref="A1249:A1250"/>
    <mergeCell ref="A1251:A1252"/>
    <mergeCell ref="A1217:A1218"/>
    <mergeCell ref="A1219:A1220"/>
    <mergeCell ref="A1221:A1222"/>
    <mergeCell ref="A1223:A1224"/>
    <mergeCell ref="A1225:A1226"/>
    <mergeCell ref="A1227:A1228"/>
    <mergeCell ref="A1229:A1230"/>
    <mergeCell ref="A1231:A1232"/>
    <mergeCell ref="A1233:A1234"/>
    <mergeCell ref="A1199:A1200"/>
    <mergeCell ref="A1201:A1202"/>
    <mergeCell ref="A1203:A1204"/>
    <mergeCell ref="A1205:A1206"/>
    <mergeCell ref="A1207:A1208"/>
    <mergeCell ref="A1209:A1210"/>
    <mergeCell ref="A1211:A1212"/>
    <mergeCell ref="A1213:A1214"/>
    <mergeCell ref="A1215:A1216"/>
    <mergeCell ref="A1181:A1182"/>
    <mergeCell ref="A1183:A1184"/>
    <mergeCell ref="A1185:A1186"/>
    <mergeCell ref="A1187:A1188"/>
    <mergeCell ref="A1189:A1190"/>
    <mergeCell ref="A1191:A1192"/>
    <mergeCell ref="A1193:A1194"/>
    <mergeCell ref="A1195:A1196"/>
    <mergeCell ref="A1197:A1198"/>
    <mergeCell ref="A1163:A1164"/>
    <mergeCell ref="A1165:A1166"/>
    <mergeCell ref="A1167:A1168"/>
    <mergeCell ref="A1169:A1170"/>
    <mergeCell ref="A1171:A1172"/>
    <mergeCell ref="A1173:A1174"/>
    <mergeCell ref="A1175:A1176"/>
    <mergeCell ref="A1177:A1178"/>
    <mergeCell ref="A1179:A1180"/>
    <mergeCell ref="A1145:A1146"/>
    <mergeCell ref="A1147:A1148"/>
    <mergeCell ref="A1149:A1150"/>
    <mergeCell ref="A1151:A1152"/>
    <mergeCell ref="A1153:A1154"/>
    <mergeCell ref="A1155:A1156"/>
    <mergeCell ref="A1157:A1158"/>
    <mergeCell ref="A1159:A1160"/>
    <mergeCell ref="A1161:A1162"/>
    <mergeCell ref="A1127:A1128"/>
    <mergeCell ref="A1129:A1130"/>
    <mergeCell ref="A1131:A1132"/>
    <mergeCell ref="A1133:A1134"/>
    <mergeCell ref="A1135:A1136"/>
    <mergeCell ref="A1137:A1138"/>
    <mergeCell ref="A1139:A1140"/>
    <mergeCell ref="A1141:A1142"/>
    <mergeCell ref="A1143:A1144"/>
    <mergeCell ref="A1067:A1068"/>
    <mergeCell ref="A1069:A1070"/>
    <mergeCell ref="A1071:A1072"/>
    <mergeCell ref="A1073:A1074"/>
    <mergeCell ref="A1075:A1076"/>
    <mergeCell ref="A1119:A1120"/>
    <mergeCell ref="A1121:A1122"/>
    <mergeCell ref="A1123:A1124"/>
    <mergeCell ref="A1125:A1126"/>
    <mergeCell ref="A1117:A1118"/>
    <mergeCell ref="A1099:A1100"/>
    <mergeCell ref="A1101:A1102"/>
    <mergeCell ref="A1103:A1104"/>
    <mergeCell ref="A1105:A1106"/>
    <mergeCell ref="A1087:A1088"/>
    <mergeCell ref="A1089:A1090"/>
    <mergeCell ref="A1091:A1092"/>
    <mergeCell ref="A1093:A1094"/>
    <mergeCell ref="A1095:A1096"/>
    <mergeCell ref="A1077:A1078"/>
    <mergeCell ref="A1079:A1080"/>
    <mergeCell ref="A1081:A1082"/>
    <mergeCell ref="A1083:A1084"/>
    <mergeCell ref="A1085:A1086"/>
    <mergeCell ref="A1049:A1050"/>
    <mergeCell ref="A1051:A1052"/>
    <mergeCell ref="A1053:A1054"/>
    <mergeCell ref="A1055:A1056"/>
    <mergeCell ref="A1057:A1058"/>
    <mergeCell ref="A1059:A1060"/>
    <mergeCell ref="A1061:A1062"/>
    <mergeCell ref="A1063:A1064"/>
    <mergeCell ref="A1065:A1066"/>
    <mergeCell ref="A1031:A1032"/>
    <mergeCell ref="A1033:A1034"/>
    <mergeCell ref="A1035:A1036"/>
    <mergeCell ref="A1037:A1038"/>
    <mergeCell ref="A1039:A1040"/>
    <mergeCell ref="A1041:A1042"/>
    <mergeCell ref="A1043:A1044"/>
    <mergeCell ref="A1045:A1046"/>
    <mergeCell ref="A1047:A1048"/>
    <mergeCell ref="A1013:A1014"/>
    <mergeCell ref="A1015:A1016"/>
    <mergeCell ref="A1017:A1018"/>
    <mergeCell ref="A1019:A1020"/>
    <mergeCell ref="A1021:A1022"/>
    <mergeCell ref="A1023:A1024"/>
    <mergeCell ref="A1025:A1026"/>
    <mergeCell ref="A1027:A1028"/>
    <mergeCell ref="A1029:A1030"/>
    <mergeCell ref="A995:A996"/>
    <mergeCell ref="A997:A998"/>
    <mergeCell ref="A999:A1000"/>
    <mergeCell ref="A1001:A1002"/>
    <mergeCell ref="A1003:A1004"/>
    <mergeCell ref="A1005:A1006"/>
    <mergeCell ref="A1007:A1008"/>
    <mergeCell ref="A1009:A1010"/>
    <mergeCell ref="A1011:A1012"/>
    <mergeCell ref="A977:A978"/>
    <mergeCell ref="A979:A980"/>
    <mergeCell ref="A981:A982"/>
    <mergeCell ref="A983:A984"/>
    <mergeCell ref="A985:A986"/>
    <mergeCell ref="A987:A988"/>
    <mergeCell ref="A989:A990"/>
    <mergeCell ref="A991:A992"/>
    <mergeCell ref="A993:A994"/>
    <mergeCell ref="A959:A960"/>
    <mergeCell ref="A961:A962"/>
    <mergeCell ref="A963:A964"/>
    <mergeCell ref="A965:A966"/>
    <mergeCell ref="A967:A968"/>
    <mergeCell ref="A969:A970"/>
    <mergeCell ref="A971:A972"/>
    <mergeCell ref="A973:A974"/>
    <mergeCell ref="A975:A976"/>
    <mergeCell ref="A941:A942"/>
    <mergeCell ref="A943:A944"/>
    <mergeCell ref="A945:A946"/>
    <mergeCell ref="A947:A948"/>
    <mergeCell ref="A949:A950"/>
    <mergeCell ref="A951:A952"/>
    <mergeCell ref="A953:A954"/>
    <mergeCell ref="A955:A956"/>
    <mergeCell ref="A957:A958"/>
    <mergeCell ref="A923:A924"/>
    <mergeCell ref="A925:A926"/>
    <mergeCell ref="A927:A928"/>
    <mergeCell ref="A929:A930"/>
    <mergeCell ref="A931:A932"/>
    <mergeCell ref="A933:A934"/>
    <mergeCell ref="A935:A936"/>
    <mergeCell ref="A937:A938"/>
    <mergeCell ref="A939:A940"/>
    <mergeCell ref="A905:A906"/>
    <mergeCell ref="A907:A908"/>
    <mergeCell ref="A909:A910"/>
    <mergeCell ref="A911:A912"/>
    <mergeCell ref="A913:A914"/>
    <mergeCell ref="A915:A916"/>
    <mergeCell ref="A917:A918"/>
    <mergeCell ref="A919:A920"/>
    <mergeCell ref="A921:A922"/>
    <mergeCell ref="A887:A888"/>
    <mergeCell ref="A889:A890"/>
    <mergeCell ref="A891:A892"/>
    <mergeCell ref="A893:A894"/>
    <mergeCell ref="A895:A896"/>
    <mergeCell ref="A897:A898"/>
    <mergeCell ref="A899:A900"/>
    <mergeCell ref="A901:A902"/>
    <mergeCell ref="A903:A904"/>
    <mergeCell ref="A869:A870"/>
    <mergeCell ref="A871:A872"/>
    <mergeCell ref="A873:A874"/>
    <mergeCell ref="A875:A876"/>
    <mergeCell ref="A877:A878"/>
    <mergeCell ref="A879:A880"/>
    <mergeCell ref="A881:A882"/>
    <mergeCell ref="A883:A884"/>
    <mergeCell ref="A885:A886"/>
    <mergeCell ref="A851:A852"/>
    <mergeCell ref="A853:A854"/>
    <mergeCell ref="A855:A856"/>
    <mergeCell ref="A857:A858"/>
    <mergeCell ref="A859:A860"/>
    <mergeCell ref="A861:A862"/>
    <mergeCell ref="A863:A864"/>
    <mergeCell ref="A865:A866"/>
    <mergeCell ref="A867:A868"/>
    <mergeCell ref="A833:A834"/>
    <mergeCell ref="A835:A836"/>
    <mergeCell ref="A837:A838"/>
    <mergeCell ref="A839:A840"/>
    <mergeCell ref="A841:A842"/>
    <mergeCell ref="A843:A844"/>
    <mergeCell ref="A845:A846"/>
    <mergeCell ref="A847:A848"/>
    <mergeCell ref="A849:A850"/>
    <mergeCell ref="A815:A816"/>
    <mergeCell ref="A817:A818"/>
    <mergeCell ref="A819:A820"/>
    <mergeCell ref="A821:A822"/>
    <mergeCell ref="A823:A824"/>
    <mergeCell ref="A825:A826"/>
    <mergeCell ref="A827:A828"/>
    <mergeCell ref="A829:A830"/>
    <mergeCell ref="A831:A832"/>
    <mergeCell ref="A797:A798"/>
    <mergeCell ref="A799:A800"/>
    <mergeCell ref="A801:A802"/>
    <mergeCell ref="A803:A804"/>
    <mergeCell ref="A805:A806"/>
    <mergeCell ref="A807:A808"/>
    <mergeCell ref="A809:A810"/>
    <mergeCell ref="A811:A812"/>
    <mergeCell ref="A813:A814"/>
    <mergeCell ref="A779:A780"/>
    <mergeCell ref="A781:A782"/>
    <mergeCell ref="A783:A784"/>
    <mergeCell ref="A785:A786"/>
    <mergeCell ref="A787:A788"/>
    <mergeCell ref="A789:A790"/>
    <mergeCell ref="A791:A792"/>
    <mergeCell ref="A793:A794"/>
    <mergeCell ref="A795:A796"/>
    <mergeCell ref="A761:A762"/>
    <mergeCell ref="A763:A764"/>
    <mergeCell ref="A765:A766"/>
    <mergeCell ref="A767:A768"/>
    <mergeCell ref="A769:A770"/>
    <mergeCell ref="A771:A772"/>
    <mergeCell ref="A773:A774"/>
    <mergeCell ref="A775:A776"/>
    <mergeCell ref="A777:A778"/>
    <mergeCell ref="A743:A744"/>
    <mergeCell ref="A745:A746"/>
    <mergeCell ref="A747:A748"/>
    <mergeCell ref="A749:A750"/>
    <mergeCell ref="A751:A752"/>
    <mergeCell ref="A753:A754"/>
    <mergeCell ref="A755:A756"/>
    <mergeCell ref="A757:A758"/>
    <mergeCell ref="A759:A760"/>
    <mergeCell ref="A725:A726"/>
    <mergeCell ref="A727:A728"/>
    <mergeCell ref="A729:A730"/>
    <mergeCell ref="A731:A732"/>
    <mergeCell ref="A733:A734"/>
    <mergeCell ref="A735:A736"/>
    <mergeCell ref="A737:A738"/>
    <mergeCell ref="A739:A740"/>
    <mergeCell ref="A741:A742"/>
    <mergeCell ref="A707:A708"/>
    <mergeCell ref="A709:A710"/>
    <mergeCell ref="A711:A712"/>
    <mergeCell ref="A713:A714"/>
    <mergeCell ref="A715:A716"/>
    <mergeCell ref="A717:A718"/>
    <mergeCell ref="A719:A720"/>
    <mergeCell ref="A721:A722"/>
    <mergeCell ref="A723:A724"/>
    <mergeCell ref="A689:A690"/>
    <mergeCell ref="A691:A692"/>
    <mergeCell ref="A693:A694"/>
    <mergeCell ref="A695:A696"/>
    <mergeCell ref="A697:A698"/>
    <mergeCell ref="A699:A700"/>
    <mergeCell ref="A701:A702"/>
    <mergeCell ref="A703:A704"/>
    <mergeCell ref="A705:A706"/>
    <mergeCell ref="A671:A672"/>
    <mergeCell ref="A673:A674"/>
    <mergeCell ref="A675:A676"/>
    <mergeCell ref="A677:A678"/>
    <mergeCell ref="A679:A680"/>
    <mergeCell ref="A681:A682"/>
    <mergeCell ref="A683:A684"/>
    <mergeCell ref="A685:A686"/>
    <mergeCell ref="A687:A688"/>
    <mergeCell ref="A613:A614"/>
    <mergeCell ref="A603:A604"/>
    <mergeCell ref="A605:A606"/>
    <mergeCell ref="A607:A608"/>
    <mergeCell ref="A609:A610"/>
    <mergeCell ref="A611:A612"/>
    <mergeCell ref="A593:A594"/>
    <mergeCell ref="A595:A596"/>
    <mergeCell ref="A597:A598"/>
    <mergeCell ref="A599:A600"/>
    <mergeCell ref="A601:A602"/>
    <mergeCell ref="A583:A584"/>
    <mergeCell ref="A585:A586"/>
    <mergeCell ref="A587:A588"/>
    <mergeCell ref="A589:A590"/>
    <mergeCell ref="A591:A59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13:A514"/>
    <mergeCell ref="A515:A516"/>
    <mergeCell ref="A517:A518"/>
    <mergeCell ref="A519:A520"/>
    <mergeCell ref="A521:A522"/>
    <mergeCell ref="A503:A504"/>
    <mergeCell ref="A505:A506"/>
    <mergeCell ref="A507:A508"/>
    <mergeCell ref="A509:A510"/>
    <mergeCell ref="A511:A512"/>
    <mergeCell ref="A493:A494"/>
    <mergeCell ref="A495:A496"/>
    <mergeCell ref="A497:A498"/>
    <mergeCell ref="A499:A500"/>
    <mergeCell ref="A501:A502"/>
    <mergeCell ref="A483:A484"/>
    <mergeCell ref="A485:A486"/>
    <mergeCell ref="A487:A488"/>
    <mergeCell ref="A489:A490"/>
    <mergeCell ref="A491:A492"/>
    <mergeCell ref="A473:A474"/>
    <mergeCell ref="A475:A476"/>
    <mergeCell ref="A477:A478"/>
    <mergeCell ref="A479:A480"/>
    <mergeCell ref="A481:A482"/>
    <mergeCell ref="A463:A464"/>
    <mergeCell ref="A465:A466"/>
    <mergeCell ref="A467:A468"/>
    <mergeCell ref="A469:A470"/>
    <mergeCell ref="A471:A472"/>
    <mergeCell ref="A453:A454"/>
    <mergeCell ref="A455:A456"/>
    <mergeCell ref="A457:A458"/>
    <mergeCell ref="A459:A460"/>
    <mergeCell ref="A461:A46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383:A384"/>
    <mergeCell ref="A385:A386"/>
    <mergeCell ref="A387:A388"/>
    <mergeCell ref="A389:A390"/>
    <mergeCell ref="A391:A392"/>
    <mergeCell ref="A373:A374"/>
    <mergeCell ref="A375:A376"/>
    <mergeCell ref="A377:A378"/>
    <mergeCell ref="A379:A380"/>
    <mergeCell ref="A381:A382"/>
    <mergeCell ref="A363:A364"/>
    <mergeCell ref="A365:A366"/>
    <mergeCell ref="A367:A368"/>
    <mergeCell ref="A369:A370"/>
    <mergeCell ref="A371:A372"/>
    <mergeCell ref="A353:A354"/>
    <mergeCell ref="A355:A356"/>
    <mergeCell ref="A357:A358"/>
    <mergeCell ref="A359:A360"/>
    <mergeCell ref="A361:A362"/>
    <mergeCell ref="A343:A344"/>
    <mergeCell ref="A345:A346"/>
    <mergeCell ref="A347:A348"/>
    <mergeCell ref="A349:A350"/>
    <mergeCell ref="A351:A352"/>
    <mergeCell ref="A333:A334"/>
    <mergeCell ref="A335:A336"/>
    <mergeCell ref="A337:A338"/>
    <mergeCell ref="A339:A340"/>
    <mergeCell ref="A341:A342"/>
    <mergeCell ref="A323:A324"/>
    <mergeCell ref="A325:A326"/>
    <mergeCell ref="A327:A328"/>
    <mergeCell ref="A329:A330"/>
    <mergeCell ref="A331:A332"/>
    <mergeCell ref="A313:A314"/>
    <mergeCell ref="A315:A316"/>
    <mergeCell ref="A317:A318"/>
    <mergeCell ref="A319:A320"/>
    <mergeCell ref="A321:A32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241:A242"/>
    <mergeCell ref="A227:A228"/>
    <mergeCell ref="A229:A230"/>
    <mergeCell ref="A231:A232"/>
    <mergeCell ref="A213:A214"/>
    <mergeCell ref="A215:A216"/>
    <mergeCell ref="A217:A218"/>
    <mergeCell ref="A219:A220"/>
    <mergeCell ref="A221:A222"/>
    <mergeCell ref="A243:A244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263:A264"/>
    <mergeCell ref="A265:A266"/>
    <mergeCell ref="A267:A268"/>
    <mergeCell ref="A269:A270"/>
    <mergeCell ref="A271:A272"/>
    <mergeCell ref="A253:A254"/>
    <mergeCell ref="A255:A256"/>
    <mergeCell ref="A257:A258"/>
    <mergeCell ref="A259:A260"/>
    <mergeCell ref="A261:A262"/>
    <mergeCell ref="A223:A224"/>
    <mergeCell ref="A191:A192"/>
    <mergeCell ref="A1107:A1108"/>
    <mergeCell ref="A1109:A1110"/>
    <mergeCell ref="A1111:A1112"/>
    <mergeCell ref="A1113:A1114"/>
    <mergeCell ref="A1115:A1116"/>
    <mergeCell ref="A615:A616"/>
    <mergeCell ref="A617:A618"/>
    <mergeCell ref="A619:A620"/>
    <mergeCell ref="A621:A622"/>
    <mergeCell ref="A623:A624"/>
    <mergeCell ref="A625:A626"/>
    <mergeCell ref="A627:A628"/>
    <mergeCell ref="A629:A630"/>
    <mergeCell ref="A631:A632"/>
    <mergeCell ref="A633:A634"/>
    <mergeCell ref="A635:A636"/>
    <mergeCell ref="A637:A638"/>
    <mergeCell ref="A639:A640"/>
    <mergeCell ref="A641:A642"/>
    <mergeCell ref="A1097:A1098"/>
    <mergeCell ref="A203:A204"/>
    <mergeCell ref="A205:A206"/>
    <mergeCell ref="A245:A246"/>
    <mergeCell ref="A247:A248"/>
    <mergeCell ref="A249:A250"/>
    <mergeCell ref="A251:A252"/>
    <mergeCell ref="A233:A234"/>
    <mergeCell ref="A235:A236"/>
    <mergeCell ref="A237:A238"/>
    <mergeCell ref="A207:A208"/>
    <mergeCell ref="A239:A240"/>
    <mergeCell ref="A657:A658"/>
    <mergeCell ref="A659:A660"/>
    <mergeCell ref="A661:A662"/>
    <mergeCell ref="A663:A664"/>
    <mergeCell ref="A665:A666"/>
    <mergeCell ref="A667:A668"/>
    <mergeCell ref="A669:A670"/>
    <mergeCell ref="A171:A172"/>
    <mergeCell ref="A173:A174"/>
    <mergeCell ref="A175:A176"/>
    <mergeCell ref="A177:A178"/>
    <mergeCell ref="A179:A180"/>
    <mergeCell ref="A181:A182"/>
    <mergeCell ref="A183:A184"/>
    <mergeCell ref="A643:A644"/>
    <mergeCell ref="A645:A646"/>
    <mergeCell ref="A647:A648"/>
    <mergeCell ref="A649:A650"/>
    <mergeCell ref="A651:A652"/>
    <mergeCell ref="A653:A654"/>
    <mergeCell ref="A655:A656"/>
    <mergeCell ref="A185:A186"/>
    <mergeCell ref="A187:A188"/>
    <mergeCell ref="A189:A190"/>
    <mergeCell ref="A209:A210"/>
    <mergeCell ref="A211:A212"/>
    <mergeCell ref="A193:A194"/>
    <mergeCell ref="A195:A196"/>
    <mergeCell ref="A197:A198"/>
    <mergeCell ref="A199:A200"/>
    <mergeCell ref="A201:A202"/>
    <mergeCell ref="A225:A226"/>
    <mergeCell ref="A161:A162"/>
    <mergeCell ref="A163:A164"/>
    <mergeCell ref="A165:A166"/>
    <mergeCell ref="A167:A168"/>
    <mergeCell ref="A169:A170"/>
    <mergeCell ref="A151:A152"/>
    <mergeCell ref="A153:A154"/>
    <mergeCell ref="A155:A156"/>
    <mergeCell ref="A129:A130"/>
    <mergeCell ref="A131:A132"/>
    <mergeCell ref="A157:A158"/>
    <mergeCell ref="A159:A160"/>
    <mergeCell ref="A141:A142"/>
    <mergeCell ref="A143:A144"/>
    <mergeCell ref="A145:A146"/>
    <mergeCell ref="A147:A148"/>
    <mergeCell ref="A149:A150"/>
    <mergeCell ref="A119:A120"/>
    <mergeCell ref="A121:A122"/>
    <mergeCell ref="A123:A124"/>
    <mergeCell ref="A125:A126"/>
    <mergeCell ref="A127:A128"/>
    <mergeCell ref="A133:A134"/>
    <mergeCell ref="A135:A136"/>
    <mergeCell ref="A137:A138"/>
    <mergeCell ref="A139:A140"/>
    <mergeCell ref="A115:A116"/>
    <mergeCell ref="A117:A118"/>
    <mergeCell ref="A111:A112"/>
    <mergeCell ref="A113:A114"/>
    <mergeCell ref="A101:A102"/>
    <mergeCell ref="A103:A104"/>
    <mergeCell ref="A105:A106"/>
    <mergeCell ref="A107:A108"/>
    <mergeCell ref="A109:A110"/>
    <mergeCell ref="F5:F9"/>
    <mergeCell ref="A91:A92"/>
    <mergeCell ref="A93:A94"/>
    <mergeCell ref="A95:A96"/>
    <mergeCell ref="A97:A98"/>
    <mergeCell ref="A99:A100"/>
    <mergeCell ref="A81:A82"/>
    <mergeCell ref="A83:A84"/>
    <mergeCell ref="A85:A86"/>
    <mergeCell ref="A87:A88"/>
    <mergeCell ref="A89:A90"/>
    <mergeCell ref="A71:A72"/>
    <mergeCell ref="A73:A74"/>
    <mergeCell ref="A75:A76"/>
    <mergeCell ref="A77:A78"/>
    <mergeCell ref="A79:A80"/>
    <mergeCell ref="A61:A62"/>
    <mergeCell ref="A63:A64"/>
    <mergeCell ref="A65:A66"/>
    <mergeCell ref="A67:A68"/>
    <mergeCell ref="A69:A70"/>
    <mergeCell ref="E5:E9"/>
    <mergeCell ref="A51:A52"/>
    <mergeCell ref="A53:A54"/>
    <mergeCell ref="A55:A56"/>
    <mergeCell ref="A57:A58"/>
    <mergeCell ref="A59:A6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17:A18"/>
    <mergeCell ref="C5:C9"/>
    <mergeCell ref="D5:D9"/>
    <mergeCell ref="A19:A20"/>
    <mergeCell ref="A11:A12"/>
    <mergeCell ref="A13:A14"/>
    <mergeCell ref="A15:A16"/>
    <mergeCell ref="A5:A9"/>
    <mergeCell ref="S2320:S2321"/>
    <mergeCell ref="T2320:T2321"/>
    <mergeCell ref="V2320:V2321"/>
    <mergeCell ref="W2320:W2321"/>
    <mergeCell ref="X2320:X2321"/>
    <mergeCell ref="M5:AM5"/>
    <mergeCell ref="M6:M8"/>
    <mergeCell ref="N6:N8"/>
    <mergeCell ref="O6:AM6"/>
    <mergeCell ref="O7:P8"/>
    <mergeCell ref="Q7:R8"/>
    <mergeCell ref="S7:T8"/>
    <mergeCell ref="U7:V8"/>
    <mergeCell ref="W7:X8"/>
    <mergeCell ref="G5:H6"/>
    <mergeCell ref="AA7:AB8"/>
    <mergeCell ref="AC7:AD8"/>
    <mergeCell ref="AE7:AF8"/>
    <mergeCell ref="AG7:AH8"/>
    <mergeCell ref="L5:L9"/>
    <mergeCell ref="AK7:AL8"/>
    <mergeCell ref="AI7:AJ8"/>
    <mergeCell ref="I5:J6"/>
    <mergeCell ref="AM7:AM8"/>
    <mergeCell ref="K5:K9"/>
    <mergeCell ref="G7:G9"/>
    <mergeCell ref="H7:H9"/>
    <mergeCell ref="I7:I9"/>
    <mergeCell ref="J7:J9"/>
    <mergeCell ref="Y7:Z8"/>
    <mergeCell ref="T1881:T1882"/>
    <mergeCell ref="U1881:U1882"/>
    <mergeCell ref="AM2326:AM2327"/>
    <mergeCell ref="AM2328:AM2329"/>
    <mergeCell ref="Y2320:Y2321"/>
    <mergeCell ref="Z2320:Z2321"/>
    <mergeCell ref="AA2320:AA2321"/>
    <mergeCell ref="AB2320:AB2321"/>
    <mergeCell ref="AC2320:AC2321"/>
    <mergeCell ref="AD2320:AD2321"/>
    <mergeCell ref="AE2320:AE2321"/>
    <mergeCell ref="AF2320:AF2321"/>
    <mergeCell ref="AG2320:AG2321"/>
    <mergeCell ref="AH2320:AH2321"/>
    <mergeCell ref="AI2320:AI2321"/>
    <mergeCell ref="AJ2320:AJ2321"/>
    <mergeCell ref="AK2320:AK2321"/>
    <mergeCell ref="AL2320:AL2321"/>
    <mergeCell ref="AM2320:AM2321"/>
    <mergeCell ref="AF2322:AF2323"/>
    <mergeCell ref="AG2322:AG2323"/>
    <mergeCell ref="AH2322:AH2323"/>
    <mergeCell ref="AI2322:AI2323"/>
    <mergeCell ref="AJ2322:AJ2323"/>
    <mergeCell ref="AK2322:AK2323"/>
    <mergeCell ref="AL2322:AL2323"/>
    <mergeCell ref="AM2322:AM2323"/>
    <mergeCell ref="AD2328:AD2329"/>
    <mergeCell ref="AE2328:AE2329"/>
    <mergeCell ref="AF2328:AF2329"/>
    <mergeCell ref="AG2328:AG2329"/>
    <mergeCell ref="AH2328:AH2329"/>
    <mergeCell ref="AI2328:AI2329"/>
    <mergeCell ref="AJ2328:AJ2329"/>
    <mergeCell ref="AC2463:AC2464"/>
    <mergeCell ref="AD2463:AD2464"/>
    <mergeCell ref="AE2463:AE2464"/>
    <mergeCell ref="AF2463:AF2464"/>
    <mergeCell ref="AG2463:AG2464"/>
    <mergeCell ref="H2457:H2458"/>
    <mergeCell ref="J2457:J2458"/>
    <mergeCell ref="AC2326:AC2327"/>
    <mergeCell ref="AD2326:AD2327"/>
    <mergeCell ref="AE2326:AE2327"/>
    <mergeCell ref="AF2326:AF2327"/>
    <mergeCell ref="AG2326:AG2327"/>
    <mergeCell ref="AH2326:AH2327"/>
    <mergeCell ref="AI2326:AI2327"/>
    <mergeCell ref="AJ2326:AJ2327"/>
    <mergeCell ref="AK2326:AK2327"/>
    <mergeCell ref="AL2326:AL2327"/>
    <mergeCell ref="V2326:V2327"/>
    <mergeCell ref="W2326:W2327"/>
    <mergeCell ref="X2326:X2327"/>
    <mergeCell ref="Y2326:Y2327"/>
    <mergeCell ref="Z2326:Z2327"/>
    <mergeCell ref="AA2326:AA2327"/>
    <mergeCell ref="AB2326:AB2327"/>
    <mergeCell ref="V2328:V2329"/>
    <mergeCell ref="W2328:W2329"/>
    <mergeCell ref="X2328:X2329"/>
    <mergeCell ref="Y2328:Y2329"/>
    <mergeCell ref="Z2328:Z2329"/>
    <mergeCell ref="AA2328:AA2329"/>
    <mergeCell ref="AB2328:AB2329"/>
    <mergeCell ref="AC2328:AC2329"/>
    <mergeCell ref="AK2562:AK2563"/>
    <mergeCell ref="AL2562:AL2563"/>
    <mergeCell ref="AM2562:AM2563"/>
    <mergeCell ref="AF2554:AF2555"/>
    <mergeCell ref="AG2554:AG2555"/>
    <mergeCell ref="AH2554:AH2555"/>
    <mergeCell ref="AI2554:AI2555"/>
    <mergeCell ref="AJ2554:AJ2555"/>
    <mergeCell ref="AK2554:AK2555"/>
    <mergeCell ref="AL2554:AL2555"/>
    <mergeCell ref="AM2554:AM2555"/>
    <mergeCell ref="H2550:H2551"/>
    <mergeCell ref="J2550:J2551"/>
    <mergeCell ref="H2548:H2549"/>
    <mergeCell ref="J2548:J2549"/>
    <mergeCell ref="AH2463:AH2464"/>
    <mergeCell ref="AI2463:AI2464"/>
    <mergeCell ref="AJ2463:AJ2464"/>
    <mergeCell ref="AK2463:AK2464"/>
    <mergeCell ref="AL2463:AL2464"/>
    <mergeCell ref="AM2463:AM2464"/>
    <mergeCell ref="M2463:M2464"/>
    <mergeCell ref="N2463:N2464"/>
    <mergeCell ref="O2463:O2464"/>
    <mergeCell ref="P2463:P2464"/>
    <mergeCell ref="Q2463:Q2464"/>
    <mergeCell ref="S2463:S2464"/>
    <mergeCell ref="W2463:W2464"/>
    <mergeCell ref="X2463:X2464"/>
    <mergeCell ref="Y2463:Y2464"/>
    <mergeCell ref="Z2463:Z2464"/>
    <mergeCell ref="AA2463:AA2464"/>
    <mergeCell ref="AM2585:AM2586"/>
    <mergeCell ref="H2585:H2586"/>
    <mergeCell ref="J2585:J2586"/>
    <mergeCell ref="M2585:M2586"/>
    <mergeCell ref="N2585:N2586"/>
    <mergeCell ref="O2585:O2586"/>
    <mergeCell ref="P2585:P2586"/>
    <mergeCell ref="Q2585:Q2586"/>
    <mergeCell ref="R2585:R2586"/>
    <mergeCell ref="S2585:S2586"/>
    <mergeCell ref="T2585:T2586"/>
    <mergeCell ref="V2585:V2586"/>
    <mergeCell ref="W2585:W2586"/>
    <mergeCell ref="X2585:X2586"/>
    <mergeCell ref="Y2585:Y2586"/>
    <mergeCell ref="Z2585:Z2586"/>
    <mergeCell ref="AA2585:AA2586"/>
    <mergeCell ref="AB2585:AB2586"/>
    <mergeCell ref="AC2585:AC2586"/>
    <mergeCell ref="AD2585:AD2586"/>
    <mergeCell ref="AE2585:AE2586"/>
    <mergeCell ref="AF2585:AF2586"/>
    <mergeCell ref="AG2585:AG2586"/>
    <mergeCell ref="AH2585:AH2586"/>
    <mergeCell ref="AI2585:AI2586"/>
    <mergeCell ref="AJ2585:AJ2586"/>
    <mergeCell ref="AK2585:AK2586"/>
    <mergeCell ref="AL2585:AL2586"/>
    <mergeCell ref="AK2590:AK2591"/>
    <mergeCell ref="AL2590:AL2591"/>
    <mergeCell ref="AM2590:AM2591"/>
    <mergeCell ref="H2590:H2591"/>
    <mergeCell ref="J2590:J2591"/>
    <mergeCell ref="M2590:M2591"/>
    <mergeCell ref="N2590:N2591"/>
    <mergeCell ref="O2590:O2591"/>
    <mergeCell ref="P2590:P2591"/>
    <mergeCell ref="Q2590:Q2591"/>
    <mergeCell ref="R2590:R2591"/>
    <mergeCell ref="S2590:S2591"/>
    <mergeCell ref="T2590:T2591"/>
    <mergeCell ref="V2590:V2591"/>
    <mergeCell ref="W2590:W2591"/>
    <mergeCell ref="X2590:X2591"/>
    <mergeCell ref="Y2590:Y2591"/>
    <mergeCell ref="AK2595:AK2596"/>
    <mergeCell ref="AL2595:AL2596"/>
    <mergeCell ref="AM2595:AM2596"/>
    <mergeCell ref="M2595:M2596"/>
    <mergeCell ref="N2595:N2596"/>
    <mergeCell ref="O2595:O2596"/>
    <mergeCell ref="P2595:P2596"/>
    <mergeCell ref="Q2595:Q2596"/>
    <mergeCell ref="R2595:R2596"/>
    <mergeCell ref="S2595:S2596"/>
    <mergeCell ref="T2595:T2596"/>
    <mergeCell ref="V2595:V2596"/>
    <mergeCell ref="W2595:W2596"/>
    <mergeCell ref="X2595:X2596"/>
    <mergeCell ref="Y2595:Y2596"/>
    <mergeCell ref="Z2595:Z2596"/>
    <mergeCell ref="AA2595:AA2596"/>
    <mergeCell ref="AB2595:AB2596"/>
    <mergeCell ref="AC2595:AC2596"/>
    <mergeCell ref="V2322:V2323"/>
    <mergeCell ref="W2322:W2323"/>
    <mergeCell ref="X2322:X2323"/>
    <mergeCell ref="Y2322:Y2323"/>
    <mergeCell ref="Z2322:Z2323"/>
    <mergeCell ref="AA2322:AA2323"/>
    <mergeCell ref="AB2322:AB2323"/>
    <mergeCell ref="AC2322:AC2323"/>
    <mergeCell ref="AD2322:AD2323"/>
    <mergeCell ref="AE2322:AE2323"/>
    <mergeCell ref="AD2595:AD2596"/>
    <mergeCell ref="AE2595:AE2596"/>
    <mergeCell ref="AF2595:AF2596"/>
    <mergeCell ref="AG2595:AG2596"/>
    <mergeCell ref="AH2595:AH2596"/>
    <mergeCell ref="AI2595:AI2596"/>
    <mergeCell ref="AJ2595:AJ2596"/>
    <mergeCell ref="Z2590:Z2591"/>
    <mergeCell ref="AA2590:AA2591"/>
    <mergeCell ref="AB2590:AB2591"/>
    <mergeCell ref="AC2590:AC2591"/>
    <mergeCell ref="AD2590:AD2591"/>
    <mergeCell ref="AE2590:AE2591"/>
    <mergeCell ref="AF2590:AF2591"/>
    <mergeCell ref="AG2590:AG2591"/>
    <mergeCell ref="AH2590:AH2591"/>
    <mergeCell ref="AI2590:AI2591"/>
    <mergeCell ref="AJ2590:AJ2591"/>
    <mergeCell ref="AH2562:AH2563"/>
    <mergeCell ref="AI2562:AI2563"/>
    <mergeCell ref="AJ2562:AJ2563"/>
    <mergeCell ref="AB2463:AB2464"/>
    <mergeCell ref="E2320:E2321"/>
    <mergeCell ref="F2320:F2321"/>
    <mergeCell ref="U2320:U2321"/>
    <mergeCell ref="E2322:E2323"/>
    <mergeCell ref="F2322:F2323"/>
    <mergeCell ref="G2322:G2323"/>
    <mergeCell ref="H2322:H2323"/>
    <mergeCell ref="I2322:I2323"/>
    <mergeCell ref="J2322:J2323"/>
    <mergeCell ref="K2322:K2323"/>
    <mergeCell ref="L2322:L2323"/>
    <mergeCell ref="M2322:M2323"/>
    <mergeCell ref="N2322:N2323"/>
    <mergeCell ref="O2322:O2323"/>
    <mergeCell ref="P2322:P2323"/>
    <mergeCell ref="Q2322:Q2323"/>
    <mergeCell ref="R2322:R2323"/>
    <mergeCell ref="S2322:S2323"/>
    <mergeCell ref="T2322:T2323"/>
    <mergeCell ref="U2322:U2323"/>
    <mergeCell ref="G2320:G2321"/>
    <mergeCell ref="H2320:H2321"/>
    <mergeCell ref="I2320:I2321"/>
    <mergeCell ref="J2320:J2321"/>
    <mergeCell ref="K2320:K2321"/>
    <mergeCell ref="L2320:L2321"/>
    <mergeCell ref="M2320:M2321"/>
    <mergeCell ref="N2320:N2321"/>
    <mergeCell ref="O2320:O2321"/>
    <mergeCell ref="P2320:P2321"/>
    <mergeCell ref="Q2320:Q2321"/>
    <mergeCell ref="R2320:R2321"/>
    <mergeCell ref="E2326:E2327"/>
    <mergeCell ref="F2326:F2327"/>
    <mergeCell ref="G2326:G2327"/>
    <mergeCell ref="H2326:H2327"/>
    <mergeCell ref="I2326:I2327"/>
    <mergeCell ref="J2326:J2327"/>
    <mergeCell ref="K2326:K2327"/>
    <mergeCell ref="L2326:L2327"/>
    <mergeCell ref="M2326:M2327"/>
    <mergeCell ref="N2326:N2327"/>
    <mergeCell ref="O2326:O2327"/>
    <mergeCell ref="P2326:P2327"/>
    <mergeCell ref="Q2326:Q2327"/>
    <mergeCell ref="R2326:R2327"/>
    <mergeCell ref="S2326:S2327"/>
    <mergeCell ref="T2326:T2327"/>
    <mergeCell ref="U2326:U2327"/>
    <mergeCell ref="E2328:E2329"/>
    <mergeCell ref="F2328:F2329"/>
    <mergeCell ref="G2328:G2329"/>
    <mergeCell ref="H2328:H2329"/>
    <mergeCell ref="I2328:I2329"/>
    <mergeCell ref="J2328:J2329"/>
    <mergeCell ref="K2328:K2329"/>
    <mergeCell ref="L2328:L2329"/>
    <mergeCell ref="M2328:M2329"/>
    <mergeCell ref="N2328:N2329"/>
    <mergeCell ref="O2328:O2329"/>
    <mergeCell ref="P2328:P2329"/>
    <mergeCell ref="Q2328:Q2329"/>
    <mergeCell ref="R2328:R2329"/>
    <mergeCell ref="S2328:S2329"/>
    <mergeCell ref="T2328:T2329"/>
    <mergeCell ref="U2328:U2329"/>
    <mergeCell ref="AK2328:AK2329"/>
    <mergeCell ref="AL2328:AL2329"/>
    <mergeCell ref="G2339:G2340"/>
    <mergeCell ref="H2339:H2340"/>
    <mergeCell ref="I2339:I2340"/>
    <mergeCell ref="J2339:J2340"/>
    <mergeCell ref="K2339:K2340"/>
    <mergeCell ref="L2339:L2340"/>
    <mergeCell ref="M2339:M2340"/>
    <mergeCell ref="N2339:N2340"/>
    <mergeCell ref="O2339:O2340"/>
    <mergeCell ref="P2339:P2340"/>
    <mergeCell ref="Q2339:Q2340"/>
    <mergeCell ref="R2339:R2340"/>
    <mergeCell ref="S2339:S2340"/>
    <mergeCell ref="T2339:T2340"/>
    <mergeCell ref="U2339:U2340"/>
    <mergeCell ref="V2339:V2340"/>
    <mergeCell ref="W2339:W2340"/>
    <mergeCell ref="X2339:X2340"/>
    <mergeCell ref="Y2339:Y2340"/>
    <mergeCell ref="Z2339:Z2340"/>
    <mergeCell ref="AA2339:AA2340"/>
    <mergeCell ref="AB2339:AB2340"/>
    <mergeCell ref="AC2339:AC2340"/>
    <mergeCell ref="AD2339:AD2340"/>
    <mergeCell ref="AE2339:AE2340"/>
    <mergeCell ref="AF2339:AF2340"/>
    <mergeCell ref="AG2339:AG2340"/>
    <mergeCell ref="AH2339:AH2340"/>
    <mergeCell ref="AI2339:AI2340"/>
    <mergeCell ref="AJ2339:AJ2340"/>
    <mergeCell ref="AK2339:AK2340"/>
    <mergeCell ref="AL2339:AL2340"/>
    <mergeCell ref="AM2339:AM2340"/>
    <mergeCell ref="G2341:G2342"/>
    <mergeCell ref="H2341:H2342"/>
    <mergeCell ref="I2341:I2342"/>
    <mergeCell ref="J2341:J2342"/>
    <mergeCell ref="K2341:K2342"/>
    <mergeCell ref="L2341:L2342"/>
    <mergeCell ref="M2341:M2342"/>
    <mergeCell ref="N2341:N2342"/>
    <mergeCell ref="O2341:O2342"/>
    <mergeCell ref="P2341:P2342"/>
    <mergeCell ref="Q2341:Q2342"/>
    <mergeCell ref="R2341:R2342"/>
    <mergeCell ref="S2341:S2342"/>
    <mergeCell ref="T2341:T2342"/>
    <mergeCell ref="U2341:U2342"/>
    <mergeCell ref="V2341:V2342"/>
    <mergeCell ref="W2341:W2342"/>
    <mergeCell ref="X2341:X2342"/>
    <mergeCell ref="Y2341:Y2342"/>
    <mergeCell ref="Z2341:Z2342"/>
    <mergeCell ref="AA2341:AA2342"/>
    <mergeCell ref="AB2341:AB2342"/>
    <mergeCell ref="AC2341:AC2342"/>
    <mergeCell ref="AD2341:AD2342"/>
    <mergeCell ref="AE2341:AE2342"/>
    <mergeCell ref="AF2341:AF2342"/>
    <mergeCell ref="AG2341:AG2342"/>
    <mergeCell ref="AH2341:AH2342"/>
    <mergeCell ref="AI2341:AI2342"/>
    <mergeCell ref="AJ2341:AJ2342"/>
    <mergeCell ref="AK2341:AK2342"/>
    <mergeCell ref="AL2341:AL2342"/>
    <mergeCell ref="AM2341:AM2342"/>
    <mergeCell ref="H2362:H2366"/>
    <mergeCell ref="J2362:J2366"/>
    <mergeCell ref="M2362:M2366"/>
    <mergeCell ref="N2362:N2366"/>
    <mergeCell ref="O2362:O2366"/>
    <mergeCell ref="P2362:P2366"/>
    <mergeCell ref="Q2362:Q2366"/>
    <mergeCell ref="R2362:R2366"/>
    <mergeCell ref="S2362:S2366"/>
    <mergeCell ref="T2362:T2366"/>
    <mergeCell ref="U2362:U2366"/>
    <mergeCell ref="V2362:V2366"/>
    <mergeCell ref="W2362:W2366"/>
    <mergeCell ref="X2362:X2366"/>
    <mergeCell ref="Y2362:Y2366"/>
    <mergeCell ref="Z2362:Z2366"/>
    <mergeCell ref="AA2362:AA2366"/>
    <mergeCell ref="AB2362:AB2366"/>
    <mergeCell ref="AC2362:AC2366"/>
    <mergeCell ref="AD2362:AD2366"/>
    <mergeCell ref="AE2362:AE2366"/>
    <mergeCell ref="AF2362:AF2366"/>
    <mergeCell ref="AG2362:AG2366"/>
    <mergeCell ref="AH2362:AH2366"/>
    <mergeCell ref="AI2362:AI2366"/>
    <mergeCell ref="AJ2362:AJ2366"/>
    <mergeCell ref="AK2362:AK2366"/>
    <mergeCell ref="AL2362:AL2366"/>
    <mergeCell ref="AM2362:AM2366"/>
    <mergeCell ref="H2367:H2368"/>
    <mergeCell ref="J2367:J2368"/>
    <mergeCell ref="M2367:M2368"/>
    <mergeCell ref="N2367:N2368"/>
    <mergeCell ref="O2367:O2368"/>
    <mergeCell ref="P2367:P2368"/>
    <mergeCell ref="Q2367:Q2368"/>
    <mergeCell ref="R2367:R2368"/>
    <mergeCell ref="S2367:S2368"/>
    <mergeCell ref="T2367:T2368"/>
    <mergeCell ref="U2367:U2368"/>
    <mergeCell ref="V2367:V2368"/>
    <mergeCell ref="W2367:W2368"/>
    <mergeCell ref="X2367:X2368"/>
    <mergeCell ref="Y2367:Y2368"/>
    <mergeCell ref="Z2367:Z2368"/>
    <mergeCell ref="AA2367:AA2368"/>
    <mergeCell ref="AB2367:AB2368"/>
    <mergeCell ref="AC2367:AC2368"/>
    <mergeCell ref="AD2367:AD2368"/>
    <mergeCell ref="AE2367:AE2368"/>
    <mergeCell ref="AF2367:AF2368"/>
    <mergeCell ref="AG2367:AG2368"/>
    <mergeCell ref="AH2367:AH2368"/>
    <mergeCell ref="AI2367:AI2368"/>
    <mergeCell ref="AJ2367:AJ2368"/>
    <mergeCell ref="AK2367:AK2368"/>
    <mergeCell ref="AL2367:AL2368"/>
    <mergeCell ref="AM2367:AM2368"/>
    <mergeCell ref="H2369:H2370"/>
    <mergeCell ref="J2369:J2370"/>
    <mergeCell ref="H2380:H2382"/>
    <mergeCell ref="J2380:J2382"/>
    <mergeCell ref="M2380:M2382"/>
    <mergeCell ref="N2380:N2382"/>
    <mergeCell ref="O2380:O2382"/>
    <mergeCell ref="P2380:P2382"/>
    <mergeCell ref="Q2380:Q2382"/>
    <mergeCell ref="R2380:R2382"/>
    <mergeCell ref="S2380:S2382"/>
    <mergeCell ref="T2380:T2382"/>
    <mergeCell ref="U2380:U2382"/>
    <mergeCell ref="V2380:V2382"/>
    <mergeCell ref="W2380:W2382"/>
    <mergeCell ref="X2380:X2382"/>
    <mergeCell ref="Y2380:Y2382"/>
    <mergeCell ref="Z2380:Z2382"/>
    <mergeCell ref="AA2380:AA2382"/>
    <mergeCell ref="AB2380:AB2382"/>
    <mergeCell ref="AC2380:AC2382"/>
    <mergeCell ref="AD2380:AD2382"/>
    <mergeCell ref="AE2380:AE2382"/>
    <mergeCell ref="AF2380:AF2382"/>
    <mergeCell ref="AG2380:AG2382"/>
    <mergeCell ref="AH2380:AH2382"/>
    <mergeCell ref="AI2380:AI2382"/>
    <mergeCell ref="AJ2380:AJ2382"/>
    <mergeCell ref="AK2380:AK2382"/>
    <mergeCell ref="AL2380:AL2382"/>
    <mergeCell ref="AM2380:AM2382"/>
    <mergeCell ref="H2393:H2394"/>
    <mergeCell ref="J2393:J2394"/>
    <mergeCell ref="H2395:H2396"/>
    <mergeCell ref="J2395:J2396"/>
    <mergeCell ref="H2399:H2400"/>
    <mergeCell ref="J2399:J2400"/>
    <mergeCell ref="H2402:H2403"/>
    <mergeCell ref="J2402:J2403"/>
    <mergeCell ref="G2404:G2405"/>
    <mergeCell ref="H2404:H2405"/>
    <mergeCell ref="J2404:J2405"/>
    <mergeCell ref="H2410:H2411"/>
    <mergeCell ref="J2410:J2411"/>
    <mergeCell ref="E2415:E2416"/>
    <mergeCell ref="F2415:F2416"/>
    <mergeCell ref="H2415:H2418"/>
    <mergeCell ref="J2415:J2418"/>
    <mergeCell ref="M2415:M2416"/>
    <mergeCell ref="N2415:N2416"/>
    <mergeCell ref="O2415:O2416"/>
    <mergeCell ref="P2415:P2416"/>
    <mergeCell ref="Q2415:Q2416"/>
    <mergeCell ref="R2415:R2416"/>
    <mergeCell ref="S2415:S2416"/>
    <mergeCell ref="T2415:T2416"/>
    <mergeCell ref="U2415:U2416"/>
    <mergeCell ref="V2415:V2416"/>
    <mergeCell ref="W2415:W2416"/>
    <mergeCell ref="X2415:X2416"/>
    <mergeCell ref="Y2415:Y2416"/>
    <mergeCell ref="Z2415:Z2416"/>
    <mergeCell ref="AA2415:AA2416"/>
    <mergeCell ref="AB2415:AB2416"/>
    <mergeCell ref="AC2415:AC2416"/>
    <mergeCell ref="AD2415:AD2416"/>
    <mergeCell ref="AE2415:AE2416"/>
    <mergeCell ref="AF2415:AF2416"/>
    <mergeCell ref="AG2415:AG2416"/>
    <mergeCell ref="AH2415:AH2416"/>
    <mergeCell ref="AI2415:AI2416"/>
    <mergeCell ref="AJ2415:AJ2416"/>
    <mergeCell ref="AK2415:AK2416"/>
    <mergeCell ref="AL2415:AL2416"/>
    <mergeCell ref="AM2415:AM2416"/>
    <mergeCell ref="E2417:E2418"/>
    <mergeCell ref="F2417:F2418"/>
    <mergeCell ref="M2417:M2418"/>
    <mergeCell ref="N2417:N2418"/>
    <mergeCell ref="O2417:O2418"/>
    <mergeCell ref="P2417:P2418"/>
    <mergeCell ref="Q2417:Q2418"/>
    <mergeCell ref="R2417:R2418"/>
    <mergeCell ref="S2417:S2418"/>
    <mergeCell ref="T2417:T2418"/>
    <mergeCell ref="U2417:U2418"/>
    <mergeCell ref="V2417:V2418"/>
    <mergeCell ref="W2417:W2418"/>
    <mergeCell ref="X2417:X2418"/>
    <mergeCell ref="Y2417:Y2418"/>
    <mergeCell ref="Z2417:Z2418"/>
    <mergeCell ref="AA2417:AA2418"/>
    <mergeCell ref="AB2417:AB2418"/>
    <mergeCell ref="AC2417:AC2418"/>
    <mergeCell ref="AD2417:AD2418"/>
    <mergeCell ref="AE2417:AE2418"/>
    <mergeCell ref="AF2417:AF2418"/>
    <mergeCell ref="AG2417:AG2418"/>
    <mergeCell ref="AH2417:AH2418"/>
    <mergeCell ref="AI2417:AI2418"/>
    <mergeCell ref="AJ2417:AJ2418"/>
    <mergeCell ref="AK2417:AK2418"/>
    <mergeCell ref="AL2417:AL2418"/>
    <mergeCell ref="AM2417:AM2418"/>
    <mergeCell ref="H2420:H2421"/>
    <mergeCell ref="J2420:J2421"/>
    <mergeCell ref="H2424:H2425"/>
    <mergeCell ref="J2424:J2425"/>
    <mergeCell ref="H2432:H2433"/>
    <mergeCell ref="J2432:J2433"/>
    <mergeCell ref="E2435:E2437"/>
    <mergeCell ref="F2435:F2437"/>
    <mergeCell ref="H2435:H2440"/>
    <mergeCell ref="J2435:J2440"/>
    <mergeCell ref="M2435:M2437"/>
    <mergeCell ref="N2435:N2437"/>
    <mergeCell ref="O2435:O2437"/>
    <mergeCell ref="P2435:P2437"/>
    <mergeCell ref="Q2435:Q2437"/>
    <mergeCell ref="R2435:R2437"/>
    <mergeCell ref="S2435:S2437"/>
    <mergeCell ref="T2435:T2437"/>
    <mergeCell ref="U2435:U2437"/>
    <mergeCell ref="V2435:V2437"/>
    <mergeCell ref="W2435:W2437"/>
    <mergeCell ref="X2435:X2437"/>
    <mergeCell ref="Y2435:Y2437"/>
    <mergeCell ref="Z2435:Z2437"/>
    <mergeCell ref="AA2435:AA2437"/>
    <mergeCell ref="AB2435:AB2437"/>
    <mergeCell ref="AC2435:AC2437"/>
    <mergeCell ref="AD2435:AD2437"/>
    <mergeCell ref="AE2435:AE2437"/>
    <mergeCell ref="AF2435:AF2437"/>
    <mergeCell ref="AG2435:AG2437"/>
    <mergeCell ref="AH2435:AH2437"/>
    <mergeCell ref="AI2435:AI2437"/>
    <mergeCell ref="AJ2435:AJ2437"/>
    <mergeCell ref="AK2435:AK2437"/>
    <mergeCell ref="AL2435:AL2437"/>
    <mergeCell ref="AM2435:AM2437"/>
    <mergeCell ref="E2438:E2440"/>
    <mergeCell ref="F2438:F2440"/>
    <mergeCell ref="M2438:M2440"/>
    <mergeCell ref="N2438:N2440"/>
    <mergeCell ref="O2438:O2440"/>
    <mergeCell ref="P2438:P2440"/>
    <mergeCell ref="Q2438:Q2440"/>
    <mergeCell ref="R2438:R2440"/>
    <mergeCell ref="S2438:S2440"/>
    <mergeCell ref="T2438:T2440"/>
    <mergeCell ref="U2438:U2440"/>
    <mergeCell ref="V2438:V2440"/>
    <mergeCell ref="W2438:W2440"/>
    <mergeCell ref="X2438:X2440"/>
    <mergeCell ref="Y2438:Y2440"/>
    <mergeCell ref="Z2438:Z2440"/>
    <mergeCell ref="AA2438:AA2440"/>
    <mergeCell ref="AB2438:AB2440"/>
    <mergeCell ref="AC2438:AC2440"/>
    <mergeCell ref="AD2438:AD2440"/>
    <mergeCell ref="AE2438:AE2440"/>
    <mergeCell ref="AF2438:AF2440"/>
    <mergeCell ref="AG2438:AG2440"/>
    <mergeCell ref="AH2438:AH2440"/>
    <mergeCell ref="AI2438:AI2440"/>
    <mergeCell ref="AJ2438:AJ2440"/>
    <mergeCell ref="AK2438:AK2440"/>
    <mergeCell ref="AL2438:AL2440"/>
    <mergeCell ref="AM2438:AM2440"/>
    <mergeCell ref="H2443:H2444"/>
    <mergeCell ref="J2443:J2444"/>
    <mergeCell ref="H2447:H2448"/>
    <mergeCell ref="J2447:J2448"/>
    <mergeCell ref="H2451:H2452"/>
    <mergeCell ref="J2451:J2452"/>
    <mergeCell ref="H2453:H2454"/>
    <mergeCell ref="J2453:J2454"/>
    <mergeCell ref="H2459:H2460"/>
    <mergeCell ref="J2459:J2460"/>
    <mergeCell ref="H2461:H2462"/>
    <mergeCell ref="J2461:J2462"/>
    <mergeCell ref="E2463:E2464"/>
    <mergeCell ref="F2463:F2464"/>
    <mergeCell ref="H2463:H2466"/>
    <mergeCell ref="J2463:J2466"/>
    <mergeCell ref="R2463:R2464"/>
    <mergeCell ref="T2463:T2464"/>
    <mergeCell ref="U2463:U2464"/>
    <mergeCell ref="V2463:V2464"/>
    <mergeCell ref="E2465:E2466"/>
    <mergeCell ref="F2465:F2466"/>
    <mergeCell ref="M2465:M2466"/>
    <mergeCell ref="N2465:N2466"/>
    <mergeCell ref="O2465:O2466"/>
    <mergeCell ref="P2465:P2466"/>
    <mergeCell ref="Q2465:Q2466"/>
    <mergeCell ref="R2465:R2466"/>
    <mergeCell ref="S2465:S2466"/>
    <mergeCell ref="T2465:T2466"/>
    <mergeCell ref="U2465:U2466"/>
    <mergeCell ref="V2465:V2466"/>
    <mergeCell ref="W2465:W2466"/>
    <mergeCell ref="X2465:X2466"/>
    <mergeCell ref="Y2465:Y2466"/>
    <mergeCell ref="Z2465:Z2466"/>
    <mergeCell ref="AA2465:AA2466"/>
    <mergeCell ref="AB2465:AB2466"/>
    <mergeCell ref="AC2465:AC2466"/>
    <mergeCell ref="AD2465:AD2466"/>
    <mergeCell ref="AE2465:AE2466"/>
    <mergeCell ref="AF2465:AF2466"/>
    <mergeCell ref="AG2465:AG2466"/>
    <mergeCell ref="AH2465:AH2466"/>
    <mergeCell ref="AI2465:AI2466"/>
    <mergeCell ref="AJ2465:AJ2466"/>
    <mergeCell ref="AK2465:AK2466"/>
    <mergeCell ref="AL2465:AL2466"/>
    <mergeCell ref="AM2465:AM2466"/>
    <mergeCell ref="H2469:H2471"/>
    <mergeCell ref="J2469:J2471"/>
    <mergeCell ref="E2481:E2482"/>
    <mergeCell ref="F2481:F2482"/>
    <mergeCell ref="H2481:H2484"/>
    <mergeCell ref="J2481:J2484"/>
    <mergeCell ref="M2481:M2482"/>
    <mergeCell ref="N2481:N2482"/>
    <mergeCell ref="O2481:O2482"/>
    <mergeCell ref="P2481:P2482"/>
    <mergeCell ref="Q2481:Q2482"/>
    <mergeCell ref="R2481:R2482"/>
    <mergeCell ref="S2481:S2482"/>
    <mergeCell ref="T2481:T2482"/>
    <mergeCell ref="U2481:U2482"/>
    <mergeCell ref="V2481:V2482"/>
    <mergeCell ref="W2481:W2482"/>
    <mergeCell ref="X2481:X2482"/>
    <mergeCell ref="Y2481:Y2482"/>
    <mergeCell ref="Z2481:Z2482"/>
    <mergeCell ref="AA2481:AA2482"/>
    <mergeCell ref="AB2481:AB2482"/>
    <mergeCell ref="AC2481:AC2482"/>
    <mergeCell ref="AD2481:AD2482"/>
    <mergeCell ref="AE2481:AE2482"/>
    <mergeCell ref="AF2481:AF2482"/>
    <mergeCell ref="AG2481:AG2482"/>
    <mergeCell ref="AH2481:AH2482"/>
    <mergeCell ref="AI2481:AI2482"/>
    <mergeCell ref="AJ2481:AJ2482"/>
    <mergeCell ref="AK2481:AK2482"/>
    <mergeCell ref="AL2481:AL2482"/>
    <mergeCell ref="AM2481:AM2482"/>
    <mergeCell ref="E2483:E2484"/>
    <mergeCell ref="F2483:F2484"/>
    <mergeCell ref="M2483:M2484"/>
    <mergeCell ref="N2483:N2484"/>
    <mergeCell ref="O2483:O2484"/>
    <mergeCell ref="P2483:P2484"/>
    <mergeCell ref="Q2483:Q2484"/>
    <mergeCell ref="R2483:R2484"/>
    <mergeCell ref="S2483:S2484"/>
    <mergeCell ref="T2483:T2484"/>
    <mergeCell ref="U2483:U2484"/>
    <mergeCell ref="V2483:V2484"/>
    <mergeCell ref="W2483:W2484"/>
    <mergeCell ref="X2483:X2484"/>
    <mergeCell ref="Y2483:Y2484"/>
    <mergeCell ref="Z2483:Z2484"/>
    <mergeCell ref="AA2483:AA2484"/>
    <mergeCell ref="AB2483:AB2484"/>
    <mergeCell ref="AC2483:AC2484"/>
    <mergeCell ref="AD2483:AD2484"/>
    <mergeCell ref="AE2483:AE2484"/>
    <mergeCell ref="AF2483:AF2484"/>
    <mergeCell ref="AG2483:AG2484"/>
    <mergeCell ref="AH2483:AH2484"/>
    <mergeCell ref="AI2483:AI2484"/>
    <mergeCell ref="AJ2483:AJ2484"/>
    <mergeCell ref="AK2483:AK2484"/>
    <mergeCell ref="AL2483:AL2484"/>
    <mergeCell ref="AM2483:AM2484"/>
    <mergeCell ref="H2487:H2488"/>
    <mergeCell ref="J2487:J2488"/>
    <mergeCell ref="H2490:H2491"/>
    <mergeCell ref="J2490:J2491"/>
    <mergeCell ref="H2492:H2493"/>
    <mergeCell ref="J2492:J2493"/>
    <mergeCell ref="H2504:H2505"/>
    <mergeCell ref="J2504:J2505"/>
    <mergeCell ref="H2511:H2513"/>
    <mergeCell ref="J2511:J2513"/>
    <mergeCell ref="M2511:M2513"/>
    <mergeCell ref="N2511:N2513"/>
    <mergeCell ref="O2511:O2513"/>
    <mergeCell ref="P2511:P2513"/>
    <mergeCell ref="Q2511:Q2513"/>
    <mergeCell ref="R2511:R2513"/>
    <mergeCell ref="S2511:S2513"/>
    <mergeCell ref="T2511:T2513"/>
    <mergeCell ref="U2511:U2513"/>
    <mergeCell ref="V2511:V2513"/>
    <mergeCell ref="W2511:W2513"/>
    <mergeCell ref="X2511:X2513"/>
    <mergeCell ref="Y2511:Y2513"/>
    <mergeCell ref="Z2511:Z2513"/>
    <mergeCell ref="AA2511:AA2513"/>
    <mergeCell ref="AB2511:AB2513"/>
    <mergeCell ref="AC2511:AC2513"/>
    <mergeCell ref="AD2511:AD2513"/>
    <mergeCell ref="AE2511:AE2513"/>
    <mergeCell ref="AF2511:AF2513"/>
    <mergeCell ref="AG2511:AG2513"/>
    <mergeCell ref="AH2511:AH2513"/>
    <mergeCell ref="AI2511:AI2513"/>
    <mergeCell ref="AJ2511:AJ2513"/>
    <mergeCell ref="AK2511:AK2513"/>
    <mergeCell ref="AL2511:AL2513"/>
    <mergeCell ref="AM2511:AM2513"/>
    <mergeCell ref="H2522:H2523"/>
    <mergeCell ref="J2522:J2523"/>
    <mergeCell ref="M2522:M2523"/>
    <mergeCell ref="N2522:N2523"/>
    <mergeCell ref="O2522:O2523"/>
    <mergeCell ref="P2522:P2523"/>
    <mergeCell ref="Q2522:Q2523"/>
    <mergeCell ref="R2522:R2523"/>
    <mergeCell ref="S2522:S2523"/>
    <mergeCell ref="T2522:T2523"/>
    <mergeCell ref="U2522:U2523"/>
    <mergeCell ref="W2522:W2523"/>
    <mergeCell ref="X2522:X2523"/>
    <mergeCell ref="Y2522:Y2523"/>
    <mergeCell ref="Z2522:Z2523"/>
    <mergeCell ref="AA2522:AA2523"/>
    <mergeCell ref="AB2522:AB2523"/>
    <mergeCell ref="AC2522:AC2523"/>
    <mergeCell ref="AD2522:AD2523"/>
    <mergeCell ref="AE2522:AE2523"/>
    <mergeCell ref="AF2522:AF2523"/>
    <mergeCell ref="AG2522:AG2523"/>
    <mergeCell ref="AH2522:AH2523"/>
    <mergeCell ref="AI2522:AI2523"/>
    <mergeCell ref="AJ2522:AJ2523"/>
    <mergeCell ref="AK2522:AK2523"/>
    <mergeCell ref="AL2522:AL2523"/>
    <mergeCell ref="AM2522:AM2523"/>
    <mergeCell ref="H2525:H2526"/>
    <mergeCell ref="J2525:J2526"/>
    <mergeCell ref="H2528:H2529"/>
    <mergeCell ref="J2528:J2529"/>
    <mergeCell ref="H2530:H2531"/>
    <mergeCell ref="J2530:J2531"/>
    <mergeCell ref="H2534:H2536"/>
    <mergeCell ref="J2534:J2536"/>
    <mergeCell ref="M2534:M2536"/>
    <mergeCell ref="N2534:N2536"/>
    <mergeCell ref="O2534:O2536"/>
    <mergeCell ref="P2534:P2536"/>
    <mergeCell ref="Q2534:Q2536"/>
    <mergeCell ref="R2534:R2536"/>
    <mergeCell ref="S2534:S2536"/>
    <mergeCell ref="T2534:T2536"/>
    <mergeCell ref="U2534:U2536"/>
    <mergeCell ref="V2534:V2536"/>
    <mergeCell ref="W2534:W2536"/>
    <mergeCell ref="X2534:X2536"/>
    <mergeCell ref="Y2534:Y2536"/>
    <mergeCell ref="Z2534:Z2536"/>
    <mergeCell ref="AA2534:AA2536"/>
    <mergeCell ref="AB2534:AB2536"/>
    <mergeCell ref="AC2534:AC2536"/>
    <mergeCell ref="AD2534:AD2536"/>
    <mergeCell ref="AE2534:AE2536"/>
    <mergeCell ref="AF2534:AF2536"/>
    <mergeCell ref="AG2534:AG2536"/>
    <mergeCell ref="AH2534:AH2536"/>
    <mergeCell ref="AI2534:AI2536"/>
    <mergeCell ref="AJ2534:AJ2536"/>
    <mergeCell ref="AK2534:AK2536"/>
    <mergeCell ref="AL2534:AL2536"/>
    <mergeCell ref="AM2534:AM2536"/>
    <mergeCell ref="H2545:H2547"/>
    <mergeCell ref="J2545:J2547"/>
    <mergeCell ref="M2545:M2547"/>
    <mergeCell ref="N2545:N2547"/>
    <mergeCell ref="O2545:O2547"/>
    <mergeCell ref="P2545:P2547"/>
    <mergeCell ref="Q2545:Q2547"/>
    <mergeCell ref="R2545:R2547"/>
    <mergeCell ref="S2545:S2547"/>
    <mergeCell ref="T2545:T2547"/>
    <mergeCell ref="U2545:U2547"/>
    <mergeCell ref="V2545:V2547"/>
    <mergeCell ref="W2545:W2547"/>
    <mergeCell ref="X2545:X2547"/>
    <mergeCell ref="Y2545:Y2547"/>
    <mergeCell ref="Z2545:Z2547"/>
    <mergeCell ref="AA2545:AA2547"/>
    <mergeCell ref="AB2545:AB2547"/>
    <mergeCell ref="AC2545:AC2547"/>
    <mergeCell ref="AD2545:AD2547"/>
    <mergeCell ref="AE2545:AE2547"/>
    <mergeCell ref="AF2545:AF2547"/>
    <mergeCell ref="AG2545:AG2547"/>
    <mergeCell ref="AH2545:AH2547"/>
    <mergeCell ref="AI2545:AI2547"/>
    <mergeCell ref="AJ2545:AJ2547"/>
    <mergeCell ref="AK2545:AK2547"/>
    <mergeCell ref="AL2545:AL2547"/>
    <mergeCell ref="AM2545:AM2547"/>
    <mergeCell ref="H2552:H2553"/>
    <mergeCell ref="J2552:J2553"/>
    <mergeCell ref="H2554:H2555"/>
    <mergeCell ref="J2554:J2555"/>
    <mergeCell ref="M2554:M2555"/>
    <mergeCell ref="N2554:N2555"/>
    <mergeCell ref="O2554:O2555"/>
    <mergeCell ref="P2554:P2555"/>
    <mergeCell ref="Q2554:Q2555"/>
    <mergeCell ref="R2554:R2555"/>
    <mergeCell ref="S2554:S2555"/>
    <mergeCell ref="T2554:T2555"/>
    <mergeCell ref="U2554:U2555"/>
    <mergeCell ref="V2554:V2555"/>
    <mergeCell ref="W2554:W2555"/>
    <mergeCell ref="X2554:X2555"/>
    <mergeCell ref="Y2554:Y2555"/>
    <mergeCell ref="Z2554:Z2555"/>
    <mergeCell ref="AA2554:AA2555"/>
    <mergeCell ref="AB2554:AB2555"/>
    <mergeCell ref="AC2554:AC2555"/>
    <mergeCell ref="AD2554:AD2555"/>
    <mergeCell ref="AE2554:AE2555"/>
    <mergeCell ref="E2556:E2558"/>
    <mergeCell ref="F2556:F2558"/>
    <mergeCell ref="H2556:H2561"/>
    <mergeCell ref="J2556:J2561"/>
    <mergeCell ref="M2556:M2558"/>
    <mergeCell ref="N2556:N2558"/>
    <mergeCell ref="O2556:O2558"/>
    <mergeCell ref="P2556:P2558"/>
    <mergeCell ref="Q2556:Q2558"/>
    <mergeCell ref="R2556:R2558"/>
    <mergeCell ref="S2556:S2558"/>
    <mergeCell ref="T2556:T2558"/>
    <mergeCell ref="U2556:U2558"/>
    <mergeCell ref="V2556:V2558"/>
    <mergeCell ref="W2556:W2558"/>
    <mergeCell ref="X2556:X2558"/>
    <mergeCell ref="Y2556:Y2558"/>
    <mergeCell ref="Z2556:Z2558"/>
    <mergeCell ref="AA2556:AA2558"/>
    <mergeCell ref="AB2556:AB2558"/>
    <mergeCell ref="AC2556:AC2558"/>
    <mergeCell ref="AD2556:AD2558"/>
    <mergeCell ref="AE2556:AE2558"/>
    <mergeCell ref="AF2556:AF2558"/>
    <mergeCell ref="AG2556:AG2558"/>
    <mergeCell ref="AH2556:AH2558"/>
    <mergeCell ref="AI2556:AI2558"/>
    <mergeCell ref="AJ2556:AJ2558"/>
    <mergeCell ref="AK2556:AK2558"/>
    <mergeCell ref="AL2556:AL2558"/>
    <mergeCell ref="AM2556:AM2558"/>
    <mergeCell ref="E2559:E2561"/>
    <mergeCell ref="F2559:F2561"/>
    <mergeCell ref="M2559:M2561"/>
    <mergeCell ref="N2559:N2561"/>
    <mergeCell ref="O2559:O2561"/>
    <mergeCell ref="P2559:P2561"/>
    <mergeCell ref="Q2559:Q2561"/>
    <mergeCell ref="R2559:R2561"/>
    <mergeCell ref="S2559:S2561"/>
    <mergeCell ref="T2559:T2561"/>
    <mergeCell ref="U2559:U2561"/>
    <mergeCell ref="V2559:V2561"/>
    <mergeCell ref="W2559:W2561"/>
    <mergeCell ref="X2559:X2561"/>
    <mergeCell ref="Y2559:Y2561"/>
    <mergeCell ref="Z2559:Z2561"/>
    <mergeCell ref="AA2559:AA2561"/>
    <mergeCell ref="AB2559:AB2561"/>
    <mergeCell ref="AC2559:AC2561"/>
    <mergeCell ref="AD2559:AD2561"/>
    <mergeCell ref="AE2559:AE2561"/>
    <mergeCell ref="AF2559:AF2561"/>
    <mergeCell ref="AG2559:AG2561"/>
    <mergeCell ref="AH2559:AH2561"/>
    <mergeCell ref="AI2559:AI2561"/>
    <mergeCell ref="AJ2559:AJ2561"/>
    <mergeCell ref="AK2559:AK2561"/>
    <mergeCell ref="AL2559:AL2561"/>
    <mergeCell ref="AM2559:AM2561"/>
    <mergeCell ref="M2562:M2563"/>
    <mergeCell ref="N2562:N2563"/>
    <mergeCell ref="O2562:O2563"/>
    <mergeCell ref="P2562:P2563"/>
    <mergeCell ref="Q2562:Q2563"/>
    <mergeCell ref="R2562:R2563"/>
    <mergeCell ref="S2562:S2563"/>
    <mergeCell ref="T2562:T2563"/>
    <mergeCell ref="U2562:U2563"/>
    <mergeCell ref="V2562:V2563"/>
    <mergeCell ref="W2562:W2563"/>
    <mergeCell ref="X2562:X2563"/>
    <mergeCell ref="Y2562:Y2563"/>
    <mergeCell ref="Z2562:Z2563"/>
    <mergeCell ref="AA2562:AA2563"/>
    <mergeCell ref="AB2562:AB2563"/>
    <mergeCell ref="AC2562:AC2563"/>
    <mergeCell ref="AD2562:AD2563"/>
    <mergeCell ref="AE2562:AE2563"/>
    <mergeCell ref="AF2562:AF2563"/>
    <mergeCell ref="AG2562:AG2563"/>
    <mergeCell ref="H2572:H2575"/>
    <mergeCell ref="J2572:J2575"/>
    <mergeCell ref="M2572:M2575"/>
    <mergeCell ref="N2572:N2575"/>
    <mergeCell ref="O2572:O2575"/>
    <mergeCell ref="P2572:P2575"/>
    <mergeCell ref="Q2572:Q2575"/>
    <mergeCell ref="R2572:R2575"/>
    <mergeCell ref="S2572:S2575"/>
    <mergeCell ref="T2572:T2575"/>
    <mergeCell ref="U2572:U2575"/>
    <mergeCell ref="V2572:V2575"/>
    <mergeCell ref="W2572:W2575"/>
    <mergeCell ref="X2572:X2575"/>
    <mergeCell ref="Y2572:Y2575"/>
    <mergeCell ref="Z2572:Z2575"/>
    <mergeCell ref="AA2572:AA2575"/>
    <mergeCell ref="AB2572:AB2575"/>
    <mergeCell ref="AC2572:AC2575"/>
    <mergeCell ref="AD2572:AD2575"/>
    <mergeCell ref="AE2572:AE2575"/>
    <mergeCell ref="AF2572:AF2575"/>
    <mergeCell ref="AG2572:AG2575"/>
    <mergeCell ref="AH2572:AH2575"/>
    <mergeCell ref="AI2572:AI2575"/>
    <mergeCell ref="AJ2572:AJ2575"/>
    <mergeCell ref="AK2572:AK2575"/>
    <mergeCell ref="AL2572:AL2575"/>
    <mergeCell ref="AM2572:AM2575"/>
    <mergeCell ref="E2581:E2582"/>
    <mergeCell ref="F2581:F2582"/>
    <mergeCell ref="H2581:H2584"/>
    <mergeCell ref="J2581:J2584"/>
    <mergeCell ref="M2581:M2582"/>
    <mergeCell ref="N2581:N2582"/>
    <mergeCell ref="O2581:O2582"/>
    <mergeCell ref="P2581:P2582"/>
    <mergeCell ref="Q2581:Q2582"/>
    <mergeCell ref="R2581:R2582"/>
    <mergeCell ref="S2581:S2582"/>
    <mergeCell ref="T2581:T2582"/>
    <mergeCell ref="U2581:U2582"/>
    <mergeCell ref="V2581:V2582"/>
    <mergeCell ref="W2581:W2582"/>
    <mergeCell ref="X2581:X2582"/>
    <mergeCell ref="Y2581:Y2582"/>
    <mergeCell ref="Z2581:Z2582"/>
    <mergeCell ref="AA2581:AA2582"/>
    <mergeCell ref="AB2581:AB2582"/>
    <mergeCell ref="AC2581:AC2582"/>
    <mergeCell ref="AD2581:AD2582"/>
    <mergeCell ref="AE2581:AE2582"/>
    <mergeCell ref="AF2581:AF2582"/>
    <mergeCell ref="AG2581:AG2582"/>
    <mergeCell ref="AH2581:AH2582"/>
    <mergeCell ref="AI2581:AI2582"/>
    <mergeCell ref="AJ2581:AJ2582"/>
    <mergeCell ref="AK2581:AK2582"/>
    <mergeCell ref="AL2581:AL2582"/>
    <mergeCell ref="AM2581:AM2582"/>
    <mergeCell ref="E2583:E2584"/>
    <mergeCell ref="F2583:F2584"/>
    <mergeCell ref="M2583:M2584"/>
    <mergeCell ref="N2583:N2584"/>
    <mergeCell ref="O2583:O2584"/>
    <mergeCell ref="P2583:P2584"/>
    <mergeCell ref="Q2583:Q2584"/>
    <mergeCell ref="R2583:R2584"/>
    <mergeCell ref="S2583:S2584"/>
    <mergeCell ref="T2583:T2584"/>
    <mergeCell ref="U2583:U2584"/>
    <mergeCell ref="V2583:V2584"/>
    <mergeCell ref="W2583:W2584"/>
    <mergeCell ref="X2583:X2584"/>
    <mergeCell ref="Y2583:Y2584"/>
    <mergeCell ref="Z2583:Z2584"/>
    <mergeCell ref="AA2583:AA2584"/>
    <mergeCell ref="AB2583:AB2584"/>
    <mergeCell ref="AC2583:AC2584"/>
    <mergeCell ref="AD2583:AD2584"/>
    <mergeCell ref="AE2583:AE2584"/>
    <mergeCell ref="AF2583:AF2584"/>
    <mergeCell ref="AG2583:AG2584"/>
    <mergeCell ref="AH2583:AH2584"/>
    <mergeCell ref="AI2583:AI2584"/>
    <mergeCell ref="AJ2583:AJ2584"/>
    <mergeCell ref="AK2583:AK2584"/>
    <mergeCell ref="AL2583:AL2584"/>
    <mergeCell ref="AM2583:AM2584"/>
    <mergeCell ref="U2585:U2586"/>
    <mergeCell ref="H2588:H2589"/>
    <mergeCell ref="J2588:J2589"/>
    <mergeCell ref="M2588:M2589"/>
    <mergeCell ref="N2588:N2589"/>
    <mergeCell ref="O2588:O2589"/>
    <mergeCell ref="P2588:P2589"/>
    <mergeCell ref="Q2588:Q2589"/>
    <mergeCell ref="R2588:R2589"/>
    <mergeCell ref="S2588:S2589"/>
    <mergeCell ref="T2588:T2589"/>
    <mergeCell ref="U2588:U2589"/>
    <mergeCell ref="V2588:V2589"/>
    <mergeCell ref="W2588:W2589"/>
    <mergeCell ref="X2588:X2589"/>
    <mergeCell ref="Y2588:Y2589"/>
    <mergeCell ref="Z2588:Z2589"/>
    <mergeCell ref="AA2588:AA2589"/>
    <mergeCell ref="AB2588:AB2589"/>
    <mergeCell ref="AC2588:AC2589"/>
    <mergeCell ref="AD2588:AD2589"/>
    <mergeCell ref="AE2588:AE2589"/>
    <mergeCell ref="AF2588:AF2589"/>
    <mergeCell ref="AG2588:AG2589"/>
    <mergeCell ref="AH2588:AH2589"/>
    <mergeCell ref="AI2588:AI2589"/>
    <mergeCell ref="AJ2588:AJ2589"/>
    <mergeCell ref="AK2588:AK2589"/>
    <mergeCell ref="AL2588:AL2589"/>
    <mergeCell ref="AM2588:AM2589"/>
    <mergeCell ref="U2590:U2591"/>
    <mergeCell ref="E2595:E2596"/>
    <mergeCell ref="F2595:F2596"/>
    <mergeCell ref="H2595:H2598"/>
    <mergeCell ref="J2595:J2598"/>
    <mergeCell ref="U2595:U2596"/>
    <mergeCell ref="E2597:E2598"/>
    <mergeCell ref="F2597:F2598"/>
    <mergeCell ref="M2597:M2598"/>
    <mergeCell ref="N2597:N2598"/>
    <mergeCell ref="O2597:O2598"/>
    <mergeCell ref="P2597:P2598"/>
    <mergeCell ref="Q2597:Q2598"/>
    <mergeCell ref="R2597:R2598"/>
    <mergeCell ref="S2597:S2598"/>
    <mergeCell ref="T2597:T2598"/>
    <mergeCell ref="U2597:U2598"/>
    <mergeCell ref="V2597:V2598"/>
    <mergeCell ref="W2597:W2598"/>
    <mergeCell ref="X2597:X2598"/>
    <mergeCell ref="Y2597:Y2598"/>
    <mergeCell ref="Z2597:Z2598"/>
    <mergeCell ref="AA2597:AA2598"/>
    <mergeCell ref="AB2597:AB2598"/>
    <mergeCell ref="AC2597:AC2598"/>
    <mergeCell ref="AD2597:AD2598"/>
    <mergeCell ref="AE2597:AE2598"/>
    <mergeCell ref="AF2597:AF2598"/>
    <mergeCell ref="AG2597:AG2598"/>
    <mergeCell ref="AH2597:AH2598"/>
    <mergeCell ref="AI2597:AI2598"/>
    <mergeCell ref="AJ2597:AJ2598"/>
    <mergeCell ref="AK2597:AK2598"/>
    <mergeCell ref="AL2597:AL2598"/>
    <mergeCell ref="AM2597:AM2598"/>
    <mergeCell ref="H2605:H2606"/>
    <mergeCell ref="J2605:J2606"/>
    <mergeCell ref="M2605:M2606"/>
    <mergeCell ref="N2605:N2606"/>
    <mergeCell ref="O2605:O2606"/>
    <mergeCell ref="P2605:P2606"/>
    <mergeCell ref="Q2605:Q2606"/>
    <mergeCell ref="R2605:R2606"/>
    <mergeCell ref="S2605:S2606"/>
    <mergeCell ref="T2605:T2606"/>
    <mergeCell ref="U2605:U2606"/>
    <mergeCell ref="V2605:V2606"/>
    <mergeCell ref="W2605:W2606"/>
    <mergeCell ref="X2605:X2606"/>
    <mergeCell ref="Y2605:Y2606"/>
    <mergeCell ref="Z2605:Z2606"/>
    <mergeCell ref="AA2605:AA2606"/>
    <mergeCell ref="AB2605:AB2606"/>
    <mergeCell ref="AC2605:AC2606"/>
    <mergeCell ref="AD2605:AD2606"/>
    <mergeCell ref="AE2605:AE2606"/>
    <mergeCell ref="AF2605:AF2606"/>
    <mergeCell ref="AG2605:AG2606"/>
    <mergeCell ref="AH2605:AH2606"/>
    <mergeCell ref="AI2605:AI2606"/>
    <mergeCell ref="AJ2605:AJ2606"/>
    <mergeCell ref="AK2605:AK2606"/>
    <mergeCell ref="AL2605:AL2606"/>
    <mergeCell ref="AM2605:AM2606"/>
    <mergeCell ref="H2608:H2609"/>
    <mergeCell ref="J2608:J2609"/>
    <mergeCell ref="M2608:M2609"/>
    <mergeCell ref="N2608:N2609"/>
    <mergeCell ref="O2608:O2609"/>
    <mergeCell ref="P2608:P2609"/>
    <mergeCell ref="Q2608:Q2609"/>
    <mergeCell ref="R2608:R2609"/>
    <mergeCell ref="S2608:S2609"/>
    <mergeCell ref="T2608:T2609"/>
    <mergeCell ref="U2608:U2609"/>
    <mergeCell ref="V2608:V2609"/>
    <mergeCell ref="W2608:W2609"/>
    <mergeCell ref="X2608:X2609"/>
    <mergeCell ref="Y2608:Y2609"/>
    <mergeCell ref="Z2608:Z2609"/>
    <mergeCell ref="AA2608:AA2609"/>
    <mergeCell ref="AB2608:AB2609"/>
    <mergeCell ref="AC2608:AC2609"/>
    <mergeCell ref="AD2608:AD2609"/>
    <mergeCell ref="AE2608:AE2609"/>
    <mergeCell ref="AF2608:AF2609"/>
    <mergeCell ref="AG2608:AG2609"/>
    <mergeCell ref="AH2608:AH2609"/>
    <mergeCell ref="AI2608:AI2609"/>
    <mergeCell ref="AJ2608:AJ2609"/>
    <mergeCell ref="AK2608:AK2609"/>
    <mergeCell ref="AL2608:AL2609"/>
    <mergeCell ref="AM2608:AM2609"/>
    <mergeCell ref="H2610:H2611"/>
    <mergeCell ref="J2610:J2611"/>
    <mergeCell ref="M2610:M2611"/>
    <mergeCell ref="N2610:N2611"/>
    <mergeCell ref="O2610:O2611"/>
    <mergeCell ref="P2610:P2611"/>
    <mergeCell ref="Q2610:Q2611"/>
    <mergeCell ref="R2610:R2611"/>
    <mergeCell ref="S2610:S2611"/>
    <mergeCell ref="T2610:T2611"/>
    <mergeCell ref="U2610:U2611"/>
    <mergeCell ref="V2610:V2611"/>
    <mergeCell ref="W2610:W2611"/>
    <mergeCell ref="X2610:X2611"/>
    <mergeCell ref="Y2610:Y2611"/>
    <mergeCell ref="Z2610:Z2611"/>
    <mergeCell ref="AA2610:AA2611"/>
    <mergeCell ref="AB2610:AB2611"/>
    <mergeCell ref="AC2610:AC2611"/>
    <mergeCell ref="AD2610:AD2611"/>
    <mergeCell ref="AE2610:AE2611"/>
    <mergeCell ref="AF2610:AF2611"/>
    <mergeCell ref="AG2610:AG2611"/>
    <mergeCell ref="AH2610:AH2611"/>
    <mergeCell ref="AI2610:AI2611"/>
    <mergeCell ref="AJ2610:AJ2611"/>
    <mergeCell ref="AK2610:AK2611"/>
    <mergeCell ref="AL2610:AL2611"/>
    <mergeCell ref="AM2610:AM2611"/>
    <mergeCell ref="H2616:H2617"/>
    <mergeCell ref="J2616:J2617"/>
    <mergeCell ref="H2618:H2619"/>
    <mergeCell ref="J2618:J2619"/>
    <mergeCell ref="H2620:H2621"/>
    <mergeCell ref="J2620:J2621"/>
    <mergeCell ref="M2620:M2621"/>
    <mergeCell ref="N2620:N2621"/>
    <mergeCell ref="O2620:O2621"/>
    <mergeCell ref="P2620:P2621"/>
    <mergeCell ref="Q2620:Q2621"/>
    <mergeCell ref="R2620:R2621"/>
    <mergeCell ref="S2620:S2621"/>
    <mergeCell ref="T2620:T2621"/>
    <mergeCell ref="U2620:U2621"/>
    <mergeCell ref="V2620:V2621"/>
    <mergeCell ref="W2620:W2621"/>
    <mergeCell ref="X2620:X2621"/>
    <mergeCell ref="Y2620:Y2621"/>
    <mergeCell ref="Z2620:Z2621"/>
    <mergeCell ref="AA2620:AA2621"/>
    <mergeCell ref="AB2620:AB2621"/>
    <mergeCell ref="AC2620:AC2621"/>
    <mergeCell ref="AD2620:AD2621"/>
    <mergeCell ref="AE2620:AE2621"/>
    <mergeCell ref="AF2620:AF2621"/>
    <mergeCell ref="AG2620:AG2621"/>
    <mergeCell ref="AH2620:AH2621"/>
    <mergeCell ref="AI2620:AI2621"/>
    <mergeCell ref="AJ2620:AJ2621"/>
    <mergeCell ref="AK2620:AK2621"/>
    <mergeCell ref="AL2620:AL2621"/>
    <mergeCell ref="AM2620:AM2621"/>
    <mergeCell ref="H2628:H2629"/>
    <mergeCell ref="J2628:J2629"/>
    <mergeCell ref="H2630:H2631"/>
    <mergeCell ref="J2630:J2631"/>
    <mergeCell ref="M2630:M2631"/>
    <mergeCell ref="N2630:N2631"/>
    <mergeCell ref="O2630:O2631"/>
    <mergeCell ref="P2630:P2631"/>
    <mergeCell ref="Q2630:Q2631"/>
    <mergeCell ref="R2630:R2631"/>
    <mergeCell ref="S2630:S2631"/>
    <mergeCell ref="T2630:T2631"/>
    <mergeCell ref="U2630:U2631"/>
    <mergeCell ref="V2630:V2631"/>
    <mergeCell ref="W2630:W2631"/>
    <mergeCell ref="X2630:X2631"/>
    <mergeCell ref="Y2630:Y2631"/>
    <mergeCell ref="Z2630:Z2631"/>
    <mergeCell ref="AA2630:AA2631"/>
    <mergeCell ref="AB2630:AB2631"/>
    <mergeCell ref="AC2630:AC2631"/>
    <mergeCell ref="AD2630:AD2631"/>
    <mergeCell ref="AE2630:AE2631"/>
    <mergeCell ref="AF2630:AF2631"/>
    <mergeCell ref="AG2630:AG2631"/>
    <mergeCell ref="AH2630:AH2631"/>
    <mergeCell ref="AI2630:AI2631"/>
    <mergeCell ref="AJ2630:AJ2631"/>
    <mergeCell ref="AK2630:AK2631"/>
    <mergeCell ref="AL2630:AL2631"/>
    <mergeCell ref="AM2630:AM2631"/>
    <mergeCell ref="H2633:H2634"/>
    <mergeCell ref="J2633:J2634"/>
    <mergeCell ref="H2636:H2637"/>
    <mergeCell ref="J2636:J2637"/>
    <mergeCell ref="M2636:M2637"/>
    <mergeCell ref="N2636:N2637"/>
    <mergeCell ref="O2636:O2637"/>
    <mergeCell ref="P2636:P2637"/>
    <mergeCell ref="Q2636:Q2637"/>
    <mergeCell ref="R2636:R2637"/>
    <mergeCell ref="S2636:S2637"/>
    <mergeCell ref="T2636:T2637"/>
    <mergeCell ref="U2636:U2637"/>
    <mergeCell ref="V2636:V2637"/>
    <mergeCell ref="W2636:W2637"/>
    <mergeCell ref="X2636:X2637"/>
    <mergeCell ref="Y2636:Y2637"/>
    <mergeCell ref="Z2636:Z2637"/>
    <mergeCell ref="AA2636:AA2637"/>
    <mergeCell ref="AB2636:AB2637"/>
    <mergeCell ref="AC2636:AC2637"/>
    <mergeCell ref="AD2636:AD2637"/>
    <mergeCell ref="AE2636:AE2637"/>
    <mergeCell ref="AF2636:AF2637"/>
    <mergeCell ref="AG2636:AG2637"/>
    <mergeCell ref="AH2636:AH2637"/>
    <mergeCell ref="AI2636:AI2637"/>
    <mergeCell ref="AJ2636:AJ2637"/>
    <mergeCell ref="AK2636:AK2637"/>
    <mergeCell ref="AL2636:AL2637"/>
    <mergeCell ref="AM2636:AM2637"/>
    <mergeCell ref="H2639:H2640"/>
    <mergeCell ref="J2639:J2640"/>
    <mergeCell ref="M2639:M2640"/>
    <mergeCell ref="N2639:N2640"/>
    <mergeCell ref="O2639:O2640"/>
    <mergeCell ref="P2639:P2640"/>
    <mergeCell ref="Q2639:Q2640"/>
    <mergeCell ref="R2639:R2640"/>
    <mergeCell ref="S2639:S2640"/>
    <mergeCell ref="T2639:T2640"/>
    <mergeCell ref="U2639:U2640"/>
    <mergeCell ref="V2639:V2640"/>
    <mergeCell ref="W2639:W2640"/>
    <mergeCell ref="X2639:X2640"/>
    <mergeCell ref="Y2639:Y2640"/>
    <mergeCell ref="Z2639:Z2640"/>
    <mergeCell ref="AA2639:AA2640"/>
    <mergeCell ref="AB2639:AB2640"/>
    <mergeCell ref="AC2639:AC2640"/>
    <mergeCell ref="AD2639:AD2640"/>
    <mergeCell ref="AE2639:AE2640"/>
    <mergeCell ref="AF2639:AF2640"/>
    <mergeCell ref="AG2639:AG2640"/>
    <mergeCell ref="AH2639:AH2640"/>
    <mergeCell ref="AI2639:AI2640"/>
    <mergeCell ref="AJ2639:AJ2640"/>
    <mergeCell ref="AK2639:AK2640"/>
    <mergeCell ref="AL2639:AL2640"/>
    <mergeCell ref="AM2639:AM2640"/>
    <mergeCell ref="E2641:E2642"/>
    <mergeCell ref="F2641:F2642"/>
    <mergeCell ref="H2641:H2644"/>
    <mergeCell ref="J2641:J2644"/>
    <mergeCell ref="M2641:M2642"/>
    <mergeCell ref="N2641:N2642"/>
    <mergeCell ref="O2641:O2642"/>
    <mergeCell ref="P2641:P2642"/>
    <mergeCell ref="Q2641:Q2642"/>
    <mergeCell ref="R2641:R2642"/>
    <mergeCell ref="S2641:S2642"/>
    <mergeCell ref="T2641:T2642"/>
    <mergeCell ref="U2641:U2642"/>
    <mergeCell ref="V2641:V2642"/>
    <mergeCell ref="W2641:W2642"/>
    <mergeCell ref="X2641:X2642"/>
    <mergeCell ref="Y2641:Y2642"/>
    <mergeCell ref="Z2641:Z2642"/>
    <mergeCell ref="AA2641:AA2642"/>
    <mergeCell ref="AB2641:AB2642"/>
    <mergeCell ref="AC2641:AC2642"/>
    <mergeCell ref="AD2641:AD2642"/>
    <mergeCell ref="AE2641:AE2642"/>
    <mergeCell ref="AF2641:AF2642"/>
    <mergeCell ref="AG2641:AG2642"/>
    <mergeCell ref="AH2641:AH2642"/>
    <mergeCell ref="AI2641:AI2642"/>
    <mergeCell ref="AJ2641:AJ2642"/>
    <mergeCell ref="AK2641:AK2642"/>
    <mergeCell ref="AL2641:AL2642"/>
    <mergeCell ref="AM2641:AM2642"/>
    <mergeCell ref="E2643:E2644"/>
    <mergeCell ref="F2643:F2644"/>
    <mergeCell ref="M2643:M2644"/>
    <mergeCell ref="N2643:N2644"/>
    <mergeCell ref="O2643:O2644"/>
    <mergeCell ref="P2643:P2644"/>
    <mergeCell ref="Q2643:Q2644"/>
    <mergeCell ref="R2643:R2644"/>
    <mergeCell ref="S2643:S2644"/>
    <mergeCell ref="T2643:T2644"/>
    <mergeCell ref="U2643:U2644"/>
    <mergeCell ref="V2643:V2644"/>
    <mergeCell ref="W2643:W2644"/>
    <mergeCell ref="X2643:X2644"/>
    <mergeCell ref="Y2643:Y2644"/>
    <mergeCell ref="Z2643:Z2644"/>
    <mergeCell ref="AA2643:AA2644"/>
    <mergeCell ref="AB2643:AB2644"/>
    <mergeCell ref="AC2643:AC2644"/>
    <mergeCell ref="AD2643:AD2644"/>
    <mergeCell ref="AE2643:AE2644"/>
    <mergeCell ref="AF2643:AF2644"/>
    <mergeCell ref="AG2643:AG2644"/>
    <mergeCell ref="AH2643:AH2644"/>
    <mergeCell ref="AI2643:AI2644"/>
    <mergeCell ref="AJ2643:AJ2644"/>
    <mergeCell ref="AK2643:AK2644"/>
    <mergeCell ref="AL2643:AL2644"/>
    <mergeCell ref="AM2643:AM2644"/>
    <mergeCell ref="H2648:H2649"/>
    <mergeCell ref="J2648:J2649"/>
    <mergeCell ref="H2662:H2663"/>
    <mergeCell ref="J2662:J2663"/>
    <mergeCell ref="H2664:H2665"/>
    <mergeCell ref="J2664:J2665"/>
    <mergeCell ref="M2664:M2665"/>
    <mergeCell ref="N2664:N2665"/>
    <mergeCell ref="O2664:O2665"/>
    <mergeCell ref="P2664:P2665"/>
    <mergeCell ref="Q2664:Q2665"/>
    <mergeCell ref="R2664:R2665"/>
    <mergeCell ref="S2664:S2665"/>
    <mergeCell ref="T2664:T2665"/>
    <mergeCell ref="U2664:U2665"/>
    <mergeCell ref="V2664:V2665"/>
    <mergeCell ref="W2664:W2665"/>
    <mergeCell ref="X2664:X2665"/>
    <mergeCell ref="Y2664:Y2665"/>
    <mergeCell ref="Z2664:Z2665"/>
    <mergeCell ref="AA2664:AA2665"/>
    <mergeCell ref="AB2664:AB2665"/>
    <mergeCell ref="AC2664:AC2665"/>
    <mergeCell ref="AD2664:AD2665"/>
    <mergeCell ref="AE2664:AE2665"/>
    <mergeCell ref="AF2664:AF2665"/>
    <mergeCell ref="AG2664:AG2665"/>
    <mergeCell ref="AH2664:AH2665"/>
    <mergeCell ref="AI2664:AI2665"/>
    <mergeCell ref="AJ2664:AJ2665"/>
    <mergeCell ref="AK2664:AK2665"/>
    <mergeCell ref="AL2664:AL2665"/>
    <mergeCell ref="AM2664:AM2665"/>
    <mergeCell ref="H2668:H2669"/>
    <mergeCell ref="J2668:J2669"/>
    <mergeCell ref="H2672:H2673"/>
    <mergeCell ref="J2672:J2673"/>
    <mergeCell ref="E2676:E2677"/>
    <mergeCell ref="F2676:F2677"/>
    <mergeCell ref="H2676:H2679"/>
    <mergeCell ref="J2676:J2679"/>
    <mergeCell ref="M2676:M2677"/>
    <mergeCell ref="N2676:N2677"/>
    <mergeCell ref="O2676:O2677"/>
    <mergeCell ref="P2676:P2677"/>
    <mergeCell ref="Q2676:Q2677"/>
    <mergeCell ref="R2676:R2677"/>
    <mergeCell ref="S2676:S2677"/>
    <mergeCell ref="T2676:T2677"/>
    <mergeCell ref="U2676:U2677"/>
    <mergeCell ref="V2676:V2677"/>
    <mergeCell ref="W2676:W2677"/>
    <mergeCell ref="X2676:X2677"/>
    <mergeCell ref="Y2676:Y2677"/>
    <mergeCell ref="Z2676:Z2677"/>
    <mergeCell ref="AA2676:AA2677"/>
    <mergeCell ref="AB2676:AB2677"/>
    <mergeCell ref="AC2676:AC2677"/>
    <mergeCell ref="AD2676:AD2677"/>
    <mergeCell ref="AE2676:AE2677"/>
    <mergeCell ref="AF2676:AF2677"/>
    <mergeCell ref="AG2676:AG2677"/>
    <mergeCell ref="AH2676:AH2677"/>
    <mergeCell ref="AI2676:AI2677"/>
    <mergeCell ref="AJ2676:AJ2677"/>
    <mergeCell ref="AK2676:AK2677"/>
    <mergeCell ref="AL2676:AL2677"/>
    <mergeCell ref="AM2676:AM2677"/>
    <mergeCell ref="E2678:E2679"/>
    <mergeCell ref="F2678:F2679"/>
    <mergeCell ref="M2678:M2679"/>
    <mergeCell ref="N2678:N2679"/>
    <mergeCell ref="O2678:O2679"/>
    <mergeCell ref="P2678:P2679"/>
    <mergeCell ref="Q2678:Q2679"/>
    <mergeCell ref="R2678:R2679"/>
    <mergeCell ref="S2678:S2679"/>
    <mergeCell ref="T2678:T2679"/>
    <mergeCell ref="U2678:U2679"/>
    <mergeCell ref="V2678:V2679"/>
    <mergeCell ref="W2678:W2679"/>
    <mergeCell ref="X2678:X2679"/>
    <mergeCell ref="Y2678:Y2679"/>
    <mergeCell ref="Z2678:Z2679"/>
    <mergeCell ref="AA2678:AA2679"/>
    <mergeCell ref="AB2678:AB2679"/>
    <mergeCell ref="AC2678:AC2679"/>
    <mergeCell ref="AD2678:AD2679"/>
    <mergeCell ref="AE2678:AE2679"/>
    <mergeCell ref="AF2678:AF2679"/>
    <mergeCell ref="AG2678:AG2679"/>
    <mergeCell ref="AH2678:AH2679"/>
    <mergeCell ref="AI2678:AI2679"/>
    <mergeCell ref="AJ2678:AJ2679"/>
    <mergeCell ref="AK2678:AK2679"/>
    <mergeCell ref="AL2678:AL2679"/>
    <mergeCell ref="AM2678:AM2679"/>
    <mergeCell ref="H2682:H2683"/>
    <mergeCell ref="J2682:J2683"/>
    <mergeCell ref="M2682:M2683"/>
    <mergeCell ref="N2682:N2683"/>
    <mergeCell ref="O2682:O2683"/>
    <mergeCell ref="P2682:P2683"/>
    <mergeCell ref="Q2682:Q2683"/>
    <mergeCell ref="R2682:R2683"/>
    <mergeCell ref="S2682:S2683"/>
    <mergeCell ref="T2682:T2683"/>
    <mergeCell ref="U2682:U2683"/>
    <mergeCell ref="V2682:V2683"/>
    <mergeCell ref="W2682:W2683"/>
    <mergeCell ref="X2682:X2683"/>
    <mergeCell ref="Y2682:Y2683"/>
    <mergeCell ref="Z2682:Z2683"/>
    <mergeCell ref="AA2682:AA2683"/>
    <mergeCell ref="AB2682:AB2683"/>
    <mergeCell ref="AC2682:AC2683"/>
    <mergeCell ref="AD2682:AD2683"/>
    <mergeCell ref="AE2682:AE2683"/>
    <mergeCell ref="AF2682:AF2683"/>
    <mergeCell ref="AG2682:AG2683"/>
    <mergeCell ref="AH2682:AH2683"/>
    <mergeCell ref="AI2682:AI2683"/>
    <mergeCell ref="AJ2682:AJ2683"/>
    <mergeCell ref="AK2682:AK2683"/>
    <mergeCell ref="AL2682:AL2683"/>
    <mergeCell ref="AM2682:AM2683"/>
    <mergeCell ref="H2686:H2687"/>
    <mergeCell ref="J2686:J2687"/>
    <mergeCell ref="H2688:H2689"/>
    <mergeCell ref="J2688:J2689"/>
    <mergeCell ref="H2692:H2693"/>
    <mergeCell ref="J2692:J2693"/>
    <mergeCell ref="H2697:H2698"/>
    <mergeCell ref="J2697:J2698"/>
    <mergeCell ref="H2700:H2701"/>
    <mergeCell ref="J2700:J2701"/>
    <mergeCell ref="H2703:H2704"/>
    <mergeCell ref="J2703:J2704"/>
    <mergeCell ref="H2706:H2707"/>
    <mergeCell ref="J2706:J2707"/>
    <mergeCell ref="M2706:M2707"/>
    <mergeCell ref="N2706:N2707"/>
    <mergeCell ref="O2706:O2707"/>
    <mergeCell ref="P2706:P2707"/>
    <mergeCell ref="Q2706:Q2707"/>
    <mergeCell ref="R2706:R2707"/>
    <mergeCell ref="S2706:S2707"/>
    <mergeCell ref="T2706:T2707"/>
    <mergeCell ref="U2706:U2707"/>
    <mergeCell ref="V2706:V2707"/>
    <mergeCell ref="W2706:W2707"/>
    <mergeCell ref="X2706:X2707"/>
    <mergeCell ref="Y2706:Y2707"/>
    <mergeCell ref="Z2706:Z2707"/>
    <mergeCell ref="AA2706:AA2707"/>
    <mergeCell ref="AB2706:AB2707"/>
    <mergeCell ref="AC2706:AC2707"/>
    <mergeCell ref="AD2706:AD2707"/>
    <mergeCell ref="AE2706:AE2707"/>
    <mergeCell ref="AF2706:AF2707"/>
    <mergeCell ref="AG2706:AG2707"/>
    <mergeCell ref="AH2706:AH2707"/>
    <mergeCell ref="AI2706:AI2707"/>
    <mergeCell ref="AJ2706:AJ2707"/>
    <mergeCell ref="AK2706:AK2707"/>
    <mergeCell ref="AL2706:AL2707"/>
    <mergeCell ref="AM2706:AM2707"/>
    <mergeCell ref="H2708:H2709"/>
    <mergeCell ref="J2708:J2709"/>
    <mergeCell ref="H2710:H2711"/>
    <mergeCell ref="J2710:J2711"/>
    <mergeCell ref="H2712:H2713"/>
    <mergeCell ref="J2712:J2713"/>
    <mergeCell ref="H2714:H2715"/>
    <mergeCell ref="J2714:J2715"/>
    <mergeCell ref="E2717:E2718"/>
    <mergeCell ref="F2717:F2718"/>
    <mergeCell ref="H2717:H2720"/>
    <mergeCell ref="J2717:J2720"/>
    <mergeCell ref="M2717:M2718"/>
    <mergeCell ref="N2717:N2718"/>
    <mergeCell ref="O2717:O2718"/>
    <mergeCell ref="P2717:P2718"/>
    <mergeCell ref="Q2717:Q2718"/>
    <mergeCell ref="R2717:R2718"/>
    <mergeCell ref="S2717:S2718"/>
    <mergeCell ref="T2717:T2718"/>
    <mergeCell ref="U2717:U2718"/>
    <mergeCell ref="V2717:V2718"/>
    <mergeCell ref="W2717:W2718"/>
    <mergeCell ref="X2717:X2718"/>
    <mergeCell ref="Y2717:Y2718"/>
    <mergeCell ref="Z2717:Z2718"/>
    <mergeCell ref="AA2717:AA2718"/>
    <mergeCell ref="AB2717:AB2718"/>
    <mergeCell ref="AC2717:AC2718"/>
    <mergeCell ref="AD2717:AD2718"/>
    <mergeCell ref="AE2717:AE2718"/>
    <mergeCell ref="AF2717:AF2718"/>
    <mergeCell ref="AG2717:AG2718"/>
    <mergeCell ref="AH2717:AH2718"/>
    <mergeCell ref="AI2717:AI2718"/>
    <mergeCell ref="AJ2717:AJ2718"/>
    <mergeCell ref="AK2717:AK2718"/>
    <mergeCell ref="AL2717:AL2718"/>
    <mergeCell ref="AM2717:AM2718"/>
    <mergeCell ref="E2719:E2720"/>
    <mergeCell ref="F2719:F2720"/>
    <mergeCell ref="M2719:M2720"/>
    <mergeCell ref="N2719:N2720"/>
    <mergeCell ref="O2719:O2720"/>
    <mergeCell ref="P2719:P2720"/>
    <mergeCell ref="Q2719:Q2720"/>
    <mergeCell ref="R2719:R2720"/>
    <mergeCell ref="S2719:S2720"/>
    <mergeCell ref="T2719:T2720"/>
    <mergeCell ref="U2719:U2720"/>
    <mergeCell ref="V2719:V2720"/>
    <mergeCell ref="W2719:W2720"/>
    <mergeCell ref="X2719:X2720"/>
    <mergeCell ref="Y2719:Y2720"/>
    <mergeCell ref="Z2719:Z2720"/>
    <mergeCell ref="AA2719:AA2720"/>
    <mergeCell ref="AB2719:AB2720"/>
    <mergeCell ref="AC2719:AC2720"/>
    <mergeCell ref="AD2719:AD2720"/>
    <mergeCell ref="AE2719:AE2720"/>
    <mergeCell ref="AF2719:AF2720"/>
    <mergeCell ref="AG2719:AG2720"/>
    <mergeCell ref="AH2719:AH2720"/>
    <mergeCell ref="AI2719:AI2720"/>
    <mergeCell ref="AJ2719:AJ2720"/>
    <mergeCell ref="AK2719:AK2720"/>
    <mergeCell ref="AL2719:AL2720"/>
    <mergeCell ref="AM2719:AM2720"/>
    <mergeCell ref="H2721:H2723"/>
    <mergeCell ref="J2721:J2723"/>
    <mergeCell ref="M2721:M2723"/>
    <mergeCell ref="N2721:N2723"/>
    <mergeCell ref="O2721:O2723"/>
    <mergeCell ref="P2721:P2723"/>
    <mergeCell ref="Q2721:Q2723"/>
    <mergeCell ref="R2721:R2723"/>
    <mergeCell ref="S2721:S2723"/>
    <mergeCell ref="T2721:T2723"/>
    <mergeCell ref="U2721:U2723"/>
    <mergeCell ref="V2721:V2723"/>
    <mergeCell ref="W2721:W2723"/>
    <mergeCell ref="X2721:X2723"/>
    <mergeCell ref="Y2721:Y2723"/>
    <mergeCell ref="Z2721:Z2723"/>
    <mergeCell ref="AA2721:AA2723"/>
    <mergeCell ref="AB2721:AB2723"/>
    <mergeCell ref="AC2721:AC2723"/>
    <mergeCell ref="AE2721:AE2723"/>
    <mergeCell ref="AF2721:AF2723"/>
    <mergeCell ref="AG2721:AG2723"/>
    <mergeCell ref="AH2721:AH2723"/>
    <mergeCell ref="AI2721:AI2723"/>
    <mergeCell ref="AJ2721:AJ2723"/>
    <mergeCell ref="AK2721:AK2723"/>
    <mergeCell ref="AL2721:AL2723"/>
    <mergeCell ref="AM2721:AM2723"/>
    <mergeCell ref="H2725:H2728"/>
    <mergeCell ref="J2725:J2728"/>
    <mergeCell ref="M2725:M2728"/>
    <mergeCell ref="N2725:N2728"/>
    <mergeCell ref="O2725:O2728"/>
    <mergeCell ref="P2725:P2728"/>
    <mergeCell ref="Q2725:Q2728"/>
    <mergeCell ref="R2725:R2728"/>
    <mergeCell ref="S2725:S2728"/>
    <mergeCell ref="T2725:T2728"/>
    <mergeCell ref="U2725:U2728"/>
    <mergeCell ref="V2725:V2728"/>
    <mergeCell ref="W2725:W2728"/>
    <mergeCell ref="X2725:X2728"/>
    <mergeCell ref="Y2725:Y2728"/>
    <mergeCell ref="Z2725:Z2728"/>
    <mergeCell ref="AA2725:AA2728"/>
    <mergeCell ref="AB2725:AB2728"/>
    <mergeCell ref="AC2725:AC2728"/>
    <mergeCell ref="AD2725:AD2728"/>
    <mergeCell ref="AE2725:AE2728"/>
    <mergeCell ref="AF2725:AF2728"/>
    <mergeCell ref="H2729:H2730"/>
    <mergeCell ref="J2729:J2730"/>
    <mergeCell ref="H2734:H2736"/>
    <mergeCell ref="J2734:J2736"/>
    <mergeCell ref="M2734:M2736"/>
    <mergeCell ref="N2734:N2736"/>
    <mergeCell ref="O2734:O2736"/>
    <mergeCell ref="P2734:P2736"/>
    <mergeCell ref="Q2734:Q2736"/>
    <mergeCell ref="R2734:R2736"/>
    <mergeCell ref="S2734:S2736"/>
    <mergeCell ref="T2734:T2736"/>
    <mergeCell ref="U2734:U2736"/>
    <mergeCell ref="V2734:V2736"/>
    <mergeCell ref="W2734:W2736"/>
    <mergeCell ref="X2734:X2736"/>
    <mergeCell ref="Y2734:Y2736"/>
    <mergeCell ref="AH2734:AH2736"/>
    <mergeCell ref="AI2734:AI2736"/>
    <mergeCell ref="AJ2734:AJ2736"/>
    <mergeCell ref="AK2734:AK2736"/>
    <mergeCell ref="AL2734:AL2736"/>
    <mergeCell ref="AM2734:AM2736"/>
    <mergeCell ref="J15:J16"/>
    <mergeCell ref="J31:J32"/>
    <mergeCell ref="J115:J116"/>
    <mergeCell ref="J43:J44"/>
    <mergeCell ref="J59:J60"/>
    <mergeCell ref="J71:J72"/>
    <mergeCell ref="J87:J88"/>
    <mergeCell ref="J99:J100"/>
    <mergeCell ref="J127:J128"/>
    <mergeCell ref="J143:J144"/>
    <mergeCell ref="AG2725:AG2728"/>
    <mergeCell ref="AH2725:AH2728"/>
    <mergeCell ref="AI2725:AI2728"/>
    <mergeCell ref="AJ2725:AJ2728"/>
    <mergeCell ref="AK2725:AK2728"/>
    <mergeCell ref="AL2725:AL2728"/>
    <mergeCell ref="AM2725:AM2728"/>
    <mergeCell ref="Z2734:Z2736"/>
    <mergeCell ref="AA2734:AA2736"/>
    <mergeCell ref="AB2734:AB2736"/>
    <mergeCell ref="AC2734:AC2736"/>
    <mergeCell ref="AD2734:AD2736"/>
    <mergeCell ref="AE2734:AE2736"/>
    <mergeCell ref="AF2734:AF2736"/>
    <mergeCell ref="AG2734:AG2736"/>
    <mergeCell ref="AD2721:AD2723"/>
    <mergeCell ref="J155:J156"/>
    <mergeCell ref="J171:J172"/>
    <mergeCell ref="J183:J184"/>
    <mergeCell ref="J199:J200"/>
    <mergeCell ref="J211:J212"/>
    <mergeCell ref="J227:J228"/>
    <mergeCell ref="J239:J240"/>
    <mergeCell ref="J255:J256"/>
    <mergeCell ref="J267:J268"/>
    <mergeCell ref="J283:J284"/>
    <mergeCell ref="J295:J296"/>
    <mergeCell ref="J311:J312"/>
    <mergeCell ref="J323:J324"/>
    <mergeCell ref="J339:J340"/>
    <mergeCell ref="J351:J352"/>
    <mergeCell ref="J367:J368"/>
    <mergeCell ref="J379:J380"/>
    <mergeCell ref="J395:J396"/>
    <mergeCell ref="J407:J408"/>
    <mergeCell ref="J423:J424"/>
    <mergeCell ref="J433:J434"/>
    <mergeCell ref="J449:J450"/>
    <mergeCell ref="J457:J458"/>
    <mergeCell ref="J473:J474"/>
    <mergeCell ref="J484:J485"/>
    <mergeCell ref="J500:J501"/>
    <mergeCell ref="J506:J507"/>
    <mergeCell ref="J522:J523"/>
    <mergeCell ref="J531:J532"/>
    <mergeCell ref="J547:J548"/>
    <mergeCell ref="J560:J561"/>
    <mergeCell ref="J576:J577"/>
    <mergeCell ref="J583:J584"/>
    <mergeCell ref="J599:J600"/>
    <mergeCell ref="J839:J840"/>
    <mergeCell ref="J852:J853"/>
    <mergeCell ref="J868:J869"/>
    <mergeCell ref="J886:J887"/>
    <mergeCell ref="J901:J902"/>
    <mergeCell ref="J916:J917"/>
    <mergeCell ref="J928:J929"/>
    <mergeCell ref="J942:J943"/>
    <mergeCell ref="J966:J967"/>
    <mergeCell ref="J982:J983"/>
    <mergeCell ref="J996:J997"/>
    <mergeCell ref="J1010:J1011"/>
    <mergeCell ref="J1023:J1024"/>
    <mergeCell ref="J1051:J1052"/>
    <mergeCell ref="J1063:J1064"/>
    <mergeCell ref="J605:J606"/>
    <mergeCell ref="J621:J622"/>
    <mergeCell ref="J634:J635"/>
    <mergeCell ref="J654:J655"/>
    <mergeCell ref="J670:J671"/>
    <mergeCell ref="J678:J679"/>
    <mergeCell ref="J694:J695"/>
    <mergeCell ref="J706:J707"/>
    <mergeCell ref="J722:J723"/>
    <mergeCell ref="J731:J732"/>
    <mergeCell ref="J747:J748"/>
    <mergeCell ref="J759:J760"/>
    <mergeCell ref="J775:J776"/>
    <mergeCell ref="J795:J796"/>
    <mergeCell ref="J811:J812"/>
    <mergeCell ref="J823:J824"/>
    <mergeCell ref="J1506:J1507"/>
    <mergeCell ref="J1518:J1519"/>
    <mergeCell ref="J1531:J1532"/>
    <mergeCell ref="J1544:J1545"/>
    <mergeCell ref="J1592:J1593"/>
    <mergeCell ref="J1584:J1585"/>
    <mergeCell ref="J1314:J1315"/>
    <mergeCell ref="J1327:J1328"/>
    <mergeCell ref="J1340:J1341"/>
    <mergeCell ref="J1354:J1355"/>
    <mergeCell ref="J1378:J1379"/>
    <mergeCell ref="J1402:J1403"/>
    <mergeCell ref="J1415:J1416"/>
    <mergeCell ref="J1430:J1431"/>
    <mergeCell ref="J1483:J1484"/>
    <mergeCell ref="J1083:J1084"/>
    <mergeCell ref="J1097:J1098"/>
    <mergeCell ref="J1121:J1122"/>
    <mergeCell ref="J1134:J1135"/>
    <mergeCell ref="J1154:J1155"/>
    <mergeCell ref="J1167:J1168"/>
    <mergeCell ref="J1191:J1192"/>
    <mergeCell ref="J1204:J1205"/>
    <mergeCell ref="J1218:J1219"/>
    <mergeCell ref="J1240:J1241"/>
    <mergeCell ref="J1253:J1254"/>
    <mergeCell ref="J1283:J1284"/>
    <mergeCell ref="J1301:J1302"/>
  </mergeCells>
  <pageMargins left="0.23622047244094491" right="0.23622047244094491" top="0.74803149606299213" bottom="0.74803149606299213" header="0.31496062992125984" footer="0.31496062992125984"/>
  <pageSetup paperSize="9" scale="10" fitToWidth="0" orientation="landscape" r:id="rId1"/>
  <headerFooter>
    <oddFooter>Страница  &amp;P из &amp;N</oddFooter>
  </headerFooter>
  <colBreaks count="2" manualBreakCount="2">
    <brk id="12" max="1024" man="1"/>
    <brk id="25" max="1674" man="1"/>
  </colBreaks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V41"/>
  <sheetViews>
    <sheetView view="pageBreakPreview" zoomScaleNormal="60" zoomScaleSheetLayoutView="100" workbookViewId="0">
      <selection activeCell="M12" sqref="M12"/>
    </sheetView>
  </sheetViews>
  <sheetFormatPr defaultColWidth="9.140625" defaultRowHeight="15.75"/>
  <cols>
    <col min="1" max="1" width="5.42578125" style="1" customWidth="1"/>
    <col min="2" max="5" width="9.7109375" style="1" customWidth="1"/>
    <col min="6" max="7" width="10.85546875" style="1" customWidth="1"/>
    <col min="8" max="9" width="9.7109375" style="1" customWidth="1"/>
    <col min="10" max="10" width="17" style="1" customWidth="1"/>
    <col min="11" max="12" width="9.7109375" style="1" customWidth="1"/>
    <col min="13" max="13" width="12.85546875" style="1" customWidth="1"/>
    <col min="14" max="14" width="10.5703125" style="1" customWidth="1"/>
    <col min="15" max="15" width="16.85546875" style="1" customWidth="1"/>
    <col min="16" max="18" width="9.7109375" style="1" customWidth="1"/>
    <col min="19" max="20" width="8.7109375" style="1" customWidth="1"/>
    <col min="21" max="22" width="8.85546875" style="1" customWidth="1"/>
    <col min="23" max="23" width="10.42578125" style="1" customWidth="1"/>
    <col min="24" max="25" width="9.7109375" style="1" customWidth="1"/>
    <col min="26" max="26" width="11.42578125" style="1" customWidth="1"/>
    <col min="27" max="27" width="9.7109375" style="1" customWidth="1"/>
    <col min="28" max="28" width="18.42578125" style="1" customWidth="1"/>
    <col min="29" max="16384" width="9.140625" style="1"/>
  </cols>
  <sheetData>
    <row r="1" spans="1:22">
      <c r="A1" s="1" t="s">
        <v>118</v>
      </c>
      <c r="M1" s="36" t="s">
        <v>115</v>
      </c>
      <c r="U1" s="2"/>
      <c r="V1" s="2"/>
    </row>
    <row r="2" spans="1:22">
      <c r="M2" s="1" t="s">
        <v>116</v>
      </c>
      <c r="U2" s="2"/>
      <c r="V2" s="2"/>
    </row>
    <row r="3" spans="1:22">
      <c r="A3" s="44"/>
      <c r="B3" s="13" t="s">
        <v>29</v>
      </c>
      <c r="M3" s="1" t="s">
        <v>117</v>
      </c>
    </row>
    <row r="4" spans="1:22">
      <c r="A4" s="44"/>
      <c r="B4" s="13" t="s">
        <v>111</v>
      </c>
      <c r="M4" s="43" t="s">
        <v>114</v>
      </c>
    </row>
    <row r="5" spans="1:22">
      <c r="A5" s="44"/>
      <c r="B5" s="13" t="s">
        <v>112</v>
      </c>
      <c r="M5" s="43"/>
    </row>
    <row r="6" spans="1:22">
      <c r="A6" s="51"/>
      <c r="B6" s="13" t="s">
        <v>145</v>
      </c>
    </row>
    <row r="7" spans="1:22">
      <c r="A7" s="44"/>
      <c r="B7" s="13" t="s">
        <v>144</v>
      </c>
    </row>
    <row r="8" spans="1:22">
      <c r="A8" s="44"/>
      <c r="B8" s="59" t="s">
        <v>149</v>
      </c>
    </row>
    <row r="9" spans="1:22">
      <c r="A9" s="44"/>
      <c r="B9" s="59" t="s">
        <v>146</v>
      </c>
    </row>
    <row r="10" spans="1:22">
      <c r="A10" s="44"/>
      <c r="B10" s="13"/>
      <c r="C10" s="1" t="s">
        <v>141</v>
      </c>
    </row>
    <row r="11" spans="1:22">
      <c r="A11" s="44"/>
      <c r="B11" s="59" t="s">
        <v>150</v>
      </c>
    </row>
    <row r="12" spans="1:22">
      <c r="A12" s="44"/>
      <c r="C12" s="13" t="s">
        <v>151</v>
      </c>
    </row>
    <row r="13" spans="1:22">
      <c r="A13" s="44"/>
      <c r="C13" s="13" t="s">
        <v>142</v>
      </c>
    </row>
    <row r="14" spans="1:22">
      <c r="A14" s="44"/>
      <c r="B14" s="13" t="s">
        <v>59</v>
      </c>
    </row>
    <row r="15" spans="1:22">
      <c r="A15" s="45"/>
      <c r="B15" s="13" t="s">
        <v>60</v>
      </c>
    </row>
    <row r="16" spans="1:22">
      <c r="A16" s="45"/>
      <c r="B16" s="13" t="s">
        <v>61</v>
      </c>
    </row>
    <row r="17" spans="1:17">
      <c r="A17" s="45"/>
      <c r="B17" s="13" t="s">
        <v>62</v>
      </c>
    </row>
    <row r="18" spans="1:17">
      <c r="A18" s="45"/>
      <c r="B18" s="13" t="s">
        <v>130</v>
      </c>
    </row>
    <row r="19" spans="1:17">
      <c r="A19" s="45"/>
      <c r="B19" s="13" t="s">
        <v>63</v>
      </c>
    </row>
    <row r="20" spans="1:17">
      <c r="A20" s="45"/>
      <c r="B20" s="13" t="s">
        <v>131</v>
      </c>
      <c r="M20" s="61" t="s">
        <v>152</v>
      </c>
      <c r="N20" s="60"/>
      <c r="O20" s="60"/>
      <c r="P20" s="60"/>
      <c r="Q20" s="60"/>
    </row>
    <row r="21" spans="1:17">
      <c r="A21" s="45"/>
      <c r="B21" s="13" t="s">
        <v>64</v>
      </c>
      <c r="M21" s="62" t="s">
        <v>154</v>
      </c>
      <c r="N21" s="60" t="s">
        <v>172</v>
      </c>
      <c r="O21" s="60"/>
      <c r="P21" s="60"/>
      <c r="Q21" s="60"/>
    </row>
    <row r="22" spans="1:17">
      <c r="A22" s="46"/>
      <c r="B22" s="13" t="s">
        <v>65</v>
      </c>
      <c r="M22" s="62" t="s">
        <v>155</v>
      </c>
      <c r="N22" s="60" t="s">
        <v>173</v>
      </c>
      <c r="O22" s="60"/>
      <c r="P22" s="60"/>
      <c r="Q22" s="60"/>
    </row>
    <row r="23" spans="1:17">
      <c r="A23" s="46"/>
      <c r="B23" s="15" t="s">
        <v>84</v>
      </c>
      <c r="M23" s="62" t="s">
        <v>156</v>
      </c>
      <c r="N23" s="60" t="s">
        <v>174</v>
      </c>
      <c r="O23" s="60"/>
      <c r="P23" s="60"/>
      <c r="Q23" s="60"/>
    </row>
    <row r="24" spans="1:17">
      <c r="A24" s="46"/>
      <c r="B24" s="13" t="s">
        <v>66</v>
      </c>
      <c r="M24" s="62" t="s">
        <v>157</v>
      </c>
      <c r="N24" s="60" t="s">
        <v>175</v>
      </c>
      <c r="O24" s="60"/>
      <c r="P24" s="60"/>
      <c r="Q24" s="60"/>
    </row>
    <row r="25" spans="1:17">
      <c r="A25" s="46"/>
      <c r="B25" s="13" t="s">
        <v>67</v>
      </c>
      <c r="M25" s="62" t="s">
        <v>158</v>
      </c>
      <c r="N25" s="60" t="s">
        <v>176</v>
      </c>
      <c r="O25" s="60"/>
      <c r="P25" s="60"/>
      <c r="Q25" s="60"/>
    </row>
    <row r="26" spans="1:17">
      <c r="A26" s="47"/>
      <c r="B26" s="15" t="s">
        <v>68</v>
      </c>
      <c r="L26" s="15"/>
      <c r="M26" s="62" t="s">
        <v>159</v>
      </c>
      <c r="N26" s="60" t="s">
        <v>177</v>
      </c>
      <c r="O26" s="60"/>
      <c r="P26" s="60"/>
      <c r="Q26" s="60"/>
    </row>
    <row r="27" spans="1:17" s="14" customFormat="1">
      <c r="A27" s="48"/>
      <c r="B27" s="13" t="s">
        <v>69</v>
      </c>
      <c r="L27" s="13"/>
      <c r="M27" s="62" t="s">
        <v>160</v>
      </c>
      <c r="N27" s="60" t="s">
        <v>178</v>
      </c>
      <c r="O27" s="60"/>
      <c r="P27" s="60"/>
      <c r="Q27" s="60"/>
    </row>
    <row r="28" spans="1:17" s="14" customFormat="1">
      <c r="A28" s="48"/>
      <c r="B28" s="13" t="s">
        <v>70</v>
      </c>
      <c r="L28" s="13"/>
      <c r="M28" s="62" t="s">
        <v>161</v>
      </c>
      <c r="N28" s="60" t="s">
        <v>179</v>
      </c>
      <c r="O28" s="60"/>
      <c r="P28" s="60"/>
      <c r="Q28" s="60"/>
    </row>
    <row r="29" spans="1:17" s="14" customFormat="1">
      <c r="A29" s="48"/>
      <c r="B29" s="13" t="s">
        <v>71</v>
      </c>
      <c r="L29" s="13"/>
      <c r="M29" s="62" t="s">
        <v>162</v>
      </c>
      <c r="N29" s="60" t="s">
        <v>180</v>
      </c>
      <c r="O29" s="60"/>
      <c r="P29" s="60"/>
      <c r="Q29" s="60"/>
    </row>
    <row r="30" spans="1:17" s="14" customFormat="1">
      <c r="A30" s="48"/>
      <c r="B30" s="13" t="s">
        <v>72</v>
      </c>
      <c r="L30" s="13"/>
      <c r="M30" s="62" t="s">
        <v>163</v>
      </c>
      <c r="N30" s="60" t="s">
        <v>181</v>
      </c>
      <c r="O30" s="60"/>
      <c r="P30" s="60"/>
      <c r="Q30" s="60"/>
    </row>
    <row r="31" spans="1:17" s="14" customFormat="1">
      <c r="A31" s="48"/>
      <c r="B31" s="13" t="s">
        <v>73</v>
      </c>
      <c r="L31" s="13"/>
      <c r="M31" s="62" t="s">
        <v>164</v>
      </c>
      <c r="N31" s="60" t="s">
        <v>182</v>
      </c>
      <c r="O31" s="60"/>
      <c r="P31" s="60"/>
      <c r="Q31" s="60"/>
    </row>
    <row r="32" spans="1:17" s="14" customFormat="1">
      <c r="A32" s="48"/>
      <c r="B32" s="15" t="s">
        <v>74</v>
      </c>
      <c r="L32" s="15"/>
      <c r="M32" s="62" t="s">
        <v>165</v>
      </c>
      <c r="N32" s="60" t="s">
        <v>183</v>
      </c>
      <c r="O32" s="60"/>
      <c r="P32" s="60"/>
      <c r="Q32" s="60"/>
    </row>
    <row r="33" spans="1:17" s="13" customFormat="1">
      <c r="A33" s="49"/>
      <c r="B33" s="15" t="s">
        <v>75</v>
      </c>
      <c r="L33" s="15"/>
      <c r="M33" s="62" t="s">
        <v>166</v>
      </c>
      <c r="N33" s="60" t="s">
        <v>184</v>
      </c>
      <c r="O33" s="60"/>
      <c r="P33" s="60"/>
      <c r="Q33" s="60"/>
    </row>
    <row r="34" spans="1:17" s="13" customFormat="1">
      <c r="A34" s="49"/>
      <c r="B34" s="15" t="s">
        <v>76</v>
      </c>
      <c r="L34" s="15"/>
      <c r="M34" s="62" t="s">
        <v>167</v>
      </c>
      <c r="N34" s="60" t="s">
        <v>185</v>
      </c>
      <c r="O34" s="60"/>
      <c r="P34" s="60"/>
      <c r="Q34" s="60"/>
    </row>
    <row r="35" spans="1:17">
      <c r="A35" s="47"/>
      <c r="B35" s="1" t="s">
        <v>101</v>
      </c>
      <c r="M35" s="62" t="s">
        <v>168</v>
      </c>
      <c r="N35" s="60" t="s">
        <v>186</v>
      </c>
      <c r="O35" s="60"/>
      <c r="P35" s="60"/>
      <c r="Q35" s="60"/>
    </row>
    <row r="36" spans="1:17">
      <c r="A36" s="50"/>
      <c r="B36" s="1" t="s">
        <v>102</v>
      </c>
      <c r="M36" s="62" t="s">
        <v>169</v>
      </c>
      <c r="N36" s="60" t="s">
        <v>187</v>
      </c>
      <c r="O36" s="60"/>
      <c r="P36" s="60"/>
      <c r="Q36" s="60"/>
    </row>
    <row r="37" spans="1:17">
      <c r="A37" s="50"/>
      <c r="B37" s="1" t="s">
        <v>103</v>
      </c>
      <c r="M37" s="62" t="s">
        <v>170</v>
      </c>
      <c r="N37" s="60" t="s">
        <v>188</v>
      </c>
      <c r="O37" s="60"/>
      <c r="P37" s="60"/>
      <c r="Q37" s="60"/>
    </row>
    <row r="38" spans="1:17">
      <c r="A38" s="50"/>
      <c r="B38" s="1" t="s">
        <v>104</v>
      </c>
      <c r="M38" s="62" t="s">
        <v>171</v>
      </c>
      <c r="N38" s="60" t="s">
        <v>189</v>
      </c>
      <c r="O38" s="60"/>
      <c r="P38" s="60"/>
      <c r="Q38" s="60"/>
    </row>
    <row r="39" spans="1:17">
      <c r="A39" s="50"/>
      <c r="B39" s="1" t="s">
        <v>105</v>
      </c>
      <c r="M39" s="60"/>
      <c r="N39" s="60"/>
      <c r="O39" s="60"/>
      <c r="P39" s="60"/>
      <c r="Q39" s="60"/>
    </row>
    <row r="40" spans="1:17">
      <c r="A40" s="50"/>
      <c r="B40" s="1" t="s">
        <v>106</v>
      </c>
      <c r="M40" s="60"/>
      <c r="N40" s="60"/>
      <c r="O40" s="60"/>
      <c r="P40" s="60"/>
      <c r="Q40" s="60"/>
    </row>
    <row r="41" spans="1:17">
      <c r="A41" s="4"/>
      <c r="B41" s="1" t="s">
        <v>143</v>
      </c>
      <c r="M41" s="60"/>
      <c r="N41" s="60"/>
      <c r="O41" s="60"/>
      <c r="P41" s="60"/>
      <c r="Q41" s="60"/>
    </row>
  </sheetData>
  <pageMargins left="0.25" right="0.25" top="0.75" bottom="0.75" header="0.3" footer="0.3"/>
  <pageSetup paperSize="9" scale="77" fitToWidth="0" orientation="landscape" r:id="rId1"/>
  <headerFooter>
    <oddFooter>Страница  &amp;P из &amp;N</oddFooter>
  </headerFooter>
  <colBreaks count="1" manualBreakCount="1">
    <brk id="22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8</vt:i4>
      </vt:variant>
    </vt:vector>
  </HeadingPairs>
  <TitlesOfParts>
    <vt:vector size="12" baseType="lpstr">
      <vt:lpstr>Инф. о МДК (прил. 1)</vt:lpstr>
      <vt:lpstr>ТЭ (прил. 2.1) испр</vt:lpstr>
      <vt:lpstr>ЭЭ (прил. 2.2)</vt:lpstr>
      <vt:lpstr>Примечания 1</vt:lpstr>
      <vt:lpstr>'Инф. о МДК (прил. 1)'!Заголовки_для_печати</vt:lpstr>
      <vt:lpstr>'Примечания 1'!Заголовки_для_печати</vt:lpstr>
      <vt:lpstr>'ТЭ (прил. 2.1) испр'!Заголовки_для_печати</vt:lpstr>
      <vt:lpstr>'ЭЭ (прил. 2.2)'!Заголовки_для_печати</vt:lpstr>
      <vt:lpstr>'Инф. о МДК (прил. 1)'!Область_печати</vt:lpstr>
      <vt:lpstr>'Примечания 1'!Область_печати</vt:lpstr>
      <vt:lpstr>'ТЭ (прил. 2.1) испр'!Область_печати</vt:lpstr>
      <vt:lpstr>'ЭЭ (прил. 2.2)'!Область_печати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mnsh</dc:creator>
  <cp:lastModifiedBy>Михаил</cp:lastModifiedBy>
  <cp:lastPrinted>2014-07-09T07:10:09Z</cp:lastPrinted>
  <dcterms:created xsi:type="dcterms:W3CDTF">2013-12-08T19:17:02Z</dcterms:created>
  <dcterms:modified xsi:type="dcterms:W3CDTF">2014-09-12T10:31:57Z</dcterms:modified>
</cp:coreProperties>
</file>